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japan election langen" sheetId="1" r:id="rId3"/>
    <sheet state="visible" name="Logs Twitter Archiver" sheetId="2" r:id="rId4"/>
  </sheets>
  <definedNames/>
  <calcPr/>
</workbook>
</file>

<file path=xl/sharedStrings.xml><?xml version="1.0" encoding="utf-8"?>
<sst xmlns="http://schemas.openxmlformats.org/spreadsheetml/2006/main" count="66344" uniqueCount="25248">
  <si>
    <t>Twitter Search Rule: japan election lang:en</t>
  </si>
  <si>
    <t>Date</t>
  </si>
  <si>
    <t>User Details</t>
  </si>
  <si>
    <t>Event Log</t>
  </si>
  <si>
    <t>This sheet will capture the program logs. Please do not edit or rename this sheet.</t>
  </si>
  <si>
    <t>Screen Name</t>
  </si>
  <si>
    <t>Full Name</t>
  </si>
  <si>
    <t>Tweet Text</t>
  </si>
  <si>
    <t>Tweet ID</t>
  </si>
  <si>
    <t>App</t>
  </si>
  <si>
    <t>Followers</t>
  </si>
  <si>
    <t>Follows</t>
  </si>
  <si>
    <t>Retweets</t>
  </si>
  <si>
    <t>Favorites</t>
  </si>
  <si>
    <t>Verfied</t>
  </si>
  <si>
    <t>User Since</t>
  </si>
  <si>
    <t>Location</t>
  </si>
  <si>
    <t>Bio</t>
  </si>
  <si>
    <t>Profile Image</t>
  </si>
  <si>
    <t>Google Maps</t>
  </si>
  <si>
    <t>Log sheet created for Twitter Archiver</t>
  </si>
  <si>
    <t>24-10 23:52:39</t>
  </si>
  <si>
    <t>Rule ctrlqTwitterRules-78f4b8497258a04eb15a2858ecf7dfe4 processed and 0 tweets were saved</t>
  </si>
  <si>
    <t>24-10 23:53:01</t>
  </si>
  <si>
    <t>[Delete] Rule ctrlqTwitterRules-78f4b8497258a04eb15a2858ecf7dfe4 deleted</t>
  </si>
  <si>
    <t>24-10 23:53:22</t>
  </si>
  <si>
    <t>[Save] Rule japan election lang:en</t>
  </si>
  <si>
    <t>24-10 23:53:23</t>
  </si>
  <si>
    <t>Trigger created for saving tweets</t>
  </si>
  <si>
    <t>24-10 23:57:47</t>
  </si>
  <si>
    <t>[Rule] japan election lang:en 12079 tweets</t>
  </si>
  <si>
    <t>THE CHIEF</t>
  </si>
  <si>
    <t>RT @harrisonmumia: Japan has just had an election. Within a day, results are known. Everyone is happy. No rigging claims. In Kenya, we ar…</t>
  </si>
  <si>
    <t>Twitter for Android</t>
  </si>
  <si>
    <t>No</t>
  </si>
  <si>
    <t xml:space="preserve">NAIROBI </t>
  </si>
  <si>
    <t>I BELIEVE IN :THINKING, HONESTY AND HARD WORK.</t>
  </si>
  <si>
    <t>Alexander Roll</t>
  </si>
  <si>
    <t>RT @KaiPflughaupt: USDJPY ↑ • Japan's Abe wins gen.election stronger than exp • suggests BoJ remains QQE • 92% prob FED to hike 25bp Dec…</t>
  </si>
  <si>
    <t>Twitter for iPhone</t>
  </si>
  <si>
    <t>London, England</t>
  </si>
  <si>
    <t>日本を取り戻す！✊＠安倍政権絶対支持🙋</t>
  </si>
  <si>
    <t>RT @narendramodi: Heartiest greetings to my dear friend @AbeShinzo on his big election win. Look forward to further strengthen India-Japan…</t>
  </si>
  <si>
    <t>Twitter Lite</t>
  </si>
  <si>
    <t>Japan/Osaka/Hirakata city</t>
  </si>
  <si>
    <t>今回の解散は、#国難突破解散！今、日本は『#少子高齢化』『#北朝鮮による脅威』の二つの国難に見舞われています！『#生産性革命』『#人づくり革命』により国民の(命)と(平和)を守る為に戦う安倍政権を応援しましょう！✊『この国を、守り抜く｡』🙋✨(J-NSC会員)#大阪11区は佐藤ゆかり</t>
  </si>
  <si>
    <t>The Pioneer</t>
  </si>
  <si>
    <t>#Japan: Fresh off a decisive election victory, Japan's leader pledged today to tackle what he called Japan's two... https://t.co/ofNSXoYX5H</t>
  </si>
  <si>
    <t>Facebook</t>
  </si>
  <si>
    <t>Twitter account of India's leading independent right-thinking newspaper.</t>
  </si>
  <si>
    <t>Colette</t>
  </si>
  <si>
    <t>RT @jkaonline: Japan's leader just won a resounding election victory, but he's still unpopular @CNBC https://t.co/joSR2wpi5V</t>
  </si>
  <si>
    <t>Savannah, Ga</t>
  </si>
  <si>
    <t>Sundara Rajan</t>
  </si>
  <si>
    <t>RT @sgurumurthy: @AbeShinzo the suppressed soul of Japan is waking up. The No 2 in MITI then told me &amp; Govindacharya in 1977 that when the…</t>
  </si>
  <si>
    <t>Twitter Web Client</t>
  </si>
  <si>
    <t>Chennai, India</t>
  </si>
  <si>
    <t>Interested in Development of Bharat, Infrastructure, Politics, Economics, Global IT Trends and Transformational use of IT for development</t>
  </si>
  <si>
    <t>ASHOK GUPTA</t>
  </si>
  <si>
    <t>FARIDABAD</t>
  </si>
  <si>
    <t>Proud Indian, A Hindu, BITSIAN, Believe In Dharma, Karma And Moksha. Bhakta Of Bhagwan. Not Influenced By Any. Independent Views. RT not Endorsement</t>
  </si>
  <si>
    <t>राष्ट्रवादी🇮🇳जाट</t>
  </si>
  <si>
    <t>Sonipat,Haryana,India</t>
  </si>
  <si>
    <t>देशभक्ति मेरे खून में है। इसलिए राष्ट्रविरोधी दूर रहें। राष्ट्रवाद मेरे हिन्दू धर्म की पहचान है । भारत माता की जय।। 16×2=8=जाट Tweets are in #LIKES</t>
  </si>
  <si>
    <t>kumaran natarajan</t>
  </si>
  <si>
    <t>Bangalore, India</t>
  </si>
  <si>
    <t>Shadier Magnolia</t>
  </si>
  <si>
    <t>RT @nytimes: Shinzo Abe won a commanding majority for his party, fueling his hopes of revising Japan's pacifist Constitution https://t.co/B…</t>
  </si>
  <si>
    <t>United States</t>
  </si>
  <si>
    <t>Southern Democrat and I blame all of this on Alabama and George Wallace, white supremacist, the undereducated and anybody else I can shake a stick at. So there!</t>
  </si>
  <si>
    <t>yodaka🐥</t>
  </si>
  <si>
    <t>日本</t>
  </si>
  <si>
    <t>ごく普通の主婦（働くママ）です。日本が普通の国になれるように微力ながら発信していきたいです。理不尽な偏向報道に怒りを感じます。電波オークション賛成。</t>
  </si>
  <si>
    <t>Angela Korras</t>
  </si>
  <si>
    <t>Typhoon leaves two dead after lashing Japan on election day https://t.co/zomnDlYOF0</t>
  </si>
  <si>
    <t>Echofon</t>
  </si>
  <si>
    <t xml:space="preserve"> Australia</t>
  </si>
  <si>
    <t>Freedom for all not just the few, Terrorism worldwide, Geopolitics. Graphic Content.</t>
  </si>
  <si>
    <t>xrossme</t>
  </si>
  <si>
    <t>Nairobi kenya</t>
  </si>
  <si>
    <t>Lol</t>
  </si>
  <si>
    <t>eddydaud.</t>
  </si>
  <si>
    <t>RT @haaretzcom: "Forget Brexit, Le Pen and Erdogan: The election that just happened in Japan may be the most worrying yet"- Analysis https:…</t>
  </si>
  <si>
    <t>ÜT: 1.50225,103.742992</t>
  </si>
  <si>
    <t>Astagfirallah for my past Alhamdullilah for my present In'sha'Allah for my future. RTs are not endorsements, only rights to be heard. swear words=blocked</t>
  </si>
  <si>
    <t>Shafqat katoch</t>
  </si>
  <si>
    <t>Mobile Web (M2)</t>
  </si>
  <si>
    <t xml:space="preserve">     jammu &amp; kashmir, india</t>
  </si>
  <si>
    <t>studied MSC zoology and anthropology [Srinagar 2014]. Cricket Fanatic &amp; Self Proclaimed Expert ♣</t>
  </si>
  <si>
    <t>NEWS</t>
  </si>
  <si>
    <t>Abe gets go-ahead on economy, prompting unease over constitution https://t.co/AxTbhxrbmQ</t>
  </si>
  <si>
    <t>Google</t>
  </si>
  <si>
    <t>Earth</t>
  </si>
  <si>
    <t>RTs are not endorsement. #News #India #World #Editorials #Opinion #Comment #Columns #Live</t>
  </si>
  <si>
    <t>Japan election pushes Nikkei 225 to first 15th consecutive gain https://t.co/BtguDx7iTS</t>
  </si>
  <si>
    <t>Rudra Pratap Singh</t>
  </si>
  <si>
    <t>New Delhi</t>
  </si>
  <si>
    <t>Hotelier with work experience at Taj, Marriott &amp; Hyatt in USA &amp; India. RT is NOT an endorsement. Trying to leave the earth a better place for future generations</t>
  </si>
  <si>
    <t>Wine Dork</t>
  </si>
  <si>
    <t>RT @Reuters: Abe, Trump agree to raise pressure on North Korea: Japan government https://t.co/SQsNYuH7eh https://t.co/xyLpbirf4x</t>
  </si>
  <si>
    <t>Washington Square, Philadelphia</t>
  </si>
  <si>
    <t>R K Tripathi</t>
  </si>
  <si>
    <t>cyto48</t>
  </si>
  <si>
    <t>RT @CNBCi: Dollar higher against the yen and Nikkei primed to jump after Abe's election win https://t.co/fOXH91aIUM https://t.co/dyonHRzbpl</t>
  </si>
  <si>
    <t>Martin with a J</t>
  </si>
  <si>
    <t>RT @BBCNewsAsia: Japan's @AbeShinzo promises to "deal firmly" with North Korea after exit polls suggest clear election victory: https://t.c…</t>
  </si>
  <si>
    <t>Fort St. John, British Columbi</t>
  </si>
  <si>
    <t>Bachelor of Management, SAIT IET diploma, Dutch/ Canadian #FreeToOpine</t>
  </si>
  <si>
    <t>RT @Reuters: Prime Minister Shinzo Abe to push for reforms to Japan's post-war pacifist constitution after strong election win. https://t.c…</t>
  </si>
  <si>
    <t>BADAL VERMA</t>
  </si>
  <si>
    <t>NEW DELHI, INDIA</t>
  </si>
  <si>
    <t>Social activist, i respect everyone who doesn't respect me bcoz my religion teaches this🎪 Student of Delhi University I💓Shilma/Sikkim &amp; there's people😅</t>
  </si>
  <si>
    <t>Sitati Wasilwa</t>
  </si>
  <si>
    <t>RT @lindayueh: Japan PM Shinzo Abe’s gamble on calling an early election has paid off as he secured a 2/3rds parliamentary “super majority”…</t>
  </si>
  <si>
    <t>Nairobi, Kenya</t>
  </si>
  <si>
    <t>Economist| Partner @SavicLtd| Political Economy| Public Policy| Politics| Blogs~https://t.co/l2wz68ESog &amp; https://t.co/XFooE0TXrZ</t>
  </si>
  <si>
    <t>さら</t>
  </si>
  <si>
    <t>前垢がロックがかかり、再出発です。以前フォローしてくれていた方もまた、登録お願いします。また一からですがよろしくお願いいたします((*´∀｀*))日本を守るためにも頑張ります♫ 現在安倍総理支持日本を守れる総理は安倍総理しかいない！絶賛応援中！ 申し訳ございませんが怪しいアカウントはブロックさせていただきます。</t>
  </si>
  <si>
    <t>Teofilo Colon Jr</t>
  </si>
  <si>
    <t>Hearty Congratulations and Greetings to Japan Prime Minister Abe Shinzo @AbeShinzo on his BIG Election win. https://t.co/4tSjfbchaO</t>
  </si>
  <si>
    <t>New York City</t>
  </si>
  <si>
    <t>I'm Teofilo Colon Jr, a Filmmaker, Photographer &amp; a Garifuna-American. RTs and follows dont equal endorsements. EMAIL teo@beinggarifuna.com PHONE (646) 961-3674</t>
  </si>
  <si>
    <t>炉心</t>
  </si>
  <si>
    <t>とかちほー（東京18区）</t>
  </si>
  <si>
    <t>今、僕は冷静さを欠こうとしています。</t>
  </si>
  <si>
    <t>Hayagriva</t>
  </si>
  <si>
    <t>RT @clara111: CTA President Congratulates Japanese PM #ShinzoAbe on National Election Win #japan https://t.co/ArGDXS8i0z</t>
  </si>
  <si>
    <t>Karnataka, India</t>
  </si>
  <si>
    <t>Do kind and don't harm to other.</t>
  </si>
  <si>
    <t>DEEPAK RAJAK</t>
  </si>
  <si>
    <t>Korba, India</t>
  </si>
  <si>
    <t>UmmNabz</t>
  </si>
  <si>
    <t>DEVAL RANCH</t>
  </si>
  <si>
    <t>Dharampur</t>
  </si>
  <si>
    <t>कार नहीं लेकिन संस्कार है।</t>
  </si>
  <si>
    <t>gajendra badgujar</t>
  </si>
  <si>
    <t>New Delhi, Delhi</t>
  </si>
  <si>
    <t>Imperfect human</t>
  </si>
  <si>
    <t>Bullish Bearish</t>
  </si>
  <si>
    <t>Asia Markets: Japan’s Nikkei rises for a 15th straight session after Abe’s election win https://t.co/zcCwiDyQ0g via @bllshbrsh</t>
  </si>
  <si>
    <t>VB Twitter APP bllsbrsh</t>
  </si>
  <si>
    <t>Jay J Jani</t>
  </si>
  <si>
    <t>Rajkot, India</t>
  </si>
  <si>
    <t>Fb :- jay j jani Insta :- Mr_jay_j_jani_ સહ-ઇન્ચાર્જ ઓફ રાજકોટ જીલ્લા ભાજપ યુવામોરચો</t>
  </si>
  <si>
    <t>On-Point News</t>
  </si>
  <si>
    <t>Nikkei hits new highs after #Japan election https://t.co/QrwZ4JX3NL</t>
  </si>
  <si>
    <t>Parklands Rd, Nairobi, Kenya</t>
  </si>
  <si>
    <t>Stay For Latest Updates in News, Business and Sports.</t>
  </si>
  <si>
    <t>NewsBoss.in</t>
  </si>
  <si>
    <t>Typhoon leaves 5 dead after lashing Japan.. https://t.co/CtiHg30pxZ</t>
  </si>
  <si>
    <t>News, you can choose!</t>
  </si>
  <si>
    <t>BRUSSELSDIPLOMATIC</t>
  </si>
  <si>
    <t>Prime Minister Shinzo Abe, triumphed in a huge election win for lawmakers who favor revising Japan’s post-war... https://t.co/tXhyX2rAeF</t>
  </si>
  <si>
    <t>BRUSSELS</t>
  </si>
  <si>
    <t>BRUSSELS DIPLOMATIC, the emagazine for expats, diplomatic affairs, EU affairs and international affairs from Brussels.</t>
  </si>
  <si>
    <t>Ritesh singh 🦁</t>
  </si>
  <si>
    <t xml:space="preserve">India </t>
  </si>
  <si>
    <t>Being civil engineer. Proud hindu Nationalist. Fan of my rockstar @narendramodi . Rt's = not approval . 【 भारत माता की जय 】 🇮🇳</t>
  </si>
  <si>
    <t>RotSpanier</t>
  </si>
  <si>
    <t>4 things to expect following Shinzo Abe’s landslide victory https://t.co/acDK29ufCS</t>
  </si>
  <si>
    <t>Noticias de contra-información</t>
  </si>
  <si>
    <t>Bot de contrainformación dedicado a los republicanos españoles que lucharon hasta el final de sus vidas en el campo de exterminio nazi en Mauthausen-Gusen.</t>
  </si>
  <si>
    <t>Uttara Kejriwal</t>
  </si>
  <si>
    <t>RT @sgurumurthy: This is one election in which India had a huge stake. Abe is a cultural and civilisational partner of India. Prime Ministe…</t>
  </si>
  <si>
    <t>Delhi</t>
  </si>
  <si>
    <t>NaMo fan ,varied interests...reading, current affairs etc. Not related to #AAP Arvind Kejriwal . Proud Hindu &amp; nationalist. Convenor #IT4Commerce</t>
  </si>
  <si>
    <t>Bhaktvatsal</t>
  </si>
  <si>
    <t>Hyderabad, India</t>
  </si>
  <si>
    <t>Nationalist; Hindu; Researcher by profession.</t>
  </si>
  <si>
    <t>ごこう</t>
  </si>
  <si>
    <t>RT @thetimes: Shinzo Abe won the snap general election yesterday, putting him on course to be Japan’s longest-serving PM https://t.co/3O7t7…</t>
  </si>
  <si>
    <t>京都府 京都市 下京区</t>
  </si>
  <si>
    <t>ほとんどやらないが、たまにつぶやく。</t>
  </si>
  <si>
    <t>Ehsaas (Jay)</t>
  </si>
  <si>
    <t>Srk's Heart</t>
  </si>
  <si>
    <t>Indian by religion. SRKian by heart. Love to Love SRK. He is everything that matters to me. Main Cheap Hoon Cheap 😎😎😎</t>
  </si>
  <si>
    <t>Shyam Kumar Nayar</t>
  </si>
  <si>
    <t>Mayur Vihar, New Delhi</t>
  </si>
  <si>
    <t>Stuti Saxena</t>
  </si>
  <si>
    <t>RT @Reuters: WATCH: Japanese Prime Minister Shinzo Abe's ruling bloc scores big election win https://t.co/bDsHrEU4Zc via @ReutersTV https:/…</t>
  </si>
  <si>
    <t>I follow Open Government Data (OGD) as my research theme.</t>
  </si>
  <si>
    <t>MG</t>
  </si>
  <si>
    <t>かめこ</t>
  </si>
  <si>
    <t>東京か大阪</t>
  </si>
  <si>
    <t>大阪生まれのしみじみ日本が好きな日本人。少額で株式投資を開始し、いつかプロフィールに投資家と書ける日を夢見ています。</t>
  </si>
  <si>
    <t>Google Pixel</t>
  </si>
  <si>
    <t>Nikkei hits new highs on Japan election https://t.co/T9T2liMbZO https://t.co/OWicUfIIQF</t>
  </si>
  <si>
    <t>IFTTT</t>
  </si>
  <si>
    <t>Click the link on our bio to get best deals</t>
  </si>
  <si>
    <t>John D. Vickers</t>
  </si>
  <si>
    <t>Japan’s PM Wins Re-election: North Korea a Priority https://t.co/YZcJDa8JCF</t>
  </si>
  <si>
    <t>WordPress.com</t>
  </si>
  <si>
    <t>Saanichton, BC, Canada</t>
  </si>
  <si>
    <t>John Vickers Hosting, WordPress Expert, Site Development, Video Services. Member: ACNA, ANiC, GAFCON &amp; COOL Best Friends: Jesus &amp; Scarlett</t>
  </si>
  <si>
    <t>Khushi Shandilya</t>
  </si>
  <si>
    <t>Lucknow, India</t>
  </si>
  <si>
    <t>Ravikanth</t>
  </si>
  <si>
    <t>Florin M.Pop</t>
  </si>
  <si>
    <t>Japan election pushes Nikkei 225 to first 15th consecutive gain- Nikkei Asian Review https://t.co/GByLadi9sL</t>
  </si>
  <si>
    <t>Cluj-Napoca</t>
  </si>
  <si>
    <t>Investor &amp; Business Advisor</t>
  </si>
  <si>
    <t>Govind Rout</t>
  </si>
  <si>
    <t xml:space="preserve">Dhenkanal </t>
  </si>
  <si>
    <t>Mahadev</t>
  </si>
  <si>
    <t>India</t>
  </si>
  <si>
    <t>We are promoting Universal peace &amp; love, world is one family;everything is creation of God.Bigot religions &amp; philosophy promote slavery,violence and hate.</t>
  </si>
  <si>
    <t>Sajid Shaikh</t>
  </si>
  <si>
    <t>Mumbai</t>
  </si>
  <si>
    <t>Journalists Government and Politics Business &amp; CEOs Politicians and Pol Parties News</t>
  </si>
  <si>
    <t>千枚の葉っぱ</t>
  </si>
  <si>
    <t>東京 世田谷区</t>
  </si>
  <si>
    <t>- アニメ好き。ラブライブ!好き - 2010年からラブライバーやってるアラサーおっさんライバー。μ's&amp;Aqoursと、ナンバリングライブは全参加。ことり&amp;曜好き。 - 工学系研究職 、船好き、歴史好き 社会人博士課程在籍中 - アニメオタクが日々のニュースや関心ごとにつぶやく。内容雑多 - 日本のために働く</t>
  </si>
  <si>
    <t>amber sui</t>
  </si>
  <si>
    <t>RT @XHNews: Japan's ruling camp wins two-thirds majority in lower house election amid opposition splitting-up https://t.co/mE2hSxU3xV https…</t>
  </si>
  <si>
    <t>我是一只小小鸟</t>
  </si>
  <si>
    <t>Pankaj</t>
  </si>
  <si>
    <t>ふぁんたん66</t>
  </si>
  <si>
    <t>日本 北海道</t>
  </si>
  <si>
    <t>8割以上が政治の呟き。一応右寄り★極端な思想は左右関わらず拒絶★無言フォローお許しを！(-人-)★♂オヤジ(^^;★クラフトワーク・YMO・Perfume・木村カエラ・綾瀬はるか・北海道日本ハム・碁(^^)★結構毒舌f(^^;)</t>
  </si>
  <si>
    <t>Tom Sparke</t>
  </si>
  <si>
    <t>Stability in Japan after the election - The Nikkei just created its longest 'winning streak' for 56 years #japan #nikkei #Investing</t>
  </si>
  <si>
    <t>Cambridge, England</t>
  </si>
  <si>
    <t>Investment Manager &amp; Associate Director for @GibbsDenley Financial Services #investment #markets</t>
  </si>
  <si>
    <t>Bhavin Patel</t>
  </si>
  <si>
    <t>Vadodara</t>
  </si>
  <si>
    <t>I am Bharatiya not Indian........</t>
  </si>
  <si>
    <t>Time for RETALIATION</t>
  </si>
  <si>
    <t>भारत</t>
  </si>
  <si>
    <t>proud desh bhakt...NAMO bhakt...lawyer Bombay High court..My nationalism will remain saffron in colour, till the time secularism of this country remains green..</t>
  </si>
  <si>
    <t>Lieut. Sameer Kadam</t>
  </si>
  <si>
    <t>Twitter for iPad</t>
  </si>
  <si>
    <t>Melbourne</t>
  </si>
  <si>
    <t>Ex Indian Navy officer, IT Professional, Patriot, Huge fan of-Modiji</t>
  </si>
  <si>
    <t>vishant kumar</t>
  </si>
  <si>
    <t>Dehradun, India</t>
  </si>
  <si>
    <t>जय हिन्द</t>
  </si>
  <si>
    <t>Emma Jackson</t>
  </si>
  <si>
    <t>Abe to push reform of Japan's pacifist constitution after election win https://t.co/sZaQC2ry1X</t>
  </si>
  <si>
    <t>Dubai, United Arab Emirates</t>
  </si>
  <si>
    <t>Author, freelancer, teacher. #Winnipeg born and raised! This is where I post things to make you smile, and also things that relate to your everyday life ♥</t>
  </si>
  <si>
    <t>The Winners and Losers of Japan's Landslide Election https://t.co/0Y4YK4Sx8A via @bllshbrsh</t>
  </si>
  <si>
    <t>UCD Japan Group</t>
  </si>
  <si>
    <t>Japan's Abe to push pacifist constitution reform after strong election win https://t.co/td5Po3q5KU</t>
  </si>
  <si>
    <t>Dublin City, Ireland</t>
  </si>
  <si>
    <t>UCD Japan Group celebrates the 60th Anniversary of Diplomatic Relations between Japan and Ireland.</t>
  </si>
  <si>
    <t>beingAkshaypawar</t>
  </si>
  <si>
    <t>Mumbai, India</t>
  </si>
  <si>
    <t>Akki cricket lover</t>
  </si>
  <si>
    <t>Nikkei hits new highs after Japan election https://t.co/haDzOYAFtR via @bllshbrsh</t>
  </si>
  <si>
    <t>Vaibhav Patil</t>
  </si>
  <si>
    <t>Patel Ka Gyan</t>
  </si>
  <si>
    <t>agra-lucknow expressway</t>
  </si>
  <si>
    <t>बेरोजगार भक्त 🙋 हिंदुत्व से बढ़कर कुछ नही 🚩🚩🚩🚩 नोकरी की तलाश में -- iampatelji@gmail.com -- pradeep kurmi --8287620281</t>
  </si>
  <si>
    <t>MyAllies News</t>
  </si>
  <si>
    <t>After election win, Abe prioritizes North Korea, aging Japan https://t.co/T9ycoyTnjS</t>
  </si>
  <si>
    <t>MyAllies Breaking News</t>
  </si>
  <si>
    <t>MyAllies delivers breaking news from across the globe and information on the latest breaking business and financial events. https://t.co/EMO1mExUVH</t>
  </si>
  <si>
    <t>Aryan Vulcan</t>
  </si>
  <si>
    <t>Human! Traveller, Technophile, Curious to know People</t>
  </si>
  <si>
    <t>वासुदेव गुरु</t>
  </si>
  <si>
    <t>RT @indiatvnews: .@AbeShinzo got a resounding victory in the snap polls held yesterday https://t.co/4JTRfRmeKn</t>
  </si>
  <si>
    <t>गाजीपुर,भागलपुर ,गया ,मुगेंर</t>
  </si>
  <si>
    <t>भारत और हिन्दुओं केलिए हानिकारक) 👉 सावधान हिन्दुओं👈 👉 कांग्रेस ,सपा, बसपा, आप, आरजेडी,टीमसी पाकिस्तान चीनी दोगले हिन्दुओं ,दोगले पत्रकारों से</t>
  </si>
  <si>
    <t>PH REGIONAL NEWS</t>
  </si>
  <si>
    <t>Typhoon Lan leaves five dead after lashing Japan on election day | Read: https://t.co/FzeBwVEqpI via GMA News</t>
  </si>
  <si>
    <t>Philippines</t>
  </si>
  <si>
    <t>The Philippine Regional News Portal. More news at @BalitaNgayon | Regional weather at @PanahonNgayonPH |</t>
  </si>
  <si>
    <t>Yazmin</t>
  </si>
  <si>
    <t>Live, laugh, learn, and love,</t>
  </si>
  <si>
    <t>Kottaras</t>
  </si>
  <si>
    <t>Japan Election Vindicates Shinzo Abe as His Party Wins Big https://t.co/AOJP06SRoO</t>
  </si>
  <si>
    <t>Japan</t>
  </si>
  <si>
    <t>PhD Medical Science. Interested in Medical Education Politics and Economics.</t>
  </si>
  <si>
    <t>muthoni</t>
  </si>
  <si>
    <t>Kiambu, Kenya</t>
  </si>
  <si>
    <t>wathiì kù?</t>
  </si>
  <si>
    <t>धाकड ताऊ</t>
  </si>
  <si>
    <t>महम, रोहतक, हरियाणा</t>
  </si>
  <si>
    <t>#Mission2022 ,#IAmNewIndia , #Mission2019 भारत माता की जय🙏</t>
  </si>
  <si>
    <t>鹿川翔</t>
  </si>
  <si>
    <t>将来の夢に向かって日々精進。</t>
  </si>
  <si>
    <t>Daudi Muya</t>
  </si>
  <si>
    <t>Nairobi</t>
  </si>
  <si>
    <t>Dad, husband, a social justice crusader. Greatest wealth is sound health in a peaceful world. #politicallyupright #tribeless #Naturecaring #Unapologetic</t>
  </si>
  <si>
    <t>Jayadeep Kotian 🇮🇳</t>
  </si>
  <si>
    <t>| Proud Indian | Proud to Be Part Of #BHEL Family | | Honored to be followed by @PiyushgoyalOffc |</t>
  </si>
  <si>
    <t>kannan</t>
  </si>
  <si>
    <t>Coimbatore, India</t>
  </si>
  <si>
    <t>Krazy Comedy</t>
  </si>
  <si>
    <t>laughter*infinity,#illest tweets,Humour mongering,I stand up comedy. treat me like a joke and i will leave you like its funny! #100% follow back</t>
  </si>
  <si>
    <t>白水郎</t>
  </si>
  <si>
    <t>RT @trtworld: Shinzo Abe’s expected election win will make him Japan's longest-serving prime minister https://t.co/YmKONQpljB</t>
  </si>
  <si>
    <t>リツイートは必ずしも贊意を表したものではありません。惡しからず。</t>
  </si>
  <si>
    <t>TheMalaysianReserve</t>
  </si>
  <si>
    <t>Japan poised to give Abe new election mandate https://t.co/BS5pGSm7H9</t>
  </si>
  <si>
    <t>Malaysia</t>
  </si>
  <si>
    <t>All business daily in association with International New York Times.</t>
  </si>
  <si>
    <t>Millie Joel</t>
  </si>
  <si>
    <t>Around</t>
  </si>
  <si>
    <t>My vote should count!</t>
  </si>
  <si>
    <t>Rohit Aggarwal</t>
  </si>
  <si>
    <t>Mohamed Jinna</t>
  </si>
  <si>
    <t>λόγος</t>
  </si>
  <si>
    <t>日本回復のために家庭を取り戻す。 Τίμιος ὁ γάμος ἐν πᾶσιν （Hebrews 13:4）</t>
  </si>
  <si>
    <t>lois lodevik.</t>
  </si>
  <si>
    <t>Indonesia</t>
  </si>
  <si>
    <t>IG : @michellemonicx</t>
  </si>
  <si>
    <t>MellyMed🦋</t>
  </si>
  <si>
    <t>PDX2UK? MedicalDebtAssistance:</t>
  </si>
  <si>
    <t>💙👨‍👨‍👦💙☔️💙🗳💙📘💙👗💙🛌💙🎭Im totally sick2my stom/Im SoSuperHungry</t>
  </si>
  <si>
    <t>George  🇰🇪</t>
  </si>
  <si>
    <t>Qatar</t>
  </si>
  <si>
    <t>Husband &amp; Father who is out going and love life.</t>
  </si>
  <si>
    <t>とりぱん総理(茶)</t>
  </si>
  <si>
    <t>東京 府中市</t>
  </si>
  <si>
    <t>社会的脂肪</t>
  </si>
  <si>
    <t>まさ</t>
  </si>
  <si>
    <t>日本の本当の敵が見えてきました。私たちができることは、日本の為に日々働く安倍総理を応援する事 。みんなで力を合わせ日本を取り戻しましょう！</t>
  </si>
  <si>
    <t>tomoshige168</t>
  </si>
  <si>
    <t>遠吠え@がんばろう北海道！</t>
  </si>
  <si>
    <t>【安倍政権一択です。メディアが敵ならば口コミを頑張ります！】Twitterの機能がわからないまま始めてしまった初心者で、知らない事にぶつかってはバタバタしてます。 北海道生まれの北海道育ち。NHKと北海道新聞が好き…でした。(過去形なのが正直悲しい) つぶやきはほぼ政治ネタ。 日本の為に。故郷の為に。</t>
  </si>
  <si>
    <t>Révolution Française</t>
  </si>
  <si>
    <t>RT @Aligarciaherrer: Japan Election: Abe Has Not Much time Left To Celebrate Victory https://t.co/TNQYsCMxfi</t>
  </si>
  <si>
    <t>U</t>
  </si>
  <si>
    <t>Il est temps d'aborder les grandes questions. Apolitique - Notre cible ? (presque) tout le monde</t>
  </si>
  <si>
    <t>Hara Prasad Pattnaik</t>
  </si>
  <si>
    <t>Jatni, Bhubaneshwar, India</t>
  </si>
  <si>
    <t>Hinduism is not a religion but a civilization and is father of Science.I am a troubleshooter in my life.I am not secular.I am proud hindu who never hurt others.</t>
  </si>
  <si>
    <t>むーぶ</t>
  </si>
  <si>
    <t>Japan Election: Shinzo Abe Wins, Secures Two-Thirds Majority | https://t.co/xyrV16Y1FK https://t.co/mpYyLZGR7w</t>
  </si>
  <si>
    <t>🐚＜ぶおおおおおおお</t>
  </si>
  <si>
    <t>おさないおんなのこ</t>
  </si>
  <si>
    <t>Emma Wallis</t>
  </si>
  <si>
    <t>What does another Abe victory mean for Japan? https://t.co/MGuWwSS498 via @investmentweek</t>
  </si>
  <si>
    <t>London</t>
  </si>
  <si>
    <t>Finance &amp; investment PR; trustee of @AccomplishTrust; mum</t>
  </si>
  <si>
    <t>Ganesh Revankar</t>
  </si>
  <si>
    <t>• Jhay •</t>
  </si>
  <si>
    <t>Typhoon Lan leaves five dead after lashing Japan on election day https://t.co/ncwqOOf4fu https://t.co/ypD7WXmomB</t>
  </si>
  <si>
    <t>MNL [GMT+8]</t>
  </si>
  <si>
    <t>I'm a #WordPress guy. I eat #Apple &amp; #BlackBerry. I aim n fire using my #Nikon camera. I #WorkWide. #BBMme 7B5DB8D7</t>
  </si>
  <si>
    <t>Support Modi</t>
  </si>
  <si>
    <t>#ModiMinistry Japan’s Nikkei hits new highs after Abe wins election https://t.co/f40KvgC2k2</t>
  </si>
  <si>
    <t>#iVoteForBest Vote for India</t>
  </si>
  <si>
    <t>AMIT KUMAR</t>
  </si>
  <si>
    <t>Champaran, Bihar</t>
  </si>
  <si>
    <t>ऊँ नमः शिवाय | #BharatMataKiJai #IAmNewIndia | #VandeMatram | https://t.co/In7vBKd4qh ECE | मंजिल अभी दूर है | बम बम भोले 🏰 ⛳ ⛳ ⛳</t>
  </si>
  <si>
    <t>羽未-umi-</t>
  </si>
  <si>
    <t>Linda Newmai</t>
  </si>
  <si>
    <t>Delhi &amp; North East</t>
  </si>
  <si>
    <t>BJP worker since 1991. National Executive Member BJP ST Morcha. Social Activist. Proud Naga, Prouder Indian.</t>
  </si>
  <si>
    <t>Bearden Curling</t>
  </si>
  <si>
    <t>Knoxville • Pyeonchang 2018</t>
  </si>
  <si>
    <t>Official Twitter account of Bearden High School Curling, Tennessee's first and only high school curling team #BeardenCurling</t>
  </si>
  <si>
    <t>Sanjay Sodha</t>
  </si>
  <si>
    <t>Gandhidham - Kutch (Gujarat)</t>
  </si>
  <si>
    <t>Cricket lover, specially @imRaina @lynny50 And @gmaxi_32 . love cricket, like cricket. Cricket is a passion.</t>
  </si>
  <si>
    <t>MANNu Ki BAAT</t>
  </si>
  <si>
    <t>Namo Land...</t>
  </si>
  <si>
    <t>Can &amp; Able. Multi Tasker. BJP/RSS. Centre of Right. Hardcore Gujarati. Diehard NaMoBhakt. Music: Classical, 50s-80s Hindi Film Songs. Politics &amp; News addict.</t>
  </si>
  <si>
    <t>sai kiran sharma</t>
  </si>
  <si>
    <t>Mom's little son &amp; The prince of Dharmavaram Family. Mechanical Engineer. Foodie.Patriot. ✊"Never stop believing in hope because miracles happen everyday".</t>
  </si>
  <si>
    <t>Metcalf Moat IFA Ltd</t>
  </si>
  <si>
    <t>Shinzo Abe is set to double down on economic stimulus and push for a revision of Japan’s pacifist constitution afte… https://t.co/IpMY6DR8pX</t>
  </si>
  <si>
    <t>Petts Wood, Kent</t>
  </si>
  <si>
    <t>Independent Financial Advisers based in Petts Wood, Kent. Metcalf Moat offer independent advice, in a professional and friendly manner.</t>
  </si>
  <si>
    <t>Seth Pankaj Agrawal</t>
  </si>
  <si>
    <t>Madhya Pradesh, India</t>
  </si>
  <si>
    <t>तन मन धन प्राण चढ़ाएँगे,इसका मान बढ़ाएँगे! जग का सौभाग्य सितारा है! यह भारत हमारा है! वन्दे मातरम् - जय हिन्दू</t>
  </si>
  <si>
    <t>Osaka Informer</t>
  </si>
  <si>
    <t>Turnout put at 2nd-lowest in Japan lower house election https://t.co/2u7f0QnQ0g</t>
  </si>
  <si>
    <t>Osaka</t>
  </si>
  <si>
    <t>Local Osaka News and Japan updates from A - Z, that's what you get from us.</t>
  </si>
  <si>
    <t>arun joshi</t>
  </si>
  <si>
    <t>Rajasthan.</t>
  </si>
  <si>
    <t>(1) Lookin fr a Progresive #NewIndia through youth. (2)Honoured to be followed by @PiyushGoyalOffc ,Jdp Mayor @GSOjhaBJP &amp; @tajinderBagga</t>
  </si>
  <si>
    <t>🔯VipinPardhan🔯</t>
  </si>
  <si>
    <t>BHIWANI (Haryana)</t>
  </si>
  <si>
    <t>Life is vry short,so break silly short rules,Forgive quickly,Belive slowly, love truly, Laugh loudly &amp; Never avoid anything that makes u smile..Its UR life!!</t>
  </si>
  <si>
    <t>エルコン＠国語教室</t>
  </si>
  <si>
    <t>埼玉県の…真ん中辺り。</t>
  </si>
  <si>
    <t>「これからも旨い味噌汁を味わえる日本」が続いて欲しい眉毛犬。守備(趣味)範囲は広くて浅い。クソリプ(特に意見ですらない罵倒)は晒しますので宜しくお願いします。スポーツ(特に野球)とゲーム大好き。</t>
  </si>
  <si>
    <t>eririn↑↑</t>
  </si>
  <si>
    <t>ピースな顔して私は歩く</t>
  </si>
  <si>
    <t>stephen mwanzi</t>
  </si>
  <si>
    <t>Nairobi,Kenya</t>
  </si>
  <si>
    <t>Sleeps arsenal , eats arsenal , dreams arsenal , ALL IS @ARSENAL #COYG #HalaMadrid. Mobile &amp; Web Developer, Superb Gamer</t>
  </si>
  <si>
    <t>Valuespectrum</t>
  </si>
  <si>
    <t>Nikkei #stocks hits new highs on Japan election</t>
  </si>
  <si>
    <t>New York</t>
  </si>
  <si>
    <t>http://t.co/m3wqN1wzRP focusses on everything about value investing in the US, Europe and beyond. Daily analyses, reports and screeners. Bottom up fundamental!</t>
  </si>
  <si>
    <t>Ramesh Patibanda</t>
  </si>
  <si>
    <t>Proud Bharatwasi. Information seeker. Retweets are not endorsements.</t>
  </si>
  <si>
    <t>Rakendra Mishra</t>
  </si>
  <si>
    <t>Kanpur, India</t>
  </si>
  <si>
    <t>my attitude</t>
  </si>
  <si>
    <t>Diwali</t>
  </si>
  <si>
    <t>I like cricket,news</t>
  </si>
  <si>
    <t>Piush Kumar Singh</t>
  </si>
  <si>
    <t>yunus girgin</t>
  </si>
  <si>
    <t>İstanbul-London</t>
  </si>
  <si>
    <t>pragampratik</t>
  </si>
  <si>
    <t>A realistic person , interested in politics, a 🏏 lover &amp; a proud 🇮🇳. My tweets are my views.Trolls are just for humour.</t>
  </si>
  <si>
    <t>BAYGUI</t>
  </si>
  <si>
    <t>RT @WSJ: Post-election Japan leads gains in global markets https://t.co/IL4vEcL2Px https://t.co/MigQVlp2ry</t>
  </si>
  <si>
    <t>Tampa, Florida</t>
  </si>
  <si>
    <t>News Related Stories From All Over the world. Opinions Are My Own. Retweets Are Not Endorsements.</t>
  </si>
  <si>
    <t>kgopz</t>
  </si>
  <si>
    <t>An Indian, Engineer, NaMo fan. Allergic to NewsTraders and Pseudos. Interest in Chess, Cricket, Coffee, Music, Movies, Quizzing, Travel &amp; Photography</t>
  </si>
  <si>
    <t>علي الغرمول</t>
  </si>
  <si>
    <t>Abe to push reform of Japan's pacifist constitution after election win https://t.co/EokvolcEzA https://t.co/jjssqWdtdp</t>
  </si>
  <si>
    <t>dlvr.it</t>
  </si>
  <si>
    <t>دولة قطر</t>
  </si>
  <si>
    <t>‏‏‏‏إعصار قادم بما لاتشتهون لامحاله أستعدو. قد لاتعجب تغريداتي الكثير لاختصارها</t>
  </si>
  <si>
    <t>Singapore News</t>
  </si>
  <si>
    <t>Tokyo - A powerful typhoon left five dead, one missing and scores injured in Japan Monday, moving northward off... https://t.co/3Vhb7Yym8d</t>
  </si>
  <si>
    <t>Anushka Singh</t>
  </si>
  <si>
    <t>Asian shares rise on Japan PM Abe's election victory https://t.co/J30o5gLlDd #MarketingOnTwitter</t>
  </si>
  <si>
    <t>Indore</t>
  </si>
  <si>
    <t>We are from a company provides free Stock Cash Tips in both equity and commodity market.We also provide two days free trial</t>
  </si>
  <si>
    <t>Dhruv Bhimrajka</t>
  </si>
  <si>
    <t>visit https://t.co/EPczU8cxyr</t>
  </si>
  <si>
    <t>Sanjeev Thakur</t>
  </si>
  <si>
    <t>Bharat</t>
  </si>
  <si>
    <t>Swayam Sevak</t>
  </si>
  <si>
    <t>Social Media</t>
  </si>
  <si>
    <t>Abe to push reform of Japan's pacifist constitution after election win https://t.co/o7AH0LyaG2</t>
  </si>
  <si>
    <t>Hootsuite</t>
  </si>
  <si>
    <t>With over a million followers Social Media Hub is one of the fastest growing and most vibrant social media networks on the web #SMHub</t>
  </si>
  <si>
    <t>Vijay Goyal</t>
  </si>
  <si>
    <t>RT @narendramodi177: @narendramodi @AbeShinzo Heartiest greetings to my dear friend @AbeShinzo on his big election win. Look forward to fur…</t>
  </si>
  <si>
    <t>Sikar, Rajasthan,India</t>
  </si>
  <si>
    <t>State Vice Convenor Of BJYM Rajasthan IT Department | District Mantri In BJYM | District Vice President at RGSS Sikar Rajasthan|Social Worker|#ISupportBJYM</t>
  </si>
  <si>
    <t>TeslaTraderCo</t>
  </si>
  <si>
    <t>#FOREX #Follow #FX #RT #News| Asia Markets: Japan’s Nikkei rises for a 15th straight session after Abe’... https://t.co/v82Dp3PiUM</t>
  </si>
  <si>
    <t>Las Vegas, NV</t>
  </si>
  <si>
    <t>Forex signal provider: https://t.co/YNG064a1S7 -- We provide Forex News updates. Follow us on Twitter we follow back.</t>
  </si>
  <si>
    <t>Social Media Review</t>
  </si>
  <si>
    <t>Abe to push reform of Japan's pacifist constitution after election win https://t.co/J5V1FsKa6M</t>
  </si>
  <si>
    <t>With over a million followers Social Media Hub brings out the best from Social Media.</t>
  </si>
  <si>
    <t>Kaushalya Mandaliya</t>
  </si>
  <si>
    <t>Rajkot, Gujarat, India</t>
  </si>
  <si>
    <t>Blogger, Bachelor in C.E. | Editor, @cbloggingtips | Web + Android development | Member of @bullgit | Jai Hind 🇮🇳 | Tweets/RTs are my personal views</t>
  </si>
  <si>
    <t>Social Media Hub</t>
  </si>
  <si>
    <t>Abe to push reform of Japan's pacifist constitution after election win https://t.co/rUuz2uwsYq</t>
  </si>
  <si>
    <t>Presenting social media in a rich and colorful environment #SMHub</t>
  </si>
  <si>
    <t>LinQ</t>
  </si>
  <si>
    <t>We at LinQ, are creating a consolidated network of Brick and Mortar online commerce business in Tier 1- Tier 6 towns and rural areas.</t>
  </si>
  <si>
    <t>Watchman Rayburn</t>
  </si>
  <si>
    <t>Typhoon kills at least two in Japan, prompts call for thousands to evacuate https://t.co/VmJbvmD5hG https://t.co/SQeR44qZSO</t>
  </si>
  <si>
    <t>Ezekiel 33:2-6</t>
  </si>
  <si>
    <t>Typhoon leaves five dead after lashing Japan on election day https://t.co/Ygq3gGOjAD #NewIE #World</t>
  </si>
  <si>
    <t>わらび餅</t>
  </si>
  <si>
    <t>ネガティブ思考をポジティブ思考に。 無許可RTが得意☝</t>
  </si>
  <si>
    <t>Bhuvi</t>
  </si>
  <si>
    <t>CNSG</t>
  </si>
  <si>
    <t>Subrata Mitra</t>
  </si>
  <si>
    <t>Gurgaon</t>
  </si>
  <si>
    <t>Keen follower of politics and economics. Technology enthusiast. RTs not endorsements.</t>
  </si>
  <si>
    <t>Ajay Sharma</t>
  </si>
  <si>
    <t>Living like a LION, Civil Engineer, Interior design and consultants</t>
  </si>
  <si>
    <t>Punda Amechoka</t>
  </si>
  <si>
    <t>Love Dire Straits</t>
  </si>
  <si>
    <t>RT @TheDailyPioneer: #Japan: Fresh off a decisive election victory, Japan's leader pledged today to tackle what he called Japan's two... ht…</t>
  </si>
  <si>
    <t>Unapologetic Hindu. RW job in 2019 is not just to defeat congress. It is to defeat all NDA ministers who gave interview to NDTV.</t>
  </si>
  <si>
    <t>S K Sharan</t>
  </si>
  <si>
    <t>Ranchi</t>
  </si>
  <si>
    <t>A retired scientist in sericulture</t>
  </si>
  <si>
    <t>suryaaveer singh</t>
  </si>
  <si>
    <t>Live life kingsize, All India Tour guide, Senior Selector, Rajasthan Cricket Association, Played First Class cricket for Rajasthan and Services cricket Teams.</t>
  </si>
  <si>
    <t>Adroit Research</t>
  </si>
  <si>
    <t>Abe to push reform of Japan's pacifist constitution after election win https://t.co/YYHcTyV5l6</t>
  </si>
  <si>
    <t>Ghaziabad, India</t>
  </si>
  <si>
    <t>Official Twitter account of Adroit Financial Research desk. SEBI Registered Research Analyst - INH100003084</t>
  </si>
  <si>
    <t>भुषण महाजन</t>
  </si>
  <si>
    <t>महाराष्ट्र, भारत</t>
  </si>
  <si>
    <t>श्री राम दीवाना हु</t>
  </si>
  <si>
    <t>richsister45</t>
  </si>
  <si>
    <t>Chicago</t>
  </si>
  <si>
    <t>Hard worker, Self motivated, Independent, Open minded Individual.</t>
  </si>
  <si>
    <t>Maimai</t>
  </si>
  <si>
    <t>海外から日本を応援します。😊🇯🇵🇩🇪😊虎ノ門ニュース、欠かさず見ています。ツイッターはまだまだ初心者です。ドイツ生活1◯年。今まで見聞きし、感じて来た事を日本の皆さんのためにつぶやいていきたいと思います。よろしくお願いいたします。 フォローありがとうございます。😊</t>
  </si>
  <si>
    <t>デクラン・マルクイーン</t>
  </si>
  <si>
    <t>リカルドなオヤジです。</t>
  </si>
  <si>
    <t>Sabah Maju Jaya</t>
  </si>
  <si>
    <t>Japan's Abe to push pacifist constitution reform after strong election win https://t.co/ZhkiBY3f4o</t>
  </si>
  <si>
    <t>Official Tweets for Sabah Maju Jaya. An independent entity cover anything relates to #Sabah #Malaysia. SabahMajuJaya® - never stop tweeting.</t>
  </si>
  <si>
    <t>Sujit Chakrabarti</t>
  </si>
  <si>
    <t>A staunch nationalist. Hate pseudo seculars n INTELLECTUALS, presstitutes, Commies n Adarsh Fiberals. RTs are not endorsements</t>
  </si>
  <si>
    <t>stali</t>
  </si>
  <si>
    <t>RT @johl: This election in Japan may have greater effects in East Asia than the election of Trump.</t>
  </si>
  <si>
    <t>Dresden</t>
  </si>
  <si>
    <t>Tinker, Medic, Radio Op "..Ruhe bewahren!.."</t>
  </si>
  <si>
    <t>AMIT CHOUDHARY</t>
  </si>
  <si>
    <t>Ankeet Patel</t>
  </si>
  <si>
    <t>@BJYM Gujarat State Convenor Entrepreneur Cell |MD at @rajivengineers | Board Member @baougujarat | Course Director Welding Programs #AMA | MOU Partner @sptpdpu</t>
  </si>
  <si>
    <t>Vishal Sonara</t>
  </si>
  <si>
    <t>.@AbeShinzo won a commanding majority for his party, fueling his hopes of revising Japan's Constitution @nytimes https://t.co/38mKun7Maa</t>
  </si>
  <si>
    <t>surendranagar</t>
  </si>
  <si>
    <t>Even the fool has a duty to perform, namely, to do his bit if the angel has gone to sleep or is unwilling to proclaim the truth.</t>
  </si>
  <si>
    <t>JPnews in English</t>
  </si>
  <si>
    <t>Typhoon Lan lashes Japan on election day, leaves five dead, one missing, scores injured - Firstpost… https://t.co/XQT9JDpA6o</t>
  </si>
  <si>
    <t>日本のことを紹介している英語ニュースボットです。英語学習に最適だと思います。</t>
  </si>
  <si>
    <t>Anveer 77🇮🇳🚩</t>
  </si>
  <si>
    <t xml:space="preserve">Kalaburgi Karnataka ಕನ್ನಡಿಗ </t>
  </si>
  <si>
    <t>Living in #India🇮🇳 live as #Indian🇮🇳 🙏 Honor to fallowed by #piyusgoaloffice &amp; #BJP leaders✌ proud to say iam #indian🇮🇳 &amp; #Hindhu &amp;#RSS 🚩🚩</t>
  </si>
  <si>
    <t>Tommy</t>
  </si>
  <si>
    <t>日本、日本人が好き。大事にしたい。</t>
  </si>
  <si>
    <t>Richard Earl</t>
  </si>
  <si>
    <t>After election win, Abe prioritizes North Korea, aging Japan - National Post https://t.co/8CthrvkhpG</t>
  </si>
  <si>
    <t>Nanaimo, BC</t>
  </si>
  <si>
    <t>HBG shares Local, National &amp; Global News Stories on Current Affairs, Business, Promotions, Technology, Environment Issues, &amp; Networking activities.</t>
  </si>
  <si>
    <t>M Cat</t>
  </si>
  <si>
    <t>RT @AFP: Japan PM Abe storms to landslide "super-majority" win in snap election, pledges to "deal firmly" with North Korea https://t.co/C7e…</t>
  </si>
  <si>
    <t>日本生まれの日本人。現在海外勤務中。 外にいるからよく見えることがある。武力を使わない「乗っ取り戦争」がいま日本で起きている。既に最終段階。日本人は一生懸命働くだけで危機感がない。マスコミも教育現場、政治家も乗っ取られ、少子化は止まらず、移民計画は推進中。 日本が現代のカルタゴにならないように。祈 安倍政権支援。</t>
  </si>
  <si>
    <t>🍀 Jeff  Neale</t>
  </si>
  <si>
    <t>Buoyed by resounding election victory #Japan's PM #Abe vows to *resolve* N. Korean nuclear threat. Echoing #Trump just what can that mean?</t>
  </si>
  <si>
    <t>Australia 🌏</t>
  </si>
  <si>
    <t>Seeker of wisdom; Lover of good music, books, wilderness, nature; orchids &amp; bonsai; Follower of tennis, soccer, AFL; World affairs &amp; ideas. Free spirit.♐</t>
  </si>
  <si>
    <t>MangoAdmi</t>
  </si>
  <si>
    <t>Bengaluru</t>
  </si>
  <si>
    <t>ಕನ್ನಡಿಗ,Entrepreneur,NaMo supporter Tweets r personal views only.RT≠endorsements of views.Dont read my tweets if you feel offended.Let there be forgiveness:)</t>
  </si>
  <si>
    <t>CHARMAINE</t>
  </si>
  <si>
    <t>RT @firstpost: #ShinzoAbe wins overwhelming mandate in #Japan election: Victory to harden #Tokyo's stance on #NorthKorea https://t.co/LwoYi…</t>
  </si>
  <si>
    <t>Moscow, Russia</t>
  </si>
  <si>
    <t>MLMANDOWARA</t>
  </si>
  <si>
    <t>72 Moti Magri Udaipur, India</t>
  </si>
  <si>
    <t>I AM RETIRED vice principal of college education RSS &amp; Nationalist ideology follow BJP &amp; follower of Modi but not blind bhakt of any.retweet is not endoresement</t>
  </si>
  <si>
    <t>saanket vast</t>
  </si>
  <si>
    <t>m viratian</t>
  </si>
  <si>
    <t>Mrigesh Kumar</t>
  </si>
  <si>
    <t>Pune, India</t>
  </si>
  <si>
    <t>Gyavira Ringa Tomas</t>
  </si>
  <si>
    <t>Enkare Nyrobi</t>
  </si>
  <si>
    <t>͡º ʖ͡º It took a long, long road to get here It took a brave, brave heart to try It took one too many excuses, one too many lies Don't be surprised</t>
  </si>
  <si>
    <t>きみこ</t>
  </si>
  <si>
    <t>TwitPane Android</t>
  </si>
  <si>
    <t>shizuoka,japan</t>
  </si>
  <si>
    <t>ゴスペラーズ、鈴木雅之さん、山下達郎さん、角松敏生さんが好きです☆</t>
  </si>
  <si>
    <t>i News Today</t>
  </si>
  <si>
    <t>Japan’s Abe to push pacifist constitution reform after strong election win https://t.co/6wYtMOP2Pc</t>
  </si>
  <si>
    <t>World  - inews2day.tumblr.com</t>
  </si>
  <si>
    <t>#News - #Noticias - #Nouvelles - #Новости - #Ειδήσεις</t>
  </si>
  <si>
    <t>Tian_A1 (Thierry)</t>
  </si>
  <si>
    <t>2017 #Lower #House election/#Most of cabinet - the #japan news 5:56 , october 23, 2017 as u.s president donald Trum https://t.co/UvpjQMetlQ</t>
  </si>
  <si>
    <t>Arduino</t>
  </si>
  <si>
    <t>Arcachon, France</t>
  </si>
  <si>
    <t>| The best way to predict your future is to create it #AbLincoln | 47 years in #job Search #Bdx #programming #developers #unemployed #handicap #poor #author</t>
  </si>
  <si>
    <t>IADataCloud</t>
  </si>
  <si>
    <t>2017 #Lower #House election/#Most of cabinet - the #japan news 5:56 , october 23, 2017 as u.s president donald Trum https://t.co/r5zJhyhoPB</t>
  </si>
  <si>
    <t>Worlwide</t>
  </si>
  <si>
    <t>jin</t>
  </si>
  <si>
    <t>是非とも沖縄の現場を知ってほしい。 外国人参政権はなるべく反対(良い外国の方ならいいが、悪用されると困る) 今欲しいのはデマでなく、復興。</t>
  </si>
  <si>
    <t>Denish Ouko</t>
  </si>
  <si>
    <t>Raghvendra Rai</t>
  </si>
  <si>
    <t>प्रधानमंत्री श्री नरेंद्र दामोदरदास मोदी का कट्टर समर्थक हूं</t>
  </si>
  <si>
    <t>Sani Debbarma</t>
  </si>
  <si>
    <t>Agartala, India</t>
  </si>
  <si>
    <t>#NationFirst,#BJPmust, #IAmNewIndia #IAmModiFan,#Mission2018,#ModifiedTripura @Shravanjhjaji</t>
  </si>
  <si>
    <t>Niveda</t>
  </si>
  <si>
    <t xml:space="preserve"> Singapore</t>
  </si>
  <si>
    <t>50 shades of brown.</t>
  </si>
  <si>
    <t>Morris</t>
  </si>
  <si>
    <t>Twitter初心者です🔰勉強になるものや流れて行ってほしくないものをリツイート、いいねさせて頂いております。</t>
  </si>
  <si>
    <t>Iron</t>
  </si>
  <si>
    <t>Strong typhoon nears southern Japan the day before election</t>
  </si>
  <si>
    <t>JamesMurphy4562</t>
  </si>
  <si>
    <t>Massachusetts, USA</t>
  </si>
  <si>
    <t>We are one</t>
  </si>
  <si>
    <t>WhySoSensitive</t>
  </si>
  <si>
    <t>Happy go lucky. Professional procrastinator. Meme connoisseur. Football crazy. Current affairs-politics-history&amp;culture enthusiast. Terribly unbiased</t>
  </si>
  <si>
    <t>@k@$h $!nh@</t>
  </si>
  <si>
    <t>Bhubaneshwar, India</t>
  </si>
  <si>
    <t>Cool | Funny | Patriotism in blood | Going to be an Engineer | Trying to be Responsible | Believe in Equal Treatment, Not Special Treatment | Tweets r thoughts</t>
  </si>
  <si>
    <t>SHARDA NANDCHAUDHARY</t>
  </si>
  <si>
    <t>New Delhi, India</t>
  </si>
  <si>
    <t>Always happy</t>
  </si>
  <si>
    <t>nicholas norton</t>
  </si>
  <si>
    <t>Plymouth, MA</t>
  </si>
  <si>
    <t>ironic and clever description of myself</t>
  </si>
  <si>
    <t>NOBELİN BARIŞI</t>
  </si>
  <si>
    <t>Julian Knight MP</t>
  </si>
  <si>
    <t>Congrats to Shinzo Abe on his election win and I hope this will bring Japan closer to playing an even fuller role in collective defence</t>
  </si>
  <si>
    <t>Solihull</t>
  </si>
  <si>
    <t>Conservative member of parliament for Solihull, working to make our town an even better place to live</t>
  </si>
  <si>
    <t>(((Kalpna))))</t>
  </si>
  <si>
    <t>jehanabad bihar(INDIA)</t>
  </si>
  <si>
    <t>DESHBHAKT by soul(Hate Terrorism a lot)Dedicateted to relationship by HEART n Soul</t>
  </si>
  <si>
    <t>Daiwa Foundation</t>
  </si>
  <si>
    <t>#Abe election win in #JapanElection #Japan https://t.co/SvzMV3wuBk</t>
  </si>
  <si>
    <t>London, UK</t>
  </si>
  <si>
    <t>The Daiwa Anglo-Japanese Foundation is a UK charity which supports closer links between Britain and Japan, through our grant, event and scholarship programmes</t>
  </si>
  <si>
    <t>Chandan Tandon 🇮🇳</t>
  </si>
  <si>
    <t xml:space="preserve">Bharat </t>
  </si>
  <si>
    <t>still trying to figure it out who I am...</t>
  </si>
  <si>
    <t>BoxOffice Collection</t>
  </si>
  <si>
    <t>Shinzo Abe to push reform of Japan's pacifist constitution a #TISNews Click Link- https://t.co/Ko1xy36UPj https://t.co/Mws4fsPbHr</t>
  </si>
  <si>
    <t>INSubcontinentNews</t>
  </si>
  <si>
    <t>Follow us to get the Latest TRP News on Movies, Politics, BoxOffice Collection,Movie Reviews NewYork,Delhi,Amsterdam,London</t>
  </si>
  <si>
    <t>ASHAY AREKAR_777</t>
  </si>
  <si>
    <t>Gujarat</t>
  </si>
  <si>
    <t>POLITICAL_SCIENCE_STUDENT AIM-POLITICIAN_FOLLOWER OF- RSS-[RASHTRIYA SWAYAMSEVAK SANGH] BJP-[BHARTIYA JANTA PARTY] AND SHRI NARENDRA _MODI SPORT-KABADDI_PLAYER</t>
  </si>
  <si>
    <t>Ram Kumar R</t>
  </si>
  <si>
    <t>Bengaluru, India</t>
  </si>
  <si>
    <t>Nationalist !!!!!!</t>
  </si>
  <si>
    <t>戸嶋 久</t>
  </si>
  <si>
    <t>YoruFukurou</t>
  </si>
  <si>
    <t>愛媛県 Japan</t>
  </si>
  <si>
    <t>MacBook Proユーザ。音楽とサッカー（とその他スポーツ）と猫関係のツイート、リツイートが多め。マイルス・デイヴィス・マニアにして、戦前ジャズやブルーズ、ファンク、ロック、ワールド・ミュージックなどを中心に、音楽をすこし聴いています。</t>
  </si>
  <si>
    <t>Sanjeev Singh</t>
  </si>
  <si>
    <t>Katie Markegard</t>
  </si>
  <si>
    <t xml:space="preserve">Beach bummin' in San Diego! </t>
  </si>
  <si>
    <t>I want to pursue music and get over my stage fright. There's nothing I want more for myself. :)</t>
  </si>
  <si>
    <t>ななし</t>
  </si>
  <si>
    <t>heddon</t>
  </si>
  <si>
    <t>政治経済時事ネタ/ギター話/音楽/釣りも少々/寄り道/その他⇨お気軽にどうぞ。 嫌いなもの/反日/反日につながるもの/絶対に自分が正しいと思い込んでる人⇨残念ながらそんな人とは議論しません。また支持してるからと言って批判しないわけでもありません。通知は来り来なかったりするのでご不便かけます。</t>
  </si>
  <si>
    <t>Ajit_Patil</t>
  </si>
  <si>
    <t>Maharashtra, India</t>
  </si>
  <si>
    <t>India First !!! Views are personal + RTs are not Endorsements</t>
  </si>
  <si>
    <t>Sudhakar Singh</t>
  </si>
  <si>
    <t>mind.....a beautiful servant......a dangerous master !</t>
  </si>
  <si>
    <t>Amrita Iyen</t>
  </si>
  <si>
    <t>Living the dream :) Loves music🎸🎶, photography and travelling ▪Nature ▪Meditation ▪Patriot ▪Vegetarian▪ こんにちは！アムリタです♡</t>
  </si>
  <si>
    <t>#legend</t>
  </si>
  <si>
    <t>Talon (Plus)</t>
  </si>
  <si>
    <t>uk</t>
  </si>
  <si>
    <t>X₭łC₭฿ØӾëR, twts NEWS,POLITICAL,CLIMATE,SPORT,ROCK.#random #narcissistictendancies #uhavebeenwarned other account @xmyas</t>
  </si>
  <si>
    <t>Nishtha Saraswat</t>
  </si>
  <si>
    <t xml:space="preserve"> India </t>
  </si>
  <si>
    <t>Life is a game, play it. Life is a challenge, meet it.</t>
  </si>
  <si>
    <t>Mikatan</t>
  </si>
  <si>
    <t>日本 埼玉</t>
  </si>
  <si>
    <t>こっちではまだまだ初心者です。無言フォロー&amp;無断リツィートしちゃうかもですが、迷惑がらずにいてやってくださいね(笑) 無断リツィートも無言フォローも今のところは大歓迎です。情報は分けあいましょうね(笑)</t>
  </si>
  <si>
    <t>ashish varshney</t>
  </si>
  <si>
    <t>Ирина Иванова</t>
  </si>
  <si>
    <t>Twitter for Mac</t>
  </si>
  <si>
    <t>can ilker</t>
  </si>
  <si>
    <t>Japan’s Abe cements hold on power with election win https://t.co/CCveUzGCt3 via @WSJ</t>
  </si>
  <si>
    <t>Bodrum</t>
  </si>
  <si>
    <t>LIBERTY / EQUALITY / FRATERNITY EKONOMI VE ISLETME KOC UNI (CIFT ANADAL) - FINANS MASTERI KOC UNI VE BAU EKONOMI - FINANS DOKTORASI (DEVAM EDIYOR)</t>
  </si>
  <si>
    <t>Nihira Sen Gupta</t>
  </si>
  <si>
    <t>Asian shares rise on Japan PM Abe's election victory https://t.co/RlahNuU29s #MarketingOnTwitter</t>
  </si>
  <si>
    <t>DEAR #Traders WE ARE LAUNCHING OUR 4 #PREMIUMSERVICES FOR SEVEN DAYS TRIAL FLAT 51K FOR REGISTRATION visit https://t.co/4k5HJTgggU Missed call on 83063-08308</t>
  </si>
  <si>
    <t>satish kumar</t>
  </si>
  <si>
    <t xml:space="preserve">New Delhi </t>
  </si>
  <si>
    <t>.BA history (Hon)\ MA (Ancient India) specialized\ MA (mediveal India) \ M.phil\ LLB (university of Delhi) Hindu collage- Delhi-110007</t>
  </si>
  <si>
    <t>avinash singh rajput</t>
  </si>
  <si>
    <t>mechanical engineer</t>
  </si>
  <si>
    <t>Libre Informacion</t>
  </si>
  <si>
    <t>Asia Markets: Japan’s Nikkei rises for a 15th straight session after Abe’s election win https://t.co/eC8TmHFhsM https://t.co/K0Mv7TDijt</t>
  </si>
  <si>
    <t>Libre Información</t>
  </si>
  <si>
    <t>Colombia</t>
  </si>
  <si>
    <t>Educación en Internet y tecnología para reducir la brecha digital. Analítica y bigdata. Learn Financial markets, marketing online.</t>
  </si>
  <si>
    <t>Samuel Maloba</t>
  </si>
  <si>
    <t>Voi, Kenya</t>
  </si>
  <si>
    <t>Tech lover, rational introvert, programmer, hacker with a cause, lives in the "now"moment.</t>
  </si>
  <si>
    <t>Mahiti Somnath</t>
  </si>
  <si>
    <t>JOSTARYOUTUBE10</t>
  </si>
  <si>
    <t>https://t.co/1aV0scRgN9 【 #DonaldTrump election】 I talked about the disadvantages of Japan and the future #トランプ #トランプ当選 #EDM #Youtuber</t>
  </si>
  <si>
    <t>twittbot.net</t>
  </si>
  <si>
    <t>日本 東京</t>
  </si>
  <si>
    <t>テレビタレント エンタメ ライフスタイル ライフスタイル 音楽</t>
  </si>
  <si>
    <t>Jaideep A. Prabhu</t>
  </si>
  <si>
    <t xml:space="preserve"> בנגלור, קרנטקה</t>
  </si>
  <si>
    <t>Dottorato in Storia, laurea in Ingegneria. Sedotto dalla Letteratura e Filosofia. Disadattato temporale, yuppie Mefistofele, un gymnosophist e Kautilya in uno</t>
  </si>
  <si>
    <t>Amitesh Kumar</t>
  </si>
  <si>
    <t>ISI (Indian Secular Intellectuals) of India are far more dangerous than the ISI of Pakistan.</t>
  </si>
  <si>
    <t>fidelisfidel™</t>
  </si>
  <si>
    <t xml:space="preserve">30200 254 </t>
  </si>
  <si>
    <t>PHILANTHROPIST|CATHOLIC|ROTARIAN|.#MUFC.PISCES .GOD FOR US ALL.AMEN</t>
  </si>
  <si>
    <t>Rama Venugopal</t>
  </si>
  <si>
    <t>20 years experience in Management Consulting working across diverse sectors - Manufacturing, Healthcare, IT, Retail etc. Focus Business Segment -#SMEs #SMBs</t>
  </si>
  <si>
    <t>Janak jani</t>
  </si>
  <si>
    <t>RSS Bhakt, HINDUSTANI</t>
  </si>
  <si>
    <t>patrique muraya™</t>
  </si>
  <si>
    <t>northcoast,mombasa.</t>
  </si>
  <si>
    <t>All i drink is my shit kokoloso wasted! #mombasacontrol #konshens™</t>
  </si>
  <si>
    <t>John Pollock</t>
  </si>
  <si>
    <t>Proud citizen of the world 🇬🇧🇪🇺|| Tweets on #China, #Asia security &amp; #EastAsia 🌊|| Editor @UoNCPI &amp; @Nottingham_IAPS || Contributing writer (blogger)</t>
  </si>
  <si>
    <t>Shrəyash þarıhar</t>
  </si>
  <si>
    <t>Facebook/shreyash.parihar</t>
  </si>
  <si>
    <t>Deepak Kumar Sharma</t>
  </si>
  <si>
    <t>Travel</t>
  </si>
  <si>
    <t>Veronica jackson</t>
  </si>
  <si>
    <t>West Covina</t>
  </si>
  <si>
    <t>Maybe she will, Maybe she wont......</t>
  </si>
  <si>
    <t>Wall Street Wire</t>
  </si>
  <si>
    <t>#Deal Japan's Election and Tesla's Agreement - This is What You Need to Know https://t.co/s0Q3FPxhzl</t>
  </si>
  <si>
    <t>VIJAY BHARAT</t>
  </si>
  <si>
    <t>The two most important days in your life are the day you are born and the day you find out why. followed by honourable office of minister of railway</t>
  </si>
  <si>
    <t>Галина Петрова</t>
  </si>
  <si>
    <t>sumit</t>
  </si>
  <si>
    <t>HINDU: i love my religion and respect it doesn't mean i hate yours. JAI MAA BHARATI 🙏🇮🇳🇮🇳🇮🇳🇮🇳</t>
  </si>
  <si>
    <t>さきつね⭐*</t>
  </si>
  <si>
    <t>日本♥　Japan♥</t>
  </si>
  <si>
    <t>ほぼ観覧とRTで使用中。日本が好きです🇯🇵💕反日の方は国籍問わず嫌いです。日本にとっての善悪や必要なことを見極められるように勉強中。無言フォロー失礼致します。※フォロー返しは必ずではありません。</t>
  </si>
  <si>
    <t>Kshitija Kalikar</t>
  </si>
  <si>
    <t>v,s.arrulmozhy.</t>
  </si>
  <si>
    <t>Abe to push reform of Japan’s pacifist constitution after election win https://t.co/2PZ2ZFtWFJ</t>
  </si>
  <si>
    <t>Pondicherry  india.605001</t>
  </si>
  <si>
    <t>BjP.-social.work 🤕 57. aged.Pondicherry .</t>
  </si>
  <si>
    <t>Shinchan</t>
  </si>
  <si>
    <t>Don't disturb i am hungry...</t>
  </si>
  <si>
    <t>JOSTARYOUTUBE40</t>
  </si>
  <si>
    <t>https://t.co/wQsJZfT1He 2 【 #DonaldTrump election】 I talked about the disadvantages of Japan and the future #トランプ #トランプ当選 #Trump #EDM</t>
  </si>
  <si>
    <t>JOSTAR CHANNEL https://t.co/IOnJOVo9gq JOESTARZ TV CHANNEL https://t.co/5gsTfBY0TR 登録してね!</t>
  </si>
  <si>
    <t>Brooks Macdonald</t>
  </si>
  <si>
    <t>Following Shinzō Abe’s election victory, we discuss Japan’s economic outlook and the implications for equities… https://t.co/HNaJdTKAwR</t>
  </si>
  <si>
    <t>United Kingdom</t>
  </si>
  <si>
    <t>Provider of investment management services. Follow for investment insights &amp; market updates for advisers &amp; paraplanners | Proud sponsor of @Middlesex_CCC</t>
  </si>
  <si>
    <t>Arvind Khujiliwal</t>
  </si>
  <si>
    <t>Political degradation is begun in India. Bharat ko fir lootna hai. Pehle Congress ne loota ab meri baari. Arvind Kejriwal</t>
  </si>
  <si>
    <t>Naveen Patel</t>
  </si>
  <si>
    <t>Gurugram</t>
  </si>
  <si>
    <t>IT Professional | Origin - Patna | A Proud NaMo Bhakt |</t>
  </si>
  <si>
    <t>Ozan Korman Tarman</t>
  </si>
  <si>
    <t>RT @MarketWatch: Japan’s Nikkei rises for a 15th straight session after Abe’s election win https://t.co/u0ZlK53BdT</t>
  </si>
  <si>
    <t>Basant mewada</t>
  </si>
  <si>
    <t>business</t>
  </si>
  <si>
    <t>Jeegar Shah</t>
  </si>
  <si>
    <t>The State Of Network</t>
  </si>
  <si>
    <t>Abe to push reform of Japan's pacifist constitution after election win https://t.co/xWfIBKSsT9 Via @Reuters</t>
  </si>
  <si>
    <t>WWW</t>
  </si>
  <si>
    <t>The most important news trends report of #Venezuela and Latin America 24 hours, in all social networks. En Español: @ElEstadoDeLaRed</t>
  </si>
  <si>
    <t>H.O</t>
  </si>
  <si>
    <t>Japan Election Vindicates Shinzo Abe as His Party Wins Big - New York Times https://t.co/yFeDHdax8S #topstories</t>
  </si>
  <si>
    <t>Federal Republic Of Naija.</t>
  </si>
  <si>
    <t>@┃Mc Harryboyy⁰♣┃male⁰☂ Lolz ent.⁰+2348125802650 ©Comedian ™Orator ☺Presenter | Praise Singer☃General_event Planner</t>
  </si>
  <si>
    <t>Gyan Ranjan</t>
  </si>
  <si>
    <t>A software engineer, thinker, nationalist,Photographer.Interested in development of India.Hate paid and biased journalism.Supporter of great Hindurastra</t>
  </si>
  <si>
    <t>Ashish Chatterji</t>
  </si>
  <si>
    <t>Hoshangabad, mp, India.</t>
  </si>
  <si>
    <t>Innovative Educationist 4 gennext. Director of group of edu institutions, India Pride Awardee, education in crux, Motivational Speaker etc..</t>
  </si>
  <si>
    <t>suraj</t>
  </si>
  <si>
    <t>bhopal</t>
  </si>
  <si>
    <t>dont be blind supporter ..think before u support anyone..# pseudo chikular leftists .. tum logo ki kah ke lunga 😜...</t>
  </si>
  <si>
    <t>Ronnie Chopra</t>
  </si>
  <si>
    <t>RT @BrooksMacdonald: Following Shinzō Abe’s election victory, we discuss Japan’s economic outlook and the implications for equities https:/…</t>
  </si>
  <si>
    <t>Equity and FX analyst interviewed on many global business channels - BBC Business, Bloomberg, CNBC, CNN, Core, SKY and Tip TV over the last 10 years.</t>
  </si>
  <si>
    <t>Toshi</t>
  </si>
  <si>
    <t>RT @smith796000: We did it! https://t.co/KHaL3KnWPk</t>
  </si>
  <si>
    <t>Japan,</t>
  </si>
  <si>
    <t>特亜が嫌い！在日特権、断固反対。国政に携わる者は、純血な日本人しかなれない様にすべき。国旗、国歌を大切にしたい。 アニメ大好き。機械好き。新商品、新製品大好き！弓道経験有り。田舎大好き！でも、虫が苦手。昭和の時代が好き。 書く事が苦手で、リツイートばかりですみません。 無言フォローですが、宜しくお願いします。</t>
  </si>
  <si>
    <t>Ramananad Swamiji@gm</t>
  </si>
  <si>
    <t>Typhoon Lan lashes Japan on election day, leaves five dead, one missing, scores injured https://t.co/JtckHwo5hK</t>
  </si>
  <si>
    <t>Nur Mohammad Manik</t>
  </si>
  <si>
    <t>What now for Japan after Abe's landslide election victory? https://t.co/p6y0HqSegn</t>
  </si>
  <si>
    <t>Bangladesh</t>
  </si>
  <si>
    <t>Reading, Writing, Teaching</t>
  </si>
  <si>
    <t>如月八雲</t>
  </si>
  <si>
    <t>この欄に何を書けば良いのかすら解らない初心者ですがとりあえず、ブレずにマイペースを心がけてます。 成分：リプとRTでほぼ100％です。</t>
  </si>
  <si>
    <t>amit'swords</t>
  </si>
  <si>
    <t>Still Locating</t>
  </si>
  <si>
    <t>Life Travelllllllllllllller,,,,.</t>
  </si>
  <si>
    <t>Reuters Top News</t>
  </si>
  <si>
    <t>Abe, Trump agree to raise pressure on North Korea: Japan government https://t.co/YWpk1iBzeb https://t.co/EpzMJqyJ88</t>
  </si>
  <si>
    <t>trueAnthem</t>
  </si>
  <si>
    <t>Around the world</t>
  </si>
  <si>
    <t>Top and breaking news, pictures, and videos from Reuters.</t>
  </si>
  <si>
    <t>News 365247</t>
  </si>
  <si>
    <t>RT @Reuters: Abe, Trump agree to raise pressure on North Korea: Japan government https://t.co/YWpk1iBzeb https://t.co/EpzMJqyJ88</t>
  </si>
  <si>
    <t>News365247live</t>
  </si>
  <si>
    <t>Everywhere</t>
  </si>
  <si>
    <t>Breaking news from around the world. We provide you quality accurate news around the world. See the whole picture with @News365247live.</t>
  </si>
  <si>
    <t>Eugenio Bertolaccini</t>
  </si>
  <si>
    <t>Reuters: Abe, Trump agree to raise pressure on North Korea: Japan government https://t.co/zf4FTakXWR https://t.co/CZCDTb007n</t>
  </si>
  <si>
    <t>anzio,italy</t>
  </si>
  <si>
    <t>@nicopavezactor : Acaba de publicar una foto en Havana, Cuba https://t.co/52pCKN0wEo (via Twitter https://t.co/v7jjpRc3SY)</t>
  </si>
  <si>
    <t>Zankapfel vom Dienst</t>
  </si>
  <si>
    <t>TweetDeck</t>
  </si>
  <si>
    <t>Adam Beadles</t>
  </si>
  <si>
    <t>Nottingham</t>
  </si>
  <si>
    <t>Name's Adam , thatz all ;) instagram: adstar14 , snapchat: adstar14 , kik: adstar14 ♡ My phenomenal darling baby angel tanya :D 18-06-14 ♡</t>
  </si>
  <si>
    <t>EssayLords</t>
  </si>
  <si>
    <t>RT Reuters "Abe, Trump agree to raise pressure on North Korea: Japan government https://t.co/BlAwYVT7n3 https://t.co/nODmXvf9WI"</t>
  </si>
  <si>
    <t>We offer academic help services for all students. We are not limited to essays only but we help in Lab Reports too. Tel: +1(267) 696-7251 #Academichelp</t>
  </si>
  <si>
    <t>Subhabrata Pal</t>
  </si>
  <si>
    <t>K P Ganesh</t>
  </si>
  <si>
    <t>Banker, Avid traveler, cynic and a critique. I do share some interesting tweets over and above the noise &amp; twittertainment.</t>
  </si>
  <si>
    <t>sourabh mishra</t>
  </si>
  <si>
    <t>Twitter for Windows Phone</t>
  </si>
  <si>
    <t>मेरा देश बदल रहा है,आगे बढ़ रहा है। साथ है,विश्वास है,हो रहा विकास है।We "The 125Cr INDIAN" will make #NewIndia.</t>
  </si>
  <si>
    <t>Rahul Monga</t>
  </si>
  <si>
    <t>Haryana/Dilli, India</t>
  </si>
  <si>
    <t>Training to land kicks and punches. #muaythai #Arya #MushtiYuddha #Boxing #MMA शरीरमाद्यं खलु धर्मसाधनम्</t>
  </si>
  <si>
    <t>:Drm</t>
  </si>
  <si>
    <t>ตามร้านค้าที่ร่วมรายการ</t>
  </si>
  <si>
    <t>ชื่อดรีมล่ะก็มีถมไป มาเรียกลำไยทำไมเล่าหนา | #LawthamTL | มีหนังสือเป็นของตัวเองแล้ววว</t>
  </si>
  <si>
    <t>Kingmakerspotlight</t>
  </si>
  <si>
    <t>세상이 나를 속일 지라도 나는 오늘에 충실하리라..</t>
  </si>
  <si>
    <t>Ramjanki Ashram</t>
  </si>
  <si>
    <t>Typhoon Lan lashes Japan on election day, leaves five dead, one missing, scores injured https://t.co/GVPL0IpVVN</t>
  </si>
  <si>
    <t>Puneet Sambyal</t>
  </si>
  <si>
    <t>बस एक हे सपना जम्मु &amp; कश्मीर से धारा 370 का हाटना bjp supporter #missionNamo2019</t>
  </si>
  <si>
    <t xml:space="preserve">Emna Longchar </t>
  </si>
  <si>
    <t>Another Red devil</t>
  </si>
  <si>
    <t>hirakawa noboru</t>
  </si>
  <si>
    <t>趣味は星を見ること。家族は二人とわんこ一匹。</t>
  </si>
  <si>
    <t>Lohit</t>
  </si>
  <si>
    <t>Bαssεγ King</t>
  </si>
  <si>
    <t>Seychelles</t>
  </si>
  <si>
    <t>🖤#MANUTD IG: @basseylives</t>
  </si>
  <si>
    <t>Wilda V. Heard</t>
  </si>
  <si>
    <t>RT @globalissuesweb: What now for Japan after Abe's landslide election victory? https://t.co/4BioUiUMI6 https://t.co/iNd266gG4I</t>
  </si>
  <si>
    <t>Seatttle</t>
  </si>
  <si>
    <t>Dr. Wilda V. Heard, or Dr. Wilda, has a J.D. from Yale Law School and a doctorate in Education Leadership from Seattle University.</t>
  </si>
  <si>
    <t>The Standard Digital</t>
  </si>
  <si>
    <t>Shinzo Abe sweeps to resounding victory in Japan snap election https://t.co/nhmuLzOCVt https://t.co/XJyrOzducU</t>
  </si>
  <si>
    <t>Kenya | Nairobi</t>
  </si>
  <si>
    <t>Your Gateway | Related to @KTNKenya @Radiomaisha</t>
  </si>
  <si>
    <t>ktn</t>
  </si>
  <si>
    <t>Shinzo Abe sweeps to resounding victory in Japan snap election https://t.co/lAseClcFrZ https://t.co/bV3e00liiC</t>
  </si>
  <si>
    <t>Bringing you breaking news and stories across the country | http://t.co/1T2bqyK0I4 | https://t.co/YWcUy8fs5h</t>
  </si>
  <si>
    <t>Retweeted Global Issues Web (@globalissuesweb): What now for Japan after Abe's landslide election victory?... https://t.co/fRrppUYxfF</t>
  </si>
  <si>
    <t>Amit Tripathi</t>
  </si>
  <si>
    <t>Indian</t>
  </si>
  <si>
    <t>Eunice Rendón</t>
  </si>
  <si>
    <t>Tegucigalpa, Honduras</t>
  </si>
  <si>
    <t>Diakrino</t>
  </si>
  <si>
    <t>Gk@@@@@</t>
  </si>
  <si>
    <t>pawansinghpundir</t>
  </si>
  <si>
    <t>Ron Bourne</t>
  </si>
  <si>
    <t>Reuters: Abe, Trump agree to raise pressure on North Korea: Japan government https://t.co/PTg0CRqh50 https://t.co/QugOMuueWK</t>
  </si>
  <si>
    <t>Organisational Development Consultant &amp; an overall dab hand at finding funding for good causes 'South of the River'.</t>
  </si>
  <si>
    <t>Teemu Nyholm</t>
  </si>
  <si>
    <t>RT @Reuters: Japan's Abe to push pacifist constitution reform after strong election win https://t.co/AbQAoCTmWv</t>
  </si>
  <si>
    <t>Truth Seeker</t>
  </si>
  <si>
    <t>News 972</t>
  </si>
  <si>
    <t>Abe, Trump agree to raise pressure on North Korea: Japan government https://t.co/6VhWTGFVIP https://t.co/1AG2DE8F2x</t>
  </si>
  <si>
    <t>Israel</t>
  </si>
  <si>
    <t>Freelancer From Israel. Live News From The Middle East Israel , Egypt, Gaza and more...</t>
  </si>
  <si>
    <t>Bangladesh News 24</t>
  </si>
  <si>
    <t>Reuters: Abe, Trump agree to raise pressure on North Korea: Japan government https://t.co/w6pwQrDBIG … https://t.co/geTZaA80dv</t>
  </si>
  <si>
    <t>London E1 &amp; E14</t>
  </si>
  <si>
    <t>We are a technology start-up (social enterprise) based in Tower Hamlets - the heart of the Bangladeshi community in UK. We believe technology is an enabler.</t>
  </si>
  <si>
    <t>Africa Elects</t>
  </si>
  <si>
    <t>RT @StandardKenya: Shinzo Abe sweeps to resounding victory in Japan snap election https://t.co/nhmuLzOCVt https://t.co/XJyrOzducU</t>
  </si>
  <si>
    <t>Following polls, politics &amp; election results in Africa. Note that we don't own all content posted. Correct us anytime|DM open for content removal request|</t>
  </si>
  <si>
    <t>GKostrzewa-ZorbasPhD</t>
  </si>
  <si>
    <t>RT @ReutersWorld: Prime Minister Shinzo Abe to push for reforms to Japan's post-war pacifist constitution after strong election win. https:…</t>
  </si>
  <si>
    <t>Warszawa, Polska</t>
  </si>
  <si>
    <t>Autor artykułu „Biliony dolarów za II wojnę światową”, wSieci 29.9.2014. Były dyrektor w MSZ, MON. PhD, SAIS-Johns Hopkins University; MA, Georgetown University</t>
  </si>
  <si>
    <t>Eric Mwiti</t>
  </si>
  <si>
    <t>Kenya</t>
  </si>
  <si>
    <t>■God First■Eric Without a K■i-Activist■ ■Call 0721998374 for Business■</t>
  </si>
  <si>
    <t>CA. Pranav Jain</t>
  </si>
  <si>
    <t>Chartered Accountant.</t>
  </si>
  <si>
    <t>Choonsik Yoo (유춘식)</t>
  </si>
  <si>
    <t>Abe, Trump agree to raise pressure on North Korea: Japan government https://t.co/jmQb4A81fq https://t.co/nOZk2dT2Ly (Reuters)</t>
  </si>
  <si>
    <t>Seoul, Korea</t>
  </si>
  <si>
    <t>📒 #Reuters Korean News Service Editor, #로이터통신 🇰🇷한국어뉴스서비스 편집장, 📊Economics/Markets, 트위터 글은 사견임, #Korea #SouthKorea #NorthKorea @Reuters</t>
  </si>
  <si>
    <t>Yuka Kimura</t>
  </si>
  <si>
    <t>#election result Red:Liberal Democratic Party Pink:Komeito Green:Party of Hope Blue:The Constitutional Democratic P… https://t.co/XP1PbqfF3v</t>
  </si>
  <si>
    <t>Tokyo, Japan</t>
  </si>
  <si>
    <t>☆19y.o #INFJ #Student ☆Major→#AppliedChemistry ☆Dream→to work for #GlobalCooperation ☆I want to make friends worldwide! ☆Please feel free to #FollowMe &amp; #RT 😊</t>
  </si>
  <si>
    <t>Dani the Girl</t>
  </si>
  <si>
    <t>SEC GA</t>
  </si>
  <si>
    <t>My Sweet is Southern. My Salty is Irish. I play nice if you don't have a check mark. I swear a lot. #HelicopterTwitter 🚁 #BTFSTTG Dawgs 🏈 Dirty Birds</t>
  </si>
  <si>
    <t>Neus</t>
  </si>
  <si>
    <t>Simon Hull</t>
  </si>
  <si>
    <t>Europe</t>
  </si>
  <si>
    <t>cultural marxist paid by soros</t>
  </si>
  <si>
    <t>amit mishra</t>
  </si>
  <si>
    <t>Simple n Curious</t>
  </si>
  <si>
    <t>ツルコケモモ</t>
  </si>
  <si>
    <t>＃坂東学校 の学生です。 学校長報更新時に概要を呟きます。（でも #萬葉集 ネタの方が多めです。）</t>
  </si>
  <si>
    <t>Ram Naresh Tiwari</t>
  </si>
  <si>
    <t>An Architect of Human Happiness. Financial Solution Provider (IRDA &amp;AMFI)</t>
  </si>
  <si>
    <t>Deplorable Earl</t>
  </si>
  <si>
    <t>Abe, Trump agree to raise pressure on North Korea: Japan government https://t.co/onLmO5DA0v https://t.co/8mjRHBnLOA #klout #maga</t>
  </si>
  <si>
    <t>Cornwall</t>
  </si>
  <si>
    <t>Deplorable @EarlOfCornwall</t>
  </si>
  <si>
    <t>Google News CA</t>
  </si>
  <si>
    <t>After election win, Abe prioritizes North Korea, aging Japan https://t.co/57ntjQLgka</t>
  </si>
  <si>
    <t>Breaking news, updates and tips from Google News.</t>
  </si>
  <si>
    <t>Sitaram joshi</t>
  </si>
  <si>
    <t xml:space="preserve">bikaner Rajasthan, India </t>
  </si>
  <si>
    <t>proud of my Indian Army समाजसेवी b.j.p and please me follow thank you</t>
  </si>
  <si>
    <t>きく</t>
  </si>
  <si>
    <t>安倍政権支持 ＊ 政治・経済勉強中 ＊嫌中嫌韓嫌朝＊ 在日反日を滅ぼしたい ＊ 立憲民主党共産党社民党が大嫌い！在日特権廃止＊NHK.TBS.テレ朝.朝日.毎日新聞批判 ＊l love Japan🇯🇵日本のこころも応援してます！ ＊ 無言フォローごめんなさい🙏 ※RT多め！#韓国国交断絶賛成</t>
  </si>
  <si>
    <t>てぃる</t>
  </si>
  <si>
    <t>多摩地方の住民: ゲーム/歴史/政治の話題が多めだと思います（注意：脈略なく二次絵のRTがあります） since 2017/3/18</t>
  </si>
  <si>
    <t>Ajay Kumar</t>
  </si>
  <si>
    <t>Canberra, Australian Capital Territory</t>
  </si>
  <si>
    <t>Indian Foreign Service, Deputy High Commissioner, High Commission of India, Canberra. Views expressed in Tweets are personal. RTs are not endorsements.</t>
  </si>
  <si>
    <t>鉱太郎</t>
  </si>
  <si>
    <t>アラ還暦男。どこの国でも保守もリベラルも皆愛国だ。その上での政策論議だろうが、日本の自称リベラルは何故か反日。舶来信仰＋事大主義が海外の反日勢力に利用されているのだと思う。</t>
  </si>
  <si>
    <t>Rahul Batta</t>
  </si>
  <si>
    <t>panchkula, haryana, india</t>
  </si>
  <si>
    <t>Arne Voß</t>
  </si>
  <si>
    <t>What now for Japan after Abe's landslide election victory? https://t.co/FihKSyU05u</t>
  </si>
  <si>
    <t>I am not the droid you're looking for.</t>
  </si>
  <si>
    <t>Ashish kumar singh</t>
  </si>
  <si>
    <t>Mau,Varanasi,UP,New Delhi,India</t>
  </si>
  <si>
    <t>Watching TV,News,Media,Business, Reading Newspapers,Books, Surfing Internet, Contact- 7985635168</t>
  </si>
  <si>
    <t>Fazeen (DEAN)🎈</t>
  </si>
  <si>
    <t>Reuters: Abe, Trump agree to raise pressure on North Korea: Japan government https://t.co/FXifpcCgsV https://t.co/qyPBjtVQyL</t>
  </si>
  <si>
    <t>Maldives, Male' City</t>
  </si>
  <si>
    <t>Senior Journalist @Raajje_tv and @raajjemv | TV Presenter #MajlisBahus and #Fashaairu</t>
  </si>
  <si>
    <t>Anti-EU</t>
  </si>
  <si>
    <t>RT @DefendEvropa: Japan in snap election as Shinzo Abe tries for new mandate to deal with North Korea https://t.co/a092ifNNyc</t>
  </si>
  <si>
    <t>Lester C R</t>
  </si>
  <si>
    <t>Dominica</t>
  </si>
  <si>
    <t>🇺🇸Channel1 America</t>
  </si>
  <si>
    <t>REUTERS reports Abe, Trump agree to raise pressure on North Korea: Japan government https://t.co/3mdA03SpcK https://t.co/u99q2z4SsG</t>
  </si>
  <si>
    <t>USA</t>
  </si>
  <si>
    <t>(JUST THE FACTS) Breaking news across America! News from the most reliable sources! Apart of @channel1network!</t>
  </si>
  <si>
    <t>Flora Georgiou</t>
  </si>
  <si>
    <t>Writer- Director</t>
  </si>
  <si>
    <t>Mwakichako</t>
  </si>
  <si>
    <t>RT @KTNKenya: Shinzo Abe sweeps to resounding victory in Japan snap election https://t.co/lAseClcFrZ https://t.co/bV3e00liiC</t>
  </si>
  <si>
    <t>Nairobi, Nakuru, Narok</t>
  </si>
  <si>
    <t>Advocate.</t>
  </si>
  <si>
    <t>Avanish Mishra</t>
  </si>
  <si>
    <t>Delhi, India</t>
  </si>
  <si>
    <t>Business Analyst || Entrepreneur || Social Media Influencer || Gadget Lover Retweets are personal interest not endorsement.</t>
  </si>
  <si>
    <t>Daya Ram Chaudhary</t>
  </si>
  <si>
    <t>मंडी, भारत</t>
  </si>
  <si>
    <t>FOCUS NOW⚡️</t>
  </si>
  <si>
    <t>Nowhere to hide': North Korean missiles spur anxiety in Japan fishing town https://t.co/oEbPGWnAOW</t>
  </si>
  <si>
    <t>Canada</t>
  </si>
  <si>
    <t>Just In Global News! 🌎🌍🌏</t>
  </si>
  <si>
    <t>Eleni / エレニ</t>
  </si>
  <si>
    <t>Tokyo</t>
  </si>
  <si>
    <t>I am a cat. I am watching Russian🇷🇺 invasion of Ukraine🇺🇦 (and others). ／ウクライナ情勢などをウォッチしています（ʕ•ᴥ•ʔの行動が際限なく拡大したせいで観察範囲広め）／RT, Like ≠Endorsement</t>
  </si>
  <si>
    <t>MarthaLeah Nangalama</t>
  </si>
  <si>
    <t>Reuters: Abe, Trump agree to raise pressure on North Korea: Japan government https://t.co/ByDadINrfg https://t.co/c8Vnm7DCaQ</t>
  </si>
  <si>
    <t>New Brunswick, Canada</t>
  </si>
  <si>
    <t>Geek, BigData, Editor, Blogger, CAJ member. All sins are mine. https://t.co/B82S9AV8mG https://t.co/Z2TdxZqvkg https://t.co/ptDTWsdi1c</t>
  </si>
  <si>
    <t>OccuWorld ❌</t>
  </si>
  <si>
    <t>After election win, Abe prioritizes North Korea, aging Japan https://t.co/PlwofZ1IgC</t>
  </si>
  <si>
    <t>OccuWorld</t>
  </si>
  <si>
    <t>Truth Locating Engine. Non-funded, volunteer, automated. In solidarity with humanity.</t>
  </si>
  <si>
    <t>Eyejii</t>
  </si>
  <si>
    <t>Musician, Audio and Video Producer, Actor, Script Writer and Film Director.</t>
  </si>
  <si>
    <t>Ishank Sagar</t>
  </si>
  <si>
    <t>I sell analytics for my living. A vivid reader &amp; a Sinophile. Write quite often on China, economics &amp; Politics. My Tweets are my Thoughts not of my employer's</t>
  </si>
  <si>
    <t>तुलसी राजेश कुमार</t>
  </si>
  <si>
    <t>नईदिल्ली.भारत</t>
  </si>
  <si>
    <t>चले प्रकृति की ओर... पर्यावरणविद्,राजनैतिक विश्लेषक,सामाजिक कार्यकर्ता. मानद् सदस्य. इंटरनेशनल काउंसिल आफ ज्यूरिष्ट.(यू.के.)</t>
  </si>
  <si>
    <t>E n n a エンナ</t>
  </si>
  <si>
    <t>Cincinnati, OH</t>
  </si>
  <si>
    <t>Interior Designer, Bass Guitarist, NBA Fan, I love Lebron and KLove , I'm a Cancer Survivor ,an Optimist, I believe that Love knows no Gender and Color 💚</t>
  </si>
  <si>
    <t>The Briefing Room</t>
  </si>
  <si>
    <t>REUTERS: Abe, Trump agree to raise pressure on North Korea: Japan government https://t.co/6xtBIhw9kL https://t.co/c2Xbeqp6BB</t>
  </si>
  <si>
    <t>Welcome to The Briefing Room News App. See both sides and our App (New Version!) at: https://t.co/5ophkKrnVM We'll see you there.</t>
  </si>
  <si>
    <t>Christophe BURGOS</t>
  </si>
  <si>
    <t>Nouvelle-Calédonie</t>
  </si>
  <si>
    <t>Trader pour comptes propres sur FOREX et futures, passionné également de sport et notamment de voile et de parachutisme...</t>
  </si>
  <si>
    <t>Dibakar</t>
  </si>
  <si>
    <t>#ReutersTopNews 👉 Abe, Trump agree to raise pressure on North Korea: Japan government https://t.co/yEs88cnPSN https://t.co/I6m5DlLFP1</t>
  </si>
  <si>
    <t>Tbilisi, Georgia</t>
  </si>
  <si>
    <t>An Indian🇮🇳, Real Patriot, Commentator. Fan Of Heavy Metal Band(SOD)🎻. I Tweet On Politics, World News, NationalSecurity, Entertainment</t>
  </si>
  <si>
    <t>fuzzyguest</t>
  </si>
  <si>
    <t>Surgical Strike</t>
  </si>
  <si>
    <t>Mahmood Haffejee</t>
  </si>
  <si>
    <t>Sammy Aliwa</t>
  </si>
  <si>
    <t>Shinzo Abe sweeps to resounding victory in Japan snap election https://t.co/bWsNV19C5c</t>
  </si>
  <si>
    <t>Digital Marketing and Cyber Security Enthusiast</t>
  </si>
  <si>
    <t>しまぶー</t>
  </si>
  <si>
    <t>筋トレ始めました！靖国神社の桜が一番好きです。自民党支持者です。政治&amp;経済中心でつぶやきます！</t>
  </si>
  <si>
    <t>Eastasianews</t>
  </si>
  <si>
    <t>Post Edited: Japan Election Vindicates Shinzo Abe as His Party Wins Big https://t.co/w0vxKYJOYJ</t>
  </si>
  <si>
    <t>Eastasianewsnet201408</t>
  </si>
  <si>
    <t>以前の日本はのどかでしたが、 最近は嫌なnewsばかり。今や一触即発な 東アジアのnewsを、CNN,F.A.Z,ルモンド,人民網日本語版,NYT,FRB・・から配信。Wordpress→twitterで自動配信するBotの様なものです。みなさんに東アジアの現在を伝えられればという思いです。至らぬ点はご容赦を。でわ。</t>
  </si>
  <si>
    <t>Crisp_Views</t>
  </si>
  <si>
    <t>Who am I? #Indian RT's are not endorsement</t>
  </si>
  <si>
    <t>vimal jain</t>
  </si>
  <si>
    <t>fan of @narendramodi ||shiv|| vande mantra🙏 || want to b gud frnds? - buy me a drink nd travel places wid me.</t>
  </si>
  <si>
    <t>Chetan Dongre</t>
  </si>
  <si>
    <t>nagpur,Maharashtra,India</t>
  </si>
  <si>
    <t>Ui/ux designer... blow candels on26june, Instagram iamchetand.. https://t.co/f7rknnM4aa</t>
  </si>
  <si>
    <t>Invest Diva</t>
  </si>
  <si>
    <t>$USDJPY pair opened Monday’s Asian session with a jump to 113.86 as Japan’s Prime Minister Shinzo Abe won. #forex… https://t.co/GGLXMCLeKl</t>
  </si>
  <si>
    <t>NYC</t>
  </si>
  <si>
    <t>Online investing education platform for women. We have helped over 5,000 divas grow their wealth. We can help you too.</t>
  </si>
  <si>
    <t>gideon mgandi</t>
  </si>
  <si>
    <t>Malindi ,Kenya</t>
  </si>
  <si>
    <t>Am just me! simple and fun</t>
  </si>
  <si>
    <t>Anna Loop</t>
  </si>
  <si>
    <t>Abe, Trump agree to raise pressure on North Korea: Japan government https://t.co/2UDlya8map https://t.co/hXrYOmNGZa Reuters</t>
  </si>
  <si>
    <t>Healing Power of #Mindfulness #Exercise #Nutrition - Retired Bodybuilder/Trainer - #Yoga - #Meditation</t>
  </si>
  <si>
    <t>Karen</t>
  </si>
  <si>
    <t>RT @UnitedNewsofUSA: TOKYO: A typhoon roared towards Japan’s main island on election day on Sunday, killing at least… https://t.co/bSbXXPjU…</t>
  </si>
  <si>
    <t>☺️✌🏻*I was 👓✨coffee weekend ☕️🎧listen music I can hear loud volume📲use knitting my experience good spirit shared!! you aren't alone, melt heart again💻</t>
  </si>
  <si>
    <t>Xavvypls</t>
  </si>
  <si>
    <t>Reuters: Abe, Trump agree to raise pressure on North Korea: Japan government https://t.co/bJzrxyvZ56 https://t.co/iYXfkrbjb7</t>
  </si>
  <si>
    <t>North Carolina</t>
  </si>
  <si>
    <t>Shout out to Gigafrost for making my logo! Need one? Check em out!: https://t.co/B7pIpY3506</t>
  </si>
  <si>
    <t>Vishal Krishna Vatsa</t>
  </si>
  <si>
    <t>VIP A/C genuine 1</t>
  </si>
  <si>
    <t>Chairman, World Human Rights Protection Council Against Torture. RESEARCH &amp; ANALYSIS, Principal Investigator,To Combat Human Trafficking International Border</t>
  </si>
  <si>
    <t>Nagraj Singh</t>
  </si>
  <si>
    <t>Gogunda, India</t>
  </si>
  <si>
    <t>social works Government and Politics</t>
  </si>
  <si>
    <t>Jitendra S Chauhan</t>
  </si>
  <si>
    <t>BJP Member -साथ है विश्वास है, हो रहा विकास है ।</t>
  </si>
  <si>
    <t>RT @RamjankiA: Typhoon Lan lashes Japan on election day, leaves five dead, one missing, scores injured https://t.co/GVPL0IpVVN</t>
  </si>
  <si>
    <t>Mercury-fx Ltd</t>
  </si>
  <si>
    <t>Dollar touched a 3-month high against the #yen today, with an emphatic election victory for Japan’s ruling party https://t.co/nD3a0IUZyP</t>
  </si>
  <si>
    <t>A trusted global currency specialist for individuals &amp; businesses. A secure &amp; cost effective alternative to banks, allowing faster &amp; cheaper transactions.</t>
  </si>
  <si>
    <t>お眉(塩梅)</t>
  </si>
  <si>
    <t>メインは国会実況。国会期間中は#kokkaiに生息。実況中うるさいと感じましたらリムって下さい 。良い質疑をされる議員さんは与野党関係なく褒めます。※プロフアイコンは月初めに変えてます(時々急に変わる事もあるよ(^ω^)</t>
  </si>
  <si>
    <t>hassan fahad</t>
  </si>
  <si>
    <t>Shinzo Abe sweeps to resounding victory in Japan snap election https://t.co/H7kqfBgOkV https://t.co/3SsU3aIomu</t>
  </si>
  <si>
    <t>nairobi</t>
  </si>
  <si>
    <t>Businessman,Entrepreneur:Nobody has a monopoly on knowledge,build upon your knowledge:Retweets are not endorsements.</t>
  </si>
  <si>
    <t>Typhoon Lan lashes Japan on election day, leaves five dead, one missing, scores injured… https://t.co/69ZJvhb1R7</t>
  </si>
  <si>
    <t>கலைமகள்</t>
  </si>
  <si>
    <t>चेन्नई, भारत</t>
  </si>
  <si>
    <t>86 year old Tamil monthly magazine.</t>
  </si>
  <si>
    <t>Japan's Nikkei hits new highs after Abe wins election - The Hindu https://t.co/GutD1vuBlN</t>
  </si>
  <si>
    <t>noticias  venezuela</t>
  </si>
  <si>
    <t>RT: @reuters :Abe, Trump agree to raise pressure on North Korea: Japan government https://t.co/XD5Br6bNgX https://t.co/owESp5R8rQ</t>
  </si>
  <si>
    <t>notiven</t>
  </si>
  <si>
    <t>venezuela</t>
  </si>
  <si>
    <t>notiven . com Venezuelan news curator and agg regator Posteo mensajes de los twiteros que sigo no sus RT. Sígame también por http://t.co/KblmmiUuW2</t>
  </si>
  <si>
    <t>Nareshkudaram</t>
  </si>
  <si>
    <t>Tulsa</t>
  </si>
  <si>
    <t>After election win, Abe prioritizes North Korea, aging Japan #Tulsa https://t.co/lDIttIzzTR</t>
  </si>
  <si>
    <t>ForceTweet</t>
  </si>
  <si>
    <t>Find your latest news about Tulsa with just one click. Don't miss out on anything happening in your region!</t>
  </si>
  <si>
    <t>BlueDogDemocrats</t>
  </si>
  <si>
    <t>https://t.co/7Vt5gVDuig IN JAPAN "no divisive problems involving race and almost no issues surrounding immigration" THEN U BASH BREXIT? WTF</t>
  </si>
  <si>
    <t>California, USA</t>
  </si>
  <si>
    <t>Longtime Democrat and Proud Supporter of President Trump! ✊🏻✊🏼✊🏿BE PROUD OF YOURSELF 🐻CALI🕊️PEACE🇺🇸AMERICA🏳️‍🌈LGBTRIGHTS🧙‍♂️WIZARDRIGHTS🤔FREE SPEECH🧐HISTORY🔜</t>
  </si>
  <si>
    <t>Neville Richards</t>
  </si>
  <si>
    <t>https://t.co/yMxebxAV5s Abe to push reform of Japan's pacifist constitution after election win https://t.co/zGwwEzfTvW</t>
  </si>
  <si>
    <t>Brum Town.</t>
  </si>
  <si>
    <t>CEO Funk Nation Group Marketing Ltd. http://t.co/a5EJCIHa9K</t>
  </si>
  <si>
    <t>Dub_dubom[~±∞]™</t>
  </si>
  <si>
    <t>Земля (планета)</t>
  </si>
  <si>
    <t>Скромный директор цеха нестандартного мышления😜🤭🤣😂</t>
  </si>
  <si>
    <t>Zyite</t>
  </si>
  <si>
    <t>Japan PM Shinzo Abe pledges pressure on North Korea after big election win https://t.co/tTWouDKhAd</t>
  </si>
  <si>
    <t>http://www.zyite.com/</t>
  </si>
  <si>
    <t>Zyite is a Global retailer of Smart Watches, Hover boards, Tablets, Drones and Wearable Devices. We donate 10% of every sale to Autism Research and Advocacy</t>
  </si>
  <si>
    <t>michael mattison</t>
  </si>
  <si>
    <t>West Goshen, PA</t>
  </si>
  <si>
    <t>Social Media Today</t>
  </si>
  <si>
    <t>Asia Markets: Japan’s Nikkei rises for a 15th straight session after Abe’s election win https://t.co/qAiC6626UV</t>
  </si>
  <si>
    <t>Social Media Hub with over a million followers is a great new way to view Social Media news and information #SMhub</t>
  </si>
  <si>
    <t>DINESH Shetty</t>
  </si>
  <si>
    <t>Khalil Charles Penn</t>
  </si>
  <si>
    <t>Alison Evans</t>
  </si>
  <si>
    <t>RT @AlastairGale: Red machine: Japan’s ruling coalition wins almost exactly same number of seats as prior election https://t.co/jRvmYWqhon…</t>
  </si>
  <si>
    <t>LDN</t>
  </si>
  <si>
    <t>Senior analyst &amp; deputy head Asia-Pacific country risk @IHS4Forecasting @Markit; polyglot from @SAISHopkins @UniofOxford. Opinions my own; RTs ≠ Endorsement.</t>
  </si>
  <si>
    <t>Biju_nair</t>
  </si>
  <si>
    <t>Gosippy TabLloyd</t>
  </si>
  <si>
    <t>Abe, Trump agree to raise pressure on North Korea: Japan government https://t.co/vGB1air63F https://t.co/jlmqtkyoU6</t>
  </si>
  <si>
    <t>Las Vegas headliner banished to New England, using my big mouth to work in PR. You look nice today. I like ham. And to stir conversation.</t>
  </si>
  <si>
    <t>Hiroko Fukada</t>
  </si>
  <si>
    <t>Web-2-3-Linkaloo</t>
  </si>
  <si>
    <t>#news #on4us #infos What now for Japan after Abe’s landslide election victory? – The Guardian https://t.co/RHwxguhIsf</t>
  </si>
  <si>
    <t>Antigravity</t>
  </si>
  <si>
    <t>Nashik,Maharashtra,India</t>
  </si>
  <si>
    <t>Carbon based bipedal homo sapien sapiens trying to evolve,Astronomer, Evolutionary psychologist,Birder</t>
  </si>
  <si>
    <t>Chiragsevak</t>
  </si>
  <si>
    <t>Dakor, India</t>
  </si>
  <si>
    <t>President - BJYM- DAKOR CITY DI-,kheda,Ta- THASARA GUJRAT</t>
  </si>
  <si>
    <t>Martha Karua</t>
  </si>
  <si>
    <t>Mother of two and granny. Advocate for social justice. Candidate for Governor - Kirinyaga County</t>
  </si>
  <si>
    <t>Peter Kipchirchir</t>
  </si>
  <si>
    <t xml:space="preserve">Baringo, Kenya </t>
  </si>
  <si>
    <t>Follow for follow back</t>
  </si>
  <si>
    <t>Bangla News Tweet</t>
  </si>
  <si>
    <t>Reuters: Abe, Trump agree to raise pressure on North Korea: Japan government https://t.co/8U40Jkykve … https://t.co/n07mTyjwEo</t>
  </si>
  <si>
    <t>Bangla Latest News and Breaking News. #Bangladesh #BanglaNews #bdNews #বাংলাদেশ #বাংলানিউজ #খবর #সংবাদ। Click #Follow button to Stay with us.</t>
  </si>
  <si>
    <t>tokyokochisho</t>
  </si>
  <si>
    <t>埼玉県 さいたま市 浦和区</t>
  </si>
  <si>
    <t>浦和レッズ/永田充不安クラブ♡/サッカー/ラーメン/政治/GR/行政/経済/旅行/散歩/ガンダム/スクール☆ウォーズ/朝鮮半島/インド/熊谷市/藤沢市/足立区/Chicago/さいたま市/城/Jazz/Perfume/ジョギング/ポケGOおじさんLv37/人見知りなのでひとりごと中心。</t>
  </si>
  <si>
    <t>PRAKASH SINGH</t>
  </si>
  <si>
    <t xml:space="preserve">NEW DELHI,  </t>
  </si>
  <si>
    <t>HINDU NATIONALIST, PEARL FARMER.</t>
  </si>
  <si>
    <t>News On Japan</t>
  </si>
  <si>
    <t>Turnout put at 2nd-lowest in Japan lower house election https://t.co/RhyYvqQ9dM</t>
  </si>
  <si>
    <t>Latest News On Japan ; 日本のニュース・情報・話題</t>
  </si>
  <si>
    <t>Turnout Put at 2nd-Lowest in Japan Lower House Election (News) https://t.co/MtMi8V1uM9</t>
  </si>
  <si>
    <t>y.a</t>
  </si>
  <si>
    <t>Luana Elena</t>
  </si>
  <si>
    <t>BC Canada</t>
  </si>
  <si>
    <t>Pro Trump, hoping for a similar leader in Canada, pro common sense and free speech. Against globalization and Sharia law. Opinions are mine. RT not endorsement.</t>
  </si>
  <si>
    <t>Shreekant Shetty</t>
  </si>
  <si>
    <t>Aamchi Mumbai</t>
  </si>
  <si>
    <t>RTs are not ENDORSEMENTs.</t>
  </si>
  <si>
    <t>@sanjayjangu9</t>
  </si>
  <si>
    <t>Nation 1st</t>
  </si>
  <si>
    <t>白楽正志</t>
  </si>
  <si>
    <t>千葉県市川市</t>
  </si>
  <si>
    <t>アスペルガー症候群の息子を持つ科学技術翻訳者です。原発再稼動反対。平和憲法改定反対。</t>
  </si>
  <si>
    <t>Neil Tester</t>
  </si>
  <si>
    <t>Day off today, and a chance to remember there’s a world beyond UK/EU/USA. https://t.co/X7uZBxMroY</t>
  </si>
  <si>
    <t>Deputy Director at @HealthwatchE. All about people's voices and experiences shaping health and social care. Views my own. RTs imply interest, not endorsement.</t>
  </si>
  <si>
    <t>Pimploy</t>
  </si>
  <si>
    <t>Abe, Trump agree to raise pressure on North Korea: Japan government https://t.co/75v8gIBOUJ https://t.co/LcRNYhJKJx Reuters</t>
  </si>
  <si>
    <t>Usan, Scotland</t>
  </si>
  <si>
    <t>#chronic #disease is #food choice Just imagine how #healthy we would be if #doctors were to believe this #Health #Love #followme</t>
  </si>
  <si>
    <t>Nick D</t>
  </si>
  <si>
    <t>The App that does app stuff</t>
  </si>
  <si>
    <t>I would love to win some prizes on twitter</t>
  </si>
  <si>
    <t>TIMEWorld</t>
  </si>
  <si>
    <t>Japan’s Shinzo Abe Conjures Stunning Election Victory in a Boost for Donald Trump https://t.co/6GwtBHtOzZ</t>
  </si>
  <si>
    <t>SocialFlow</t>
  </si>
  <si>
    <t>Breaking international news and analysis from TIME's correspondents around the world.</t>
  </si>
  <si>
    <t>レモン</t>
  </si>
  <si>
    <t>（ーー；）</t>
  </si>
  <si>
    <t>anandjain</t>
  </si>
  <si>
    <t>Amaury Betton</t>
  </si>
  <si>
    <t>RT @Schuldensuehner: #Japan's Yen drops following unexpectedly clear Abe win in election as Abenomics (combination of fiscal stimulus &amp; mon…</t>
  </si>
  <si>
    <t>Paris</t>
  </si>
  <si>
    <t>Economist @banquedefrance | Fondateur @lettresouverte1 | anciennement @Le_Figaro je tweete sur #Europe 2.0 #Eurozone #ECB #Bitcoin #Fintech #Macron #Trump</t>
  </si>
  <si>
    <t>ROB G</t>
  </si>
  <si>
    <t>Dentist and loving it</t>
  </si>
  <si>
    <t>Momojo_808</t>
  </si>
  <si>
    <t>RT @business: These are the winners and losers of Japan's landslide election https://t.co/Dj5uIRkhQn https://t.co/bjw6X50RX2</t>
  </si>
  <si>
    <t>Professional Hodler...</t>
  </si>
  <si>
    <t>EagleStar.NET</t>
  </si>
  <si>
    <t>After election win, Abe prioritizes North Korea, aging Japan https://t.co/myWndybfHH https://t.co/6yJncaZqOA</t>
  </si>
  <si>
    <t>SocialOomph</t>
  </si>
  <si>
    <t>The Great Wide Open</t>
  </si>
  <si>
    <t>Available properties and buyers, for real estate with opportunities to buy, to sell, to trade, to enjoy. We make it known.</t>
  </si>
  <si>
    <t>Sorgitza</t>
  </si>
  <si>
    <t>Abe, Trump agree to raise pressure on North Korea: Japan government https://t.co/k6DcaVh7iV https://t.co/Dt3N886DEc</t>
  </si>
  <si>
    <t>Brasil</t>
  </si>
  <si>
    <t>Aletz Cobein</t>
  </si>
  <si>
    <t>Zanzibar</t>
  </si>
  <si>
    <t>El hombre vive fascinado por la inmensidad de la eternidad. Seamos un tilin mejores y mucho menos egoistas Es hora de ver y vernos -Limited Edition -</t>
  </si>
  <si>
    <t>Mehul Makwana</t>
  </si>
  <si>
    <t>Ahmedabad, Gujarat, INDIA</t>
  </si>
  <si>
    <t>National Secretary Of NamoGroup, BJYM Ahmedabad , M.Director Of NamoGroup, Chairman @ https://t.co/zG8QjcajlV MD @ https://t.co/jsB4LXUrSq</t>
  </si>
  <si>
    <t>valvane</t>
  </si>
  <si>
    <t>RT @dwnews: Japan PM Shinzo Abe pledges pressure on North Korea after big election win https://t.co/NjWCyrdz1x https://t.co/K8yzs5jjAW</t>
  </si>
  <si>
    <t>日本→欧州移住強行中。どこまで出来るか？</t>
  </si>
  <si>
    <t>放射能汚染された東京でオリンピック？日本は辞退を！世界各国の選手はボイコットを！「日本が外国から攻撃されるわけがない（自衛隊不要）」と言うのは、「原発が事故を起こすわけがない」というのと同じ、最悪の事態を想定しない考え方。個別的自衛権の行使を。日本は「唯一の被曝国」に非ず。他にも核の被害を蒙った国・地域はあります。</t>
  </si>
  <si>
    <t>Лариса Башарова</t>
  </si>
  <si>
    <t>ARMAAN MALIK</t>
  </si>
  <si>
    <t>Kolkata, India</t>
  </si>
  <si>
    <t>•Love 👉 Music, Cricket, Technologies😍😍😍 • Die heart fan of Armaan Malik, Amaal Mallik, Gautam Gambhir, Sunder Pichai, Prabhas💖•</t>
  </si>
  <si>
    <t>सत्य प्रकाश दुबे</t>
  </si>
  <si>
    <t>DEENスジオカ</t>
  </si>
  <si>
    <t>底辺</t>
  </si>
  <si>
    <t>90年代ビーイング系</t>
  </si>
  <si>
    <t>Jinyoung</t>
  </si>
  <si>
    <t>RT: reuters :Abe, Trump agree to raise pressure on North Korea: Japan government https://t.co/kv8exXxVFE https://t.co/LGSCvP4wSO</t>
  </si>
  <si>
    <t>pasang ifttt dulu bentar</t>
  </si>
  <si>
    <t>Soham Prasad</t>
  </si>
  <si>
    <t>में अधरनिया प्रधान मंत्री श्री नरेंद्र मोदी जी और श्री अमित शाह जी का सिपाही हु । में फिरसे श्री नरेंद्र मोदी जी को प्रधान मंत्री बनाने का संकल्प लिया है ।</t>
  </si>
  <si>
    <t>@oluochvaron</t>
  </si>
  <si>
    <t>enamored</t>
  </si>
  <si>
    <t>Victor Marillanca</t>
  </si>
  <si>
    <t>What now for Japan after Abe's landslide election victory? https://t.co/jacdPgFb8l</t>
  </si>
  <si>
    <t>Canberra AUSTRALIA</t>
  </si>
  <si>
    <t>Noor Fatima</t>
  </si>
  <si>
    <t>Japan Election Vindicates Shinzo Abe as His Party Wins Big - New York Times https://t.co/895ghFWNGx</t>
  </si>
  <si>
    <t>Bring Rinkle Back</t>
  </si>
  <si>
    <t>West Bengal, India</t>
  </si>
  <si>
    <t>Leftist in the past, anti-Left at present; Hindu atheist (no, it is NOT an oxymoron)</t>
  </si>
  <si>
    <t>God Father'</t>
  </si>
  <si>
    <t xml:space="preserve">I Live In Ur Hearts 💕 </t>
  </si>
  <si>
    <t>Happiness is real, only when shared 💖'</t>
  </si>
  <si>
    <t>Adwait Savarkar</t>
  </si>
  <si>
    <t>Pune</t>
  </si>
  <si>
    <t>Music Enthusiast, Reader, Interested in Politics. Tweets and Retweets are personal remarks!</t>
  </si>
  <si>
    <t>Murli</t>
  </si>
  <si>
    <t>Kerala,India</t>
  </si>
  <si>
    <t>😊</t>
  </si>
  <si>
    <t>cheeky bastard</t>
  </si>
  <si>
    <t xml:space="preserve">Knock-turn Alley </t>
  </si>
  <si>
    <t>I know nothing...</t>
  </si>
  <si>
    <t>KANTILAL PARMAR.ADV</t>
  </si>
  <si>
    <t>AHMEDABAD(Dhrangadhra)</t>
  </si>
  <si>
    <t>ADVOCATE..LAND-REVENUE..जय जय नरेन्द्रमोदी साहब ।वंदेमातरम।</t>
  </si>
  <si>
    <t>Patriotic kenyan🇰🇪</t>
  </si>
  <si>
    <t>Nairobi Kenya</t>
  </si>
  <si>
    <t>Kenyan youth |:| Humble |:| Manchester United|:| Christian |:| Director @DylanGroupKE|• Social Media Marketer|:| 0728982510 |•| IG @BritishaPatrick|•</t>
  </si>
  <si>
    <t>Business of Fashion</t>
  </si>
  <si>
    <t>With Japan's prime minister Abe claiming a big election win, learn about the people shaping fashion in the country.… https://t.co/S2yNsPGG8o</t>
  </si>
  <si>
    <t>Follow for breaking news and fashion business intelligence. Home of the #BoF500. Subscribe to our daily newsletter: http://t.co/67Jc1TCEbw</t>
  </si>
  <si>
    <t>Latikia</t>
  </si>
  <si>
    <t>After election win, Abe prioritizes North Korea, aging Japan by via Stars and Stripes https://t.co/ClBHNDPQXQ</t>
  </si>
  <si>
    <t>22 km SSW of nowhere special</t>
  </si>
  <si>
    <t>Wear the mask long enough and it becomes the face.</t>
  </si>
  <si>
    <t>Timothy Smith SFO</t>
  </si>
  <si>
    <t>Asia Markets: Japan’s Nikkei rises for a 15th straight session after Abe’s... - https://t.co/nCRXEFhMHT https://t.co/kzfNceGt0G</t>
  </si>
  <si>
    <t>RSSGround</t>
  </si>
  <si>
    <t>Houston, Texas</t>
  </si>
  <si>
    <t>Upstream Oil &amp; Gas Single Family Office Focused Onshore USA, Finance, Investment, Mergers, Acquisitions, and Divestitures.</t>
  </si>
  <si>
    <t>Ram Prakriya</t>
  </si>
  <si>
    <t>Hyderabad</t>
  </si>
  <si>
    <t>IT Staffing Specialist with 18 years exp. Re tweets are no endorsements.A strong Hindu, nation loving man who enjoys work, friends, politics, social work.</t>
  </si>
  <si>
    <t>Petro Lucrum</t>
  </si>
  <si>
    <t>Asia Markets: Japan’s Nikkei rises for a 15th straight session after Abe’s... - https://t.co/ljGlPh5HFi https://t.co/bI8tcRrxjr</t>
  </si>
  <si>
    <t xml:space="preserve">Houston, Texas </t>
  </si>
  <si>
    <t>Upstream Oil &amp; Gas Family Office | Acquisitions &amp; Divestitures | Exploration &amp; Production | Oilfield Services</t>
  </si>
  <si>
    <t>Branding Shirts</t>
  </si>
  <si>
    <t>BoF: #Branding With Japan's prime minister Abe claiming a big election win, learn about the people shaping fashion in the country.… …</t>
  </si>
  <si>
    <t>Uplift your #Campaign #Trade #Tradeshow #Startups #Marketing #SMM #Business with #Branding #Shirts #Polo #Poloshirts #Tees Info on #Design #brand #Logo #Fashion</t>
  </si>
  <si>
    <t>ANGELICA INFANTE</t>
  </si>
  <si>
    <t>Cantante de Rock, actriz, locutora y luchadora social.</t>
  </si>
  <si>
    <t>Pramod Dwivedi</t>
  </si>
  <si>
    <t>Faridabad || Mumbai, India</t>
  </si>
  <si>
    <t>Roots:U.P | Born:Delhi | School,Grad: Haryana | P.G:Andhra | Jobs:Tamil Nadu, Delhi, Mumbai | East is what is Left.</t>
  </si>
  <si>
    <t>Brihum</t>
  </si>
  <si>
    <t>Suplex City</t>
  </si>
  <si>
    <t>#MUFC | Move along nothing to see here.</t>
  </si>
  <si>
    <t>Pablo Rodas-Martini</t>
  </si>
  <si>
    <t>Warsaw, Poland</t>
  </si>
  <si>
    <t>Passionate about Climate Change and Renewables. President of Gliese Foundation: Climate Change through Art. PhD/MSc, University of London. FIDE Chess Master.</t>
  </si>
  <si>
    <t>Jawahar Goel</t>
  </si>
  <si>
    <t>new delhi</t>
  </si>
  <si>
    <t>Indian Citizens and primary member of BJP. CMD Dish TV. Liberal Hindu &amp; vegetarian, admire Modi Ji.</t>
  </si>
  <si>
    <t>Hitesh Vinod Rathod</t>
  </si>
  <si>
    <t>•Hindu Extremist•Bjp passionite Karyakarta•Mumbaikar•Aspiring Entrepreneur•Rss•Nationalist</t>
  </si>
  <si>
    <t>Foreign Desk</t>
  </si>
  <si>
    <t>Japan's Abe to push pacifist constitution reform after strong election win - https://t.co/0MVgNo68pG https://t.co/X47KmiqjUD</t>
  </si>
  <si>
    <t>TFD_stream</t>
  </si>
  <si>
    <t>Nation First</t>
  </si>
  <si>
    <t>All are welcome....... Hate liars &amp; hypocrites. Bhakt of Motherland, not of any party or person.</t>
  </si>
  <si>
    <t>Sassen van Elsloo</t>
  </si>
  <si>
    <t>RT @nytimesworld: Shinzo Abe won a commanding majority for his party, fueling his hopes of revising Japan's pacifist Constitution https://t…</t>
  </si>
  <si>
    <t>Disgruntled VNLer, BA, MA, MBA, exHedge Fund adv, PE, eurosceptic, Hayek, Mises, Glocomnet, investor, freelance columnist, Tradeidee.nl tweets in no way advice</t>
  </si>
  <si>
    <t>Karen Pang</t>
  </si>
  <si>
    <t>@_kurosora heck even yesterday's election Japan , his name was brought up indirectly so LOL</t>
  </si>
  <si>
    <t>Singapore</t>
  </si>
  <si>
    <t>BREAKERZ fan since their 2008 debut single / team brz member / Also support : 浜崎あゆみ | 倖田來未 | 安室奈美恵 | 平井堅 | flumpool | SPYAIR | Johnnys | Hilcrhyme | BENI &amp; more</t>
  </si>
  <si>
    <t>rob3knews</t>
  </si>
  <si>
    <t>Japan Election Vindicates Shinzo Abe as His Party Wins Big - New York Times: New York Times… https://t.co/fS2bGskA79</t>
  </si>
  <si>
    <t>Punto</t>
  </si>
  <si>
    <t>RT @RANDCorporation: "A politically strong and secure Shinzo Abe has a large impact on the United States and its interests." https://t.co/6…</t>
  </si>
  <si>
    <t>Rohit Pate</t>
  </si>
  <si>
    <t>RT @RANDCorporation: What does today's election in #Japan mean for U.S. interests in the Asia-Pacific? RAND's Jeffrey Hornung weighs in: ht…</t>
  </si>
  <si>
    <t>RT @Daily_Express: Japan to turn up heat against North Korea as Abe gains new mandate with election win https://t.co/LnXEDIeHqS https://t.c…</t>
  </si>
  <si>
    <t>mwenda  evans</t>
  </si>
  <si>
    <t>Meru, Kenya</t>
  </si>
  <si>
    <t>Ivanevans254 a/c,meru kenya,@mancity fun/Radio fun @........</t>
  </si>
  <si>
    <t>Judith Dora Akolo</t>
  </si>
  <si>
    <t>RT @TIMEWorld: Japan’s Shinzo Abe Conjures Stunning Election Victory in a Boost for Donald Trump https://t.co/6GwtBHtOzZ</t>
  </si>
  <si>
    <t>At the SERENE ever green Emanyulia my Father Agabus Akolo Muluka rests. I can't run away from this painful reality that Dad you are no more. It's a sad reality.</t>
  </si>
  <si>
    <t>SPURR</t>
  </si>
  <si>
    <t>RT @BBCBusiness: Shinzo Abe Japan election win. Prof. Richard Werner, former adviser to Bank of Japan on the economic challenge: https://t.…</t>
  </si>
  <si>
    <t>North East, England</t>
  </si>
  <si>
    <t>Helping business people achieve great things through specialist business strategy development and execution.</t>
  </si>
  <si>
    <t>Opulu Tom™</t>
  </si>
  <si>
    <t>AM Motivated with anything either positive or negative//i live my dream</t>
  </si>
  <si>
    <t>LeAnne Tancred</t>
  </si>
  <si>
    <t>UK</t>
  </si>
  <si>
    <t>Proud Mama, Global Citizen, Lover of Life. It's All About Love.</t>
  </si>
  <si>
    <t>Blue Streak Daily</t>
  </si>
  <si>
    <t>Abe, Trump agree to raise pressure on North Korea: Japan government https://t.co/EMkcNX8lvp https://t.co/nTt5g1VjqQ — Reuters Top News (…</t>
  </si>
  <si>
    <t>New York, USA</t>
  </si>
  <si>
    <t>Get #Business #Funding in 2 hours. Even if you have bad #Credit, or have been denied by your #Bank. #Merchant #Cash #Advance</t>
  </si>
  <si>
    <t>BreakingNewsPakistan</t>
  </si>
  <si>
    <t>Typhoon leaves five dead after lashing Japan on election day - https://t.co/NIKvCrDjvL #Pakistan</t>
  </si>
  <si>
    <t>BreakingNewsPak</t>
  </si>
  <si>
    <t>Pakistan</t>
  </si>
  <si>
    <t>Breaking News Pakistan is an online news agency that delivers every news about and from Pakistan as it happens.</t>
  </si>
  <si>
    <t>LAPITH</t>
  </si>
  <si>
    <t>RT: With Japan's prime minister Abe claiming a big election win, learn about the people shaping fashion in the cou… https://t.co/jPpm7TA7PQ</t>
  </si>
  <si>
    <t xml:space="preserve">Visit me </t>
  </si>
  <si>
    <t>EX-FINTECH RT: #Internet #fintech #startup #ecommerce #meditation #cooking #travel #music #photography #design #dataanalytic #socialmedia</t>
  </si>
  <si>
    <t>Haresh Mirchandani</t>
  </si>
  <si>
    <t>Mona vanderSmitte 🖼</t>
  </si>
  <si>
    <t>Twitterbirdwatcher Learning all the time Retweets and links are not (ipso facto) endorsements</t>
  </si>
  <si>
    <t>ASHUTOSH SINGH</t>
  </si>
  <si>
    <t>Mechnical Engineer| राष्ट्रवादी | गर्व है मुझे की मैं हिंदू हुं | GrewUp Adoring Chivalries &amp; Sacrifices of PritviRaj Chauhan MaharanaPratap &amp; Shivaji</t>
  </si>
  <si>
    <t>Akshat Verma</t>
  </si>
  <si>
    <t>Delhi, NY</t>
  </si>
  <si>
    <t>Rightist! Nationalist! Altruist! India first! Blogger! Think tank! News addicter! Political Analyst!</t>
  </si>
  <si>
    <t>Grimsby</t>
  </si>
  <si>
    <t>Red Bank</t>
  </si>
  <si>
    <t>A fixed Income portfolio manager. He is an auto racing enthusiast. Tweets do not represent views or endorsements by my employer.</t>
  </si>
  <si>
    <t>Юлия Козлова</t>
  </si>
  <si>
    <t>S.M. Billah||Blogger</t>
  </si>
  <si>
    <t>With Japan's prime minister Abe claiming a big election win, learn about the people shaping fashion in the country…… https://t.co/lTGEdfFF4g</t>
  </si>
  <si>
    <t>General creator. Lifelong explorer. #Tech lover. Avid #music fanatic. Online #market specialist. Owner at @techtalk_mobile Insta: https://t.co/bf8CMWYsZM</t>
  </si>
  <si>
    <t>Barun Kumar Sah</t>
  </si>
  <si>
    <t>Dhanbad, India</t>
  </si>
  <si>
    <t>Businessman, True Nationalist.</t>
  </si>
  <si>
    <t>.</t>
  </si>
  <si>
    <t>RT: reuters :Abe, Trump agree to raise pressure on North Korea: Japan government https://t.co/e6yobFie4g https://t.co/MLMa9LFd59</t>
  </si>
  <si>
    <t>Chanakya74</t>
  </si>
  <si>
    <t>Even if a snake is not poisonous, it should pretend to be one!</t>
  </si>
  <si>
    <t>अमित शुक्ल 🇮🇳</t>
  </si>
  <si>
    <t xml:space="preserve">Jabalpur M P </t>
  </si>
  <si>
    <t>MBA business and project Consultant Solar Power Smart City Tech Nationalist Proud Hindu Associated : Laghu Udyog Bharti ★RTs, Favs &amp; Quotes not endorsement</t>
  </si>
  <si>
    <t>Arun</t>
  </si>
  <si>
    <t>Vikas Kumar</t>
  </si>
  <si>
    <t>Patiala, India</t>
  </si>
  <si>
    <t>Dil se Hindu... Proud to be Indian</t>
  </si>
  <si>
    <t>No one</t>
  </si>
  <si>
    <t>timbuktu</t>
  </si>
  <si>
    <t>no one knows better. lists and bots get blocked.</t>
  </si>
  <si>
    <t>志籐</t>
  </si>
  <si>
    <t xml:space="preserve">チュニジア革命をきっかけに、情報収集に役立つと思い、ｔｗｉｔｔｅｒを始めました。おもに北アフリカ・中東情勢、市民運動、原発関連などの情報を追っかけてます。 </t>
  </si>
  <si>
    <t>Biren kumar shroff</t>
  </si>
  <si>
    <t>Follow nationalists like modi.India for unity and prosperity the only mantra for every hindustani.</t>
  </si>
  <si>
    <t>bonita</t>
  </si>
  <si>
    <t>自分とは何ぞやと日々悪戦苦闘中</t>
  </si>
  <si>
    <t>John</t>
  </si>
  <si>
    <t>abc943834fre</t>
  </si>
  <si>
    <t>Stay positive :)</t>
  </si>
  <si>
    <t>Daily Briefing: - Catalan brinkmanship with Madrid - Japan's PM election win - UK business want quick Brexit deal… https://t.co/3ByX0wxTiH</t>
  </si>
  <si>
    <t>Reuters World</t>
  </si>
  <si>
    <t>Daily Briefing: - Catalan brinkmanship with Madrid - Japan's PM election win - UK business want quick Brexit deal… https://t.co/IY5pvk9pc6</t>
  </si>
  <si>
    <t>Your source for top international news and analysis.</t>
  </si>
  <si>
    <t>Reuters UK</t>
  </si>
  <si>
    <t>Daily Briefing: - Catalan brinkmanship with Madrid - Japan's PM election win - UK business want quick Brexit deal… https://t.co/sXKTg2WHeL</t>
  </si>
  <si>
    <t>London, United Kingdom</t>
  </si>
  <si>
    <t>Reuters UK editors. From pigeons to multimedia, Reuters has been delivering the news since 1851.</t>
  </si>
  <si>
    <t>arun kumar</t>
  </si>
  <si>
    <t>mysore</t>
  </si>
  <si>
    <t>Associate member of company secretariesof india.</t>
  </si>
  <si>
    <t>RT Reuters "Daily Briefing: - Catalan brinkmanship with Madrid - Japan's PM election win - UK business want quick … https://t.co/dRic1TFnut"</t>
  </si>
  <si>
    <t>Shan Baba</t>
  </si>
  <si>
    <t>Inquisitive. दिल मे तूफानों की टोली और नसों में इन्कलाब, दूर रह पाये जो हमसे दम कहाँ मंजिल में है</t>
  </si>
  <si>
    <t>Nasty Amy Attitude</t>
  </si>
  <si>
    <t>Hawaii, USA</t>
  </si>
  <si>
    <t>Chick with an attitude. Revisionist historians, troublemakers, and fans of fictional strife are blocked with unabashed glee.</t>
  </si>
  <si>
    <t>Reuters: Daily Briefing: - Catalan brinkmanship with Madrid - Japan's PM election win - UK business want quick Bre… https://t.co/dBGOSL77yg</t>
  </si>
  <si>
    <t>kristine</t>
  </si>
  <si>
    <t>im happy!!!!! ok</t>
  </si>
  <si>
    <t>M.A.X. Bennette</t>
  </si>
  <si>
    <t>Japan Election Vindicates Shinzo Abe as His Party Wins Big. https://t.co/kksjuNnzyc</t>
  </si>
  <si>
    <t>Published author. Lonely poet. Realist comedian. Enthusiastic eater. Informed socialist. Classic rebel. Intersectional feminist. https://t.co/JKga38Iq6F…?</t>
  </si>
  <si>
    <t>河童猫</t>
  </si>
  <si>
    <t>meHFT</t>
  </si>
  <si>
    <t>Daily Briefing: - Catalan brinkmanship with Madrid - Japan's PM election win #Forex</t>
  </si>
  <si>
    <t>FXZoneOfficial</t>
  </si>
  <si>
    <t>Live forex financial news in English and Arabic</t>
  </si>
  <si>
    <t>THALAPATHY SUSMIT</t>
  </si>
  <si>
    <t>Movie Reviewer || DIE-HARD FAN OF @ActorVijay || Mersal 150 Crore 🙏 || #Mersal Now Showing || #Adirindhi Soon On 27th Oct</t>
  </si>
  <si>
    <t>k.shino</t>
  </si>
  <si>
    <t>Despite tsunami of media smear campaign public chose tangible Shinzo Abe gains big victory in Japan election https://t.co/me90PdcPZl via @FT</t>
  </si>
  <si>
    <t>London UK</t>
  </si>
  <si>
    <t>廣瀬幸義（ひろせ　ゆきよし）</t>
  </si>
  <si>
    <t>千葉県東葛飾（松戸市、柏市）</t>
  </si>
  <si>
    <t>維新以来の新たな日本を形造る時代の蠢きに圧倒され、自分なりに何ができるのかを模索中 。</t>
  </si>
  <si>
    <t>Chitranjan Bhai</t>
  </si>
  <si>
    <t>simple people</t>
  </si>
  <si>
    <t>Rationalist Yoda</t>
  </si>
  <si>
    <t>Japan's Prime Minister Shinzo Abe says after election win he will pursue "strong diplomacy" to pressure North Korea #TCOT #MAGA http://z</t>
  </si>
  <si>
    <t>Zapier.com</t>
  </si>
  <si>
    <t>Kansas City Area</t>
  </si>
  <si>
    <t>Are you not subscribed to my youtube channel? Go here: https://t.co/NcT0cw7UJU… and hit that subscribe button!</t>
  </si>
  <si>
    <t>RT @Reuters: Daily Briefing: - Catalan brinkmanship with Madrid - Japan's PM election win - UK business want quick Brexit deal https://t.co…</t>
  </si>
  <si>
    <t>RajendraprasadVundru</t>
  </si>
  <si>
    <t>Mumbai, BHARAT</t>
  </si>
  <si>
    <t>Advocate Bombay High Court; Aavishkaar Social Welfare Foundation; Legal Advisor; Freelance Journalist; Photographer;</t>
  </si>
  <si>
    <t>SHIV PRATAP TOMAR</t>
  </si>
  <si>
    <t>Gopal Lal Suthar</t>
  </si>
  <si>
    <t>爪楊枝2</t>
  </si>
  <si>
    <t>自由と秩序はバランスが取れてこそお互いの価値を生む。自由には責任が伴う。責任が伴わないものは「わがまま」といって自由とは別物である。</t>
  </si>
  <si>
    <t>SUSANTA SAHOO</t>
  </si>
  <si>
    <t>Gujarat, India</t>
  </si>
  <si>
    <t>HSE OFFICER</t>
  </si>
  <si>
    <t>o==[]::::::::::::::▶</t>
  </si>
  <si>
    <t>▁ ▂ ▃ ▄ ▅ ▆ █</t>
  </si>
  <si>
    <t>Robert Curtis</t>
  </si>
  <si>
    <t>Reuters: Daily Briefing: - Catalan brinkmanship with Madrid - Japan's PM election win - UK business want quick Bre… https://t.co/xFfFx30obz</t>
  </si>
  <si>
    <t>KAMOL</t>
  </si>
  <si>
    <t>Daily Briefing: - Catalan brinkmanship with Madrid - Japan's PM election win - UK business want quick Brexit deal… https://t.co/i0axo5cHFr…</t>
  </si>
  <si>
    <t>Georgia, USA</t>
  </si>
  <si>
    <t>We don't grow when things are easy. We grow when we face challenges. #travel #nature #iOS #BigData #BlackandWhite #Photographer #Wildlife</t>
  </si>
  <si>
    <t>Reuters: Daily Briefing: - Catalan brinkmanship with Madrid - Japan's PM election win - UK business want quick Bre… https://t.co/bSbVCSg5RP</t>
  </si>
  <si>
    <t>Daily Briefing: - Catalan brinkmanship with Madrid - Japan's PM election win - UK business want quick Brexit deal… https://t.co/UbbgvwstG4</t>
  </si>
  <si>
    <t>kumarayyan BJP</t>
  </si>
  <si>
    <t>kaveripattnam</t>
  </si>
  <si>
    <t>ravi kumar</t>
  </si>
  <si>
    <t>The Naked Truth</t>
  </si>
  <si>
    <t>After election win, Abe prioritizes North Korea, aging Japan https://t.co/d5QGgY1yW2</t>
  </si>
  <si>
    <t>Bhavesh S Mane</t>
  </si>
  <si>
    <t>Somewere on Earth</t>
  </si>
  <si>
    <t>Social Media Activist ● Nation First ● Proud Indian</t>
  </si>
  <si>
    <t>小魔豆</t>
  </si>
  <si>
    <t>天涯共此时</t>
  </si>
  <si>
    <t>mani bhushan</t>
  </si>
  <si>
    <t>Ghaziabad, Uttar Pradesh</t>
  </si>
  <si>
    <t>I AM NOT SECULAR AND I HATE SECULARISM WORD.</t>
  </si>
  <si>
    <t>Daily Briefing: - Catalan brinkmanship with Madrid - Japan's PM election win - UK business want quick Brexit deal… https://t.co/010cYvu5GH</t>
  </si>
  <si>
    <t>あるぷす1号</t>
  </si>
  <si>
    <t>What now for Japan after Abe's landslide election victory? https://t.co/UWxFjy6RJC</t>
  </si>
  <si>
    <t>おっぱ○駅のちかく</t>
  </si>
  <si>
    <t>美味しい｢地の料理&amp;酒｣を求めて旅してます。酒飲みたいから鉄道旅が中心ですが、ときには(酒ガマンして)クルマにも＼(^o^)／</t>
  </si>
  <si>
    <t>D.Chakrabarty</t>
  </si>
  <si>
    <t>Thinker | Humanitarian | Nationalist | Petroleum Professional |OffShore | Oil Gas Energy | Ex British Petroleum | MSc. MTech. MBA. PhD | https://t.co/eHrOGkp2u6</t>
  </si>
  <si>
    <t>nabiya</t>
  </si>
  <si>
    <t>TOKYO/JAPAN</t>
  </si>
  <si>
    <t>I'm South Korean. VIP J &amp; WithJS J ♡BIGBANG♡ ♡LeeJongSuk♡ ♡iKON♡ ♬영화♬드라마♬콘서트♬뮤지컬♬연극♬여행♬모델♬패션쇼♬</t>
  </si>
  <si>
    <t>Esther León Arbizu</t>
  </si>
  <si>
    <t>Gmf</t>
  </si>
  <si>
    <t>iCloud</t>
  </si>
  <si>
    <t>Elephant herder|Zeitgeist|Seeking Shangri-La |ArsenalFC|Apple™ inc| Gamer| EDM|Aviator|iPods &amp; more ™ | Lone 🐺 | Son</t>
  </si>
  <si>
    <t>☬ Richard Allen</t>
  </si>
  <si>
    <t>Japan’s Shinzo Abe Conjures Stunning Election Victory in a Boost for Donald Trump https://t.co/M1L888qDRo</t>
  </si>
  <si>
    <t>Sby/S'pore</t>
  </si>
  <si>
    <t>#IamRomani #Palestine #Libya #Bahrain #Educator American in #Indonesia. Nenávist ti nesluší! RD.Allen@activist.com [RT ≠ endorsement] #EndItMovement</t>
  </si>
  <si>
    <t>TIME</t>
  </si>
  <si>
    <t>Japan's Shinzo Abe conjures a stunning election victory in a boost for Trump https://t.co/DCSAvLAL24</t>
  </si>
  <si>
    <t>Breaking news and current events from around the globe. Hosted by TIME staff. Tweet questions to our customer service team @TIMEmag_Service.</t>
  </si>
  <si>
    <t>WORLD NEWS</t>
  </si>
  <si>
    <t>JAPAN ELECTIONS - Japan prime minister pledges strong measures on North Korea after re-election https://t.co/me8pmUEYMB</t>
  </si>
  <si>
    <t>The main world news. Breaking News, policy, chronicle, finance, sport, enviromental, scienze, health, etc.</t>
  </si>
  <si>
    <t>Ajit Kumar</t>
  </si>
  <si>
    <t>Kuala Lumpur City, Kuala Lumpu</t>
  </si>
  <si>
    <t>Luc Chaoui</t>
  </si>
  <si>
    <t>New top story from Time: https://t.co/L2NpuuFEjT In a nod to his nationalist agenda and tough line with rogue state North Korea, Japanes…</t>
  </si>
  <si>
    <t xml:space="preserve">Silicon Valley, CA </t>
  </si>
  <si>
    <t>Wireless Comms Architect, WLAN Technologist, Patents holder, USC Trojan and, International Sabre Fencer. My TWEETS are my OWN.</t>
  </si>
  <si>
    <t>Daily Briefing: - Catalan brinkmanship with Madrid - Japan's PM election win - UK business want quick Brexit deal… https://t.co/Jm4W4r6Ucz…</t>
  </si>
  <si>
    <t>ISHWAR LAL SAHU</t>
  </si>
  <si>
    <t>Chhattisgarh, India</t>
  </si>
  <si>
    <t>#NationFirst, Suport BJP, Interested in Politics and Journlist !!</t>
  </si>
  <si>
    <t>Reuters: Daily Briefing: - Catalan brinkmanship with Madrid - Japan's PM election win - UK business want quick Bre… https://t.co/jpA5lo0lVr</t>
  </si>
  <si>
    <t>Japan election: Shinzo Abe may have won majority but has fai #TISNews Click Link- https://t.co/yWf6cCfqe4 https://t.co/lXmuZABIu6</t>
  </si>
  <si>
    <t>Cao Haipeng</t>
  </si>
  <si>
    <t>New top story from Time: https://t.co/RpDhLveGoe</t>
  </si>
  <si>
    <t>Elivan Souza</t>
  </si>
  <si>
    <t>RT TIME "Japan's Shinzo Abe conjures a stunning election victory in a boost for Trump https://t.co/FPpJUQis5R"</t>
  </si>
  <si>
    <t>São Paulo</t>
  </si>
  <si>
    <t>Twitter is my playground. #Teacher #Translator #Coach #Consultant #Brazilian #Portuguese 💚📖✈️🌏☔️🛌🎹🎼🎧🚴⛱🏊🏻🍹#healthy 🍏🍌🍉🍯🥗#custserv #bufferchat #EFL #TESOL 🙌🏻</t>
  </si>
  <si>
    <t>Yongbin</t>
  </si>
  <si>
    <t>RT: reuters :Abe, Trump agree to raise pressure on North Korea: Japan government https://t.co/Y4lz7jtkhK https://t.co/afP1V1OMFe</t>
  </si>
  <si>
    <t>MJF - Marty McFly</t>
  </si>
  <si>
    <t>Hindu Nationalist, Aryavart History Lover - Hindi Hindu Hindustaan #Tweet = Personal views #RT are may be endorsements.</t>
  </si>
  <si>
    <t>Kaibigan</t>
  </si>
  <si>
    <t>RT @BBCBusiness: Nikkei hits new highs after Japan election https://t.co/QwLA0VrHdN</t>
  </si>
  <si>
    <t>憂国の愚老人</t>
  </si>
  <si>
    <t>Ali</t>
  </si>
  <si>
    <t>New top story from Time: https://t.co/pvowUZ0jcl</t>
  </si>
  <si>
    <t>Enfermedad Mental ed</t>
  </si>
  <si>
    <t>Japan’s Shinzo Abe Conjures Stunning Election Victory in a Boost for Donald TrumpNew top story from Time:… https://t.co/Ouz9qlcmVW</t>
  </si>
  <si>
    <t>Valladolid, España</t>
  </si>
  <si>
    <t>Editorial por y para discapacitados y todo tipo de literatura que ayude en mejorar su calidad de vida</t>
  </si>
  <si>
    <t>SᏋLᏋNᏋ Ᏸ. ᏰᏘLLiᏤiᏘN</t>
  </si>
  <si>
    <t>New top story from Time: https://t.co/P0RcpoV5g1</t>
  </si>
  <si>
    <t>Antofagasta, Chile</t>
  </si>
  <si>
    <t>#news #tech #robot #AI #business #3D #music #travel #art #internet #corporate #fashion #arquitecture #sustainable #ecology #science #TV #comics #games #books</t>
  </si>
  <si>
    <t>Kenyans on Twit‎ter</t>
  </si>
  <si>
    <t>Kenyans on Twitter https://t.co/BG3IyarHJi</t>
  </si>
  <si>
    <t>Miroslav Georgiev</t>
  </si>
  <si>
    <t>Japan’s Shinzo Abe Conjures Stunning Election Victory in a Boost for Donald Trump https://t.co/gv9BB4HjVc via @TIME</t>
  </si>
  <si>
    <t>Stone Mountain, GA</t>
  </si>
  <si>
    <t>#Liberté, #égalité, #fraternité #ViveLaFrance #ViveLaTerre</t>
  </si>
  <si>
    <t>RT @TIME: Japan's Shinzo Abe conjures a stunning election victory in a boost for Trump https://t.co/DCSAvLAL24</t>
  </si>
  <si>
    <t>ImAkPatial</t>
  </si>
  <si>
    <t>Smwhere on this lonely planet</t>
  </si>
  <si>
    <t>Foodie 🍧🍰 ☕️ I 💛 Traveller ✈️ 🚗🛴🌼Nature Lover 🌴🌓 💑Married 💍 👍🏻 Living in Singapore 🌆🌅🏝⛱😊 Himachali 🏔🗻🏜</t>
  </si>
  <si>
    <t>JROSENBERG</t>
  </si>
  <si>
    <t>New top story from Time: https://t.co/xAeKYf6Iu4</t>
  </si>
  <si>
    <t>41.509491,-87.709131</t>
  </si>
  <si>
    <t>https://t.co/ivXuk8t59y The Biggest News Ever! (JASON ROSENBERG, CHICAGOLAND REAL ESTATE BROKER, COMEDIAN FOR HIRE, AND SLEEPAHOLIC!)</t>
  </si>
  <si>
    <t>Steve</t>
  </si>
  <si>
    <t>New top story from Time: https://t.co/620JVZBIzR</t>
  </si>
  <si>
    <t>The State Of Pittsburgh</t>
  </si>
  <si>
    <t>An unapologetic Pittsburgh Penguins fan, born, raised and living in Pure Michigan. Send your Death Threats and Hate Mail to: ihatesteve@mail.com</t>
  </si>
  <si>
    <t>Owen Juma</t>
  </si>
  <si>
    <t xml:space="preserve">Nairobi </t>
  </si>
  <si>
    <t>I love Jesus, passionate about the ENVIRONMENT</t>
  </si>
  <si>
    <t>News Screamer</t>
  </si>
  <si>
    <t>New top story from Time: https://t.co/eB4fAeYaSY</t>
  </si>
  <si>
    <t>Breaking news and more.</t>
  </si>
  <si>
    <t>Sujeet .S</t>
  </si>
  <si>
    <t>Bharat mata ki jai.</t>
  </si>
  <si>
    <t>Dj Das</t>
  </si>
  <si>
    <t>Guwahati, India</t>
  </si>
  <si>
    <t>Be yourself</t>
  </si>
  <si>
    <t>sonu singh</t>
  </si>
  <si>
    <t>I'm a cool mind मोदी भक्त</t>
  </si>
  <si>
    <t>Mahadev Desai</t>
  </si>
  <si>
    <t>Navsari,Gujarat,India</t>
  </si>
  <si>
    <t>PM NaMo for Jagadguru Bharat,Secretary,Vanche Gujarat headed by NaMo.President,Sayaji Lib.Love reading.Mission:Book-reading movement, Teacher-Torch Bearer proj</t>
  </si>
  <si>
    <t>AJAY GUPTA</t>
  </si>
  <si>
    <t>.. صدفة بعضشي ♛</t>
  </si>
  <si>
    <t>RT @BoF: With Japan's prime minister Abe claiming a big election win, learn about the people shaping fashion in the country. https://t.co/p…</t>
  </si>
  <si>
    <t>Virgo and always right even when am wrong .. كائن مستبد لا يعترف بوجود الآخرين .. فكك مني .. صدفة بعضشي @taykashans</t>
  </si>
  <si>
    <t>changes</t>
  </si>
  <si>
    <t>未来永劫日本人である事に誇りを持てる日本でありますように。</t>
  </si>
  <si>
    <t>kenything</t>
  </si>
  <si>
    <t>What now for Japan after Abe's landslide election victory? https://t.co/DpHLAwJPWx</t>
  </si>
  <si>
    <t>Japan's Abe to push pacifist constitution reform after strong election win | Article [AMP] | Reuters https://t.co/KGjfaZWVKR</t>
  </si>
  <si>
    <t>gboru662</t>
  </si>
  <si>
    <t>Japan Election Vindicates Shinzo Abe as His Party Wins Big - New York Times https://t.co/nuglA4plBG https://t.co/8rH7D7B8Ab</t>
  </si>
  <si>
    <t>Utah, USA</t>
  </si>
  <si>
    <t>Your favorite animator and NewsFeed editor.</t>
  </si>
  <si>
    <t>ココ･左折</t>
  </si>
  <si>
    <t>Shinjuku, Kanda, etc.</t>
  </si>
  <si>
    <t>総裁 @melon_yp 様の元、スタジオお昼寝 ミキシング土方 _:(´ཀ`」 ∠):_ 曲リスト→ https://t.co/UiVhOZPm0u / 茶トラ2ﾁｬﾝパパ/ 大日本OPI党員#131</t>
  </si>
  <si>
    <t>REUTERS: Daily Briefing: - Catalan brinkmanship with Madrid - Japan's PM election win - UK business want quick Bre… https://t.co/mnBpseGsCA</t>
  </si>
  <si>
    <t>Daily Briefing: - Catalan brinkmanship with Madrid - Japan's PM election win - UK business want quick Brexit deal… https://t.co/t91csokATm…</t>
  </si>
  <si>
    <t>Reuters: Daily Briefing: - Catalan brinkmanship with Madrid - Japan's PM election win - UK business want quick Bre… https://t.co/R3Yboie98h</t>
  </si>
  <si>
    <t>satyendra</t>
  </si>
  <si>
    <t>a learner ...... and an optimist</t>
  </si>
  <si>
    <t>Zoher Abdoolcarim</t>
  </si>
  <si>
    <t>Asia Editor, TIME</t>
  </si>
  <si>
    <t>Sharmila Gharpure</t>
  </si>
  <si>
    <t>Life - I'm loving it..</t>
  </si>
  <si>
    <t>santosh kumar.koneti</t>
  </si>
  <si>
    <t>vizag</t>
  </si>
  <si>
    <t>RT @NewsWcn: JAPAN: #Japan's #Abe vows to 'deal firmly' with North Korea after election win</t>
  </si>
  <si>
    <t>davies</t>
  </si>
  <si>
    <t>Charles Cambron</t>
  </si>
  <si>
    <t>Spring/Houston,Texas</t>
  </si>
  <si>
    <t>Born &amp; Raised Houston Tx. ❤Music💯 Love,Kindness,RESPECT,Honesty, Impathy, &amp; Caring a must. #LovetrumpsHate #WaterIsLife #WeThePeople👪 #USAisGreat #🌎Eye❤💯</t>
  </si>
  <si>
    <t>:$</t>
  </si>
  <si>
    <t>Happily married father of 3 beautiful kids. Finance &amp; Operations guy. Proud American Citizen, proud Irish Citizen. Moving around #DUB #BOS #SFO #PDX</t>
  </si>
  <si>
    <t>#WORRIOR-O-L🌎🌍🌏.</t>
  </si>
  <si>
    <t>AB:Leslampes05-17. I:loveletters0716masayo. FB:Masayo Yamashita. DoshishU. Bball. (ACTRESS. MUSICIAN. Model. mfd. UN. MOM.) NPS. A.L.M.😹. #MADONNA❤️❤️.</t>
  </si>
  <si>
    <t>sunilsriv</t>
  </si>
  <si>
    <t>Oden</t>
  </si>
  <si>
    <t>#Typhoon #Lan lashed #Tokyo on the weekend, but didn’t put a dent in #election turnout #Japan… https://t.co/obqk1sqX8e</t>
  </si>
  <si>
    <t>Helsingborg, Skåne Sweden</t>
  </si>
  <si>
    <t>I´m the god Odin, all people's and gods' father. Follow me to Valhalla (Valhöll) #Antitheism</t>
  </si>
  <si>
    <t>S.M</t>
  </si>
  <si>
    <t>『くにのため いのち捧げし ますらをの いさを忘るな 時うつれども』</t>
  </si>
  <si>
    <t>Rene</t>
  </si>
  <si>
    <t>politiek,nieuws en beurs, AEX, DAX, TURBO tags:#history #NASDAQ #Keynes #politics #geschiedenis #GGZ #Verslavingszorg tegen #gristenliberaalschurkendom</t>
  </si>
  <si>
    <t>AMBUSH®</t>
  </si>
  <si>
    <t>TOKYO</t>
  </si>
  <si>
    <t>AMBUSH®︎ WORKSHOP 1-22-8 SHIBUYA-KU SHIBUYA TOKYO | 東京都渋谷区渋谷1-22-8 | Tel 03-6451-1410</t>
  </si>
  <si>
    <t>あめだま</t>
  </si>
  <si>
    <t>フィギュアと旅行が大好きで日々ささやかにボチボチとＦＸと株を楽しんでます。日本大好き！</t>
  </si>
  <si>
    <t>Mary Rack</t>
  </si>
  <si>
    <t>Northville, Michigan</t>
  </si>
  <si>
    <t>IT enthusiast, love nature, space, the arts, history, travel, volunteering and real current events (not hype)</t>
  </si>
  <si>
    <t>Rick</t>
  </si>
  <si>
    <t>Asia Markets: Japan’s Nikkei rises for a 15th straight session after Abe’s election win ~https://t.co/56TpQJXD5R</t>
  </si>
  <si>
    <t>Minneapolis</t>
  </si>
  <si>
    <t>I show people a way to break free from a JOB (just over broke) &amp; start living the life you truly deserve...Let's connect! ~Rick</t>
  </si>
  <si>
    <t>कुंवर प्रभाकर सिंह</t>
  </si>
  <si>
    <t>True Nationalist | Socialists for India | Support to BJP | Software Engineer Blessed by @AmitShah @girirajsinghbjp @nstomar @VijayGoelBJP | #HappyBirthdayPM</t>
  </si>
  <si>
    <t>Amarjeet Singh</t>
  </si>
  <si>
    <t>Noida, India</t>
  </si>
  <si>
    <t>Nobody can teach me who I am. Geophysics and planetary science nerd. I also climb rocks, play guitar, and run.</t>
  </si>
  <si>
    <t>Swara Singh</t>
  </si>
  <si>
    <t>12th class commerce student , 17 years old</t>
  </si>
  <si>
    <t>Unmei Nihongo Center</t>
  </si>
  <si>
    <t>Unmei | News: Japan's Abe hails landslide victory in snap election A decision by Japanese Prime Minister Shinzo... https://t.co/WGal4Kwh2a</t>
  </si>
  <si>
    <t>Ortigas Center, Pasig City</t>
  </si>
  <si>
    <t>Japanese Language Center in Ortigas Pasig City, Philippines https://t.co/5rd8el7GD5</t>
  </si>
  <si>
    <t>IPservices</t>
  </si>
  <si>
    <t>Kisumu, Kenya</t>
  </si>
  <si>
    <t>Jamaa Wa Mtaani</t>
  </si>
  <si>
    <t>Daily Briefing: - Catalan brinkmanship with Madrid - Japan's PM election win - UK business want quick Brexit deal… https://t.co/st9q8f5Ob3</t>
  </si>
  <si>
    <t>Clarity21</t>
  </si>
  <si>
    <t>india</t>
  </si>
  <si>
    <t>Nationalist/perfectionist/believe &amp; strive to be a good human being/ twitter is about personal views/retweets &amp; favourites might not be endorsements necessarily</t>
  </si>
  <si>
    <t>AnySource News</t>
  </si>
  <si>
    <t>Daily Briefing: - Catalan brinkmanship with Madrid - Japan's PM election win - UK business want quick Brexit deal… https://t.co/19VM3iBQsJ</t>
  </si>
  <si>
    <t>We cover the latest emerging topics all around the world #breakingnews #news</t>
  </si>
  <si>
    <t>lynx55</t>
  </si>
  <si>
    <t>Green Bay, WI</t>
  </si>
  <si>
    <t>#RESISTANCE #DisABLEd #UniteBlue #wiunion #WIDems #p2 #ProChoice #LegalMJ #Climate #CATS #LGBTQ #ALLY *Trumpers will be blocked*</t>
  </si>
  <si>
    <t>Am Kamath</t>
  </si>
  <si>
    <t>Bangalore, KA, INDIA</t>
  </si>
  <si>
    <t>रामोऽखिलानन्दतनु: स एव भीमोऽतिपापेषु दुरन्तवीर्य:। काम: स एवाजितकामिनीषु सोम: स एवाऽत्मपदाश्रितेषु।। Profile Photo © https://t.co/TdN1v38Ver</t>
  </si>
  <si>
    <t>Rose</t>
  </si>
  <si>
    <t>Hayley_Wright</t>
  </si>
  <si>
    <t>Reuters: Daily Briefing: - Catalan brinkmanship with Madrid - Japan's PM election win - UK business want quick Bre… https://t.co/xphpVZZ9cf</t>
  </si>
  <si>
    <t>Hindustan Zindabaad</t>
  </si>
  <si>
    <t>Nationalist // Pro Governance//Pro Development //PROUD HINDU</t>
  </si>
  <si>
    <t>Social Life In LA</t>
  </si>
  <si>
    <t>Japan's Shinzo Abe conjures a stunning election victory in a boost for Trump https://t.co/dMJURJxOo6</t>
  </si>
  <si>
    <t>Los Angeles, CA</t>
  </si>
  <si>
    <t>Events, Night Life, Trips, Food, Restaurants, Community Manager and more.</t>
  </si>
  <si>
    <t>Yvette zoquai</t>
  </si>
  <si>
    <t>RT @AJEnglish: We look at some of the key questions surrounding Japan’s snap general election as the country votes today https://t.co/6qSKK…</t>
  </si>
  <si>
    <t>Committed to truth and a united world in peace</t>
  </si>
  <si>
    <t>Hector's Diary</t>
  </si>
  <si>
    <t>A big step forward indeed. And in the emerging situation in NE Asia, an understandable direction. https://t.co/TTkzttfFM5</t>
  </si>
  <si>
    <t>LinkedIn</t>
  </si>
  <si>
    <t>Bali / Western Australia</t>
  </si>
  <si>
    <t>Tweets, mostly screeches, about anything I see from The Cage. Particularly loud about idiocy and other political things.</t>
  </si>
  <si>
    <t>Janet Mshilla😎👓🌺</t>
  </si>
  <si>
    <t>Mommy of 2boys...I love Jesus so much...Life Is All About CHOICE.God is The Alpha and Omega.Wisdom is the greatest wealth #JesusFreak #GP</t>
  </si>
  <si>
    <t>Reuters Once</t>
  </si>
  <si>
    <t>node-rss-tweet</t>
  </si>
  <si>
    <t>Twitter bot retweeting news stories just once. Full source and other feeds available on GitHub page. Not affiliated with Reuters.</t>
  </si>
  <si>
    <t>Gman</t>
  </si>
  <si>
    <t>ごったん</t>
  </si>
  <si>
    <t>Auburn, WA</t>
  </si>
  <si>
    <t>修猷 執行部 69th運営競進→🇺🇸なう→？？？？</t>
  </si>
  <si>
    <t>Mike</t>
  </si>
  <si>
    <t>RT @ReutersWorld: Japan's Abe to push pacifist constitution reform after strong election win https://t.co/rS5xY2BJYa</t>
  </si>
  <si>
    <t>TheMikeCompBot2</t>
  </si>
  <si>
    <t>abdulrahman abosife</t>
  </si>
  <si>
    <t>عبدالرحمن ابوسيف</t>
  </si>
  <si>
    <t>SIFEBOOK</t>
  </si>
  <si>
    <t>中島一成</t>
  </si>
  <si>
    <t>松阪→(伊勢)→秦野・平塚→小田原→松阪→岡崎→(金山)</t>
  </si>
  <si>
    <t>よろしくお願いします。三重県生まれ、33歳です。十年程神奈川に居た後、東海地方をうろうろと。Twitterの内容は時事、モータースポーツ、歴史、地域情報、その他諸々で、RTもいいねも量多め。雑記帳のていでラフです。大きめの独り言です。他ツイを読むのが好きです。</t>
  </si>
  <si>
    <t>आलू की फैक्ट्री वाले</t>
  </si>
  <si>
    <t>वीर प्रसूता वसुंधरा का गूंज उठा जो नारा हे।। कहो गर्व से हम हिन्दू हे हिन्दुस्तान हमारा हे।।</t>
  </si>
  <si>
    <t>RT @AJEnglish: BREAKING: Japan's Prime Minister Shinzo Abe is on course for a victory in the country's snap general election https://t.co/f…</t>
  </si>
  <si>
    <t>THAILAND [ TH ]</t>
  </si>
  <si>
    <t>"Japan’s Shinzo Abe Conjures Stunning Election Victory in a Boost for Donald Trump" https://t.co/2PLwXEVQGH #Time</t>
  </si>
  <si>
    <t>นครศรีธรรมราช, ประเทศไทย</t>
  </si>
  <si>
    <t>#News #ThaiLand #ข่าวสาร #ประเทศไทย #NakhonSiThammarat #นครศรีธรรมราช #การเมือง #ค่าครองชีพ #เศรษฐกิจ #ที่นี่เมืองนคร #THAI #ข่าว #Twitter #เมืองคอน #การจราจร 🐾</t>
  </si>
  <si>
    <t>Anuj Pandey</t>
  </si>
  <si>
    <t xml:space="preserve"> Muzaffarpur, India</t>
  </si>
  <si>
    <t>🇮🇳Engineer🇮🇳</t>
  </si>
  <si>
    <t>Mazlan</t>
  </si>
  <si>
    <t>somewhere</t>
  </si>
  <si>
    <t>at the end of the days, only you that matters.</t>
  </si>
  <si>
    <t>Ramon Morell</t>
  </si>
  <si>
    <t>Daily Briefing: - Catalan brinkmanship with Madrid - Japan's PM election win - UK business want quick Brexit deal… https://t.co/kDlNbqqNk3</t>
  </si>
  <si>
    <t>Businessman, trader, lecturer Financial Trading at UNED and International Marketing at ESEM, Lawyer and Economist, consultant</t>
  </si>
  <si>
    <t>$Heenu $h@rm@</t>
  </si>
  <si>
    <t>Tweet$ @re Per$on@l... Sub-Editor at ↪ @ANI ↩</t>
  </si>
  <si>
    <t>Ibrahima Traore</t>
  </si>
  <si>
    <t>Ca. USA</t>
  </si>
  <si>
    <t>Forgive me for offending you, I'm such a brut. I'll forgive all your offenses because your a gentle Giant. Lets wage peace together, you and me. One Love!!!!!</t>
  </si>
  <si>
    <t>Trump Democrat</t>
  </si>
  <si>
    <t>Jasmine Estates, FL</t>
  </si>
  <si>
    <t>Masashi Yukiと時間と言葉</t>
  </si>
  <si>
    <t>びわこ～京都～大阪/somewhere in Japan</t>
  </si>
  <si>
    <t>男/発達障害・鬱・不眠・ADD/びわこ民/ビジュアルアーツ大阪放送映画学科卒&amp;アイホール演劇ファクトリー三期/カワサキNinja250SL/Prog-rock/F1/アクション映画/刑事ドラマ/シンセ＆DTM/アイドル/トップギア/アニメ/演劇=MONO、桃園会、青年団等/先生また芝居したりバンドで歌いたいです。</t>
  </si>
  <si>
    <t>Charlie Campbell</t>
  </si>
  <si>
    <t>Japan's Shinzo Abe conjures stunning election victory in a boost for Trump https://t.co/UcXRTEJJsR</t>
  </si>
  <si>
    <t>Beijing, People's Republic of China</t>
  </si>
  <si>
    <t>Beijing correspondent for @TIME. Head in China, heart in Southeast Asia, face in bowl of khao soi. Audere est Facere.</t>
  </si>
  <si>
    <t>youth4bihar🚩</t>
  </si>
  <si>
    <t>Rosera, India</t>
  </si>
  <si>
    <t>Born to RULE</t>
  </si>
  <si>
    <t>HEAVEN ON FIRE</t>
  </si>
  <si>
    <t>Saint Gallen, Switzerland</t>
  </si>
  <si>
    <t>POLITICS , VISION &amp; RELIGIOUS QUAGMIRES 🇮🇳</t>
  </si>
  <si>
    <t>lishih</t>
  </si>
  <si>
    <t>@Taiwan</t>
  </si>
  <si>
    <t>Janko Bananko</t>
  </si>
  <si>
    <t>TIME: Japan's Shinzo Abe conjures a stunning election victory in a boost for Trump https://t.co/wnmFvZJA6y. https://t.co/kCLfzUFxzq</t>
  </si>
  <si>
    <t>https://t.co/1d0DNM2ac0</t>
  </si>
  <si>
    <t>Mayank Pathak</t>
  </si>
  <si>
    <t>Ahmadabad City, India</t>
  </si>
  <si>
    <t>loved Modi......feeling proud for Narendra Modi Ji..best PM in India and best politicians in this world..little Karyakerta of BJP</t>
  </si>
  <si>
    <t>Mickey mcguire</t>
  </si>
  <si>
    <t>these are my beliefs the UK needs to look after its own before migrants and foreign aid and I wish to get rid of The House of Lords &amp; The so called Honours List</t>
  </si>
  <si>
    <t>Abdulla Aljunaid</t>
  </si>
  <si>
    <t>Japan's Shinzo Abe conjures stunning election victory in a boost for Trump https://t.co/2dFUcQeTsu</t>
  </si>
  <si>
    <t>Bahrain</t>
  </si>
  <si>
    <t>‏‏‏‏لنجتهد في البحث عن انسانيتنا دائما ،كاتب مقال في سكاي نيوز عربية https://t.co/gbVqgqS3RO‎‎‎ و صحيفة مكة https://t.co/IYbatCkgof</t>
  </si>
  <si>
    <t>Ｓｉｓ</t>
  </si>
  <si>
    <t>RT @kevinmeyerson: WTF?! @HuffPostJapan Editor in Chief tweets day before #Japan election that it’s just fine not to vote. Totally irrespon…</t>
  </si>
  <si>
    <t>フットボーラー チャビ・エルナンデスのファン／2015-09-18 憲法を取り戻す。</t>
  </si>
  <si>
    <t>😘Lensa Adhiambo 💞</t>
  </si>
  <si>
    <t>Malindi, Kenya</t>
  </si>
  <si>
    <t>Christ follower//Seventhday Adventist Member//I live by God's grace//Radio is entainment is love // Insta@adhiambolensa 😘😘😘. fb@adhiambolensa email@aollensa</t>
  </si>
  <si>
    <t>Daily Briefing: - Catalan brinkmanship with Madrid - Japan's PM election win - UK business want quick Brexit deal… https://t.co/qpghsUodJj…</t>
  </si>
  <si>
    <t>Karlo Kovač</t>
  </si>
  <si>
    <t>TIME: Japan's Shinzo Abe conjures a stunning election victory in a boost for Trump https://t.co/Jl8NEh9K3K https://t.co/2BoflibjNg</t>
  </si>
  <si>
    <t>Croatia</t>
  </si>
  <si>
    <t>Would i follow myself if i read this</t>
  </si>
  <si>
    <t>Naomi Rebecca</t>
  </si>
  <si>
    <t>Malta</t>
  </si>
  <si>
    <t>uom journalism student, leo, vegetarian and realist</t>
  </si>
  <si>
    <t>Toksy</t>
  </si>
  <si>
    <t>Presenter | Artist | Aspiring Writer | Photography Enthusiast - follow me for some of the most interesting stuff and ah-mazing images on the planet.</t>
  </si>
  <si>
    <t>varun singh negi</t>
  </si>
  <si>
    <t>New Delhi,INDIA</t>
  </si>
  <si>
    <t>Typhoon leaves two dead after lashing Japan on election day #TISNews Click Link- https://t.co/HZGLjwsMyq https://t.co/xugJ83WEBx</t>
  </si>
  <si>
    <t>Typhoon leaves 2 dead on Japan election day #TISNews Click Link- https://t.co/8XCuRTVcxv https://t.co/dfQ3mNCuxu</t>
  </si>
  <si>
    <t>なす＠さばまま</t>
  </si>
  <si>
    <t>urban transport research assistant, born in Kagosihma w/ Amami roots, playing Fl, Sax, living w/ 3 cute cats. love entertainment.</t>
  </si>
  <si>
    <t>Оксана Степаненко</t>
  </si>
  <si>
    <t>Admiral General</t>
  </si>
  <si>
    <t>gfdrgbvhjuu</t>
  </si>
  <si>
    <t xml:space="preserve">Krasnovia, ︻デ═一 Atropia </t>
  </si>
  <si>
    <t>Ahurastan applauds Iran's compliance w/ international nuclear regulations; reminds inspectors not to look in that closet over there #ShariaLaw #CAIR #IKHWAN #ال</t>
  </si>
  <si>
    <t>Nand Kishor Shukla</t>
  </si>
  <si>
    <t>Balrampur, India</t>
  </si>
  <si>
    <t>मेरे देश का समाजवाद मालगोदाम मे लटकती हुई उन बालि्टयो की तरह है जिस पर आग लिखा है और उनमे बालू और पानी भरा है।</t>
  </si>
  <si>
    <t>shashikant verma</t>
  </si>
  <si>
    <t>new delhi, India</t>
  </si>
  <si>
    <t>Jubilee's Nightmare</t>
  </si>
  <si>
    <t>Kitengela, Kenya</t>
  </si>
  <si>
    <t>Its about Kenya take no personal offense</t>
  </si>
  <si>
    <t>Hitesh</t>
  </si>
  <si>
    <t>Khambhalia, India</t>
  </si>
  <si>
    <t>Rahul Burnwal</t>
  </si>
  <si>
    <t xml:space="preserve">India jharkhand </t>
  </si>
  <si>
    <t>Day is very near when I Will become a national spokesperson.</t>
  </si>
  <si>
    <t>Ceiça Rocha</t>
  </si>
  <si>
    <t>Viciada em leitura, café, artes em geral e viajar. ☕️✈️ ☺️</t>
  </si>
  <si>
    <t>██████████</t>
  </si>
  <si>
    <t>Japan’s Shinzo Abe Conjures Stunning Election Victory in a Boost for Donald Trump https://t.co/mhe6R7PvsD</t>
  </si>
  <si>
    <t>Latest Thailand &amp; World News - ข่าวล่าสุด</t>
  </si>
  <si>
    <t>REUTERS reports Daily Briefing: - Catalan brinkmanship with Madrid - Japan's PM election win - UK business want qu… https://t.co/Ykdwnkn8xD</t>
  </si>
  <si>
    <t>Machiavelli</t>
  </si>
  <si>
    <t>Realist/Believer in greatness/Kirgit/Arsenal fan/Gamer/Rock die hard</t>
  </si>
  <si>
    <t>Ray Lawson</t>
  </si>
  <si>
    <t>Japan's Shinzo Abe conjures stunning election victory in a boost for Trump https://t.co/sbL6WolZng</t>
  </si>
  <si>
    <t>Kenosha, Wi</t>
  </si>
  <si>
    <t>Owner Operator Trucker since 1974, Lifetime OOIDA member. Still amazed at how much my dogs add to my life. Spelling Challenged Progressive who can think.</t>
  </si>
  <si>
    <t>Flawless Magazine</t>
  </si>
  <si>
    <t>RT BoF "With Japan's prime minister Abe claiming a big election win, learn about the people shaping fashion in the… https://t.co/xseUrOkvkX"</t>
  </si>
  <si>
    <t>Dublin, Ireland</t>
  </si>
  <si>
    <t>Flawless Magazine is an online monthly fashion magazine featuring international photographers, models, designers and artists</t>
  </si>
  <si>
    <t>Kidambi GP Sarathy</t>
  </si>
  <si>
    <t>An oasis.</t>
  </si>
  <si>
    <t>A wannabe philonthrapist who is yet to complete his own materialistic journey! A day dreamer in entirety for the well being of fellow global villagers.</t>
  </si>
  <si>
    <t>RT @NewzBoxOffice: Japan election: Shinzo Abe may have won majority but has fai #TISNews Click Link- https://t.co/yWf6cCfqe4 https://t.co/l…</t>
  </si>
  <si>
    <t>INDIA now MODIfied</t>
  </si>
  <si>
    <t>Tweets are like Ants biting an elephant...when ant bites in the ear moves the heaviest sleeping elephant &amp; each tweet here dedicated to make NaMo PM of India</t>
  </si>
  <si>
    <t>Niraj Bhatnagar#NTG</t>
  </si>
  <si>
    <t>Bikaner, India</t>
  </si>
  <si>
    <t>stop human &amp; animals killings!</t>
  </si>
  <si>
    <t>Magan swami</t>
  </si>
  <si>
    <t>Uttar Pradesh, India</t>
  </si>
  <si>
    <t>I m proud to be an INDIAN.Bharat Mata ki Jai.</t>
  </si>
  <si>
    <t>New world news from Time: https://t.co/P0RcpoV5g1</t>
  </si>
  <si>
    <t>राजा बाबू</t>
  </si>
  <si>
    <t>Bhojpur, India</t>
  </si>
  <si>
    <t>सनकी नं.1</t>
  </si>
  <si>
    <t>Vikash Vatsa</t>
  </si>
  <si>
    <t>Haryana, India</t>
  </si>
  <si>
    <t>India First. Indian. Don't believe in Castism. Narendar Modi G my Ideal leader.</t>
  </si>
  <si>
    <t>Oddwani</t>
  </si>
  <si>
    <t>Never knew I had an opinion on everything, till twitter happened!</t>
  </si>
  <si>
    <t>Chetan Kumar</t>
  </si>
  <si>
    <t>Gujarat,India</t>
  </si>
  <si>
    <t>Peter wanjama</t>
  </si>
  <si>
    <t>Nairobi/kenya</t>
  </si>
  <si>
    <t>simple dude!</t>
  </si>
  <si>
    <t>Bloomberg TV</t>
  </si>
  <si>
    <t>These are the winners and losers of Japan's landslide election https://t.co/QqzH1xGSqG https://t.co/G4Gdc2irVp</t>
  </si>
  <si>
    <t>Breaking news. Exclusive interviews. Market-moving scoops. Watch Bloomberg #Daybreak LIVE on @Twitter, every weekday from 7:00 - 9:00 AM ET.</t>
  </si>
  <si>
    <t>Bloomberg Asia</t>
  </si>
  <si>
    <t>These are the winners and losers of Japan's landslide election https://t.co/ApBNOatRUx https://t.co/uyWMJZ1PRt</t>
  </si>
  <si>
    <t>The official Twitter account for Bloomberg in Asia, bringing you the top stories in business from the region and around the world.</t>
  </si>
  <si>
    <t>rajesh</t>
  </si>
  <si>
    <t>信也</t>
  </si>
  <si>
    <t>RT @asuka_250: What now for Japan after Abe's landslide election victory? https://t.co/7ZMDovHUGj</t>
  </si>
  <si>
    <t>群馬・安中市</t>
  </si>
  <si>
    <t>「民はなお滅びに向かっていた」 ※リツイートやいいねは必ずしも賛同をあらわすものではありません。</t>
  </si>
  <si>
    <t>वेद प्रकाश</t>
  </si>
  <si>
    <t>Bangkok, Thailand</t>
  </si>
  <si>
    <t>जिन्दगी उसी भागते हुए वक़्त का नाम है जिसमे हम आने वाले वक़्त के लिए प्लानिंग कर रहे होते हैं.</t>
  </si>
  <si>
    <t>Chickenrap</t>
  </si>
  <si>
    <t>Thailand</t>
  </si>
  <si>
    <t>ᑕᕼIᑕKEᑎᖇᗩᑭ | ᑎᗩKᗷᔕ 101 | 2000 ⓈⓉⒾⓁⓁ ⒺⓍⒾⓈⓉ NEW ACCOUNT ALERT!</t>
  </si>
  <si>
    <t>VARUN MEHROTRA</t>
  </si>
  <si>
    <t>Moradabad, Uttar Pradesh</t>
  </si>
  <si>
    <t>🇮🇳जिधर नज़र जाए मेरा हिंद नज़र आए🇮🇳</t>
  </si>
  <si>
    <t>Delmer Duboise #MGWV</t>
  </si>
  <si>
    <t>RT @MikeZane3: Japan’s Abe to push pacifist constitution reform after strong election win - https://t.co/3vtCr66nhP</t>
  </si>
  <si>
    <t>Pro Israel. Constitution Pro TRUMP Lacrosse Fan. Fight against Child Abuse/Child Cancer Military Blue Lives Christian / Ordained Minister preach KJV BIBLE</t>
  </si>
  <si>
    <t>Noor Fuad F</t>
  </si>
  <si>
    <t>RT @NAR: Japan election results: Nikkei's latest projection shows Abe's coalition wins 312 seats. https://t.co/UbUCkeiNoQ</t>
  </si>
  <si>
    <t>DKI Jakarta, Indonesia</t>
  </si>
  <si>
    <t>BKPM RI</t>
  </si>
  <si>
    <t>Krunox</t>
  </si>
  <si>
    <t>Japan’s Shinzo Abe Conjures Stunning Election Victory in a Boost for Donald Trump https://t.co/BKSUocAXDh</t>
  </si>
  <si>
    <t>Not Found</t>
  </si>
  <si>
    <t>Latest news, stories, rumors, and more from numerous sources of newsfeed and social media accounts.</t>
  </si>
  <si>
    <t>T B Singh</t>
  </si>
  <si>
    <t>Politician &amp; Social Worker</t>
  </si>
  <si>
    <t>SeiTomo’z®</t>
  </si>
  <si>
    <t>Tokyo,Japan</t>
  </si>
  <si>
    <t>Life is better when you're laughing .</t>
  </si>
  <si>
    <t>Jaykush S Modi 🇮🇳</t>
  </si>
  <si>
    <t>Ahmedabad, India</t>
  </si>
  <si>
    <t>Convener @ThinkIndia_Guj of @ThinkIndia_ | Nationalist @ABVPVoice | Indian Youth Delegate to China by @YASMinistry of @Indiagovin | love #IndianArmy</t>
  </si>
  <si>
    <t>Siti Fatimah</t>
  </si>
  <si>
    <t>These are the winners and losers of Japan's landslide election https://t.co/kQgorlvvII https://t.co/9uLwjLQe6k #fb #sitifatimah #malaysia</t>
  </si>
  <si>
    <t>Johor Bahru, Johor</t>
  </si>
  <si>
    <t>Financial Consultant with Phillip Capital</t>
  </si>
  <si>
    <t>Anoop Singh</t>
  </si>
  <si>
    <t>Sports Cricketers and Commentators</t>
  </si>
  <si>
    <t>KarloMdz: TIME: Japan's Shinzo Abe conjures a stunning election victory in a boost for Trump … https://t.co/kCLfzUFxzq</t>
  </si>
  <si>
    <t>RT @FinancialXpress: What is #Japan's Pacifist constitution that #ShinzoAbe wants to reform after strong #election win https://t.co/vAiw6tX…</t>
  </si>
  <si>
    <t>Vi Rai⚡️ (ϑ ℛai)</t>
  </si>
  <si>
    <t>#BloombergTV ❧ These are the winners and losers of Japan's landslide election https://t.co/HBkDlZ0ahb https://t.co/eOl3EIiFkI</t>
  </si>
  <si>
    <t>Startup Zealot ☄ archiving best ☯ News &amp; latest⏳Trend #1st ➤ retweet ♻️ ℀ @Verified ℅ Twitter® ⏰ Retweets:endorphins #Tweets⚡Endorsement ❌ Everywhere ▶️ vrai777</t>
  </si>
  <si>
    <t>Two dead as typhoon slams into Japan after election day https://t.co/dJ9O7oMJOc</t>
  </si>
  <si>
    <t>Aditi Baghel</t>
  </si>
  <si>
    <t>Civil Engineer_Creative Writer IAS Aspirant @SRIRAMIAS ACADEMY &amp; Sociology @ELITEIAS Academy Proud Indian &amp; one day wanna b My Nation's PRIDE</t>
  </si>
  <si>
    <t>ws2805</t>
  </si>
  <si>
    <t xml:space="preserve">Korea </t>
  </si>
  <si>
    <t>SG Breaking News</t>
  </si>
  <si>
    <t>Japan’s Shinzo Abe Conjures Stunning Election Victory in a Boost for Donald Trump https://t.co/HKe6JV2m2D… https://t.co/cyZiQkJSMt</t>
  </si>
  <si>
    <t>All latest Singapore breaking news, updated to you directly.</t>
  </si>
  <si>
    <t>원🌸블리❤️</t>
  </si>
  <si>
    <t>Dir en grey❤️ 후쿠오카 자주출몰 ✈️</t>
  </si>
  <si>
    <t>Rooney Katuah</t>
  </si>
  <si>
    <t>Mombasa</t>
  </si>
  <si>
    <t>Entrepreneur | Investment Banker | Economist | Lifetime student | Manchester United | Rhumba Bakulutu | Retweets are not endorsements |</t>
  </si>
  <si>
    <t>shinsuke</t>
  </si>
  <si>
    <t>What is crime and what is not? What is justice? I think I forgot Squeeze The Trigger, 1986 Ain't a damn thing changed, motherfucker!</t>
  </si>
  <si>
    <t>arpan nayak</t>
  </si>
  <si>
    <t>baatar02</t>
  </si>
  <si>
    <t>RT @business: MORE: Here's how Japan PM Shinzo Abe responded to his projected election victory https://t.co/Re6RX8nNXF https://t.co/5jGFrYK…</t>
  </si>
  <si>
    <t>New world news from Time: https://t.co/L2NpuuFEjT In a nod to his nationalist agenda and tough line with rogue state North Korea, Japane…</t>
  </si>
  <si>
    <t>Jacky</t>
  </si>
  <si>
    <t>Greater Accra, Ghana</t>
  </si>
  <si>
    <t>Life-long Learner/ Liberty Fighter/ Blessed/ Fortunate/ Humbly Living &amp; Working in Ghana with Life Motto "Future is Now &amp; Unset"</t>
  </si>
  <si>
    <t>Daily Briefing: - Catalan brinkmanship with Madrid - Japan's PM election win - UK business want quick Brexit deal… https://t.co/qvMaOtfeUX…</t>
  </si>
  <si>
    <t>Daily Briefing: - Catalan brinkmanship with Madrid - Japan's PM election win - UK business want quick Brexit dealhttps://t.co/FrhWeYNjQJ …</t>
  </si>
  <si>
    <t>قطاف كتّاب السعودية</t>
  </si>
  <si>
    <t>RT @aj_jobs: Japan's Shinzo Abe conjures stunning election victory in a boost for Trump https://t.co/2dFUcQeTsu</t>
  </si>
  <si>
    <t>RoundTeam</t>
  </si>
  <si>
    <t>Saudi Arabia</t>
  </si>
  <si>
    <t>مختارات لبعض من الكتّاب السعوديين والمهتمين بالرأي العام ومقتطفات من الصحافة السعودية</t>
  </si>
  <si>
    <t>Pagina Nuova</t>
  </si>
  <si>
    <t>TIME WORLD - Japan’s Shinzo Abe Conjures Stunning Election Victory in a Boost for Donald Trump https://t.co/BeCavWTJxH #PaginaNuova #Press</t>
  </si>
  <si>
    <t xml:space="preserve"> Torino, Italy</t>
  </si>
  <si>
    <t>Pagina Nuova è un news magazine multimediale dedicato alla cultura, all'attualità e allo sport, che dedica grande attenzione ai libri. La conoscenza condivisa!</t>
  </si>
  <si>
    <t>Jun</t>
  </si>
  <si>
    <t>北海道札幌市在住。 天下御免の素浪人。 戦争反対、TPP反対、消費税増税反対、脱原発賛成です。 政治、政策は我々の生活に大きく影響する。関心持ちましょう。主権者の民が愚かなら民主主義も失敗する。</t>
  </si>
  <si>
    <t>Eshank goel</t>
  </si>
  <si>
    <t>CL</t>
  </si>
  <si>
    <t>Sarawak, Malaysia</t>
  </si>
  <si>
    <t>Passionate for all things art | Fashion Enthusiast | Cook | Your Nerdy Badass | Annoying piece of fuck</t>
  </si>
  <si>
    <t>Anna Fedorova</t>
  </si>
  <si>
    <t>RT @BloombergTV: These are the winners and losers of Japan's landslide election https://t.co/QqzH1xGSqG https://t.co/G4Gdc2irVp</t>
  </si>
  <si>
    <t>News editor at Investment Week, a leading trade publication serving the investment management industry. All views my own.</t>
  </si>
  <si>
    <t>Yoshifuyu</t>
  </si>
  <si>
    <t>Interests: Sports, TV dramas, News, Politics, Movies, Restaurants, Astronomy, Weightlifting, Jogging, Music, Science, History, Medicine, Reading</t>
  </si>
  <si>
    <t>Pragnesh Thakkar</t>
  </si>
  <si>
    <t>Love is Everywhere</t>
  </si>
  <si>
    <t>Sid</t>
  </si>
  <si>
    <t>#India - Japan's Nikkei hits new highs after Abe wins election - The Hindu https://t.co/ybDlI6UplP #topstories</t>
  </si>
  <si>
    <t>Computers, movies &amp; internet make my world. My FB pages: http://t.co/MlCapQ64l5 http://t.co/EOP542pEpo</t>
  </si>
  <si>
    <t>Sandeep Deo</t>
  </si>
  <si>
    <t>Newdelhi</t>
  </si>
  <si>
    <t>Best seller Author for Non-fiction category (By Nilson-Dainik Jagran-2017). First Hindi Author for @Bloomsburypub.Written 7 books. Editor https://t.co/j83gFgd4Q8</t>
  </si>
  <si>
    <t>BloombergQuint</t>
  </si>
  <si>
    <t>Abe’s solid election win green lights a continuation of the Bank of Japan’s massive economic stimulus. https://t.co/gKiTCTnNzD</t>
  </si>
  <si>
    <t>#India’s premier multi-platform #business and financial #news company.</t>
  </si>
  <si>
    <t>Dracarys</t>
  </si>
  <si>
    <t>Africa - Mamaland</t>
  </si>
  <si>
    <t>mtajua hamjui| lawyer| LFC #YNWA|</t>
  </si>
  <si>
    <t>RT: @reuters :Daily Briefing: - Catalan brinkmanship with Madrid - Japan's PM election win - UK business want quick Brexit deal… https://t.c</t>
  </si>
  <si>
    <t>Eric  Plankton</t>
  </si>
  <si>
    <t>アイコンはエリック クラプトンの肖像です。当方はエリック プランクトンです。自主憲法制定を求めます。外国人に参政権を与えるのは、地方も含め、絶対に反対です。移民、難民の認定は厳しくし、認定されなかったものは速やかに国外に退去するように求めます。自衛官が 任務遂行中に受傷死亡した場合手厚い保障と名誉を与えてください。</t>
  </si>
  <si>
    <t>stephanie d roth</t>
  </si>
  <si>
    <t>Berlin</t>
  </si>
  <si>
    <t>The News Globe</t>
  </si>
  <si>
    <t>Japan's Abe to push pacifist constitution reform after strong election win - https://t.co/CKD6ZvjHTq</t>
  </si>
  <si>
    <t>Receive the latest news from around the world straight to your twitter feed. News is updated every 10 minutes from sites world-wide!</t>
  </si>
  <si>
    <t>Aleida Samallo</t>
  </si>
  <si>
    <t>The Netherlands</t>
  </si>
  <si>
    <t>Creativist, Thinker, Blogger &amp; Gamer | madly in love with awesome movies, bustamove tunes, epic videogames, delicious food &amp; geeking out 🙋🏽🎮⚡️</t>
  </si>
  <si>
    <t>Khagesh Chandra</t>
  </si>
  <si>
    <t>Rw</t>
  </si>
  <si>
    <t>Viewfinder: A General Election in Japan https://t.co/jVNN7zDKdl</t>
  </si>
  <si>
    <t>Scarlet Ohara</t>
  </si>
  <si>
    <t>RT @BloombergQuint: Abe’s solid election win green lights a continuation of the Bank of Japan’s massive economic stimulus. https://t.co/gKi…</t>
  </si>
  <si>
    <t>INA - Immortal Country</t>
  </si>
  <si>
    <t>Standard of living IDR10K starts 16072013_The Next China</t>
  </si>
  <si>
    <t>بوابة مجتمع السعودية</t>
  </si>
  <si>
    <t>بوابة مفتوحة للحوار و النقاش فيما يخص المجتمع السعودي</t>
  </si>
  <si>
    <t>TopFiveTradersCS</t>
  </si>
  <si>
    <t>RT BloombergTV "These are the winners and losers of Japan's landslide election https://t.co/tS0NhVuDtw https://t.co/o9jYoQcMEM"</t>
  </si>
  <si>
    <t>The War Room</t>
  </si>
  <si>
    <t>CSR 4 https://t.co/hanZmCmf5C - Our main Twitter handle is @TopFiveTraders - Our premium service is https://t.co/WOym8AwsTd</t>
  </si>
  <si>
    <t>shiv sisodia</t>
  </si>
  <si>
    <t>Clyde_Peters</t>
  </si>
  <si>
    <t>tomatom@たぬきの尻尾は手入れ必要</t>
  </si>
  <si>
    <t>RT @kenything: What now for Japan after Abe's landslide election victory? https://t.co/DpHLAwJPWx</t>
  </si>
  <si>
    <t>おれはこわいねこなんだぜい！ ストップ風疹 https://t.co/mjuso6EB95</t>
  </si>
  <si>
    <t>MediaSyndicate</t>
  </si>
  <si>
    <t>Japan's Election and Tesla's Agreement - This is What You Need to Know https://t.co/NCjdvU17Hg</t>
  </si>
  <si>
    <t>North America</t>
  </si>
  <si>
    <t>http://t.co/HnxVOeGXkd Free press release posting site for small to medium sized businesses - since 1999.</t>
  </si>
  <si>
    <t>クライテン</t>
  </si>
  <si>
    <t>北国</t>
  </si>
  <si>
    <t>北国は最高</t>
  </si>
  <si>
    <t>Newsline</t>
  </si>
  <si>
    <t>Typhoon Lan barrels toward Japan, delays election count https://t.co/rgMwXMm6Cx</t>
  </si>
  <si>
    <t>U.S.A.</t>
  </si>
  <si>
    <t>Newsline is Breaking News from Around the World. Official source of news for https://t.co/P1mH8mz3l2</t>
  </si>
  <si>
    <t>Екатерина Баева</t>
  </si>
  <si>
    <t>Vipul Jasani</t>
  </si>
  <si>
    <t>Japan’s Shinzo Abe Conjures Stunning Election Victory in a Boost for Donald Trump https://t.co/WpiKr9IlWi</t>
  </si>
  <si>
    <t>Love business, investments with High ROI, technology, innovation, social media, work without price tags. Volunteer for life #Giveback</t>
  </si>
  <si>
    <t>Harley🦄</t>
  </si>
  <si>
    <t xml:space="preserve">North Wales/Manchester </t>
  </si>
  <si>
    <t>Shake it till the moon becomes the sun</t>
  </si>
  <si>
    <t>かんた@日の丸・巨人</t>
  </si>
  <si>
    <t>日本國</t>
  </si>
  <si>
    <t>都内某Ｋ大学2年/巨人/杉内・坂本・菅野/目指せ日本一‼️/日本大好き‼️/祭り大好き‼️/祭り嫌い・やらないは非国民‼️/敬天愛人/立憲政友会/最近の好きな芸能人 生田佳那さん・関ジャニ∞‼️/根性論好き/無言追加陳謝</t>
  </si>
  <si>
    <t>Laura Ballington</t>
  </si>
  <si>
    <t>RT @DeepikaPadukono: @narendramodi @AbeShinzo Heartiest greetings to my dear friend @AbeShinzo on his big election win. Look forward to fur…</t>
  </si>
  <si>
    <t>LauraBallington</t>
  </si>
  <si>
    <t>Chitwan Online FM</t>
  </si>
  <si>
    <t>Abe to push reform of Japan’s pacifist constitution after election win https://t.co/vTowywagTo https://t.co/V2EPODHCyq</t>
  </si>
  <si>
    <t>Chitwan,Nepal</t>
  </si>
  <si>
    <t>Chitwan Online FM is the first Online Hosted FM from Chitwan. This Fm is offering 24 hours a day, 7 days a week music around the world.</t>
  </si>
  <si>
    <t>كتّاب من السعودية</t>
  </si>
  <si>
    <t>المملكة العربية السعودية</t>
  </si>
  <si>
    <t>مختارات لنخبة وباقة من الكتّاب والمغردين السعوديين, نأمل ونتطلع للتفاعل معهم لإثراء المجتمع السعودي والنهوض به. إعادة التغريدة ليس بالضرورة الموافقة على مضمونها</t>
  </si>
  <si>
    <t>FRANCIS K S LIM</t>
  </si>
  <si>
    <t>After election win, Abe prioritizes North Korea, aging Japan: Fresh off a decisive election… https://t.co/OJJii0lmYk</t>
  </si>
  <si>
    <t xml:space="preserve">Thailand Malaysia Indonesia </t>
  </si>
  <si>
    <t>CEO Founder Suntex Strategic Investment Ltd (Private Investment Banking) PSS WORLDWIDE-TOP OF THE WORLD - HOTEL &amp; RESORTS</t>
  </si>
  <si>
    <t>Paul Devereaux</t>
  </si>
  <si>
    <t>Japan's Abe to push pacifist constitution reform after strong election win https://t.co/nUWawHXQRV</t>
  </si>
  <si>
    <t xml:space="preserve">Sunny South florida </t>
  </si>
  <si>
    <t>cute gal</t>
  </si>
  <si>
    <t>news</t>
  </si>
  <si>
    <t>New world news from Time: https://t.co/h99xCmpeCN</t>
  </si>
  <si>
    <t>China's Xi given 2nd 5-year term as Communist Party leader https://t.co/QZu5fbtmad</t>
  </si>
  <si>
    <t>giulia sandri</t>
  </si>
  <si>
    <t>RT @PippaN15: 40% fall in # of LDP women candidates. Worst record for women's rep among all rich demo. https://t.co/tz28bsGOKn</t>
  </si>
  <si>
    <t>Associate Professor in Political Science, ESPOL - Université Catholique de Lille,#primaries, #Italianpolitics,#politicalparties</t>
  </si>
  <si>
    <t>Sushil</t>
  </si>
  <si>
    <t>Free Spirit</t>
  </si>
  <si>
    <t>RT @Lawsonbulk: Japan's Shinzo Abe conjures stunning election victory in a boost for Trump https://t.co/sbL6WolZng</t>
  </si>
  <si>
    <t>"Water Is Life" #ImStillWithHer #StrongerTogether #DumpTrump Trump Trolls will be blocked!;</t>
  </si>
  <si>
    <t>RT: reuters :Daily Briefing: - Catalan brinkmanship with Madrid - Japan's PM election win - UK business want quick… https://t.c</t>
  </si>
  <si>
    <t>RodgerE1</t>
  </si>
  <si>
    <t>EnterContests</t>
  </si>
  <si>
    <t>Springfield, GA</t>
  </si>
  <si>
    <t>Computer Programmer, loves Classic Rock and Horror Movies.</t>
  </si>
  <si>
    <t>faris taiey</t>
  </si>
  <si>
    <t>New world news from Time: https://t.co/mUJy1XPD5p https://t.co/gVApmCAbAN</t>
  </si>
  <si>
    <t>Justice is the Basis of Ruling #no_justice_in_iraq #thaarjustice #BBC #RT #CNN #Breaking #BreakingNews #news #BBCArabic #CNNArabic #RTArabic #GoThere RT# endo</t>
  </si>
  <si>
    <t>山本　まさる</t>
  </si>
  <si>
    <t>テレビのニュース番組で映像編集をしております。 自転車で旅行することが唯一の趣味。最近はもっぱら子供と自転車で近所を散歩。家族で自転車旅行をすることが次の小さな目標。</t>
  </si>
  <si>
    <t>MineralCentric</t>
  </si>
  <si>
    <t>OilNews: Japan's Nikkei rises for a 15th straight session after Abe's election win https://t.co/0Xy18Xinbp</t>
  </si>
  <si>
    <t>Fort Worth, TX</t>
  </si>
  <si>
    <t>MineralCentric serves as the mineral management division of Pheasant Energy. Please contact us about enhancing your O&amp;G revenue today!</t>
  </si>
  <si>
    <t>OilNews: ASIA MARKETS: Japan's Nikkei Rises For A 15th Straight Session After Abe's Election Win https://t.co/4sAjLofYko</t>
  </si>
  <si>
    <t>TS Mohan</t>
  </si>
  <si>
    <t>Retweets may not be endorsements</t>
  </si>
  <si>
    <t>Emma Wall</t>
  </si>
  <si>
    <t>BBC News - Nikkei hits new highs after Japan election https://t.co/sii4vDAlDS</t>
  </si>
  <si>
    <t>Financial journalist and Harlequins rugby fan. Senior Editor of Morningstar UK, personally tweeting. All views are my own.</t>
  </si>
  <si>
    <t>Stuart A. Woods</t>
  </si>
  <si>
    <t>Sunbury, Victoria</t>
  </si>
  <si>
    <t>This is my social twitter page, I'm a Service Technician in IT determined to make a difference in IT my new business / tech tips twitter is: @StuWoodsMACSCT</t>
  </si>
  <si>
    <t>Kolao</t>
  </si>
  <si>
    <t>Alberto Allen</t>
  </si>
  <si>
    <t>#Abe to push reform of Japan's pacifist constitution after election win https://t.co/pBBVQ4ydOJ</t>
  </si>
  <si>
    <t>Rio de Janeiro</t>
  </si>
  <si>
    <t>WORLD, SPORTS, NEWS... AND INFORMATIONS Thx you follow me I youtube alberto costa allen</t>
  </si>
  <si>
    <t>Kumar Pandey</t>
  </si>
  <si>
    <t>Human Resources at QuessCorp Ltd.</t>
  </si>
  <si>
    <t>Japan’s Shinzo Abe Conjures Stunning Election Victory in a Boost for Donald Trump https://t.co/gv9BB4HjVc via @TIMEPolitics</t>
  </si>
  <si>
    <t>Almanarnews English</t>
  </si>
  <si>
    <t>🔶 Typhoon leaves five dead after lashing Japan on election day</t>
  </si>
  <si>
    <t>EnglishSocialNetworking</t>
  </si>
  <si>
    <t>Beirut, Lebanon</t>
  </si>
  <si>
    <t>It is a News Website which also displays the programs of Al-Manar TV, the channel of the Lebanese resistance to the Israeli occupation.</t>
  </si>
  <si>
    <t>CNBCTraders</t>
  </si>
  <si>
    <t>RT TFTCS "RT BloombergTV "These are the winners and losers of Japan's landslide election https://t.co/BcwM3afH1C https://t.co/wBRuUjroBX""</t>
  </si>
  <si>
    <t>Outside the set of CNBC</t>
  </si>
  <si>
    <t>Follow the best #CNBC traders @riskreversal, @timseymour, @guyadami. @BKBrianKelly - Our premium service https://t.co/WOym8AwsTd</t>
  </si>
  <si>
    <t>石本 啓之</t>
  </si>
  <si>
    <t>長崎 川棚町</t>
  </si>
  <si>
    <t>衆議院議員秘書＊元川棚町議会議員＊iPhone X所持(米国で入手)＊(広島・長崎を背負う者として)核兵器は廃絶＊LGBT容認＊格安海外旅行✈️の達人</t>
  </si>
  <si>
    <t>kyookine</t>
  </si>
  <si>
    <t>Japan’s Nikkei rises for a 15th straight session after Abe’s election win https://t.co/fRIEP87ucI</t>
  </si>
  <si>
    <t>Chiba　Japan</t>
  </si>
  <si>
    <t>主に米国、英独仏・露・中・印度・トルコ・ブラジルその他海外の金融＆商品相場ネタをツイート。 戦争に弱い国の株・通貨・債券は買わないことにしています。米株売買を例年通り、10月～11月末までに買い、5月～6月末までに売り、7月～9月と12月～4月末までは休み。常時現金比率35％以上でバーゲンハント待機。常時順張り。</t>
  </si>
  <si>
    <t>INFINITY 💎🐉</t>
  </si>
  <si>
    <t>In a casket</t>
  </si>
  <si>
    <t>Just trying to thrive in uncertian times Streetwear Toku and Science</t>
  </si>
  <si>
    <t>Pedram Moallemian</t>
  </si>
  <si>
    <t>Two dead as typhoon slams into Japan after election day | https://t.co/ABEb6ifiBa | #Iran</t>
  </si>
  <si>
    <t>Toronto, Ontario</t>
  </si>
  <si>
    <t>Iranian-Canadian-American from Toronto. Social Activist, Coach, Artist, Photographer, Writer, Expert on Iran &amp; Middle East. Tweeted links are not an endorsement</t>
  </si>
  <si>
    <t>J.L. Martin</t>
  </si>
  <si>
    <t>North Carolina, USA</t>
  </si>
  <si>
    <t>lesbian, wife, mother, student, powerlifter, IntersectionalFeminist, Member of The Resistance, Citizen of the World, hold a degree in Sociology&amp;Forensic Psych</t>
  </si>
  <si>
    <t>M©Kinney6™™™</t>
  </si>
  <si>
    <t>Danville Ky</t>
  </si>
  <si>
    <t>I look up, Thank God.. Danville highschool graduate class of 2013. Work.GoodVibes.Music.Basketball 8 5 9 5 8 3 4 9 1 2</t>
  </si>
  <si>
    <t>Japan Election Vindicates Shinzo Abe as His Party Wins Big - New York Times: New York Times… https://t.co/ReovuPY46i https://t.co/8rH7D7B8Ab</t>
  </si>
  <si>
    <t>Lindsay  Rogers</t>
  </si>
  <si>
    <t>Auckland New Zealand</t>
  </si>
  <si>
    <t>Yazdgerd J Bilimoria</t>
  </si>
  <si>
    <t>RT @firstpost: #TyphoonLan lashes #Japan on election day, leaves five dead, one missing, scores injured https://t.co/fBEtVJbKKZ</t>
  </si>
  <si>
    <t>1978 - 2008.. LIFE made ME disgruntled! 2008 - NOW.. Time personified, my personality has turned to Ether!Jst an Xseptionl Advertising Copy writer..5EE89FA1 bbm</t>
  </si>
  <si>
    <t>Jagan Kumar Rana</t>
  </si>
  <si>
    <t>Live in india who anti bjp. Seen the japan election . Learn how can you improve yr personal image, and country images. Now modi sir in Q...</t>
  </si>
  <si>
    <t>J&amp;k</t>
  </si>
  <si>
    <t>Wants make singer but... Now in job In central govt... I LIKE WHO THINK FOR BETTER HINDUSTAN. My view about politics, judging....</t>
  </si>
  <si>
    <t>Joji,,Quaesitor</t>
  </si>
  <si>
    <t>「彼を知りて己を知れば百戦して危うからず 彼を知らずして己を知らば勝敗分かれ 彼を知らず己を知らざれば戦うごとに必ず敗る」■捏造の南京大虐殺https://t.co/XTF3he3OB0 南京大屠杀だとされる写真https://t.co/b4nXpsz9mO</t>
  </si>
  <si>
    <t>Social Life In Miami</t>
  </si>
  <si>
    <t>Japan's Shinzo Abe conjures a stunning election victory in a boost for Trump https://t.co/eQQDMVYGAZ</t>
  </si>
  <si>
    <t>Miami, FL</t>
  </si>
  <si>
    <t>TopFiveTraders</t>
  </si>
  <si>
    <t>RT TFTCS "RT BloombergTV "These are the winners and losers of Japan's landslide election https://t.co/xIKlkn5yHT https://t.co/5y9BHZA6ac""</t>
  </si>
  <si>
    <t>The Trading Desk</t>
  </si>
  <si>
    <t>#TFT is a cool subscription site 4 stock traders. Get the best alerts in the business https://t.co/WOym8AwsTd #NASDAQ, #NYSE</t>
  </si>
  <si>
    <t>ネコラスケイジ</t>
  </si>
  <si>
    <t>ネコ科, ユーモア, たまに闇堕ち, 時事ネタは是々非々, ポリコレと綺麗事にアレルギーあり…</t>
  </si>
  <si>
    <t>Narasimhan G</t>
  </si>
  <si>
    <t>Bangalore</t>
  </si>
  <si>
    <t>Research Scholar, Bangalore University.</t>
  </si>
  <si>
    <t>BibhuPrasadMahapatra</t>
  </si>
  <si>
    <t>Student, Gold Medalist (Mechanical Engineering)</t>
  </si>
  <si>
    <t>Chanan R Saharan</t>
  </si>
  <si>
    <t>Hanumangarh, India</t>
  </si>
  <si>
    <t>• वाहेगुरु - जय श्री राम • Banker • Assistant Manager , Rajasthan Marudhara Gramin Bank ( Joint Venture of GoI , Govt. of Rajasthan &amp; SBI ) • Jeewana ( Jalore)</t>
  </si>
  <si>
    <t>Loveworld Plus News</t>
  </si>
  <si>
    <t>After election win, Abe prioritizes North Korea, aging Japan https://t.co/RXgTY6ckX4</t>
  </si>
  <si>
    <t xml:space="preserve">LoveWorld Plus News </t>
  </si>
  <si>
    <t>Oregun, Lagos</t>
  </si>
  <si>
    <t>Loveworld Plus News, keeps you abreast with world and regional news tweets. From breaking news, to business, entertainment, technology, lifestyle and sports...</t>
  </si>
  <si>
    <t>TIME TOP STORIES - Japan’s Shinzo Abe Conjures Stunning Election Victory in a Boost for Donald Trump https://t.co/BeCavWTJxH #PaginaNuova …</t>
  </si>
  <si>
    <t>川口浩探検隊</t>
  </si>
  <si>
    <t>在日韓国人。ネトウヨのフォローはブロックします。まあしゃーないよね。人権最優先。平和と民主主義、憲法愛。脱原発。K-POPは「TWICE」のペン。「冬のソナタ」の「忘れないで」、沖縄POP、「のだめ」、チョンキョンファの「シャコンヌ」、フルトベングラーの「ルツェルンの第九」、バッハ、ベトベン、フォーレ、詩人の吉野弘。</t>
  </si>
  <si>
    <t>RT @FinancialXpress: PM #NarendraModi congratulates dear friend #ShinzoAbe on #Japanelection win https://t.co/vyA4oFfm3c https://t.co/iXwDC…</t>
  </si>
  <si>
    <t>bemybaby</t>
  </si>
  <si>
    <t>Kyoto, Japan</t>
  </si>
  <si>
    <t>CTO/EO of SBIR granted startups, analytical chemist, colloid scientist, gold nanoparticle engineer, and codename crootie in CoD2/4. 心の師は石田梅岩と山本七平 #拉致被害者全員奪還</t>
  </si>
  <si>
    <t>babajibaala</t>
  </si>
  <si>
    <t>A lonely wanderer of मातृभूमि</t>
  </si>
  <si>
    <t>Core Politics</t>
  </si>
  <si>
    <t>Hammond faces budget 'Ambush', Javid says 'borrow to build' &amp; Abe wins Japan election Watch our Headlines Roundup:… https://t.co/tVmkto4RdZ</t>
  </si>
  <si>
    <t>Amplifr</t>
  </si>
  <si>
    <t>We're new around here | Creators of Inside Europe &amp; Meet the MPs 🙋‍♂️🙋 | Editor: @RJHDouble</t>
  </si>
  <si>
    <t>Lasse Sviland</t>
  </si>
  <si>
    <t>Japan's Shinzo Abe conjures a stunning election victory in a boost for Trump https://t.co/uV6M55lo8x</t>
  </si>
  <si>
    <t>testing app scheduler</t>
  </si>
  <si>
    <t>अखिल आनंद</t>
  </si>
  <si>
    <t>Varanasi, India</t>
  </si>
  <si>
    <t>Software Engineer, Social Activist, Writer, Political Activist, Columnist, Editorialist,</t>
  </si>
  <si>
    <t>WORLD TREND™</t>
  </si>
  <si>
    <t>Japan's Abe to push pacifist constitution reform after strong election win https://t.co/e2GzI6RfEl</t>
  </si>
  <si>
    <t>MOST VIEWED IN #WORLD / TOP #TREND</t>
  </si>
  <si>
    <t>The Miami Metropolis</t>
  </si>
  <si>
    <t>Abe heads to impressive election win, may push to revise Japan’s pacifist constitution https://t.co/lfNCLxylyc</t>
  </si>
  <si>
    <t>GREATER MIAMI NEWS, EVENTS AND STORIES.</t>
  </si>
  <si>
    <t>भक्त</t>
  </si>
  <si>
    <t>athiest! I don't follow idiots. If you worship cow then don't let them stray on road,take at least one of them home.</t>
  </si>
  <si>
    <t>Sourav Boyal</t>
  </si>
  <si>
    <t>Jamshedpur, India</t>
  </si>
  <si>
    <t>nationalist and a patriot</t>
  </si>
  <si>
    <t>Fjordman</t>
  </si>
  <si>
    <t>Author and essayist.</t>
  </si>
  <si>
    <t>John Hemmings</t>
  </si>
  <si>
    <t>Miscalculation dashes Koike's hope for Japan election win- Nikkei Asian Review https://t.co/qAvFKVAV5z</t>
  </si>
  <si>
    <t xml:space="preserve">LONDON </t>
  </si>
  <si>
    <t>Asia Pacific foreign policy wonk. Director, Asia Centre at @HJS_org, fellow at @CSIS. Tweets on Asia, the West, &amp; intl order. Writes for @telegraph on occasion.</t>
  </si>
  <si>
    <t>Liliana Sánchez 🇦🇷</t>
  </si>
  <si>
    <t>RT @thaar: New world news from Time: https://t.co/mUJy1XPD5p https://t.co/gVApmCAbAN</t>
  </si>
  <si>
    <t>Argentina</t>
  </si>
  <si>
    <t>NO SEAS VENCIDO DE LO MALO, SINO VENCE CON EL BIEN EL MAL. Rom 12:21 ♌️ 👉 NO Mensajes Directos 👈</t>
  </si>
  <si>
    <t>The Last Samurai....</t>
  </si>
  <si>
    <t>Mumbai,India</t>
  </si>
  <si>
    <t>Sandeep Thakur</t>
  </si>
  <si>
    <t>MORADABAD UP</t>
  </si>
  <si>
    <t>Social Work Rajput</t>
  </si>
  <si>
    <t>Lakshmi Srikanth</t>
  </si>
  <si>
    <t>じゃぐぁ＠日曜休み。土曜出たからね。</t>
  </si>
  <si>
    <t>主にさいたま市周辺</t>
  </si>
  <si>
    <t>趣味はお酒、アニソン、合唱、読書、軍事、航空機。マック憲法破棄。帝国憲法&amp;五箇条の御誓文へ。核武装が平和への道。読書結果→ https://t.co/xhd9ht37ID…</t>
  </si>
  <si>
    <t>avadhut</t>
  </si>
  <si>
    <t>namo bhkat nothing else धर्मो रक्षति रक्षितः RTs not endorsment</t>
  </si>
  <si>
    <t>DR JAIN</t>
  </si>
  <si>
    <t>PRACTICE MEDICINE</t>
  </si>
  <si>
    <t>#Vandemataram</t>
  </si>
  <si>
    <t>Hindustani Dil Mein</t>
  </si>
  <si>
    <t>Nation First. proud to have @narendramodi ji as our PM. Believe in MODI-FICATION of India !!! RTs are not endorsement. VANDE MATARAM !!!</t>
  </si>
  <si>
    <t>Hemant Tiwari</t>
  </si>
  <si>
    <t>I am a big fan of Sri Narendra Modi ji</t>
  </si>
  <si>
    <t>Balachandran</t>
  </si>
  <si>
    <t>Trivandrum, India</t>
  </si>
  <si>
    <t>Hussein mohammed</t>
  </si>
  <si>
    <t>An ordinary mwananchi who is lucky to have the gift of Islam.</t>
  </si>
  <si>
    <t>हिंदूराष्ट्रवादी🚩🏆</t>
  </si>
  <si>
    <t>,परम वैभव,अखंड भारत राष्ट्र हित सर्व परि 2019 श्रेष्ठ संकल्प हमारा हिन्दू राष्ट्र वादी सोसयल मिडीया भारत</t>
  </si>
  <si>
    <t>Gurilla</t>
  </si>
  <si>
    <t>Global</t>
  </si>
  <si>
    <t>Start a #Culture &amp; Mobilize People Together Realtime with Gurilla. Designed for the Streets by the Streets [ios/Android]#AltTech Product of Hakodesh Empire, Inc</t>
  </si>
  <si>
    <t>Sidheshwar Manthale</t>
  </si>
  <si>
    <t>いそじん</t>
  </si>
  <si>
    <t>思うこといろいろ。</t>
  </si>
  <si>
    <t>9TH WONDER</t>
  </si>
  <si>
    <t>social reality. Be Heard!</t>
  </si>
  <si>
    <t>Sunilal Suku</t>
  </si>
  <si>
    <t>Sujoy</t>
  </si>
  <si>
    <t>Less educated than even Sonia ji. Trying hard to understand India. Dreamer.</t>
  </si>
  <si>
    <t>Laquita Christian</t>
  </si>
  <si>
    <t>Alabama, USA</t>
  </si>
  <si>
    <t>Proud veteran, wife, and mother. I have faith in God and also in science. I know we can only move forward with innovation and change from old to new.#RESISTANCE</t>
  </si>
  <si>
    <t>Hitesh Chavda</t>
  </si>
  <si>
    <t>Khambhalia , Gujrat , India</t>
  </si>
  <si>
    <t>🇮🇳</t>
  </si>
  <si>
    <t>Amita Patel</t>
  </si>
  <si>
    <t>Kampala-Uganda</t>
  </si>
  <si>
    <t>BJP4BHAVNAGAR</t>
  </si>
  <si>
    <t>Bhavnagar, India</t>
  </si>
  <si>
    <t>Official Account of BJP ITSM BHAVNAGAR MAHANAGAR</t>
  </si>
  <si>
    <t>Animals</t>
  </si>
  <si>
    <t>Abe to push reform of Japan&amp;amp;#39;s pacifist constitution after election win #AnimalsNews https://t.co/uNQb9xsJlT</t>
  </si>
  <si>
    <t>Stay on top of the latest Animal news. Be up to date in your profession or interest. check http://t.co/rxDFaZAVNH</t>
  </si>
  <si>
    <t>RT TopFiveTraders "RT TFTCS "RT BloombergTV "These are the winners and losers of Japan's landslide election … https://t.co/wBRuUjroBX"""</t>
  </si>
  <si>
    <t>zyxwvutsrqponmlkjihg</t>
  </si>
  <si>
    <t>Typhoon leaves five dead after lashing Japan on election day https://t.co/17QNRAuVak via @TOIWorld</t>
  </si>
  <si>
    <t>EVERYWHERE/SOLAR SYSTEM/PLANETS/MOON/SUN</t>
  </si>
  <si>
    <t>AN EYE FOR AN EYE IS A BALANCE OF JUSTICE AND JUSTICE HAS TO BE DONE AS WHAT ABOUT THE EYE LOST.BANE FURY/DEATHWAVE/SON/FRIEND/BROTHER/WARRIOR HALF-LIFE/CHOPPER</t>
  </si>
  <si>
    <t>Abhishek Vasishta</t>
  </si>
  <si>
    <t>Nationalist, Optimist, Dreamer and so on...</t>
  </si>
  <si>
    <t>Dr. Sivaji Chadaram</t>
  </si>
  <si>
    <t>Director,Department of Science and Technology (My tweet/re-tweets are purely personal and only to support/promote GoI, initiatives! My tweets are not Official!)</t>
  </si>
  <si>
    <t>#IntolerantGeneral</t>
  </si>
  <si>
    <t>Google News India</t>
  </si>
  <si>
    <t>Japan's Nikkei hits new highs after Abe wins election - The Hindu https://t.co/eHembuxE8r #topstories</t>
  </si>
  <si>
    <t>Google India News – Find Latest News Today, Google News in English, Current News, Today's News Headlines, Breaking News Today by Google News India.</t>
  </si>
  <si>
    <t>Paola Capodacqua</t>
  </si>
  <si>
    <t>via #BoF - With Japan's prime minister Abe claiming a big election win, learn about the people shaping fashion in … https://t.co/Wsr7vABHbY</t>
  </si>
  <si>
    <t>Florence, Tuscany</t>
  </si>
  <si>
    <t>I am a journalist, I have been working in the print and digital publishing industry for over twenty years. For more information visit my website!</t>
  </si>
  <si>
    <t>Used Car Trader MINA</t>
  </si>
  <si>
    <t>Turnout put at 2nd-lowest in Japan lower house election https://t.co/FRKBvS1QaX #usedcar #japan</t>
  </si>
  <si>
    <t>Hiroshima Automobile</t>
  </si>
  <si>
    <t>Hiroshima Automobile Japan</t>
  </si>
  <si>
    <t>am MINA ( see https://t.co/3lj3yuW3js ) in Japan. I work at my fathers automobile shop named Hiroshima Automobile. am exporting used cars internationally from there</t>
  </si>
  <si>
    <t>Trump congratulates Abe on election win; golf date set for Nov 5 https://t.co/ZVLFdrkCPK #usedcar #japan</t>
  </si>
  <si>
    <t>NewsIn Tweets</t>
  </si>
  <si>
    <t>Reuters Top News: Abe, Trump agree to raise pressure on North Korea: Japan government https://t.co/nyrk7rfkS3… https://t.co/tjgcpPkcux</t>
  </si>
  <si>
    <t>Tweets From All Your Favourite News Sources. All In One Place</t>
  </si>
  <si>
    <t>Sudhir Sukare</t>
  </si>
  <si>
    <t>Twitter for Windows</t>
  </si>
  <si>
    <t>स्वयंसेवक- राष्ट्रीय स्वयंसेवक संघ "जयतु जयतु हिन्दु राष्ट्रम्" "भारत माता की जय" "अहिंसा परमो धर्म, धर्म हिंसा तदैत्वच"</t>
  </si>
  <si>
    <t>Hichmalumnist</t>
  </si>
  <si>
    <t>Retweets are not endorsements</t>
  </si>
  <si>
    <t>Renèrys Targaryen</t>
  </si>
  <si>
    <t xml:space="preserve">Taguig City, National Capital </t>
  </si>
  <si>
    <t>ENTP</t>
  </si>
  <si>
    <t>abcul</t>
  </si>
  <si>
    <t>Neha Bhatt</t>
  </si>
  <si>
    <t>IT,Social Media &amp; Website Management Department #Ahmedabad #Gujarat #India</t>
  </si>
  <si>
    <t>Alwanga Collins</t>
  </si>
  <si>
    <t>Pray Tweet Eat Tweet</t>
  </si>
  <si>
    <t>Roshan</t>
  </si>
  <si>
    <t>Thane, India</t>
  </si>
  <si>
    <t>Nation First👍👍#PseudoLiberals keep distance👊 #Jihadi_Hater😬😬 #Namo_Bhakt🙏🙏 No Compromise ✋✋Jai Hind✌ Bande Matram🚩🚩 Bharat Mata Ki Jay 🚩🙏✌🚩</t>
  </si>
  <si>
    <t>Nobody</t>
  </si>
  <si>
    <t>猫 犬 馬 単車 科学 IT 機械 食事 酒 医療 義肢 農業 栄養 免疫 環境 救命 国防 諜報 自衛隊 警察 特殊部隊 自警 日本刀 銃 Japan Asia 中川昭一 安倍晋三</t>
  </si>
  <si>
    <t>Tiwarimihirsa@gmail.</t>
  </si>
  <si>
    <t>Manish Yadav</t>
  </si>
  <si>
    <t>jirakay</t>
  </si>
  <si>
    <t>Japan Election Vindicates Shinzo Abe as His Party Wins Big - New York Times https://t.co/1Hrji1otsc</t>
  </si>
  <si>
    <t>อุบลราชธานี, ประเทศไทย</t>
  </si>
  <si>
    <t>Ðξ♈¡ll Ðg</t>
  </si>
  <si>
    <t>Cutiee 💞 Ke Dil Me😘👩😚💝</t>
  </si>
  <si>
    <t>Seedha Bachha 🚼🙏😊 में मॉ बाप द्वारा कैद हुं घर में ११ साल से 😡 क्रप्या #Hizde_Log मॉ बाप के प्यार कि दुहाई ना देना हमको 😶🙏 माफी🙏😊</t>
  </si>
  <si>
    <t>A E John</t>
  </si>
  <si>
    <t>ÜT: 18.97557,72.828014</t>
  </si>
  <si>
    <t>*business tycoon* *Informed* *Strong willed* *Opinionated* -*shoe fetish* *I laugh at my own jokes .. ALOT*</t>
  </si>
  <si>
    <t>The Money Street</t>
  </si>
  <si>
    <t>Abe Placed to Lead Japan Through 2021 After Big Election Win - https://t.co/15RAAHusho https://t.co/kSoYbUKJU0</t>
  </si>
  <si>
    <t>TMS-Tweet</t>
  </si>
  <si>
    <t>nilotpal sharma</t>
  </si>
  <si>
    <t>A patriotic indian Rationalist Lawyer politically aware Hindu RSS follower I give as good as I get</t>
  </si>
  <si>
    <t>tusharika sharma</t>
  </si>
  <si>
    <t>Follow me on Instagram:- xx_tusharika_xx</t>
  </si>
  <si>
    <t>amos nachum</t>
  </si>
  <si>
    <t>From Tel aviv. Welcome to my World. stand with Israel. stand with POTUS 45th. TRUMP 💙🙌🇮🇱🇺🇸🇮🇱🇺🇸</t>
  </si>
  <si>
    <t>FM Wealth Management</t>
  </si>
  <si>
    <t>RT @ReutersWorld: Daily Briefing: - Catalan brinkmanship with Madrid - Japan's PM election win - UK business want quick Brexit deal https:/…</t>
  </si>
  <si>
    <t>Cayman Islands</t>
  </si>
  <si>
    <t>Fitch Matthews Management is a fast growing financial consultancy company. Our organization is committed to the concept of market independence.</t>
  </si>
  <si>
    <t>Pawan</t>
  </si>
  <si>
    <t>गुड़गांव, भारत</t>
  </si>
  <si>
    <t>Always Positive, Realistic</t>
  </si>
  <si>
    <t>Chandra Mani</t>
  </si>
  <si>
    <t>Professor, Computer Engineering RTs are not endorsement</t>
  </si>
  <si>
    <t>Akhilesh Dubey</t>
  </si>
  <si>
    <t>Siliguri, India</t>
  </si>
  <si>
    <t>Indian...</t>
  </si>
  <si>
    <t>ケロンミ</t>
  </si>
  <si>
    <t>phanitha</t>
  </si>
  <si>
    <t>Houston, TX</t>
  </si>
  <si>
    <t>Proud to be fan of Modi ji, strong BJP supporter. Techie, Research scholar, author of research papers in E-Gov &amp; ES. |YOGA | Autism | SAP |</t>
  </si>
  <si>
    <t>Masako Toki</t>
  </si>
  <si>
    <t>RT @JohnHemmings2: Miscalculation dashes Koike's hope for Japan election win- Nikkei Asian Review https://t.co/qAvFKVAV5z</t>
  </si>
  <si>
    <t>Monterey, CA</t>
  </si>
  <si>
    <t>Researcher, Project Manager at CNS/MIIS. Passionate about nuclear disarmament, nonproliferation, education, humanitarian aspects of disarmament, nuclear policy</t>
  </si>
  <si>
    <t>Varun Dhawan.</t>
  </si>
  <si>
    <t>Navi Mumbai, India</t>
  </si>
  <si>
    <t>Actor.</t>
  </si>
  <si>
    <t>WGAUradio</t>
  </si>
  <si>
    <t>Abe says his priorities are North Korea and aging Japan https://t.co/u0yuzQ61qF</t>
  </si>
  <si>
    <t>Athens, Georgia</t>
  </si>
  <si>
    <t>98.7FM &amp; AM1340, Fox News WGAU Athens News and Weather Station</t>
  </si>
  <si>
    <t>khcjhk</t>
  </si>
  <si>
    <t>Japan's Abe wins big in snap election, https://t.co/W3wErkuvM7 gets go-ahead on econ., but unease over constitution. https://t.co/3d49fK8b0i</t>
  </si>
  <si>
    <t>Hong Kong</t>
  </si>
  <si>
    <t>skymods</t>
  </si>
  <si>
    <t>1980's J-POP idols(Especially Yoko Minamino : Nanno) &amp; techno-pop unit Perfume fan.(Ossan) ／南野陽子さんとPerfumeファンのおっさんです。政治的には中道。読書好き。</t>
  </si>
  <si>
    <t>N. Jat Khajina</t>
  </si>
  <si>
    <t>Rajasthan, India</t>
  </si>
  <si>
    <t>Gfhhjnv</t>
  </si>
  <si>
    <t>Hilda Muteshi</t>
  </si>
  <si>
    <t>MBA -Marketing CIM -marketing communications CIM -digital strategy Interested in designing business models for bottom of the pyramid customers</t>
  </si>
  <si>
    <t>Kioko Nzyimi</t>
  </si>
  <si>
    <t>Advocate of Inclusive Society, Bishop of love,peace and unity. Dip Law and a LLB Candidate</t>
  </si>
  <si>
    <t>JonLee61</t>
  </si>
  <si>
    <t>On the lake</t>
  </si>
  <si>
    <t>USMC '68, B.B.A. UCO 1980, HD rider, 3rd gen Democrat</t>
  </si>
  <si>
    <t>H K</t>
  </si>
  <si>
    <t>Cyclist , Tokyo JAPAN</t>
  </si>
  <si>
    <t>Good Japan became normalWhere Japan's election results point the country's politics and economy- Nikkei Asian Review https://t.co/yyMrszfnlZ</t>
  </si>
  <si>
    <t>Bikash Jena🇳🇪</t>
  </si>
  <si>
    <t>ODISHA,INDIA</t>
  </si>
  <si>
    <t>well,i'm friendly, i like to read, have fun but always in a good way, love movies, i believe on good realation.HATE Is NOT IN MY VOCABULARY(BJP SUPPORTER)</t>
  </si>
  <si>
    <t>Vivek Sadh</t>
  </si>
  <si>
    <t>News by Amanda</t>
  </si>
  <si>
    <t>Japan election landslide; Chaos in Catalonia; European populism: Here's what you need to know about the markets…… https://t.co/eS66cG9Yzd</t>
  </si>
  <si>
    <t>Marketer, Entrepreneur, Blogger. I keep watching all kind of news. Just follow me! Bilingual</t>
  </si>
  <si>
    <t>Politician</t>
  </si>
  <si>
    <t>The Winners and Losers of Japan's Landslide Election - https://t.co/23GT9OrLIx https://t.co/5Z6T8Gky4r</t>
  </si>
  <si>
    <t>Elvis Obara</t>
  </si>
  <si>
    <t>Zilch-SIR-LooTer..¡¡¡!!!insights,oWn,don't associate¿¿</t>
  </si>
  <si>
    <t>Chirag Joshi BJYM</t>
  </si>
  <si>
    <t>Bhuj, India</t>
  </si>
  <si>
    <t>BJYM Kutchh District Followed By Pm @Narendramodi National President @AmitShah CM @VijayRupanibjp</t>
  </si>
  <si>
    <t>Chandan patil</t>
  </si>
  <si>
    <t>Burhanpur, India</t>
  </si>
  <si>
    <t>I am a student</t>
  </si>
  <si>
    <t>忘川河の彼岸</t>
  </si>
  <si>
    <t>Dayaram Gehlot</t>
  </si>
  <si>
    <t>Makanji varchand</t>
  </si>
  <si>
    <t>Anjar, India</t>
  </si>
  <si>
    <t>कट्टरता मेरी पहचान तो नही लेकिन जब-जब बात मेरे हिन्दू धर्म पे आएगी तो आप मुझे भगवा आतंकी ही समझना #जय_जय_श्रीराम</t>
  </si>
  <si>
    <t>T.nobusi</t>
  </si>
  <si>
    <t>線路沿い</t>
  </si>
  <si>
    <t>Titech経シスだったり弓引いてたり。</t>
  </si>
  <si>
    <t>Narendra Modi</t>
  </si>
  <si>
    <t>#JaiHind</t>
  </si>
  <si>
    <t>KnowYourLeaker</t>
  </si>
  <si>
    <t>Abe To Push Reform Of Japan's Pacifist Constitution After Election Win (RT↺ Fav❤️) https://t.co/20P5l110pd #Japan #victory</t>
  </si>
  <si>
    <t>Daily news video:</t>
  </si>
  <si>
    <t>mills of years ahead</t>
  </si>
  <si>
    <t>When music hits U, U feel no pain.</t>
  </si>
  <si>
    <t>Otieno Obiero</t>
  </si>
  <si>
    <t>Human Rights Defender |•Radical Change Agent |•Father |•Communicant Anglican</t>
  </si>
  <si>
    <t>Lizbestones</t>
  </si>
  <si>
    <t xml:space="preserve">Enugu </t>
  </si>
  <si>
    <t>竹内敬子</t>
  </si>
  <si>
    <t>仙台市</t>
  </si>
  <si>
    <t>思い切って入ってみました。まだ初心者なので。。。ちょっぴり不安。</t>
  </si>
  <si>
    <t>YOGI ADITYA NATH</t>
  </si>
  <si>
    <t>सोच बदलो देश बदलेगा</t>
  </si>
  <si>
    <t>ヒジリ☆</t>
  </si>
  <si>
    <t>日本は日本を愛する者だけの国です。我が子を守るためにはまず国を守らねば！！ 子供時代に日教組に自虐思想を強制された反動、実体験に基づく経験から、反日連中は無理無理無理！ってか反日外国人は祖国に帰れ。日本を貶め都合良く変えようとする連中にはウンザリです。</t>
  </si>
  <si>
    <t>Team Albert</t>
  </si>
  <si>
    <t>Abe's Coalition Prevails In Japan's Lower House Election | Asia News | China Daily https://t.co/UDw5C8evsy</t>
  </si>
  <si>
    <t>Cleveland,OH</t>
  </si>
  <si>
    <t>All American Asian Reader 3 Time NBA Champion Miami Heat. 7 Time College Football National Champion University Of Miami Hurricanes.</t>
  </si>
  <si>
    <t>sokratis♨</t>
  </si>
  <si>
    <t>Let me listen to your thoughts then I'll decide....love me a thick woman😋</t>
  </si>
  <si>
    <t>Rishi Bagree 🇮🇳</t>
  </si>
  <si>
    <t>India , Kolkata</t>
  </si>
  <si>
    <t>Business/ Eco/ Fin/ Politics.Views personal.RTs not endorsements. MBA from Manchester Business School.Grads from SXC. Just an ordinary Tax paying Indian citizen</t>
  </si>
  <si>
    <t>World Rumors</t>
  </si>
  <si>
    <t>Abe, Trump agree to raise pressure on North Korea: Japan government https://t.co/3Owc3l7A6S</t>
  </si>
  <si>
    <t>Botize</t>
  </si>
  <si>
    <t>Around The World</t>
  </si>
  <si>
    <t>The latest updates and stories from @NewsInTheWorld.</t>
  </si>
  <si>
    <t>sid das</t>
  </si>
  <si>
    <t>Republic of india'🇮🇳🕉✡</t>
  </si>
  <si>
    <t>I am Indian</t>
  </si>
  <si>
    <t>Gurucharan</t>
  </si>
  <si>
    <t>delhi</t>
  </si>
  <si>
    <t>Nationalist proud indian namo fan</t>
  </si>
  <si>
    <t>Pramod Vishwakarma</t>
  </si>
  <si>
    <t>Mumbai India</t>
  </si>
  <si>
    <t>Vice- President (Vision For Visually Impaired Foundation)</t>
  </si>
  <si>
    <t>John Curley¯\_(ツ)_/¯</t>
  </si>
  <si>
    <t>Japan's Abe to push pacifist constitution reform after strong election win | Reuters https://t.co/ZrcrTByCSo</t>
  </si>
  <si>
    <t>the stump of the Liberty Tree</t>
  </si>
  <si>
    <t>Follows/🔁/❤≠endorsements. Draw your own conclusions. #NoFakeNews. TRIGGER WARNING: Seriously? Tweeting &amp; 🔁 non sequuntur. Tweeting #TruthToPower from...</t>
  </si>
  <si>
    <t>سمير بن يوسف الشيخ</t>
  </si>
  <si>
    <t>Alkhobar - Saudi Arabia</t>
  </si>
  <si>
    <t>أحلم أن أكون بطول ظل والدي رحمة الله عليه, التغريد يجعلني أحس بدفئ الحرية A Free Spirit and an Outgoing Soul, Strategic Planning Worst Case Scenario Specialist</t>
  </si>
  <si>
    <t>Ravi Gupta</t>
  </si>
  <si>
    <t>😀</t>
  </si>
  <si>
    <t>Tarun Songra</t>
  </si>
  <si>
    <t>New DElhi</t>
  </si>
  <si>
    <t>Transport Planner, GIS Analyst, Physical Planner</t>
  </si>
  <si>
    <t>Adi</t>
  </si>
  <si>
    <t>Chandigarh, India</t>
  </si>
  <si>
    <t>Media Expert | Research Scholar | Tweets on Politics, Government, Sports, Policies, Films, Farmer's Issues | Views are Personal | RTs not endorsement |</t>
  </si>
  <si>
    <t>Thulium</t>
  </si>
  <si>
    <t>Tweets in crude English mainly on politics in #Japan.</t>
  </si>
  <si>
    <t>जागो हिंदू जागो</t>
  </si>
  <si>
    <t>Deependra choudhary</t>
  </si>
  <si>
    <t>राजस्थान ,भारत 🇮🇳</t>
  </si>
  <si>
    <t>We Generate Fears While We Sit. We Overcome Them By Action.</t>
  </si>
  <si>
    <t>Proud Hindustani</t>
  </si>
  <si>
    <t>TweetCaster for Android</t>
  </si>
  <si>
    <t>गाज़ियाबाद, भारत</t>
  </si>
  <si>
    <t>हल्की फुलकि सी है ज़िंदगी बोझ तो, ख़्वाहिशों का है.</t>
  </si>
  <si>
    <t>James Bhaand</t>
  </si>
  <si>
    <t>Titan and Malibu</t>
  </si>
  <si>
    <t>Lazy - Single - Happy | Interconnected | Laid-back person | Always a critic</t>
  </si>
  <si>
    <t>Allola rajkiran</t>
  </si>
  <si>
    <t>Swadakta</t>
  </si>
  <si>
    <t>Jesus above all |•| 10th March |•| smiling machine |•| Sober debater |•| law is my pseudo-proffesion |•| journalist |•| agwambo</t>
  </si>
  <si>
    <t>krishnatomer</t>
  </si>
  <si>
    <t>Simbhavli</t>
  </si>
  <si>
    <t>Principal At senior secondary school</t>
  </si>
  <si>
    <t>@saleswizardcrm</t>
  </si>
  <si>
    <t>Simple property CRM</t>
  </si>
  <si>
    <t>obara jerry</t>
  </si>
  <si>
    <t>Varga Bence</t>
  </si>
  <si>
    <t>Budapest, Hungary</t>
  </si>
  <si>
    <t>Überingenieur</t>
  </si>
  <si>
    <t>Prince of new kapuka</t>
  </si>
  <si>
    <t>Superduper artist and doctor</t>
  </si>
  <si>
    <t>SAURABH JHA</t>
  </si>
  <si>
    <t>Ahmedabad</t>
  </si>
  <si>
    <t>mbbs student in b.j medical cloz ahmedabad.A true modi fan.</t>
  </si>
  <si>
    <t>Seifeddine Ferjani</t>
  </si>
  <si>
    <t>RT @andrewmichta: Important electoral shift: Japan's Abe to push pacifist constitution reform after strong election win @GrayConnolly http…</t>
  </si>
  <si>
    <t>Tunis / London</t>
  </si>
  <si>
    <t>Democratic values are not only necessary for good governance, but for the survival and social cohesion of states.</t>
  </si>
  <si>
    <t>Bridget Bosch</t>
  </si>
  <si>
    <t>Abe's coalition regains two-thirds majority https://t.co/R4F1ap10S1</t>
  </si>
  <si>
    <t>at home where my boots are</t>
  </si>
  <si>
    <t>born in netherlands half dutch half german, raised American christian interested in armed forces III% Troops Country GOD also on Google Plus, FB, Tumblr</t>
  </si>
  <si>
    <t>Anand Hiremani</t>
  </si>
  <si>
    <t>Rohtash Chouhan</t>
  </si>
  <si>
    <t>Najafgarh, New Delhi</t>
  </si>
  <si>
    <t>Danoda</t>
  </si>
  <si>
    <t>Shubham Soni</t>
  </si>
  <si>
    <t>Kota, Rajasthan</t>
  </si>
  <si>
    <t>आदर्श,अनुशासन,मर्यादा,परिश्रम ,ईमानदारी तथा उच्च मानवीय मूल्यों के बिना किसी का जीवन महान नहीं बनसकता है|</t>
  </si>
  <si>
    <t>The Pacificast</t>
  </si>
  <si>
    <t>#PacificastNewsfeed | Typhoon leaves 5 dead after lashing Japan on election day https://t.co/SLEDh2RWn4</t>
  </si>
  <si>
    <t>Official account of #PacificastNewsfeed. The Leaned News and Expressed Views. Your 24-hour news aggregation service.</t>
  </si>
  <si>
    <t>Brijesh Mundada</t>
  </si>
  <si>
    <t>Nashik</t>
  </si>
  <si>
    <t>RT BloombergTV "These are the winners and losers of Japan's landslide election https://t.co/xIKlkn5yHT https://t.co/5y9BHZA6ac"</t>
  </si>
  <si>
    <t>JP</t>
  </si>
  <si>
    <t>Ashutosh Srivatava</t>
  </si>
  <si>
    <t>Allahabad, India</t>
  </si>
  <si>
    <t>journalist</t>
  </si>
  <si>
    <t>Jai Shri Krishn</t>
  </si>
  <si>
    <t>PERIYAKULAM</t>
  </si>
  <si>
    <t>தற்கொலைக்கு அங்கீகாரம் வேண்டாம்.</t>
  </si>
  <si>
    <t>Ak Baş</t>
  </si>
  <si>
    <t>Japan’s Shinzo Abe Conjures Stunning Election Victory in a Boost for Donald Trump https://t.co/We79CqIPrb</t>
  </si>
  <si>
    <t>Hannover, Germany</t>
  </si>
  <si>
    <t>Science, medicine, technology, culture, human rights, politics news ,http://t.co/KOQhBoiC7i</t>
  </si>
  <si>
    <t>Amit Baghel</t>
  </si>
  <si>
    <t>seoni mp.</t>
  </si>
  <si>
    <t>social worker</t>
  </si>
  <si>
    <t>Yagnang Pandya</t>
  </si>
  <si>
    <t>Ahmedabad Gujarat</t>
  </si>
  <si>
    <t>|Professor|Masters Of Engineering (Mechanical) |A Leader| A Positive Thinker |Entrepreneur|Explorer| #RSS #BJP #BJYM V.President ( 2014 - 2017) Maninagar.</t>
  </si>
  <si>
    <t>VIJAY KUMAR 🇮🇳</t>
  </si>
  <si>
    <t>varanasi</t>
  </si>
  <si>
    <t>居残り馬券師</t>
  </si>
  <si>
    <t>東京都杉並区</t>
  </si>
  <si>
    <t>旅行(2017に31回目の北海道フリーク！飛騨高山も好き)温泉、落語、ロック、阪神、競馬。静内の牧場巡りや胃の痛くなるような大勝負もしました。自他共に認めない天才馬券師。運命の馬はスカーレットブーケ。ロングショット倶楽部主宰(1人だけ)落語は立川流を中心に何でも聴きます。食べ歩き飲み倒れ。生業は一応出版関係</t>
  </si>
  <si>
    <t>Shefali Vaidya</t>
  </si>
  <si>
    <t>Pune, Maharashtra</t>
  </si>
  <si>
    <t>Columnist - Swarajya, Tarun Bharat, Traveller, Photographer, Satirist, Mum to triplets. May be admin of a popular parody handle. Indian Hindu Woman.</t>
  </si>
  <si>
    <t>Narendra Patel #HDL</t>
  </si>
  <si>
    <t>Himatnagar, Gujarat</t>
  </si>
  <si>
    <t>જય જય ગરવી ગુજરાત ( For My Tweets Visits My Likes )</t>
  </si>
  <si>
    <t>隊員</t>
  </si>
  <si>
    <t>相互目的はご遠慮下さい</t>
  </si>
  <si>
    <t>頑張ろう日本 憲法改正が早期実現することを祈ります 無言フォローすみません</t>
  </si>
  <si>
    <t>Rizwan Pathan</t>
  </si>
  <si>
    <t>#IAmNewIndia</t>
  </si>
  <si>
    <t>rahul nair</t>
  </si>
  <si>
    <t>ahmedabad</t>
  </si>
  <si>
    <t>Celesté Tabora</t>
  </si>
  <si>
    <t>RT @YodaCon: Japan's Prime Minister Shinzo Abe says after election win he will pursue "strong diplomacy" to pressure North Korea #TCOT #MAG…</t>
  </si>
  <si>
    <t>USA, Georgia</t>
  </si>
  <si>
    <t>The CT in @ctandco. Entertainment marketing director for bands/brands/films/events. Former @WarnerBrosEnt films &amp; @DisneyABCtv. Opinions expressed are my own.</t>
  </si>
  <si>
    <t>Ravi Pandya</t>
  </si>
  <si>
    <t>Convener - BJP ITSM Department, Gandhinagar Mahanagar. &amp; PA to WHIP Gujarat Legislative Assembly Government of Gujarat.</t>
  </si>
  <si>
    <t>Sajeeb lal (★সজীব★)</t>
  </si>
  <si>
    <t>SocialCricket5555</t>
  </si>
  <si>
    <t>Tripura, India</t>
  </si>
  <si>
    <t>My lord #Harekrishna favorite book.#Gita @NarendraModi is my idol.followed by @missionBJP2019 @byadavbjp @PiyushGoyalOffc @bjptarunchugh inspired me @AmitShah</t>
  </si>
  <si>
    <t>सर्वेश सिंह 56 इंच</t>
  </si>
  <si>
    <t>MySocial011</t>
  </si>
  <si>
    <t>मोदी भक्त हूँ , आजीवन भाजपाई रहने का प्रण है । जो भक्त हैं वो समझ गए ! जो ना समझे उन्हें समझा दिया जायेगा..................... RTs != Endorsement</t>
  </si>
  <si>
    <t>Raynard E. Green</t>
  </si>
  <si>
    <t>RT @FRANCE24: Typhoon leaves two dead after lashing Japan on election day https://t.co/1vBfuLvClV https://t.co/Pp1kc5Zxuz</t>
  </si>
  <si>
    <t>Dallas,Texas</t>
  </si>
  <si>
    <t>Don't just let anybody have your DNA. It's more valuable than you think.</t>
  </si>
  <si>
    <t>रमेश शर्मा देवलिया</t>
  </si>
  <si>
    <t>Social1122</t>
  </si>
  <si>
    <t xml:space="preserve">देवलिया (जयपुर) </t>
  </si>
  <si>
    <t>🐦#नरेंद्र_मोदी जी और #अमित_शाह जी के सभी निर्णयों पर साथ देने वाला कट्टर समर्थक। 🚩#वन्देमातरम् 🚩#भारत_माता_की_जय🚩🐦</t>
  </si>
  <si>
    <t>Suneel Lodhi</t>
  </si>
  <si>
    <t>देशभक्त हूँ!! देशभक्ति सर्वोपरि!! भारतीय!! हिंदू!! स्वतंत्र विचार!! Tweet 👉 ❤like RTs != Endorsement</t>
  </si>
  <si>
    <t>Osman jehow</t>
  </si>
  <si>
    <t>Nanyuki, Kenya</t>
  </si>
  <si>
    <t>Technology &amp; Science chance favours a prepared mind</t>
  </si>
  <si>
    <t>Muscat Daily</t>
  </si>
  <si>
    <t>Typhoon leaves five dead after lashing Japan on election day https://t.co/a4EVnnn1pu</t>
  </si>
  <si>
    <t>Oman</t>
  </si>
  <si>
    <t>Muscat Daily is the largest-selling English daily in Oman with nearly 33,500 copies sold every day. Follow us at https://t.co/xdTq4XmvIa</t>
  </si>
  <si>
    <t>Mayanksethi</t>
  </si>
  <si>
    <t>समीर माहेश्वरी 🚩</t>
  </si>
  <si>
    <t>Social45</t>
  </si>
  <si>
    <t>Jabalpur, India</t>
  </si>
  <si>
    <t>मैं बुरी आदतो वाला एक अच्छा लड़का हूँ😊 🙏मोदी भक्त 🙏 🚩सिरफिरा हिन्दू 🚩 जब प्रोफ़ाइल ओपन कर लियो हो भाई तो फॉलो भी कर दो यार😉 followed by @PiyushGoyalOffc</t>
  </si>
  <si>
    <t>V K सुल्तानपुरी</t>
  </si>
  <si>
    <t>सुल्तानपुर</t>
  </si>
  <si>
    <t>🙏🏻 प्रवक्ता 🇮🇳मान/अपमान की चिंता नही🇮🇳</t>
  </si>
  <si>
    <t>सम्राट मौर्य</t>
  </si>
  <si>
    <t>#छोरा_गँगा_किनारे_वाला</t>
  </si>
  <si>
    <t>👉 #माँ_भारती से प्रेम से बढ़ कर मेरे लिये इस ज़िन्दगी में कुछ भी नही है , Vision To make again अखंड भारत of आचार्य चाणक्य 🙏🙏 To see my tweets go in like⤵⤵</t>
  </si>
  <si>
    <t>SuperMan👊👊</t>
  </si>
  <si>
    <t>BaniyaSocial</t>
  </si>
  <si>
    <t xml:space="preserve">New Delhi ✈ patna </t>
  </si>
  <si>
    <t>#सनातनी #राम_भक्त सेक्युलर कीड़े ज्ञान न पेलें 👊Don't follow to Unfollow 👊 #Gymmer #Doctor #FitnessFreak #Tweets in ❤</t>
  </si>
  <si>
    <t>Dr Alex Concorde</t>
  </si>
  <si>
    <t>TopStory: Japan’s Shinzo Abe Conjures Stunning Election Victory in a Boost for Donald Trump https://t.co/A6X5roMWIs</t>
  </si>
  <si>
    <t>www.science-sense.healthcare</t>
  </si>
  <si>
    <t>BS MD PhD MS MBA World's Most Highly-Educated♀️ Human Theorist🤓 Creator: New Paradigm Psych🧠&amp; Med⚕️&amp; GAIN theory https://t.co/E05qTDZde1 https://t.co/AJ6ggmp6HH</t>
  </si>
  <si>
    <t>Deep Sethi</t>
  </si>
  <si>
    <t>Kota,rajasthan</t>
  </si>
  <si>
    <t>JEDcorp</t>
  </si>
  <si>
    <t>ASIA MARKETS: Japan's Nikkei Rises For A 15th Straight Session After Abe's Election Win https://t.co/y76BllLxuJ</t>
  </si>
  <si>
    <t>#RETWEETER #TEAMFOLLOWBACK #IFOLLOWBACK</t>
  </si>
  <si>
    <t>Vibhor Rastogi</t>
  </si>
  <si>
    <t>🎇$hrêyá $àñâtáñ 🎇</t>
  </si>
  <si>
    <t>Social999</t>
  </si>
  <si>
    <t>⚜Krishna'S world⚜</t>
  </si>
  <si>
    <t>🔱⚜Yogeshwer⚜ #krishna'S Devotee⚜🔱 #Sanatni.🔯#Rastrawadi⚔..⚜Orthodox #Hindu⚜ ⚛respect my thoughts.. .. I will yours⚜ Tweet in like..🔯#ReclaimTemples.☸No DM☸</t>
  </si>
  <si>
    <t>Jaydeness</t>
  </si>
  <si>
    <t>RT @motokorich: The morning after the night before: Shinzo Abe is still prime minister. “People have no other choices, really.” https://t.c…</t>
  </si>
  <si>
    <t>Italy</t>
  </si>
  <si>
    <t>Random. Jade obsessed. Racing. Languages. Engineering. Science. Love. Music. Ninja. Anime Otaku. Regina Phalange. Wanderlust. Singing. Pokémon. Books. Sarcasm.</t>
  </si>
  <si>
    <t>पंकज@Dhg</t>
  </si>
  <si>
    <t>सुरेंद्रनगर गुजरात</t>
  </si>
  <si>
    <t>🌷एक ही विकल्प भाजपा 👊 #IAmNewIndia #हिन्दू #भक्त मेरे ट्वीट 💖</t>
  </si>
  <si>
    <t>S</t>
  </si>
  <si>
    <t>Followed by @PiyushGoyalOffc Jai Shree Ram🤘</t>
  </si>
  <si>
    <t>Vivek Mishra</t>
  </si>
  <si>
    <t>बस यही सोचकर हर तपिश में जलता आया हूँ, धूप कितनी भी तेज हो समंदर सूखा नही करते</t>
  </si>
  <si>
    <t>Asutosh Mohanty</t>
  </si>
  <si>
    <t>Prateek Mishra BJP</t>
  </si>
  <si>
    <t>Allahabad , Lucknow, India</t>
  </si>
  <si>
    <t>[ Hindu Nationalist ][BJP Karyakarta][ स्वयंसेवक @rssorg ][Politician at Bharatiya janata party(BJP)][ @BJP4UP ][ #PrateekMishraBJP ] RTs not endorsements.</t>
  </si>
  <si>
    <t>Nandan Kulkarni</t>
  </si>
  <si>
    <t>Banker by profession...Modi-fication quite possible.. Right of centre ideology..Tweets are personal views..RT simply does not mean endorsement</t>
  </si>
  <si>
    <t>Naveen.k</t>
  </si>
  <si>
    <t>Hard working</t>
  </si>
  <si>
    <t>Alba Ambrós</t>
  </si>
  <si>
    <t>.@AbeShinzo retains supermajority in #Japan’s election, may push to amend constitution https://t.co/DNRgg7ygG2</t>
  </si>
  <si>
    <t>Madrid, Comunidad de Madrid</t>
  </si>
  <si>
    <t>Ex #Media &amp; #Communications @Casaarabe; ex Research &amp; Comms @FRIDE #Asia #SoutheastAsia &amp; #MiddleEast; RT≠ endorsement; views my own</t>
  </si>
  <si>
    <t>Ashutosh Labh</t>
  </si>
  <si>
    <t>Bengaluru, Karnataka</t>
  </si>
  <si>
    <t>A human being with a humongous figure, believes in being human :-) RT doesn't mean endorsement.</t>
  </si>
  <si>
    <t>Hardip Patel</t>
  </si>
  <si>
    <t>Owner at Sardar Engineering</t>
  </si>
  <si>
    <t>Tim O'Brien</t>
  </si>
  <si>
    <t>RT @Noahpinion: Japan's ruling party has a novel approach for staying in power: Be competent and give voters what they want. https://t.co/C…</t>
  </si>
  <si>
    <t>Executive Editor: Bloomberg View (@BV) and Gadfly (@Gadfly). NBC/MSNBC analyst. Priors: New York Times, Wall Street Journal, HP. Author: "TrumpNation"</t>
  </si>
  <si>
    <t>dailyworld(.)in</t>
  </si>
  <si>
    <t>Japan's Abe to push pacifist constitution reform after strong election win - https://t.co/RZfUOXPKG4 https://t.co/1rKZmAqvCO</t>
  </si>
  <si>
    <t>DailyWorldChd</t>
  </si>
  <si>
    <t>Chandigarh</t>
  </si>
  <si>
    <t>Now read #News, #Views, #Analysis, #Entertainment, #Sports, #Instant #News #alert on the fastest growing #India's first #international #newspaper.</t>
  </si>
  <si>
    <t>Rajeshwar Juyal</t>
  </si>
  <si>
    <t>virendra kumar sinha</t>
  </si>
  <si>
    <t>JAY KRISHNA PANDEY</t>
  </si>
  <si>
    <t>pure nationalist .not related to any political party</t>
  </si>
  <si>
    <t>Tathagata Neogy</t>
  </si>
  <si>
    <t>Fun loving like to spend time with friends and read books on tech, economics, foriegn policy and historical events</t>
  </si>
  <si>
    <t>PDiddie</t>
  </si>
  <si>
    <t>Japan's Abe to push pacifist constitution reform after strong election win https://t.co/mZq93VZ9GQ</t>
  </si>
  <si>
    <t>H-Town</t>
  </si>
  <si>
    <t>I'm not him.</t>
  </si>
  <si>
    <t>Breaking Knowledge</t>
  </si>
  <si>
    <t>Japan's Nikkei hits new highs after Abe wins election - The Hindu https://t.co/N6FVXNLZbB @iblogbir</t>
  </si>
  <si>
    <t>LET THE KNOWLEDGE COME TO YOU FIRST</t>
  </si>
  <si>
    <t>井上雅夫（ＩＰＣＣ報告書研究家）</t>
  </si>
  <si>
    <t>私は温暖化の研究者ではなく、ＩＰＣＣ報告書自体を研究対象にした研究家です。 次のｕｒｌに示すように、人為起源地球温暖化はエセ科学です。</t>
  </si>
  <si>
    <t>Jayanta Bardalaye</t>
  </si>
  <si>
    <t>Geological Advisor @ Tatweer Petroleum, Bahrain</t>
  </si>
  <si>
    <t>RT TopFiveTraders "RT BloombergTV "These are the winners and losers of Japan's landslide election … https://t.co/wBRuUjroBX""</t>
  </si>
  <si>
    <t>Rock Star Seo</t>
  </si>
  <si>
    <t>Japan’s Abe to push pacifist constitution reform after strong election win https://t.co/UV23VeeSet https://t.co/UWf6F2LWrw</t>
  </si>
  <si>
    <t>Edmonton, Alberta</t>
  </si>
  <si>
    <t>#SEO #Marketing #Webdesign #SocialMediaMarketing for you or your #business from #BobbyMcIntyre @Bobbymcintyre2</t>
  </si>
  <si>
    <t>Hussein Ismail</t>
  </si>
  <si>
    <t>Stephen Njogu</t>
  </si>
  <si>
    <t>Stay happy always.</t>
  </si>
  <si>
    <t>James Tengan</t>
  </si>
  <si>
    <t>What now for Japan after Abe's landslide election victory? https://t.co/7GuE4T8Skw</t>
  </si>
  <si>
    <t>I'm just an earthling living out my karma in Japan. 東京在住の地球人で日本でのカルマを全う中です。有業故有果報。我是客居東京的一個老外。</t>
  </si>
  <si>
    <t>Weekly News Today</t>
  </si>
  <si>
    <t>Japan’s Abe to push pacifist constitution reform after strong election win https://t.co/10VJ8SqC3h https://t.co/AmwTqL2dx9</t>
  </si>
  <si>
    <t>Today's headlines News and stories #BreakingNews #WorldNews, #SportsNews #businessNews 24/7 #News #Selfhelp #Seo #Marketing</t>
  </si>
  <si>
    <t>C Construction Inc.</t>
  </si>
  <si>
    <t>Japan’s Abe to push pacifist constitution reform after strong election win https://t.co/xorYuKCrzE https://t.co/Uv5JpBPxOI</t>
  </si>
  <si>
    <t>Providing #RoadConstruction #RockCrushing #Trucking #Concrete #SandandGravel #EarthMoving etc in Washington State since 1992. Call 1 888 260 7525</t>
  </si>
  <si>
    <t>Bobby McIntyre</t>
  </si>
  <si>
    <t>Japan’s Abe to push pacifist constitution reform after strong election win https://t.co/QqlL51Iuyr https://t.co/sMZkyBNQ59</t>
  </si>
  <si>
    <t>#Singersongwriter &amp; #CountryRock #Vocalist #Seo #Sem &amp; #SocialMedia expert. #Daddy of 2 #great boys. #News I #Love helping others achieve their #dreams.</t>
  </si>
  <si>
    <t>H kabir</t>
  </si>
  <si>
    <t>True Nation Bhakt🇮🇳</t>
  </si>
  <si>
    <t>_Super_Man_1981</t>
  </si>
  <si>
    <t>RT @Daily_Express: Japan to turn up heat against North Korea as Abe gains new mandate with election win https://t.co/HArNzo74m1 https://t.c…</t>
  </si>
  <si>
    <t xml:space="preserve"> _Super_Man_1981</t>
  </si>
  <si>
    <t>Sudheer Singh</t>
  </si>
  <si>
    <t>Thinker</t>
  </si>
  <si>
    <t>Marcelli</t>
  </si>
  <si>
    <t>Apaixonada pelo que pode melhorar a vida das pessoas! Curta minha seleção de notícias #Economia #Geografia #RelaçõesInternacionais #Finanças #Empreendorismo e +</t>
  </si>
  <si>
    <t>Harsh Sanghavi</t>
  </si>
  <si>
    <t>Gujarat's Youngest MLA: Majura(Surat), National Vice President: BJP Yuva Morcha (BJYM) and Proud Indian dedicated to serve the society and public welfare.</t>
  </si>
  <si>
    <t>Yogesh Gowda</t>
  </si>
  <si>
    <t>Proud to be a Hindu.. Jai Hind.. Bharat Maata Ki Jai.. Jai Shri Raam.. Kannadiga..</t>
  </si>
  <si>
    <t>Luca de Ioanna</t>
  </si>
  <si>
    <t>Abe to push reform of Japan's pacifist constitution after election win https://t.co/fbvqgvjlD3 https://t.co/QJKzV6h2UX</t>
  </si>
  <si>
    <t>Prague, Czech Republic</t>
  </si>
  <si>
    <t>Italian volleyball player, 3d graphics designer, analytic philosopher, cook. Lover of arts, photography, books and sports.</t>
  </si>
  <si>
    <t>Automobil News</t>
  </si>
  <si>
    <t>Japan PM Shinzo Abe to stay unpopular even after parliamentary election victory – Information by Automobilnews.eu https://t.co/8Cf4KGRgbU</t>
  </si>
  <si>
    <t>Bayern, Deutschland</t>
  </si>
  <si>
    <t>Automobil News bietet euch ein Nachrichten Portal mit gemischten Inhalt. Mit Schwerpunkt Automobil haben wir bei vielen den Nerv getroffen.</t>
  </si>
  <si>
    <t>🇵🇰 🇬🇧 #BDS</t>
  </si>
  <si>
    <t>Always a good way to win an election by using fear &amp; war as the main weapon #Japan, an election called 1 yr ahead of schedule</t>
  </si>
  <si>
    <t>برمنگھم &amp; گلشن آباد</t>
  </si>
  <si>
    <t>#ICC4israel #downwivzionism #oneummah</t>
  </si>
  <si>
    <t>Sitanshu Desai</t>
  </si>
  <si>
    <t xml:space="preserve"> INDIA (Gujarat)</t>
  </si>
  <si>
    <t>A Random Indian Twitterati . I Am #NaModified . Don't Expect A FOLLOW BACK .</t>
  </si>
  <si>
    <t>debajit saikia</t>
  </si>
  <si>
    <t>卐ૐ҉ 卐 Proud Indian ★ Nation First ★ Hindu ★ Swayamsevak of RSS</t>
  </si>
  <si>
    <t>Ajoy Chakraborty</t>
  </si>
  <si>
    <t>Dreams of an India with Equal law, Equal opportunity, Emancipated Academics! Socialist at core but scared of coloured media &amp; corrupt left.</t>
  </si>
  <si>
    <t>Wall Street Journal</t>
  </si>
  <si>
    <t>Japan leads global stocks higher after elections https://t.co/qvCKvQaRsz https://t.co/4CZC20dcG4</t>
  </si>
  <si>
    <t>New York, NY</t>
  </si>
  <si>
    <t>Breaking news and features from the WSJ.</t>
  </si>
  <si>
    <t>PJ Hernandez</t>
  </si>
  <si>
    <t>Meycauayan, Central Luzon</t>
  </si>
  <si>
    <t>Guro ng Bayan - ManggagawaNgBukas - Lakbay Bayan - The Traveling Salakot</t>
  </si>
  <si>
    <t>Cristina Canepone</t>
  </si>
  <si>
    <t>Japan's Abe to push pacifist constitution reform after strong election win https://t.co/kwe8WyZfA7 #JapanElection #Abenomics</t>
  </si>
  <si>
    <t>Milan, Hawaii</t>
  </si>
  <si>
    <t>PR con istinto da sognatrice</t>
  </si>
  <si>
    <t>Asia-News-De</t>
  </si>
  <si>
    <t>#Japan 4 things to expect following Shinzo Abe's landslide victory By @EmmaRichards85 https://t.co/tA3P0UoLbY via @ascorrespondent</t>
  </si>
  <si>
    <t>The latest news from South-East Asia, with a special focus on Thailand</t>
  </si>
  <si>
    <t>Renaud Huck</t>
  </si>
  <si>
    <t>The Winners and Losers of Japan's Landslide Election - https://t.co/3IrBIqFa2z</t>
  </si>
  <si>
    <t>Financial markets executive, Buy-Side specialist, promotes listed and #OTC derivatives in both trading and clearing.</t>
  </si>
  <si>
    <t>puchner</t>
  </si>
  <si>
    <t>RT @tegoshinoneko: No, he's not left-winged. He didn't join Koike's party, not because he was rejected but because he chose not to. https:…</t>
  </si>
  <si>
    <t>Hi WORLD !! WE JAPANESE ARE NOT ABE!! ABE IS WORST PM OF JAPAN. DON'T GET US WRONG(c" ತ,_ತ)‼︎ 立憲民主党と野党共闘を応援する📣</t>
  </si>
  <si>
    <t>Kathy Olsen</t>
  </si>
  <si>
    <t>RT @WorldNews7777: JAPAN ELECTIONS - Japan prime minister pledges strong measures on North Korea after re-election https://t.co/me8pmUEYMB</t>
  </si>
  <si>
    <t>Supports Donald Trump as President America 1st - supports Family~Constitution~Capitalism~ 2A~NRA~Military~Police~Israel</t>
  </si>
  <si>
    <t>RT @WSJ: Japan leads global stocks higher after elections https://t.co/qvCKvQaRsz https://t.co/4CZC20dcG4</t>
  </si>
  <si>
    <t>Andrew Peaple</t>
  </si>
  <si>
    <t>I'm the Asia markets and Heard on the Street editor for the WSJ in Hong Kong. Views expressed here are my own and RTs are not endorsements</t>
  </si>
  <si>
    <t>निरीश्वरवाद</t>
  </si>
  <si>
    <t>Vatsal Joshi</t>
  </si>
  <si>
    <t>Ahmedabad Gujarat India</t>
  </si>
  <si>
    <t>Proud to be an Indian</t>
  </si>
  <si>
    <t>Mahesh Bisht</t>
  </si>
  <si>
    <t>Rao Lalsingh</t>
  </si>
  <si>
    <t>Gurugram when not on high seas</t>
  </si>
  <si>
    <t>Ex INDIAN NAVY, RSS. Car. No DM please. Gender Equality. Hate dynasty politics.</t>
  </si>
  <si>
    <t>Bharat Shah</t>
  </si>
  <si>
    <t>Mitti Ka Tan, Masti Ka Man, Kshana Bhar Jeewan Mera Parichay</t>
  </si>
  <si>
    <t>Política Exterior</t>
  </si>
  <si>
    <t>España</t>
  </si>
  <si>
    <t>Somos un grupo editorial independiente. Editamos revistas, libros y otros materiales sobre asuntos internacionales en español.</t>
  </si>
  <si>
    <t>Patricia Lilavois</t>
  </si>
  <si>
    <t>WSJ: Japan leads global stocks higher after elections https://t.co/oiHR6euCAY https://t.co/oSWHgJksB2 https://t.co/2BoflibjNg</t>
  </si>
  <si>
    <t>WSJ: Japan leads global stocks higher after elections https://t.co/kAtjM2CEXi https://t.co/CbsbVRXOLI https://t.co/Mrv1XWPn0b</t>
  </si>
  <si>
    <t>ganesh</t>
  </si>
  <si>
    <t>Christina Venard</t>
  </si>
  <si>
    <t>RT @BorisTouc: #Japan: Shinzo Abe wins early election amid tensions with #NorthKorea &amp; calls to revise Constitution on self-defense https:/…</t>
  </si>
  <si>
    <t>Diplômée de @sciencespo #AffairesPubliques après un passage à DC #GWU - Work in progress.</t>
  </si>
  <si>
    <t>आनंद दिक्षीत</t>
  </si>
  <si>
    <t>Jack of all trades, master of Awesome. India. BJP. Manchester United. Ferrari. In that order.</t>
  </si>
  <si>
    <t>Riva Gold</t>
  </si>
  <si>
    <t>Markets reporter @WSJ with the latest stock action. 'By Gold' is the byline, not investment advice. Made in Canada. riva.gold@wsj.com</t>
  </si>
  <si>
    <t>Bunty Bhangdiya</t>
  </si>
  <si>
    <t>Chimur</t>
  </si>
  <si>
    <t>BJP MLA From Chimur Assembly Constituency, District Chandrapur, Maharashtra.</t>
  </si>
  <si>
    <t>Japan leads global stocks higher after elections https://t.co/OtVoY18UGo https://t.co/5L8R308eJQ</t>
  </si>
  <si>
    <t>Bishw@ Deep@k</t>
  </si>
  <si>
    <t>My words eclipse what I mean to say: BD</t>
  </si>
  <si>
    <t>vedumaani</t>
  </si>
  <si>
    <t>Mangalore, India</t>
  </si>
  <si>
    <t>Shrink</t>
  </si>
  <si>
    <t>A lover of Gestalt therapy / Believer of Cesare Lombroso's theory/ Believer in Pschoanalysis/ Practitioner of TFCBT/ A Petrol head/ #TeamArsenal</t>
  </si>
  <si>
    <t>edristi</t>
  </si>
  <si>
    <t>Japanese Prime Minister Shinzo Abe secured a crucial victory in Japan’s parliamentary elections held on October... https://t.co/OGppO3ym1J</t>
  </si>
  <si>
    <t>♡</t>
  </si>
  <si>
    <t>RT @ReutersScience: Typhoon kills at least two in Japan, prompts call for thousands to evacuate https://t.co/MXdLDFOpvU https://t.co/ErSaSZ…</t>
  </si>
  <si>
    <t>🌙✨🌙✨🌙✨🌙✨💛🌙✨🌙✨🌙✨🌙✨💛🌙✨🌙✨🌙✨💛🌙🌹🌙✨🌙✨💛🌙🌹🌙✨💛🌙✨🌙✨🌙✨🌙✨🌙✨🌹🌙✨🌙✨🌙✨🌹🌙</t>
  </si>
  <si>
    <t>Dinesh Agrawal</t>
  </si>
  <si>
    <t>Professor, Scientist, Ex-president of Overseas Friends of BJP</t>
  </si>
  <si>
    <t>Miyuri</t>
  </si>
  <si>
    <t>Kanagawa Japan</t>
  </si>
  <si>
    <t>I love Japan. My favorites…flowers, animals, landscapes, northern lights, traveling, sports, music, photos. Thank you for following me!(*^^*)</t>
  </si>
  <si>
    <t>EQUITY COMMODITY£$€₹</t>
  </si>
  <si>
    <t>Japan's Abe hails landslide victory in snap election https://t.co/noaajU37WA</t>
  </si>
  <si>
    <t>America | Europe | Asia |</t>
  </si>
  <si>
    <t>SIC Capital Venture™ Trust Value &amp; Solutions | http://t.co/RsFRBFwrO9 | http://t.co/MvDncNFHb2 | http://t.co/xeTk3ZMabU | http://t.co/kyAwoB9PWi |</t>
  </si>
  <si>
    <t>Shariful Islam</t>
  </si>
  <si>
    <t>Japan vows ‘IMMINENT’ action against North Korea after leader's landslide election victory https://t.co/Wf3hYvOEd7</t>
  </si>
  <si>
    <t>Narayanganj, Bangladesh</t>
  </si>
  <si>
    <t>I Know #SAP #SAPERP #SAPpp #Productivity #ERPSowftwar #DataAnalaysis #DataSecurity</t>
  </si>
  <si>
    <t>koremiyogashi</t>
  </si>
  <si>
    <t>乗り物全般、機械好き。</t>
  </si>
  <si>
    <t>Himanish Prabhakar</t>
  </si>
  <si>
    <t>WSJ: Japan leads global stocks higher after elections https://t.co/6GKkbgYjWY https://t.co/5yb9uC31FE</t>
  </si>
  <si>
    <t>#no #there' #no-one #else' #eyes #that #could #see #into #me #no-one #else' #arm #can #lift #lift #me #up #so #high</t>
  </si>
  <si>
    <t>ashok kumar dhar</t>
  </si>
  <si>
    <t>Boston News</t>
  </si>
  <si>
    <t>RT @PDiddie: Japan's Abe to push pacifist constitution reform after strong election win https://t.co/mZq93VZ9GQ</t>
  </si>
  <si>
    <t>bostonlocalnews001</t>
  </si>
  <si>
    <t>Boston, MA</t>
  </si>
  <si>
    <t>an academic research project from @umiacs aiming to detect Boston news.</t>
  </si>
  <si>
    <t>ukworldnews</t>
  </si>
  <si>
    <t>Japan&amp;amp;#39;s Abe to push pacifist constitution reform after strong election win #WorldNews https://t.co/sAJoIvlLwR</t>
  </si>
  <si>
    <t>Find your latest World News news with just one click. Don't miss out on anything happening!</t>
  </si>
  <si>
    <t>tirta news</t>
  </si>
  <si>
    <t>Japan leads global stocks higher after elections https://t.co/SYK21i7ELg https://t.co/XdJD6KZqYh</t>
  </si>
  <si>
    <t>#Business Info</t>
  </si>
  <si>
    <t>WSJ: Japan leads global stocks higher after elections https://t.co/DxEgoQNHQh https://t.co/8TlgzWBqPS</t>
  </si>
  <si>
    <t>Up-to-date information from industry experts on #business #SalesTips #SocialSelling #Selling #Tips #SalesManagement #Ecommerce and #Startups</t>
  </si>
  <si>
    <t>BILL TURCKE</t>
  </si>
  <si>
    <t>Japan leads global stocks higher after elections https://t.co/46WvkDxAXc https://t.co/aTA0KzFP7H</t>
  </si>
  <si>
    <t>Technology News</t>
  </si>
  <si>
    <t>WSJ: Japan leads global stocks higher after elections https://t.co/GyrvOVzxBr https://t.co/lTPdzXEUhz</t>
  </si>
  <si>
    <t>THE WALL STREET JOURNAL: Japan leads global stocks higher after elections https://t.co/qCNq79fIvm https://t.co/GP8cGTCVIe</t>
  </si>
  <si>
    <t>Borneo Trading Group</t>
  </si>
  <si>
    <t>Japan’s Nikkei rises for a 15th straight session after Abe’s election win https://t.co/AItxhLnJ7L</t>
  </si>
  <si>
    <t>धीरज सिंह</t>
  </si>
  <si>
    <t>सीवान,बिहार,भारत</t>
  </si>
  <si>
    <t>विद्यार्थी,पत्रकारिता🇮🇳स्वयंसेवक🇮🇳🇮🇳हम सर्मथक है उनके जो(१)अपने राष्ट्र,माता-पिता एवं गुरु को ईश्वर रुपी सम्मान करें(२)निष्पक्ष और इमानदार हो🇮🇳🙏</t>
  </si>
  <si>
    <t>Hema</t>
  </si>
  <si>
    <t>Katharine Adeney</t>
  </si>
  <si>
    <t>#Japan’s 2017 Snap Election: The More That Changes.… | Ellis S. Krauss #JapanElection https://t.co/VABD71GocO https://t.co/u1XBh6k1ZK</t>
  </si>
  <si>
    <t>University of Nottingham</t>
  </si>
  <si>
    <t>Prof &amp; Dir. @nottingham_iaps &amp; Ed. of https://t.co/V87S7ji9Lb @UniofNottingham Co-ed of @govandopp Tweets on #India, #Pakistan, #Majoritarianism, #HigherEd Mum</t>
  </si>
  <si>
    <t>🏡世界の政治と幸福度+世論調査🌐</t>
  </si>
  <si>
    <t>🇯🇵Japan &amp; 🇺🇸USA</t>
  </si>
  <si>
    <t>①#平和情勢#政治#国連②#iPS#難病問題③#人権問題 ④#英語教育 を研鑽中の頑固親父（日中妻）がtw致します❍「万人が大学と自立可能な資格取得#教育 を無料で受ける権利」の追加、#資本主義 凌ぐ#新経済政策、#貧困児童 0,#貧困 0, #新産業開発庁 の誕生を切望📚#世論調査 DMで募集。元自民の自公支持者。</t>
  </si>
  <si>
    <t>Kapil Naren</t>
  </si>
  <si>
    <t>Nancy Peña</t>
  </si>
  <si>
    <t>RT WSJ: Japan leads global stocks higher after elections https://t.co/gCw4CaTy0k https://t.co/nbo78hiLMD</t>
  </si>
  <si>
    <t>Estudios Internacionales UCV</t>
  </si>
  <si>
    <t>Congress Free India</t>
  </si>
  <si>
    <t>#My_Dream_Congress_Free_India</t>
  </si>
  <si>
    <t>蓮田宗宏</t>
  </si>
  <si>
    <t>Narrendra Malhotra</t>
  </si>
  <si>
    <t>Japan leads global stocks higher after elections https://t.co/i25T24iAc8 https://t.co/F5GVXGK4NK</t>
  </si>
  <si>
    <t>Student | Fan of Narrendra Modhi PM of India | Photography |</t>
  </si>
  <si>
    <t>Japan leads global stocks higher after elections https://t.co/HglYSJkM4m https://t.co/h7L24vPun3</t>
  </si>
  <si>
    <t>New Europe</t>
  </si>
  <si>
    <t>Japan’s Abe celebrates ‘super majority’ election win https://t.co/cMEy4DPnML #news via @New_Europe</t>
  </si>
  <si>
    <t>Brussels, Belgium</t>
  </si>
  <si>
    <t>Published since 1993, New Europe is the only independent weekly newspaper and daily website bringing you the most important European news and analysis</t>
  </si>
  <si>
    <t>Vesty Waves</t>
  </si>
  <si>
    <t>Asia Markets: Japan’s Nikkei rises for a 15th straight session after Abe’s election win https://t.co/hxVYiAjAVh.</t>
  </si>
  <si>
    <t>vesty waves twitterizer</t>
  </si>
  <si>
    <t>Organizing the world's financial news</t>
  </si>
  <si>
    <t>A V</t>
  </si>
  <si>
    <t>RT @IndianExpress: Japan election 2017: Shinzo Abe secures majority, says will ‘work humbly’; Nikkei hits 21-year high https://t.co/zMsiXg4…</t>
  </si>
  <si>
    <t>Athlete⛹️Aesthetic💪Fitness lover 🏋️Traveler🏂 Interest in Social|Defence|Politics|Sports|Foreign Policy|Information Technology|Digital India|Data Analyst|AI.</t>
  </si>
  <si>
    <t>Pradeep Patidar</t>
  </si>
  <si>
    <t>Mandsaur, India</t>
  </si>
  <si>
    <t>Student</t>
  </si>
  <si>
    <t>Napoleon Campos</t>
  </si>
  <si>
    <t>Ciudad de Guatemala, Guatemala</t>
  </si>
  <si>
    <t>Especialista salvadoreño/centroamericano en Temas Internacionales. Docente, investigador y consultor.</t>
  </si>
  <si>
    <t>Press TV</t>
  </si>
  <si>
    <t>Japan’s PM vows to ‘deal firmly’ with North Korea immediately after he won elections https://t.co/KbHqRmNiDa https://t.co/OryQgwgUIo</t>
  </si>
  <si>
    <t>Tehran, Iran</t>
  </si>
  <si>
    <t>Press TV is the first Iranian international news network, broadcasting in English on a round-the-clock basis.</t>
  </si>
  <si>
    <t>Mystic</t>
  </si>
  <si>
    <t>@ChrisBrown ~ Promoter ~ Blogger ~ Entrepreneur ~ Logo maker</t>
  </si>
  <si>
    <t>EyeOnNWO</t>
  </si>
  <si>
    <t>What now for Japan after Abe's landslide election victory? https://t.co/1hJSXDg4ur #NWO #Conspiracy #News</t>
  </si>
  <si>
    <t>Keeping an EYE on the NWO and strange news from around the web.</t>
  </si>
  <si>
    <t>UN Lewis</t>
  </si>
  <si>
    <t>Lover of books, knowledge and good food! RT ≠ Endorsement</t>
  </si>
  <si>
    <t>Viivekanand_official</t>
  </si>
  <si>
    <t>professional actor RTs are not endorsement #Never give up ✌✌✌</t>
  </si>
  <si>
    <t>MKS</t>
  </si>
  <si>
    <t>Nationalist; Serve the Motherland at ANY COST. Like NaMo. RTs not necessarily endorsements..</t>
  </si>
  <si>
    <t>Manoj Arya</t>
  </si>
  <si>
    <t>Saharanpur, India</t>
  </si>
  <si>
    <t>Great Things Take Time so just be Patient Jai Hind.....</t>
  </si>
  <si>
    <t>Nitin Tripathi</t>
  </si>
  <si>
    <t>#ProudIndian #Sehwag_and_GG_fan</t>
  </si>
  <si>
    <t>若狹　眞礼城</t>
  </si>
  <si>
    <t>Japan election: Abe on track for big win, exit polls show - CNN https://t.co/ch8vTGUj1e #スマートニュース</t>
  </si>
  <si>
    <t>SmartNews | スマートニュース</t>
  </si>
  <si>
    <t>秋田県 男鹿市</t>
  </si>
  <si>
    <t>秋田県在住の３０代の独身男です。 仕事は木材工場で働いています。比内地鶏の養鶏やドジョウの養殖や貸別荘などもやっています。 どうぞよろしくお願いいたします。</t>
  </si>
  <si>
    <t>Govind Mahtolia</t>
  </si>
  <si>
    <t>Flamingo for Android</t>
  </si>
  <si>
    <t>I love books, stock markets, technology, and finance.</t>
  </si>
  <si>
    <t>Navin Kumar</t>
  </si>
  <si>
    <t>भारत माता की जय # Proud to be an Indian #Nationalist #Big fan of Namo @narendramodi #Nation first,me last</t>
  </si>
  <si>
    <t>CNNMoney</t>
  </si>
  <si>
    <t>What to watch: - Japan election landslide - Chaos in Catalonia - European populism https://t.co/CnJqrOxIAv</t>
  </si>
  <si>
    <t>Sprinklr</t>
  </si>
  <si>
    <t>The money news that matters most to you. Meet our team: http://t.co/krbacc9dFn</t>
  </si>
  <si>
    <t>富　ユタカ</t>
  </si>
  <si>
    <t>Uh...I don't Know.Sorry.</t>
  </si>
  <si>
    <t>Run Silent Run Deep Now (^^) smile icon now Please wait till my Followers are over 2000.</t>
  </si>
  <si>
    <t>NNAS</t>
  </si>
  <si>
    <t>Orlando, FL ☀️</t>
  </si>
  <si>
    <t>Psychology 🔥 Mental Health 🗣 Education 👩‍🏫 Social Science 💎💎💎 "Learn to do good; seek justice, correct oppression..." ~ Isaiah 1:17 🙏</t>
  </si>
  <si>
    <t>livenews🌀</t>
  </si>
  <si>
    <t>Japan leads global stocks higher after elections https://t.co/k9b5Web3J6 https://t.co/y9dbjLA8RZ</t>
  </si>
  <si>
    <t>Live news, updated every 5 seconds on our web site.</t>
  </si>
  <si>
    <t>India TV</t>
  </si>
  <si>
    <t>#ShinzoAbe could remain in power until 2021, becoming #Japan's longest-serving PM https://t.co/HDzX4RJt3O</t>
  </si>
  <si>
    <t>India’s most watched Hindi News Channel. Follow for latest/breaking News Alerts from all over the Globe. FB:https://t.co/BUC2bw3ZhL</t>
  </si>
  <si>
    <t>John Mack 🇬🇧🇺🇸</t>
  </si>
  <si>
    <t>'If the battle for civilization comes down to the wimps versus the barbarians, the barbarians are going to win'' - Thomas Sowell</t>
  </si>
  <si>
    <t>AnkushDhiman</t>
  </si>
  <si>
    <t>Baindi</t>
  </si>
  <si>
    <t>Manish</t>
  </si>
  <si>
    <t>India - 18 May</t>
  </si>
  <si>
    <t>Aman Ghoghari</t>
  </si>
  <si>
    <t>President At Diamond Group</t>
  </si>
  <si>
    <t>Naren</t>
  </si>
  <si>
    <t>#ShinzoAbe could remain in power until 2021, becoming #Japan's longest-serving PM https://t.co/MhHBao8tQO</t>
  </si>
  <si>
    <t>Insurance and Risk Management Professional</t>
  </si>
  <si>
    <t>Powerful typhoon drenches Japan, tens of thousands advised to evacuate https://t.co/FTIyqsQCul #スマートニュース</t>
  </si>
  <si>
    <t>COTONAM</t>
  </si>
  <si>
    <t>I study English.</t>
  </si>
  <si>
    <t>paibun_bn</t>
  </si>
  <si>
    <t>to be by loving</t>
  </si>
  <si>
    <t>Pranav Patel</t>
  </si>
  <si>
    <t>RT @indiatvnews: #ShinzoAbe could remain in power until 2021, becoming #Japan's longest-serving PM https://t.co/HDzX4RJt3O</t>
  </si>
  <si>
    <t>Surat, India</t>
  </si>
  <si>
    <t>Proud Indian. Blood Donor. Opinions are personal</t>
  </si>
  <si>
    <t>ゆーこ</t>
  </si>
  <si>
    <t>桜の季節が大好きです。日本が大好きです。tweet from Japan!</t>
  </si>
  <si>
    <t>Top takeaways from Shinzo Abe's election win in Japan https://t.co/P0nE9nJdh4 https://t.co/wizUYZbp1z</t>
  </si>
  <si>
    <t>SnappyTV.com</t>
  </si>
  <si>
    <t>Jordan FHT</t>
  </si>
  <si>
    <t>Chelsea, London</t>
  </si>
  <si>
    <t>FX and Binary Options trader with #FHT We have vacancies for new traders, if you are interested in joining my team then please DM me to start your free trial.</t>
  </si>
  <si>
    <t>RT @CNNMoney: What to watch: - Japan election landslide - Chaos in Catalonia - European populism https://t.co/CnJqrOxIAv</t>
  </si>
  <si>
    <t>Balu Ram Jat</t>
  </si>
  <si>
    <t>Beawar, India</t>
  </si>
  <si>
    <t>Jatin Sharma</t>
  </si>
  <si>
    <t>Top takeaways from Shinzo Abe's election win in Japan https://t.co/UsPuxQmakK https://t.co/vo8dUnaaaH</t>
  </si>
  <si>
    <t>Project Management</t>
  </si>
  <si>
    <t>Nikkei hits new highs after Japan election #Projectmanagement https://t.co/Q9bph7rO7f</t>
  </si>
  <si>
    <t>Find your latest Project Management news with just one click. Don_x0092_t miss out on anything happening in your profession!</t>
  </si>
  <si>
    <t>Top takeaways from Shinzo Abe's election win in Japan https://t.co/F0wVV15Say https://t.co/xIcMTkuHIr #fb #sitifatimah #malaysia</t>
  </si>
  <si>
    <t>NewsNumber.Com</t>
  </si>
  <si>
    <t>INDIA'S PRIME MINISTER NARENDRA MODI CONGRATULATES SHINZO ABE ON RE-ELECTION IN JAPAN https://t.co/3lz1GP1TJm</t>
  </si>
  <si>
    <t>A new era of Social Journalism</t>
  </si>
  <si>
    <t>Jayesh Patel</t>
  </si>
  <si>
    <t>गुजरात, भारत</t>
  </si>
  <si>
    <t>Freda_Wilson</t>
  </si>
  <si>
    <t>serge poznanski</t>
  </si>
  <si>
    <t>WSJ: Japan leads global stocks higher after elections https://t.co/ABOwRj4Liz https://t.co/hwLN2oU8Jr</t>
  </si>
  <si>
    <t>GPS2017</t>
  </si>
  <si>
    <t>2017年12月11～14日にインド ニューデリーで行われる「グローバルパートナーシップサミット2017」についての情報をお伝えします。</t>
  </si>
  <si>
    <t>Em=BigBro Pac=Dad</t>
  </si>
  <si>
    <t>Nun ist es nicht, wie die Welt auf meinen Schultern Jeder auf mich gelehnt ist Cuz mein Baby weiß, dass ihr Vater ein Soldat Nothin 'ist fühlen können sie von m</t>
  </si>
  <si>
    <t>Digantika Rao</t>
  </si>
  <si>
    <t>Gurgaon, India</t>
  </si>
  <si>
    <t>Farthest Horizon</t>
  </si>
  <si>
    <t>buttercup®</t>
  </si>
  <si>
    <t>🇰🇪</t>
  </si>
  <si>
    <t>short girl, big dreams. 🌼</t>
  </si>
  <si>
    <t>sunny</t>
  </si>
  <si>
    <t>work in progress.I'll let you know.😎</t>
  </si>
  <si>
    <t>Japan leads global stocks higher after elections https://t.co/eDXVoBhE0O https://t.co/djSXMotcOS</t>
  </si>
  <si>
    <t>yumiko★</t>
  </si>
  <si>
    <t>彩りの国</t>
  </si>
  <si>
    <t>Micheal Jackson fan★I love that I draw a picture And MJ!お絵かき/ＧＳ/洋楽80･70年/Jacksons/Jackson5/Tito/Janet/Charice/Lady GAGA/Diana Ross/Destiny's child/←My Fave！韓国大嫌</t>
  </si>
  <si>
    <t>Darshan Dave</t>
  </si>
  <si>
    <t>GMA News Facebook</t>
  </si>
  <si>
    <t>Malacañang on Monday congratulated Japanese Prime Minister Shinzo Abe for winning the election that he called a... https://t.co/vQXiwJwP1E</t>
  </si>
  <si>
    <t>Asia Markets: Japan’s Nikkei rises for a 15th straight session after Abe’s election win https://t.co/NBKEnozqVi via @bllshbrsh</t>
  </si>
  <si>
    <t>Sateesh</t>
  </si>
  <si>
    <t>Views are personal. RTs just for information &amp; not endorsements! मते व्यक्तिगत. `री-ट्विट` माहितीसाठी; सहमती म्हणून नव्हे!</t>
  </si>
  <si>
    <t>ookii_ดีใจด้วยนะ</t>
  </si>
  <si>
    <t>Chiang Mai 50200</t>
  </si>
  <si>
    <t>with passion and knowledge, what it means to be human - Lydialyle Gibson ||ติ่งวัยทำงานมีเวลาหวีด เสาร์-อาทิตย์|| 🐯🖤wfhmuj</t>
  </si>
  <si>
    <t>Linda Bowman</t>
  </si>
  <si>
    <t>A Conservative Christian women, Patriot, NRA, a Spiritual Prayer Warrior 🙏, who believes TRUMP, is God's man! MIRACLES will happen by the hand God!</t>
  </si>
  <si>
    <t>David Johson</t>
  </si>
  <si>
    <t>Japan’s PM vows to ‘deal firmly’ with North Korea immediately after he won elections https://t.co/vWO7H2TY2d https://t.co/XSsMr7ajcg</t>
  </si>
  <si>
    <t>Berlin, Germany</t>
  </si>
  <si>
    <t>Architect Anti #Wahhabi #Zionist Proud Christian #Maga</t>
  </si>
  <si>
    <t>CNNMoney: What to watch: - Japan election landslide - Chaos in Catalonia - European populism https://t.co/qCtCw3y26l</t>
  </si>
  <si>
    <t>Somesh09</t>
  </si>
  <si>
    <t>Deven Deorukhkar</t>
  </si>
  <si>
    <t>Shri Sthanak Thane</t>
  </si>
  <si>
    <t>Its in Name...By the God For the God. Kind, care and everything to be a good friend. Food Blogger snap:total.siya</t>
  </si>
  <si>
    <t>CopyNews</t>
  </si>
  <si>
    <t>What to watch: - Japan election landslide - Chaos in Catalonia - European populism https://t.co/pc4Fq5vNhn</t>
  </si>
  <si>
    <t>HAITI - Port-Au-Prince</t>
  </si>
  <si>
    <t>CopyNews: Le concentré d’infos des grandes agences de pesse du monde. Un Seul clic pour vous informer en temps réel 24/24. #Kreyòl|#Français |#English |#Español</t>
  </si>
  <si>
    <t># kumar Hindu</t>
  </si>
  <si>
    <t>Greater Noida, India</t>
  </si>
  <si>
    <t>कभी कभी तय करना मुश्किल हो जाता है के किसे नज़रअंदाज करे?गलती को या फिर गलती करनेवाले को</t>
  </si>
  <si>
    <t>BJP Nagpur Fans</t>
  </si>
  <si>
    <t>Twitter account of the fans of Bharatiya Janata Party, Nagpur.</t>
  </si>
  <si>
    <t>santosh kumar</t>
  </si>
  <si>
    <t>Ghazipur</t>
  </si>
  <si>
    <t>avishek shah</t>
  </si>
  <si>
    <t>Kolkata, West Bengal</t>
  </si>
  <si>
    <t>loves open source stuff. great retweets 😊</t>
  </si>
  <si>
    <t>Crime Master Gogo🇮</t>
  </si>
  <si>
    <t>Software Project Leader. Cloud Technology Expert. Tweets are own. Retweets are not Endorsement.</t>
  </si>
  <si>
    <t>Jitesh Patel</t>
  </si>
  <si>
    <t>Admin/ HR/ Archives/ Writer</t>
  </si>
  <si>
    <t>Sri Sri Publications Trust - Video Department, Art of Living, Bangalore Ashram</t>
  </si>
  <si>
    <t>timelivenews</t>
  </si>
  <si>
    <t>Nikkei hits new highs after Japan election - https://t.co/qfPZcypPQ4 #GoogleAlerts</t>
  </si>
  <si>
    <t>ANAND S. J.</t>
  </si>
  <si>
    <t>Belgaum, India</t>
  </si>
  <si>
    <t>RT BloombergTV "Top takeaways from Shinzo Abe's election win in Japan https://t.co/M4qp5eK0J2 https://t.co/sh4tTRGW8n"</t>
  </si>
  <si>
    <t>ಕನ್ನಡಿಗ</t>
  </si>
  <si>
    <t>Proud Indian</t>
  </si>
  <si>
    <t>Will Kenya ever be like Japan? Election done did and dusted.</t>
  </si>
  <si>
    <t>sarasa</t>
  </si>
  <si>
    <t>私は日本が大好きです。日本の国土、山、自然、そこに住む動物たちや水、神仏伝統、歴史。日本は本当に美しい国です。誇りに思ってなにがいけないの？そろそろ戦後のカルマを払拭して、日本人は日本を取り戻そう。</t>
  </si>
  <si>
    <t>Japan election: Shinzo Abe's party likely to seize control in lower house | Fox News https://t.co/wG56nbTDHM #スマートニュース</t>
  </si>
  <si>
    <t>Alicia Rivas</t>
  </si>
  <si>
    <t>Adopt, don't shop. My cats and girlfriend pretty much rule my world. ❤ 10.03.13 💍 Progressive. Ember ❤👼</t>
  </si>
  <si>
    <t>Gajraj singh</t>
  </si>
  <si>
    <t>Chittorgarh, RAJASTHAN</t>
  </si>
  <si>
    <t>राष्ट्रवादी शिक्षक; राष्ट्रसेवा ब्रह्मसेवा, राष्ट्रसेवा के लिए सेना में जाना जरूरी नहीं है ये ट्विटर पर भी हो सकती है..</t>
  </si>
  <si>
    <t>It Is Well 💯</t>
  </si>
  <si>
    <t>worldwide</t>
  </si>
  <si>
    <t>#INFJ-A| Tesla Enthusiast| RT NOT Endorsement|</t>
  </si>
  <si>
    <t>Sarvesh dewbi shukla</t>
  </si>
  <si>
    <t>Nilesh Bhandarwar</t>
  </si>
  <si>
    <t>News18</t>
  </si>
  <si>
    <t>Typhoon leaves 5 dead after lashing Japan on election day https://t.co/WpD8iTIxie</t>
  </si>
  <si>
    <t>Latest news alerts from India and the world.</t>
  </si>
  <si>
    <t>Munish Handa</t>
  </si>
  <si>
    <t>Deepak</t>
  </si>
  <si>
    <t>ąɲɨʍąℓ ℓ๏˅€я</t>
  </si>
  <si>
    <t>ॐ |Proud Bharatiya|</t>
  </si>
  <si>
    <t>RT BloombergTV "Top takeaways from Shinzo Abe's election win in Japan https://t.co/RLtUwE1V6X https://t.co/pVqRXmtvud"</t>
  </si>
  <si>
    <t>Japan’s PM vows to ‘deal firmly’ with North Korea immediately after he won elections https://t.co/vWO7H2TY2d https://t.co/XSsMr7ajcg #lux…</t>
  </si>
  <si>
    <t>ψ根無し草</t>
  </si>
  <si>
    <t>福島県内のどこかに避難中</t>
  </si>
  <si>
    <t>福島県内の何処かに生息している「焼肉が食べれる草食系男子＾ ＾」です。【趣味】スノボ・バイク・プラモデル・料理・TVゲーム・麻雀etc・・・。原発事故の影響で住処を追われてしまいました(Ｔ▽Ｔ)Σ現在福島県内にて潜伏中。</t>
  </si>
  <si>
    <t>Sammy Kotwani</t>
  </si>
  <si>
    <t>president The Imperial Tailoring Co.Russia. President Indian Business Alliance .Russia. President. OFBJP Russia</t>
  </si>
  <si>
    <t>Strong typhoon nears southern Japan the day before election https://t.co/cBkkT2qF5U #スマートニュース</t>
  </si>
  <si>
    <t>Dishank Sharma</t>
  </si>
  <si>
    <t>Typhoon leaves 5 dead after lashing Japan on election day https://t.co/6MnTKBpheb</t>
  </si>
  <si>
    <t>दिल्ली, भारत</t>
  </si>
  <si>
    <t>Novel, music, Travelling, GOT, US Sitcoms lover COFFEE makes my day</t>
  </si>
  <si>
    <t>Manish Pandey BJP</t>
  </si>
  <si>
    <t>RT @Narendermodi_PM: Heartiest greetings to my dear friend AbeShinzo on his big election win. Look forward to further strengthen India-Japa…</t>
  </si>
  <si>
    <t>Jamnagaar Gujrat india</t>
  </si>
  <si>
    <t>#BJP IT cell Co-Convinor Jamnagar Gujarat # Followed by PM Sri. @NarendraModi Sir, @nisitharamanoffice, @PiyushGoyaloffice, @GauravSinghal, @SocialMedia for BJP</t>
  </si>
  <si>
    <t>Kailash Kumar</t>
  </si>
  <si>
    <t>Shubhi Saxena</t>
  </si>
  <si>
    <t>shreeprakash agrawal</t>
  </si>
  <si>
    <t>Congratulations to India's best friend PM of Japan @AbeShinzo on his big election win again https://t.co/WXOkBcWg98</t>
  </si>
  <si>
    <t>meerut, india</t>
  </si>
  <si>
    <t>I'm a tutor , an alrounder f all streams up to 12th &amp; some entrance exams , intrested in reading , nationalist , love hindu , hinduism , hindi &amp; hindustan</t>
  </si>
  <si>
    <t>Ravindra Nayak</t>
  </si>
  <si>
    <t>Eindhoven, Nederland</t>
  </si>
  <si>
    <t>Enthusiast , Engineer by choice, Traveler, coder, Peacemaker, HUMAN</t>
  </si>
  <si>
    <t>Mahaveer s</t>
  </si>
  <si>
    <t>If you can't to GREAT things do SMALL things in a GREAT way.</t>
  </si>
  <si>
    <t>RishiPort</t>
  </si>
  <si>
    <t>Justaway for Android</t>
  </si>
  <si>
    <t>Kurir Magazine</t>
  </si>
  <si>
    <t>Japanese Prime Minister #ShinzoAbe headed for big win in general election #Japan https://t.co/YmSyre4Are via @kurir_eu</t>
  </si>
  <si>
    <t>石平新著『眞實の尖閣史』史料監修者</t>
  </si>
  <si>
    <t>石平氏新刊『眞實の尖閣史』、 https://t.co/juEpnEGooc かういふ書は、今まで有りませんでした。チャイナが反論できないといふより、「日本人が知らない尖閣史」。さういふ新しさ。そして何より正義の書です。史料監修者いしゐのぞむツイッター。</t>
  </si>
  <si>
    <t>The Winners and Losers of Japan's Landslide Election https://t.co/DHSmqxjeh1 via @bllshbrsh</t>
  </si>
  <si>
    <t>Jagdish Patel</t>
  </si>
  <si>
    <t>What now for Japan after Abe's landslide election victory? - https://t.co/zMg0morrpr #GoogleAlerts</t>
  </si>
  <si>
    <t>caferacer</t>
  </si>
  <si>
    <t>The number of seats of each party in the lower house of Japan before and after the election. https://t.co/HrsvysKItX</t>
  </si>
  <si>
    <t>Hello, tout le monde. Привет. I live in Yokohama and work as a software engineer. I love cats!</t>
  </si>
  <si>
    <t>theJimFonggroup</t>
  </si>
  <si>
    <t>CNNMoney: What to watch: - Japan election landslide - Chaos in Catalonia - European populism https://t.co/aDI1XBEohY #news</t>
  </si>
  <si>
    <t>Number one #team in #Lasvegas #nevada helping #homeowners #firsttimehomebuyers with their #realestate needs. #homes #sell</t>
  </si>
  <si>
    <t>prikshit singla</t>
  </si>
  <si>
    <t>Nation first</t>
  </si>
  <si>
    <t>What to watch: - Japan election landslide - Chaos in Catalonia - European populism https://t.co/pwEEbzcpcq — CNNMoney (CNNMoney) October …</t>
  </si>
  <si>
    <t>Planet Handshake</t>
  </si>
  <si>
    <t>Unlocking Opportunities</t>
  </si>
  <si>
    <t>Nikkei hits new highs after Japan election https://t.co/U6L2oMH7oM via @bllshbrsh</t>
  </si>
  <si>
    <t>अजिताभ बरुआ</t>
  </si>
  <si>
    <t>Tinsukia,Assam</t>
  </si>
  <si>
    <t>Tweet mostly politics,sometime tennis ||</t>
  </si>
  <si>
    <t>Jack Paylor</t>
  </si>
  <si>
    <t>RT WSJ: Japan leads global stocks higher after elections https://t.co/La44B676Nt https://t.co/dkGEjn6GLj</t>
  </si>
  <si>
    <t>Raleigh | Houston</t>
  </si>
  <si>
    <t>Telecommunications enthusiast • Member of Montgomery County EOC • Amateur Radio Operator • Radio Station Owner.</t>
  </si>
  <si>
    <t>Javier Barberan</t>
  </si>
  <si>
    <t>Pembroke Pines, FL</t>
  </si>
  <si>
    <t>Political junkie from SoFlo...</t>
  </si>
  <si>
    <t>RT @socialmedia4bjp: RT narendramodi Heartiest greetings to my dear friend AbeShinzo on his big election win. Look forward to further stren…</t>
  </si>
  <si>
    <t>A.S.U.K Studio ●</t>
  </si>
  <si>
    <t>Typhoon leaves 5 dead after lashing Japan on election day https://t.co/eZSBDiBkjx</t>
  </si>
  <si>
    <t>Bio Link &amp; Pinned Post</t>
  </si>
  <si>
    <t>We Write About 📰News + 📺Tech + 🍔Food || we also provide 💹Twitter Marketing || Founder+Admin➡ @anshumanjohriAJ || Website link⬇ Bio Link⬇</t>
  </si>
  <si>
    <t>Dullah</t>
  </si>
  <si>
    <t>Dar es Salaam, Tanzania</t>
  </si>
  <si>
    <t>Rich Gang#Arsenal#Gooner</t>
  </si>
  <si>
    <t>Bipin Kumar</t>
  </si>
  <si>
    <t>Aligarh INDIA</t>
  </si>
  <si>
    <t>मुझे अपने देश भारत पर बहुत गर्व है और में अपने देश से बहुत प्यार करता हूँ। मेरा लक्ष्य आईएएस बन कर देश और समाज की सेवा करना है।</t>
  </si>
  <si>
    <t>What now for Japan after Abe's landslide election victory? https://t.co/dPo0k7iNjt</t>
  </si>
  <si>
    <t>PŘÄVËÊÑ KÚMÃR</t>
  </si>
  <si>
    <t>the best project u will ever work on, is YOU</t>
  </si>
  <si>
    <t>kamini.rupani</t>
  </si>
  <si>
    <t>Words limit descriptions...</t>
  </si>
  <si>
    <t>n.b.dubey</t>
  </si>
  <si>
    <t>♠</t>
  </si>
  <si>
    <t>sweetness in person.. oops! Too much sauce☁☁☁</t>
  </si>
  <si>
    <t>Binoy Kumer Sarker</t>
  </si>
  <si>
    <t>Vijay Patel</t>
  </si>
  <si>
    <t>An Indian with desire to see India without corruption and strong leaders with agenda to put India on top of the world.</t>
  </si>
  <si>
    <t>intolerantEngg.</t>
  </si>
  <si>
    <t>An Embedded Engg by profession,spritualist, follower of sanatan dharma, staunch modi bhakat, भारत माता कि जय</t>
  </si>
  <si>
    <t>sylvain henry</t>
  </si>
  <si>
    <t>Abe, Trump agree to raise pressure on North Korea: Japan government - https://t.co/dY6hJpfHsh #GoogleAlerts</t>
  </si>
  <si>
    <t>Ottawa, Ontario, Canada</t>
  </si>
  <si>
    <t>sylvain@businesstrek.ca Product development, Social media marketing, event management, business tourism, coffeechats. SKYPE: sylvain.henry (Canada)</t>
  </si>
  <si>
    <t>DwijFinTech</t>
  </si>
  <si>
    <t>BOB</t>
  </si>
  <si>
    <t>7 things to know before the bell: Japan election landslide; Chaos in Catalonia; European populism… https://t.co/j0a48WI3f9</t>
  </si>
  <si>
    <t>Huntington Beach, CA</t>
  </si>
  <si>
    <t>🇺🇸#News - #National | #Local | #World | #International | #Politics | #Health | #Science | #Sports | #Breakingnews. I Follow English speaking accounts only!</t>
  </si>
  <si>
    <t>Deb Dip Chatterjee</t>
  </si>
  <si>
    <t>A Nationalist #Hospitality #Restauranteur</t>
  </si>
  <si>
    <t>Japan leads global stocks higher after elections https://t.co/xYRmjVWtby https://t.co/GYJI25Ojvu</t>
  </si>
  <si>
    <t>RT TopFiveTraders "RT BloombergTV "Top takeaways from Shinzo Abe's election win in Japan https://t.co/xlAsI2Y6T8 https://t.co/XxkhEm6YUG""</t>
  </si>
  <si>
    <t>Bullish Market</t>
  </si>
  <si>
    <t>Japan leads global stocks higher after elections https://t.co/JX6480dfqy https://t.co/K8CvrkLHC4</t>
  </si>
  <si>
    <t>Yashesh Dhuri</t>
  </si>
  <si>
    <t>Rishabh sethia</t>
  </si>
  <si>
    <t>Bhanu Pratap Joshi</t>
  </si>
  <si>
    <t>It’s a blend of #Folk and #PostRock, &amp; all that lies between. Marketer; on Twitter to go beyond what makes news. RTs not endorsements. #ProudPunjabi</t>
  </si>
  <si>
    <t>Prithvi Patil</t>
  </si>
  <si>
    <t>Patriot. Country First. 🇮🇳 Manchester United. ❤</t>
  </si>
  <si>
    <t>RT @CNNnews18: Typhoon leaves 5 dead after lashing Japan on election day https://t.co/WpD8iTIxie</t>
  </si>
  <si>
    <t>Priyank Shukla</t>
  </si>
  <si>
    <t>Bareilly, India</t>
  </si>
  <si>
    <t>Best is yet to come</t>
  </si>
  <si>
    <t>rameshagrawal95</t>
  </si>
  <si>
    <t>Hindi poet,nature lover</t>
  </si>
  <si>
    <t>Chandan Sharma</t>
  </si>
  <si>
    <t>Giridih, India</t>
  </si>
  <si>
    <t>まろまろ</t>
  </si>
  <si>
    <t>韓国ドラマや音楽は好きだけど【政治】は別。やや右より、安倍政権支持。◯◯人が嫌いとかはないけど反日は嫌い。左翼とは絡みたくない。</t>
  </si>
  <si>
    <t>Weekly Journal</t>
  </si>
  <si>
    <t>ASIA MARKETS: Japan's Nikkei Rises For A 15th Straight Session After Abe's Election Win https://t.co/V3zP22AKGQ</t>
  </si>
  <si>
    <t>The Weekly Journal is a Finance Magazine providing groundbreaking coverage in business news. Like us on https://t.co/o8DFZ8Lz5N. A division of the @ColumnistMedia.</t>
  </si>
  <si>
    <t>#BloombergTV ❧ Top takeaways from Shinzo Abe's election win in Japan https://t.co/dyT1L8rEak https://t.co/34TBdwTg65</t>
  </si>
  <si>
    <t>Pranay Kadam</t>
  </si>
  <si>
    <t>Krishna Kant Mishra</t>
  </si>
  <si>
    <t>mumbai</t>
  </si>
  <si>
    <t>Chief Crime Reporter, Hamara Mahanagar, Mumbai.</t>
  </si>
  <si>
    <t>Mady</t>
  </si>
  <si>
    <t>dpjoshi</t>
  </si>
  <si>
    <t>I am proud to be a Hindu and I am big fan of @narendramodi ji 🙏🙏only Namo has a the guts to change India</t>
  </si>
  <si>
    <t>Proxy Insight</t>
  </si>
  <si>
    <t>Victory for Shinzo Abe in Japan's snap election paves way for Abenomics to continue #CorpGov https://t.co/o9nuL0bD91</t>
  </si>
  <si>
    <t>4 Old Park Lane, Mayfair, London W1K 1QW</t>
  </si>
  <si>
    <t>The ultimate source for global shareholder voting data</t>
  </si>
  <si>
    <t>Japan’s Nikkei hits new highs after Abe wins election.. https://t.co/5dF8P1Ii95</t>
  </si>
  <si>
    <t>Abdul Rehman</t>
  </si>
  <si>
    <t>ASIA MARKETS: Japan's Nikkei Rises For A 15th Straight Session After Abe's Election Win - https://t.co/6f3pZvGvR4, , #BUSINESS</t>
  </si>
  <si>
    <t>nvision360</t>
  </si>
  <si>
    <t>We believe in your dreams</t>
  </si>
  <si>
    <t>Abe to push reform of Japan’s pacifist constitution after election win.. https://t.co/92Lrdnunjq</t>
  </si>
  <si>
    <t>IAPS</t>
  </si>
  <si>
    <t>Japan’s 2017 Snap Election: The More That Changes.… | Ellis S. Krauss #JapanElection https://t.co/GYodDruxW7</t>
  </si>
  <si>
    <t>The Institute of Asia &amp; Pacific Studies (IAPS) is a research institute at the @UniofNottingham || South Asia || Southeast Asia || IAPS Director @KatAdeney.</t>
  </si>
  <si>
    <t>Saad Alqahtani</t>
  </si>
  <si>
    <t>RT WSJ "Japan leads global stocks higher after elections https://t.co/zRal2hvXcV https://t.co/eP1EN2GGQs"</t>
  </si>
  <si>
    <t>Riyadh, Kingdom of Saudi Arabia</t>
  </si>
  <si>
    <t>مهتم في المالية والمخاطر، القانون، المحاسبة والضرائب، الاعلام والتخطيط الاستراتيجي Financial &amp; Risk, Legal, Tax &amp; Accounting, and Media &amp; strategic planning</t>
  </si>
  <si>
    <t>Devendra Singh</t>
  </si>
  <si>
    <t>Motera, Gandhinagar</t>
  </si>
  <si>
    <t>News Government and Politics Sports</t>
  </si>
  <si>
    <t>Japan Election Vindicates Shinzo Abe as His Party Wins Big - https://t.co/rsK7QskvN4 #GoogleAlerts</t>
  </si>
  <si>
    <t>TxTheRch</t>
  </si>
  <si>
    <t>Heidelberg, Deutschland</t>
  </si>
  <si>
    <t>|| #martialarts 🥊 || Trinkt grds. nicht mit Buxen 🍻 || #glückab!</t>
  </si>
  <si>
    <t>Thakur Roop Singh</t>
  </si>
  <si>
    <t>Jammu And Kashmir</t>
  </si>
  <si>
    <t>MERA BHARAT MAHAN HAI</t>
  </si>
  <si>
    <t>A G E POYO</t>
  </si>
  <si>
    <t>日本国・JAPAN</t>
  </si>
  <si>
    <t>my favo 阪神タイガース スポーツ全般 チアリーディング 小嶋陽菜 TMNETWORK SCANDAL・RINA チャゲ&amp;飛鳥 工藤静香 生田衣梨奈</t>
  </si>
  <si>
    <t>JK Sharma</t>
  </si>
  <si>
    <t>New Delhi India</t>
  </si>
  <si>
    <t>Advisor Maruti Suzuki India Ltd.</t>
  </si>
  <si>
    <t>cate</t>
  </si>
  <si>
    <t>Sawtell</t>
  </si>
  <si>
    <t>Teacher 👩🏼‍🎓runner 🏃🏼‍♀️forex and futures trader 💹follows a plant based diet🍒🥑traveller✈️ and animal lover 😻</t>
  </si>
  <si>
    <t>Jaicky Wadhwani</t>
  </si>
  <si>
    <t>Student of Science, Antisecular,...</t>
  </si>
  <si>
    <t>Warner Finch</t>
  </si>
  <si>
    <t>Australia</t>
  </si>
  <si>
    <t>My strengths are hardworker, self motivating and dedicated towards my work. And also I'm a good learner as well as teacher.</t>
  </si>
  <si>
    <t>What to watch: - Japan election landslide - Chaos in Catalonia - European populism https://t.co/pwEEbzcpcq #BSAFunds #MerchantCashAdvance…</t>
  </si>
  <si>
    <t>🇮🇳સ્વામી ભારતી</t>
  </si>
  <si>
    <t>bhavnath Junagarh, India</t>
  </si>
  <si>
    <t>ભારતી આશ્રમ -(સરખેજ -જૂનાગઢ )</t>
  </si>
  <si>
    <t>Gerard Doran</t>
  </si>
  <si>
    <t>Japan Election Vindicates Shinzo Abe as His Party Wins Big https://t.co/7K1IgzBjMB</t>
  </si>
  <si>
    <t>AB 🇮🇳</t>
  </si>
  <si>
    <t xml:space="preserve">জয় আই অসম।          New Delhi </t>
  </si>
  <si>
    <t>Wanderer..Traveller..History Buff. Wish to settle down in the mystic Himalayas someday. Feel Alive ✈</t>
  </si>
  <si>
    <t>Deepak Kumar Roy</t>
  </si>
  <si>
    <t>Kalna, West Bengal, India</t>
  </si>
  <si>
    <t>By Birth - Indian By Heart - Indian Bengal 🐅 By Work - Student By Love - No One, Still Single Vande Matram.🇮🇳🇮🇳🇮🇳🇮🇳🇮🇳🇮🇳🇮🇳</t>
  </si>
  <si>
    <t>めけめけ</t>
  </si>
  <si>
    <t>ニューヨーク</t>
  </si>
  <si>
    <t>息子二人の育児と格闘中。ローカル・ニュース、日常雑感、愚痴などなどをつぶやいています。ちなみにアイコンは羊。ヤギじゃないよ。</t>
  </si>
  <si>
    <t>Pandey Ishtkam 🇮🇳</t>
  </si>
  <si>
    <t>Typhoon leaves 5 dead after lashing Japan on election day https://t.co/MqPoIWC2f9</t>
  </si>
  <si>
    <t>TV Journalist with @News18India &amp; @CNNNews18, #Network18,Past: @ZeeNews, &amp; BIG FM/ 10 awesome years of TV Journalism &amp; Radio. 🙂 "Hum Lucknow wale hian" 🙂</t>
  </si>
  <si>
    <t>sdkfdkfk</t>
  </si>
  <si>
    <t>Adiyenramanujadasan</t>
  </si>
  <si>
    <t>Management professional. Classical music aficionado. An Indian at heart! wish to see India as a super power in my lifetime. Proud Vishishtadvaiti.</t>
  </si>
  <si>
    <t>Huw Waters</t>
  </si>
  <si>
    <t>RT @SarahParsons73: What now for #Japan after Abe's landslide election victory? At last, some comment on low female rep. in politics https:…</t>
  </si>
  <si>
    <t>Wherever I may be</t>
  </si>
  <si>
    <t>Japanese-speaking Welsh wanderer whose soul lies in Asia. Linguist. Rugby &amp; footy fan. Nature nut. Marketing man. 十人十色。</t>
  </si>
  <si>
    <t>Saaym Qureshi</t>
  </si>
  <si>
    <t>RT @GVS_News: Japan | Prime Minister Shinzo Abe had won a clear election victory. https://t.co/7IACTQJesw</t>
  </si>
  <si>
    <t>Philanthropist | Islamabad, Pakistan. 🇵🇰</t>
  </si>
  <si>
    <t>R.K.joshi</t>
  </si>
  <si>
    <t>Patna, India</t>
  </si>
  <si>
    <t>Will Smirk 4 Food™</t>
  </si>
  <si>
    <t>New story on Donnie Two-scoops from Time: https://t.co/cqjVrf3aWV</t>
  </si>
  <si>
    <t>ÜT: 41.2634049,-95.9692819</t>
  </si>
  <si>
    <t>I consider myself a sardonic wit, but that just means I'm a wise ass. Much of my feed is auto-generated, but I'm a flesh and blood native of Toledo.</t>
  </si>
  <si>
    <t>Libardo Buitrago</t>
  </si>
  <si>
    <t>Consultor Internacional en Buitrago &amp; Jalil, Analista Internacional, Cientista Político, Académico y Periodista. Blog http://t.co/J1GSEzsJ</t>
  </si>
  <si>
    <t>Yogesh Patel</t>
  </si>
  <si>
    <t>Biz Dailies</t>
  </si>
  <si>
    <t>Japan election 2017: PM Shinzo Abe sweeps to resounding victory in vote https://t.co/4gjiLtEx02 https://t.co/tXBRC6v91R</t>
  </si>
  <si>
    <t>Top-notch business and financial news tracker. Read smarter and faster, stay ahead of the pack.</t>
  </si>
  <si>
    <t>RAVI GARVA</t>
  </si>
  <si>
    <t>Chairman, Social justice committee, Nakhatrana, taluka https://t.co/zveH7cQs7F</t>
  </si>
  <si>
    <t>...</t>
  </si>
  <si>
    <t>The most basic question is not what is best, but who shall decide what is best. - Thomas Sowell</t>
  </si>
  <si>
    <t>Nine News Australia</t>
  </si>
  <si>
    <t>Fresh off election victory, Japan's leader pledges to tackle NK military threat and shrinking population. #9News… https://t.co/vKdJsBN3Ft</t>
  </si>
  <si>
    <t>Australia's No.1: Follow @9NewsSyd | @9NewsMelb | @9NewsQueensland | @9NewsGoldCoast | @9NewsAdel | @9NewsDarwin | @9NewsPerth</t>
  </si>
  <si>
    <t>RT CNNMoney "What to watch: - Japan election landslide - Chaos in Catalonia - European populism https://t.co/Ku4BcYHZ3J"</t>
  </si>
  <si>
    <t>irighty</t>
  </si>
  <si>
    <t>The best and the greatest...</t>
  </si>
  <si>
    <t>Japani</t>
  </si>
  <si>
    <t>social media and news junkie... Love people &amp; Full of life.. RT no endorsement.. if anyone cares.</t>
  </si>
  <si>
    <t>SN TIWARI</t>
  </si>
  <si>
    <t>Bhopal, India</t>
  </si>
  <si>
    <t>London Area</t>
  </si>
  <si>
    <t>UPDATE 2-Japan's Abe to push pacifist constitution reform after strong election win https://t.co/F5l4uKPxuv</t>
  </si>
  <si>
    <t>LondonArea</t>
  </si>
  <si>
    <t>coming soon</t>
  </si>
  <si>
    <t>Politics Newz</t>
  </si>
  <si>
    <t>Japan's Shinzo Abe Conjures Stunning Election Victory in a Boost for #DonaldTrump https://t.co/mSERCmZTqC https://t.co/O1icUgb2nG</t>
  </si>
  <si>
    <t>Seesmic twhirl</t>
  </si>
  <si>
    <t>All the #politic facts here, in one profile only. Keep you posted!</t>
  </si>
  <si>
    <t>ABS-CBN News Channel</t>
  </si>
  <si>
    <t>Palace congratulates Japan’s Abe on election win https://t.co/2zLBK2uQ9t</t>
  </si>
  <si>
    <t>News updates &amp; breaking news from the Philippines. Like our Facebook page: http://t.co/xr1ETuyubS.</t>
  </si>
  <si>
    <t>Riel Rider PH</t>
  </si>
  <si>
    <t>RT ANCALERTS "Palace congratulates Japan’s Abe on election win https://t.co/dOmbvfYjOu"</t>
  </si>
  <si>
    <t>7 things to know before the bell - Japan election landslide; Chaos in Catalonia; European populism https://t.co/SecdxCzFcz</t>
  </si>
  <si>
    <t>Babajan</t>
  </si>
  <si>
    <t>Gudibanda, Bangalore. India</t>
  </si>
  <si>
    <t>--------</t>
  </si>
  <si>
    <t>AsiaOne</t>
  </si>
  <si>
    <t>Typhoon leaves 5 dead after lashing Japan on election day https://t.co/mj1sbugccF</t>
  </si>
  <si>
    <t>Echobox Social</t>
  </si>
  <si>
    <t>Your daily good stuff.</t>
  </si>
  <si>
    <t>Pedro Muñoz Lorite</t>
  </si>
  <si>
    <t>7 things to know before the bell - Japan election landslide; Chaos in Catalonia; European populism https://t.co/qxgPt5aWSt</t>
  </si>
  <si>
    <t>Madrid</t>
  </si>
  <si>
    <t>Libertarian Lawyer “Freedom is a state of mind, which is achieved with effort, and many will try to steal you it” Pedro Muñoz</t>
  </si>
  <si>
    <t>Sudhakar Sondur</t>
  </si>
  <si>
    <t>Abu Dhabi</t>
  </si>
  <si>
    <t>krzysztof chrobot</t>
  </si>
  <si>
    <t xml:space="preserve"> </t>
  </si>
  <si>
    <t>Artist</t>
  </si>
  <si>
    <t>Rahul Yadav</t>
  </si>
  <si>
    <t>Nottingham Politics</t>
  </si>
  <si>
    <t>RT @Nottingham_IAPS: Japan’s 2017 Snap Election: The More That Changes.… | Ellis S. Krauss #JapanElection https://t.co/GYodDruxW7</t>
  </si>
  <si>
    <t>The School of Politics &amp; International Relations, Nottingham University. Blogging at https://t.co/4ZOYDSulKe. We re-tweet to promote debate not to endorse.</t>
  </si>
  <si>
    <t>KK</t>
  </si>
  <si>
    <t>Entrepreneur / Co-Founder: Proaxis / Pragmatic / Realist / Nationalist / RTs are not endorsements</t>
  </si>
  <si>
    <t>Jegan G</t>
  </si>
  <si>
    <t>Nagercoil, Tamil Nadu</t>
  </si>
  <si>
    <t>கீச்சு உலகை வேடிக்கை பார்ப்பவன்.</t>
  </si>
  <si>
    <t>日出ずる國ch</t>
  </si>
  <si>
    <t>無言フォロー失礼します。日本が好きです。🇯🇵Twitter&amp;YouTube 無許可RT大歓迎ｗ⚠️無言RTしかできない時間帯あり←家人（安倍首相好き ミリオタ 共産趣味ｗ）がニュースを主に独断RT( ﾟдﾟ)ﾉ #日本 #保守 #憲法改正 #自衛隊 #正しい歴史認識 #大東亜戦争</t>
  </si>
  <si>
    <t>William Casey</t>
  </si>
  <si>
    <t>Api testing app - xd</t>
  </si>
  <si>
    <t>Bhanu Tomar</t>
  </si>
  <si>
    <t>धर्म: एव हतो हन्ती:। धर्म: रक्षति रक्षित:।</t>
  </si>
  <si>
    <t>time seek</t>
  </si>
  <si>
    <t>India / US</t>
  </si>
  <si>
    <t>Soumya Debnath</t>
  </si>
  <si>
    <t>अगरतला, भारत</t>
  </si>
  <si>
    <t>आत्रेय</t>
  </si>
  <si>
    <t>Bhagyanagar</t>
  </si>
  <si>
    <t>Seetharama Kotari</t>
  </si>
  <si>
    <t>Baindur</t>
  </si>
  <si>
    <t>Nasarite</t>
  </si>
  <si>
    <t>sachin</t>
  </si>
  <si>
    <t>#only nation matters.</t>
  </si>
  <si>
    <t>RT TFTCS "RT BloombergTV "Top takeaways from Shinzo Abe's election win in Japan https://t.co/xlAsI2Y6T8 https://t.co/XxkhEm6YUG""</t>
  </si>
  <si>
    <t>MARYANNE MAXWELL BRO</t>
  </si>
  <si>
    <t>edinburgh</t>
  </si>
  <si>
    <t>Fish out of water, loves creating all things beautiful;</t>
  </si>
  <si>
    <t>Santosh Kumar</t>
  </si>
  <si>
    <t>Irving,Texas,USA</t>
  </si>
  <si>
    <t>Software Engineer, Technical Architect</t>
  </si>
  <si>
    <t>BR</t>
  </si>
  <si>
    <t>ASIA MARKETS: Japan's Nikkei Rises For A 15th Straight Session After Abe's Election Win - Fox Business https://t.co/Wvwd1GNX0S</t>
  </si>
  <si>
    <t>The decision-making rationality of individuals is limited by the information they have, and the cognitive limitations of their minds.</t>
  </si>
  <si>
    <t>Evan Feigenbaum</t>
  </si>
  <si>
    <t>Vice Chairman, Paulson Institute; Senior Fellow, Carnegie Endowment; former US diplomat for East, Central, and South Asia; geopolitics/geoeconomics in Asia.</t>
  </si>
  <si>
    <t>Aryaman Sharma</t>
  </si>
  <si>
    <t>chandigarh</t>
  </si>
  <si>
    <t>always learning new about Earth, a nature lover and a unknown potential andquester living in India</t>
  </si>
  <si>
    <t>Masiga Buria</t>
  </si>
  <si>
    <t>Author, Speaker, Trainer. Mind Boggler. Change Compliant. Committed to progressive thought &amp; action. In the business of mind rebranding. Instagram: @buriamasiga</t>
  </si>
  <si>
    <t>Cozy Hotter</t>
  </si>
  <si>
    <t>Kyoto</t>
  </si>
  <si>
    <t>【身にしみて ひたぶるに うら悲し】a curver, traveller, gadgets collector, "Fake News" 筆頭に、報道が風評加害者の側に回った現状を憂う</t>
  </si>
  <si>
    <t>g e</t>
  </si>
  <si>
    <t>chennai</t>
  </si>
  <si>
    <t>ひろ☆</t>
  </si>
  <si>
    <t>飲み好き保守思考のサラリーマンです。 安倍政権&amp;国政政党の自民党（一部国会議員除く）を応援しています。映画を観ること音楽を聴くことと写真が趣味です。※過激なツイートをされる方はフォロー解除させていただく場合がございます。ビジネス系・エロ系・宗教系の方のフォローはお断りさせていただきます。ご了承ください。</t>
  </si>
  <si>
    <t>ABS-CBN News</t>
  </si>
  <si>
    <t>Palace congratulates Japan’s Abe on election win https://t.co/tCzjgd1ND9</t>
  </si>
  <si>
    <t>Manila, Philippines</t>
  </si>
  <si>
    <t>Stories, video, and multimedia for Filipinos worldwide, from ABS-CBN News and Current Affairs, the Philippines' most trusted news organization.</t>
  </si>
  <si>
    <t>26일 정오티켓팅]LimPan</t>
  </si>
  <si>
    <t xml:space="preserve">  존 콘스탄틴의 근처 @ConstantineForU </t>
  </si>
  <si>
    <t>본진 Vertigo&amp;Image&amp;해외밴드/Hellblazer❤️Preacher⭐️WicDiv위주 아메코믹 봅니다! // American Gods✨해외 드라마, 미애니, 해외영화 등 잡덕질하는 계정/FUBfree,Me2/비덕,정치계 무조건 블언블/헤더@jaekkam 프사@6ba4ff</t>
  </si>
  <si>
    <t>Anji A reddy</t>
  </si>
  <si>
    <t>bengaluru</t>
  </si>
  <si>
    <t>A potent revolutionar,A medico- Studing @ BGS GIMS,bengaluru-61</t>
  </si>
  <si>
    <t>Risabh Duve</t>
  </si>
  <si>
    <t>Lahar, India</t>
  </si>
  <si>
    <t>Politicians Pol Parties Entertainment Comedy Breaking News</t>
  </si>
  <si>
    <t>Politics News</t>
  </si>
  <si>
    <t>Japan's Shinzo Abe Conjures Stunning Election Victory in a Boost for #DonaldTrump https://t.co/9ORYZuI8AZ https://t.co/HlGjuRe8ux</t>
  </si>
  <si>
    <t>Bad Kitty</t>
  </si>
  <si>
    <t>Sunil Kumar</t>
  </si>
  <si>
    <t>Rewari, India</t>
  </si>
  <si>
    <t>भारतीय होने पर गर्व है। सत्यमेव जयते । Mechanical Engineer by profession , Hindu by Heart &amp; Soul</t>
  </si>
  <si>
    <t>Brooklinewise</t>
  </si>
  <si>
    <t>비선형 심리지도</t>
  </si>
  <si>
    <t>rksingh# HDL</t>
  </si>
  <si>
    <t>Ek Bharat Shresth Bharat</t>
  </si>
  <si>
    <t>J D Media</t>
  </si>
  <si>
    <t>The Guardian: What now for Japan after Abe's landslide election victory? https://t.co/asET9iL7bZ</t>
  </si>
  <si>
    <t>Sachin khanna</t>
  </si>
  <si>
    <t>Common I/Q</t>
  </si>
  <si>
    <t>वीर</t>
  </si>
  <si>
    <t xml:space="preserve">Samaliya,Sagwara Dung,India </t>
  </si>
  <si>
    <t>ना डरते हमतलवारों से ना डरते हम लाखों से हम हिन्दू हैं ,ऐ नादान परिन्दे दुश्मन के कलेजे कांप जाते हैं हमारी ललकारों से जय श्री राम</t>
  </si>
  <si>
    <t>#MamaNigguh!</t>
  </si>
  <si>
    <t>RT @ABSCBNNews: Palace congratulates Japan’s Abe on election win https://t.co/tCzjgd1ND9</t>
  </si>
  <si>
    <t>fcpc bulacan</t>
  </si>
  <si>
    <t>FCPCian/ 16/SportsWriter/ Jasper- Bronze- Amethyst 💗 BonifacioxSupremo 💓</t>
  </si>
  <si>
    <t>Ashok Mishra</t>
  </si>
  <si>
    <t>M A Luqman</t>
  </si>
  <si>
    <t>The Guardian: What now for Japan after Abe's landslide election victory? https://t.co/YBJV7nhZp5</t>
  </si>
  <si>
    <t>Bournemouth, UK</t>
  </si>
  <si>
    <t>PR Consultant at Moon Valley Consultants maluqman@hotmail.com 44 (0) 7825213402</t>
  </si>
  <si>
    <t>Ronda Zwierz</t>
  </si>
  <si>
    <t>Toronto</t>
  </si>
  <si>
    <t>Infomaniac, Sapiosexual, Sesquipedalianist</t>
  </si>
  <si>
    <t>Analogr</t>
  </si>
  <si>
    <t>Japan’s Shinzo Abe Conjures Stunning Election Victory in a Boost for Donald Trump https://t.co/L81pP926CQ</t>
  </si>
  <si>
    <t>pAris</t>
  </si>
  <si>
    <t>Learned film roll processing by myself in the early 90's. Since then, been exposed to huge amounts of megapixels .. too many .. now back to film photography :)</t>
  </si>
  <si>
    <t>AD PATHAK</t>
  </si>
  <si>
    <t>BUXAR,BIHAR</t>
  </si>
  <si>
    <t>A PROUD &amp; PATRIOTIC INDIAN</t>
  </si>
  <si>
    <t>RT TFTCS "RT BloombergTV "Top takeaways from Shinzo Abe's election win in Japan https://t.co/M4qp5eK0J2 https://t.co/sh4tTRGW8n""</t>
  </si>
  <si>
    <t>Ayako_323</t>
  </si>
  <si>
    <t>Japan - USA</t>
  </si>
  <si>
    <t>Love Music, Sports、Int'l Relations and Pets. 音楽、スポーツ、ペットが大好き人間（女性）です。一人で猫の保護活動をしてしています。現在複数の猫が我が家に🐱 最近は政治関係のRTが多くなってしまいました。浅田真央さんを応援。アメリカは第二の故郷です。</t>
  </si>
  <si>
    <t>Australia/Oz/DownUn</t>
  </si>
  <si>
    <t>Fresh off election victory, Japan's leader pledges to tackle NK military threat and shrinking population. #9News… https://t.co/7jhqpyr7Si</t>
  </si>
  <si>
    <t>Sydney, New South Wales</t>
  </si>
  <si>
    <t>All Things Australia!</t>
  </si>
  <si>
    <t>Nine News Adelaide</t>
  </si>
  <si>
    <t>RT @9NewsAUS: Fresh off election victory, Japan's leader pledges to tackle NK military threat and shrinking population. #9News https://t.co…</t>
  </si>
  <si>
    <t>Adelaide, Australia</t>
  </si>
  <si>
    <t>Adelaide's Nine News with @KateCollins9 and @BrentonRagless, nightly at 6.00pm on @Channel9. Community Guidelines: http://t.co/h3hABkSNCP</t>
  </si>
  <si>
    <t>केशव तिवारी</t>
  </si>
  <si>
    <t>Nine News Gold Coast</t>
  </si>
  <si>
    <t>Surfers Paradise, Gold Coast</t>
  </si>
  <si>
    <t>Gold Coast's Number 1 Television News. Email stories to goldcoastnews@nine.com.au or call (07) 5579 1900. Community Guidelines: https://t.co/h3hABkSNCP</t>
  </si>
  <si>
    <t>Akhilesh Agrawal</t>
  </si>
  <si>
    <t>Nine News Melbourne</t>
  </si>
  <si>
    <t>Melbourne, Australia</t>
  </si>
  <si>
    <t>@PHitchener9 and @AliciaLoxley present Melbourne’s #9News on @Channel9 at 6.00pm. Simulcast on @LightFM899. Community Guidelines: http://t.co/h3hABkSNCP</t>
  </si>
  <si>
    <t>Nine News Queensland</t>
  </si>
  <si>
    <t xml:space="preserve">Brisbane, Australia </t>
  </si>
  <si>
    <t>Queensland's nightly 6.00pm news with @Loftea and @9MelissaDownes. Simulcast on River 94.9FM.</t>
  </si>
  <si>
    <t>Pascal Rossini</t>
  </si>
  <si>
    <t>ASIA MARKETS: Japan's Nikkei Rises For A 15th Straight Session After Abe's Election Win - Fox Business https://t.co/FNU3d04DhJ</t>
  </si>
  <si>
    <t>Vitznau, Switzerland</t>
  </si>
  <si>
    <t>Founder of https://t.co/tPngCN2fXj Self-Destructed Tweet - Former CEO Ads-click, Netvertis. Digital Risk Consulting, Trading Futures, Visionary</t>
  </si>
  <si>
    <t>Nine News Sydney</t>
  </si>
  <si>
    <t>Sydney, Australia</t>
  </si>
  <si>
    <t>Sydney's No.1 News with @PeterOverton, @GeorgieG and @Deborah_Knight. Nightly at 6.00pm on @Channel9.</t>
  </si>
  <si>
    <t>David Taylor</t>
  </si>
  <si>
    <t>RT @WSJ: Japanese leader Abe's strong new mandate could embolden him to seek first changes to the constitution https://t.co/V9AAoqdnxE (lin…</t>
  </si>
  <si>
    <t>Pro life, Father , Consultant in financial industry.</t>
  </si>
  <si>
    <t>剣kenn</t>
  </si>
  <si>
    <t>東京都町田市</t>
  </si>
  <si>
    <t>好色/酒豪/大食漢/毒舌/およそ人格者とは言い難い/超常現象肯定派/東京都町田市在住/ゼロツイ・鍵付きアカウント・副業アカウントはブロック</t>
  </si>
  <si>
    <t>Breaking NEWS</t>
  </si>
  <si>
    <t>7 things to know before the bell: Japan election landslide; Chaos in Catalonia;.. via https://t.co/ZvK3WbuLIe #News https://t.co/HNGbqhp1uQ</t>
  </si>
  <si>
    <t>World-Wide</t>
  </si>
  <si>
    <t>http://t.co/DCaYUO4g4N http://t.co/yIhbPKPlVm http://t.co/vXDQ3yG3PF http://t.co/nPrwdBSpwm http://t.co/YixZMJyNx6 http://t.co/QHNCObN1eZ http://t.co/WRukOYkQZ7</t>
  </si>
  <si>
    <t>Rafael Bueno</t>
  </si>
  <si>
    <t>RT @gcolpie: Japan's Election Matters for U.S. Interests https://t.co/2zdFfa1SIE cc @rafabueno59</t>
  </si>
  <si>
    <t>Barcelona, Spain</t>
  </si>
  <si>
    <t>Director Politics &amp; Society and Education at CASA ASIA. Ex alumno Siglo XXI y Complutense ahora en Blanquerna, URL. Views my own</t>
  </si>
  <si>
    <t>Riel Holganza</t>
  </si>
  <si>
    <t>RT ANCALERTS "Palace congratulates Japan’s Abe on election win https://t.co/4A1H72JY0U"</t>
  </si>
  <si>
    <t>Patikul, Sulu</t>
  </si>
  <si>
    <t>Full time dad. Part time rider.</t>
  </si>
  <si>
    <t>Kazu. Ogata</t>
  </si>
  <si>
    <t>RT @justinmccurry: What now for Japan after Abe's landslide election victory? https://t.co/l4tqSqE4bJ</t>
  </si>
  <si>
    <t>札幌＞東京＞旭川＞美瑛</t>
  </si>
  <si>
    <t>Post graduate med. education, ACGME, Health Gap, SDoH, Poverty, This summer, we'll pubrish the japanese version of the Health Gap.also, husband, father</t>
  </si>
  <si>
    <t>Udit Patel</t>
  </si>
  <si>
    <t>Allahabad , U.P , India</t>
  </si>
  <si>
    <t>Indian | Hindu | Student. _/\_जय श्री राम</t>
  </si>
  <si>
    <t>Rohit Chhabra</t>
  </si>
  <si>
    <t>Vikas Patil</t>
  </si>
  <si>
    <t>Masters in Chemical Engineering, Entrepreneur, Shree Modis fan, honoured to be followed by @PiyushGoyalOffc</t>
  </si>
  <si>
    <t>Nino Brodin</t>
  </si>
  <si>
    <t>After election win, Abe prioritizes North Korea, aging Japan https://t.co/Ev8T9oDFio via @MailOnline</t>
  </si>
  <si>
    <t>International Relations, Geoeconomics, Geopolitics, WGS: Geography &amp; Geodecy, Econometrics, History of Public Broadcasting.</t>
  </si>
  <si>
    <t>Carolyn M Cash</t>
  </si>
  <si>
    <t>Sutherland Shire</t>
  </si>
  <si>
    <t>Freelance journalist in Sydney who writes mostly history articles. Royal Correspondent for 2MaxFM 91.3 (Narrabri) and hosts Right Royal Roundup @RightRoyalRound</t>
  </si>
  <si>
    <t>Prings</t>
  </si>
  <si>
    <t>Lalit Sharma</t>
  </si>
  <si>
    <t>Chittaurgarh, India</t>
  </si>
  <si>
    <t>College Student</t>
  </si>
  <si>
    <t>After election win, Abe prioritizes North Korea, aging Japan: Fresh off a decisive election… https://t.co/SuMauD7maK</t>
  </si>
  <si>
    <t>Anand B Kamalapur</t>
  </si>
  <si>
    <t>Dharwad, India</t>
  </si>
  <si>
    <t>Abhijit Laha</t>
  </si>
  <si>
    <t>rachel</t>
  </si>
  <si>
    <t>もっと日本の現状を知り、より多くの人に伝えないと‼︎知らぬ間に国賊となり得る、厄介なお花畑たちにも…w 改めて気付いた日本の良さ、武士道精神にハマってます♪主にリツイートメインです。無言フォロー失礼します(*ﾉωﾉ)</t>
  </si>
  <si>
    <t>Travelling_Soldier</t>
  </si>
  <si>
    <t>Isle of Man</t>
  </si>
  <si>
    <t>Sanjay Kumar</t>
  </si>
  <si>
    <t>Ranchi, India</t>
  </si>
  <si>
    <t>Engineer by profession. Fortunate to see Narendra Modi jee as PM. # मेरा देश बदल रहा है#</t>
  </si>
  <si>
    <t>Balliastic</t>
  </si>
  <si>
    <t>Right minded, Respect for everyone , Intrested in.. Current Affairs, History, Hinduism, Tech, Sports. Like. Fiction n Rum. n I love Donna #Suits</t>
  </si>
  <si>
    <t>Pankaj Khanaik</t>
  </si>
  <si>
    <t>Rampur, India</t>
  </si>
  <si>
    <t>#Ñationfirst.....olwyz INDIAN</t>
  </si>
  <si>
    <t>lorraine</t>
  </si>
  <si>
    <t>Like to follow for news and information. Random thoughts. A bit of this, a bit of that. Sometimes a like is just an acknowledgement. Didn't come here to argue.</t>
  </si>
  <si>
    <t>RoiYal 🍊</t>
  </si>
  <si>
    <t>Republika ng Pilipinas</t>
  </si>
  <si>
    <t>Pilipino. 🇵🇭 "Maka-Diyos 🙏🏻, Maka-Tao 👥, Makakalikasan 🍃 at Makabansa 🇵🇭."</t>
  </si>
  <si>
    <t>北川賢一</t>
  </si>
  <si>
    <t>かんさい</t>
  </si>
  <si>
    <t>何十数年ぶりかで都市部の平地に引っ越しました。結果、高齢者だけで田舎に住むのは難しい事を理解しました。地方の過疎は経済だけが理由ではない。人生の残りの方が少なくなり、日本国に住む次の世代に今より良い国、良い国になるための可能性を残したいと考えるようになりました。</t>
  </si>
  <si>
    <t>Ilayaraja</t>
  </si>
  <si>
    <t>Madurai</t>
  </si>
  <si>
    <t>district secaratry, BJP Madurai urban</t>
  </si>
  <si>
    <t>uniindianews</t>
  </si>
  <si>
    <t>Japan's Abe to push pacifist constitution reform after strong election win... https://t.co/7Okjn2bPwm</t>
  </si>
  <si>
    <t>United New of India-News Agnecy</t>
  </si>
  <si>
    <t>Sumit Kulkarni</t>
  </si>
  <si>
    <t>Bengaluru South, India</t>
  </si>
  <si>
    <t>KCTV5 News</t>
  </si>
  <si>
    <t>Japan's Prime Minister Shinzo Abe says after election win he will pursue "strong diplomacy" to pressure North Korea.</t>
  </si>
  <si>
    <t>SocialNewsDesk</t>
  </si>
  <si>
    <t>Kansas City, Mo.</t>
  </si>
  <si>
    <t>KCTV5 News Stands for Kansas City. We dig deeper, uncover the truth and tell your stories.</t>
  </si>
  <si>
    <t>drsreeraj</t>
  </si>
  <si>
    <t>Kerala, India</t>
  </si>
  <si>
    <t>Medical Doctor. RTs not endorsement</t>
  </si>
  <si>
    <t>Sidhartha</t>
  </si>
  <si>
    <t>Oaktown, CALI</t>
  </si>
  <si>
    <t>Walkileaks</t>
  </si>
  <si>
    <t>Japan election results: Shinzo Abe scores major victory for ruling coalition and pledges to… https://t.co/UBJxTrOOLe https://t.co/KmD2i1vl29</t>
  </si>
  <si>
    <t>24Hr Real-Time Breaking News #follow4follow #parodyfollowtrain #InstantFollowBack #OpenFollow #AutoFollowBack #followback #followforfollow #like4follow</t>
  </si>
  <si>
    <t>The Consultant</t>
  </si>
  <si>
    <t>God first; Supply Chain Solutions, Trainer, Good sense of humour</t>
  </si>
  <si>
    <t>AMELEA CHELSEA</t>
  </si>
  <si>
    <t>Boss lady fleek! Aming at the stars... Dreamer, introvert, simple....</t>
  </si>
  <si>
    <t>News Dingo</t>
  </si>
  <si>
    <t>After election win, Abe prioritizes North Korea, aging Japan https://t.co/JfiPIf5SsY</t>
  </si>
  <si>
    <t>ND Latest News</t>
  </si>
  <si>
    <t>Wherever news breaks (Global)</t>
  </si>
  <si>
    <t>News Dingo is the first truly global news aggregation service. News, news and more news.</t>
  </si>
  <si>
    <t>Shishir</t>
  </si>
  <si>
    <t>Jahran A-Thompson</t>
  </si>
  <si>
    <t>Eric Ashton-Becker</t>
  </si>
  <si>
    <t>RT @Reuters: Abe to push reform of Japan's pacifist constitution after election win https://t.co/1pjGmuhjXB</t>
  </si>
  <si>
    <t>Calgary, Alberta, Canada</t>
  </si>
  <si>
    <t>Canadian, Europhile, News-Junkie</t>
  </si>
  <si>
    <t>Dipak Shinde</t>
  </si>
  <si>
    <t>Son, Brother, Friend, Love Cooking</t>
  </si>
  <si>
    <t>iza mohammad</t>
  </si>
  <si>
    <t>Republic of the Philippines</t>
  </si>
  <si>
    <t>#Surfer #Deathstar engineer and pilot #AlternativeMonk. #AlternativeNun THIS ACCOUNT IS MY NEWSPAPER.</t>
  </si>
  <si>
    <t>OpenNewsWindows</t>
  </si>
  <si>
    <t>Japan’s Nikkei rises for a 15th straight session after Abe’s election win https://t.co/Ds9j9v4mr7 https://t.co/I1BJAOgVkH</t>
  </si>
  <si>
    <t>Lagos, Nigeria</t>
  </si>
  <si>
    <t>What You See Is What Is Trending</t>
  </si>
  <si>
    <t>ਪੰਜਾਬੀ</t>
  </si>
  <si>
    <t>ਪੰਜਾਬ ਹੱਸਦਾ ਹੀ ਸੋਹਣਾ ਲੱਗਦਾ ਹੈ RT not Endorsement</t>
  </si>
  <si>
    <t>okolie marvellous</t>
  </si>
  <si>
    <t>7 things to know before the bell: Japan election landslide; Chaos in Catalonia; European… https://t.co/DPNbDCBXcN</t>
  </si>
  <si>
    <t>NIGERIA</t>
  </si>
  <si>
    <t>Why talk when you can mock? Why hide your Face like I got Mace? Is it all an act or just a Fact. Maybe if you didn’t drool, you’d be cool. Ran out of room boom,</t>
  </si>
  <si>
    <t>Sunil Singh 🇮🇳🙏</t>
  </si>
  <si>
    <t>Sasaram, India</t>
  </si>
  <si>
    <t>I'm a true Indian 🇮🇳who 💘more than #NAMO. we r a blind supporter 👈🇮🇳🙏if we hv said something in the spirit. plz forgive me.🙏I'm a priest of 💘. ❤🇮🇳</t>
  </si>
  <si>
    <t>Joe Mayami</t>
  </si>
  <si>
    <t>Japan’s Nikkei rises for a 15th straight session after Abe’s election win https://t.co/uV4DN1t9vJ https://t.co/Pyrj0KeyrE</t>
  </si>
  <si>
    <t>Developer and Analyst</t>
  </si>
  <si>
    <t>Piyush Jhawar</t>
  </si>
  <si>
    <t>Let's just assume that I wrote something funny.</t>
  </si>
  <si>
    <t>Anointing lawal</t>
  </si>
  <si>
    <t>Japan’s Nikkei rises for a 15th straight session after Abe’s election win https://t.co/qkfTaKLwMZ https://t.co/cTrSCSbBIz</t>
  </si>
  <si>
    <t>Developer and Designer</t>
  </si>
  <si>
    <t>Modified Indian</t>
  </si>
  <si>
    <t>Tadashi Stormborn</t>
  </si>
  <si>
    <t>RT @ANCALERTS: Palace congratulates Japan’s Abe on election win https://t.co/2zLBK2uQ9t</t>
  </si>
  <si>
    <t>Marikina City</t>
  </si>
  <si>
    <t>WARNING: NSFW - Mature Content - SPG | Ambivert 💃| Movie buff 🎥 | Food lover 🍴 | Med field 💉 | ALTER</t>
  </si>
  <si>
    <t>Arun Barik AB™</t>
  </si>
  <si>
    <t xml:space="preserve">BARBIL,ODISHA,INDIA </t>
  </si>
  <si>
    <t>My favorite hero #NARENDRAMODI WhatsApp-9437884022,instagram barik63375</t>
  </si>
  <si>
    <t>JOSTARYOUTUBE13</t>
  </si>
  <si>
    <t>https://t.co/0VkJctUQWj 2 【 #DonaldTrump election】 I talked about the disadvantages of Japan and the future #トランプ #トランプ当 #EDM #EDMLife</t>
  </si>
  <si>
    <t>J-POP エンタメ テレビタレント ライフスタイル 音楽</t>
  </si>
  <si>
    <t>HackneyBooks</t>
  </si>
  <si>
    <t>Morning News: Minister Jihadi, Japan Election, Football Koeman Read All About It https://t.co/kyzUpaVWqr All Free A… https://t.co/Kjwm5n5not</t>
  </si>
  <si>
    <t>Hackney</t>
  </si>
  <si>
    <t>Books Stories News Natter</t>
  </si>
  <si>
    <t>Ami - Modified</t>
  </si>
  <si>
    <t>A south Indian BJP supporter But not a Shiv Sena Fan</t>
  </si>
  <si>
    <t>Rimose Arden</t>
  </si>
  <si>
    <t>amazing Japan https://t.co/ekG9jOSnCH</t>
  </si>
  <si>
    <t xml:space="preserve">Bel Assis
</t>
  </si>
  <si>
    <t>collector of information, second guesser of regulators, cynic. following a world melting into one sometimes looking for the opportunity to make things better</t>
  </si>
  <si>
    <t>North Korea blasts Japan for using election to ‘pave groundwork’ for invasion https://t.co/rwnmDLKkLo</t>
  </si>
  <si>
    <t>Firstpost</t>
  </si>
  <si>
    <t>Results of Monday's snap election are in and @AbeShinzo's #LDP is believed to have secured at least 312 seats https://t.co/WFvvtZkksJ</t>
  </si>
  <si>
    <t>https://t.co/LGesb4pt66 for India &amp; Indians in the world. Live. Follow us on https://t.co/VQ9x6mA1ux</t>
  </si>
  <si>
    <t>muhammadusama86</t>
  </si>
  <si>
    <t>New world news from Time: Japan’s Shinzo Abe Conjures Stunning Election Victory in a Boost for Donald Trump https://t.co/3jUoAQKvBa</t>
  </si>
  <si>
    <t>★ Claudia @ ./lsd</t>
  </si>
  <si>
    <t>North Korea blasts Japan for using election to ‘pave groundwork’ for invasion https://t.co/zwIGgqrKpH #japan</t>
  </si>
  <si>
    <t>Switzerland</t>
  </si>
  <si>
    <t>Full Stack Graphic &amp; Visual Designer, @TeamQLASH + @PaganoEvents Social Community Astronaut ♥ 日本, piano, jazz, #esport, #poker, #opensource, rabblerouser girl</t>
  </si>
  <si>
    <t>Indoo</t>
  </si>
  <si>
    <t>ozhu ben vilavستانلي</t>
  </si>
  <si>
    <t>Pathanamthitta, شارقة</t>
  </si>
  <si>
    <t>I a universe of atoms, an atom in the Universe.' Feynman. هذه هي الحياة، خذها كما تأتي..</t>
  </si>
  <si>
    <t>S・SASAKI</t>
  </si>
  <si>
    <t>Japan Election Vindicates Shinzo Abe as His Party Wins Big. https://t.co/FPkkOC8XgA</t>
  </si>
  <si>
    <t>I might be doing everything I can. Interested in Drone and Cybersecurity</t>
  </si>
  <si>
    <t>ΦカールP</t>
  </si>
  <si>
    <t>Красноярск, Россия</t>
  </si>
  <si>
    <t>李衣菜と奈緒担当です。デレPですが、765も好き。真とか伊織とか。アイマスや東方、それと乗り物オタクをやってます。電車、飛行機、そして軍属艦etc..... アイマストドンの方によく居ます。</t>
  </si>
  <si>
    <t>Dr James Alan Anslow</t>
  </si>
  <si>
    <t>What now for Japan after Abe's landslide election victory? https://t.co/ivU8TwYyLt</t>
  </si>
  <si>
    <t>Writer. Researcher. Journalist #NCTJ #NUJ. Depth psychology PhD https://t.co/Wr4aoTqFJ3. Media MA. 'Jung &amp; Journalism' @RoutledgeBooks 2019. Sarf Londoner in #Lavenham.☯</t>
  </si>
  <si>
    <t>vijji</t>
  </si>
  <si>
    <t>Engineer</t>
  </si>
  <si>
    <t>RT @manilabulletin: PH government congratulates Japan PM Abe on his election victory | via @GenKabiling</t>
  </si>
  <si>
    <t>Sameer Khan</t>
  </si>
  <si>
    <t>MITHILESH</t>
  </si>
  <si>
    <t>Aurangabad Bihar</t>
  </si>
  <si>
    <t>CAPTAIN</t>
  </si>
  <si>
    <t>Archana Trivedi</t>
  </si>
  <si>
    <t>प्रयाग, बंगलुरु, भारत</t>
  </si>
  <si>
    <t>Acupuncture (without needle) Therapist &amp; Trainer | Yoga | Naturopathy | Healing n' Teaching Society | Nature lover | Big fan of PM</t>
  </si>
  <si>
    <t>Jepang.net</t>
  </si>
  <si>
    <t>#Jepang North Korea blasts Japan for using election to ‘pave groundwork’ for invasion https://t.co/2exufohtVY https://t.co/00KxNSv6by</t>
  </si>
  <si>
    <t>私は日本を愛しています！</t>
  </si>
  <si>
    <t>rafa salamanca</t>
  </si>
  <si>
    <t>#HHDL #DalaiLama Congrats #Japan 🇯🇵 P.Minister on his re-election Your call for worldwide nuclear disarmament...… https://t.co/F0dHSHZgBf</t>
  </si>
  <si>
    <t>Labastide St.George ~ France</t>
  </si>
  <si>
    <t>monk since 2006 ~ ordained gelong by H.H. the XIV Dalai Lama ~ master degree in law ~ budismo gaditano ~ @FPMT_Nalanda Monastery</t>
  </si>
  <si>
    <t>zxfutures</t>
  </si>
  <si>
    <t>Japan's Nikkei rises for a 15th straight session after Abe's election win - MarketWatch</t>
  </si>
  <si>
    <t>http://t.co/DPrg5JpjzB news feed.</t>
  </si>
  <si>
    <t>Kokila</t>
  </si>
  <si>
    <t>RT @firstpost: Results of Monday's snap election are in and @AbeShinzo's #LDP is believed to have secured at least 312 seats https://t.co/W…</t>
  </si>
  <si>
    <t>love travelling . history , culture &amp; societies interest me . politics too . humane religion - of any kind I like . good unselfish deeds move me .</t>
  </si>
  <si>
    <t>libdem_news</t>
  </si>
  <si>
    <t>Japan election results: Shinzo Abe scores major victory for ruling - The Independent https://t.co/36z4fRuCpI</t>
  </si>
  <si>
    <t>aggbot_poster</t>
  </si>
  <si>
    <t>All the latest Lib Dem news from all major UK news providers. Constantly updated.</t>
  </si>
  <si>
    <t>विकल पाण्डेय</t>
  </si>
  <si>
    <t>" ॐ . . . " पंडित विकल पाण्डेय . . . ! !</t>
  </si>
  <si>
    <t>abhishek pandey</t>
  </si>
  <si>
    <t>Allnewsnetworks Biz</t>
  </si>
  <si>
    <t>Japan's Nikkei rises for a 15th straight session after Abe's election win https://t.co/stwvEFlvbi</t>
  </si>
  <si>
    <t>尊皇攘夷の元デリ副店長</t>
  </si>
  <si>
    <t>蝦夷共和國渡島箱舘管区</t>
  </si>
  <si>
    <t>函館大学古武術部初代部長(中退)、現在は単なる穀潰しの使い走り業 いじめっ子もいじめられっ子もいない社会(＝反戦したくば国防強化的な)を実現したくも、ただただ毎日腐ってる今日この頃 ※いちばん輝いていたのはデリヘル時代…笑</t>
  </si>
  <si>
    <t>Rishabh Singh</t>
  </si>
  <si>
    <t xml:space="preserve">kolkata </t>
  </si>
  <si>
    <t>Shut up.</t>
  </si>
  <si>
    <t>Nalandalus</t>
  </si>
  <si>
    <t>RT @LThubten: #HHDL #DalaiLama Congrats #Japan 🇯🇵 P.Minister on his re-election Your call for worldwide nuclear disarmament... 👉 https://…</t>
  </si>
  <si>
    <t>Oneness of Humanity</t>
  </si>
  <si>
    <t>Rajan Gopalakrishnan</t>
  </si>
  <si>
    <t>Toshi@2018東京ドーム2Days</t>
  </si>
  <si>
    <t>千葉県</t>
  </si>
  <si>
    <t>会社員 B'zPARTY&amp;Club Gym会員です。LIVE-GYM 2018年1月7日&amp;8日東京ドーム参戦予定。 好き→B'z Broの皆様 ビーイング系 水曜どうでしょう どうでしょう藩士 TEAM NACS パリーグ党(福岡ソフトバンクホークス 3 松田宣浩) 競馬 スバル車 ラーメン 猫 嫌い→反日</t>
  </si>
  <si>
    <t>西野 ネリ Nishino Neri</t>
  </si>
  <si>
    <t>旅好き。世界の絶景を自分のこの目で見るため、旅してます🌎計画ネリネリ。時には冒険するため少々危険を冒すことも…🌏 Travel.jp たびねす GOTRIP! travel writer 🐈 🌍 https://t.co/al8TTVGHa2</t>
  </si>
  <si>
    <t>The Media Gathering</t>
  </si>
  <si>
    <t>North Korea blasts Japan for using election to ‘pave groundwork’ for invasion https://t.co/5MeuuP7C1N</t>
  </si>
  <si>
    <t>The World</t>
  </si>
  <si>
    <t>http://t.co/ObtRRiHy4W PLEASE SUBSCRIBE</t>
  </si>
  <si>
    <t>Bloomberg Politics</t>
  </si>
  <si>
    <t>Shinzo Abe's snap election gamble may have won him the chance to lead Japan through 2021 https://t.co/vu9oY5GLwr https://t.co/4Vjq8pxRUA</t>
  </si>
  <si>
    <t>Bloomberg Politics is the spot for smart, non-partisan political coverage from around the world. Sign-up for our daily newsletter: https://t.co/mJ9FvVjAXL</t>
  </si>
  <si>
    <t>ユウジ「竹島奪還！尖閣防衛！」</t>
  </si>
  <si>
    <t>現実的保守！戦後レジームからの脱却！自虐史観を捨て、誇りある日本人を! 憲法改正が最大の目標！嫌韓・嫌中！ 安倍内閣支持！自民党支持！ J-NSC会員！保守の方と相互希望です。</t>
  </si>
  <si>
    <t>Shinzo Abe's snap election gamble may have won him the chance to lead Japan through 2021 https://t.co/UsPuxQmakK https://t.co/ClG7ivF1mj</t>
  </si>
  <si>
    <t>The Jakarta Post</t>
  </si>
  <si>
    <t>Typhoon leaves five dead after lashing Japan on election day https://t.co/AUUARnIa4u #jakpost</t>
  </si>
  <si>
    <t>Jakarta</t>
  </si>
  <si>
    <t>Always bold. Always independent</t>
  </si>
  <si>
    <t>Japan leader Shinzo Abe's big election gamble pays off. Here's how it unfolded https://t.co/64Pl67GyBJ https://t.co/dYH6PNWyOL</t>
  </si>
  <si>
    <t>Sekhar Nair</t>
  </si>
  <si>
    <t>Raman Kumar ⚽️</t>
  </si>
  <si>
    <t>🇮🇳| First Cried 12/Nov| Blogger | Music Addict| Football Fanatic | Fast Learner |Gadget Freak | Friendly |Thinker |Pet Lover &amp; a Humble.</t>
  </si>
  <si>
    <t>Andrew Ralph</t>
  </si>
  <si>
    <t>RT @business: Abe set to lead Japan through 2021 after big election victory https://t.co/AlMKulHQOt https://t.co/gA0xxCJFaR</t>
  </si>
  <si>
    <t xml:space="preserve">Ratoath Municipal District </t>
  </si>
  <si>
    <t>Irish 🇮🇪 UCD MA in IR student 🎓. Meath Peace Commissioner ⚖️. @DCUAlumni. @CIEEAlumni 🌎. ALL views expressed are MINE ALONE; RT/like does not ≠ endorsement.</t>
  </si>
  <si>
    <t>Andrea</t>
  </si>
  <si>
    <t>RT @bpolitics: Shinzo Abe's snap election gamble may have won him the chance to lead Japan through 2021 https://t.co/vu9oY5GLwr https://t.c…</t>
  </si>
  <si>
    <t>Economics, Aviation, Skydiving, Cinematography.....</t>
  </si>
  <si>
    <t>सुदर्शन-चक्र</t>
  </si>
  <si>
    <t>💥यतो धर्म: ततो जया:💥</t>
  </si>
  <si>
    <t>Manas Kumar Bera</t>
  </si>
  <si>
    <t>A True Indian, who don't go by the falacy of Politicians</t>
  </si>
  <si>
    <t>NARENDRA KUMAR SINGH</t>
  </si>
  <si>
    <t xml:space="preserve"> from the Land of Lord Krishna</t>
  </si>
  <si>
    <t>Booth President @BJP4UP I am from the land of Lord Krishna PhD in English.</t>
  </si>
  <si>
    <t>Anonymous News</t>
  </si>
  <si>
    <t>Japan election results: Shinzo Abe scores major victory for ruling coalition and pledges to reform…… https://t.co/GdBmBq39ms</t>
  </si>
  <si>
    <t>Sailing The Interwebz</t>
  </si>
  <si>
    <t>#Anonymous #News #Humanity #StopTPP #nocensorship #privacy #freeanons #Snowden #solidarity #impeachtrump #PardonSnowden #pressegruppen #NetNeutrality #NoDAPL</t>
  </si>
  <si>
    <t>AIDINDIA</t>
  </si>
  <si>
    <t>RT @ProxyInsight: Victory for Shinzo Abe in Japan's snap election paves way for Abenomics to continue #CorpGov https://t.co/o9nuL0bD91</t>
  </si>
  <si>
    <t>AIDIndia</t>
  </si>
  <si>
    <t>Association of Independent Directors of India's primary objective is to focus on advancing exemplary board leadership&amp;establishing leading boardroom practices.</t>
  </si>
  <si>
    <t>PHILIPPINE ALERTS</t>
  </si>
  <si>
    <t>TYPHOON NEWS: Typhoon Lan: Japan braces itself for monster storm as Okinawa forced to rush election - The Independ… https://t.co/UEpKEezhHS</t>
  </si>
  <si>
    <t>Alerts on flood, earthquakes, tsunamis, fire, accidents, travel, weather &amp; more.t</t>
  </si>
  <si>
    <t>$hivaraj V 🐧</t>
  </si>
  <si>
    <t>🚩'ಕನ್ನಡಿಗ' Social worker &amp; Dreamer..🚩</t>
  </si>
  <si>
    <t>Shinzo Abe's snap election gamble may have won him the chance to lead Japan through 2021 https://t.co/P0nE9nJdh4 https://t.co/LQVrXByd85</t>
  </si>
  <si>
    <t>Satyaa</t>
  </si>
  <si>
    <t>I'll b critical 4 BJP b'coz I want BJP in d power once again. Modi Sarkar is doing great job. RT's are not Endorsement. Followed by Piyush Goel's Off.</t>
  </si>
  <si>
    <t>Lily.B</t>
  </si>
  <si>
    <t>生ゴミ</t>
  </si>
  <si>
    <t>映画垢つい廃気味。↑20 大学生 フランス語専攻英語修行中 夢🐷&amp;腐女子です。 🍏左派ですがとりあえず食べてみる派。ファボ魔・拡散魔です。 無言フォロー失礼致します。⚠️Pirates5ネタバレ有です ウォルシンガム好き過ぎた裏垢 @Lily_greyhound</t>
  </si>
  <si>
    <t>gulf times</t>
  </si>
  <si>
    <t>Japan election: Abe’s coalition retains two-thirds majority https://t.co/gw7ExCkbRb</t>
  </si>
  <si>
    <t>Emma Liddell</t>
  </si>
  <si>
    <t>Shadrack Kiprop</t>
  </si>
  <si>
    <t>Doc|Virgo|Mufc|U may lose the plot, but dont lose the goal</t>
  </si>
  <si>
    <t>オリベル</t>
  </si>
  <si>
    <t>さと</t>
  </si>
  <si>
    <t>東京都中央区</t>
  </si>
  <si>
    <t>★好きなもの：日章旗、君が代、神社、猫、台湾、親日、愛国者 ★嫌いなもの：利己的な人、反日、売国奴、新興宗教 ★座右の銘：諸行無常</t>
  </si>
  <si>
    <t>duckducknigga</t>
  </si>
  <si>
    <t>How do I tell my dog he is adopted?</t>
  </si>
  <si>
    <t>ヤマモトタケル</t>
  </si>
  <si>
    <t>自虐史観から脱却し、日本の誇りと自信を取り戻すため、SNSで事実を拡散します。時々楽しい事も発信します。</t>
  </si>
  <si>
    <t>Forex Multiverse</t>
  </si>
  <si>
    <t>Yen lower (USD/JPY &amp; yen crosses up) early Monday in Asia - Japan election driver https://t.co/jfABlc58Vg</t>
  </si>
  <si>
    <t>Worldwide</t>
  </si>
  <si>
    <t>Forex Trading</t>
  </si>
  <si>
    <t>Bruno Massami</t>
  </si>
  <si>
    <t>Anywhere.</t>
  </si>
  <si>
    <t>Reporter, MMA/Fighting News Editor of @gazetaesportiva @mmaplus planetaoctogono@gmail.com IG - @massamimma - FB - Planeta Octógono 🇵🇱 🇧🇷 🇯🇵 🇷🇺</t>
  </si>
  <si>
    <t>ƦᗩᗪᕼIKᗩ ★ ՏɑƝɑƬɑƝ🚩</t>
  </si>
  <si>
    <t>नफरत नही प्रेम के आदी हैं हमे गर्व है कि हम हिन्दुवादी हैं🚩 #भगवा प्रेमी हिन्दू महान है ⚪ हिन्दुत्व जान से प्यारा #नमो ⚪ मन्दिर वही बनाएंगे ⚪जय श्री राम🚩🚩</t>
  </si>
  <si>
    <t>DJJC137</t>
  </si>
  <si>
    <t>Japan Election Vindicates Shinzo Abe as His Party Wins Big https://t.co/SU2ByS2IfW</t>
  </si>
  <si>
    <t>MIA/LA/LV/NYC &amp; All Over The World</t>
  </si>
  <si>
    <t>Locksmith/Security Pro Also #EDM #IT #InfoTech #InfoSec #SigInt #Hacker #Globalist #Followback #NRA #ACLU (Mem. of both!) #2A #25A #InternationalLove</t>
  </si>
  <si>
    <t>3Novices Japan</t>
  </si>
  <si>
    <t>#3Novices : North Korea blasts Japan for using election to ‘pave groundwork’ for invasion https://t.co/OXEPlfTVFZ North Korea on Monday bl…</t>
  </si>
  <si>
    <t>Tokyo , Japan</t>
  </si>
  <si>
    <t>The First Online Media Updater Founder Meghashyam, Bharath, Vaishnavi</t>
  </si>
  <si>
    <t>Shinisuke</t>
  </si>
  <si>
    <t>私は日本国🇯🇵をこよなく愛する日本人です！ 最近の在日韓国朝鮮人の事はツイッターやFacebookで見ます。読みます。ここ日本列島は我々日本人のものです‼️ 国外の奴等に絶対に掠め取らせません‼️ 韓国人の魔の手から日本国民の領土を奪還します‼️ 国歌君が代斉唱大賛成です‼️ 国旗掲揚当然です‼️</t>
  </si>
  <si>
    <t>THE INDIPENDENT - Japan election results: Shinzo Abe scores major victory for ruling coalition and pledges to reform pacifist constitution …</t>
  </si>
  <si>
    <t>すがぬま</t>
  </si>
  <si>
    <t>静岡県沼津市　Japan</t>
  </si>
  <si>
    <t>基本は政治色の強いアカウントです。御注意を。2013年4月から和楽器バンド蜷川べに推し。影響で津軽三味線も始めた50歳目前の八重流♂。三味線進捗(3年ﾁｮｯﾄ)＆和楽器バンド参戦歴はブログに。フォロバは自粛中。無言フォローも遠慮なく。但し肖像権侵害のアイコンはフォロー頂いても即ブロックさせて頂きます。飛翔する日本へ！</t>
  </si>
  <si>
    <t>Darshit</t>
  </si>
  <si>
    <t>Movies, series, sitcoms addict | Cricket enthusiast | Marketer</t>
  </si>
  <si>
    <t>RT @cnni: Japan's Abe on track for landslide victory, exit polls show https://t.co/2DLzUNgSkj https://t.co/KBY2Iqv8fW</t>
  </si>
  <si>
    <t>Dipendra Bhardwaj</t>
  </si>
  <si>
    <t>Chattisgarh India</t>
  </si>
  <si>
    <t>Sid Goyal</t>
  </si>
  <si>
    <t>MBA, Ivey Business School. Marketing @excelfunds. Tweet on Politics and Emerging Markets. Views personal. RTs not endorsements. Followed by PM @narendramodi</t>
  </si>
  <si>
    <t>Paras#the modi bhakt</t>
  </si>
  <si>
    <t>kanpur</t>
  </si>
  <si>
    <t>#देशद्रोहियों के लिए शख्त हूं, गर्व है मुझे मैं #bhakt हूँ । #paras मेरे सभी स्वरचित tweets likes में । #कट्टर हिन्दू ही follow करें #bhakt get 100% followback</t>
  </si>
  <si>
    <t>Japan leader Shinzo Abe's big election gamble pays off. Here's how it unfolded https://t.co/AWdxCGcIog https://t.co/CG120FrNeO #fb #sitif…</t>
  </si>
  <si>
    <t>Resolute Global</t>
  </si>
  <si>
    <t>Plano, TX</t>
  </si>
  <si>
    <t>Real Estate Investment Banking and Advisory Firm</t>
  </si>
  <si>
    <t>Shinzo Abe's snap election gamble may have won him the chance to lead Japan through 2021 https://t.co/F0wVV15Say https://t.co/GhvEtoJKfj …</t>
  </si>
  <si>
    <t>विशु प्रजापत😘🅶🆂🅼</t>
  </si>
  <si>
    <t>जुड़ें Gladiators of Social Media #gsm 👈 से । मेरे ट्वीट्स 💘👈 में</t>
  </si>
  <si>
    <t>Carlo Giro</t>
  </si>
  <si>
    <t>RT @BloombergAsia: Shinzo Abe's snap election gamble may have won him the chance to lead Japan through 2021 https://t.co/P0nE9nJdh4 https:/…</t>
  </si>
  <si>
    <t>Communications &amp; external policies trainee @ the Cabinet of EP President Antonio Tajani. Opinions are mine.</t>
  </si>
  <si>
    <t>Japan's Nikkei rises for a 15th straight session after Abe's election win https://t.co/1yjPnXm8WG</t>
  </si>
  <si>
    <t>Ashok Shah</t>
  </si>
  <si>
    <t>RT @RenukaJain6: Abe’s Coalition Retains Two-Thirds Majority in Japan Election. Congrats @AbeShinzo Sir. Best wishes from india https://t.…</t>
  </si>
  <si>
    <t>Kevin Ogola</t>
  </si>
  <si>
    <t>Avid Arsenal fan NotWenger |Casting Director | Actor | Commercial Model | Filmmaker🎬📹</t>
  </si>
  <si>
    <t>Collected News</t>
  </si>
  <si>
    <t>North Korea blasts Japan for using election to ‘pave groundwork’ for invasion https://t.co/sPYvhl7BMz</t>
  </si>
  <si>
    <t>Various News, Videos, Opinions.</t>
  </si>
  <si>
    <t>çHãŘmłñgG ãŔùÑń</t>
  </si>
  <si>
    <t>Ujjain, India</t>
  </si>
  <si>
    <t>I love 😍 the kapil Sharma. Show</t>
  </si>
  <si>
    <t>newsly</t>
  </si>
  <si>
    <t>Japan election results: Shinzo Abe scores major victory for ruling coalition and pledges to reform pacifist constitution …</t>
  </si>
  <si>
    <t>These tweets are not endorsements and do not necessarily reflect the views of newsly. Web Hosting from https://t.co/zJOrQOJ4g8. @crslng</t>
  </si>
  <si>
    <t>joe costanzo</t>
  </si>
  <si>
    <t>costanzo740@gmail.com</t>
  </si>
  <si>
    <t>Extreme Zohreen, Lauren Sivan ,Mese Smith,Brytni Sarpy,Erin Myers,Elena Tovar,99.1 THE RANCH Kimi Evans,Araksya,Chrisdyann Urbie,Anabel Munoz,Amanda Salas.</t>
  </si>
  <si>
    <t>Vinay Singh</t>
  </si>
  <si>
    <t>मुंबई, भारत</t>
  </si>
  <si>
    <t>सारे जहा से अच्छा हिन्दुस्तान हमारा</t>
  </si>
  <si>
    <t>Japanese people may not want them... Japan Ranks Low in Female Lawmakers. An Election Won’t Change That. https://t.co/xohVlhaCQY</t>
  </si>
  <si>
    <t>vishal</t>
  </si>
  <si>
    <t>Didier Delmer 🇬🇧</t>
  </si>
  <si>
    <t>With a landslide win, #ShinzoAbe could be ready to rewrite Japan's pacifist constitution https://t.co/nZUWJmFxQu</t>
  </si>
  <si>
    <t>Tweetbot for iΟS</t>
  </si>
  <si>
    <t>London, Los Angeles</t>
  </si>
  <si>
    <t>Think Global &amp; Act Local | Serial Founder | Top 50 #AI M2M Individuals | Top 100 #SEO Experts '17 | Agile #DigitalMarketing | Expat | Fluent in 5 EU Languages</t>
  </si>
  <si>
    <t>Vishnu Joshi</t>
  </si>
  <si>
    <t>B K.saeri</t>
  </si>
  <si>
    <t>Entertainment</t>
  </si>
  <si>
    <t>RT @BloombergTV: Shinzo Abe's snap election gamble may have won him the chance to lead Japan through 2021 https://t.co/UsPuxQmakK https://t…</t>
  </si>
  <si>
    <t>Mohamed Werzeg</t>
  </si>
  <si>
    <t>Mauritania/Belgium</t>
  </si>
  <si>
    <t>‏Law license the Public administration born in Belgium,from Mauritania,I love both countries,محمد ورزك,ليسانس في قانون إدارةالعامة مولود في بلجيكا,من موريتانيا</t>
  </si>
  <si>
    <t>Joash Purificacion</t>
  </si>
  <si>
    <t>4twRetweet</t>
  </si>
  <si>
    <t>I joined Twitter to look for contests :)</t>
  </si>
  <si>
    <t>Sherry Praji</t>
  </si>
  <si>
    <t>RT BloombergTV "Shinzo Abe's snap election gamble may have won him the chance to lead Japan through 2021 … https://t.co/IVZbJlZ4zE"</t>
  </si>
  <si>
    <t>Kasturi Mishra</t>
  </si>
  <si>
    <t xml:space="preserve"> India</t>
  </si>
  <si>
    <t>An erstwhile Legal Counsel(LLM), freelance Journalist/Writer (National Level Gold Medallist in Journalism &amp; Mass communication), A Social Entrepreneur (MBA).</t>
  </si>
  <si>
    <t>Alan (((Engel)))</t>
  </si>
  <si>
    <t>Abe's coalition loses 8 seats in unneeded election. But, OK. Japan Election Vindicates Shinzo Abe as Party Wins Big https://t.co/HfYbMHwO2L</t>
  </si>
  <si>
    <t>Globalist grey zoner in Tsukuba, Japan</t>
  </si>
  <si>
    <t>Bob Mercer</t>
  </si>
  <si>
    <t>@washingtonpost says Japan's voters give prime minister a victory in parliament elections https://t.co/fXFvqlGO2U</t>
  </si>
  <si>
    <t>Pierre, SD</t>
  </si>
  <si>
    <t>Newspaperman. Dad. Taxpayer. Neighbor. Former 58-yr.-old. bobmercer2014@gmail.com</t>
  </si>
  <si>
    <t>John A Hawken</t>
  </si>
  <si>
    <t>manak chawla</t>
  </si>
  <si>
    <t>anuj banaita</t>
  </si>
  <si>
    <t>NEW DELHI</t>
  </si>
  <si>
    <t>#Indianyouth #Nitan Ex-Assistant Manager at Vedanta Aluminium , Jharsuguda (Odisha) Followed by @piyushgoyaloffc #Economic #Geopolitics</t>
  </si>
  <si>
    <t>360MediaX</t>
  </si>
  <si>
    <t>Japan election landslide; Chaos in Catalonia; European populism: Here's what you need to… https://t.co/OYgjjBOmoQ</t>
  </si>
  <si>
    <t>Chicago, IL</t>
  </si>
  <si>
    <t>US/World News. See also https://t.co/mD9yIGUTJE</t>
  </si>
  <si>
    <t>Susan Curtis</t>
  </si>
  <si>
    <t>Manoj</t>
  </si>
  <si>
    <t>Works in Offshore Oil and Gas. Worked in many countries India, Singapore, Malaysia, S Korea, Nigeria, Angola, Israel, South Africa Presently offshore Malta</t>
  </si>
  <si>
    <t>देहाती आवाज़</t>
  </si>
  <si>
    <t>Eugine Goldstein</t>
  </si>
  <si>
    <t>Japan's Abe to push pacifist constitution reform after strong election win https://t.co/6kcUm0x61F</t>
  </si>
  <si>
    <t>Avinash Singh</t>
  </si>
  <si>
    <t>Bharat mata ki jaiiii</t>
  </si>
  <si>
    <t>AIR News Shillong</t>
  </si>
  <si>
    <t>Shillong, India</t>
  </si>
  <si>
    <t>Official account of Regional News Unit Shillong, All India Radio News</t>
  </si>
  <si>
    <t>Dr.Raj Mehta</t>
  </si>
  <si>
    <t>Mumbai, Nairobi, New York</t>
  </si>
  <si>
    <t>Skin is the best Dressing. Physician by Profession. MD (Internal Medicine). My Views &amp; Opinions are Personal. RT≠ Endorsement.</t>
  </si>
  <si>
    <t>Akshay Chandorkar</t>
  </si>
  <si>
    <t>SBS News</t>
  </si>
  <si>
    <t>Typhoon leaves five dead after lashing Japan on election day https://t.co/Z3FaLbrUIt</t>
  </si>
  <si>
    <t>SBS News - bringing you the global &amp; national news that matters. Watch SBS 6.30pm nightly and 10.30pm Mon-Fri, listen @SBSRadio at 6pm.</t>
  </si>
  <si>
    <t>RT BloombergTV "Shinzo Abe's snap election gamble may have won him the chance to lead Japan through 2021 … https://t.co/7xblwGrmgJ"</t>
  </si>
  <si>
    <t>Heinrich ☭ クソ提督</t>
  </si>
  <si>
    <t>RT @ikw_r: This is the election of Japan. https://t.co/vVUMvAb77B</t>
  </si>
  <si>
    <t>Deutsch ・ English ・ 日本語</t>
  </si>
  <si>
    <t>Gesamtkunstwerk</t>
  </si>
  <si>
    <t>#Bot #OmniaCausaFiunt #OmTatSat #Quantum #AI #Martian #Simulation #IoT #IoE #WissenistMacht #ScientiaPotentiaEst #InveniamViam #BigData #Industry40 #Primate</t>
  </si>
  <si>
    <t>Ma</t>
  </si>
  <si>
    <t>What now for Japan after Abe's landslide election victory? https://t.co/ON7blpKdsI</t>
  </si>
  <si>
    <t>Dr Shady (SOLO UNO)</t>
  </si>
  <si>
    <t>7 things to know before the bell - Japan election landslide; Chaos in Catalonia; European populism https://t.co/LZrpW8eDy5</t>
  </si>
  <si>
    <t>shoubra, egypt</t>
  </si>
  <si>
    <t>Life's hard. It's even harder when you're stupid</t>
  </si>
  <si>
    <t>indian</t>
  </si>
  <si>
    <t>WorldNews_net</t>
  </si>
  <si>
    <t>North Korea blasts Japan for using election to ‘pave groundwork’ for invasion https://t.co/bXlkz6Pi1s #JapanTimes #news</t>
  </si>
  <si>
    <t>Breaking World News.</t>
  </si>
  <si>
    <t>DUDURADIO.COM</t>
  </si>
  <si>
    <t>https://t.co/KlgR7MVNxQ 7 things to know before the bell - Japan election landslide; Chaos in Catalonia; Europe... https://t.co/vF6eS1oF9I</t>
  </si>
  <si>
    <t>Dallas Texas &amp; Lagos Nigeria</t>
  </si>
  <si>
    <t>#1 Nigerian/African Online Radio</t>
  </si>
  <si>
    <t>Yasser</t>
  </si>
  <si>
    <t>Abe is big in Japan – can USD/JPY break out of range? - The election results confirmed the latest polls: Abe is... https://t.co/G9OAQ3rliS</t>
  </si>
  <si>
    <t>Full stack Digital Marketer. #PPC #SEO #CRO Also in the middle of a love affair with forex</t>
  </si>
  <si>
    <t>Dr.Alokesh Bagchi</t>
  </si>
  <si>
    <t>Al Eidabi,Jizan,KSA.</t>
  </si>
  <si>
    <t>I am a Surgeon &amp; a farmer. I work in The MOH, as a Surgical Specialist, in KSA.I produce Carp Fishes,sugarcane &amp; wheat/paddy.</t>
  </si>
  <si>
    <t>Richard Krauss</t>
  </si>
  <si>
    <t>#USA #TIME MAGAZIN #NEWS broadcast by #EMET_NEWS_PRESS: Japan’s Shinzo Abe Conjures Stunning Election Victory i... https://t.co/e1HpRuJ4VM</t>
  </si>
  <si>
    <t>Journalist. TW &amp; RT or following means not approval. Read, think and decide. Nothing more, that´s your job. https://t.co/1yf36761KN</t>
  </si>
  <si>
    <t>https://t.co/KlgR7MVNxQ 7 things to know before the bell - Japan election landslide; Chaos in Catalonia;... https://t.co/toaMYBNQED</t>
  </si>
  <si>
    <t>Kalli the Lich</t>
  </si>
  <si>
    <t>RT @SBSNews: Typhoon leaves five dead after lashing Japan on election day https://t.co/Z3FaLbrUIt</t>
  </si>
  <si>
    <t>Yuggera Country, Australia</t>
  </si>
  <si>
    <t>#Trans #lesbian. Gael. Cat mum. Undead and loving it. She/her. #Antifa #BlackLivesMatter #FreePalestine [NSFW] [LifelineAU: 13 11 14]</t>
  </si>
  <si>
    <t>one two</t>
  </si>
  <si>
    <t>お尻はレディガガさんです。 好き勝手にツイートしてます。日本が軍国主義であったことなど１日たりとも無いと思っています。韓国人、在日にもまともな奴もいるとか考える人とは絶対に相入れないのでブロック推奨です。MLB好き、野球好きです。NHKでは見ていません、MLB見るならhttp://t.co/teGWLJcsd6で。</t>
  </si>
  <si>
    <t>RT @TopFiveTraders: RT BloombergTV "Shinzo Abe's snap election gamble may have won him the chance to lead Japan through 2021 … https://t.co…</t>
  </si>
  <si>
    <t>End Times Synapse</t>
  </si>
  <si>
    <t>After election win, Abe prioritizes North Korea, aging Japan https://t.co/74hvq84oyO #Trending #News #Politics #Defense #Crisis</t>
  </si>
  <si>
    <t>Your news for the end of times aggregated from various sources (part of DVNET).</t>
  </si>
  <si>
    <t>Hemant Jadav</t>
  </si>
  <si>
    <t>Vododara, India</t>
  </si>
  <si>
    <t>BJP ITSM Dabhoi , Vadodara, Gujarat</t>
  </si>
  <si>
    <t>tanvi sabharwal</t>
  </si>
  <si>
    <t xml:space="preserve">new delhi </t>
  </si>
  <si>
    <t>Like my page on facebook https://t.co/ff16czATv6. #teacher by profession #educationist by studies &amp; #writer from heart ! ❤️</t>
  </si>
  <si>
    <t>🌎 Sarwar 🌐</t>
  </si>
  <si>
    <t>After election win, Japan PM takes aim at North Korea https://t.co/79QotUn1XN</t>
  </si>
  <si>
    <t>E</t>
  </si>
  <si>
    <t>W pirsarwarras</t>
  </si>
  <si>
    <t>honnenogod</t>
  </si>
  <si>
    <t>日本の再生復活にはデフレ脱却から。デフレ突入から１５年以上。日本経済の失われた２０年の元凶日銀、財務省の問題を多くの人が認識共有しない限り日本の再生復活は困難。名目成長４％で１８年ならGDPが２倍。穏やかなインフレで財政再建、穏やかなインフレによる財やサービス、投資への資金移動による経済の活性に期待。</t>
  </si>
  <si>
    <t>Dinesh Kr Singh(BJP)</t>
  </si>
  <si>
    <t>member of BJP</t>
  </si>
  <si>
    <t>AUS-CITY Forums</t>
  </si>
  <si>
    <t>Japan's Abe to push pacifist constitution reform after strong election win… https://t.co/EfcqLXc84q @AUSCITY_Forums</t>
  </si>
  <si>
    <t>Los Angeles</t>
  </si>
  <si>
    <t>Moeed Pirzada</t>
  </si>
  <si>
    <t>Islamabad</t>
  </si>
  <si>
    <t>TV Anchor, Columnist &amp; Blogger, Editor Strategic Affairs, Dunya News, Dreamer for a EU style South Asia &amp; a better world</t>
  </si>
  <si>
    <t>Antonio Saalamandras</t>
  </si>
  <si>
    <t>Mexico</t>
  </si>
  <si>
    <t>CEO at #Saalamandraas INC. #Nigromante, #DomadorDeBasiliscos, Pomotor Cultural, #Trotamundos, #Pedagogo, #Antropofago... Like A Sir!!!</t>
  </si>
  <si>
    <t>The Unrelenting</t>
  </si>
  <si>
    <t>FATHER stretch my hands.</t>
  </si>
  <si>
    <t>Anil</t>
  </si>
  <si>
    <t>Japanese Culture</t>
  </si>
  <si>
    <t>North Korea blasts Japan for using election to ‘pave groundwork’ for invasion - https://t.co/OCgmPLAe7F North Korea on Monday blasted “Ja...</t>
  </si>
  <si>
    <t>Japan Culture</t>
  </si>
  <si>
    <t>Tokyo-to, Japan</t>
  </si>
  <si>
    <t>Japanese food and recipes, fashion, art and news and so much more.</t>
  </si>
  <si>
    <t>Kala Gopal</t>
  </si>
  <si>
    <t>Jesse Johnson</t>
  </si>
  <si>
    <t>North Korea blasts Japan for using election to 'pave groundwork' for invasion | The Japan Times https://t.co/kHagJEOsUT</t>
  </si>
  <si>
    <t>@Japantimes News Desk • RTs are things you should read • Contact me at: jesse.johnson@japantimes.co.jp</t>
  </si>
  <si>
    <t>Japan Election Vindicates Shinzo Abe as His Party Wins Big - New York Times https://t.co/bpNJ87BkWE #topstories</t>
  </si>
  <si>
    <t>Vineet Sharma :)</t>
  </si>
  <si>
    <t>Kalyan, Mumbai, India</t>
  </si>
  <si>
    <t>Volunteer of @SriSri @ArtOfLiving :)</t>
  </si>
  <si>
    <t>terrv 🌿</t>
  </si>
  <si>
    <t>Oregon, USA</t>
  </si>
  <si>
    <t>oh i think dey like me • SC/IG: terrataucer</t>
  </si>
  <si>
    <t>Dileep Chowdary 8055</t>
  </si>
  <si>
    <t>Vijayawada, India</t>
  </si>
  <si>
    <t>devanand singh</t>
  </si>
  <si>
    <t xml:space="preserve">Bhatpar rani Deoria </t>
  </si>
  <si>
    <t>Pupmaple</t>
  </si>
  <si>
    <t>動物とフィギュアスケート好き。伊藤みどり、ヤグディン、スルツカヤ、高橋大輔、浅田真央、宇野昌磨、ストイコ、ゴルデーワ&amp;グリンコフ。留学しなかったら日本の良さに気づけなかったかもしれない。日本を取り戻し中の現政権支持。北海道から沖縄まで日本は一つ。拉致被害者全員奪還。</t>
  </si>
  <si>
    <t>What now for Japan after Abe's landslide election victory? https://t.co/3C0PaIVuYX</t>
  </si>
  <si>
    <t>Video Contagion</t>
  </si>
  <si>
    <t>Abe to push reform of Japan's pacifist constitution after election win https://t.co/wHnAON3sfX #breaking #news #video #trending #today #wa…</t>
  </si>
  <si>
    <t>Metro Detroit</t>
  </si>
  <si>
    <t>Trending headline, sports and entertainment news videos, and popular videos today on Youtube. (Part of DVNET). https://t.co/NkwhT7moDA</t>
  </si>
  <si>
    <t>Surya#ProtectWithPen</t>
  </si>
  <si>
    <t>Proud to be followed by Chandra</t>
  </si>
  <si>
    <t>RT TopFiveTraders "RT BloombergTV "Shinzo Abe's snap election gamble may have won him the chance to lead Japan… https://t.co/avwtsBqDmO""</t>
  </si>
  <si>
    <t>Sandeep Bhati</t>
  </si>
  <si>
    <t>Greater Noida</t>
  </si>
  <si>
    <t>जो भरा नही भावो से जिस मे बहती रस धार नही वो हृदय नही पत्थर है जिसमे स्वदेश का प्यार नही जय हिंद जय भारत जय जवान जय किसान</t>
  </si>
  <si>
    <t>Evening Standard</t>
  </si>
  <si>
    <t>Japan PM Shinzo Abe wins snap election, promises strong 'counter-measures' against North Korea https://t.co/DCxcwFXT9a</t>
  </si>
  <si>
    <t>Breaking news and updates on top London stories from the newsdesk of the @EveningStandard. Follow our other accounts at https://t.co/5nrRg0ZT</t>
  </si>
  <si>
    <t>Cédric Sam</t>
  </si>
  <si>
    <t>⚡️ “Japan leader's big election gamble pays off” by @business https://t.co/gtpNNUNUmn</t>
  </si>
  <si>
    <t>Interactive Graphic Journalist at @BBGVisualData</t>
  </si>
  <si>
    <t>♥ The wall ♥</t>
  </si>
  <si>
    <t>in your heart</t>
  </si>
  <si>
    <t>♪ ι Ðσит иεεÐ αи¥ Ðαми lαвεl§ тσ Ðε§cяιвε м¥§εlƒ...ι м Jµ§т тнε ωα¥ ι м ♪</t>
  </si>
  <si>
    <t>MoneyWeek</t>
  </si>
  <si>
    <t>Theresa May can only watch &amp; weep as Japanese PM, Shinzo Abe, pulls off his snap election gamble… https://t.co/V9yeGHRyLr</t>
  </si>
  <si>
    <t>UK's best-selling financial magazine. Follow for commentary on most important financial stories &amp; how to profit from them. Also follow @MerrynSW &amp; @John_Stepek</t>
  </si>
  <si>
    <t>Anand Prakash</t>
  </si>
  <si>
    <t>Patna</t>
  </si>
  <si>
    <t>Sometimes #dark is ur #brightest side. Trying to listen the sane of #Silence</t>
  </si>
  <si>
    <t>Sandeep MS</t>
  </si>
  <si>
    <t xml:space="preserve">Bangalore, India </t>
  </si>
  <si>
    <t>Cule and sports fan</t>
  </si>
  <si>
    <t>Папатяа🍃</t>
  </si>
  <si>
    <t>Улаанбаатар, Монгол Улс</t>
  </si>
  <si>
    <t>Би, гарцан дээр ногоон гэрэл асахад машин нь явган хүндээ биш, явган хүн нь машиндаа зам тавьж өгдөг хотод амьдардаг жирийн нэг иргэн. #ЭвэлинийЦонх 🇲🇳</t>
  </si>
  <si>
    <t>Mwongela Mariki</t>
  </si>
  <si>
    <t>Bula-Pesa, Isiolo.</t>
  </si>
  <si>
    <t>A camel herder !</t>
  </si>
  <si>
    <t>Waldorfia</t>
  </si>
  <si>
    <t>RT @PressTV: Japan’s PM vows to ‘deal firmly’ with North Korea immediately after he won elections https://t.co/KbHqRmNiDa https://t.co/OryQ…</t>
  </si>
  <si>
    <t xml:space="preserve"> +++++++Apple Music https://t.co/JgZ71Q9LKB +++++Google Play Music https://t.co/hRQ3yt5Elr +++Spotify https://t.co/7D7qqhJgOt +SoundCloud https://t.co/uehbOu1pwF</t>
  </si>
  <si>
    <t>Emmanuel Cambas</t>
  </si>
  <si>
    <t>RT @standardnews: Japan PM Shinzo Abe wins snap election, promises strong 'counter-measures' against North Korea https://t.co/DCxcwFXT9a</t>
  </si>
  <si>
    <t>Berlin Bruxelles Aθηνα London</t>
  </si>
  <si>
    <t>गुरु भक्त</t>
  </si>
  <si>
    <t>Follower Sant Shri Asaramji Bapu...</t>
  </si>
  <si>
    <t>Kapil Malav</t>
  </si>
  <si>
    <t>Kota, India</t>
  </si>
  <si>
    <t>Government and Politics</t>
  </si>
  <si>
    <t>Investing Insight</t>
  </si>
  <si>
    <t>WSJ: Japan leads global stocks higher after elections https://t.co/6X4cHxoHE2 https://t.co/Hrht9OX5EY</t>
  </si>
  <si>
    <t>All the latest news right here for the informed investor. Any feedback and enquiries can be directed to InvestingInsightNews@gmail.com.</t>
  </si>
  <si>
    <t>Emirates Business</t>
  </si>
  <si>
    <t>#Japan election: Abe’s coalition retains two-thirds majority https://t.co/GXwaQosBb9 #Emirates_Business</t>
  </si>
  <si>
    <t>phillipo ital</t>
  </si>
  <si>
    <t>losriley</t>
  </si>
  <si>
    <t>West London</t>
  </si>
  <si>
    <t>🌟Chelsea fan since 1970. All views my own.Carefree.19.5.12. In Roman, Conte and Marina I trust. CFC.#KTBFFH ⚽️</t>
  </si>
  <si>
    <t>Anubhav Tiwari</t>
  </si>
  <si>
    <t>https://t.co/In7vBJVt1H. student at AMC ENGINEERING COLLEGE Bangalore,India</t>
  </si>
  <si>
    <t>#BloombergTV ❧ Shinzo Abe's snap election gamble may have won him the chance to lead Japan through 2021 … https://t.co/7ivLd1jaTz</t>
  </si>
  <si>
    <t>Ramesh Raj</t>
  </si>
  <si>
    <t>Noida</t>
  </si>
  <si>
    <t>Hindi hai hum, Hindustan hamara | Modi ke hain hum, Modi hain hamara |</t>
  </si>
  <si>
    <t>News Service</t>
  </si>
  <si>
    <t>Japan’s election results show women making little progress despite Abe’s landslide victory https://t.co/FuI0opLCgo #JT</t>
  </si>
  <si>
    <t>cryptowatchbot@gmail.com</t>
  </si>
  <si>
    <t>♛</t>
  </si>
  <si>
    <t>PadmavatiputraVenkat</t>
  </si>
  <si>
    <t>Support #Gorkhaland as 30th state of India. Support #Balochistan as an Independent nation. Staunch Santana Dharmi. Hates hypocrisy the most!</t>
  </si>
  <si>
    <t>North Korea blasts Japan for using election to ‘pave groundwork’ for invasion https://t.co/gatLhsD0wS #JT</t>
  </si>
  <si>
    <t>RT TFTCS "RT BloombergTV "Shinzo Abe's snap election gamble may have won him the chance to lead Japan through … https://t.co/IVZbJlZ4zE""</t>
  </si>
  <si>
    <t>IFA-ASIA</t>
  </si>
  <si>
    <t>Nikkei hits new highs after Japan election https://t.co/pbjmFimAla</t>
  </si>
  <si>
    <t>Asia</t>
  </si>
  <si>
    <t>The Wealth Management &amp; Financial Planning Professionals for expats in Asia. For sound, impartial advice on YOUR terms - contact IFA-ASIA</t>
  </si>
  <si>
    <t>Abe To Push Reform Of Japan's Pacifist Constitution After Election Win (RT↺ Fav❤️) https://t.co/a4mci5WiQC #PrimeMinister #</t>
  </si>
  <si>
    <t>janardan Prasad</t>
  </si>
  <si>
    <t>RT @ZeeNews: #NarendraModi congratulates Shinzo Abe on re-election in Japan https://t.co/XEF3O6cp2N</t>
  </si>
  <si>
    <t>Entertainment Government and Politics</t>
  </si>
  <si>
    <t>keith</t>
  </si>
  <si>
    <t>Crystal pepsi</t>
  </si>
  <si>
    <t>Rajendra Kumar</t>
  </si>
  <si>
    <t>AYAZ KHAN</t>
  </si>
  <si>
    <t xml:space="preserve">PESHAWAR PAKISTAN </t>
  </si>
  <si>
    <t>STAY HAPPY ;D AND TRY TO BE HONEST WITH YOUR SELF SUPPORT OF IMRAN KHAN NAYA PAKISTAN INSHA-ALLAH #pti https://t.co/eQCGLsvkfw</t>
  </si>
  <si>
    <t>Swiss Banking</t>
  </si>
  <si>
    <t>#Investment Nikkei hits new highs after Japan election https://t.co/IvY0SBmvAk https://t.co/p9EgXgQdZq https://t.co/jdtXa19px6</t>
  </si>
  <si>
    <t>Latest investment and financial news from around the world. #banking #finance #investment #hnwi</t>
  </si>
  <si>
    <t>Jodie Skellern ✊️🌈</t>
  </si>
  <si>
    <t>Avoca Beach, Australia</t>
  </si>
  <si>
    <t>PhD candidate revealing connections between gendered experiences of sports participation, workplace inequality &amp; structural change in the legal profession</t>
  </si>
  <si>
    <t>akariasa</t>
  </si>
  <si>
    <t>神戸に住む在日2世です。ゆるーく、まったりと。(2015年に帰化しました)</t>
  </si>
  <si>
    <t>Ravindra Muley</t>
  </si>
  <si>
    <t>RT @KatAdeney: #Japan’s 2017 Snap Election: The More That Changes.… | Ellis S. Krauss #JapanElection https://t.co/VABD71GocO https://t.co/u…</t>
  </si>
  <si>
    <t>Learner, Award-Winning Technical Writer, Prolific-Reader, Studied IIM-A #Economics #Finance #FinTech #InsurTech #Blockchain Views are my own.</t>
  </si>
  <si>
    <t>Ava</t>
  </si>
  <si>
    <t>threadjkjkljrt</t>
  </si>
  <si>
    <t>Rakesh Bhatia</t>
  </si>
  <si>
    <t xml:space="preserve">Bhopal </t>
  </si>
  <si>
    <t>Rakesh bhatia</t>
  </si>
  <si>
    <t>Rashika somani</t>
  </si>
  <si>
    <t>RT @BloombergAsia: Japan leader Shinzo Abe's big election gamble pays off. Here's how it unfolded https://t.co/64Pl67GyBJ https://t.co/dYH6…</t>
  </si>
  <si>
    <t>SociabbleApp</t>
  </si>
  <si>
    <t>Mrityunjay Singh</t>
  </si>
  <si>
    <t>ナン(Naanనాన్)🇯🇵🇮🇳</t>
  </si>
  <si>
    <t>Japan (genuine Japanese)</t>
  </si>
  <si>
    <t>Naaku Brahmaji garu chala ×∞ istam!!! Nenu Telugu cinema &amp; supporting actor's abhimani ! నాకు తెలుగు ఇష్టం！No Telugu cinema No life.</t>
  </si>
  <si>
    <t>Question News</t>
  </si>
  <si>
    <t>QxNews-python</t>
  </si>
  <si>
    <t>Interrogare Semper | News bot/humans via retweets | 1 min per retweet</t>
  </si>
  <si>
    <t>Jitendra Jha</t>
  </si>
  <si>
    <t>M.Phil (Statistics)</t>
  </si>
  <si>
    <t>Dennis Greene</t>
  </si>
  <si>
    <t>World's fattest bullfighter (Retired), lover of motorbikes, the wonderful city of London and anything Spanish. All gibberish expressed is entirely my own.</t>
  </si>
  <si>
    <t>VIJAY RAGHAV SINGH</t>
  </si>
  <si>
    <t>Subhash</t>
  </si>
  <si>
    <t>Want India to emerge as a strong economy in the world under Namo's premiership..Development for all..Justice to all.. RTs not endorsements.</t>
  </si>
  <si>
    <t>aamir</t>
  </si>
  <si>
    <t>Abe: Japan to pursue 'strong diplomacy' against N Korea: Prime minister's ruling coalition wins super majority in s… https://t.co/zThSmjkQS0</t>
  </si>
  <si>
    <t>M d only one of my kind hence highly vulnerable...</t>
  </si>
  <si>
    <t>Jackhammer3853</t>
  </si>
  <si>
    <t>RT @Anon_Eu: Japan election results: Shinzo Abe scores major victory for ruling coalition and pledges to reform… https://t.co/yYPEiG0Gzr #W…</t>
  </si>
  <si>
    <t>Indiana</t>
  </si>
  <si>
    <t>Loves Sat. Mornin Quarterbackin Politics,A Dem.</t>
  </si>
  <si>
    <t>HJMP</t>
  </si>
  <si>
    <t>Japan leads global stocks higher after elections https://t.co/uJNplMHfze</t>
  </si>
  <si>
    <t>Adella Pasos</t>
  </si>
  <si>
    <t>What to watch: - Japan election landslide - Chaos in Catalonia - European populism https://t.co/1L47j1aPeI via… https://t.co/pH83o6w5ag</t>
  </si>
  <si>
    <t>Twibble.io</t>
  </si>
  <si>
    <t>Lovely City of CHI</t>
  </si>
  <si>
    <t>The Official Twitter of Model | Entrepreneur | Philanthropist | Marketing &amp; Branding Expert | TV Host / Personality - Bookings: bookings@adellapasos.com</t>
  </si>
  <si>
    <t>The Japan Times</t>
  </si>
  <si>
    <t>Japan's election results show women making little progress despite Abe's landslide victory https://t.co/S16Id7ZuYO</t>
  </si>
  <si>
    <t>Breaking news and features about Japan from the nation's most widely read English-language newspaper. 日本で一番読まれている英字新聞・ジャパンタイムズが発信する国内外ニュースと、様々なジャンルの特集記事。</t>
  </si>
  <si>
    <t>Londonpopbox. 🇬🇧</t>
  </si>
  <si>
    <t>The only subscription box for lovers on London UK! A small gift of unique London treasures each month- Ships worldwide direct from the UK.</t>
  </si>
  <si>
    <t>Lipuna Kumar Sahoo</t>
  </si>
  <si>
    <t>Cuttack, India</t>
  </si>
  <si>
    <t>My style my attitude</t>
  </si>
  <si>
    <t>manmohan s samant</t>
  </si>
  <si>
    <t>Эбо</t>
  </si>
  <si>
    <t>Ухаан санаандаа орж ирсэн зүйлийг 2 дахин 3 дахин эргэцүүлэн бодож бай. Феогинд</t>
  </si>
  <si>
    <t>Zotac</t>
  </si>
  <si>
    <t>zotacc</t>
  </si>
  <si>
    <t>Manoj Kumar</t>
  </si>
  <si>
    <t>Indian First | Proud Hindu | Proud Haryanvi | #SAP ABAP/HANA Tech Consultant</t>
  </si>
  <si>
    <t>🇮🇳S Bhabhar🇮🇳</t>
  </si>
  <si>
    <t>J.M. Hamilton</t>
  </si>
  <si>
    <t>RT @dealbook: Modest improvement in Japan's economy and job market look set to help incumbent lawmakers facing re-election https://t.co/VNh…</t>
  </si>
  <si>
    <t>blogosphere!</t>
  </si>
  <si>
    <t>Publishing free economic and political thought. Instagram at jm_hamilton_blog</t>
  </si>
  <si>
    <t>Greater London</t>
  </si>
  <si>
    <t>Japan PM Shinzo Abe wins snap election, promises strong 'counter-measures' against North Korea https://t.co/wRZatdptqs</t>
  </si>
  <si>
    <t>Greater London, UK.</t>
  </si>
  <si>
    <t>Tweets from in and around our wonderful city (#GreaterLondon).</t>
  </si>
  <si>
    <t>Angelinaこんな人@フォーラム4✨</t>
  </si>
  <si>
    <t>RT @japantimes: Japan's election results show women making little progress despite Abe's landslide victory https://t.co/S16Id7ZuYO</t>
  </si>
  <si>
    <t>好きな場所　東京 京都  函館 金沢 鎌倉 沖縄</t>
  </si>
  <si>
    <t>#共謀罪廃案、#脱原発、#反差別、#反貧困。反原発を標榜していた地元の河野太郎は、原発推進派へ変節しこれまでのブログを削除して入閣。彼は原発再稼動反対派として体を張りもしてこなかった！選挙民は裏切られたことに怒りを示そう！河野氏、当方をブロック。</t>
  </si>
  <si>
    <t>धाकड़ संघी</t>
  </si>
  <si>
    <t xml:space="preserve">पुणे </t>
  </si>
  <si>
    <t>आम हरा होता है लेकिन उसे एक दिन भगवा 🔯 होना ही पड़ता है 😕 और जो आम भगवा नही होता हम उसकी चटनी बना देते है..😎 #मोदीभक्त 🙏 जय हिंद</t>
  </si>
  <si>
    <t>RT @ReutersWorld: Abe, Trump agree to raise pressure on North Korea: Japan government https://t.co/od1yfKhyCu</t>
  </si>
  <si>
    <t>Anil Chaudhary</t>
  </si>
  <si>
    <t>Hansi, India</t>
  </si>
  <si>
    <t>सलाम_शहीदा_नू 🇮🇳⚔🇮🇳 #Respect_Women #Help_Poors and #Avoid_Drugs🙏🙏</t>
  </si>
  <si>
    <t>KANHAIYA SINGH</t>
  </si>
  <si>
    <t>Government and Politics news breaking news</t>
  </si>
  <si>
    <t>द अर्पित कटियार</t>
  </si>
  <si>
    <t>भारत माता की जय</t>
  </si>
  <si>
    <t>। सुहानी हवा हो, जमीन पर कदम हो सत्य के साथ और बातों में दम हो । ।Business Man। ।Social Worker। RTs are not endorsement. My Tweets Are in-- Likes</t>
  </si>
  <si>
    <t>Twistools</t>
  </si>
  <si>
    <t>ASIA #Markets: Japan's Nikkei Rises For A 15th Straight Session After Abe's Election Win - Fox Business… https://t.co/FFWzQ4pjA6</t>
  </si>
  <si>
    <t>twicca</t>
  </si>
  <si>
    <t>The best #marketing advices on Twitter. Follow us and get famous!</t>
  </si>
  <si>
    <t>André Mitchell</t>
  </si>
  <si>
    <t>Sacramento, CA</t>
  </si>
  <si>
    <t>🕷🕸</t>
  </si>
  <si>
    <t>BSurveillance</t>
  </si>
  <si>
    <t>Thanks Robert Feldman @MorganStanley Senior Advisor for joining us from #Tokyo on Japan PM Shinzo Abe’s gamble on c… https://t.co/Gte87mnmTi</t>
  </si>
  <si>
    <t>Where the conversation on economics, finance, intl. relations &amp; investment begins. @BloombergTV 4-7am ET @BloombergRadio 7-10am ET @tomkeene @flacqua @davidgura</t>
  </si>
  <si>
    <t>kiran kumar</t>
  </si>
  <si>
    <t>Dypt. Manager at Egineers India Limited</t>
  </si>
  <si>
    <t>Coup De Grace</t>
  </si>
  <si>
    <t>Twitter for BlackBerry</t>
  </si>
  <si>
    <t>I pray that the Lord gives me courage when the hour of my death comes.</t>
  </si>
  <si>
    <t>Anu</t>
  </si>
  <si>
    <t xml:space="preserve">Lucknow, Riyadh </t>
  </si>
  <si>
    <t>#Marketing professional, specialised in #ContentMarketing #Branding #Franchise #Sales AM @Palmslko</t>
  </si>
  <si>
    <t>Suman Soni</t>
  </si>
  <si>
    <t>Vidisha, India</t>
  </si>
  <si>
    <t>BJP Activist and Socialist</t>
  </si>
  <si>
    <t>Shivaji Jadhav</t>
  </si>
  <si>
    <t>Mumbai, Maharashtra</t>
  </si>
  <si>
    <t>chemical Engineer, EHS professional , passionate about EHS issues</t>
  </si>
  <si>
    <t>Japan Election Vindicates Shinzo Abe as His Party Wins Big - https://t.co/rsK7Qs2Uou #GoogleAlerts</t>
  </si>
  <si>
    <t>Digital Indiatripura</t>
  </si>
  <si>
    <t>I love my India...I love my Tripura</t>
  </si>
  <si>
    <t>にわとり(三浦ですよ</t>
  </si>
  <si>
    <t>八事東→浜田山→金沢</t>
  </si>
  <si>
    <t>#相互団 /白六段/全良 AC33 CS43/筑波大学附属/鉄緑会/高1/簿記3級/クイズ(TSUQ)＆水泳/相方→@mikutsuba3928</t>
  </si>
  <si>
    <t>Rum Diary</t>
  </si>
  <si>
    <t>Milky Way</t>
  </si>
  <si>
    <t>First they ignore you, then they laugh at you, then they fight you, then you win. Mahatma Gandhi</t>
  </si>
  <si>
    <t>Ⓐ-chan.</t>
  </si>
  <si>
    <t>LDN | Birms | Gourmet Kai</t>
  </si>
  <si>
    <t>scotch bonnet &amp; the Holy Ghost shall cure all ills. I dabble in writing.</t>
  </si>
  <si>
    <t>Ombir Chauhan</t>
  </si>
  <si>
    <t xml:space="preserve">धनघटा खलीलाबाद उत्तर प्रदेश </t>
  </si>
  <si>
    <t>देश प्रेमी एक राष्ट्र भक्त जो हमेशा देश के बारे में सोचता है</t>
  </si>
  <si>
    <t>Lady Penquin</t>
  </si>
  <si>
    <t>Virginia</t>
  </si>
  <si>
    <t>Proud Conservative Woman. Steadfast belief: When Good Stands Up to Evil, Evil Blinks (VB)</t>
  </si>
  <si>
    <t>umm e aabis</t>
  </si>
  <si>
    <t>16july: La Takfeer Day</t>
  </si>
  <si>
    <t>Blessed Elimashe</t>
  </si>
  <si>
    <t>ΛN0N</t>
  </si>
  <si>
    <t>RT Anon_Eu "Japan election results: Shinzo Abe scores major victory for ruling coalition and pledges to reform…… https://t.co/Wp3zj4Jv03"</t>
  </si>
  <si>
    <t>Activist | @wikileaks supporter, Web Design &amp; Programmer | Anarchist #Anonymous</t>
  </si>
  <si>
    <t>RT TFTCS "RT BloombergTV "Shinzo Abe's snap election gamble may have won him the chance to lead Japan through … https://t.co/avwtsBqDmO""</t>
  </si>
  <si>
    <t>くろたん</t>
  </si>
  <si>
    <t>日本 愛知</t>
  </si>
  <si>
    <t>社会人3年目っ バンドリは携帯の反応がオワタなので、ログイン勢。 ミラクルニキやってますん。lv53 収集度44%フレ101312384ですん。 RTはアニメ、ゲーム、政治、動物系！安倍総理・麻生副総理応援してますよん！ 猫飼いました。白黒っモカくんですん</t>
  </si>
  <si>
    <t>jitendra singh</t>
  </si>
  <si>
    <t>こやまん</t>
  </si>
  <si>
    <t>奈良県在住、大阪府育ち！ 日本と松井玲奈が大好きなやつです(笑)Σヽ(ﾟДﾟ; )ﾉ 子どもたちにすばらしい日本を！ 草むしりがんばる(笑) スピカツアー最高！</t>
  </si>
  <si>
    <t>Bloomberg</t>
  </si>
  <si>
    <t>How Japan leader Shinzo Abe's election gamble paid off https://t.co/cARk264FU1 https://t.co/CU3aq1pYea</t>
  </si>
  <si>
    <t>New York and the World</t>
  </si>
  <si>
    <t>The first word in business news.</t>
  </si>
  <si>
    <t>CBS46</t>
  </si>
  <si>
    <t>After election win, Abe prioritizes North Korea, aging Japan https://t.co/qdI4LBIqFO https://t.co/usP8hxYPEr</t>
  </si>
  <si>
    <t>Atlanta, Ga.</t>
  </si>
  <si>
    <t>Hey #ATL! We're your CBS home. Watch us at 12n, from 4:30-7a, 4-6:30p, 11p and we're always on at https://t.co/7t9dsJp4kp, Instagram: @CBS46, Facebook: CBS46</t>
  </si>
  <si>
    <t>वैशाली(जय हिंद )🦂</t>
  </si>
  <si>
    <t>एक समय की बात है....में बहुत सीधी हुआ करती थी। गलत लिखूंगी नही सच से पीछे हटूंगी नही...सुधरी हैं तो बस मेरी आदतें वरना शौक तो मेरे आज भी तेरी औकात से बडे हैं।👊</t>
  </si>
  <si>
    <t>shivam singh parihar</t>
  </si>
  <si>
    <t>Allahabad (भारत)</t>
  </si>
  <si>
    <t>Engineering(🚂👂💍)student (Mechanical)</t>
  </si>
  <si>
    <t>DrugDesigns</t>
  </si>
  <si>
    <t>What now for Japan after Abe's landslide election victory? https://t.co/7UHq5RcxDt</t>
  </si>
  <si>
    <t>Bristol (UK) and Lyon (France)</t>
  </si>
  <si>
    <t>Molecular microbiologist on AMR frontline, aiming to bring new mechanism of action antibacterials to market. Mother of 3 &amp; lover of un scénariste. Keen gardener</t>
  </si>
  <si>
    <t>Suman Kumar</t>
  </si>
  <si>
    <t>नई दिल्ली, भारत</t>
  </si>
  <si>
    <t>Korea Alerts HQ</t>
  </si>
  <si>
    <t>Japan PM Shinzo Abe wins snap election, promises strong 'counter-measures' against North Korea https://t.co/UJ9sEKptCP</t>
  </si>
  <si>
    <t>North Korea</t>
  </si>
  <si>
    <t>Latest #BREAKING NEWS From #NorthKorea | @FirstNewsHQ affiliate</t>
  </si>
  <si>
    <t>Jaime Otero</t>
  </si>
  <si>
    <t>How Japan leader Shinzo Abe's election gamble paid off https://t.co/jLB3lpMC5S https://t.co/ZiLnEWGk8E</t>
  </si>
  <si>
    <t>Viña del Mar, Chile</t>
  </si>
  <si>
    <t>#Eat #Tech And #Rocknroll Foodhuntr ▶ https://t.co/xaY8lePp1n Linkedin ▶ https://t.co/hcLJJtlXFW</t>
  </si>
  <si>
    <t>vijay banga</t>
  </si>
  <si>
    <t>RT @business: How Japan leader Shinzo Abe's election gamble paid off https://t.co/cARk264FU1 https://t.co/CU3aq1pYea</t>
  </si>
  <si>
    <t>bachelor of journalism, economics (Hons) Writer, Journalist, Economist, Business Consultant.Former CE Corp relations for a Group of Colleges</t>
  </si>
  <si>
    <t>Swiss International</t>
  </si>
  <si>
    <t>How Japan leader Shinzo Abe's election gamble paid off https://t.co/g1FMUp3HL8 https://t.co/CQ9frHqH5J</t>
  </si>
  <si>
    <t>Sarnen and Zürich Switzerland</t>
  </si>
  <si>
    <t>Swiss International Finance Group AG (SIFG) is a Swiss financial services firm specialising in corporate finance and capital markets IPOs.</t>
  </si>
  <si>
    <t>Nikkei hits new highs after Japan election https://t.co/yzkSXPvpCI</t>
  </si>
  <si>
    <t>Ekanem Etim-Offiong</t>
  </si>
  <si>
    <t>Ganesha</t>
  </si>
  <si>
    <t>Mother Earth</t>
  </si>
  <si>
    <t>In pursue of Eternity</t>
  </si>
  <si>
    <t>North Korea blasts Japan for using election to ‘pave groundwork’ for invasion https://t.co/icxuasuvkR</t>
  </si>
  <si>
    <t>Japan's election results show women making little progress despite Abe's landslide victory https://t.co/BLQH0Q1bhH</t>
  </si>
  <si>
    <t>かきっこ</t>
  </si>
  <si>
    <t>自身が生まれ育った日本が大好きです！ 大好きな日本を更に美しく、人情味あふれる国にしたいです。 また自分もそうなりたいと思います。 そして日本を愛してくれる人を愛します。 そうでない人からは日本を守りたい！ 無言フォローお許しください。</t>
  </si>
  <si>
    <t>parmigiani</t>
  </si>
  <si>
    <t>Japan’s election results show women making little progress despite Abe’s landslide victory https://t.co/nmYaWvgGBX</t>
  </si>
  <si>
    <t>News and finance</t>
  </si>
  <si>
    <t>North Korea blasts Japan for using election to ‘pave groundwork’ for invasion https://t.co/bEjwl44LZB</t>
  </si>
  <si>
    <t>S.H.I.E.L.D. Agent</t>
  </si>
  <si>
    <t>RT @jakpost: Typhoon leaves five dead after lashing Japan on election day https://t.co/AUUARnIa4u #jakpost</t>
  </si>
  <si>
    <t>Bandung, Indonesia</t>
  </si>
  <si>
    <t>Like in campus: fanboying between humanities &amp; watching (women's) football. Writer for @the_magdalene and @jakpost. Looking for other Chinese in the wrong place</t>
  </si>
  <si>
    <t>Jak Wit</t>
  </si>
  <si>
    <t>brain things</t>
  </si>
  <si>
    <t>Joe Easton</t>
  </si>
  <si>
    <t>Yen touched weakest since July after PM Abe secured a strong mandate in Japan's general election; comes ahead of BoJ governor nomination</t>
  </si>
  <si>
    <t>Bloomberg reporter (@Business, @TheTerminal) Views mine. jeaston7@bloomberg.net</t>
  </si>
  <si>
    <t>Sanjay Wadhwani</t>
  </si>
  <si>
    <t>President - BJP Vyapari Aghadi | Member Nagpur Airport Advisory Committee | Member SNDL Nagpur | Member NMC Hawker Committee</t>
  </si>
  <si>
    <t>PT. BI Group Mining</t>
  </si>
  <si>
    <t>RT @SputnikInt: Japanese PM #Abe's ruling coalition winning majority of seats in #JapanElection https://t.co/zWHcIXCejg https://t.co/qp0yiT…</t>
  </si>
  <si>
    <t>Berland Internusa International Corporation Ltd (Group) Singapore</t>
  </si>
  <si>
    <t>alokarukha</t>
  </si>
  <si>
    <t>universe</t>
  </si>
  <si>
    <t>explore the self within</t>
  </si>
  <si>
    <t>RT @STForeignDesk: #JapanElection : Osaka polling station opens 20 minutes late because official overslept https://t.co/m8GR5p8yLw https://…</t>
  </si>
  <si>
    <t>Arun Gupta</t>
  </si>
  <si>
    <t>Beohari Shahdol M.P.India</t>
  </si>
  <si>
    <t>Owner Kundan Medical Stores,Opp. https://t.co/ejkgSPj3Wk Beohari, 484774</t>
  </si>
  <si>
    <t>Raj Kumar Saha</t>
  </si>
  <si>
    <t>Entrepreneur, Educationist, Enthusiastic, Energetic</t>
  </si>
  <si>
    <t>rohit d</t>
  </si>
  <si>
    <t>@नमो Sanjeev kohli%^</t>
  </si>
  <si>
    <t>Nation First, MODI ji Bhakt, on line BJP member,love sports, love nature, inspired by PM NARENDER MODI JI, like positive thoughts insense favours of the nation</t>
  </si>
  <si>
    <t>Alan PrepZilla</t>
  </si>
  <si>
    <t>RT business "How Japan leader Shinzo Abe's election gamble paid off https://t.co/dg8C9SUIwz https://t.co/Xr0uFov2Uk"</t>
  </si>
  <si>
    <t>Chicago iL</t>
  </si>
  <si>
    <t>Rocket ship builder, Pizza Expert, Chanel Enthusiast</t>
  </si>
  <si>
    <t>Tom Meyer</t>
  </si>
  <si>
    <t>RT @Orgetorix: After election win, Abe prioritizes North Korea, aging Japan https://t.co/Ev8T9oDFio via @MailOnline</t>
  </si>
  <si>
    <t>Spent over a decade with Top 3 US Airline working in Ops, Tech, LCC unit and Employee Relations. Have now worked 10 yrs in Telecommunications in various roles.</t>
  </si>
  <si>
    <t>Arunabh</t>
  </si>
  <si>
    <t>Nikkei hits new highs after Japan election https://t.co/oY3I7Mrmso</t>
  </si>
  <si>
    <t>saka</t>
  </si>
  <si>
    <t>長崎在住</t>
  </si>
  <si>
    <t>。。。</t>
  </si>
  <si>
    <t>business: How Japan leader Shinzo Abe's election gamble paid off https://t.co/2yJsuQJqoG https://t.co/hkY15nFYZZ</t>
  </si>
  <si>
    <t>yathishbr</t>
  </si>
  <si>
    <t>ರಾಷ್ಟ್ರನಿಷ್ಠೆ ಕಲಿಸದ ಸಾಹಿತ್ಯ ಹಾಗೂ ಕಾವಿ ಎರಡೂ ಒಂದೇ</t>
  </si>
  <si>
    <t>Aj@Y ®€dd¥</t>
  </si>
  <si>
    <t>London .!!!</t>
  </si>
  <si>
    <t>Born as a Hindu. Die as a Hindu..!!</t>
  </si>
  <si>
    <t>Chitti 2.0_The Robot</t>
  </si>
  <si>
    <t>Patna, Bihar</t>
  </si>
  <si>
    <t>Promoting The Biggest Movie Of Asia #2Point0 Speed 1 TeraHertz , Memory 1 ZetaByte Bhakt of Narendra Modi, Akshay Kumar, SuperStar Rajinikanth &amp; Ajay Devgn .</t>
  </si>
  <si>
    <t>#MyPride_नमो नया हिंदुस्तान, नया भारत, मेरा संकल्प है, संकल्प से सिद्धि है.</t>
  </si>
  <si>
    <t>shininglightsuk</t>
  </si>
  <si>
    <t>Snap elections sometimes pay off "Abe retains supermajority in Japan’s election" https://t.co/js5MeuRFdY</t>
  </si>
  <si>
    <t>I'm George with a degree in life, I run a FREE financial website; tools, blogs, fund info, interviews &amp; insight to new music! Tweeting on money, music &amp; life</t>
  </si>
  <si>
    <t>CNN Tweets</t>
  </si>
  <si>
    <t>I will post about cnn a lot</t>
  </si>
  <si>
    <t>Amit</t>
  </si>
  <si>
    <t>Gwalior, India</t>
  </si>
  <si>
    <t>DJ</t>
  </si>
  <si>
    <t>Sallamaari Muhonen</t>
  </si>
  <si>
    <t>Helsinki, Suomi</t>
  </si>
  <si>
    <t>PR &amp; #comms pro: #speaker, #moderator, senior consultant at @Netprofile. Board pro: @hokelanto @keva_fi Instagram &amp; Snapchat: sallamaarim</t>
  </si>
  <si>
    <t>Bambi</t>
  </si>
  <si>
    <t>おいしいものと睡眠が好きです。</t>
  </si>
  <si>
    <t>Jonathan Garber</t>
  </si>
  <si>
    <t>USDJPY +0.3% @ 113.89 after PM Abe wins big in #Japan election</t>
  </si>
  <si>
    <t>markets editor @businessinsider</t>
  </si>
  <si>
    <t>Niyant Rajapurkar</t>
  </si>
  <si>
    <t>MBA,IIM Kozhikode</t>
  </si>
  <si>
    <t>Tekki.co | VR</t>
  </si>
  <si>
    <t>jaimeotero_: How Japan leader Shinzo Abe's election gamble paid off https://t.co/p1W6fKVAsx https://t.co/1tfitIyMR6 RT</t>
  </si>
  <si>
    <t>San Diego, CA</t>
  </si>
  <si>
    <t>The latest VR news everyday</t>
  </si>
  <si>
    <t>abhishek purohit</t>
  </si>
  <si>
    <t>jodhpur</t>
  </si>
  <si>
    <t>Rishi Arora</t>
  </si>
  <si>
    <t>Financial Analyst | Right-wing supporter</t>
  </si>
  <si>
    <t>Dr.Rahul Jain</t>
  </si>
  <si>
    <t>Vidisha (M.P), India</t>
  </si>
  <si>
    <t>🇮🇳Nation first..#Nationalist भारतवासी| Education, Yoga,environment,Foreign trade and relations|Views personal ,followed by @piyushgoel office RT not endorsed</t>
  </si>
  <si>
    <t>Junkie News</t>
  </si>
  <si>
    <t>Bringing You Up-To-Date News From Around The Globe. Also @JunkeNewsSports | @JunkieHealth | @JunkieNewsTech | @JunkieNewsLife |</t>
  </si>
  <si>
    <t>pardhasaradhiGrandhi</t>
  </si>
  <si>
    <t>Guntur, Andhrapradesh.India.</t>
  </si>
  <si>
    <t>Bjp leader.Iam supporting Narendra modiji, Amitshaji. SwaatchBharat.Bharat Mataaki Jai.Nationalist.Vandey Maataram. Technology.Newideas.Jaihind.Mann ki Baat</t>
  </si>
  <si>
    <t>Awinkle anand</t>
  </si>
  <si>
    <t>लखीसराय,बिहार भारत</t>
  </si>
  <si>
    <t>Movie buff.... Want to be film director ..Now an civil Engineer by chance and film critics some tells..nd lastly a proud NAMO nd AKKI FAN</t>
  </si>
  <si>
    <t>Amit Kumar Tiwari</t>
  </si>
  <si>
    <t>Faridabad</t>
  </si>
  <si>
    <t>#Amit Tiwari #IT Engineer @Qspear</t>
  </si>
  <si>
    <t>Shailendra Nair</t>
  </si>
  <si>
    <t>How Japan leader Shinzo Abe's election gamble paid off https://t.co/NzjoEFWtEn https://t.co/stY4VvtH6s</t>
  </si>
  <si>
    <t>Head #IT &amp; #Digital &amp; #photographer, adamant NOT arrogant, traveler &amp; foodie at heart , multidimensional thinker &amp; dreamer. Opinion/RT's ≠ endorsements</t>
  </si>
  <si>
    <t>How Japan leader Shinzo Abe's election gamble paid off https://t.co/kGpJwbqdNe https://t.co/ojX9cTB8gf #BSAFunds #MerchantCashAdvance</t>
  </si>
  <si>
    <t>Japan Election Vindicates Shinzo Abe as His Party Wins Big - New York Times: New York Times… https://t.co/2lEZiLy5aN</t>
  </si>
  <si>
    <t>martisys</t>
  </si>
  <si>
    <t>Office 365 Connectors</t>
  </si>
  <si>
    <t>Olomouc</t>
  </si>
  <si>
    <t>business: How Japan leader Shinzo Abe's election gamble paid off https://t.co/vQcJh7WpcG https://t.co/R6tnQZGpv6</t>
  </si>
  <si>
    <t>🔴Channel 1 Atlanta</t>
  </si>
  <si>
    <t>CBS46 reports After election win, Abe prioritizes North Korea, aging Japan https://t.co/SjFjL2zydD https://t.co/7GIdqvJkMv</t>
  </si>
  <si>
    <t>Atlanta, GA</t>
  </si>
  <si>
    <t>[JUST THE FACTS!] Breaking news for Atlanta, America, and the World! Apart of the 20+ networks of @channel1network!</t>
  </si>
  <si>
    <t>MSD Fan..!!</t>
  </si>
  <si>
    <t>One trying to make this world better nd failing, Msdian for once and ever.</t>
  </si>
  <si>
    <t>We are こんな人たち</t>
  </si>
  <si>
    <t>秋葉原</t>
  </si>
  <si>
    <t>こんな人たち同士仲良くやってまーす</t>
  </si>
  <si>
    <t>Aynur Işıl</t>
  </si>
  <si>
    <t>RT @AsliPerincek: Japan's Abe to push pacifist constitution reform after strong election win https://t.co/g46cg9LLtS</t>
  </si>
  <si>
    <t>Journalist @SputnikInt</t>
  </si>
  <si>
    <t>RT @AsliPerincek: Abe, Trump agree to raise pressure on North Korea: Japan government https://t.co/hk4RqQaEEZ</t>
  </si>
  <si>
    <t>M E Paradiso</t>
  </si>
  <si>
    <t>Augusta</t>
  </si>
  <si>
    <t>Fighter for underdog, passionate; work in progress.</t>
  </si>
  <si>
    <t>han-zawa</t>
  </si>
  <si>
    <t>ME MARKETING GROUP🔌</t>
  </si>
  <si>
    <t>Asia Markets: Japan’s Nikkei rises for a 15th straight session after Abe’s election win https://t.co/3hHGDlyqdk</t>
  </si>
  <si>
    <t>MarketHub</t>
  </si>
  <si>
    <t>Marketing is Everywhere</t>
  </si>
  <si>
    <t>Your source for Marketing,Printing, &amp; Design. @Memarketgroup can increase your company's presence and get you the exposure you need. Need a website contact us.</t>
  </si>
  <si>
    <t>STELLA</t>
  </si>
  <si>
    <t>Amrapali Choudhury</t>
  </si>
  <si>
    <t>Allahabad</t>
  </si>
  <si>
    <t>CEO IMPRESSIONS ACADEMY, M.B.A (H.R) I.G.N.O.U (Indira Gandhi National Open University) Soft Skills,Communication &amp; English Language Trainer at Allahabad,India.</t>
  </si>
  <si>
    <t>Can't stand cynics</t>
  </si>
  <si>
    <t>RT @haaretzcom: "Forget Brexit, Le Pen and Erdogan: The election that just happened in #Japan may be the most worrying yet" https://t.co/1R…</t>
  </si>
  <si>
    <t>Reader, Indian-History buff, walker, rider, blogger, Temple lover, Dharmic, RT does not mean I concur अहिंसा परमो धर्मः धर्म हिंसा तथैव च</t>
  </si>
  <si>
    <t>majid abdul</t>
  </si>
  <si>
    <t>Karachi, Pakistan</t>
  </si>
  <si>
    <t>Guru - eTestZone.com</t>
  </si>
  <si>
    <t>Success at Cost of ☕ Tea in #IIT #JEE(Main), #NEET, #CET? Yes! 1000s of #PUC, #CBSE, #ICSE Class 11, 12, #Science #students use https://t.co/FkZFLjm53i @ ₹3000/- per yr.</t>
  </si>
  <si>
    <t>How Japan leader Shinzo Abe's election gamble paid off https://t.co/KIh4E3vd9B https://t.co/0rAafWWh9V</t>
  </si>
  <si>
    <t>ShailajaSingh🗻</t>
  </si>
  <si>
    <t>Entrepreneur🐒CAO,Co-founder🔍 ,Tree hugger🌲,Pet parent🐕,Born of a mountain, Wing-less gladiator🦁humour&amp;valour✌occasional hiker🐇🐘🐐</t>
  </si>
  <si>
    <t>Rakesh Sharma</t>
  </si>
  <si>
    <t>Development professional. Center for microFinance (Tata Trusts) Rajasthan.</t>
  </si>
  <si>
    <t>vikram sarin</t>
  </si>
  <si>
    <t>pune</t>
  </si>
  <si>
    <t>Indian,Nationalist,want antinationals-traitors -parasites out of our nation</t>
  </si>
  <si>
    <t>7 things to know before the bell: Japan election landslide; Chaos in Catalonia; European… https://t.co/XewDxqnKKn</t>
  </si>
  <si>
    <t>अयम् आत्मा ब्रह्म</t>
  </si>
  <si>
    <t>In the desert, near an oasis.</t>
  </si>
  <si>
    <t>दुर्लभं भारते जन्म मानुष्यं तत्र दुर्लभम्| Retweets≠Endorsements</t>
  </si>
  <si>
    <t>Rakesh Desai®</t>
  </si>
  <si>
    <t>हम आये है तूफान से कश्ती निकाल के... Followed by Shri @piyushgoyaloffc &amp; @UpCabinet</t>
  </si>
  <si>
    <t>Melissa Maine</t>
  </si>
  <si>
    <t>Rhode Island, USA</t>
  </si>
  <si>
    <t>100% Trump supporter! Started Twitter to follow Trump. Democrat, no longer, supported Trump right from the beginning. #MAGA</t>
  </si>
  <si>
    <t>Japan's Nikkei rises for a 15th straight session after Abe's election win - MarketWatch https://t.co/T4jLEcKDuP https://t.co/0KiiiBdEPd</t>
  </si>
  <si>
    <t>pankaj sinha🇮🇳🇮🇳</t>
  </si>
  <si>
    <t>Bhadrak,jagannathpur,India</t>
  </si>
  <si>
    <t>i work for my mother land Bharat maa... little sevak of BJP</t>
  </si>
  <si>
    <t>Aakash Shahh</t>
  </si>
  <si>
    <t>David Hess</t>
  </si>
  <si>
    <t>Even in Japan, election outcomes are almost never decided by nuclear energy. Which is why govs should not consider vote to be a mandate</t>
  </si>
  <si>
    <t>Communication Manager for @worldnuclear. Tweets on nuclear energy, energy stuff in general and the environment. Still watches anime</t>
  </si>
  <si>
    <t>deepak singh</t>
  </si>
  <si>
    <t>SANDIP KUMAR</t>
  </si>
  <si>
    <t>Gotri, Vadodara.</t>
  </si>
  <si>
    <t>भारत में राजनितिक क्रांति की शुरुआत हो गई है, भारत जल्द ही बदलेगा और वो हम बदलेंगे ।</t>
  </si>
  <si>
    <t>Davies Maina</t>
  </si>
  <si>
    <t>fun,funny,thinker,loooove Rock!!!am just me life aint a wheel going round cut the threads of fate make your way.</t>
  </si>
  <si>
    <t>Roland L M Lim</t>
  </si>
  <si>
    <t>｡ﾟ+.(ヽ'ω`)ﾟ+.ﾟ</t>
  </si>
  <si>
    <t>東京多摩地区都下ちゃん</t>
  </si>
  <si>
    <t>自分の生まれた国、日本が好きです。不満もあるけどさ。 あんまりつぶやきません。あらためて自分のツイートを読むと、なんだこの日本語と恥ずかしく思居ますが仕方ないね。お刺身同盟茶碗蒸し派。</t>
  </si>
  <si>
    <t>Kiran Chada</t>
  </si>
  <si>
    <t>RT @twistools_en: ASIA #Markets: Japan's Nikkei Rises For A 15th Straight Session After Abe's Election Win - Fox Business https://t.co/JCK5…</t>
  </si>
  <si>
    <t>22 &amp; 14 Years(Science Grad &amp; Business Management Post Grad)'Since'.I Tweet/RT general,technology,finance (basically) news.Leadership,Sustainability.</t>
  </si>
  <si>
    <t>mayur Patel</t>
  </si>
  <si>
    <t>Proud hindu,Proud namo fan.</t>
  </si>
  <si>
    <t>beyondcoolmag</t>
  </si>
  <si>
    <t>Raju Whabi</t>
  </si>
  <si>
    <t>realtor,philanthrophist,vegetarian,indepth study of astrology and religion</t>
  </si>
  <si>
    <t>MD Ali Hussain</t>
  </si>
  <si>
    <t>Nishant Jain</t>
  </si>
  <si>
    <t>Software Engineer</t>
  </si>
  <si>
    <t>DayAsia Traders</t>
  </si>
  <si>
    <t>Central Visayas</t>
  </si>
  <si>
    <t>We are Day Traders specialized in Equities, Futures &amp; Forex Markets</t>
  </si>
  <si>
    <t>じおん</t>
  </si>
  <si>
    <t>秋田県鹿角市</t>
  </si>
  <si>
    <t>橋下徹氏の登場で、今まで関心を持てなかった『政治』というものに目を向けるようになりました。大阪維新の会を応援しています！(o^o^o)</t>
  </si>
  <si>
    <t>jagdamba</t>
  </si>
  <si>
    <t>business: How Japan leader Shinzo Abe's election gamble paid off https://t.co/PIXuCFR6zA https://t.co/G70ROtRQq0 https://t.co/rVpmWRP5hY</t>
  </si>
  <si>
    <t>Saanvi</t>
  </si>
  <si>
    <t>A techie. #शिवभक्त #नमोभक्त. #संघी. Low IQ Offensive AAPtard will be BLOCKED and Reported. #ProudDaughterofRSSSevak. ##Gratitude is the Right Attitude##</t>
  </si>
  <si>
    <t>sureshdave</t>
  </si>
  <si>
    <t>i am businessman</t>
  </si>
  <si>
    <t>みささ</t>
  </si>
  <si>
    <t>無知なので色々勉強中です。RTさせてもらっています。</t>
  </si>
  <si>
    <t>Sam @ Delhi</t>
  </si>
  <si>
    <t xml:space="preserve">Orion's Belt </t>
  </si>
  <si>
    <t>मै कर्जदार हूं,अपने पुरखों का जिन्होंने 600 वर्ष मुगलो,200वर्ष अंग्रेजो व 60 वर्ष कांग्रेस से लोहा लेते हुये,मुझे हिन्दू बनाये रखा,मुझे गर्व है,कि मैं हिंदू हुँ</t>
  </si>
  <si>
    <t>百舌鳥@秋空</t>
  </si>
  <si>
    <t>愛知 名古屋市</t>
  </si>
  <si>
    <t>政治問題を記録するアカ。リツィートは多めゆえ調整してね。2017年10月衆院総選挙、ツイッターのパワーは未だ未だ現実に及ばなかった。でも確実に影響力を増している。</t>
  </si>
  <si>
    <t>Pawan Tiwari</t>
  </si>
  <si>
    <t>delhi ncr</t>
  </si>
  <si>
    <t>Vijay</t>
  </si>
  <si>
    <t>Electrical consultant by profession- Medition-Introvert-My tweets are based on my thinking &amp; assesment-RT is not endorsement-not in the race for followers</t>
  </si>
  <si>
    <t>Lauren Dickey</t>
  </si>
  <si>
    <t>Catching up on Japan's snap election? Great overview of all related developments here 👇🏻 https://t.co/7TSa8RAEPZ</t>
  </si>
  <si>
    <t>Taipei City, Taiwan</t>
  </si>
  <si>
    <t>Cross-Strait relations; Chinese defense/foreign policy. PhD candidate @warstudies / @TheMetSociety fellow / @PacificForum YL</t>
  </si>
  <si>
    <t>Jamie Davis, CFA</t>
  </si>
  <si>
    <t>#abe is ready to push for pacifist #Constitution changes and another #northkorea provocation will surely help. https://t.co/H24RtXRzDY</t>
  </si>
  <si>
    <t>Macro Analyst, viewing politics as an integral part of investing. Interested in EU, Brexit, Trump, Brazil, Offshore, North Korea and the whole world.</t>
  </si>
  <si>
    <t>World News</t>
  </si>
  <si>
    <t>Japan's Abe to push pacifist constitution reform after strong election win https://t.co/AjTYZGGBLl</t>
  </si>
  <si>
    <t>Breaking Global News</t>
  </si>
  <si>
    <t>Whirrl Pool</t>
  </si>
  <si>
    <t>The Mainichi’s chart of Japan’s Lower House election results, in English https://t.co/kAyVjzHCI4</t>
  </si>
  <si>
    <t>News/Commentary ニュース/解説 RTs/likes: things to think about. 下流老人。Retired, living on a small pension in central Japan. Husband, father, grandfather, veteran.</t>
  </si>
  <si>
    <t>Lesego Thinane</t>
  </si>
  <si>
    <t>Johannesburg, South Africa</t>
  </si>
  <si>
    <t>Hard Working, I Just Lack Privilege.</t>
  </si>
  <si>
    <t>R.Prasanna</t>
  </si>
  <si>
    <t>Star-Knight</t>
  </si>
  <si>
    <t>星の心を持つ人々との交流！ 星の人とは、太陽を愛し、美しい日の本の国を愛し、美しい日の郷土を愛し、美しい陽の兄弟姉妹両親を愛する心を 持ってる人！！</t>
  </si>
  <si>
    <t>13rajnikant</t>
  </si>
  <si>
    <t>American Daily</t>
  </si>
  <si>
    <t>7 things to know before the bell: Japan election landslide; Chaos in Catalonia… https://t.co/OGhu64b1aT #news</t>
  </si>
  <si>
    <t>News &amp; Medias</t>
  </si>
  <si>
    <t>Japan Election Vindicates Shinzo Abe as His Party Wins Big - New York Times https://t.co/Mn7o0m37yO https://t.co/8rH7D7B8Ab</t>
  </si>
  <si>
    <t>Arquímedes Rodríguez</t>
  </si>
  <si>
    <t>RT WSJ: Japan leads global stocks higher after elections https://t.co/IUnYpwBFH9 #ArquímedesRodríguez #ARODJuristas https://t.co/n9usAdrs8p</t>
  </si>
  <si>
    <t>AROD-AsesoríaJurídica-LasPalmasGC. Abogacía,Penal,Civil,Contrato, Laboral,Hipoteca,Matrimonio,Herencia, Empresa,Etc...."Pregunta enviando un mensaje" Saludos!</t>
  </si>
  <si>
    <t>pradip kumar gupta</t>
  </si>
  <si>
    <t>#BharatMataKiJai</t>
  </si>
  <si>
    <t>Dr. Elnora Rowan</t>
  </si>
  <si>
    <t>Author, Educator, Bibliophile, Multicultural Consultant, Global Citizen,</t>
  </si>
  <si>
    <t>Abhay Shandilya K</t>
  </si>
  <si>
    <t>Student, fan of common sense🙂</t>
  </si>
  <si>
    <t>rajbhan7</t>
  </si>
  <si>
    <t>Sidhi</t>
  </si>
  <si>
    <t>Ronak Shah</t>
  </si>
  <si>
    <t>Adventurer, Sports Fan, Poet, Spiritual Seeker, Actor, Writer-Author, Singer, Dancer, Creative Artist, Marketing Geek, Online Media Journalist, Social Activist!</t>
  </si>
  <si>
    <t>Rocky Tomar</t>
  </si>
  <si>
    <t>Namo fan I love Indian Army</t>
  </si>
  <si>
    <t>WMAL DC</t>
  </si>
  <si>
    <t>Japanese PM Shinzo Abe hails landslide victory in snap election https://t.co/5zIQrbIQoQ #Japan</t>
  </si>
  <si>
    <t>Washington DC</t>
  </si>
  <si>
    <t>Listen live on 105.9 FM / AM 630. Washington, DC's popular news-talk radio station. #VA #MD #DC</t>
  </si>
  <si>
    <t>WMAL News</t>
  </si>
  <si>
    <t>Japanese PM Shinzo Abe hails landslide victory in snap election https://t.co/uGESwe577b #Japan</t>
  </si>
  <si>
    <t>Stimulating Talk....Breaking News. Where Washington Comes to Talk. Listen live at 105.9 FM &amp; AM 630 or http://t.co/JFTgQmG7Bk.</t>
  </si>
  <si>
    <t>कनपुरिया छोरा</t>
  </si>
  <si>
    <t xml:space="preserve">हिंदुस्तान </t>
  </si>
  <si>
    <t>हिंदू , हिंदुस्तानी होने पर गर्व, देशभक्त ही follow करें मैं आप सभी ट्विटर यूजर्स से हिंदी में ट्वीट करने की गुजारिश करता हूँ🇮🇳</t>
  </si>
  <si>
    <t>tanenasibudou</t>
  </si>
  <si>
    <t>上州</t>
  </si>
  <si>
    <t>筋トレ〜チェストプレス、中島美香〜Fed up、 池波正太郎〜真田太平記、Loudness〜Slaughter house、 円生、志ん朝＆雲助、MISIA～砂の城、 Ｂ.エヴァンス〜サウダージ ドゥ ブラジル、 メタリカ～Ｓ＆Ｍ、大阪王将水餃子</t>
  </si>
  <si>
    <t>PokaWala</t>
  </si>
  <si>
    <t>Top takeaways from Shinzo Abe's election win in Japan https://t.co/vu9oY5GLwr https://t.co/RoblrHUrUV</t>
  </si>
  <si>
    <t>Zeeshan Shah</t>
  </si>
  <si>
    <t>Washington, DC</t>
  </si>
  <si>
    <t>Works at FINRA; Observer of Pak/US politics with 9 years of working in both political systems. Interests in Intl Affairs/Financial Markets/Türkiye. Orioles fan</t>
  </si>
  <si>
    <t>Japan PM Shinzo Abe pledges pressure on North Korea after big election win https://t.co/YfgdwjRAci via @dwnews</t>
  </si>
  <si>
    <t>Promod Gupta</t>
  </si>
  <si>
    <t>Chartered Accountant. Enjoy Social Marketing. Die hard fan of Modi ji. Views personal</t>
  </si>
  <si>
    <t>How Japan leader Shinzo Abe's election gamble paid off https://t.co/XbLI9Lx1Ut https://t.co/maf0x3WVeS</t>
  </si>
  <si>
    <t>Jay</t>
  </si>
  <si>
    <t>Anish</t>
  </si>
  <si>
    <t>3novices</t>
  </si>
  <si>
    <t>3Novices:Shinzo Abe's Anti-Climatic Victory In Japan: Power Without Popularity https://t.co/VQQjjQUqxP In the end, Japan’s snap election w…</t>
  </si>
  <si>
    <t>The First Online Media Updater: We try to Share Media I.e Technology, News, Entertainment http://t.co/Hu0HaQt7sS Launcher-Founder Meghashyam,Bharath,Vaishnavi</t>
  </si>
  <si>
    <t>venkat raman</t>
  </si>
  <si>
    <t>Data science enthusiast.Hoping to amass knowledge and share it throughout my life.Statistician with MBA. Analytics Consultant, Sports enthusiast, Rafa Nadal Fan</t>
  </si>
  <si>
    <t>Jay negi</t>
  </si>
  <si>
    <t>Wagholi, Haveli</t>
  </si>
  <si>
    <t>First step my think</t>
  </si>
  <si>
    <t>Nikkei Asian Review</t>
  </si>
  <si>
    <t>Constitutional reform not bound by schedule: Abe https://t.co/tMvBAVWwVK</t>
  </si>
  <si>
    <t>NAR自動投稿用</t>
  </si>
  <si>
    <t>The latest headlines from the Nikkei Asian Review. We tell untold stories about Asia, from Asia.</t>
  </si>
  <si>
    <t>Shawn Peirce</t>
  </si>
  <si>
    <t>RT @bpolitics: Top takeaways from Shinzo Abe's election win in Japan https://t.co/vu9oY5GLwr https://t.co/RoblrHUrUV</t>
  </si>
  <si>
    <t>DC Metro Area</t>
  </si>
  <si>
    <t>Occasional Natl. Radio Producer, Freelance Editor, Writer, Graphic Artist, Journalist. Looking for work in or out of media.</t>
  </si>
  <si>
    <t>VICKEYY 🇮🇳</t>
  </si>
  <si>
    <t>Die Hard Fan Of @akshaykumar &amp; Respect All Others 🙏 Proud To Be Indian 🇮🇳</t>
  </si>
  <si>
    <t>विजेंद्र Vijendra</t>
  </si>
  <si>
    <t>Observe Politics, &amp; Media's role in it. Liberal but not the sui generis hypocritical Indian-Secularist variety. RTs ≠ endorsements</t>
  </si>
  <si>
    <t>StINK Productions</t>
  </si>
  <si>
    <t>I added a video to a @YouTube playlist https://t.co/qBT4edMluK Abe to push reform of Japan's pacifist constitution after election win</t>
  </si>
  <si>
    <t>🇺🇸Promoting Truth, 🇺🇸National News, 🇺🇳World News, 🔴Live Events, 📽️Documentaries, 🎶Music, 🕹️Gaming, ⚾️Sports and Entertainment🎭</t>
  </si>
  <si>
    <t>Gabriel Espana</t>
  </si>
  <si>
    <t>New world news from Time: https://t.co/s2Wr9UG44V https://t.co/Mwu4Pkwru1</t>
  </si>
  <si>
    <t>Principal at @ifc_org #EmergingMarkets #Investment Professional. Rotary Honorary member. Views are my own &amp; not endorsements</t>
  </si>
  <si>
    <t>Japan election results: Shinzo Abe scores major victory for ruling coalition and pledges to… https://t.co/5v9jEsI1gV</t>
  </si>
  <si>
    <t>A B Singh</t>
  </si>
  <si>
    <t>Muzie Buthelezi</t>
  </si>
  <si>
    <t>RT @AJENews: Exit polls show Japan's PM winning a big victory in Sunday's snap parliamentary election https://t.co/peLwZ1Tche https://t.co/…</t>
  </si>
  <si>
    <t>South Africa Durban</t>
  </si>
  <si>
    <t>Film&amp;TVGraduate - Was at SABC Durban 2016/7- Freelance 🎬🎥 Camera Operator. My Tweets Are My Own Not Of Those Of My Future Employers muziebuthelezi34@gmail.com</t>
  </si>
  <si>
    <t>Fally Sombo Nkhwazi</t>
  </si>
  <si>
    <t>business: How Japan leader Shinzo Abe's election gamble paid off https://t.co/AtVRgxURmx https://t.co/m1ybz90wUS</t>
  </si>
  <si>
    <t>Grand Rapids, MI</t>
  </si>
  <si>
    <t>married</t>
  </si>
  <si>
    <t>MW - LinkedIn Tutors</t>
  </si>
  <si>
    <t>RT @MoneyWeek: Theresa May can only watch &amp; weep as Japanese PM, Shinzo Abe, pulls off his snap election gamble https://t.co/hAxxSQr9Ft htt…</t>
  </si>
  <si>
    <t>An independent LinkedIn training agency in London. We help professional services &amp; financial services organisations to use LinkedIn to grow their businesses.</t>
  </si>
  <si>
    <t>Gopal Patel</t>
  </si>
  <si>
    <t>NorthKorea Newz</t>
  </si>
  <si>
    <t>#NorthKorea blasts Japan for using election to 'pave groundwork' for invasion https://t.co/IwTinf7Fo7 https://t.co/EbnmT4JqDa</t>
  </si>
  <si>
    <t>The latest news of interest about #NorthKorea in one place!</t>
  </si>
  <si>
    <t>YIANNIS PATRIKAKIS</t>
  </si>
  <si>
    <t>RT @BloombergTV: How Japan leader Shinzo Abe's election gamble paid off https://t.co/XbLI9Lx1Ut https://t.co/maf0x3WVeS</t>
  </si>
  <si>
    <t>ATH - NY</t>
  </si>
  <si>
    <t>Entrepreneur. Investor. Economist</t>
  </si>
  <si>
    <t>Japan PM Shinzo Abe wins snap election promising #NorthKorea strategy https://t.co/PxmjgISlmg https://t.co/441sV6SyzE</t>
  </si>
  <si>
    <t>Mary Cummings</t>
  </si>
  <si>
    <t>Kansas City, Missouri USA</t>
  </si>
  <si>
    <t>Wife, Mom, RN. Health nut, optimist, patriot, truth seeker, peace activist, animal lover, tree hugger!</t>
  </si>
  <si>
    <t>Aanchal Gupta</t>
  </si>
  <si>
    <t>Lko</t>
  </si>
  <si>
    <t>happy navratri bharat mata ki jay</t>
  </si>
  <si>
    <t>Fr13nds|D-12|</t>
  </si>
  <si>
    <t>International Relations. PLAY.TEEN,AGE</t>
  </si>
  <si>
    <t>RT BloombergTV "How Japan leader Shinzo Abe's election gamble paid off https://t.co/9OahVDaig5 https://t.co/GvVRvIk2py"</t>
  </si>
  <si>
    <t>Alternative Media</t>
  </si>
  <si>
    <t>#world #news Abe, Trump agree to raise pressure on North Korea: Japan government https://t.co/HB7V5W0HfT @hyperrts… https://t.co/CFdWft1b8G</t>
  </si>
  <si>
    <t>Your source for world news. Stay informed. #world #news</t>
  </si>
  <si>
    <t>praneeth kumar reddy</t>
  </si>
  <si>
    <t>SANTOSH choudhary 🇮</t>
  </si>
  <si>
    <t>Garhwa jharkhand india</t>
  </si>
  <si>
    <t>🇮(STUDENT) If the day has happened then the night will also happen Do not be sad, it will be a thing, Friendship is so loving, If you live then you will meet.</t>
  </si>
  <si>
    <t>shubham gadewar</t>
  </si>
  <si>
    <t>Arni, India</t>
  </si>
  <si>
    <t>शुभम गादेवार 8605149092 #बूथ_प्रमुख_कवठा_बाजार_२००_ता_आर्णी_जि_यवतमाळ #President_BJP_Social_Media_Cell_Arni_Taluka.</t>
  </si>
  <si>
    <t>Bitubably</t>
  </si>
  <si>
    <t>I am a Mother and try to be a straightforward human being. I appreciate Nature and its bounty truly care about my family.</t>
  </si>
  <si>
    <t>Shyam</t>
  </si>
  <si>
    <t>Anesthetist by profession, believes 'country's only glory is its Hindu cultural roots'</t>
  </si>
  <si>
    <t>axinte c aurelian</t>
  </si>
  <si>
    <t>Japan’s Nikkei rises for a 15th straight session after Abe’s election win https://t.co/9lg3GnDibd</t>
  </si>
  <si>
    <t>Stephen Ritson</t>
  </si>
  <si>
    <t>What now for Japan after Abe's landslide election victory? - https://t.co/VufBOlJvTH #TREToday</t>
  </si>
  <si>
    <t>Spain &amp; Germany</t>
  </si>
  <si>
    <t>Host of Europe Today, @tretalkisgood's flagship news programme. Talk about the programme on #TREToday or via @Skype to 'livingonair'</t>
  </si>
  <si>
    <t>Japan's Abe hails landslide victory in snap election - https://t.co/Pbms0XXRiF #TREToday</t>
  </si>
  <si>
    <t>Shinzo Abe's election victory renews speculation over changes to Japan's constitution - https://t.co/0jMw6yncDr #TREToday</t>
  </si>
  <si>
    <t>Ryo　Ｍ</t>
  </si>
  <si>
    <t>東京･新宿区　最近は札幌にも頻繁に出没。もうすぐ40代</t>
  </si>
  <si>
    <t>政治ネタやや多め。大学時代まで平和ボケ。無党派ですが外交･経済･安全保障を考えるとやはり現政権支持。人権は当然大事、でも意欲を潰す共産主義、反日や国歌を拒否る公人には怒りのボルテージ上昇。毒吐きます、ご了承下さい。普段は穏やか、のほほんと暮らす医療職男。相互フォロー大歓迎。</t>
  </si>
  <si>
    <t>Bikash Kumar</t>
  </si>
  <si>
    <t>praveen kumar sharma</t>
  </si>
  <si>
    <t>Bhilwara Rajasthan</t>
  </si>
  <si>
    <t>#samajweekly</t>
  </si>
  <si>
    <t>Japan’s ruling camp wins two-thirds majority in lower house election https://t.co/xQrq3hj2Pm via @Samaj Weekly</t>
  </si>
  <si>
    <t>Birmingham, England</t>
  </si>
  <si>
    <t>#samajweekly a leading Punjabi &amp; English Newspaper in the United Kingdom, having the largest circulation and distribution network across United Kingdom (UK)</t>
  </si>
  <si>
    <t>RT BloombergTV "How Japan leader Shinzo Abe's election gamble paid off https://t.co/vJGo8TcbCY https://t.co/W7UkaCyzty"</t>
  </si>
  <si>
    <t>arya jyotirmay</t>
  </si>
  <si>
    <t>सारे जहाँ से अच्छा....</t>
  </si>
  <si>
    <t>Engineer,Ex-banker,construction business, restaurateur,social activist &amp; tail twister, हम तो आईना हैं, दाग दिखायेंगे चेहरे के; जिसे बुरा लगे, सामने से हट जाये।</t>
  </si>
  <si>
    <t>dragon_i175</t>
  </si>
  <si>
    <t>事実を知るコトが、人の判断をより正しいものにするのではないか？ 事実の探索・観察は、科学の基本。 されば、この日本を本当に発展し、自分や友人の子供達の為に、真実を追求し、残していきたいと考える。どうやら、自称リベラリスト達は事実無用な為、私とは相容れない。</t>
  </si>
  <si>
    <t>Dale Tuggy</t>
  </si>
  <si>
    <t>RT @jljzen: North Korea blasts Japan for using election to 'pave groundwork' for invasion | The Japan Times https://t.co/kHagJEOsUT</t>
  </si>
  <si>
    <t>Fredonia, NY</t>
  </si>
  <si>
    <t>Professor of Philosophy, philosopher of religion, analytic theologian, host of trinities podcast.</t>
  </si>
  <si>
    <t>SirSitaram</t>
  </si>
  <si>
    <t>Johnny Gaddar</t>
  </si>
  <si>
    <t>After election win, Abe prioritizes North Korea, aging Japan https://t.co/DNuaFS5hm6</t>
  </si>
  <si>
    <t>Paresh P Vyas</t>
  </si>
  <si>
    <t>Saritha rao</t>
  </si>
  <si>
    <t>Sarve santhu niramayah 😃</t>
  </si>
  <si>
    <t>Upamanyu Harshwal🔵</t>
  </si>
  <si>
    <t>love you @Guruofficial Hit that follow button👆👆</t>
  </si>
  <si>
    <t>ちょく</t>
  </si>
  <si>
    <t>@Shrikant199</t>
  </si>
  <si>
    <t>Failure will never overtake me if my determination to succeed is strong enough.</t>
  </si>
  <si>
    <t>Jay Crane 🎃👻</t>
  </si>
  <si>
    <t>RT @SkyNews: .@AbeShinzo is on course for victory in Japan's snap election - and has vowed to "deal firmly" with #NorthKorea https://t.co/m…</t>
  </si>
  <si>
    <t xml:space="preserve">Sheffield </t>
  </si>
  <si>
    <t>Don't hate the player hate the game big rock music fan#Sheffieldrocker🎸 SIA security officer Email jaycrane198394@outlook.com Sheffield SUFC #twitterblades</t>
  </si>
  <si>
    <t>Dr. Elijah Matolo</t>
  </si>
  <si>
    <t>Nairobi, Kenya.</t>
  </si>
  <si>
    <t>A Medical Doctor</t>
  </si>
  <si>
    <t>Kushi57112</t>
  </si>
  <si>
    <t>In aansuo Ki koi penchant Nhi hoti.</t>
  </si>
  <si>
    <t>abcd</t>
  </si>
  <si>
    <t>RonJo Crisman</t>
  </si>
  <si>
    <t>pythonPracticerjc</t>
  </si>
  <si>
    <t>सबसे पहले अपना देश और सब बाद में चाहे कोई भी हो मै कीसी भी पार्टी से नही पर सच के साथ हूं जो बोलना है खुल के बोलो खुल्लम खुल्ला</t>
  </si>
  <si>
    <t>The Independent</t>
  </si>
  <si>
    <t>Shinzo Abe scores major victory in Japanese election https://t.co/0f02NPb9lJ</t>
  </si>
  <si>
    <t>News, comment and features from The Independent.</t>
  </si>
  <si>
    <t>KimJongUn</t>
  </si>
  <si>
    <t>PyongYong</t>
  </si>
  <si>
    <t>Pramod Khillare</t>
  </si>
  <si>
    <t>@AJStream I'm following the #Japan election and thinkn its a good weapon to win an election: fear &amp; war esp wen the… https://t.co/SbR5HfMy9g</t>
  </si>
  <si>
    <t>Laks Narasimhan</t>
  </si>
  <si>
    <t>Proud Indian, track politics, cricket and other useless stuff.</t>
  </si>
  <si>
    <t>RT TopFiveTraders "RT BloombergTV "How Japan leader Shinzo Abe's election gamble paid off https://t.co/rSMkeTWpdb https://t.co/vmEWlT475M""</t>
  </si>
  <si>
    <t>Sharad</t>
  </si>
  <si>
    <t>Balaji</t>
  </si>
  <si>
    <t>雪の真ん中</t>
  </si>
  <si>
    <t>東京➡さいたま市➡東京(東京も埼玉も好き‼)</t>
  </si>
  <si>
    <t>日本を守っていきたい。報道より見てきたモノを信じます。 ♥麻生太郎様♥安倍晋三総理♥SMAPを諦めない ♥鉄道の旅♥温泉♥北海道･山形･福島･栃木 ♥動物全般(猫飼い) *ｼﾞｬﾝﾙ別け(専ｱｶ)してません</t>
  </si>
  <si>
    <t>Georgina Bex</t>
  </si>
  <si>
    <t>RT @Independent: Shinzo Abe scores major victory in Japanese election https://t.co/0f02NPb9lJ</t>
  </si>
  <si>
    <t>Winethusiast, Daytime Video Producer, Power Jogger and life-lover #life #work #blessed</t>
  </si>
  <si>
    <t>manekineko2525</t>
  </si>
  <si>
    <t>誠実、信頼、純潔、原則、友情</t>
  </si>
  <si>
    <t>Bacharam Singh</t>
  </si>
  <si>
    <t>Member of BJP National Election Committee &amp; National Executive Member, Kishan Morcha, BJP, 11 Ashoka Road, N.Delhi -110001</t>
  </si>
  <si>
    <t>RAHUL  DIXIT</t>
  </si>
  <si>
    <t xml:space="preserve">Etawah U. P India </t>
  </si>
  <si>
    <t>!!अकाल मृत्यु वो मरे जो काम करे चांडाल का!! काल भी‎ उसका क्या करे‎ जो भक्त हो महाकाल का !!</t>
  </si>
  <si>
    <t>Canadians In London</t>
  </si>
  <si>
    <t>https://t.co/rqLud3hil2 Helping Canadians find their way and each other. Big brother to https://t.co/hns1ZRPQP3 we hold fun events with Canadian classics</t>
  </si>
  <si>
    <t>SP  🇮🇳</t>
  </si>
  <si>
    <t>INDIA</t>
  </si>
  <si>
    <t>Sardar Patel, Man who united Bharat (Vision of Ek Bharat Shrestha Bharat)</t>
  </si>
  <si>
    <t>siyaram sharma</t>
  </si>
  <si>
    <t>Alumnus IIT (ISM). Views are strictly personal.Retweets are not endorsements.Interest in science, technology,management,history,culture...</t>
  </si>
  <si>
    <t>Pramendra Kumar Sing</t>
  </si>
  <si>
    <t>Singrauli, India</t>
  </si>
  <si>
    <t>मध्य उत्तर भारत क्षेत्र में समाज सेवा , महिला सशक्तिकरण , गैर सरकारी संस्थाओं का संचालन , वंचित व आदिवासी महिलाओं का आर्थिक विकास , ठोष अपशिष्ट प्रबंधन ।</t>
  </si>
  <si>
    <t>kkant dwivedi,IITian</t>
  </si>
  <si>
    <t>Boring Road Patna</t>
  </si>
  <si>
    <t>I I T ,B H U.</t>
  </si>
  <si>
    <t>Abe placed to lead Japan through 2021 after big election win https://t.co/YWL8hNHE3J</t>
  </si>
  <si>
    <t>Alan Rosario</t>
  </si>
  <si>
    <t>Japan's Shinzo Abe Conjures Stunning Election Victory in a Boost for Donald Trump - TIME https://t.co/IxS2o22v5T</t>
  </si>
  <si>
    <t>Texas, USA</t>
  </si>
  <si>
    <t>Retired Navy Corpsman. Pro Life, Christian, Pro 2nd, Conservative Libertarian. Less Government #MilitaryVetsLivesMatter #PTSDClaims22aDay #BlueLivesMatter #MAGA</t>
  </si>
  <si>
    <t>Lukoki</t>
  </si>
  <si>
    <t>footballer, pharmacist, liberty, Franco et tp ok jazz , Kekistani</t>
  </si>
  <si>
    <t>Calluy Walter</t>
  </si>
  <si>
    <t>Antwerpen/Oelegem/Belgium</t>
  </si>
  <si>
    <t>Gepensioneerd maar niet 'burned-out'</t>
  </si>
  <si>
    <t>无心睡眠</t>
  </si>
  <si>
    <t>Narman Oloo</t>
  </si>
  <si>
    <t>Books and all forms of writing are terror to those who wish to suppress the truth. E-mail: narmanoloo@gmail.com</t>
  </si>
  <si>
    <t>Abe, post-election, faces a new Trump problem https://t.co/QcFLq8bYFW #usedcar #japan</t>
  </si>
  <si>
    <t>North Korea blasts Japan for using election to ‘pave groundwork’ for invasion https://t.co/nOqV887leC #usedcar #japan</t>
  </si>
  <si>
    <t>Adedotun Adedara</t>
  </si>
  <si>
    <t>Nigeria</t>
  </si>
  <si>
    <t>Easy Going And God Fearing</t>
  </si>
  <si>
    <t>#BloombergTV ❧ How Japan leader Shinzo Abe's election gamble paid off https://t.co/l0SRhSxp0W https://t.co/kKk5iwRULf</t>
  </si>
  <si>
    <t>Abe, post-election, faces a new Trump problem https://t.co/din8JTfex7</t>
  </si>
  <si>
    <t>Dr. Nancy Snow</t>
  </si>
  <si>
    <t>@AkikoFujita I hope Abe doesn't use this election win to provoke from Japan to N. Korea.</t>
  </si>
  <si>
    <t>Two-time Fulbrighter, Abe Fellow, CSUF Professor Emeritus now KUFS Public Diplo Prof in Japan. Author/editor of 11 IR books. Branding Diversity and Inclusion</t>
  </si>
  <si>
    <t>猫又ニャーコ@風雲猫又城</t>
  </si>
  <si>
    <t>地球の裏側 &amp;Tokyo nyapan</t>
  </si>
  <si>
    <t>子なし主婦ゲーマー❤安倍政権支持派freelance writer. I love YoKaiWatch and animal crossing,I love my life I love 🇯🇵 and 🇺🇸I love all friends and my family I love Nintendo🎶</t>
  </si>
  <si>
    <t>Disruptive Signal</t>
  </si>
  <si>
    <t>"Powerful typhoon leaves 5 dead, 1 missing in Japan" https://t.co/EldozS97so @jimmypedya #headlines #news #feedly</t>
  </si>
  <si>
    <t>For Any Complains related to the Articles, Contact the Person who actually wrote the Articles because I honestly could not care less about your opinion!</t>
  </si>
  <si>
    <t>RT TFTCS "RT BloombergTV "How Japan leader Shinzo Abe's election gamble paid off https://t.co/9OahVDaig5 https://t.co/GvVRvIk2py""</t>
  </si>
  <si>
    <t>Belinda Gallman</t>
  </si>
  <si>
    <t>Belinda Gallm app</t>
  </si>
  <si>
    <t>Camden New Jersey</t>
  </si>
  <si>
    <t>Historians are like deaf people who go on answering questions that no one has asked them (Tolstoy)</t>
  </si>
  <si>
    <t>shivam singh</t>
  </si>
  <si>
    <t>#BHU_STUDENT, #NATION_FIRST, #RSS_SUPPORTER, #I_LIKE_HISTORY, #INTERESTED_INDIAN_AND_WORLD_POLITICS , #LIKE_INTERNATIONAL_FOREIGN_AFFAIRS</t>
  </si>
  <si>
    <t>L.C.N.</t>
  </si>
  <si>
    <t>Bahia, Brasil.</t>
  </si>
  <si>
    <t>I read it not (stilll) but feel this most famous book was (also for me), now: 'The Book of the Perplexed' !!! Warning most posts in brazilian portuguese.</t>
  </si>
  <si>
    <t>Michael Hart</t>
  </si>
  <si>
    <t>Writer and researcher focusing on civil conflict, maritime security and Southeast Asian politics</t>
  </si>
  <si>
    <t>Christina Longfellow</t>
  </si>
  <si>
    <t>ChristinaLongfe</t>
  </si>
  <si>
    <t>Canterbury UK</t>
  </si>
  <si>
    <t>Books have the same enemies as people: fire, humidity, animals, weather, and their own content. Paul Valery (1871 - 1945)</t>
  </si>
  <si>
    <t>teshwanzi juniper</t>
  </si>
  <si>
    <t>Horn of Africa</t>
  </si>
  <si>
    <t>The crazy person who buys strangers a coca cola *wink* :p __Representing Christ__ #MUFC Hunter &amp; Gatherer #TEAMJESUS</t>
  </si>
  <si>
    <t>Crossbridge Capital</t>
  </si>
  <si>
    <t>Japanese PM Shinzo Abe's ruling coalition regained a twothirds majority of the seats in Japan's lower house after Sunday's general election</t>
  </si>
  <si>
    <t>Independent, tailored, cross-asset investment solutions for entrepreneurs and families. Global Macro and economics comments.</t>
  </si>
  <si>
    <t>H.A. Barasa😎</t>
  </si>
  <si>
    <t>Changing the world one business at a time</t>
  </si>
  <si>
    <t>Philippine News Now</t>
  </si>
  <si>
    <t>Japan PM Abe’s ruling bloc on track for big win in election — TV exit polls https://t.co/It8tnLwtOA</t>
  </si>
  <si>
    <t>Covering in the heart of the Philippines with experience for 8 years</t>
  </si>
  <si>
    <t>TK.CTL</t>
  </si>
  <si>
    <t>North Korea blasts Japan for using election to ‘pave groundwork’ for invasion https://t.co/WOXmQ1cmWf https://t.co/rEhJKoREkD</t>
  </si>
  <si>
    <t>AKSHAT PATIDAR</t>
  </si>
  <si>
    <t>proud follower of @narendramodi @skpatidarbjp coz they have the power to change india. And also a yuva BJP karyakarta @BJP4INDIA</t>
  </si>
  <si>
    <t>Chakradhar Mohanta</t>
  </si>
  <si>
    <t>Chief Engineer (Rtd), #OdiaWriter,Poet,Colmnst, #GoldenJubleeYrOfPublication(1967-2017) #Author*Books-12,Stories-100, Lyrics-500,Columns-1000, #BhasaActivist</t>
  </si>
  <si>
    <t>RafaelAngel0812</t>
  </si>
  <si>
    <t>Shinzo Abe scores major victory in Japanese election https://t.co/9SLJOGZSDV Independent</t>
  </si>
  <si>
    <t>Daytona Beach, FL</t>
  </si>
  <si>
    <t>My bilingual blog https://t.co/OKNlTNjlNX Mi blog bilingüe</t>
  </si>
  <si>
    <t>OverTheMoonbat</t>
  </si>
  <si>
    <t>#Markets Mon - Japan Leads Global Stocks Higher After Elections https://t.co/hHPtOIbmaD https://t.co/cLkdiyt7NF | #tcot #PJNET</t>
  </si>
  <si>
    <t>Liberty loving conservative, truth-seeking in face of an unholy alliance of big gov / biz / media. Follows not always endorsements (info. gathering). Semper Fi!</t>
  </si>
  <si>
    <t>Shakil Ahmed</t>
  </si>
  <si>
    <t>ظَهَرَ الْفَسَادُ فِي الْبَرِّ وَالْبَحْرِ بِمَا ۔۔۔ Corruption has appeared throughout the land and sea by [reason of] what the hands of people have earned so</t>
  </si>
  <si>
    <t>ಪ್ರಜಾಕೀಯ-PRAJAKEEYA</t>
  </si>
  <si>
    <t>Pennsylvania, USA</t>
  </si>
  <si>
    <t>Here to track celebrities, sports personalities, polititians, media , Fashion, Sale, Brands and social activists.#StopTamilChauvinism</t>
  </si>
  <si>
    <t>HPadale</t>
  </si>
  <si>
    <t>Surendra tapariya</t>
  </si>
  <si>
    <t>PMOAndroid</t>
  </si>
  <si>
    <t>Barmer, India</t>
  </si>
  <si>
    <t>भारत माता की जय! थार के रेगिस्तान में बाड़मेर से एक पानवाला #cashless #lesscash #digitalINDIA हेल्पर #HarGharDigitalSakshar</t>
  </si>
  <si>
    <t>Dr Reena s'Anamika'</t>
  </si>
  <si>
    <t>Hindi Author'Ek musafir aisa bhi'An Untold Biography of Balasaheb Thackrey https://t.co/SpmAo7Q6Ux</t>
  </si>
  <si>
    <t>Ashish</t>
  </si>
  <si>
    <t xml:space="preserve">New Delhi         </t>
  </si>
  <si>
    <t>Proud Hindu. Politically Conservative. Intolerant. @narendramodi @realDonaldTrump supporter. Astronomy lover. F1 fan. RT is not endorsement.</t>
  </si>
  <si>
    <t>Nitin Pardasani🇮🇳</t>
  </si>
  <si>
    <t>Proud Indian, Hate AAPtards, Kongis n Antinationals.</t>
  </si>
  <si>
    <t>7 things to know before the bell: Japan election landslide; Chaos in Catalonia; European populism https://t.co/O0RCaebp9i</t>
  </si>
  <si>
    <t>Elena</t>
  </si>
  <si>
    <t>Stupid tw Hey huns ìt s me always on the right side Israel for ever! #MAGA #MIGA #alvotosubito #presidenzialismo #Israel</t>
  </si>
  <si>
    <t>chandrashekhar</t>
  </si>
  <si>
    <t>amitgarg</t>
  </si>
  <si>
    <t>Rohit Sharma</t>
  </si>
  <si>
    <t>Moradabad Uttar prdesh</t>
  </si>
  <si>
    <t>Bimal Barman</t>
  </si>
  <si>
    <t xml:space="preserve">Bangladesh </t>
  </si>
  <si>
    <t>A man who desperately but eagerly wants to know the world.</t>
  </si>
  <si>
    <t>Ali Boulifa</t>
  </si>
  <si>
    <t>Japan's Abe on track for landslide victory, exit polls show https://t.co/s2iUxwSpST</t>
  </si>
  <si>
    <t>Williams, CA</t>
  </si>
  <si>
    <t>RT @IndianInterest: Congratulations, @AbeShinzo on your election success. Great news for Japan, India &amp; Asia. Best wishes. https://t.co/3K…</t>
  </si>
  <si>
    <t>vishu_6060</t>
  </si>
  <si>
    <t>#Hindutva🚩 #Namo Bhakt #Proud of being Hindu💪🏻#Socialism, more over 🇮🇳nation first everything next. #By professional a Design Engineer.</t>
  </si>
  <si>
    <t>Thecreator</t>
  </si>
  <si>
    <t>A Person Who Tries To Be Liberalist, Cosmopolitan, Environmentalist, Humanist And Rationalist.</t>
  </si>
  <si>
    <t>Jagdish Panchal</t>
  </si>
  <si>
    <t>President, @BJP4AMDAVADCITY ; Member of Legislative Assembly (MLA) Nikol Assembly - Gujarat.</t>
  </si>
  <si>
    <t>North Korea blasts Japan for using election to 'pave groundwork' for invasion - The Japan Times… https://t.co/zRdhhTC4og</t>
  </si>
  <si>
    <t>Japan Election Vindicates Shinzo Abe as His Party Wins Big https://t.co/YrPEKggbMw</t>
  </si>
  <si>
    <t>Twitter for BlackBerry®</t>
  </si>
  <si>
    <t>Bart van de Ven</t>
  </si>
  <si>
    <t>Seven things to know about Japan's lower house elections- Nikkei Asian Review https://t.co/ZOUZaccpzW</t>
  </si>
  <si>
    <t>Advisor at Accuro Independent Wealth Advisors. Sharing opinions, blogs, articles for curious, open-minded, persistent and self-critical investors</t>
  </si>
  <si>
    <t>Kuldeep Singh</t>
  </si>
  <si>
    <t>coronary care unit, health-care # जय श्री राम # 🇮🇳भारत माता की जय 🇮🇳# followed by https://t.co/AimiP9OwbU</t>
  </si>
  <si>
    <t>Shinzo Abe scores major victory in Japanese election https://t.co/bykph4fDmC</t>
  </si>
  <si>
    <t>The Patriot</t>
  </si>
  <si>
    <t>Bharath Matha Ki Jai, RT ≠ Endorsement</t>
  </si>
  <si>
    <t>hinduhomeland</t>
  </si>
  <si>
    <t>a hindu asking for a HINDU HOMELAND and recognition of Hindus. reclaim SWASTIKA- http://t.co/8DXifDhxrB i wear my religion on my sleeve. SWASTIKA never killed</t>
  </si>
  <si>
    <t>krisna</t>
  </si>
  <si>
    <t xml:space="preserve">worldwide Web </t>
  </si>
  <si>
    <t>Rahul Kumar</t>
  </si>
  <si>
    <t>Satya Prakash Tyagi</t>
  </si>
  <si>
    <t>#RSS #BJP #SankalpSeSiddhi #IAmNewIndia #IndiaTransforming भारत @Narendera Modi जी के नेतृत्व में विश्व गुरु बनेगा 20 साल मोदी के नाम IT Cell BJP</t>
  </si>
  <si>
    <t>Vishal Yogi</t>
  </si>
  <si>
    <t>Indore, India</t>
  </si>
  <si>
    <t>I'm an Entrepreneur, Dreamer and Doer Followed By @piyushgoyaloffc⛳ Fan Of #NarendraModi</t>
  </si>
  <si>
    <t>Kate Parnell 💕🌞🎆✨</t>
  </si>
  <si>
    <t>Washington, USA</t>
  </si>
  <si>
    <t>Was a bitch on season 5, I'm gonna make it right. Give me a sewing challenge and I'll give you what you like. Host: @YATodayPodcast IG: @KathrineParnell</t>
  </si>
  <si>
    <t>Grace wanjish</t>
  </si>
  <si>
    <t>Just there but I don't follow the crowd only meditate for guidance to understand and spot michief</t>
  </si>
  <si>
    <t>Pratik Solanki</t>
  </si>
  <si>
    <t>Gadhada, India</t>
  </si>
  <si>
    <t>co-convener botad district BJP ( I T Cell )</t>
  </si>
  <si>
    <t>Lelouch Lamperouge😈</t>
  </si>
  <si>
    <t xml:space="preserve">221B Baker Street </t>
  </si>
  <si>
    <t>There's only a few things I really care about in life. My body. My pad. My ride. My family. My boys. My girls. 👻-himansh2412997</t>
  </si>
  <si>
    <t>Sohail Younas</t>
  </si>
  <si>
    <t>Japan's Abe to push pacifist constitution reform after strong election win # https://t.co/O7IjQduJav</t>
  </si>
  <si>
    <t>SocialBlips App</t>
  </si>
  <si>
    <t>Islamabad, Pakistan</t>
  </si>
  <si>
    <t>software engineer😊😎</t>
  </si>
  <si>
    <t>Erick Odoyo</t>
  </si>
  <si>
    <t>N.Shahzad</t>
  </si>
  <si>
    <t>Japan's Abe to push pacifist constitution reform after strong election win # https://t.co/nn23202drI</t>
  </si>
  <si>
    <t>Finance Expert</t>
  </si>
  <si>
    <t>শান্তনুChakravarty🚩</t>
  </si>
  <si>
    <t>Nationalist | Engineer | Lawyer | Blogger |ॐ Vedanta Proponent | BharatMataKiJai🇮🇳 | THINK good DO good &amp; FEEL good | Veritas Vincit TRUTH conquers✌</t>
  </si>
  <si>
    <t>RT TFTCS "RT BloombergTV "How Japan leader Shinzo Abe's election gamble paid off https://t.co/rSMkeTWpdb https://t.co/vmEWlT475M""</t>
  </si>
  <si>
    <t>Sakthi Kumar</t>
  </si>
  <si>
    <t>Acupuncture Healer</t>
  </si>
  <si>
    <t>BoogieFinger</t>
  </si>
  <si>
    <t>MN</t>
  </si>
  <si>
    <t>http://t.co/2jsNV6Kj8y Blog about the deception by the Left and much more http://t.co/f4o5M4Bxx2 .http://t.co/Q8SybSXaHT http://t.co/1SrqmHFrZ1</t>
  </si>
  <si>
    <t>冨田麻里（7thclouds公式ツィート</t>
  </si>
  <si>
    <t>Higashiyamato-city Tokyo Japan</t>
  </si>
  <si>
    <t>JAPANESE/Allfromownthoughts/photos UKSussexUniLLM/MACriminology/NihonUniBAPsy TOEFL620(CBT260)TOIEC950 *AllRightsReserved</t>
  </si>
  <si>
    <t>I lik cricket</t>
  </si>
  <si>
    <t>Kaveri Thiyagarajan</t>
  </si>
  <si>
    <t>Kind Words Do Not Cost Much, Yet They Accomplish Much. Tweets are personal, ReTweets are not endorsements</t>
  </si>
  <si>
    <t>APB Mandate</t>
  </si>
  <si>
    <t>Private banks react to Japan’s election result https://t.co/LEPGbaEPwd #equity #exclusive #featured #japan</t>
  </si>
  <si>
    <t>APBMandate WP Plugin</t>
  </si>
  <si>
    <t>APB Mandate, powered by @asianpvtbanker, is the specialist buy-side platform for those who manage client money at private banks. #money #privatebanking</t>
  </si>
  <si>
    <t>George Jr.</t>
  </si>
  <si>
    <t>Japan Election Vindicates Shinzo Abe as His… https://t.co/MK88hyHGFA #Elections #PoliticsandGovernment… https://t.co/cbldiVi2IG</t>
  </si>
  <si>
    <t>#Computer Engineer | #Web Developer | Development #Engineer | IoT #Developer | #Tech Specialist | #Sports Fanatic | #Think Positive</t>
  </si>
  <si>
    <t>Miu</t>
  </si>
  <si>
    <t>JAPAN</t>
  </si>
  <si>
    <t>🎃 I Love Weikie 💜 I Love Helloween 💙 I Love Michael Weikath ❤ ROCK HR/HM etc. ライヴ参戦遠征に頑張る＼m／ 日本人でよかった🔴</t>
  </si>
  <si>
    <t>Shinzo Abe scores major victory in Japanese election https://t.co/JyA7oXgUqP</t>
  </si>
  <si>
    <t>RT @notiven: RT: @reuters :Prime Minister Shinzo Abe to push for reforms to Japan's post-war pacifist constitution after strong election wi…</t>
  </si>
  <si>
    <t>まほ</t>
  </si>
  <si>
    <t>並盛中応接室</t>
  </si>
  <si>
    <t>パグ / アニメ / ゴルフ / 写真➡︎『LUMIXGF7 』/ 関ジャニ∞🐘🦁 / がお好き。</t>
  </si>
  <si>
    <t>RT @bsurveillance: Thanks Robert Feldman @MorganStanley Senior Advisor for joining us from #Tokyo on Japan PM Shinzo Abe’s gamble on callin…</t>
  </si>
  <si>
    <t>Seattle Biz Coach</t>
  </si>
  <si>
    <t>Japanese PM Abe to Push Reform of Japan’s Pacifist Constitution after His Big Election Win | Reuters News VIDEO… https://t.co/yw6MxW0ZZZ</t>
  </si>
  <si>
    <t>Seattle, WA</t>
  </si>
  <si>
    <t>MBA-Level Solutions: Planning, Operations, Marketing/Sales, Finance, Tech, HR &amp; Leadership. Plus Newsroom Videos: US &amp; World, Business, Science &amp; Technology.</t>
  </si>
  <si>
    <t>FUJITA YUH</t>
  </si>
  <si>
    <t>RT @guardiannews: What now for Japan after Abe's landslide election victory? https://t.co/3O6zbRAYmE</t>
  </si>
  <si>
    <t>Virtual Seven Sisters</t>
  </si>
  <si>
    <t>公立大学英語教員。ロックについてツイートするつもりだったのに・・イギリス思想史研究を再開したものの・・ An English teacher working at a public university. Studying the intellectual history of Victorian Britain.</t>
  </si>
  <si>
    <t>Tenn World Affairs</t>
  </si>
  <si>
    <t>Japan's Abe to push pacifist constitution reform after strong election win #TNWACquiz https://t.co/v3CoEBbcbQ</t>
  </si>
  <si>
    <t>OS X</t>
  </si>
  <si>
    <t>Nashville, Tennessee</t>
  </si>
  <si>
    <t>Tenn World Affairs Cncil is a nonprofit organization promoting international awareness &amp; understanding of global issues through education. RTs not endorsements.</t>
  </si>
  <si>
    <t>Shivamrutham</t>
  </si>
  <si>
    <t>T.J. Pelletier #UI</t>
  </si>
  <si>
    <t>Behind you...</t>
  </si>
  <si>
    <t>believe in good...believe in evil... believe if you are not one you are the other..#UI #OpISIS #CtrlSec #SolarCycle #Djinn #OpSaveAnonHunters ❤👸</t>
  </si>
  <si>
    <t>Sk</t>
  </si>
  <si>
    <t>Political Observer🔍📣. 🛃</t>
  </si>
  <si>
    <t>Third Eye</t>
  </si>
  <si>
    <t>Bihar, India</t>
  </si>
  <si>
    <t>Don't Die Before you Death | Philomath | Entrepreneur | Honored to be followed by @PiyushGoyalOffc | Tweets in ❤️</t>
  </si>
  <si>
    <t>Praveen Pandey</t>
  </si>
  <si>
    <t>mahendra raj singh</t>
  </si>
  <si>
    <t>Kantate</t>
  </si>
  <si>
    <t>Member of local choral society (Tenor): J.S. Bach, A. Bruckner, Royal Concertgebouw, BCJ, Peter Schreier, Thomanerchor, Günter Wand, Takashi Asahina, etc...</t>
  </si>
  <si>
    <t>kiyomi</t>
  </si>
  <si>
    <t>アメリカ在住。日本人です。Japanese. live in US.</t>
  </si>
  <si>
    <t>वेदांत अग्रवाल</t>
  </si>
  <si>
    <t>Sci-Tech</t>
  </si>
  <si>
    <t>Typhoon leaves five dead after lashing Japan on election day #SciTech https://t.co/JGljC1mNzJ</t>
  </si>
  <si>
    <t>Find your latest Sci-Tech news with just one click. Don't miss out on anything happening!</t>
  </si>
  <si>
    <t>New Indian Express</t>
  </si>
  <si>
    <t>"Look forward to further strengthen India- Japan relations with him," Modi tweeted. https://t.co/Q3K5GWStSj</t>
  </si>
  <si>
    <t>Buffer</t>
  </si>
  <si>
    <t>Chennai</t>
  </si>
  <si>
    <t>All the tweets for breaking news, views and everything else. Your gateway to India and the world.</t>
  </si>
  <si>
    <t>Nishant Singh</t>
  </si>
  <si>
    <t xml:space="preserve">Gurgaon </t>
  </si>
  <si>
    <t>Erique wuod gem</t>
  </si>
  <si>
    <t>He`s a global citizen.</t>
  </si>
  <si>
    <t>Make a commitment for a lifetime to achieve your dreams. Remember your past, focus on your future &amp; take advantage of all opportunities that life gives to you.</t>
  </si>
  <si>
    <t>ⓐⓘⓢⓧⓘⓝ™</t>
  </si>
  <si>
    <t>日本 新潟</t>
  </si>
  <si>
    <t>工業デザイナーです。 報道≠事実。情報≠真実。自分で精査する事が重要です。 I like Babymetal, Led Zeppelin, Pink Floyd and Neil Youngです(＾▽＾) I hate 露助 and 支那人 with 朝鮮人です(￣ー￣)ﾆﾔﾘ</t>
  </si>
  <si>
    <t>Scuba Steve</t>
  </si>
  <si>
    <t>I said, whoever threw that paper your mom is a hoe #GodFearing</t>
  </si>
  <si>
    <t>Alexandra</t>
  </si>
  <si>
    <t>Newcastle, England</t>
  </si>
  <si>
    <t>i'm always talking about politics and i bake when i'm bored - type 1 diabetic #insulin4all</t>
  </si>
  <si>
    <t>Ashish Balar</t>
  </si>
  <si>
    <t>Surat, Gujarat, India.</t>
  </si>
  <si>
    <t>#INDIAN #Nation_First #The_ReaL_One Forever for B.J.P. Follower of INDIA's Great Thinker @PMOIndia @narendramodi</t>
  </si>
  <si>
    <t>Yo Yo CHaUBeY</t>
  </si>
  <si>
    <t>@Simple.... Silently work on ur dream and focus on it</t>
  </si>
  <si>
    <t>国民総国防軍　安全保障をよく考えよう</t>
  </si>
  <si>
    <t>ねずさんのブログ チベットはなぜ侵略されたか http://t.co/pSBZ1QR0pw これは全日本国民が知っておくべきことですね。</t>
  </si>
  <si>
    <t>Ssh..</t>
  </si>
  <si>
    <t>God-knows Square</t>
  </si>
  <si>
    <t>Doctor º Drifter º Homeless º Not intent on arriving º Have got an old coat for a pillow and the Earth was last night's bed</t>
  </si>
  <si>
    <t>S.Iwasawa</t>
  </si>
  <si>
    <t>Sujit Kumar</t>
  </si>
  <si>
    <t>RTs &amp; Links are personnel and do not imply endorsement.</t>
  </si>
  <si>
    <t>enjoandebadalona</t>
  </si>
  <si>
    <t>Badalona, Catalunya</t>
  </si>
  <si>
    <t>personatge de ficció</t>
  </si>
  <si>
    <t>Mit S.</t>
  </si>
  <si>
    <t>Asia-Pacific</t>
  </si>
  <si>
    <t>Aspiring capitalist/game developer. iOS projects : https://t.co/I5xrb0fEK0 fan of @SwiftLang. New project coming soon!</t>
  </si>
  <si>
    <t>Jose Rios </t>
  </si>
  <si>
    <t>Japanese stocks rise as dollar climbs against the yen after Abe election win https://t.co/12zX8oTqU8</t>
  </si>
  <si>
    <t>@Global - here and there</t>
  </si>
  <si>
    <t>Always Music enthusiast, intraday trader, reader and life explorer. Just writing my story. If you build it, they will come. IG: Mindset4Growth</t>
  </si>
  <si>
    <t>RAKESH THUSU</t>
  </si>
  <si>
    <t>l bow to true Indians and salute to modi ji.I am devoted towards modi ji for his nation first attitude but against those who are most opportunistic &amp;anti Indian</t>
  </si>
  <si>
    <t>Times of News</t>
  </si>
  <si>
    <t>Abe to push reform of Japan's pacifist constitution after election win https://t.co/jPEVDPDsKZ #breakingnews</t>
  </si>
  <si>
    <t>Times of News from UK</t>
  </si>
  <si>
    <t>Times of News is a free news website.Follow us and get latest news update from all over world.</t>
  </si>
  <si>
    <t>Conan Yamazaki</t>
  </si>
  <si>
    <t xml:space="preserve">Japan </t>
  </si>
  <si>
    <t>Retweets with the peace of the world. Thank you for the first time of Twitter. Nice to meet you. I am investors.</t>
  </si>
  <si>
    <t>Somu</t>
  </si>
  <si>
    <t>Pawan Kalyan's admirer and Follower...NAMO</t>
  </si>
  <si>
    <t>Bülent COŞAR</t>
  </si>
  <si>
    <t>RT @trtworld: Shinzo Abe’s expected election win will make him Japan's longest-serving prime minister https://t.co/k55EH3nQLz https://t.co/…</t>
  </si>
  <si>
    <t>mersin Türkiye</t>
  </si>
  <si>
    <t>Türkiyemizi ve vatandaşlarımızı seven, Çalışkan, Üretken, Sadık, Araştırmacı, Yardım seven, Kocaman bir aileyiz biz. 90 532 6243629 TB5DBC /TÜRKİYE</t>
  </si>
  <si>
    <t>EcoInternet</t>
  </si>
  <si>
    <t>Powerful Typhoon Drenches Voters Headed to Polls for Snap Election: Voice of America https://t.co/9vEHxUgRzU</t>
  </si>
  <si>
    <t>EcoInternet3</t>
  </si>
  <si>
    <t>#Environment and #climate news aggregated 24/7 using #DataScience by Dr. Glen Barry #rainforest #ocean #water #science #indigenous #humanrights #TheResistance</t>
  </si>
  <si>
    <t>quanzhuo169083</t>
  </si>
  <si>
    <t>RT @SCMP_News: What Shinzo Abe’s election win will mean for China-Japan relations https://t.co/IzZGNnbhVq</t>
  </si>
  <si>
    <t>B S Suryawanshi</t>
  </si>
  <si>
    <t>Deepak R. Samal</t>
  </si>
  <si>
    <t>Jambudeep, Bharatvarsh</t>
  </si>
  <si>
    <t>Follower of Sanatan Dharma. Sanatan i.e. eternal, true at all times. Believe in the teachings of The Vedas, The Upanishads, Shrimad Bhagvad Gita</t>
  </si>
  <si>
    <t>Jacob Kerr</t>
  </si>
  <si>
    <t>Japan election vindicates Prime Minister Shinzo Abe as his party wins big: https://t.co/pKR1B1kHk3</t>
  </si>
  <si>
    <t>Ops @wtop. Otherwise, I'm probably watching soccer or TCM. Tomorrow there'll be sunshine and all this darkness passed. #hookem</t>
  </si>
  <si>
    <t>himanshu 🚶🏻</t>
  </si>
  <si>
    <t xml:space="preserve">Capital </t>
  </si>
  <si>
    <t>Friendly troublemaker. Total bacon guru. Typical social media specialist.musicaholic. Freelance beer junkie. Certified student.</t>
  </si>
  <si>
    <t>Ashwin_ModiBakth</t>
  </si>
  <si>
    <t>Assistant Professor, Active BJP Member, MODI BAKTH, BJP_KARANATAKA, Proud to be a HINDU. JAI HIND</t>
  </si>
  <si>
    <t>KallenCarrick</t>
  </si>
  <si>
    <t>Bleh.</t>
  </si>
  <si>
    <t>하은빈</t>
  </si>
  <si>
    <t>अमिय  उपाध्याय</t>
  </si>
  <si>
    <t>Gorkhpur</t>
  </si>
  <si>
    <t>भारतीय युवा संगठन ...प्रदेश अध्यक्ष</t>
  </si>
  <si>
    <t>liquorice73</t>
  </si>
  <si>
    <t>北海道</t>
  </si>
  <si>
    <t>羊の皮を被った愛国者。ちょっとやんちゃな大和撫子です。 無言フォローごめんなさい。政治・歴史いろいろ勉強中です。よろしくお願いします。 #日本会議 #青山繁晴 #虎ノ門ニュース</t>
  </si>
  <si>
    <t>Dr. Mihir Khan</t>
  </si>
  <si>
    <t>Yorkshire and The Humber, Engl</t>
  </si>
  <si>
    <t>A wandering soul trying to make sense of nonsense called religion</t>
  </si>
  <si>
    <t>ミトウ</t>
  </si>
  <si>
    <t>japan</t>
  </si>
  <si>
    <t>ゆるゆる、たまに毒毒。最近はパイレーツオブカリビアン、及びジェフリー・ラッシュ関連が多いです。</t>
  </si>
  <si>
    <t>i Jijicom English</t>
  </si>
  <si>
    <t>Dollar Briefly Tops 114 Yen in Tokyo on Japan Election Results https://t.co/gcrj9r7dNK</t>
  </si>
  <si>
    <t>時事コム英文AP</t>
  </si>
  <si>
    <t>Ginza, Tokyo, Japan</t>
  </si>
  <si>
    <t>Jiji Press, one of the two major news agencies in Japan, distributes accurate news at home and abroad.</t>
  </si>
  <si>
    <t>TheLaughingTongue</t>
  </si>
  <si>
    <t xml:space="preserve">New Delhi , India </t>
  </si>
  <si>
    <t>CEO of World Politics &amp; Hinduism Inc</t>
  </si>
  <si>
    <t>Kalpesh Rathavi</t>
  </si>
  <si>
    <t>CEO - Sanelite Technologies Pvt Ltd., WORKING for BJP Gujarat.</t>
  </si>
  <si>
    <t>Benham Publishing</t>
  </si>
  <si>
    <t>Nikkei hits new highs after Japan election https://t.co/YitNdXfwiz</t>
  </si>
  <si>
    <t>Durham • Liverpool • London - Award winning publishers of informed UK business publications since 1997.</t>
  </si>
  <si>
    <t>sheikh anayatullah</t>
  </si>
  <si>
    <t>Michael Kovrig</t>
  </si>
  <si>
    <t>www.linkedin.com/in/kovrig</t>
  </si>
  <si>
    <t>@CrisisGroup Senior Adviser for North East Asia. China analyst. Former Canadian diplomat, now global citizen. Opinions my own. RT ≠ endorsement.</t>
  </si>
  <si>
    <t>SATYA PRAKASH GUPTA</t>
  </si>
  <si>
    <t>MsSun777</t>
  </si>
  <si>
    <t>Sunnyville  4 now (TBD)</t>
  </si>
  <si>
    <t>This life I fall, succeed, learn, laugh, cry, dream, inspire, encourage, and never give up or in. With God all things ARE possible!......#Faith #Strength #Hope</t>
  </si>
  <si>
    <t>Stefano Genovese</t>
  </si>
  <si>
    <t>RT @EcoInternet3: Powerful Typhoon Drenches Voters Headed to Polls for Snap Election: Voice of America https://t.co/9vEHxUgRzU</t>
  </si>
  <si>
    <t>PATRIOTIC-PROGRESSIVE ITALIAN-AMERICAN-OUR REVOLUTION</t>
  </si>
  <si>
    <t>ω๏๏∂y</t>
  </si>
  <si>
    <t>#NEWS Re-Elected Japanese PM Plans Big Change to Military: Japan's Prime Minister Shinzo… https://t.co/EAILFPnNk2</t>
  </si>
  <si>
    <t>√α. в૯α૮ђ, √¡૨g¡ท¡α</t>
  </si>
  <si>
    <t>ι ℓ๏v૯ мy hαરℓ૯y, b૯αch૯ร αη∂ ๏ƒ c๏υરร૯, мυรιc! y๏υ cαη η૯v૯ર b૯ ๏ℓ∂ αη∂ ωιร૯ ιƒ y๏υ ω૯ર૯ η૯v૯ર y๏υηg αη∂ cરαzy! Media tweets not necessarily my opinion.</t>
  </si>
  <si>
    <t>Alderbrook Community</t>
  </si>
  <si>
    <t>What now for Japan after Abe's landslide election victory? https://t.co/eGSxqXNx3P</t>
  </si>
  <si>
    <t>Apoorv Tyagi</t>
  </si>
  <si>
    <t>KiroriMal College, DU. IAS aspirant. Jocose natured. A lil "right" thinking. भारतमाता की जय 🇮🇳</t>
  </si>
  <si>
    <t>Sandra Ward</t>
  </si>
  <si>
    <t>#MAGA #Patriot #YahwehNissi The LORD My Banner</t>
  </si>
  <si>
    <t>Election win won't boost unpopular Shinzo Abe's ratings - CNBC https://t.co/slMO8jXvMV</t>
  </si>
  <si>
    <t>肉球ざんまい™</t>
  </si>
  <si>
    <t>うどん県</t>
  </si>
  <si>
    <t>AutoPagerize for SeaHorse の SITEINFO を書いています... 非公式な引用をされたツイートには一切の責任を負いません。 また、元の発言が辿りにくい非公式 RT などでメンションを投げられてもお相手できませんのであしからず...(^_^.)</t>
  </si>
  <si>
    <t>Politicoscope</t>
  </si>
  <si>
    <t>JAPAN POLITICS: Shinzo Abe to Push Pacifist Constitution Reform After Strong Election Win - https://t.co/c5dfSIVILF… https://t.co/9hJZ63pzXY</t>
  </si>
  <si>
    <t>International</t>
  </si>
  <si>
    <t>Politicoscope official world politics news home. Follow Us On: http://t.co/t37hQJJZ1x, http://t.co/1MAJl9KNQz, https://t.co/Ndr35NKShx</t>
  </si>
  <si>
    <t>Tran Nguyen</t>
  </si>
  <si>
    <t>WATCH OUT NORTH KOREA: Japan election win gives Abe mandate to get tough on Kim - Express… https://t.co/xfFofF7z4T</t>
  </si>
  <si>
    <t>Arsheen Gujral</t>
  </si>
  <si>
    <t>Wannabe food aficionado. Beer specialist. Tv ninja. Avid bacon maven. Social mediaholic. Total explorer. Internet buff.</t>
  </si>
  <si>
    <t>red square</t>
  </si>
  <si>
    <t>明日のために 荒野を生きる あらゆる知識を生かして、社会に挑む！ 趣味は国内旅行、農産業（０次、１次、２次＋３次産業経験） 梅雨の間に 近所の畑を 眺めせば その名も知らず 畝の幼木</t>
  </si>
  <si>
    <t>Sokodirectory.com</t>
  </si>
  <si>
    <t>Shinzo Abe sweeps to resounding victory in Japan election. What does this mean for Africa? #SokoRevamped</t>
  </si>
  <si>
    <t>East Africa</t>
  </si>
  <si>
    <t>The Official Twitter Account for http://t.co/Jyv5aIAJ. The leading online directory and news platform for the SME industry.</t>
  </si>
  <si>
    <t>I💛my Shakha</t>
  </si>
  <si>
    <t>After Strong Election Win, Japan’s Abe to Push Pacifist Constitution Reform https://t.co/yv49XVf0UU</t>
  </si>
  <si>
    <t>0RCR</t>
  </si>
  <si>
    <t>Supermom | Patriot | Social Activist | Frustrated Indian. Want to remove the mockery from democracy. Want to leave a better India for my children.</t>
  </si>
  <si>
    <t>Act India~Aid India</t>
  </si>
  <si>
    <t>India - Bharat - Hindustan</t>
  </si>
  <si>
    <t>In search of Goodness&amp;God I lived.Searched World prayed all India.Then found God.In my work,my people,my India. #SwamiVivekananda Soul. PM #Modi Follows. #WeCan</t>
  </si>
  <si>
    <t>Rishabh Jindal</t>
  </si>
  <si>
    <t>Indian From My Hearts.</t>
  </si>
  <si>
    <t>उमेश</t>
  </si>
  <si>
    <t>jeeveeth</t>
  </si>
  <si>
    <t>केरल, भारत</t>
  </si>
  <si>
    <t>CRAZY about MUSIC ,Dil se PALTAN, KABADDI fan ,NehEarTt ,Lyf is Beautiful , Die hard fan of Palak Muchhal ,Deepak Hooda ,Narendra Modi ,Nehuuu mam</t>
  </si>
  <si>
    <t>azalée_satsouki</t>
  </si>
  <si>
    <t>浅いことしかつぶやけない泡沫アカウント</t>
  </si>
  <si>
    <t>boorphy</t>
  </si>
  <si>
    <t>Laimani Love</t>
  </si>
  <si>
    <t>Jesus' Bosom</t>
  </si>
  <si>
    <t>Opus Dei</t>
  </si>
  <si>
    <t>Beng Creergalang</t>
  </si>
  <si>
    <t>Funny girl</t>
  </si>
  <si>
    <t>TN Haokip</t>
  </si>
  <si>
    <t>CP24</t>
  </si>
  <si>
    <t>After election win, Abe prioritizes North Korea, aging Japan https://t.co/EqZh8BR3IA https://t.co/FX4DbDrzEv</t>
  </si>
  <si>
    <t>Official account of CP24 - Toronto and the GTA's #1 source for breaking news. Our Twitter account is LIVE 24 hours a day.</t>
  </si>
  <si>
    <t>gaurav tripathi</t>
  </si>
  <si>
    <t>chirag modi</t>
  </si>
  <si>
    <t>Loves Hindi music , Chelsea Football Club , Loyal Modi supporter. Nationalist . loves travelling. BHARAT MATA KI JAI.</t>
  </si>
  <si>
    <t>란코 兰子 蘭子</t>
  </si>
  <si>
    <t>한옥,한국 중국 전통 공예,인테리어chinoiserie, 한국액세서리, 한국음식도 좋아합니다. 수영. 야구, 축구, 럭비, 아메리칸풋볼 관전도좋아요. そして私は韓国人教授某と韓国メディアの嘘に激怒する一日本人。</t>
  </si>
  <si>
    <t>Bishnu Thapa</t>
  </si>
  <si>
    <t>I Still Don't understand Twitter , but here I am</t>
  </si>
  <si>
    <t>Tapan Shah</t>
  </si>
  <si>
    <t>ahmedabad,gujarat,india</t>
  </si>
  <si>
    <t>Human Being , Explorer</t>
  </si>
  <si>
    <t>Saptak Mukherjee</t>
  </si>
  <si>
    <t>Mudit Sharma</t>
  </si>
  <si>
    <t>FreakyVinny</t>
  </si>
  <si>
    <t>Cannibal, Criminal, Fanatic, &amp; Sellout</t>
  </si>
  <si>
    <t>CHANDAN THAKUR 🇮🇳</t>
  </si>
  <si>
    <t>Ex Naukri-Pesha Mazdoor | Social Activist | Writer | Badge of Honour_ Blocked by @ArvindKejriwal @MamataOfficial @DrKumarVishwas @omthanvi @ShirishKunder</t>
  </si>
  <si>
    <t>Prasad B Gangan</t>
  </si>
  <si>
    <t>Cricket crazy, Marketing enthusiast, gadget-king, addictive re-tweeter</t>
  </si>
  <si>
    <t>Dylan of the Dead 🎃</t>
  </si>
  <si>
    <t>RT @TimothyS: "Reform"? More like "evisceration." "Abe to push reform of Japan's pacifist constitution after election win." https://t.co/0z…</t>
  </si>
  <si>
    <t>Just another person on this big blue ball.</t>
  </si>
  <si>
    <t>Rajat Jain</t>
  </si>
  <si>
    <t>Daniel P. Aldrich</t>
  </si>
  <si>
    <t>incredibly low turnout in #Japan snap #election @observingjapan @amycatalinac @SheilaSmithCFR @devintstewart… https://t.co/rnRSwBgG53</t>
  </si>
  <si>
    <t>Professor of comparative public policy: social capital, disaster recovery, environment, energy and resilience</t>
  </si>
  <si>
    <t>Vidyananda</t>
  </si>
  <si>
    <t>Nationalist &amp; Hindu</t>
  </si>
  <si>
    <t>Tell you what...</t>
  </si>
  <si>
    <t>Punjabi Munda</t>
  </si>
  <si>
    <t>winnie nyanchama</t>
  </si>
  <si>
    <t>people are illogical unreasonable &amp;self centered love them anyway if you do good people will accuse you of selfish ulterior motives do good anyway</t>
  </si>
  <si>
    <t>🌴Rudy🍺</t>
  </si>
  <si>
    <t>Japan's Shinzo Abe Conjures Stunning Election Victory in a Boost for Donald Trump - TIME https://t.co/arVLbm2fnB</t>
  </si>
  <si>
    <t>Tampa Palms</t>
  </si>
  <si>
    <t>Beer is good</t>
  </si>
  <si>
    <t>Parth</t>
  </si>
  <si>
    <t>Only RT's and Favs | Random thoughts, not in my words| Gamer| MUFC|Formula one| NaMo</t>
  </si>
  <si>
    <t>micat</t>
  </si>
  <si>
    <t>Mohith Das</t>
  </si>
  <si>
    <t>India Hyderabad</t>
  </si>
  <si>
    <t>Fast Bikes &amp; Car's,Traveller, photography.</t>
  </si>
  <si>
    <t>EASTERN SENTINEL</t>
  </si>
  <si>
    <t>Japan’s Shinzo Abe wins big in national election;PM Modi congratulated him &amp; said “Look forward to further strength… https://t.co/bJaXbfq3GK</t>
  </si>
  <si>
    <t>Itanagar, Arunachal Pradesh</t>
  </si>
  <si>
    <t>Credible, leading English daily published from Itanagar, Arunachal Pradesh.</t>
  </si>
  <si>
    <t>Jacob Elishevitz</t>
  </si>
  <si>
    <t>Women much less likely to join political parties. Why should laws compensate 4 lack of trying/interest? @emmadal1977 https://t.co/4hxzEDGdqp</t>
  </si>
  <si>
    <t>‏‏♡</t>
  </si>
  <si>
    <t>News 27/7</t>
  </si>
  <si>
    <t>[BREAKING NEWS]Japan election vindicates shinzo abe as his party wins big: https://t.co/F4GNxJBGg4 via @YouTube</t>
  </si>
  <si>
    <t>Sandeep Kumar CHAHAR</t>
  </si>
  <si>
    <t>हनुमानगढ़, भारत</t>
  </si>
  <si>
    <t>सरकार और राजनीति भारत सरकार राजनीतिक पार्टियों खाना, फैशन और लाइफस्टाइल लेखकों और किताबें</t>
  </si>
  <si>
    <t>Usha</t>
  </si>
  <si>
    <t>kamal fulara</t>
  </si>
  <si>
    <t>saket,गौ लोक से</t>
  </si>
  <si>
    <t>think always positive</t>
  </si>
  <si>
    <t>Frans de Quillettes</t>
  </si>
  <si>
    <t>Japan's Shinzo Abe Conjures Stunning Election Victory in a Boost for Donald Trump - TIME https://t.co/3A2wMvAzun</t>
  </si>
  <si>
    <t>California.</t>
  </si>
  <si>
    <t>Following me &amp; get The latest News , Sport, Stock Market updates Rumors and Analysts!''</t>
  </si>
  <si>
    <t>doesn't always roar. Some times courage is little voice at the end of day that say I'll again tomorrow</t>
  </si>
  <si>
    <t>राष्ट्र चेतना</t>
  </si>
  <si>
    <t>DELHI  INDIA</t>
  </si>
  <si>
    <t>Om Namah Shivay Soft skill and behaviour Trainer, NaMo fan , Nationalist views, religious n independent thinker RTs are not endorsement</t>
  </si>
  <si>
    <t>Aman Bansal</t>
  </si>
  <si>
    <t>Member youth parliamentry debates associations , Law student , RSS member,</t>
  </si>
  <si>
    <t>RAKESH KUSHWAH (BJP)</t>
  </si>
  <si>
    <t>🇮🇳🇮🇳Member of IT social media website management department amaraiwadi waurd karnavati mahanager (BJP)जय श्री राम 🇮🇳🇮🇳</t>
  </si>
  <si>
    <t>Japan election results: Shinzo Abe scores major victory for ruling coalition and pl #WorldNews https://t.co/5oWdJ0NQwK</t>
  </si>
  <si>
    <t>Emmah Ong'uti</t>
  </si>
  <si>
    <t>What you see is what you get...true story</t>
  </si>
  <si>
    <t>Aniket Sonker</t>
  </si>
  <si>
    <t>akanePeace＆Love</t>
  </si>
  <si>
    <t>RT @gamayauber01: Japanese have spoken. Apparently they choose war. Not what I would have chosen. Peace is better but far from easy. http…</t>
  </si>
  <si>
    <t>NoNukes 原発全廃＃脱原発に1票</t>
  </si>
  <si>
    <t>The Local Group Milky Way Systema Solare Earth どんなに辛い事も過ぎた事も起こってしまった事も受け止めなければ前には進めない。過去に縛りつけられ素敵な出来事やチャンスを逃すのは勿体ない! 凛として空を見上げて生きて行く♡</t>
  </si>
  <si>
    <t>Ashish Sharma</t>
  </si>
  <si>
    <t>Loharu, India</t>
  </si>
  <si>
    <t>Sports Sports</t>
  </si>
  <si>
    <t>TorontoNews</t>
  </si>
  <si>
    <t>After election win, Abe prioritizes North Korea, aging Japan https://t.co/eJddatZJYm https://t.co/mpciBm1yYB</t>
  </si>
  <si>
    <t>aayush sharma</t>
  </si>
  <si>
    <t>आस्तिक &amp; Sarcastic</t>
  </si>
  <si>
    <t>Narendra K Varma</t>
  </si>
  <si>
    <t>यतो धर्मस्ततो जयः Advocate ,High Court Allahabad.RT not endorsement.Tweets are personal views.</t>
  </si>
  <si>
    <t>NigeriaServe</t>
  </si>
  <si>
    <t>Japan’s Abe to push pacifist constitution reform after strong election win https://t.co/sovoSSl7E7 https://t.co/P0GLvhnWv5</t>
  </si>
  <si>
    <t>Serving Nigeria</t>
  </si>
  <si>
    <t>National Witness</t>
  </si>
  <si>
    <t>Japan’s Abe to push pacifist constitution reform after strong election win https://t.co/CpdLDgnk6e https://t.co/px5Kl64ZOJ</t>
  </si>
  <si>
    <t>Current Affairs</t>
  </si>
  <si>
    <t>#ProtectWithPen RB</t>
  </si>
  <si>
    <t>Nationalist 1st | जय हिंद |</t>
  </si>
  <si>
    <t>ワン</t>
  </si>
  <si>
    <t>Woody</t>
  </si>
  <si>
    <t>#NEWS Re-Elected Japanese PM Plans Big Change to Military: Japan's Prime Minister Shinzo… https://t.co/5X5P9JY6y4</t>
  </si>
  <si>
    <t>Va Beach, Virginia</t>
  </si>
  <si>
    <t>Love my Family, my Harley, beaches and music! You can never be old and wise if you were never young and crazy! Media tweets not necessarily my opinion.</t>
  </si>
  <si>
    <t>Srinivas Potharaju</t>
  </si>
  <si>
    <t>Anurag Mehta</t>
  </si>
  <si>
    <t>Fadhili Rimba</t>
  </si>
  <si>
    <t>Kilifi, Kenya</t>
  </si>
  <si>
    <t>satbir chopra</t>
  </si>
  <si>
    <t>sydney australia</t>
  </si>
  <si>
    <t>मेरी पहचान-भारत,भारतीय और भारतीयता ! कट्टरमोदीभक्त हूँ</t>
  </si>
  <si>
    <t>THE WORLD NOW</t>
  </si>
  <si>
    <t>Abe to push reform of Japan's pacifist constitution after election win https://t.co/tLJ7pZeQGE via Yahoo!</t>
  </si>
  <si>
    <t>Latest news &amp; headlines around the world from different news &amp; media organizations.</t>
  </si>
  <si>
    <t>花子</t>
  </si>
  <si>
    <t xml:space="preserve">japan </t>
  </si>
  <si>
    <t>はじめまして。花や動物や､子供､海山自然が大好きです。 宜しくお願いします。トランプ大統領が好きです。エロ垢はお断りします！長い闘病生活を強いられましたが、何とか復帰しました。ストレートです。</t>
  </si>
  <si>
    <t>Manish P</t>
  </si>
  <si>
    <t>What lies behind us &amp; what lies before us are tiny matters compared to what lies within us.</t>
  </si>
  <si>
    <t>Japan’s Abe to push pacifist constitution reform after strong election win https://t.co/VSxoFHYIIH https://t.co/jcjcVgJQxD</t>
  </si>
  <si>
    <t>Nick Rahovitis</t>
  </si>
  <si>
    <t>BBC News - Nikkei hits new highs after Japan election https://t.co/EQSr6oHc2Z</t>
  </si>
  <si>
    <t>Southampton, England</t>
  </si>
  <si>
    <t>Freelancer</t>
  </si>
  <si>
    <t>Vibin Nair</t>
  </si>
  <si>
    <t>Sareesh</t>
  </si>
  <si>
    <t>Marching inch-by-inch towards the GOAL.</t>
  </si>
  <si>
    <t>Kapil Singh Pawar</t>
  </si>
  <si>
    <t>Bangalore India</t>
  </si>
  <si>
    <t>paoloi marongiu</t>
  </si>
  <si>
    <t>What now for Japan after Abe's landslide election victory? https://t.co/ZsxDNAC01i</t>
  </si>
  <si>
    <t>gruppo di amici si viaggia insieme in libertà e rispetto nel tempo condiviso. il senso della bellezza ci fa più felici ogni opinione ben accetta</t>
  </si>
  <si>
    <t>The Winners and Losers of Japan's Landslide Election https://t.co/jXcNwYsh5w via @bllshbrsh</t>
  </si>
  <si>
    <t>Gk</t>
  </si>
  <si>
    <t>Surat</t>
  </si>
  <si>
    <t>Discussion is my hobby, Implementation is my work.Simple man..Simple thought..I do not want a endless list of followers..just a group of nice people</t>
  </si>
  <si>
    <t>Vikram</t>
  </si>
  <si>
    <t>Himanshu Arora</t>
  </si>
  <si>
    <t>Padmarajuchalamachar</t>
  </si>
  <si>
    <t>Phil Resch</t>
  </si>
  <si>
    <t>Japan’s Abe Cements Hold on Power With Election Win https://t.co/hoHA61a6lK #neoliberalism</t>
  </si>
  <si>
    <t>ElectronicSheepForInsomniacs</t>
  </si>
  <si>
    <t>San Francisco, CA</t>
  </si>
  <si>
    <t>The Rosen Association</t>
  </si>
  <si>
    <t>DemocraticParty</t>
  </si>
  <si>
    <t>Outsider party looks to upstage Japan's Abe https://t.co/OInVn6fAIh https://t.co/5SSRiHc6oi</t>
  </si>
  <si>
    <t>Nueva York, USA</t>
  </si>
  <si>
    <t>News about Hillary Clinton: Grandmother, Mom, Wife, Daughter, Senator, Secretary of State, First Lady, and Presidential Candidate (Unofficial)</t>
  </si>
  <si>
    <t>Aniruddha Kulkarni</t>
  </si>
  <si>
    <t>Sangli</t>
  </si>
  <si>
    <t>Balance thinking positive attitude , retweet does not mean agreement</t>
  </si>
  <si>
    <t>Ajay Kumar Sharma</t>
  </si>
  <si>
    <t>Hindustan Jindabad</t>
  </si>
  <si>
    <t>Priyanka Thombre</t>
  </si>
  <si>
    <t>Smile, Serve &amp; Meditate.</t>
  </si>
  <si>
    <t>Newslocker Nebraska</t>
  </si>
  <si>
    <t>After election win, Abe prioritizes North Korea, aging Japan #Nebraska https://t.co/ecw56m58mW</t>
  </si>
  <si>
    <t>Find your latest news about Nebraska with just one click. Don't miss out on anything happening in your region!</t>
  </si>
  <si>
    <t>Ashish Vashist</t>
  </si>
  <si>
    <t>Delhi,India</t>
  </si>
  <si>
    <t>Assitant Vice President-Human Resources @V_Konnect Hindu Nationalist,Recruiter, Hotelier,Administrator and Traveler. मानवता हिंदी हिन्दू हिंदुस्तान I</t>
  </si>
  <si>
    <t>lyndalyndalynda</t>
  </si>
  <si>
    <t>Japan Ranks Low in Female Lawmakers. An Election Won’t Change That. via @NYTimes https://t.co/75cd7qEFHl</t>
  </si>
  <si>
    <t>Sharing interesting stories, delicious meal, beautiful design and stories, from Tokyo.</t>
  </si>
  <si>
    <t>Haneef Ali Bjp</t>
  </si>
  <si>
    <t>Senior BJP Leader</t>
  </si>
  <si>
    <t>Vijendera</t>
  </si>
  <si>
    <t>durgesh</t>
  </si>
  <si>
    <t>Satyam Param Dhimahi</t>
  </si>
  <si>
    <t>Dharmaprakash</t>
  </si>
  <si>
    <t>pragmatic!!!</t>
  </si>
  <si>
    <t>RT @socialmedia4bjp: RT narendramodi: Heartiest greetings to my dear friend AbeShinzo on his big election win. Look forward to further stre…</t>
  </si>
  <si>
    <t>Japan Election Vindicates Shinzo Abe as His Party Wins Big via @NYTimes https://t.co/1neyjC3BIm</t>
  </si>
  <si>
    <t>Mrinal Kant</t>
  </si>
  <si>
    <t>stockmarketnow</t>
  </si>
  <si>
    <t>Asia Markets: Japan’s Nikkei rises for a 15th straight session after Abe’s election win https://t.co/8e8gdVgtA9</t>
  </si>
  <si>
    <t>stock market live news stream</t>
  </si>
  <si>
    <t>Asia Markets: Japan’s Nikkei rises for a 15th straight session after Abe’s election win https://t.co/7M9KEO6Keb</t>
  </si>
  <si>
    <t>varun sharma</t>
  </si>
  <si>
    <t>Bharat Mata ki jai, Jai Hind.</t>
  </si>
  <si>
    <t>Shailendrsinh Jadeja</t>
  </si>
  <si>
    <t>● General Secretary - Kutch District B.J.P ● Executive Chairman - Bhuj Municipality ● Members of Jail Committee Kutch ● Mission 272 + Vijay Sankalp Yatra ●</t>
  </si>
  <si>
    <t>Day Trading Academy</t>
  </si>
  <si>
    <t>PM Shinzo Abe,helped by a huge election win for lawmakers pushing to revise Japan’s post-war, pacifist constitution https://t.co/GhV659aEZD</t>
  </si>
  <si>
    <t>Official tweets of The Day Trading Academy. Where traders find success, wealth, or freedom through #investing and #trading. Let's Create Your Lifestyle.</t>
  </si>
  <si>
    <t>StoriesFlow.com</t>
  </si>
  <si>
    <t>(CNN) #Japan election landslide; #Chaos in Catalonia; European populism : Here's what you need to know about.. https://t.co/mytfspvhuI</t>
  </si>
  <si>
    <t>StoriesFlow to Twitter</t>
  </si>
  <si>
    <t>https://t.co/M3K6zKhn8Y is a news aggregator, it gathers news from different sources, and continuously monitor breaking news from multiple news websites.</t>
  </si>
  <si>
    <t>gautam singh</t>
  </si>
  <si>
    <t>PROUD TO BE AN INDIAN...the things which gives you both happiness and sadness is one and only #LOVE</t>
  </si>
  <si>
    <t>Brian Frydenborg</t>
  </si>
  <si>
    <t>Amman, Jordan</t>
  </si>
  <si>
    <t>My niche is the intersection of policy/politics/conflict/history; freelance writer/journalist/consultant; context matters, assertions w/out data=noise, RT≠?</t>
  </si>
  <si>
    <t>Prem Prakash Pandey</t>
  </si>
  <si>
    <t>Heartiest congratulations @AbeShinzo on his big election win. Look forward to further strengthen India-Japan relations.</t>
  </si>
  <si>
    <t>Bhilai, India</t>
  </si>
  <si>
    <t>Official Page of Shri Prem Prakash Pandey, Cabinet Minister in the Government of Chhattisgarh, state of India.</t>
  </si>
  <si>
    <t>skewedbrain</t>
  </si>
  <si>
    <t>anand sharma</t>
  </si>
  <si>
    <t>प्रदेश कार्यसमिति सदस्य भारतीय जनता पार्टी आई टी एवं सोशल मीडिया विभाग मध्य प्रदेश @BJP4MP , advocate at bhopal district court &amp; social worker</t>
  </si>
  <si>
    <t>Bryan David Kellsey</t>
  </si>
  <si>
    <t>Manchester, Connecticut</t>
  </si>
  <si>
    <t>I'm a union laborer who is extremely focused on the betterment of humanity and our collective advancement towards space and the unknown</t>
  </si>
  <si>
    <t>Parag Bhagat</t>
  </si>
  <si>
    <t>Business man, Spiritual Healer, Strong Believer in Human Values. Faith in Guruji and his Preachings and way of Life ( SANATAN DHARMA )</t>
  </si>
  <si>
    <t>Jh203</t>
  </si>
  <si>
    <t>Sougata bhattacharya</t>
  </si>
  <si>
    <t>Durgapur, India</t>
  </si>
  <si>
    <t>After election win, Abe prioritizes North Korea, aging Japan: Fresh off a decisive election… https://t.co/htivKa4uMA</t>
  </si>
  <si>
    <t>Vikas Parihar</t>
  </si>
  <si>
    <t>Proud Indian. Hindu Nationalist. Entrepreneur. Dreamer. Engineer. A lazy Tweeter. Views are personal. RTs are not necessarily endorsements.</t>
  </si>
  <si>
    <t>waldia</t>
  </si>
  <si>
    <t>Suresh T</t>
  </si>
  <si>
    <t>It is after all the greatest art to limit and isolate oneselfGoethe 🧐followed by @vpsecretariat_ @piyushgoyaloffc @richardlionhea @mydowntowngalv @michaeljohns</t>
  </si>
  <si>
    <t>sakwaceddy</t>
  </si>
  <si>
    <t>Srikanth Sale</t>
  </si>
  <si>
    <t>Alind ॐ Billore</t>
  </si>
  <si>
    <t>Engineer, #Java #Hadoop #DataScience , Photographer, Poet, #Sanskrit, #NaMo supporter. #JaiShriRam @BJP4India #BJP, #RSS, RT ≠ endorsement</t>
  </si>
  <si>
    <t>shella宇佐空艦爆隊</t>
  </si>
  <si>
    <t>江戸</t>
  </si>
  <si>
    <t>「いくら言葉を重ねてみても人の心の奥までは語り尽くせねぇもんだ。そいつを口に出しちゃぁ、あじない、あじない」 写真の転載はご遠慮ください。</t>
  </si>
  <si>
    <t>EugeneVDebs</t>
  </si>
  <si>
    <t>Abe to push reform of Japan's pacifist constitution after ruling bloc election win https://t.co/Jt6cB3NS1P</t>
  </si>
  <si>
    <t>When I rise, it will be with the ranks, not from the ranks. Progressive. #ConnectTheLeft</t>
  </si>
  <si>
    <t>M@K P@!€L</t>
  </si>
  <si>
    <t>MY LIFE MY RULES</t>
  </si>
  <si>
    <t>Selvam</t>
  </si>
  <si>
    <t>There is no religion greater than truth and a truthful person knows no fear - The Rig Veda</t>
  </si>
  <si>
    <t>narender sharma</t>
  </si>
  <si>
    <t>Vande matram !!</t>
  </si>
  <si>
    <t>Operations Manager by profession !Nationalist #modi admirer #Likes to write on cricket, Tennis, movies, politics. Simple human being and friendly .</t>
  </si>
  <si>
    <t>AT</t>
  </si>
  <si>
    <t>Squid-in-the-Game</t>
  </si>
  <si>
    <t>RT @DanielPAldrich: incredibly low turnout in #Japan snap #election @observingjapan @amycatalinac @SheilaSmithCFR @devintstewart https://t.…</t>
  </si>
  <si>
    <t>Veekram Yaadav</t>
  </si>
  <si>
    <t>delhi india</t>
  </si>
  <si>
    <t>spontaneous</t>
  </si>
  <si>
    <t>シーライオン6</t>
  </si>
  <si>
    <t>GＳＤF33 勤務 現在いたって健康</t>
  </si>
  <si>
    <t>chirag desai</t>
  </si>
  <si>
    <t>Navsari, Gujarat</t>
  </si>
  <si>
    <t>Strategic Planner Business Developer: Excellent Communicator BE Visible ☀Imaginative + Creative</t>
  </si>
  <si>
    <t>Lai  Dai Han Help!</t>
  </si>
  <si>
    <t>チベット</t>
  </si>
  <si>
    <t>ライダイハン問題の追及こそ正義！国連や各国大使館のツイッターに要請を！これを避けるのは、似非リベラルに似非保守、似非人権派の反日二重基準勢力確定。真実を真実として。反日勢力は両国民同士を仲違いさせて金儲けする勢力！だまされないでくれ！挨拶なしですいません。Lai Dai Han</t>
  </si>
  <si>
    <t>Anand Shanker</t>
  </si>
  <si>
    <t>इंडिया फर्स्ट</t>
  </si>
  <si>
    <t>tori_fue</t>
  </si>
  <si>
    <t>共産主義者、左翼たちの理屈で、精神の自由、何より皇室と日本国民と領土を奪われてはならない。理屈に騙され国防を怠ってはならない。道徳、良心や良識、愛国心を育む教育を奪われてはならない。日々敵は日本を研究し、潰そうと必死だ。偽善者達の理屈には騙されない！！</t>
  </si>
  <si>
    <t>Akky</t>
  </si>
  <si>
    <t>searching</t>
  </si>
  <si>
    <t>Hindu. Banker. Equity Investor. Interested in policy and politics</t>
  </si>
  <si>
    <t>Amit Upadhyay</t>
  </si>
  <si>
    <t>Blue Honey</t>
  </si>
  <si>
    <t>Silicon Valley, CA</t>
  </si>
  <si>
    <t>Pro dogs, fun, politics, words, calligraphy, ¯\_(ツ)_/¯, art, technology &amp; knowledge nullifidian. We can do better. Up lift Humans.</t>
  </si>
  <si>
    <t>ramu konare7</t>
  </si>
  <si>
    <t>Proud follower of @srisamstana #followerofNarendraModiji</t>
  </si>
  <si>
    <t>木村高宏</t>
  </si>
  <si>
    <t>Kanazawa, ISHIKAWA, Japan</t>
  </si>
  <si>
    <t>金沢で研究職に就いています</t>
  </si>
  <si>
    <t>Akhilesh Joshi</t>
  </si>
  <si>
    <t>Panvel</t>
  </si>
  <si>
    <t>Akash Rahatal</t>
  </si>
  <si>
    <t>Namo Bhakt❤#DigitalIndia #MakeInIndia #CleanIndia #SwatchaBharathAbhiyan All time Supporter Of @Narendramodi ji @Piyushgoyal ji @PiyushGoyaloffc @Shivsena</t>
  </si>
  <si>
    <t>Lance Eaton</t>
  </si>
  <si>
    <t>the latest from @PacificStand: Viewfinder: A General Election in Japan https://t.co/SsfGCHnicp</t>
  </si>
  <si>
    <t>Watertown, MA</t>
  </si>
  <si>
    <t>Writer, Educator, Edu-Designer, Runner, Reader, Audiobook &amp; Comics fan, Vegetarian, Optimist..and a Phd Student...oh my! https://t.co/USejktMNfg</t>
  </si>
  <si>
    <t>UK NewsWaver</t>
  </si>
  <si>
    <t>Abe poised for landslide win in Japan snap election https://t.co/75UaLdmr7E</t>
  </si>
  <si>
    <t>U.K.</t>
  </si>
  <si>
    <t>UK news / 5 tweets per hour / Opinion exchanges</t>
  </si>
  <si>
    <t>carocarocjdl</t>
  </si>
  <si>
    <t>Maryland, USA</t>
  </si>
  <si>
    <t>Ajith Raja</t>
  </si>
  <si>
    <t>John Obungu</t>
  </si>
  <si>
    <t>Managing Director: Imigan Ventures Ltd</t>
  </si>
  <si>
    <t>anho</t>
  </si>
  <si>
    <t>VentureCanvas</t>
  </si>
  <si>
    <t>Japan election pushes Nikkei 225 to record 15th consecutive gain | #VentureCanvas - https://t.co/5XDSqDhzuf</t>
  </si>
  <si>
    <t>Wordpress VC</t>
  </si>
  <si>
    <t>Netherlands</t>
  </si>
  <si>
    <t>News, Insights and Knowhow on: Ventures | Start-ups | IPO's | MVP | Lean Startup | Growth | Sales | Technology | Entrepreneurship | Marketing</t>
  </si>
  <si>
    <t>Venkatesh</t>
  </si>
  <si>
    <t>A simple patriotic man..(No media to hype me) love my family and son. Believes in 1st being a good son, a good husband, a good father and then everything else</t>
  </si>
  <si>
    <t>iVote🗳</t>
  </si>
  <si>
    <t>Making #OnlineVoting a Reality | Using Your Devices for #Voting | Eliminating #VotersFraud | Time To Make Your #Vote Count. Leveraging #CivicTech for our sake</t>
  </si>
  <si>
    <t>ShiraKadir</t>
  </si>
  <si>
    <t>Don’t criticize what you don’t understand.</t>
  </si>
  <si>
    <t>William Salvo</t>
  </si>
  <si>
    <t>RT @Donald_from_HI: Prime Minister Shinzo Abe's LDP coalition scores a decisive and overwhelming victory in Japan's national election. http…</t>
  </si>
  <si>
    <t>Army Vet, #PTSD, #FreePalestine, #MST, respect journalism as a discipline not an authority, Independent.</t>
  </si>
  <si>
    <t>harshvardhan singh</t>
  </si>
  <si>
    <t>Dehri on Son, India</t>
  </si>
  <si>
    <t>Advocate, Bihari, have a soft corner for Rashtriya Swayamsewak Sangh, भोजपुरी प्रेमी, Love Urdu, Die Hard Fan of Nusrat Fateh Ali Khan, Hard Core Dog Lover</t>
  </si>
  <si>
    <t>RT @EugeneVDebs3: Abe to push reform of Japan's pacifist constitution after ruling bloc election win https://t.co/Jt6cB3NS1P</t>
  </si>
  <si>
    <t>Invisible Now 🙏</t>
  </si>
  <si>
    <t>I'm a GIVER for a reason [O Positive]. Feeling Blessed to have a Sis like @raval_shreya 💝 Snapchat- hatetosnapp</t>
  </si>
  <si>
    <t>Pavann dev</t>
  </si>
  <si>
    <t xml:space="preserve">Hassan </t>
  </si>
  <si>
    <t>Sports Indian Athletes Cricketers and Commentators Sports News, TV and Scores Music TV Entertainment Channels Food Hindi Music Fashion Entertainment Lifestyle</t>
  </si>
  <si>
    <t>JAGENDRA SINGH</t>
  </si>
  <si>
    <t>#Nation first #Teacher by profession Nothing is impossible in the world.</t>
  </si>
  <si>
    <t>Vaibhav Sheth</t>
  </si>
  <si>
    <t>Real Estate Broker. Co-Convener, Social Media Cell, Ellsibridge Vidhansabha. @bjp4india Karyakarta.</t>
  </si>
  <si>
    <t>Dr KaushaL PateL</t>
  </si>
  <si>
    <t>Valsad, India</t>
  </si>
  <si>
    <t>Nation First, Obstetrician and Gynaecologist, Pro - iPhone</t>
  </si>
  <si>
    <t>K.RAGAVAN..</t>
  </si>
  <si>
    <t>What now for Japan after Abe's landslide election victory? https://t.co/PZVUbLWbIk</t>
  </si>
  <si>
    <t>Retired in October 2009, from UAE,Settled in Bangalore ,India.Passion is writing.Blogs http://t.co/7P3UmaoO http://t.co/IwOMY5EE</t>
  </si>
  <si>
    <t>Hindu Nationalist / Proud Indian RTs are not endorsed.</t>
  </si>
  <si>
    <t>Rajat kaushik</t>
  </si>
  <si>
    <t>kitokunohito</t>
  </si>
  <si>
    <t xml:space="preserve"> feather for iOS  </t>
  </si>
  <si>
    <t>ネコウヨになりますた。RT中心ですが、たま～につぶやきます。</t>
  </si>
  <si>
    <t>@Amit</t>
  </si>
  <si>
    <t>Brands Brands Business &amp; CEOs CEOs Government and Politics Government &amp; Public Utilities Sports News</t>
  </si>
  <si>
    <t>Trader Dave</t>
  </si>
  <si>
    <t>Japan's leader just won a resounding election victory, but he's still unpopular https://t.co/nEVCCZ6LQb</t>
  </si>
  <si>
    <t>Writer,Dr.,Lawyer,Architect,Equities day trader,Race car driver, Actor,Philanthropist,Astronaut,Time traveler,Bull shit artist,The last one is a lie,Trust Me.</t>
  </si>
  <si>
    <t>Rajiv Sur</t>
  </si>
  <si>
    <t>BJP Karya karta. Fan of Modi. Civil Engineer from IIT BHU. Nationalist . Bharat Mata ki Jai. Retweets are not endorsements</t>
  </si>
  <si>
    <t>Jonathan Knight</t>
  </si>
  <si>
    <t>Japan: Abe Wins Mandate With Strong Election Win https://t.co/wiqOmd6H0C</t>
  </si>
  <si>
    <t>BBM Baby</t>
  </si>
  <si>
    <t>we're all in this together....alone (´;︵;`)</t>
  </si>
  <si>
    <t>Om Gupta</t>
  </si>
  <si>
    <t>Duncan Adeli</t>
  </si>
  <si>
    <t>A loving Kenyan, IT Specialist, Trainer, A mentor</t>
  </si>
  <si>
    <t>Héctor Otero</t>
  </si>
  <si>
    <t>RT @javierespinosa2: #Abe's coalition regains two-thirds majority- #Japan https://t.co/dtaOo29mhg</t>
  </si>
  <si>
    <t>No estou aqui, non estou....</t>
  </si>
  <si>
    <t>Conta PERSOAL. Politólogo / Master en Xestión da Cooperación Internacional e ONG´s.</t>
  </si>
  <si>
    <t>Efrain</t>
  </si>
  <si>
    <t xml:space="preserve">South side one direction </t>
  </si>
  <si>
    <t>god said let there be light on the day I was born Kobe’s the GOAT, Sith Lord</t>
  </si>
  <si>
    <t>Devineni.S.Rao</t>
  </si>
  <si>
    <t>Doha, Qatar</t>
  </si>
  <si>
    <t>JOSTARCHANNELTV</t>
  </si>
  <si>
    <t>https://t.co/Js6bypiWya 2 【 #DonaldTrump election】 I talked about the disadvantages of Japan and the future #トランプ #トランプ当 #EDM #EDMlife</t>
  </si>
  <si>
    <t>JOSTARCHANNEL TV YouTubeチャンネル 紹介</t>
  </si>
  <si>
    <t>Ramesh RamaRao</t>
  </si>
  <si>
    <t>Samethanahalli</t>
  </si>
  <si>
    <t>AMIT RANA</t>
  </si>
  <si>
    <t>Kayo Mimizuka</t>
  </si>
  <si>
    <t>RT @jcejinfo: #JCEJ and journalists collaborated in verification project to monitor disinformation surrounding Japan election : https://t.…</t>
  </si>
  <si>
    <t>ライター&amp;翻訳家。元通信社記者。日本ジャーナリスト教育センター(JCEJ)。長野県安曇野市→京都→ロンドン→島根県松江市→東京→長野県上伊那郡. Loves to travel. Cat fan. Languages are my passion:) https://t.co/1ZTnEPzSIa</t>
  </si>
  <si>
    <t>#world #news Japan's Abe to push pacifist constitution reform after strong… https://t.co/8Cv6OupK7t @hyperrts… https://t.co/dMIT3S80uu</t>
  </si>
  <si>
    <t>Helen Colquhoun</t>
  </si>
  <si>
    <t>AWARD WINNING Social Media Specialist &amp; Trainer. helping small businesses be seen online and conquer social media. Founder of #sunderlandhour</t>
  </si>
  <si>
    <t>RT @twistools_en: Japan's Nikkei rises for a 15th straight session after Abe's election win - MarketWatch https://t.co/T4jLEcKDuP https://t…</t>
  </si>
  <si>
    <t>Japan's leader just won a resounding election victory, but he's still unpopular https://t.co/DfIhaCySv8</t>
  </si>
  <si>
    <t>Vladimir Budejicky</t>
  </si>
  <si>
    <t>Japan election pushes Nikkei 225 to record 15th consecutive gain | #VentureCanvas - https://t.co/Rgpo6Uev4G</t>
  </si>
  <si>
    <t>The go-to place for news on business, technology, entrepreneurship, finance, startups, marketing, sales, venture capital, economy and a little politics | Foody</t>
  </si>
  <si>
    <t>Raj Vardhan Roushan</t>
  </si>
  <si>
    <t>fan of @wwerollins , a #Belieber and Most Importantly #ProudtobeanIndian</t>
  </si>
  <si>
    <t>Dr. Alapati Srinivas</t>
  </si>
  <si>
    <t>Kakinada,Andhra Pradesh, India</t>
  </si>
  <si>
    <t>Dr. Srinivas Alapati.Advocate.Faculty of Law,JNT University,Kakinada. Doctorate in Constitutional Law&amp; Administrative Law #MA, MJMC, MBA, LL.M, Ph.D&amp; Cyber Laws</t>
  </si>
  <si>
    <t>André Ferreira</t>
  </si>
  <si>
    <t>38° 41′ 0″ N, 9° 25′ 0″ W</t>
  </si>
  <si>
    <t>Takes on Foreign Affairs, Political Science and Sports mostly. ⚽ 🎾 📰 Retweets ≠ Endorsement. Views are my own.</t>
  </si>
  <si>
    <t>Rushabh Limabachiya</t>
  </si>
  <si>
    <t xml:space="preserve">himatnagar gujarat  </t>
  </si>
  <si>
    <t>lLOVE INDIAN ARMY ⛳नमस्ते सदा वत्सले मातृभूमे त्वया हिंदुभूमे सुखं वर्धितोहम ⛳ હુ અને મારા વિચારો ૠષભ</t>
  </si>
  <si>
    <t>DR.PRAVESH MISHRA</t>
  </si>
  <si>
    <t>Jagdalpur, Chhattisgarh</t>
  </si>
  <si>
    <t>doctor by profession</t>
  </si>
  <si>
    <t>yoshiyuki sasaki</t>
  </si>
  <si>
    <t>RT @Shunnsasaki: Japanese people may not want them... Japan Ranks Low in Female Lawmakers. An Election Won’t Change That. https://t.co/xo…</t>
  </si>
  <si>
    <t>Rajat Lal</t>
  </si>
  <si>
    <t>Poetry, Places, Culture, History, Sports, Technology, Outsourcing, Finance</t>
  </si>
  <si>
    <t>Ramesh C.Sharma</t>
  </si>
  <si>
    <t xml:space="preserve"> Ghaziabad U.P. India</t>
  </si>
  <si>
    <t>Retired Chief Medical Officer. I'm an nationalist.When I say “Jai Hind” or “Vande Mataram” I am not being patriotic. I am worshipping at the feet of my Mother.</t>
  </si>
  <si>
    <t>C Clear world</t>
  </si>
  <si>
    <t>JAPAN POLITICS: Shinzo Abe to Push Pacifist Constitution Reform After Strong Election Win https://t.co/jjQbv6oUzE</t>
  </si>
  <si>
    <t>C https://t.co/74mVmbJRJF is a multi-platform publisher of news and information.</t>
  </si>
  <si>
    <t>Daily Express</t>
  </si>
  <si>
    <t>WATCH OUT KIM: Japan election win gives Abe mandate to get tough on North Korea https://t.co/z8dRXmxZx2 https://t.co/TA7Qf6KS9h</t>
  </si>
  <si>
    <t>http://t.co/xNo7rgb8JJ - Home of the Daily and Sunday Express</t>
  </si>
  <si>
    <t>Rhymes Intellectual</t>
  </si>
  <si>
    <t>Mombasa,  Kenya</t>
  </si>
  <si>
    <t>| #KenyaUndegroundHipHoppersForRaila | #MotivationRoom | #thevoiceofHIV |</t>
  </si>
  <si>
    <t>ASHOK SINGH</t>
  </si>
  <si>
    <t>Manchester, NH</t>
  </si>
  <si>
    <t>A proud Hindu (Sanatani).Against totalitarian beliefs #Noconversion,it destroys indigenous civilization.#GiveUpAMeal RT not endorsement.MF stands 4 my friend😁</t>
  </si>
  <si>
    <t>Michael Michelno</t>
  </si>
  <si>
    <t>RT @Daily_Express: WATCH OUT KIM: Japan election win gives Abe mandate to get tough on North Korea https://t.co/z8dRXmxZx2 https://t.co/TA7…</t>
  </si>
  <si>
    <t>Rishabh sharma</t>
  </si>
  <si>
    <t>nkapapa kisipan</t>
  </si>
  <si>
    <t>Peña</t>
  </si>
  <si>
    <t>Guaynabo, Puerto Rico</t>
  </si>
  <si>
    <t>Future Stock Broker 📈</t>
  </si>
  <si>
    <t>CANDY</t>
  </si>
  <si>
    <t>RT @CNN: Debt, old age, stagnation -- Japan's economy is facing these huge challenges https://t.co/6LeuT5IHnj https://t.co/9LtGy7Nk8X</t>
  </si>
  <si>
    <t>Taiwan</t>
  </si>
  <si>
    <t>Sunshiner 唯少時 #Taiwansone ♥Dandyu 2ny...all sun</t>
  </si>
  <si>
    <t>eiwa</t>
  </si>
  <si>
    <t>無断フォローお許しください 悪さはしません('◇')ゞ</t>
  </si>
  <si>
    <t>I'm a Indian</t>
  </si>
  <si>
    <t>Fan of @tajinderbagga ji.. Follow @tajinderbagga</t>
  </si>
  <si>
    <t>patrick o'rourke</t>
  </si>
  <si>
    <t>Japan's Shinzo Abe scores major victory in national elections https://t.co/TfKBmqmDsg</t>
  </si>
  <si>
    <t>Ashford, New South Wales</t>
  </si>
  <si>
    <t>dyed in the wool supporter of policies ethics morals of alp, detest abbott and lnp,have very warped sense of the ridiculous</t>
  </si>
  <si>
    <t>Kishor Kadam</t>
  </si>
  <si>
    <t>squidley andrew</t>
  </si>
  <si>
    <t>London.</t>
  </si>
  <si>
    <t>OT Kev</t>
  </si>
  <si>
    <t>+254</t>
  </si>
  <si>
    <t>Everyone is a genius. But if you judge a fish by its ability to climb a tree, it will live its whole life believing that it is stupid.'</t>
  </si>
  <si>
    <t>Suraj Chauhan</t>
  </si>
  <si>
    <t>उपाध्यक्ष, दिल्ली भाजपा, किसान मोर्चा Tweets are personal</t>
  </si>
  <si>
    <t>Vikram Kumawat 🇮🇳</t>
  </si>
  <si>
    <t>Sekhawati Jhunjhunu, Rajasthan</t>
  </si>
  <si>
    <t>Vice Prcident:- SFI, R R Morarka PG College Jhunjhunu JOIN :~ SFI 🎓 Graduated Student Leader OF INDIA biggest Party #SFI + Support #BJP</t>
  </si>
  <si>
    <t>Tania Shah</t>
  </si>
  <si>
    <t>Japan's Abe to push pacifist constitution reform after strong election win https://t.co/whpTJTAVxy</t>
  </si>
  <si>
    <t>#dating Online Dating #girls Online Girls More Online #Dating Free Online #dating Services</t>
  </si>
  <si>
    <t>sravan kumar</t>
  </si>
  <si>
    <t>Lead Engineer,Sr @Qualcomm Ind Pvt Ltd.</t>
  </si>
  <si>
    <t>Yulia Yo 尤</t>
  </si>
  <si>
    <t>Taipei TAIWAN</t>
  </si>
  <si>
    <t>Keep Calm and Carry On 歲月靜好 溫和從容</t>
  </si>
  <si>
    <t>Vidyadhar Ginde</t>
  </si>
  <si>
    <t>sayuri</t>
  </si>
  <si>
    <t>Kuwait</t>
  </si>
  <si>
    <t>Love</t>
  </si>
  <si>
    <t>KRISHNA KUMAR SINGH</t>
  </si>
  <si>
    <t>समाज सेवक,</t>
  </si>
  <si>
    <t>Reuters U.S. News</t>
  </si>
  <si>
    <t>Japan's Abe to push pacifist constitution reform after strong election win https://t.co/Xbx2G1IIVF https://t.co/LCARIjiYb6</t>
  </si>
  <si>
    <t>Top news from the United States.</t>
  </si>
  <si>
    <t>Emilio ß.</t>
  </si>
  <si>
    <t>| Living Life Since 1998 © |</t>
  </si>
  <si>
    <t>North Korea blasts Japan for using election to 'pave groundwork' for invasion https://t.co/jASr3V87ML</t>
  </si>
  <si>
    <t>undeserving migrant</t>
  </si>
  <si>
    <t>Private musings about being an immigrant in our ever-changing world... public service interpreter,avid news follower</t>
  </si>
  <si>
    <t>Constantin Cotzias</t>
  </si>
  <si>
    <t>The winners and losers of Japan's landslide election https://t.co/528e0jxdWZ via @markets</t>
  </si>
  <si>
    <t>Director, Bloomberg Europe. Chairman, Bloomberg London. Opinions are my own.</t>
  </si>
  <si>
    <t>GULCHAND VERMA</t>
  </si>
  <si>
    <t>Rajnandgaon, India</t>
  </si>
  <si>
    <t>भाजपा सदस्यता न. #1004063245 &amp; #राजनीतिज्ञ &amp; #राष्ट्रीयस्वयंसेवक &amp; #सामाजिककार्यकर्ता &amp; ग्रामसेवक &amp; रक्तदाता&amp; SELF EMPLOYED &amp; GARDNING&amp;INFORMAR OF AGRICULTUR</t>
  </si>
  <si>
    <t>SUNANDA SHARMA</t>
  </si>
  <si>
    <t>agra</t>
  </si>
  <si>
    <t>तमसो मां ज्योतिर्गमय SOCIAL COUNSELLOR &amp; JOURNALIST, I LOVE MY COUNTRY</t>
  </si>
  <si>
    <t>Japan's risk-averse youth lean heavily conservative https://t.co/oCO5gI69Tn</t>
  </si>
  <si>
    <t>Japan election pushes Nikkei 225 to record 15th consecutive gain https://t.co/DnojAE9maa</t>
  </si>
  <si>
    <t>Constitutional reform not bound by schedule: Abe https://t.co/J4L65xVfbI</t>
  </si>
  <si>
    <t>Navin</t>
  </si>
  <si>
    <t>Entrepreneur, Reader, political critic, #NaMo supporter, Dreamer-Vision 2020: A Developed India, #Verified sanghi, #RightWing</t>
  </si>
  <si>
    <t>FinanzLinksMarkets</t>
  </si>
  <si>
    <t>🇺🇸 Dollar/yen hits three-month high after Japan ruling party's election win https://t.co/kxYCyzvIpf INVESTINGcom</t>
  </si>
  <si>
    <t>Real_Infinity95</t>
  </si>
  <si>
    <t>Unknown</t>
  </si>
  <si>
    <t>Likes and retweets are appreciated. Turn on my notifications. Games / Gaming News/Music Hip-Hop/Rap US &amp; World News /Music. This account is not automated.</t>
  </si>
  <si>
    <t>DHARMATMA S PANDEY🐦</t>
  </si>
  <si>
    <t>Raipur, India</t>
  </si>
  <si>
    <t>।।गाय ,गंगा और गौरी बचाओ।। ।।गौसेवा करो।। ।।जय श्री राम।। 🙏 Followed By @PiyushGoyalOffc</t>
  </si>
  <si>
    <t>fujiwara june</t>
  </si>
  <si>
    <t>OSAKA、衆院大阪9区</t>
  </si>
  <si>
    <t>a grad student at the OUJ/ 大阪府立島本高等学校、近畿大学法学部法律学科卒業/ Panasonic Let's note CF-N10, Kindle Fire HDX. iPhone 5S/</t>
  </si>
  <si>
    <t>Japan's 18-, 19-year olds voted for stability not change, just as they do in job-seeking and shopping. https://t.co/yWUxC8PLvL</t>
  </si>
  <si>
    <t>Cellamoon</t>
  </si>
  <si>
    <t>Japan's Abe to push pacifist constitution reform after strong election win https://t.co/Y5NWvgbjKp https://t.co/99AFpZm2h7 ReutersUS</t>
  </si>
  <si>
    <t>Pollença, Spain</t>
  </si>
  <si>
    <t>Powerful photo-driven stories and a behind-the-scenes look at emerging and established photographers. #peace #meditation #innerpeace #followback #งงเดะ</t>
  </si>
  <si>
    <t>N.T.A. NEWS™</t>
  </si>
  <si>
    <t>Japan's Abe to push pacifist constitution reform after strong election win https://t.co/o3i2GyTjsX https://t.co/xq8v0sgJpt</t>
  </si>
  <si>
    <t>United States of America</t>
  </si>
  <si>
    <t>N.T.A. NEWS™, a division of the No 'Thiefs' Allowed™, seeks to bring you the verifiable news the Live Coverage #BREAKINGNEWS. We #BackTheBlue</t>
  </si>
  <si>
    <t>けるかりあ</t>
  </si>
  <si>
    <t>Janetter Pro for Android</t>
  </si>
  <si>
    <t>今この時</t>
  </si>
  <si>
    <t>楽しい事～大好き～</t>
  </si>
  <si>
    <t>Benjamin Paul</t>
  </si>
  <si>
    <t>Tourism, Real Estate &amp; IT Consultant | #travelandtour #news #tech #apps #finance #economy #politics #property #Malaysia</t>
  </si>
  <si>
    <t>Mr. O'Shea 👻</t>
  </si>
  <si>
    <t>RT @NAR: Japan's 18-, 19-year olds voted for stability not change, just as they do in job-seeking and shopping. https://t.co/yWUxC8PLvL</t>
  </si>
  <si>
    <t>Beijing</t>
  </si>
  <si>
    <t>IB/PYP teacher #myCISB 🇨🇦Canadian International School of #Beijing previous - #Kobe #Japan Passionate about #nature #bugs #birds and #conservation @jlandkev</t>
  </si>
  <si>
    <t>Mk</t>
  </si>
  <si>
    <t>Partisan de la paix.</t>
  </si>
  <si>
    <t>i-News online media</t>
  </si>
  <si>
    <t>Anne Oosty [Coney]</t>
  </si>
  <si>
    <t>Japan's Abe to push pacifist constitution reform after strong election win - Reuters important ally to USA https://t.co/gIfDDmeRSx</t>
  </si>
  <si>
    <t>Santa Barbara, CA. USA</t>
  </si>
  <si>
    <t>Live in USA.Mother of http://t.co/LU8nT58coY internationally 4months of year. Summer country-Italy,Winter-S.Africa. Loves mankind, anti any killing.Sportsfan.</t>
  </si>
  <si>
    <t>Vishal Chikte</t>
  </si>
  <si>
    <t>Kopar Khairane, Navi Mumbai</t>
  </si>
  <si>
    <t>Choose Adventure.</t>
  </si>
  <si>
    <t xml:space="preserve">ついっぷる　</t>
  </si>
  <si>
    <t xml:space="preserve">We always have a choice. </t>
  </si>
  <si>
    <t>UK,US,UAE,SA,GRE,RU,HK,AU,ITALY,CHINA,MONACO,SWISS,QATAR,SAUDI, GER, NOR,FRA,TUR,CYP, KUWAIT,SPAIN,JPN Restaurants Start-Up</t>
  </si>
  <si>
    <t>snake</t>
  </si>
  <si>
    <t>Easter Sarnecki</t>
  </si>
  <si>
    <t>Planet Earth</t>
  </si>
  <si>
    <t>Musing through the mad, sexy world of IM &amp; financial markets. Unlike a few of my very few followers, name, hair &amp; freckles are real</t>
  </si>
  <si>
    <t>puredailynews</t>
  </si>
  <si>
    <t>Japan Election Vindicates Shinzo Abe as His Party Wins Big https://t.co/oonKdf9Dnu https://t.co/DcATXXcCSP</t>
  </si>
  <si>
    <t>Get latest news on lifestyle, Game predictions, Breaking News, Sports News, politics news, top news stories, Nigeria news</t>
  </si>
  <si>
    <t>Kazuaki KINOSHITA</t>
  </si>
  <si>
    <t>Okayama, Japan</t>
  </si>
  <si>
    <t>Professor of Constitutional Law, at School of Law, Okayama University. I often RT Japanese constitutional law &amp; politics Tweets. 木下和朗／憲法、イギリス（英国）憲法、比較憲法、議会法。</t>
  </si>
  <si>
    <t>sandeep sharma</t>
  </si>
  <si>
    <t>Inside Story</t>
  </si>
  <si>
    <t>A political gamble that paid off. Shinzo Abe's party swept to election victory in Japan</t>
  </si>
  <si>
    <t>Dissecting the day's top story - a frank assessment of the latest developments. Watch every day at 17:30 GMT.</t>
  </si>
  <si>
    <t>Rajib kr khatua</t>
  </si>
  <si>
    <t>chandipur</t>
  </si>
  <si>
    <t>ashutia barh chandipur purba medinipur</t>
  </si>
  <si>
    <t>Kathmandu Tribune</t>
  </si>
  <si>
    <t>Japan-Lower House Election/Yen https://t.co/CtLm3GF1lf via @YouTube</t>
  </si>
  <si>
    <t>Nepal</t>
  </si>
  <si>
    <t>Kathmandu Tribune is the digital news portal of Nepal Tribune Media. Latest News from Nepal and elsewhere. Email: editorial@kathmandutribune.com</t>
  </si>
  <si>
    <t>Mohan Singh Gusain</t>
  </si>
  <si>
    <t>Jewellery-xochu</t>
  </si>
  <si>
    <t>Tokyo 👱 沈黙をぐうの音も出ないと、おもえる神経happyだな 12月寿退社 アニメ ディズニー💋</t>
  </si>
  <si>
    <t>राजपूत गोपाल सिंह</t>
  </si>
  <si>
    <t>manoj kumar singh</t>
  </si>
  <si>
    <t>garment bussiness</t>
  </si>
  <si>
    <t>GujarathiAmit</t>
  </si>
  <si>
    <t xml:space="preserve">Nashik </t>
  </si>
  <si>
    <t>Doctor/Medical teacher/ #NaMo #bjp #Dhoni. Life revolves around public health,Politics and #cricket.</t>
  </si>
  <si>
    <t>bolger2008</t>
  </si>
  <si>
    <t>RT @japantimes: North Korea blasts Japan for using election to 'pave groundwork' for invasion https://t.co/jASr3V87ML</t>
  </si>
  <si>
    <t>Strategic communications, crisis management, public affairs, public relations, speechwriting, and media relations. AND coffee is for closers!</t>
  </si>
  <si>
    <t>Er.RS Singh Director</t>
  </si>
  <si>
    <t>B.E (Mech) Hons; SPM(NITIE) Mumbai; Engineer , Academician, Writer &amp; Man of Systematic planning &amp; management. Views are personal &amp; in National. interest.</t>
  </si>
  <si>
    <t>ashutosh banerjee</t>
  </si>
  <si>
    <t>Pithoragarh</t>
  </si>
  <si>
    <t>Bavz 🇿🇦</t>
  </si>
  <si>
    <t>Always on vacation</t>
  </si>
  <si>
    <t>North Korea blasts Japan for using election to 'pave groundwork' for invasion https://t.co/I5GpGAqtNg</t>
  </si>
  <si>
    <t>Dinesh G P</t>
  </si>
  <si>
    <t>manoj sharma</t>
  </si>
  <si>
    <t>महामंत्री भाजपा जिला - गुरुग्राम</t>
  </si>
  <si>
    <t>Marvin</t>
  </si>
  <si>
    <t xml:space="preserve">Belly of the Beast </t>
  </si>
  <si>
    <t>Lawyer | Hiphop Head | Arsenal FC</t>
  </si>
  <si>
    <t>Sophie kneebone</t>
  </si>
  <si>
    <t>loves netball and port power footy</t>
  </si>
  <si>
    <t>vijay mishra</t>
  </si>
  <si>
    <t>TishaCM</t>
  </si>
  <si>
    <t>An Accountant. A dreamer, a believer, a lifelong learner. Interests include history, politics, business, travel, nature, culture, arts, music, movies, sports.</t>
  </si>
  <si>
    <t>Antimtotla</t>
  </si>
  <si>
    <t>Music</t>
  </si>
  <si>
    <t>How Japan leader Shinzo Abe's election gamble paid off https://t.co/c6JSPEuoxi https://t.co/o15Klv8Rp0</t>
  </si>
  <si>
    <t>TradeForEx</t>
  </si>
  <si>
    <t>Dollar/yen hits three-month high after Japan ruling party's election win https://t.co/5F3IuDfIdy #forex #fx #trade https://t.co/zDwFSO04wA</t>
  </si>
  <si>
    <t>Trade on the Foregin Exchange markets with no experience. Automate profitble trades with complete control.</t>
  </si>
  <si>
    <t>Inner Mongolia ✌</t>
  </si>
  <si>
    <t>galaxy</t>
  </si>
  <si>
    <t>make love not war</t>
  </si>
  <si>
    <t>akash gautam</t>
  </si>
  <si>
    <t>Embedded enginner... Nationalist .....Environment lover... !!! keep rivers clean!!! Salute to indian Army!!</t>
  </si>
  <si>
    <t>Jack Womack</t>
  </si>
  <si>
    <t>Author, Papa, Cassandra in perpeteum. I RT as I see fit.</t>
  </si>
  <si>
    <t>Vanzara Vipul</t>
  </si>
  <si>
    <t xml:space="preserve">Vadodar </t>
  </si>
  <si>
    <t>Vanzara vipul</t>
  </si>
  <si>
    <t>prem kishore</t>
  </si>
  <si>
    <t>Evrywhere...</t>
  </si>
  <si>
    <t>Dost Mer</t>
  </si>
  <si>
    <t>Limbdi : Gujarat</t>
  </si>
  <si>
    <t>🇮🇳 writer 🇮🇳 poet 🇮🇳 investgetiv journalist 🇮🇳 politician by passion 🇮🇳 Active in BJP</t>
  </si>
  <si>
    <t>srisri</t>
  </si>
  <si>
    <t>AYYAPPAN CHOLAKKAL</t>
  </si>
  <si>
    <t>eigo</t>
  </si>
  <si>
    <t>（２）From the article of https://t.co/vHpzsQc7KR -Japan’s prime minister, Shinzo Abe, has secured a strong mandate</t>
  </si>
  <si>
    <t>Tokyo,Setagaya ward 東京世田谷</t>
  </si>
  <si>
    <t>2017,9/29~My younger brother is staying here again for some reason 弟が又、滞在中。間違えないで下さいhttps://t.co/ChjBOM4OhM https://t.co/PyzE7MbERc</t>
  </si>
  <si>
    <t>high strung si kyung</t>
  </si>
  <si>
    <t>LA 🚀bay/ktown/seoul/해방haenam</t>
  </si>
  <si>
    <t>they/them @jeongkeshyart 만화가, @lawormfarm-er, animation/microbio/labor studies debt-delayer, unimpressed piece of shit</t>
  </si>
  <si>
    <t>Bunty_KKR</t>
  </si>
  <si>
    <t>Koraput, India</t>
  </si>
  <si>
    <t>RSS ideology follower,,right wing politics lover ,a nationalist ,,,,proud Hindu ,,,,jihadis and sickular vand chamche stay away.....</t>
  </si>
  <si>
    <t>UK National NW</t>
  </si>
  <si>
    <t>Abe poised for landslide win in Japan snap election https://t.co/zPLDnfvIiw</t>
  </si>
  <si>
    <t>UK national news / 5 tweets per hour / Opinion exchanges</t>
  </si>
  <si>
    <t>Piyush Goyal</t>
  </si>
  <si>
    <t>Social Media army of Shri. @PiyushGoyal, Union Minister for Railways and Coal, Government of India | RTs ≠ Endorsement</t>
  </si>
  <si>
    <t>Women Wireless</t>
  </si>
  <si>
    <t>Women News: Japan's election results show women making little progress despite Abe's landslide victory https://t.co/kolsQZ3l73</t>
  </si>
  <si>
    <t>Thegoodthing</t>
  </si>
  <si>
    <t>More about you.</t>
  </si>
  <si>
    <t>Thiru Sathasivam</t>
  </si>
  <si>
    <t>Chennai, Tamil Nadu</t>
  </si>
  <si>
    <t>f*ck shinzo abe</t>
  </si>
  <si>
    <t>tweets from corean USians but DMs open; #fuckshinzoabe is a global effort! icon by kim jin ho 김진호 ⓒ 데일리중앙</t>
  </si>
  <si>
    <t>Andrew Parker</t>
  </si>
  <si>
    <t>RT @rachelmealey: Abe's coalition regains two-thirds majority- Nikkei Asian Review https://t.co/gRiDP8TT4u</t>
  </si>
  <si>
    <t>Asia Practice Leader @PwC_AU, Director @AusIndCentre and @ChinaMattersAUS, member of the Exec Committee of AJBCC &amp; Advisory Board of @AsiaSocietyAus</t>
  </si>
  <si>
    <t>The Forex Coach</t>
  </si>
  <si>
    <t>Dollar/yen hits three-month high after Japan ruling party's election win - https://t.co/v4VKZAmDAn #forexnews #forex</t>
  </si>
  <si>
    <t>#Forex Trader. #TrendTrading. Will discuss all about #FX #trading #FXMarket #Trading #Investments #Stocks #Trends #Commodities #Indices</t>
  </si>
  <si>
    <t>Mantosh  Kumar</t>
  </si>
  <si>
    <t>Chuo-ku, Tokyo</t>
  </si>
  <si>
    <t>Automotive Engineer, Engaged with Quality, Interested in world politics, Impressed with Renovation work in India. Believe in change.</t>
  </si>
  <si>
    <t>Jessica Wang</t>
  </si>
  <si>
    <t>public policy @KCLalumni, political worker. tweets about #Taiwan foreign policy, Democracy, Human rights, Gender equalities.</t>
  </si>
  <si>
    <t>Form 24A</t>
  </si>
  <si>
    <t>@WanjikuRevolt @DavidNdii Japan can call for early elections and do it in a day here hata repeat election hamtaki y… https://t.co/ApzrV1RBb1</t>
  </si>
  <si>
    <t>News World News All Sports Lifestyle Sports Local News</t>
  </si>
  <si>
    <t>Sea-Seelam Reddy</t>
  </si>
  <si>
    <t>Japan Electis Shinzo Abe as His Party Wins. Very nice to have india Modi China Xi Japan Abe to have stable leaders. https://t.co/quk4gpMWig</t>
  </si>
  <si>
    <t>Palo Alto, California USA</t>
  </si>
  <si>
    <t>Program manager; Mergers &amp; Acquisitions VMware, Boeing, Hughes, Northrop experience</t>
  </si>
  <si>
    <t>tipi_1</t>
  </si>
  <si>
    <t>I may murmur English, Swedish or Japanese. Jag pladdrar svenska, engelska eller japanska. 日本語か英語かスウェーデン語で呟いてます。</t>
  </si>
  <si>
    <t>戸惑う妖湖</t>
  </si>
  <si>
    <t>水辺</t>
  </si>
  <si>
    <t>初心者です。ふつつか者ですがよろしくお願いします・・・小説.漫画.音楽.知らない事を知る事、に興味があります☆Twitterでbackpacker ☆</t>
  </si>
  <si>
    <t>Ritobroto Banerjee</t>
  </si>
  <si>
    <t>Destroyer of evil..... Right wing extremist. Hard core Hindu. Exaggerated national. Worst nightamre for all others.</t>
  </si>
  <si>
    <t>まっしゅ</t>
  </si>
  <si>
    <t>東京都</t>
  </si>
  <si>
    <t>つまんないことしか言えないからスルーしていいんです。気が向いたらフォローしてやって</t>
  </si>
  <si>
    <t>holly.c</t>
  </si>
  <si>
    <t>Troll Plaza☆</t>
  </si>
  <si>
    <t>Troll is bae</t>
  </si>
  <si>
    <t>Narendra Nath</t>
  </si>
  <si>
    <t>In India's ancient roots and wisdom of Vedas lies in the answers to all human miseries.</t>
  </si>
  <si>
    <t>siddh</t>
  </si>
  <si>
    <t>indian by heart. never support offensive words. give respect take respect.</t>
  </si>
  <si>
    <t>inferiae4542</t>
  </si>
  <si>
    <t>Japan's Shinzo Abe conjures stunning election victory in a boost for Donald Trump https://t.co/b1Ckd8ZJFt</t>
  </si>
  <si>
    <t>Dakota Territory</t>
  </si>
  <si>
    <t>matthew♡🌻</t>
  </si>
  <si>
    <t>all we need is love, love is all we need.</t>
  </si>
  <si>
    <t>amit patel</t>
  </si>
  <si>
    <t xml:space="preserve">Kolkata </t>
  </si>
  <si>
    <t>student chemical engineering..love modi ji working style...i love ❤ food and green and clean environment........bjp....</t>
  </si>
  <si>
    <t>Purnima Verma</t>
  </si>
  <si>
    <t>झारखंड, भारत</t>
  </si>
  <si>
    <t>Newslocker Idaho</t>
  </si>
  <si>
    <t>After election win, Abe prioritizes North Korea, aging Japan #Idaho https://t.co/yOosgi5QEN</t>
  </si>
  <si>
    <t>Idaho</t>
  </si>
  <si>
    <t>Find your latest news about Idaho with just one click. Dont miss out on anything happening in your region!</t>
  </si>
  <si>
    <t>มนุษย์ไร้จุดหมาย</t>
  </si>
  <si>
    <t>|Keep5 &amp; 13+2| SuperJunior&amp;TVXQ Kyuhyun Junsu SOJISUB #wonkyu#yoosu</t>
  </si>
  <si>
    <t>Ravi Giri</t>
  </si>
  <si>
    <t>Interests: Economics, Markets, Law, Agriculture, Current Affairs, History, Sports</t>
  </si>
  <si>
    <t>Chandan Rajput</t>
  </si>
  <si>
    <t>bangalore</t>
  </si>
  <si>
    <t>https://t.co/J6ULgDSxO0 in ece, biggest namo and akshay kumar fan,animal n movie lover,writer,painter follows you</t>
  </si>
  <si>
    <t>Mwania James</t>
  </si>
  <si>
    <t>Mombasa, Kenya</t>
  </si>
  <si>
    <t>Focused</t>
  </si>
  <si>
    <t>Devansh Pawar</t>
  </si>
  <si>
    <t>Ujjian,MadhyaPradesh ,india .</t>
  </si>
  <si>
    <t>I'll help you as much as I can.</t>
  </si>
  <si>
    <t>Bill Raschen</t>
  </si>
  <si>
    <t>Vismay</t>
  </si>
  <si>
    <t>My views will be extremist for your liberal undies..!! Politically Right..!! RTs are not endorsement.</t>
  </si>
  <si>
    <t>Richard Stanton</t>
  </si>
  <si>
    <t>What now for Japan after Abe's landslide election victory? https://t.co/mSH12pkwif</t>
  </si>
  <si>
    <t>Lordran</t>
  </si>
  <si>
    <t>Contributing editor @Kotaku_UK and freelancer. Hunter of the Dream. Put me at the top because I'm going to see the people.</t>
  </si>
  <si>
    <t>Rorufuchan</t>
  </si>
  <si>
    <t>Miyazaki</t>
  </si>
  <si>
    <t># Seeing things as they are # Miyazaki, Japan # Tales of an emigrant. 🇨🇭🇯🇵</t>
  </si>
  <si>
    <t>Shamiah</t>
  </si>
  <si>
    <t>Part-time social Justice crusader. Reformist. Realist.</t>
  </si>
  <si>
    <t>Toby Davis</t>
  </si>
  <si>
    <t>RT @RichStanton: What now for Japan after Abe's landslide election victory? https://t.co/mSH12pkwif</t>
  </si>
  <si>
    <t>RT @WSJ: Abe's victory puts him closer to his goal of amending the constitution away from military pacifism https://t.co/u5YoOOCLOZ</t>
  </si>
  <si>
    <t>Rashid Haji</t>
  </si>
  <si>
    <t>All views are mine. RT is not an endorsement.</t>
  </si>
  <si>
    <t>«V$$Kumar»</t>
  </si>
  <si>
    <t>Madurai, India</t>
  </si>
  <si>
    <t>#Humanity#Nationality#Spirituality# #திராவிட_விஷமேறாத்_தமிழன்#</t>
  </si>
  <si>
    <t>Dee 🎮</t>
  </si>
  <si>
    <t>Red Keep</t>
  </si>
  <si>
    <t>Application Engineer based overseas with a focus in: #IoT, #M2M, #NFC, #eSIM | Hobbies: #Gaming, #Tech, #Politics | Supports: #PDu30, drug war, PH sovereignty</t>
  </si>
  <si>
    <t>Kusum Kant Vasania</t>
  </si>
  <si>
    <t>MSD</t>
  </si>
  <si>
    <t>My heroes Narendra and Mahendra..... Believes in Israel and supports Trump. Nation first. Service before self. No illegal migrants reqd.</t>
  </si>
  <si>
    <t>でんこう@鳥羽輝人</t>
  </si>
  <si>
    <t>畳の上</t>
  </si>
  <si>
    <t>小説など書いています。 『ＧＵＮ・ＡＣＴ！（ガン・アクト）‐武装アイドル神岡陽子の活動記録‐』 https://t.co/AGhGJQRBPQ 『Ｇ‐ＴＡＮＫ！（ゴーストタンク）‐祖父が戦車でやって来る‐』 https://t.co/snURtGzeoJ 是非ご覧ください！</t>
  </si>
  <si>
    <t>Sid Shriwastav</t>
  </si>
  <si>
    <t>Bangalore , India</t>
  </si>
  <si>
    <t>Engineer | Gamer | Fitness Freak | YouTuber</t>
  </si>
  <si>
    <t>vinay</t>
  </si>
  <si>
    <t>Jamkhandi, India</t>
  </si>
  <si>
    <t>newsAnglr Business</t>
  </si>
  <si>
    <t>Asia Markets: Japan’s #Nikkei rises for a #15th straight session after #Abe’s election win https://t.co/kNnhinpaSg https://t.co/NwM8fycXC1</t>
  </si>
  <si>
    <t>BusinessAnglr</t>
  </si>
  <si>
    <t>Tracks all major business related news sources in the world and tweets the most important business topics of the moment</t>
  </si>
  <si>
    <t>BhanuBhai</t>
  </si>
  <si>
    <t>Chennai/Makrana/Borawar/Delhi</t>
  </si>
  <si>
    <t>Civil Service/Sports lover/Movie Freak/Love Books/Secular/Proud Indian !!!</t>
  </si>
  <si>
    <t>newsAnglr</t>
  </si>
  <si>
    <t>RT @businessanglr: Asia Markets: Japan’s #Nikkei rises for a #15th straight session after #Abe’s election win https://t.co/kNnhinpaSg https…</t>
  </si>
  <si>
    <t>NewsAnglr</t>
  </si>
  <si>
    <t>Official newsanglr Twitter account</t>
  </si>
  <si>
    <t>siena</t>
  </si>
  <si>
    <t>SIENA-ITALIA</t>
  </si>
  <si>
    <t>SCMP News</t>
  </si>
  <si>
    <t>What Shinzo Abe’s election win will mean for China-Japan relations https://t.co/WViM5X9mJq</t>
  </si>
  <si>
    <t>South China Morning Post provides news and analysis on Hong Kong, China and the rest of Asia.</t>
  </si>
  <si>
    <t>Suresh Raneja</t>
  </si>
  <si>
    <t>राजस्थान, भारत</t>
  </si>
  <si>
    <t>Bhokhodai pokhran jaselmer Rajsthan</t>
  </si>
  <si>
    <t>Anshul choudhary</t>
  </si>
  <si>
    <t>RT @BeingGARIFUNA: Hearty Congratulations and Greetings to Japan Prime Minister Abe Shinzo @AbeShinzo on his BIG Election win. https://t.co…</t>
  </si>
  <si>
    <t>Jeffrey G. Karam</t>
  </si>
  <si>
    <t>RT @TelegraphWorld: #Japanese PM to have 'deep discussions' on #NorthKorea with #Trump after election victory #Japan https://t.co/ed7qam5HRq</t>
  </si>
  <si>
    <t>Postdoctoral Research Fellow @BelferCenter, @Kennedy_School; Political scientist teaching IR, Security, &amp; Mideast Politics @BUPardeeSchool. RTs ≠ endorsements.</t>
  </si>
  <si>
    <t>TUSHAR CHAUDHARY</t>
  </si>
  <si>
    <t xml:space="preserve">raebareli </t>
  </si>
  <si>
    <t>FX in Effect</t>
  </si>
  <si>
    <t>Dollar/yen hits three-month high after Japan ruling party's election win https://t.co/dSK0Bug8Es</t>
  </si>
  <si>
    <t>FX Markets</t>
  </si>
  <si>
    <t>Natasja Sommer</t>
  </si>
  <si>
    <t>RT @MarkoNikolay: #Japan 2017 election results show large victory for the ruling LDP and Komeito coalition (312/465 seats). This implies po…</t>
  </si>
  <si>
    <t>#Digitalisierung #Politik #Regulierung #Medienvielfalt #Freude #Freiheit These views are my own / work @jti</t>
  </si>
  <si>
    <t>i'md Zone</t>
  </si>
  <si>
    <t>Weather / Politics / Sports</t>
  </si>
  <si>
    <t>•••</t>
  </si>
  <si>
    <t xml:space="preserve">Omnipresent </t>
  </si>
  <si>
    <t>मिट्टी का तन, मस्ती का मन । क्षण भर जीवन, मेरा परिचय ॥ (Ideas Are Bullet Proof)</t>
  </si>
  <si>
    <t>Marika Katanuma</t>
  </si>
  <si>
    <t>Chiyoda-ku, Tokyo</t>
  </si>
  <si>
    <t>@BloombergJapan news editor / Previously @Yahoo_JAPAN_PR &amp; @TOKYObetajp / Opinions are my own</t>
  </si>
  <si>
    <t>Israel Stagman</t>
  </si>
  <si>
    <t>"Japan's Abe Vows to Put Education Spending Before Budget Balance" by REUTERS via NYT https://t.co/3viBPH7RUI</t>
  </si>
  <si>
    <t>Euless</t>
  </si>
  <si>
    <t>Loving life and the happiness and laughter my two children bring to me every day )</t>
  </si>
  <si>
    <t>TheHolyCow</t>
  </si>
  <si>
    <t>manila</t>
  </si>
  <si>
    <t>Don't try to Cow'Down !! i Dont give Damn to Cow'ards</t>
  </si>
  <si>
    <t>निर्भय सिंह🇮🇳</t>
  </si>
  <si>
    <t>Trivandrum-Gorakhpur</t>
  </si>
  <si>
    <t>🎖️।सेवानिवृत्त वायु सैनिक ।🎖️ दिल, दिमाग और घुटना एक लाइन रखता हूँ।अपने सांस्कृतिक मूल्यों में विश्वास है 🇮🇳राष्ट्र सर्वप्रथम था और रहेगा🇮🇳 बाकी चीजे बाद में🙏</t>
  </si>
  <si>
    <t>ParlGov</t>
  </si>
  <si>
    <t>#Japan's Abe to push pacifist constitution reform after strong election win https://t.co/tPNOxz5QR1</t>
  </si>
  <si>
    <t>Information, data and news about parties, elections and governments in the EU and OECD</t>
  </si>
  <si>
    <t>JCFisher</t>
  </si>
  <si>
    <t>"Japan's Abe Vows to Put Education Spending Before Budget Balance" by REUTERS via NYT https://t.co/GI35k3zRqt https://t.co/pZNQLAUxvh</t>
  </si>
  <si>
    <t>Easton, PA</t>
  </si>
  <si>
    <t>Internet Marketing Tools, Internet Marketing Training, Internet Marketing System. If you are Launching a new opportunity, we can help you. Get More/Pay Less.</t>
  </si>
  <si>
    <t>BeautifulSkinYourIn</t>
  </si>
  <si>
    <t>On Sunday, Japan votes in a snap election. https://t.co/6OQfYZjhJt #news #tech #travel #people #life #usa #politics… https://t.co/dMM2knmgUS</t>
  </si>
  <si>
    <t>Daily Tips from our Nurses, Dietitians, Aestheticians, Fitness &amp; Wellness Gurus, Life Coaches, Financial Experts and more to help create a MORE BEAUTIFUL YOU!</t>
  </si>
  <si>
    <t>(She's Corbi)</t>
  </si>
  <si>
    <t>I wanna say hearing the results of Japan's election is disappointing but the writing has been on the wall so long that like shrug</t>
  </si>
  <si>
    <t>Pac Nor West</t>
  </si>
  <si>
    <t>Irate Carrion, Bad Anime Opinons, Vagabond Graduate, &amp; Feathered Frump.</t>
  </si>
  <si>
    <t>SUGIMURA &amp; Partners</t>
  </si>
  <si>
    <t>Spotlight: Japan's ruling camp wins majority in lower house election, voter turnout 2nd lowest in ... … https://t.co/zfM8BhVO9r</t>
  </si>
  <si>
    <t>SUGIMURA is a leading intellectual property law firm in Japan, has earned a reputation for high quality, and is ranked among the top patent and trademark firms.</t>
  </si>
  <si>
    <t>Adele Momoko Fraser</t>
  </si>
  <si>
    <t>22 • Hafu • Intern @SkyNews • MA TV Journalism @CityUniLondon • @BristolUni Bsc Politics&amp;IR Grad • Formerly @EpigramPaper and intern @bbcpointswest</t>
  </si>
  <si>
    <t>Bhupender singhArora</t>
  </si>
  <si>
    <t>NeuroPsychiatrist By Profession.</t>
  </si>
  <si>
    <t>Rohan Pawar 🇮🇳</t>
  </si>
  <si>
    <t>Studying Software Engineering At D.Y.Patil College Of Engineering Mumbai</t>
  </si>
  <si>
    <t>RT @WSJ: Japan's Abe cements hold on power with election win https://t.co/ifHRxSfpjw</t>
  </si>
  <si>
    <t>MySourceSpot</t>
  </si>
  <si>
    <t>Japan: exit polls suggest a landslide general election victory for Shinzo Abe’s coalition https://t.co/PlRPR3xRca https://t.co/kT1LkqK9Ja</t>
  </si>
  <si>
    <t>RT @SCMP_News: Abe’s election super majority puts Japan’s pacifist constitution in his crosshairs again https://t.co/V6UMPyEOKX</t>
  </si>
  <si>
    <t>sasarindou</t>
  </si>
  <si>
    <t>Prabhu V.T</t>
  </si>
  <si>
    <t>Amaresh Mishra</t>
  </si>
  <si>
    <t>ShaktiNagar,Uttar Prades India</t>
  </si>
  <si>
    <t>हिन्दू हैं हम वतन है हिन्दोस्तां हमारा भारत माता की जय, वन्दे मातरम्, जय हिन्द</t>
  </si>
  <si>
    <t>Politics</t>
  </si>
  <si>
    <t>#Japan #election landslide; Chaos in #Catalonia; #European #populism - CNN Money https://t.co/6lKZITNtLG</t>
  </si>
  <si>
    <t>IT Jobs Illinois</t>
  </si>
  <si>
    <t>Japan Election Vindicates Shinzo Abe as His Party Wins Big - New York Times https://t.co/dJhxWVOuSw https://t.co/NtPF4TTKsS</t>
  </si>
  <si>
    <t>Illinois, USA</t>
  </si>
  <si>
    <t>✨ New jobs Daily. ✨ Be First to Apply for the very latest Jobs. Tweeting Jobs from ★ http://t.co/nuXGgdViHO ★ #1 Most Popular Tech Job Site. #job #Jobs #hiring</t>
  </si>
  <si>
    <t>Sourcingstocks</t>
  </si>
  <si>
    <t>RT trendytradepd "https://t.co/DfwJNz0jil"</t>
  </si>
  <si>
    <t>The Ticker</t>
  </si>
  <si>
    <t>We are always sourcing the best stock trades. The information on this Twitter link is for information. Consult a financial advisor before buying anything.</t>
  </si>
  <si>
    <t>Asian Correspondent</t>
  </si>
  <si>
    <t>Japan: 4 things to expect following Shinzo Abe’s landslide victory https://t.co/zSt9lgfkap @EmmaRichards85… https://t.co/eTrHVZQLdv</t>
  </si>
  <si>
    <t>Kuala Lumpur City</t>
  </si>
  <si>
    <t>Independent Asia news covering regional Politics, Business, Technology, Environment &amp; Asian Culture issues from the Asia Pacific region. English-language based.</t>
  </si>
  <si>
    <t>Viral Snoop</t>
  </si>
  <si>
    <t>(JAPAN POLITICS: Shinzo Abe to Push Pacifist Constitution Reform After Strong Election Win) has been published on - https://t.co/tHCWxsJ1gh</t>
  </si>
  <si>
    <t xml:space="preserve">Viral Snoop Auto Posting </t>
  </si>
  <si>
    <t>Los a</t>
  </si>
  <si>
    <t>Viral Snoop is a news and media agency that brings you the latest and breaking news from around the globe. Follow us today!</t>
  </si>
  <si>
    <t>頭道人</t>
  </si>
  <si>
    <t>BeatStep</t>
  </si>
  <si>
    <t>Dabr</t>
  </si>
  <si>
    <t>My follow button is broken</t>
  </si>
  <si>
    <t>Pere Cantí</t>
  </si>
  <si>
    <t>Catalunya</t>
  </si>
  <si>
    <t>ClipTrends</t>
  </si>
  <si>
    <t>Abe to push reform of #Japan's pacifist ... - #ClipTrends #VideoTrends #Ne #Abenomics #Prime_Minister #Shinzo_Abe… https://t.co/hf2UWdYKDL</t>
  </si>
  <si>
    <t>Cliptrends</t>
  </si>
  <si>
    <t>https://t.co/Z00vvhuPm3 - Hot Trending Videos - Hot Trending Clips</t>
  </si>
  <si>
    <t>Harsh Baraiya</t>
  </si>
  <si>
    <t>Veraval, India</t>
  </si>
  <si>
    <t>i'am Student And Also A Big FaN Of Namo.. My DreAmt IndiA Is Ciming VerY Quickly...</t>
  </si>
  <si>
    <t>𝕄𝕠𝕞𝕠𝕜𝕠</t>
  </si>
  <si>
    <t>Nagasaki-shi, Nagasaki</t>
  </si>
  <si>
    <t>Momoko Munamoto. Japanese👘. 20. Intern at Fuji Bank🎌. Muslim. Virgin🤲. Looking for a white man👱🏻. God is GOOD🕋</t>
  </si>
  <si>
    <t>TurboStocks</t>
  </si>
  <si>
    <t>RT trendytradepd "https://t.co/m4WcJBBjME"</t>
  </si>
  <si>
    <t>Before you buy anything on this Twitter link consult a financial advisor. Tweets are for entertainment purposes only.</t>
  </si>
  <si>
    <t>Abe sweeps to major win in Japan election https://t.co/ZTFBKwF6KW via @HDNER</t>
  </si>
  <si>
    <t>FINCH</t>
  </si>
  <si>
    <t>Nairobi, Westeros</t>
  </si>
  <si>
    <t>Humanist | Free Spirit | Sarcasm</t>
  </si>
  <si>
    <t>Sheila A. Smith</t>
  </si>
  <si>
    <t>Senior Fellow for Japan Studies @CFR_org. Author of Intimate Rivals (2015). Retweets are not endorsements. Views my own.</t>
  </si>
  <si>
    <t>dxdp ~ nh</t>
  </si>
  <si>
    <t>all retweet≠endorsement / CFA charterholder / Interested in global economics, financial markets and politics</t>
  </si>
  <si>
    <t>archit saini</t>
  </si>
  <si>
    <t>Forest</t>
  </si>
  <si>
    <t>RT @bpolitics: How Japan leader Shinzo Abe's election gamble paid off https://t.co/c6JSPEuoxi https://t.co/o15Klv8Rp0</t>
  </si>
  <si>
    <t>ajay vikram singh</t>
  </si>
  <si>
    <t>North-Central Mumbai</t>
  </si>
  <si>
    <t>Official Twitter Handle of BJYM North-Central Mumbai working under the young &amp; dynamic leadership of Smt @Poonam_mahajan</t>
  </si>
  <si>
    <t>Vishesh Aal Umedpura</t>
  </si>
  <si>
    <t>umedpura</t>
  </si>
  <si>
    <t>B.J.Y.M &amp; પ્રભારી વાવ,સુઇગામ,ભાભર,વિહૉતર ગૃપ ઓફ બનાસકાંઠા.</t>
  </si>
  <si>
    <t>alok swain</t>
  </si>
  <si>
    <t>Prajjwal Patel 🇮🇳</t>
  </si>
  <si>
    <t>Varanasi</t>
  </si>
  <si>
    <t>🎙Singer🎙 📚Student📚 🚩🚩भाजपा समर्थक🚩🚩 followed by @PiyushGoyalOffc</t>
  </si>
  <si>
    <t>Baye McNeil</t>
  </si>
  <si>
    <t>Japan Ranks Low in Female Lawmakers. An Election Won’t Change That. https://t.co/nTBC4QLYBA @motokorich excellent work!</t>
  </si>
  <si>
    <t>Yokohama, Japan</t>
  </si>
  <si>
    <t>Author / Columnist / Lecturer, Born in Brooklyn, Reborn in Yokohama! Pick up a couple of the realest books on life in Japan right here: https://t.co/JrzVvjOUk6</t>
  </si>
  <si>
    <t>Malaysian Digest</t>
  </si>
  <si>
    <t>Japan's Abe To Push Pacifist Constitution Reform After Strong Election Win https://t.co/gN74VTzyh6</t>
  </si>
  <si>
    <t>Petaling Jaya</t>
  </si>
  <si>
    <t>Get your daily doses of local, world, sports, entertainment &amp; business news, among others on http://t.co/gPI561KfLa. Like us on facebook/malaysiandigest</t>
  </si>
  <si>
    <t>Metzano</t>
  </si>
  <si>
    <t>"Japan's Abe Vows to Put Education Spending Before Budget Balance" by REUTERS via NYT https://t.co/nKdB1afO61</t>
  </si>
  <si>
    <t>Operating Metzano - The Global HR Zone plus Linked:HR &amp; other HR-related LinkedIn groups with 1.5 million members #HR #VerticalNetwork curated by @pamelaharding</t>
  </si>
  <si>
    <t>Heriberto Hitzler</t>
  </si>
  <si>
    <t>"Japan's Abe Vows to Put Education Spending Before Budget Balance" by REUTERS via NYT https://t.co/SFbgCW58cB</t>
  </si>
  <si>
    <t>Princess Anne</t>
  </si>
  <si>
    <t>Interested in thinking green ideas, eating red curry and listening to blue music.</t>
  </si>
  <si>
    <t>Japan's Abe to push pacifist constitution reform after strong election win - https://t.co/0MVgNo68pG https://t.co/fR52u7zY5B</t>
  </si>
  <si>
    <t>BigMoneyTraders</t>
  </si>
  <si>
    <t>RT trendytradepd "https://t.co/VbyETNkE7a"</t>
  </si>
  <si>
    <t>Money Land</t>
  </si>
  <si>
    <t>Follow the Big MoneyTraders on the #NYSE and #NASDAQ @ https://t.co/9afsmtGXQU - join today ! https://t.co/WOym8AwsTd</t>
  </si>
  <si>
    <t>P. Kalikar🇮🇳ॐ</t>
  </si>
  <si>
    <t>हिन्दुस्थान</t>
  </si>
  <si>
    <t>CISCO Networking Professional. RTs are not endorsement. PM Modijee's RTs, Does Not Need Any Endorsement ! Jai Modijee ! भारतमाता की जय !</t>
  </si>
  <si>
    <t>浜見ゆき</t>
  </si>
  <si>
    <t>小説家になろうで作品を投稿したりしていなかったりしています。モーツァルトやショパンを聴きながら珈琲を飲み、本を読み、日本を愛で世界を憂います。普通に右巻きのツイートをするので苦手な人は避けてくださいね。－－現在更新中の「Vive La School!」https://t.co/meE4D0zgKM</t>
  </si>
  <si>
    <t>Srinivasan.S</t>
  </si>
  <si>
    <t>NAVIN</t>
  </si>
  <si>
    <t>A Proud Indian.</t>
  </si>
  <si>
    <t>Pradeep</t>
  </si>
  <si>
    <t>RAJESH KUMAR</t>
  </si>
  <si>
    <t>bhagwan jat</t>
  </si>
  <si>
    <t>Sohela, India</t>
  </si>
  <si>
    <t>health supervisor</t>
  </si>
  <si>
    <t>EL MOURABIT Mohamed</t>
  </si>
  <si>
    <t>Gopal Deora Lov Modi</t>
  </si>
  <si>
    <t>जालोर ,राजस्थान, भारत</t>
  </si>
  <si>
    <t>✍रंजिशे मिट जायेंगी हो जायेंगी नफरते फना, तेरी होली मै मनाऊँ मेरी ईद तू मना। मिल कर हम ये इजहार करे, तेरा मंदिर मै बनाऊँ मेरी मस्जिद तू बना। भारत माता की जय हो</t>
  </si>
  <si>
    <t>myETmyHT India</t>
  </si>
  <si>
    <t>RT @Prem_Prakash_: Heartiest congratulations @AbeShinzo on his big election win. Look forward to further strengthen India-Japan relations.</t>
  </si>
  <si>
    <t>Founder CEO @ https://t.co/yhrVtGy8LA patented edtech acquired from 10 governments #English #Hindi #Japanese 81 million #language learners @myETmyHT Remind #patent #patents</t>
  </si>
  <si>
    <t>Gary Cattermole</t>
  </si>
  <si>
    <t>"Japan's Abe Vows to Put Education Spending Before Budget Balance" by REUTERS via NYT https://t.co/N5Jcga1iWL #innovation</t>
  </si>
  <si>
    <t>Essex</t>
  </si>
  <si>
    <t>employee engagement, leadership, internal comms, employee wellbeing, sport, literature, business, news and most importantly...family.</t>
  </si>
  <si>
    <t>AdmiralRoadCapital</t>
  </si>
  <si>
    <t>With a landslide win, Shinzo Abe could be ready to rewrite Japan's pacifist constitution https://t.co/oNcuKUJKqN</t>
  </si>
  <si>
    <t>Greater NYC</t>
  </si>
  <si>
    <t>Husband,Dad,Grandfather, US Navy late 60's early 70's,Vietnam Vet, 38yr Market Investor ,Old Books, Art, 60'sMusic, Beatles, Food, Politics, NYMETS,,,No Regrets</t>
  </si>
  <si>
    <t>RT trendytradepd "https://t.co/NfCVc5NvIA"</t>
  </si>
  <si>
    <t>Kunwar Ajay Rajput</t>
  </si>
  <si>
    <t>Gurgaon,HR  Vidisha-Bhopal M.P</t>
  </si>
  <si>
    <t>I love PM NarendraModi &amp; I think he is the biggest thing tht has happened 2 modern India politics, When Modi goes abroad &amp; talks about IndianValues I feel proud</t>
  </si>
  <si>
    <t>TradeWithSuper</t>
  </si>
  <si>
    <t>RT trendytradepd "https://t.co/OzOgMFsFJM"</t>
  </si>
  <si>
    <t>The Hunt for Winners</t>
  </si>
  <si>
    <t>The Twitter handle 4 @TopFiveTraders that follows @paulscolardi and his other Twitter feed @super_trades - this is not investment advice and we are not brokers</t>
  </si>
  <si>
    <t>Nomadic IIMCIAN</t>
  </si>
  <si>
    <t>Kolkata N Agartala</t>
  </si>
  <si>
    <t>IIMC Alumnus. Loves people ,places, travelling, teaching , tree plantation. Bringing fundamental change by words of mouth. Tweeting is fun , RT not endorsement</t>
  </si>
  <si>
    <t>हर्षवर्धन जय सिंह</t>
  </si>
  <si>
    <t>ऋषि नगर, उज्जैन</t>
  </si>
  <si>
    <t>Scott Luft</t>
  </si>
  <si>
    <t>RT @6point626: Even in Japan, election outcomes are almost never decided by nuclear energy. Which is why govs should not consider vote to b…</t>
  </si>
  <si>
    <t>Ontario</t>
  </si>
  <si>
    <t>I write to right: exploring and communicating on topics of interest including energy, data, politics, and education</t>
  </si>
  <si>
    <t>Khalid Khaliq</t>
  </si>
  <si>
    <t>Handwara, Jammu And Kashmir</t>
  </si>
  <si>
    <t>football</t>
  </si>
  <si>
    <t>モスライスバーガー海鮮かきあげ</t>
  </si>
  <si>
    <t>Okinawa, Japan</t>
  </si>
  <si>
    <t>H２９社会保険労務士の受験生です 選択３２択一５１ 選択は健保２点なので救済措置を希望します 神様お願い #社会保険労務士 #社労士 #社労士受験 #社労士試験</t>
  </si>
  <si>
    <t>Harsh Patel</t>
  </si>
  <si>
    <t xml:space="preserve">Vadodara </t>
  </si>
  <si>
    <t>I created this account to get Sachin's digigraph and now I am trapped.</t>
  </si>
  <si>
    <t>Rahul bansal</t>
  </si>
  <si>
    <t>Rajpura, punjab</t>
  </si>
  <si>
    <t>भगवान राम ,बाबा नानक को मानता हूँ |संघ और बीजेपी की विचारधारा |chai lover,foodie(veg) .</t>
  </si>
  <si>
    <t>Mahesh</t>
  </si>
  <si>
    <t>Vijay Budhiraja</t>
  </si>
  <si>
    <t>DELHI , INDIA</t>
  </si>
  <si>
    <t>वन्दे मातरम् 🙏🙏🙏</t>
  </si>
  <si>
    <t>Ashutosh Singh</t>
  </si>
  <si>
    <t>Engineering Student</t>
  </si>
  <si>
    <t>BLACK.</t>
  </si>
  <si>
    <t>元X68000ユーザーでPSユーザーです。日々の雑感を適当につぶやきます。</t>
  </si>
  <si>
    <t>BullFan2016</t>
  </si>
  <si>
    <t>RT trendytradepd "https://t.co/NGSOhgUjZS"</t>
  </si>
  <si>
    <t>Wall Street</t>
  </si>
  <si>
    <t>We love the team @bullsonwallst - @Kunal00 and @pauljsingh know their stuff - this account is for entertainment (not advice)</t>
  </si>
  <si>
    <t>SUNIL KUMAR</t>
  </si>
  <si>
    <t>शाहदरा, नई दिल्ली</t>
  </si>
  <si>
    <t>SlammingPicks</t>
  </si>
  <si>
    <t>RT trendytradepd "https://t.co/kAfpzsc2WL"</t>
  </si>
  <si>
    <t>The Market</t>
  </si>
  <si>
    <t>Looking 4 stocks that hit the bulls eye - this is not advice and we are not brokers https://t.co/WOym8AwsTd</t>
  </si>
  <si>
    <t>રમેશભાઈ ચૌધરી. ચલાદર</t>
  </si>
  <si>
    <t>B J P</t>
  </si>
  <si>
    <t>Kabir Grewalƪϐ</t>
  </si>
  <si>
    <t>I'm Working as a Fashion Designer,Social Worker, #TheProudINDIAN #ProudSonOfArmyMan Chandigarh ( Punjab ) INDIA.</t>
  </si>
  <si>
    <t>Mayur</t>
  </si>
  <si>
    <t>Civil Engineer, Marketing person, Future Author! Support Modi's Nation building vision. Opp. must realize that he is chosen by almighty n has divine blessings.</t>
  </si>
  <si>
    <t>Sayarsingh Shekhawat</t>
  </si>
  <si>
    <t>SB Sable</t>
  </si>
  <si>
    <t>All India</t>
  </si>
  <si>
    <t>#India first #Will follow everyone who loves n respect my country #Solution for everything.</t>
  </si>
  <si>
    <t>kanu</t>
  </si>
  <si>
    <t>"Japan's Abe Vows to Put Education Spending Before Budget Balance" by REUTERS via NYT https://t.co/epb5b3GCL8</t>
  </si>
  <si>
    <t>負けるな、福島。負けるな、東北。負けるな、日本。 今こそすべてを変える勇気を。</t>
  </si>
  <si>
    <t>安倍自民党で国難突破</t>
  </si>
  <si>
    <t>事実を報道しない偏向メディアは日本の癌だと思います。安倍総理、頑張れ！最近、東北にハマってます。リツイート多めなのは拡散目的。報道しない自由はネットでは通用しないよ。フォローありがとうございます。JNSC会員。</t>
  </si>
  <si>
    <t>Da Lan.</t>
  </si>
  <si>
    <t>RT @elerianm: .@FT on #Japan PM #Abe election win. Should open way for faster economic reforms notwithstanding vested interests. https://…</t>
  </si>
  <si>
    <t>Texas</t>
  </si>
  <si>
    <t>New world news from Time: Japan’s Shinzo Abe Conjures Stunning Election Victory in a Boost for Donald Trump https://t.co/3jUoAQsUJC</t>
  </si>
  <si>
    <t>Tony Gonzalez</t>
  </si>
  <si>
    <t>#Japan #news #elections #politics Prime minister Abe's coalition won more than two-thirds of the 465 seats in Sunday's election, CNN</t>
  </si>
  <si>
    <t>merida, yucatan</t>
  </si>
  <si>
    <t>SubDirector de Promoción y Desarrollo Económico de @ayuntamerida /ExConsejero y ExVp de @soycoparmex /Triatleta/Cinéfilo/Entrepreneur/Juventus</t>
  </si>
  <si>
    <t>RT trendytradepd "https://t.co/cln17jlo6y"</t>
  </si>
  <si>
    <t>NileshBodke@minilesh</t>
  </si>
  <si>
    <t>Very Positive @ Emotional Person . Likes to Dream Big @ then run behind dream. does thing with lot of passion. ( International Speaker, Engineer &amp; Host )</t>
  </si>
  <si>
    <t>Maria</t>
  </si>
  <si>
    <t xml:space="preserve">Pennsylvania &amp; New York, USA </t>
  </si>
  <si>
    <t>For Privacy Reasons, Personal information not available</t>
  </si>
  <si>
    <t>Dudun</t>
  </si>
  <si>
    <t>Zum Oui</t>
  </si>
  <si>
    <t>MotherLand</t>
  </si>
  <si>
    <t>Now this is not the end. It is not even the beginning of the end. But it is, perhaps, the end of the beginning. #MyTweetWorld #1luv #BeU #I_Care</t>
  </si>
  <si>
    <t>nyandiga</t>
  </si>
  <si>
    <t>RT TFTCS "RT trendytradepd "https://t.co/1GG6biLm0e""</t>
  </si>
  <si>
    <t>Boston NewsChannel</t>
  </si>
  <si>
    <t>Boston News Japan's Shinzo Abe conjures stunning election victory in a boost for Donald Trump… https://t.co/4GpnuuzZj6</t>
  </si>
  <si>
    <t>Updated Boston news,sports, weather,entertainment,politics and business information.</t>
  </si>
  <si>
    <t>Eric Goodman</t>
  </si>
  <si>
    <t>Tribune World News</t>
  </si>
  <si>
    <t>Japan's Abe vows to put education spending before budget balance https://t.co/Uk66eyHrwl</t>
  </si>
  <si>
    <t>Headlines news coverage from around the world from the @NYTRB. Also follow @TribuneUS for the latest news alert on US.</t>
  </si>
  <si>
    <t>焼きそば</t>
  </si>
  <si>
    <t>Periodical World</t>
  </si>
  <si>
    <t>Japan's Abe vows to put education spending before budget balance https://t.co/ukXPoWaEXU</t>
  </si>
  <si>
    <t>News and features from around the world.</t>
  </si>
  <si>
    <t>Ashish joshi</t>
  </si>
  <si>
    <t>NYI International</t>
  </si>
  <si>
    <t>Japan's Abe vows to put education spending before budget balance https://t.co/oe4vKFoF1W</t>
  </si>
  <si>
    <t>International headlines from @nyinquirer</t>
  </si>
  <si>
    <t>Columnist World</t>
  </si>
  <si>
    <t>Japan's Abe vows to put education spending before budget balance https://t.co/ALTFzCjauG</t>
  </si>
  <si>
    <t>Breaking news from around the world. For headlines @TheCoIumnist | Business News @WeeklyJour | Opinion @ColumnistOpn</t>
  </si>
  <si>
    <t>🇮🇳RANJAN▄︻̷̿┻̿═一🐦</t>
  </si>
  <si>
    <t>मेरे सारे Tweets🐦 like में 🚩</t>
  </si>
  <si>
    <t>ElectEngineer #MODIYOGIsFन #NATIONLIST PHILOPHOBIC🚩 #APOLITICAL #THEIST सनातनी_हिंदू🕉🚩 #AgainstदPseudoSecularismOfConLeftCPIM 🐦🐦🐦🐦 💯FOLLOWBACK💯🚩🐦</t>
  </si>
  <si>
    <t>brillia</t>
  </si>
  <si>
    <t>Kaunas, Lietuva</t>
  </si>
  <si>
    <t>とにかく音楽が好き! CHEMISTRY/Stevie Wonder/MONDO GROSSO/作詞/作曲/編曲/リトアニア留学中🇱🇹/秋田/国際教養大12期/21歳/燕⚾ ▶️https://t.co/ZNPIUlpycM</t>
  </si>
  <si>
    <t>Adam Evans</t>
  </si>
  <si>
    <t>Hogwarts on Thames</t>
  </si>
  <si>
    <t>Politico, raconteur and amateur polymath. I have no views and I exchanged those that I had for employment. RTs ≠ endorsement to run for President of the USA</t>
  </si>
  <si>
    <t>Ramlal Inaniyan</t>
  </si>
  <si>
    <t>नागौर, भारत</t>
  </si>
  <si>
    <t>Abe to push pacifist constitution reform after strong election win https://t.co/QuXPqbTGGh</t>
  </si>
  <si>
    <t>Ankur saini</t>
  </si>
  <si>
    <t>WingGirlTrader</t>
  </si>
  <si>
    <t>OVERNIGHT IN ASIA-PACIFIC: Japanese stocks rise as dollar climbs against the yen after Abe election win https://t.co/tPorE9q8HX</t>
  </si>
  <si>
    <t>Enter TI's Trading Room below</t>
  </si>
  <si>
    <t>I am a global financial news junkie, relatively new trader &amp; affiliate marketer, trying to make it on my own. I hang out daily in the FREE live TI Trading Room</t>
  </si>
  <si>
    <t>懞紗田</t>
  </si>
  <si>
    <t>美しくとてつもない日本</t>
  </si>
  <si>
    <t>RT @theresa_may: Congratulations to @AbeShinzo on his election success. A close friend and strong partner to the UK. https://t.co/9EhQ8lLAaE</t>
  </si>
  <si>
    <t>・自国の歴史を語れない人は世界でバカにされる ・フェアな教育をして、他者差別ではない、日本人の伝統に基づいた自国への誇りを持とう ・自虐史観排除</t>
  </si>
  <si>
    <t>DailyMynd</t>
  </si>
  <si>
    <t>After election win, Abe prioritizes North Korea, aging Japan https://t.co/64MP7pv0E9</t>
  </si>
  <si>
    <t>Denver, CO</t>
  </si>
  <si>
    <t>We give people tools to help make sense of the world they live in.</t>
  </si>
  <si>
    <t>Japan's Abe to push pacifist constitution reform after strong election win https://t.co/rglF3jMwBP https://t.co/ATSOU3whjC</t>
  </si>
  <si>
    <t>RT @Reuters: Japan's Abe to push pacifist constitution reform after strong election win https://t.co/rglF3jMwBP https://t.co/ATSOU3whjC</t>
  </si>
  <si>
    <t>ハッチ</t>
  </si>
  <si>
    <t>どこにでもいる普通のおっさん。 好きなもの:犬、ジャズ、何もしない時間 嫌いなもの:筋が通ってない事、ゴキブリ、蜘蛛 最近ハマってる事:相手にされてないが娘と遊ぶ事。涙</t>
  </si>
  <si>
    <t>💝Poonam Singh📴™©®</t>
  </si>
  <si>
    <t>दुनिया फरेब करके #हुनरमंद हो गई, हम ऐतबार करके #गुनाहगार हो गये…....💝💝</t>
  </si>
  <si>
    <t>ちぇるしー。</t>
  </si>
  <si>
    <t>Biyon Lite</t>
  </si>
  <si>
    <t>日本⇔マレーシア</t>
  </si>
  <si>
    <t>カレーが食べたい</t>
  </si>
  <si>
    <t>Capital.com</t>
  </si>
  <si>
    <t>"The win ensures that Governor Kuroda, or somebody like-minded, will remain at the helm of the BoJ" @freyabeamish https://t.co/e26VavspII</t>
  </si>
  <si>
    <t>Trade stocks, indices and commodities CFDs. Follow us for market news, ratings and analyses. Trading CFDs is risky. Regulated by the CySEC, license #319/17.</t>
  </si>
  <si>
    <t>Pires Jr!⚽</t>
  </si>
  <si>
    <t>in God i trust...arsenal fanatic...electrical and communication engineer</t>
  </si>
  <si>
    <t>Royal London AM</t>
  </si>
  <si>
    <t>Abe wins Japanese election, setting himself up to become Japan's longest serving PM: Hiroki Hashimoto comments… https://t.co/StrK6clbcC</t>
  </si>
  <si>
    <t>55 Gracechurch St, London EC3</t>
  </si>
  <si>
    <t>A leading asset manager investing in equities, bonds, property &amp; cash on behalf of institutional &amp; wholesale clients. For investment professionals only.</t>
  </si>
  <si>
    <t>ごまごま feat.ゆかりんFCイベ</t>
  </si>
  <si>
    <t>https://goo.gl/KPCojf</t>
  </si>
  <si>
    <t>田村ゆかりさんが大好きです。 エレ研・東方Project・蓮爾(肝臓の病気で食べれなくなりました)・酒(肝臓の病気で飲めなくなりました）アビスパ落選しました、でも行きます。</t>
  </si>
  <si>
    <t>World Socialist WS</t>
  </si>
  <si>
    <t>Japan’s Stalinists seek to head off anti-war movement ahead of election| WSWS https://t.co/wMHPIr1y36 https://t.co/AIvFihG1Xe</t>
  </si>
  <si>
    <t>The World Socialist Web Site is a daily source of news and analysis published by the International Committee of the Fourth International.</t>
  </si>
  <si>
    <t>Japan's Abe to push pacifist constitution reform after strong election win #Forex</t>
  </si>
  <si>
    <t>xBot</t>
  </si>
  <si>
    <t>Japan's Abe vows to put education spending before budget balance https://t.co/cIiOmdatpc</t>
  </si>
  <si>
    <t>Providing Reuters world news via RSS 99.99% UPTIME! | A hobby project since 2011.</t>
  </si>
  <si>
    <t>Alan Parker</t>
  </si>
  <si>
    <t>London is my city. I'm a big fan of video games, big fan of Pokemon, Nintendo, Zelda, Minecraft, Animal Crossing. Very interested in history and current events.</t>
  </si>
  <si>
    <t>Keshubhai Patel</t>
  </si>
  <si>
    <t>CHALISGAON Maharashtra, India</t>
  </si>
  <si>
    <t>Want Clean, Discipline &amp; Justice Country. #वन्देमातरम् #Vandematram #भारतीय</t>
  </si>
  <si>
    <t>Doreen</t>
  </si>
  <si>
    <t>Scotland</t>
  </si>
  <si>
    <t>Armadale Thistle, Morton, Liverpool. No Lists please. ☮ ✌♻</t>
  </si>
  <si>
    <t>Darshan</t>
  </si>
  <si>
    <t>Every date only happens once -- that's how time works !!</t>
  </si>
  <si>
    <t>Teresa Cerojano</t>
  </si>
  <si>
    <t>After election win, Abe prioritizes North Korea, aging Japan (from @AP) https://t.co/w8IaVPHH4B</t>
  </si>
  <si>
    <t>Vishal Rathor</t>
  </si>
  <si>
    <t>Prakash Bhatia</t>
  </si>
  <si>
    <t>دبي, الامارات العربية المتحدة</t>
  </si>
  <si>
    <t>Financial Adviser &amp; Banker,Specialist in Risk Management Insurance,Investments,Pensions, Employee Benefits,Corporate Services,Forex &amp; Bullion. REIT Specialist</t>
  </si>
  <si>
    <t>Breaking News</t>
  </si>
  <si>
    <t>Japan's Abe vows to put education spending before budget balance https://t.co/XaJKg27q7y</t>
  </si>
  <si>
    <t>Online Breaking News non-stop!</t>
  </si>
  <si>
    <t>☻ 真心</t>
  </si>
  <si>
    <t>Monts Meili Xue</t>
  </si>
  <si>
    <t>阿萍雅❣ เสือกไปวันๆ</t>
  </si>
  <si>
    <t>時重</t>
  </si>
  <si>
    <t>Feelings are in India</t>
  </si>
  <si>
    <t>20↑|腐|fanfic|shipper|aph🇮🇳🇩🇰🇵🇹🇪🇬🇹🇭|FRBfree|無言OKフォローご自由に|無断転載禁止|Prohibited without permission.|my otp💝portind|Love:COPIC</t>
  </si>
  <si>
    <t>鈴木博喜 (「民の声新聞」発行人)</t>
  </si>
  <si>
    <t>Yokosuka, Japan</t>
  </si>
  <si>
    <t>1972年1月27日生まれ。追浜高校→日大。子どもたちを被曝から救いたい。横須賀に生まれ育つ。【じぶん銀行 あいいろ支店 普通2460943（銀行コード0039 支店番号106）】 hirokix39@gmail.com</t>
  </si>
  <si>
    <t>RN Evendy</t>
  </si>
  <si>
    <t>ÜT: -7.7836,110.39627</t>
  </si>
  <si>
    <t>RAINHA DE JEPARA - SENORA DE RICA Ber-Jepara dan Ber-Jogja Fans FC. Barcelona sejak 2006 Tweet Resmi di tandai dengan : #P_88.</t>
  </si>
  <si>
    <t>RT Reuters "Japan's Abe to push pacifist constitution reform after strong election win https://t.co/eYe77C1sP1 https://t.co/Onr1d5fkoG"</t>
  </si>
  <si>
    <t>Freddie Keene</t>
  </si>
  <si>
    <t>"Japan's Abe Vows to Put Education Spending Before Budget Balance" by REUTERS via NYT https://t.co/uTu7JAvXg9</t>
  </si>
  <si>
    <t>Kill Devil Hills</t>
  </si>
  <si>
    <t>Wanna be beach bum by day, bartender &amp; bon vivant by night. Living the life most people envy!</t>
  </si>
  <si>
    <t>RAJAN</t>
  </si>
  <si>
    <t>REBELLIOUS UNABASHED AND UNCONVENTIONAL LOL DEVILS ADVOCATE</t>
  </si>
  <si>
    <t>ABHILASH PANDIT</t>
  </si>
  <si>
    <t>Lucknow, Uttar Pradesh,india</t>
  </si>
  <si>
    <t>Regional Secretary At BJYM UP,Secretary At Kutumb Foundation.Tweets r My Personal Views.Followed by Shri @piyushgoyalofficial shri @subratPathak12.</t>
  </si>
  <si>
    <t>I AM</t>
  </si>
  <si>
    <t>Japan's Abe hails landslide victory in snap election https://t.co/ZOFYpSrxox</t>
  </si>
  <si>
    <t>Poli-Sci Major. I would like to see the elimination of socio-economic disparity in the world. Wish for peace, prosperity and progress for all nations.</t>
  </si>
  <si>
    <t>Vivek singh tomar</t>
  </si>
  <si>
    <t>Etawah UP</t>
  </si>
  <si>
    <t>Manik Dey</t>
  </si>
  <si>
    <t>Business professional engd in Solar Energy Business.Nation First Self https://t.co/2e5e6dBFNE and Let Live Show a way to Live.</t>
  </si>
  <si>
    <t>HOT WORLD DAILY NEWS</t>
  </si>
  <si>
    <t>Shinzo abe on track for comfortable victory in japan's snap election: https://t.co/2dehTUJ3Rv qua @YouTube</t>
  </si>
  <si>
    <t>Reuters: Japan's Abe to push pacifist constitution reform after strong election win https://t.co/a5s2RXV4W2 https://t.co/Tom40lNN73</t>
  </si>
  <si>
    <t>myRepública</t>
  </si>
  <si>
    <t>After election win, Abe prioritizes North Korea, aging Japan l https://t.co/XpG7uPpgsz https://t.co/fcYiHc5p1y</t>
  </si>
  <si>
    <t>Kathmandu, Nepal</t>
  </si>
  <si>
    <t>Official twitter feed for http://t.co/xMsIwusoRy - English news portal of Nepal Republic Media (Pvt.) Ltd. a leading media house.</t>
  </si>
  <si>
    <t>A vote of confidence by default - https://t.co/Lm0IL2fPcL Prime Minister Shinzo Abe should not take the election outcome as an unqualifie...</t>
  </si>
  <si>
    <t>Ritesh (Kumar) सिंह</t>
  </si>
  <si>
    <t>Nothing to hide nothing to show</t>
  </si>
  <si>
    <t>Abe, post-election, faces a new Trump problem - https://t.co/yLI0tAJD2y The odds of Japan getting advantageous terms in direct talks with...</t>
  </si>
  <si>
    <t>たもん０８</t>
  </si>
  <si>
    <t>立憲民主党支持者です。</t>
  </si>
  <si>
    <t>RT turbostocks "RT trendytradepd "https://t.co/cln17jlo6y""</t>
  </si>
  <si>
    <t>Japan's Abe vows to put education spending before budget balance https://t.co/cgDw1gcHLZ</t>
  </si>
  <si>
    <t>Peterscott Mckenzie</t>
  </si>
  <si>
    <t>Seeker of truth and justice for the betterment of society. Lover,Enthusiast,Philanthropist and Lawyer</t>
  </si>
  <si>
    <t>mitch.k</t>
  </si>
  <si>
    <t>日本 北海道 札幌市南区</t>
  </si>
  <si>
    <t>ハイスタが超好き。西武ライオンズ、浦和レッズ、ダラス・マーベリックスのファン。自民党支持。</t>
  </si>
  <si>
    <t>yuuji</t>
  </si>
  <si>
    <t>SmartNews</t>
  </si>
  <si>
    <t>patel amrish</t>
  </si>
  <si>
    <t>Winnipeg, Canada</t>
  </si>
  <si>
    <t>Only on @twitter to help @narendramodi succeed in #sabkasaathsabkavikas! never voted any party other than #BJP since age of 18! Went to @RSSOrg sakha in #Nadiad</t>
  </si>
  <si>
    <t>राष्ट्रवादी पवन🇮🇳</t>
  </si>
  <si>
    <t>|| राष्ट्रवादी || हिंदू || “धर्मो रक्षति रक्षितः”|| @narendramodi fan || followed by @PiyushGoyaloffc || सेक्युलर दूर रहें ||</t>
  </si>
  <si>
    <t>風bot</t>
  </si>
  <si>
    <t>【Reuters: World News】Japan's Abe vows to put education spending before budget balance: TOKYO (Reuters) - Japan's p… https://t.co/wP9MXTU5HH</t>
  </si>
  <si>
    <t>35.517926,134.177328</t>
  </si>
  <si>
    <t>風まかせ( @kazemakase )の災害時アカウントです。自動と手動投稿してます。 リプライ、DMには対応しておりません。 #sanin_snow NHKニュース ロイターニュースReuters News) https://t.co/9JiPreX07D など</t>
  </si>
  <si>
    <t>Brett Richards</t>
  </si>
  <si>
    <t>3代目 H SOWL Brothers</t>
  </si>
  <si>
    <t>市民と共闘するのが立憲民主党。「こんな人たち」と共闘するのが日本共産党。Entertainment News from Japan or Europe.日本型社会主義の政治国際部のアカウントです。政治ネタを中心にお届けします。Stand up to Oppose War Law立民でスパイしてるシンパは今反対しろの意味</t>
  </si>
  <si>
    <t>Daniel Walker</t>
  </si>
  <si>
    <t>Decatur, GA</t>
  </si>
  <si>
    <t>Family, working, and Alpha man. RTs don't necessarily mean endorsement.</t>
  </si>
  <si>
    <t>Japan's Abe to push pacifist constitution reform after strong election win https://t.co/VyCU3dqkev https://t.co/fH9NI8X5iA #klout #maga</t>
  </si>
  <si>
    <t>Reuters: Japan's Abe to push pacifist constitution reform after strong election win https://t.co/EBKEZ9Fd93 https://t.co/UQFlfzLTsu</t>
  </si>
  <si>
    <t>FFoxylion</t>
  </si>
  <si>
    <t>Abe cruises to 'super-majority' win in Japan vote Japan Election… Ran as nationalist https://t.co/dn8tjqnlaH</t>
  </si>
  <si>
    <t>Plume for Android</t>
  </si>
  <si>
    <t>Rajesh Chudasama</t>
  </si>
  <si>
    <t>Junagadh,Gujarat,India</t>
  </si>
  <si>
    <t>Member Of Parliament(LS), #BJP, Junagadh/GirSomnath-Gujarat. Ex-MLA Mangrol/Maliya-Gujarat. State Secretary &amp; Member Of Parliamentary Committee Of #BJPGujarat</t>
  </si>
  <si>
    <t>Guyjin(Shitlord2639)</t>
  </si>
  <si>
    <t>Iowa, United States</t>
  </si>
  <si>
    <t>Iowan(born and raised), VidyaGamer(undead),RPGamer(NERD), Liberal(for some strange reason), Sealion(2639), Weeb trash(your waifu is shit)</t>
  </si>
  <si>
    <t>Japan's Abe to push pacifist constitution reform after strong election win https://t.co/5bbHVeMBdO https://t.co/oBF7ni7gsE Reuters</t>
  </si>
  <si>
    <t>Luisa Aresu</t>
  </si>
  <si>
    <t>Italia</t>
  </si>
  <si>
    <t>internet surfer-talking about things as I see it Black Cats- Rock-feminist-useless sarcasm-illogical-interests 4 pollution related health issues- Italian temper</t>
  </si>
  <si>
    <t>oldSanghi</t>
  </si>
  <si>
    <t>Disclaimer: RTs - not endorsement!</t>
  </si>
  <si>
    <t>だいがくいもアイス</t>
  </si>
  <si>
    <t>若い時の苦労は買ってでもしろ！を地で行く毎日 ～世間に躍らされる前に自ら踊ります～</t>
  </si>
  <si>
    <t>RT TFTCS "RT trendytradepd "https://t.co/cln17jlo6y""</t>
  </si>
  <si>
    <t>Ajith Kumar</t>
  </si>
  <si>
    <t>contortion [TeEm]</t>
  </si>
  <si>
    <t>I'm a professional musician with a major gaming problem. I sometimes stream on https://t.co/9u0NM2lla9 &amp; make music for fun at https://t.co/xuMYiisSuV.</t>
  </si>
  <si>
    <t>Supra1BqTeam</t>
  </si>
  <si>
    <t>Japan's Abe vows to put education spending before budget balance https://t.co/xZCVXY8QcT</t>
  </si>
  <si>
    <t>Orem, UT</t>
  </si>
  <si>
    <t>“To unfollow me, simply don’t follow me”</t>
  </si>
  <si>
    <t>🇮🇳Uma Panicker🇮🇳</t>
  </si>
  <si>
    <t>Bharat Mata ki Jai, Jai Hind. Proud Indian. RTs are not endorsements.</t>
  </si>
  <si>
    <t>Japan's Abe vows to put education spending before budget balance https://t.co/0sgOBikYgf</t>
  </si>
  <si>
    <t>Japan's Abe vows to put education spending before budget balance: TOKYO (Reuters) - Japan's prime minister has…… https://t.co/1NqkxGNtSS</t>
  </si>
  <si>
    <t>AllNews World</t>
  </si>
  <si>
    <t>Japan's Abe vows to put education spending before budget balance https://t.co/jlDNZ3hYyY</t>
  </si>
  <si>
    <t>Ajay Kanojia</t>
  </si>
  <si>
    <t>Have faith &amp; belief in god and self!</t>
  </si>
  <si>
    <t>Tsewole Panseh</t>
  </si>
  <si>
    <t>Japan's Abe vows to put education spending before budget balance https://t.co/t4ZjdNcr6H https://t.co/LEPqtm5AhO</t>
  </si>
  <si>
    <t>Aside from his genuine love for soccer and his job, Panseh Tsewole also enjoys traveling. The experience of different cultures, seeing places and interacting</t>
  </si>
  <si>
    <t>REUTERS: Japan's Abe to push pacifist constitution reform after strong election win https://t.co/DVoq4vU71b https://t.co/G742OE0rPr</t>
  </si>
  <si>
    <t>Sarah Lee</t>
  </si>
  <si>
    <t>The world is not comprehensible, but it is embraceable, through the embracing of one of its beings.</t>
  </si>
  <si>
    <t>Keith Yawn</t>
  </si>
  <si>
    <t>Austin, Texas</t>
  </si>
  <si>
    <t>proud native Texan (retweets are not endorsements)</t>
  </si>
  <si>
    <t>#world #news Japan's Abe vows to put education spending before budget balance https://t.co/rn7x5wVXsk @hyperrts… https://t.co/OfyvlXC0gj</t>
  </si>
  <si>
    <t>#ReutersTopNews 👉 Japan's Abe to push pacifist constitution reform after strong election win … https://t.co/WYGltSopk3</t>
  </si>
  <si>
    <t>Fábio</t>
  </si>
  <si>
    <t>Japan's Abe vows to put education spending before budget balance https://t.co/ULrXDWWC2z https://t.co/PG8cd4hRRu</t>
  </si>
  <si>
    <t>Count Your Age by Friends, Not Years. Count Your Life by Smiles, Not Tears</t>
  </si>
  <si>
    <t>MIGUEL ALFREDO NAYA</t>
  </si>
  <si>
    <t>COLON ENTRE RIOS ARGENTINA</t>
  </si>
  <si>
    <t>locutor,periodista</t>
  </si>
  <si>
    <t>Ranjan Kumar Sahoo</t>
  </si>
  <si>
    <t>Metallurgist.</t>
  </si>
  <si>
    <t>bizzscout</t>
  </si>
  <si>
    <t>#JAPAN: Asian stocks rise after ruling party claims Japan election win https://t.co/mrh4CBanyq #NEWS</t>
  </si>
  <si>
    <t>THE-YOURLS-awesome</t>
  </si>
  <si>
    <t>Business around the world</t>
  </si>
  <si>
    <t>Gabriele steger</t>
  </si>
  <si>
    <t>Advisor To The Minister at Ministry of Foreign Affairs.</t>
  </si>
  <si>
    <t>Japan's Abe to push pacifist constitution reform after strong election win https://t.co/8xpQvn1RoA</t>
  </si>
  <si>
    <t>Sri GC Pal</t>
  </si>
  <si>
    <t xml:space="preserve">Earth </t>
  </si>
  <si>
    <t>An ordinary developer... A sincere learner.. A break through all rounder.. A creative leader.. An ordinary human 🙏</t>
  </si>
  <si>
    <t>RT @NAR: Constitutional reform not bound by schedule: Abe https://t.co/tMvBAVWwVK</t>
  </si>
  <si>
    <t>TehMafiaJoe</t>
  </si>
  <si>
    <t>Japan's Abe vows to put education spending before budget balance https://t.co/mcmRXGj88q</t>
  </si>
  <si>
    <t>If you can't take a joke, fuck off. #uncensored</t>
  </si>
  <si>
    <t>Akira Yanai</t>
  </si>
  <si>
    <t>Japan(@sugitayukieを忘れない)</t>
  </si>
  <si>
    <t>Nothing's gonna change my world. ｢空腹であれ バカであれ｣がモットー。夢想家で平和主義者。#2ちゃんねるが嫌いだ。適当に!?投稿します(^_^)</t>
  </si>
  <si>
    <t>Japan's Abe to push pacifist constitution reform after strong election win https://t.co/WYgs6iwP1A https://t.co/Py5hCtiUU2</t>
  </si>
  <si>
    <t>Reuters: Japan's Abe to push pacifist constitution reform after strong election win https://t.co/qzGEMr43jy https://t.co/St4mYDNhty</t>
  </si>
  <si>
    <t>Hammond faces budget 'Ambush', Javid says 'borrow to build' &amp; Abe wins Japan election Watch our Headlines Roundup:… https://t.co/xNekUPUGYC</t>
  </si>
  <si>
    <t>RT @NAR: Abe gets go-ahead on economy, prompting unease over constitution https://t.co/5OOXOm0lPh https://t.co/Sp5VlAtcIl</t>
  </si>
  <si>
    <t>S30 Media Network</t>
  </si>
  <si>
    <t>Japan's Abe vows to put education spending before budget balance https://t.co/A9TevGOflf</t>
  </si>
  <si>
    <t>Indiana, USA</t>
  </si>
  <si>
    <t>Amateur tv evangelist. Music nerd. Hardcore creator. Travel lover. Wannabe thinker.</t>
  </si>
  <si>
    <t>japs</t>
  </si>
  <si>
    <t>nimrodog</t>
  </si>
  <si>
    <t>European - Pro Democracy - Anti EU International Trader (rtd) Interests: Oil Gas Rare Earth Metal Solar Hydrogen Economy Molten Salts Reactors Coal Bed Methane</t>
  </si>
  <si>
    <t>Japan's Abe to push pacifist constitution reform after strong election win https://t.co/zuatDK51Sm https://t.co/J6FMNd4Kqy (Reuters)</t>
  </si>
  <si>
    <t>RT @NAR: What does Abe's election victory mean to China? https://t.co/kY75jEYgWP</t>
  </si>
  <si>
    <t>Mateo</t>
  </si>
  <si>
    <t>Twin Peaks</t>
  </si>
  <si>
    <t>BLM. Not My President. Her Body, Her Choice. No Ban, No Wall. TLM. Love is Love. What Year Is It?</t>
  </si>
  <si>
    <t>RT @NAR: China's congress-focused media keep Japan election on radar https://t.co/OG4730CtWw https://t.co/UNHN1bpK7c</t>
  </si>
  <si>
    <t>Algérie Informations</t>
  </si>
  <si>
    <t>Japan's Abe vows to put education spending before budget balance https://t.co/xBY2Kb0vM9 #Algeria #الجزائر https://t.co/IqPfkJ9a2A</t>
  </si>
  <si>
    <t>San Francisco, CA 514-894-0179</t>
  </si>
  <si>
    <t>République Algérienne Démocratique et Populaire. Eclectic news &amp; info for all.</t>
  </si>
  <si>
    <t>Alistar</t>
  </si>
  <si>
    <t>Japan's Abe hails landslide victory in snap election https://t.co/vtwuBKVi2J</t>
  </si>
  <si>
    <t>an Introvert who has been getting more introverted day by day. why?</t>
  </si>
  <si>
    <t>RT @NAR: Where Japan's election results point the country's politics and economy https://t.co/3Z8wwyb3GV</t>
  </si>
  <si>
    <t>Kariti</t>
  </si>
  <si>
    <t>MD Passionate on matters patients safety. Believer of Justice. Love life, it's the only way to live.</t>
  </si>
  <si>
    <t>Sriram</t>
  </si>
  <si>
    <t>RTs not endorsements</t>
  </si>
  <si>
    <t>Isaac Kenya</t>
  </si>
  <si>
    <t>Bahrain/Kenya</t>
  </si>
  <si>
    <t>Mufc fan /Hotelier/ Imani/Wisip</t>
  </si>
  <si>
    <t>Saagi##0069</t>
  </si>
  <si>
    <t>TV https://t.co/UlwLPR8zzn https://t.co/v10okHV2Oi specialist. Interested in learning and sharing..Music aficionado ...Freelance internet ninja..</t>
  </si>
  <si>
    <t>Xania Tube</t>
  </si>
  <si>
    <t>Japan election: Abe hails massive win, but what now for the country's pacifist constitution? - https://t.co/ffi39k3w9P #XaniaTube</t>
  </si>
  <si>
    <t>XaniaTube.com</t>
  </si>
  <si>
    <t>Belgium</t>
  </si>
  <si>
    <t>XaniaTube - Publish Any Videos. Import, stream or embed. Registered user has an advanced profile page access, can embed or upload videos. Join us now!</t>
  </si>
  <si>
    <t>manisha</t>
  </si>
  <si>
    <t>Modi fan ..Hate libtards, pseudo seculars, Anti INC,Anti AAP, Anti Communist..</t>
  </si>
  <si>
    <t>Sunilsingh</t>
  </si>
  <si>
    <t>Reuters: Japan's Abe to push pacifist constitution reform after strong election win https://t.co/8WpeOdV2kG … https://t.co/v8nUWV8GmB</t>
  </si>
  <si>
    <t>सुखदेव चौधरी 💯</t>
  </si>
  <si>
    <t>Nagaur,India</t>
  </si>
  <si>
    <t>#Revenue_employee and student/ Cricket lover/ Great fan of @imVkohli @narendramodi ji and @msdhoni/सोच बदलो,देश बदलो/ #NewIndia🙋🙏🙏 / #DigitalIndia📡🌍</t>
  </si>
  <si>
    <t>Sheena Ricarte</t>
  </si>
  <si>
    <t>Aesthetic | Millennial | Beyond Reproach</t>
  </si>
  <si>
    <t>International Financial Economics &amp; Corporate Finance (Banking &amp; Capital Markets) Aficionado &amp; Cognoscente | Investor | Diplomat by Training | @F1 Devotee |</t>
  </si>
  <si>
    <t>Aakash singla</t>
  </si>
  <si>
    <t>World News Box</t>
  </si>
  <si>
    <t>Japan's Abe vows to put education spending before budget balance https://t.co/LBdmLU29HL</t>
  </si>
  <si>
    <t>World</t>
  </si>
  <si>
    <t>Jignesh Shukla</t>
  </si>
  <si>
    <t>Reuters: Japan's Abe to push pacifist constitution reform after strong election win https://t.co/uQFc08y4w9 https://t.co/XkXf2TWdwJ</t>
  </si>
  <si>
    <t>Meghna Saxena</t>
  </si>
  <si>
    <t>Being a mystery is way more interesting than being known..!! 😉</t>
  </si>
  <si>
    <t>Glenn Quagmire ☣</t>
  </si>
  <si>
    <t>New post: "Japan's Abe vows to put education spending before budget balance" https://t.co/0fY1PTFS0h</t>
  </si>
  <si>
    <t>Miami</t>
  </si>
  <si>
    <t>First there will be anarchy, then there will be me!</t>
  </si>
  <si>
    <t>Japan's Abe vows to put education spending before budget balance https://t.co/8pWoAWY4Um</t>
  </si>
  <si>
    <t>Chander Sain Nalot</t>
  </si>
  <si>
    <t>shrimadhopur rajsthan</t>
  </si>
  <si>
    <t>जिला मंत्री भाजयुमो सीकर राजस्थान</t>
  </si>
  <si>
    <t>Robyn Dickerson</t>
  </si>
  <si>
    <t>RT @CP24: After election win, Abe prioritizes North Korea, aging Japan https://t.co/EqZh8BR3IA https://t.co/FX4DbDrzEv</t>
  </si>
  <si>
    <t>Ontario, Canada</t>
  </si>
  <si>
    <t>|RP18+|Para RPer|T1 Combat Champion for the Carrendar Dynasty Kingdom|Ruler of the Narvoria Empire|SGA Fan|</t>
  </si>
  <si>
    <t>Mersal</t>
  </si>
  <si>
    <t>🎉 Aspirant🎉 Have the confident..Have the spirit...stay Blessed🔚 /சமூகத்தின் நண்பன் /</t>
  </si>
  <si>
    <t>Juank</t>
  </si>
  <si>
    <t>Japan's Abe vows to put education spending before budget balance https://t.co/wlsF7G590t</t>
  </si>
  <si>
    <t>San Salvador, El Salvador</t>
  </si>
  <si>
    <t>#Blogger #Tech #Política #Monitoreo #Discapacidad #Workaholic #FMLN #ElSalvador 🇸🇻 –de cuando en vez, bruto para decir las cosas– 🤔 ¡Así en corto!</t>
  </si>
  <si>
    <t>Japan's Abe to push pacifist constitution reform after strong election win https://t.co/1JzmxAqJMk https://t.co/pfdGybcbD9</t>
  </si>
  <si>
    <t>Japan's Abe predicted to win big https://t.co/ASP9C7LnVH</t>
  </si>
  <si>
    <t>Reuters: Japan's Abe to push pacifist constitution reform after strong election win https://t.co/IKWGF2qeLr … https://t.co/4NdsiXgrht</t>
  </si>
  <si>
    <t>Valeria Pérez</t>
  </si>
  <si>
    <t>Tim Dixon</t>
  </si>
  <si>
    <t>Japan Ranks Low in Female Lawmakers. An Election Won’t Change That., via @nytimes https://t.co/BRKhWJoPYe</t>
  </si>
  <si>
    <t>Coppell Tx</t>
  </si>
  <si>
    <t>Coppell HS: AP/GT World History, Academic Decathlon ........ This site used primarily to post World News Articles for my classes</t>
  </si>
  <si>
    <t>Radio Londra</t>
  </si>
  <si>
    <t>Qui Radio Londra: Japan's Abe vows to put education spending before budget balance https://t.co/KiyDaJvkX4</t>
  </si>
  <si>
    <t>Europa centrale</t>
  </si>
  <si>
    <t>Notizie dal mondo in memoria del colonnello Harold Stevens.</t>
  </si>
  <si>
    <t>Japan's Abe to push pacifist constitution reform after strong election win https://t.co/vVEgcm4vfE https://t.co/EJ6dS4hCL3</t>
  </si>
  <si>
    <t>Think About It Films</t>
  </si>
  <si>
    <t>#JapanElection 2 cultural issues: outdated war guilt (get over it) &amp; outdated male dominance (get over it) https://t.co/vVVwHxVJ4A</t>
  </si>
  <si>
    <t xml:space="preserve"> Watford &amp; the web</t>
  </si>
  <si>
    <t>Short films that help people think (views are sometimes other people's views, because other people's views matter)</t>
  </si>
  <si>
    <t>Global News</t>
  </si>
  <si>
    <t>Japan's Abe vows to put education spending before budget balance https://t.co/LphZ5LHJgj</t>
  </si>
  <si>
    <t>Washinton D.C. ,,,  U.S.A,</t>
  </si>
  <si>
    <t>Global News by __________________ __________________________________ ( .@illuminati_00 .) ____________ _____ @Global_00 _______________ ______ T j Parker</t>
  </si>
  <si>
    <t>David Bird</t>
  </si>
  <si>
    <t>Japan's Abe vows to put education spending before budget balance https://t.co/KZqRFiQYTU</t>
  </si>
  <si>
    <t>No pictures of what I had for my last meal, only the news I've read since then.</t>
  </si>
  <si>
    <t>Roger Swannell's Bot</t>
  </si>
  <si>
    <t>Japan's Abe vows to put education spending before budget balance https://t.co/XyfnWxwlrn #news</t>
  </si>
  <si>
    <t>I'm Roger Swannell's bot</t>
  </si>
  <si>
    <t>Monish Patra</t>
  </si>
  <si>
    <t>Odisha,India</t>
  </si>
  <si>
    <t>Only ANIME account... Sorry it's reality...</t>
  </si>
  <si>
    <t>schriftsteller.club</t>
  </si>
  <si>
    <t>Typhoon Lan leaves five dead after lashing Japan on election day https://t.co/i5swrFgszw</t>
  </si>
  <si>
    <t>Kloten, Schweiz</t>
  </si>
  <si>
    <t>https://t.co/nRFtwL1jMw</t>
  </si>
  <si>
    <t>Inoue, Masao</t>
  </si>
  <si>
    <t>Chiba, Japan</t>
  </si>
  <si>
    <t>Tweets of News reported in Japanese and sometimes Chinese or Korean with focus on international relations. / Note to self</t>
  </si>
  <si>
    <t>gaurav shukla</t>
  </si>
  <si>
    <t>Tezpur, India</t>
  </si>
  <si>
    <t>myself is simple indian who wants peace and development in my country.</t>
  </si>
  <si>
    <t>Roberto Manzoni</t>
  </si>
  <si>
    <t>TOKYO (Reuters) - Japan's prime minister has vowed to make education and childcare a priority over ambitious... https://t.co/xDfDqNA1Yd</t>
  </si>
  <si>
    <t>Arinaga de Gran Canaria</t>
  </si>
  <si>
    <t>Non sopporto gli idioti ! Basta un click per eliminarli .</t>
  </si>
  <si>
    <t>Ellis Barnes</t>
  </si>
  <si>
    <t>Abe, Trump agree to raise pressure on North Korea: Japan government https://t.co/rabOEoBnZn</t>
  </si>
  <si>
    <t>Myrtle Beach SC</t>
  </si>
  <si>
    <t>Sahel Diab</t>
  </si>
  <si>
    <t>Japan's Abe vows to put education spending before budget balance https://t.co/s9JCwDls9r #SahelNews</t>
  </si>
  <si>
    <t>Amman, Hashemite Kingdom of Jo</t>
  </si>
  <si>
    <t>CEO &amp; Founder #SahelNews Conveying &amp; spreading #Awareness on #SocioEconomic #Sports #Politics #Controversial_Issues in #MENA #Globally #SMSummitJO #SMSummitME</t>
  </si>
  <si>
    <t>Bret!</t>
  </si>
  <si>
    <t>RT @alt_media_today: #world #news Japan's Abe to push pacifist constitution reform after strong… https://t.co/8Cv6OupK7t @hyperrts #StopRu…</t>
  </si>
  <si>
    <t>indianola</t>
  </si>
  <si>
    <t>केशव मिश्र</t>
  </si>
  <si>
    <t>Student of Life!!!!!!!!!!!!!!!!!!!!!!</t>
  </si>
  <si>
    <t>REUTERS reports Japan's Abe to push pacifist constitution reform after strong election win https://t.co/RZjAof6fNg https://t.co/9rZ3K4M3LZ</t>
  </si>
  <si>
    <t>dileep</t>
  </si>
  <si>
    <t>Rajput Lavji Singh</t>
  </si>
  <si>
    <t>Chandigarh(the city beautiful)</t>
  </si>
  <si>
    <t>|#IITian #Engineer #B.Tech(Mechanical)| |#Designer Engineer|@narendramodi &amp; @yogi फैन |#BJP Supporter|#राष्ट्रवादी|#सोच बदलो देश बदलेगा| #हिन्दुस्तानी</t>
  </si>
  <si>
    <t>Japan's Abe vows to put education spending before budget balance https://t.co/1ejvvczDK3 via REUTERS</t>
  </si>
  <si>
    <t>Susan</t>
  </si>
  <si>
    <t>Elementary school teacher. Favorite things: books, films, TV shows, good food, music, and wines. Avid news junkie, history buff, geography geek and traveller.</t>
  </si>
  <si>
    <t>Thomas</t>
  </si>
  <si>
    <t>Meghalaya, India</t>
  </si>
  <si>
    <t>Love of my life @aliaa08 @ShraddhaKapoor @deepikapadukone 😘😘😘 They are my WORLD</t>
  </si>
  <si>
    <t>R 🎃 c h e l 🔆</t>
  </si>
  <si>
    <t>West Coast</t>
  </si>
  <si>
    <t>From/Work/Live/Love Cali. @CSUMB Alum. Fmr @CAgovernment employee. #LoveIsLove. Proud #TeamWalmart Associate. These are my opinions, obvi. ❤️ @mexime1t</t>
  </si>
  <si>
    <t>Hemanshu Ghia</t>
  </si>
  <si>
    <t>Self-Employed Hardcore Narendra Modi fan</t>
  </si>
  <si>
    <t>猫屋</t>
  </si>
  <si>
    <t>France</t>
  </si>
  <si>
    <t>猫屋寅八（欧州大陸浪人パリ部担当） ね式（世界の読み方）休暇中の中の人 ツイログ：http://t.co/LrIfpU60KI</t>
  </si>
  <si>
    <t>Ben Hirschler</t>
  </si>
  <si>
    <t>Another #referendum coming up --&gt; #Japan's #Abe to push pacifist constitution reform after strong election win https://t.co/S618dwF65P</t>
  </si>
  <si>
    <t>Health, pharma and science writer for #Reuters in London. Any opinions are mine.</t>
  </si>
  <si>
    <t>raj</t>
  </si>
  <si>
    <t>Expect logical questions. If you do not acknowledge the problem, you can never address it. Love travelling</t>
  </si>
  <si>
    <t>Fractaurean</t>
  </si>
  <si>
    <t>Japan's Abe to push pacifist constitution reform after strong election win https://t.co/xELOob0cv0</t>
  </si>
  <si>
    <t>The Expanding Universe</t>
  </si>
  <si>
    <t>Traveler, seeker of qi, qirider, seeker &amp; protector of the Truth</t>
  </si>
  <si>
    <t>WomenAcrossFrontiers</t>
  </si>
  <si>
    <t>#Japan Ranks Low in Female Lawmakers. An Election Won’t Change That. https://t.co/wZOkOnrzNa via @nytimes. Our take… https://t.co/CLmrMLRLMg</t>
  </si>
  <si>
    <t>Women Across Frontiers, Inc. is a quarterly digital publication with 501 (c) (3) status dedicated to furthering gender equality around the globe.</t>
  </si>
  <si>
    <t>لبيك يا زينب</t>
  </si>
  <si>
    <t>Typhoon leaves five dead after lashing Japan on election day #Syria #Iraq #Ksa #Uae #Qatar https://t.co/c6VtXjNYQc</t>
  </si>
  <si>
    <t>الارض</t>
  </si>
  <si>
    <t>أنتم لا تعرفون اليوم من تقاتلون أنتم تقاتلون أبناء محمد وعلي والحسن والحسين وأهل بيت رسول الله</t>
  </si>
  <si>
    <t>Mariko Hamada</t>
  </si>
  <si>
    <t>Travelling</t>
  </si>
  <si>
    <t>Traveller | Plays sax &amp; piano | Loves music, films, political economy &amp; Hanshin tigers | Sales &amp; Marketing, Biz development | JPN | Osaka | Tweets own views</t>
  </si>
  <si>
    <t>Kathem Jubran</t>
  </si>
  <si>
    <t>Dollar/yen hits three-month high after Japan ruling party's election win https://t.co/l1DIavuyiA https://t.co/duO9QyYqzu</t>
  </si>
  <si>
    <t>Sharia compliant forex introducing broker &amp; member of Sharia advisory board 🕋. DM me for Islamic trading advice 📈.</t>
  </si>
  <si>
    <t>SimplyFX Bandung</t>
  </si>
  <si>
    <t>Dollar/yen hits three-month high after Japan ruling party's election win https://t.co/8Y5myM5KcR https://t.co/cVxO0CpF4H</t>
  </si>
  <si>
    <t>Quoinvestments</t>
  </si>
  <si>
    <t>Dollar/yen hits three-month high after Japan ruling party's election win https://t.co/eu6zzu0Ih5 https://t.co/TOfvyFaspX</t>
  </si>
  <si>
    <t>España/Catalunya/Girona</t>
  </si>
  <si>
    <t>#Traders / #Inversores Este camino se hace andando. Aquí te enseñamos cómo andamos.</t>
  </si>
  <si>
    <t>Durgesh trivadi</t>
  </si>
  <si>
    <t>नाथद्वार, भारत</t>
  </si>
  <si>
    <t>Arun Dalvi</t>
  </si>
  <si>
    <t>Abe claims victory as powerful endorsement, may seek re-election next month https://t.co/TLtMbWJST8 #usedcar #japan</t>
  </si>
  <si>
    <t>bob smith</t>
  </si>
  <si>
    <t>Japan's Abe vows to put education spending before budget balance https://t.co/XWZXTxNXD4</t>
  </si>
  <si>
    <t>TBO Media Inc.</t>
  </si>
  <si>
    <t>Japan's Abe vows to put education spending before budget balance https://t.co/2Pl6zuZjfl</t>
  </si>
  <si>
    <t>Iowa, USA</t>
  </si>
  <si>
    <t>Falls down a lot. Amateur troublemaker. Explorer. Future teen idol. Bacon junkie. Avid student.</t>
  </si>
  <si>
    <t>Reuters: Japan's Abe to push pacifist constitution reform after strong election win https://t.co/U7jQzxyq1c https://t.co/oWg64DqbYP</t>
  </si>
  <si>
    <t>David Thomas Sutton</t>
  </si>
  <si>
    <t>Monday October 23 - Morning Update: Shinzo Abe’s ruling coalition scored big in Japan’s election Via @globeandmail https://t.co/wX9ipO4t1a</t>
  </si>
  <si>
    <t>Cleveland, Ohio</t>
  </si>
  <si>
    <t>Born &amp; raised in Sault Ste. Marie, Michigan; graduated from Sault High School; attended Lake Superior State University &amp; Cuyahoga Community College. . .</t>
  </si>
  <si>
    <t>Shivam Shah</t>
  </si>
  <si>
    <t>Mughalsarai, India</t>
  </si>
  <si>
    <t>कार्यकर्ता, अखिल भारतीय विद्यार्थी परिषद, सदस्य, MY HOME INDIA, छात्र, महात्मा गांधी काशी विद्यापीठ। जिला कार्यकारिणी सदस्य, सूचना एवं प्रौद्योगिकी विभाग भाजपा</t>
  </si>
  <si>
    <t>Blätter</t>
  </si>
  <si>
    <t>Don't follow your dreams follow me</t>
  </si>
  <si>
    <t>NarendraShivajiPatel</t>
  </si>
  <si>
    <t>#Swayamsevak #RSS, Ex-Worker #ABVP , Worked as #Ground_Zero_Worker to National Secretary of #BJYM, #BJP Worker. #Engineer, #Writer Views r personal, RT=Support</t>
  </si>
  <si>
    <t>ProudIndian</t>
  </si>
  <si>
    <t>Proud Indian, Hindu. Support NaMo &amp; SabKaSaathSabKaVikas. Strong believer that India will regain VishwaGuru position. IT professional. RTs are not endorsements</t>
  </si>
  <si>
    <t>srikanta</t>
  </si>
  <si>
    <t>lucknow</t>
  </si>
  <si>
    <t>Think and analyse social dogmas. Researcher. Tweets are not endorsements</t>
  </si>
  <si>
    <t>Rajiv</t>
  </si>
  <si>
    <t>Susheelkumar Pattar</t>
  </si>
  <si>
    <t>Athani, India</t>
  </si>
  <si>
    <t>Advocate,District General Secretary BJP Chikkodi District,Karnataka #BetiBachaoBetiPadhao #SwacchBharat #IAmNewIndia #NationFirst @narendramodi @AmitShah</t>
  </si>
  <si>
    <t>たか</t>
  </si>
  <si>
    <t>RT @abcnews: Tokyo correspondent @rachelmealey says Japan's snap election has posed a "strange conundrum" for voters. #JapanVotes https://t…</t>
  </si>
  <si>
    <t>Emily</t>
  </si>
  <si>
    <t>いたるところに。</t>
  </si>
  <si>
    <t>2014年から、のんびりしてます。来年(2018)はイタリアで！ どこかでいつか4A&amp;4F</t>
  </si>
  <si>
    <t>Michael J Walker</t>
  </si>
  <si>
    <t>Bristol, England</t>
  </si>
  <si>
    <t>Sonder – n. the profound realisation that each random passerby is living a life as vivid and complex as your own.</t>
  </si>
  <si>
    <t>Easternguy</t>
  </si>
  <si>
    <t>Indian, Inquisitive, mountain boy, unemployed, omnivorous and won't call spade a showel.</t>
  </si>
  <si>
    <t>राघव</t>
  </si>
  <si>
    <t>जयपुर, भारत</t>
  </si>
  <si>
    <t>सच्चा भारतीय। watching every sickular n libtard. You Abuse get abused. simple👍</t>
  </si>
  <si>
    <t>Anmol Sinha</t>
  </si>
  <si>
    <t>BJP कट्टर हिंदू follow @narendramodi @dasraghubar</t>
  </si>
  <si>
    <t>Japan's Abe to push pacifist constitution reform after strong election win https://t.co/lIh9OlNRdc https://t.co/ByRiGYBXBf Reuters</t>
  </si>
  <si>
    <t>Hetal Patel</t>
  </si>
  <si>
    <t>Navsari, India</t>
  </si>
  <si>
    <t>Dirk Friczewsky</t>
  </si>
  <si>
    <t>RT @ReutersUS: Japan's Abe to push pacifist constitution reform after strong election win https://t.co/Xbx2G1IIVF https://t.co/LCARIjiYb6</t>
  </si>
  <si>
    <t>Frankfurt/Wiesbaden - Germany</t>
  </si>
  <si>
    <t>providing free FX-trades daily Disclaimer:Trades, charts,articles,my setups are for informational purpose and not a recommendation to buy or sell securities!</t>
  </si>
  <si>
    <t>Anirudh Ramesh</t>
  </si>
  <si>
    <t>Triplicane, Chennai, Tamilnadu</t>
  </si>
  <si>
    <t>Sloth is my spirit animal.</t>
  </si>
  <si>
    <t>jed</t>
  </si>
  <si>
    <t>Oct23: Abe wins Japan election. Trump &amp; Adern speak. John Mccain delivers thinly veiled jab at Trump for avoiding Vietnam with ‘bone spurs’.</t>
  </si>
  <si>
    <t>Auckland, New Zealand</t>
  </si>
  <si>
    <t>NyakwarOsuo</t>
  </si>
  <si>
    <t>Olepolos, Kenya</t>
  </si>
  <si>
    <t>Me</t>
  </si>
  <si>
    <t>The Korea Times</t>
  </si>
  <si>
    <t>A big victory by Shinzo Abe's Liberal Democratic Party-led coalition in Japan's snap election is casting clouds... https://t.co/5k0K0cVORa</t>
  </si>
  <si>
    <t>코리아타임스- Since 1950 Korea's First English Daily, Korea's Global Daily. Tweeting from KT towers &amp; beyond!</t>
  </si>
  <si>
    <t>Suman Kant Jha</t>
  </si>
  <si>
    <t>Muzaffarpur Bihar India</t>
  </si>
  <si>
    <t>mahanagar JDU president budhijibi muzaffarpur MBA Event manager</t>
  </si>
  <si>
    <t>AFP news agency</t>
  </si>
  <si>
    <t>Japan's Abe aims at N. Korea threat after storming to 'super-majority' election win https://t.co/1rZ4eQcx6d… https://t.co/bDwXfNKe8g</t>
  </si>
  <si>
    <t>Top news and features from AFP's reporters around the world. Elsewhere on Twitter: https://t.co/4pIm8k2HLC</t>
  </si>
  <si>
    <t>Umesh dutt</t>
  </si>
  <si>
    <t>Government and Politics Politicians and Pol Parties Entertainment Channels</t>
  </si>
  <si>
    <t>USA World News</t>
  </si>
  <si>
    <t>Japan will hold a major election on Sunday. Here's why you should care #politics</t>
  </si>
  <si>
    <t>rajat vikal</t>
  </si>
  <si>
    <t>|nationalist|businessmen by profession politician by passion |modifan | BJP|bjym| gautam budh Nagar| uttar Pradesh|</t>
  </si>
  <si>
    <t>Brown Bear Pro SNS</t>
  </si>
  <si>
    <t>Social Media Networking</t>
  </si>
  <si>
    <t>AFP: Japan's Abe aims at N. Korea threat after storming to 'super-majority' election win https://t.co/BLiU6XE97U … https://t.co/pS1LhC7pmB</t>
  </si>
  <si>
    <t>Fatima Ali</t>
  </si>
  <si>
    <t>Lahore, Pakistan</t>
  </si>
  <si>
    <t>Whatever your goal, you can get there if you're willing to work.</t>
  </si>
  <si>
    <t>Kipkoech</t>
  </si>
  <si>
    <t>Peace for all</t>
  </si>
  <si>
    <t>BHARATH</t>
  </si>
  <si>
    <t>Suicide is Murder,Treachery is Patriotism, Communalism is Secularism. Rahul Is Dynamic, Kejriwal is Honest, All other folks are Idiots Vision of Congress ? ?</t>
  </si>
  <si>
    <t>enfant terrible</t>
  </si>
  <si>
    <t>RT @AFP: Japan's Abe aims at N. Korea threat after storming to 'super-majority' election win https://t.co/1rZ4eQcx6d #JapanElection https:/…</t>
  </si>
  <si>
    <t>این نیز بگذرد🌸22</t>
  </si>
  <si>
    <t>Japjot Singh</t>
  </si>
  <si>
    <t>Daily Global News</t>
  </si>
  <si>
    <t>Japan's PM Wins Re-election: North Korea a Priority https://t.co/STCjRTfpOj</t>
  </si>
  <si>
    <t>Florida, USA</t>
  </si>
  <si>
    <t>Daily Global News is a big modern influence on media.There are technology, economy, celebrity, politic, sport and reality television to keep people entertained.</t>
  </si>
  <si>
    <t>Y.WADA</t>
  </si>
  <si>
    <t>東京都江東区</t>
  </si>
  <si>
    <t>修士(理学)。個人の尊厳を認めない社会にはノー。孤独死当確ですが危機感なく受け容れるつもり。「昔はよかった」論者・ネトウヨ・小池信者・陰謀論者(不正投票含む)・エセ科学お断り。時に罵詈雑言があるためご注意を。支持政党は日本共産党。アイコンは「大図書館の羊飼い」(R18ゲーム)より。</t>
  </si>
  <si>
    <t>Praveen Kumar Basude</t>
  </si>
  <si>
    <t>Pt Mahesh Shastriji</t>
  </si>
  <si>
    <t>Panchang Ganitha, siddhanti of https://t.co/P6EjdwDdVg. Drigganitha Panchagam.</t>
  </si>
  <si>
    <t>中津 鳥羽樹@アベノミクス継続!ザマァw</t>
  </si>
  <si>
    <t>ヤポン</t>
  </si>
  <si>
    <t>金と美人と仕事と旅が日課。それで構わなければどうぞ。</t>
  </si>
  <si>
    <t>Khalifa shashnk</t>
  </si>
  <si>
    <t>Parody of Salmon kahn fan, humanizer.</t>
  </si>
  <si>
    <t>Parth kacha</t>
  </si>
  <si>
    <t xml:space="preserve">Gujarat (Rajkot) , India </t>
  </si>
  <si>
    <t>#Incharge - Reporting part, ITSM, Rajkot Dist.BJP #Followed_by - @narendramodi</t>
  </si>
  <si>
    <t>Daniella Sasaki</t>
  </si>
  <si>
    <t>Sheffield, England</t>
  </si>
  <si>
    <t>Digital Coach at @GoogleUK #DigitalGarage, MA in #DigitalCulture, freelance photographer, tech curious and geek</t>
  </si>
  <si>
    <t>Japan election: Abe hails massive win, but what now for the country's pacifist constitution? https://t.co/SSCzozOOLx</t>
  </si>
  <si>
    <t>srdjan basaric</t>
  </si>
  <si>
    <t>Goo News Japan's Abe vows to put education spending before budget balance - Reuters… https://t.co/Lr0QNQBpks</t>
  </si>
  <si>
    <t>serbia</t>
  </si>
  <si>
    <t>Internet Media Marketing Consultant ::: Social Targeted Advertising ::: We make WWWeb Advertising !</t>
  </si>
  <si>
    <t>PROSECUTE  HRC  NOW!</t>
  </si>
  <si>
    <t>IMPORTANT:GOD;MOM;Family; Friends;Pets;Health;Fitness;Bicycle; ARMY-Very Proud to have served in U.S. Army for 33yrs 1982-2015; Die-hard Trump Supporter!</t>
  </si>
  <si>
    <t>RTGWorld</t>
  </si>
  <si>
    <t>North Korea blasts Japan for using election to 'pave groundwork' for invasion | #NorthKorea #RTGWorld</t>
  </si>
  <si>
    <t>Invisible Solider</t>
  </si>
  <si>
    <t>Hell</t>
  </si>
  <si>
    <t>Typhoon Lan leaves five dead after lashing Japan on election day https://t.co/QtVZEfME91</t>
  </si>
  <si>
    <t>Abdi Yusuf Noor</t>
  </si>
  <si>
    <t>Humanitarian Affairs Analyst (Horn/East Africa), Horn of Africa media expert (Views are my own)</t>
  </si>
  <si>
    <t>なにものでもない</t>
  </si>
  <si>
    <t>Hello world. Japan enacted the slavery system. karousi and sex slave are legal. Loss of human rights was approved by the election.</t>
  </si>
  <si>
    <t>大阪府大阪市</t>
  </si>
  <si>
    <t>残念ながら日本生まれで、残念ながら無教養で、残念ながら国内居住。</t>
  </si>
  <si>
    <t>Ajith</t>
  </si>
  <si>
    <t>Aviation aspirant,Fond to my mom,bros,books,music,sissys.single,kamal Supporter, elocutionist,poem,haiku writter,karate grade5,painter,sculptor,teetotaller💪</t>
  </si>
  <si>
    <t>Shravan Mansanpally</t>
  </si>
  <si>
    <t>Michigan, USA</t>
  </si>
  <si>
    <t>IT Business Analyst by profession, avid political reader, sports enthusiast</t>
  </si>
  <si>
    <t>Manoj Mayogi Mishra</t>
  </si>
  <si>
    <t>indian777</t>
  </si>
  <si>
    <t>eris313</t>
  </si>
  <si>
    <t>日本人に生まれて良かった❤️</t>
  </si>
  <si>
    <t>Involution</t>
  </si>
  <si>
    <t>Abe claims victory as powerful endorsement, may seek re-election next month https://t.co/f9iJ22n2Sb #japan</t>
  </si>
  <si>
    <t>Halle Erdahl</t>
  </si>
  <si>
    <t>Instagram: @its_erdahl</t>
  </si>
  <si>
    <t>Seattle | | Orange County | | ΑΦ</t>
  </si>
  <si>
    <t>Thearith Heang</t>
  </si>
  <si>
    <t>Cambodia</t>
  </si>
  <si>
    <t>Like sharing, traveling and enjoying life. Working to provide training to people to become qualified clinician to help people with disabilities for mobility.</t>
  </si>
  <si>
    <t>ArjunOndkar</t>
  </si>
  <si>
    <t>Only ppl can change POLITICS &amp; COUNTRY. It'll change when WE start politics. Soldier Never Quits Till He Is Dead, I am Hindu but country first.</t>
  </si>
  <si>
    <t>Moments UK &amp; Ireland</t>
  </si>
  <si>
    <t>The best of what’s happening on Twitter in an instant.</t>
  </si>
  <si>
    <t>હસમુખ આહિર</t>
  </si>
  <si>
    <t>જય_માતાજી - राष्ट्रवादी પટમા પડેલો પાણો સારો ️બાકી 😡 #વટમા ચડેલો આ #આયર સારો નઈ "और तुम लोग ज़िंदगी भर माँ बेटे के गुलामी करते रहोगे ... इन्दु सरकार"</t>
  </si>
  <si>
    <t>KnowYourLeakGuy</t>
  </si>
  <si>
    <t>Japan Election: Abe Hails Massive Win, But What Now For The Country's Pacifi (RT↺ Fav❤️) https://t.co/ooU1daIhes #Politics</t>
  </si>
  <si>
    <t>Know Your Leak App</t>
  </si>
  <si>
    <t>Moments Australia</t>
  </si>
  <si>
    <t>Twitter Moments</t>
  </si>
  <si>
    <t>Moments Canada</t>
  </si>
  <si>
    <t>jdilipjain</t>
  </si>
  <si>
    <t>oliver wabwire</t>
  </si>
  <si>
    <t>I myself am made entirely of surly flaws, stitched together with good intentions.....and then some; so help me God!!</t>
  </si>
  <si>
    <t>Gene Kelly</t>
  </si>
  <si>
    <t>RT @WSWS_Updates: Japan’s Stalinists seek to head off anti-war movement ahead of election| WSWS https://t.co/wMHPIr1y36 https://t.co/AIvFih…</t>
  </si>
  <si>
    <t>virginia</t>
  </si>
  <si>
    <t>Retired Philosophy Professor</t>
  </si>
  <si>
    <t>Ashutosh Anand</t>
  </si>
  <si>
    <t>Sector 76, Noida</t>
  </si>
  <si>
    <t>Nationalist and Modiji Supporter</t>
  </si>
  <si>
    <t>yenal koptur</t>
  </si>
  <si>
    <t>Türkiye</t>
  </si>
  <si>
    <t>ayumi☆</t>
  </si>
  <si>
    <t>world wide</t>
  </si>
  <si>
    <t>liptonnse</t>
  </si>
  <si>
    <t>stockholm</t>
  </si>
  <si>
    <t>Christina Ayiotis</t>
  </si>
  <si>
    <t>Metro DC Area</t>
  </si>
  <si>
    <t>#Cybersecurity Executive, Former Deputy General Counsel, Strategist, Cross Pollinator; Mom; Cook; World Traveller #InfoSec #InfoGov #Privacy #SocialMedia #Cyber</t>
  </si>
  <si>
    <t>Ammy</t>
  </si>
  <si>
    <t>Good boy</t>
  </si>
  <si>
    <t>Japan's Abe aims at N. Korea threat after storming to 'super-majority' election win https://t.co/vyTvlMAqYy https://t.co/3de7WA7ZwQ</t>
  </si>
  <si>
    <t>Anuj Gupta</t>
  </si>
  <si>
    <t>Indian by Nationality n Relegion. I say firmly that I'm supporter of Modi n I'm proud of my decision. Not Secular.</t>
  </si>
  <si>
    <t>soufiane Douhi(sofa)</t>
  </si>
  <si>
    <t>RT @haaretzcom: Japan Election: Abe’s Landslide Is a Victory for Militant Nationalism in the Trump Era - Analysis https://t.co/1RYtm38tCd</t>
  </si>
  <si>
    <t xml:space="preserve"> É'maratte b'akata l'ille mouîminnine</t>
  </si>
  <si>
    <t>el'rouheu m'ine amri r'abi wama outitoume mina el'aài'lmi i'la qalila w'al'ahhou akar tekbira ini ana el'nadire el'moubineu</t>
  </si>
  <si>
    <t>भारत माता की जय🇮🇳</t>
  </si>
  <si>
    <t>!!! हिदुस्तान !!!</t>
  </si>
  <si>
    <t>जय श्री राम</t>
  </si>
  <si>
    <t>Radha Sudan</t>
  </si>
  <si>
    <t>Rajauri, Jammu And Kashmir</t>
  </si>
  <si>
    <t>Govt. Teacher, J&amp;K India | Faith In Namo | Humanity First | Nationlist |</t>
  </si>
  <si>
    <t>y*chin</t>
  </si>
  <si>
    <t>千＿葉＿圏</t>
  </si>
  <si>
    <t>━━ポンコツなりに━━ 駄ツイ＋RT多めの亀レス 御免。 古・妖・人形・自衛隊・ネコスキー*</t>
  </si>
  <si>
    <t>NiraMaya</t>
  </si>
  <si>
    <t>Kadi Ninda</t>
  </si>
  <si>
    <t>Proud Hindu. Deep Saffron. Want National renaissance thru Hindutva. Dream of a Saffron army that will rule the world with virtue.</t>
  </si>
  <si>
    <t>ankur paliwal</t>
  </si>
  <si>
    <t>Director at Rise India Enterprise Pvt ltd Always think positive</t>
  </si>
  <si>
    <t>AGLi</t>
  </si>
  <si>
    <t>Industrial Musique for Industrial People.</t>
  </si>
  <si>
    <t>RT: @reuters :Japan's Abe to push pacifist constitution reform after strong election win https://t.co/9I7OPO6uVa https://t.co/jtrXeiWPJy</t>
  </si>
  <si>
    <t>Yonatan  Netanyahu</t>
  </si>
  <si>
    <t xml:space="preserve">isreal </t>
  </si>
  <si>
    <t>Former Commander IDF .</t>
  </si>
  <si>
    <t>Toufic Barakeh</t>
  </si>
  <si>
    <t>Japan's Abe to push pacifist constitution reform after strong election win https://t.co/Otolu7a778 https://t.co/pBF6lySmqO #Japan</t>
  </si>
  <si>
    <t>Editor/publisher: http://t.co/RbAS8EqlM9 quality precise online newspaper read in more than 80 countries; worldwide. I’ll follow back. توفيق بركه</t>
  </si>
  <si>
    <t>RT: reuters :Japan's Abe to push pacifist constitution reform after strong election win https://t.co/EsoxKSX0bC https://t.co/Fh5tiGr898</t>
  </si>
  <si>
    <t>Sing</t>
  </si>
  <si>
    <t>Nation Before self</t>
  </si>
  <si>
    <t>Presya Ramadhan</t>
  </si>
  <si>
    <t>21th | International Relation | Jokowi | Ahok | Shinzo Abe | Xi Jinping. E-mail: presyar@yahoo.com</t>
  </si>
  <si>
    <t>Naresh vishwakarma .</t>
  </si>
  <si>
    <t>proud to be Indian (HINDU).and proud to our soldiers. .</t>
  </si>
  <si>
    <t>Business Day</t>
  </si>
  <si>
    <t>Gold slumps to two-week low on Japan’s election result https://t.co/ZQmZ8CtcMh</t>
  </si>
  <si>
    <t>Business Day is South Africa's best daily business newspaper, part of the BusinessLIVE network. We're also on Facebook and LinkedIn.</t>
  </si>
  <si>
    <t>Jayendra Varma</t>
  </si>
  <si>
    <t>AFP: Japan's Abe aims at N. Korea threat after storming to 'super-majority' election win https://t.co/Oy0HgsZgFk … https://t.co/kCLfzUFxzq</t>
  </si>
  <si>
    <t>All Quotes</t>
  </si>
  <si>
    <t>Japan election: Abe hails massive win, but what now for the country's pacifist constitution?.… https://t.co/fbd0StalGY</t>
  </si>
  <si>
    <t>Euronews quotes</t>
  </si>
  <si>
    <t>#AllViews by #quotes &amp; #opinions, powered by @Storyzy</t>
  </si>
  <si>
    <t>ChaitanyA</t>
  </si>
  <si>
    <t xml:space="preserve">Nagpur </t>
  </si>
  <si>
    <t>22 /I am The Indian First and Indian Last/° Patriot # Love Cicket /Football ฯ Yuvraj Singh Die Hard Fan :-! ABD Pant:-₪ Manuel Neur°฿ Dreaming IAF</t>
  </si>
  <si>
    <t>Vivek Sharma  🇮🇳</t>
  </si>
  <si>
    <t>News views Political Junkie. RT are not endorsements</t>
  </si>
  <si>
    <t>Tarra Run</t>
  </si>
  <si>
    <t>Trending Newscast</t>
  </si>
  <si>
    <t>Japan election: Abe hails massive win, but what now for the country's pacifist constitution? https://t.co/UxMd9E4hDW #breaking #world #eur…</t>
  </si>
  <si>
    <t>Metro Detroit, MI</t>
  </si>
  <si>
    <t>Trending U.S. and world news videos and breaking livestreams via YouTube &amp; Daily Motion 📺 (part of DVNET). https://t.co/GgeW8DqffT and https://t.co/6TZzIifLqa</t>
  </si>
  <si>
    <t>Afzal Khan</t>
  </si>
  <si>
    <t>Adv Priyank Pandey</t>
  </si>
  <si>
    <t>प्रयागराज</t>
  </si>
  <si>
    <t>सुलझा हुआ इंसान हूँ ,उलझे हुए मिज़ाज़ का | #राष्ट्रसेवा | Followed By Shri @sardanarohit ji ,Shri @TajinderBagga ji , @PiyushGoyalOffc</t>
  </si>
  <si>
    <t>aDriAn CaMpOs 📶</t>
  </si>
  <si>
    <t>Japan's risk-averse youth lean heavily conservative https://t.co/Qu12US8dIW https://t.co/TmXoP4ImjN</t>
  </si>
  <si>
    <t>kyusi, Filipinas ex SG</t>
  </si>
  <si>
    <t>interests in PHL Stock Market | US Equities | Macroeconomics | local businesses | Wireless Networks ex OFW RTs ≠ endorsements</t>
  </si>
  <si>
    <t>yelvee</t>
  </si>
  <si>
    <t>Right of Centre, Free market economy. Strongly believes in Government has no business to be in BUSINESS. Views Personal</t>
  </si>
  <si>
    <t>UK Prime Minister</t>
  </si>
  <si>
    <t>The PM called Prime Minister @AbeShinzo of Japan to congratulate him on his success in the Japanese general election https://t.co/GqiKCIPZVV</t>
  </si>
  <si>
    <t>10 Downing Street, London</t>
  </si>
  <si>
    <t>Official channel for Prime Minister Theresa May's office, based at 10 Downing Street.</t>
  </si>
  <si>
    <t>#EuroNews: Japan election: Abe hails massive win, but what now for the country's pacifist… https://t.co/GGSYMBVFFJ… https://t.co/3HTaMklfR2</t>
  </si>
  <si>
    <t>Pavan Cheruvu</t>
  </si>
  <si>
    <t>India Bangalore</t>
  </si>
  <si>
    <t>My tweets are my own.</t>
  </si>
  <si>
    <t>Aine</t>
  </si>
  <si>
    <t>RT @Number10gov: The PM called Prime Minister @AbeShinzo of Japan to congratulate him on his success in the Japanese general election https…</t>
  </si>
  <si>
    <t>London / Northern Ireland</t>
  </si>
  <si>
    <t>Tory | "bloody difficult woman" | "be as fearless as the women whose stories you have applauded" - HRC | #ImWithMay | name is almost always mispronounced</t>
  </si>
  <si>
    <t>Sam Shenton 🏳️‍🌈</t>
  </si>
  <si>
    <t>Aberystwyth, Wales</t>
  </si>
  <si>
    <t>Politics Student at @AberUni. Yorkshireman. Recovering Hillary Clinton enthusiast. “Mayite”. Likes trains, LEGO and cocktails. @Medium Partner.</t>
  </si>
  <si>
    <t>Mike Walker</t>
  </si>
  <si>
    <t>“@AFP: Japan's Abe aims at N. Korea threat after storming to 'super-majority' election win https://t.co/KSbHfLiER7… https://t.co/KU7l0PmHqR”</t>
  </si>
  <si>
    <t>On the road</t>
  </si>
  <si>
    <t>Former acting SecArmy &amp; deputy FEMA director narrative on analyzing threats, managing hazards, countering radicalization &amp; developing leaders</t>
  </si>
  <si>
    <t>十月龜集寺·寺</t>
  </si>
  <si>
    <t>Chola</t>
  </si>
  <si>
    <t>Frédéric Rollin</t>
  </si>
  <si>
    <t>Investment strategy - My views - Beat AI until I am retired - Will be close - #macro #economics #FED #ECB #placements #epargne #markets</t>
  </si>
  <si>
    <t>NewsUpdate24 🌍</t>
  </si>
  <si>
    <t>Japan election: Abe hails massive win, but what now for the country's pacifist constitution?: https://t.co/kfqClRdQHV - News | Euronews RS…</t>
  </si>
  <si>
    <t>Norway</t>
  </si>
  <si>
    <t>We give you news from international press. Warning: Ongoing News Are Developing And Information May Change When The Situation Calm Down!</t>
  </si>
  <si>
    <t>Sam</t>
  </si>
  <si>
    <t>RT bpolitics: How Japan leader Shinzo Abe's election gamble paid off https://t.co/hiOc7BxbCs https://t.co/cEO85HyVHM</t>
  </si>
  <si>
    <t>Manhattan, NY</t>
  </si>
  <si>
    <t>luckdragon</t>
  </si>
  <si>
    <t>Brisbane, Queensland</t>
  </si>
  <si>
    <t>with compliments from the esteemed ancient house of the flying luck pigs</t>
  </si>
  <si>
    <t>Stewart M Jackson</t>
  </si>
  <si>
    <t>Abe wins in Japan - will Article 9 go? And electoral system failing - turnout at 54%? #Japan https://t.co/JKjrUNhn4j</t>
  </si>
  <si>
    <t>Australian politics academic, also interested in Greens in the Asia Pacific. Tweets are personal comment. Retweet does not mean endorsement.</t>
  </si>
  <si>
    <t>Pavankumar</t>
  </si>
  <si>
    <t>नाशिक, भारत</t>
  </si>
  <si>
    <t>Pavankumar chourasiya</t>
  </si>
  <si>
    <t>Akshay</t>
  </si>
  <si>
    <t>Donald J. Pasley</t>
  </si>
  <si>
    <t>RT @New_Narrative: “@AFP: Japan's Abe aims at N. Korea threat after storming to 'super-majority' election win https://t.co/KSbHfLiER7… http…</t>
  </si>
  <si>
    <t>Detroit, Michigan.</t>
  </si>
  <si>
    <t>Just Looking....#RESISTANCE.. #NOTMYPRESIDENT✊🏿♊️☮️🇺🇸💭🌟🌞🤫</t>
  </si>
  <si>
    <t>SANJEET KUMAR MANDAL</t>
  </si>
  <si>
    <t>War Command Center</t>
  </si>
  <si>
    <t>RT @NorthKorea_Newz: #NorthKorea blasts Japan for using election to 'pave groundwork' for invasion https://t.co/IwTinf7Fo7 https://t.co/Ebn…</t>
  </si>
  <si>
    <t>it is 2 minutes till midnight prepare to survive</t>
  </si>
  <si>
    <t>Martin (Lois Lane)</t>
  </si>
  <si>
    <t xml:space="preserve">Star Port One, England </t>
  </si>
  <si>
    <t>🎂🍒👩‍🏭</t>
  </si>
  <si>
    <t>Alex</t>
  </si>
  <si>
    <t>AlexTwitterContestsBot</t>
  </si>
  <si>
    <t>X_Belbar</t>
  </si>
  <si>
    <t>Shinzo Abe secures strong mandate in Japan's general election https://t.co/VqzvLsQNgQ</t>
  </si>
  <si>
    <t>地球</t>
  </si>
  <si>
    <t>Androide veterano de la Red Ribbon Army. Si no hay tebeos, no es mi revolución.</t>
  </si>
  <si>
    <t>Maria Celina McCall</t>
  </si>
  <si>
    <t>What now for Japan after Abe's landslide election victory? https://t.co/dY8eW3iX1S</t>
  </si>
  <si>
    <t>Montevideo, Uruguay</t>
  </si>
  <si>
    <t>Journalist and translator viewing Latin American politics</t>
  </si>
  <si>
    <t>Japan election: Abe hails massive win, but what now for the country's pacifist constitution? https://t.co/jdxjx4mriv #euronews #euro #news</t>
  </si>
  <si>
    <t>Reetu,kaith</t>
  </si>
  <si>
    <t>⚡#TwitterMoments ⚡#v:RT bpolitics: How Japan leader Shinzo Abe's election gamble paid off https://t.co/l0SRhSxp0W https://t.co/kKk5iwRULf</t>
  </si>
  <si>
    <t>舊城舊事</t>
  </si>
  <si>
    <t>Japan election: Abe hails massive win, but what now for the country's pacifist constitution? https://t.co/HDUIp7BhxQ</t>
  </si>
  <si>
    <t>Nikhilesh</t>
  </si>
  <si>
    <t xml:space="preserve">Kenya </t>
  </si>
  <si>
    <t>All is well .</t>
  </si>
  <si>
    <t>Neil Monnery</t>
  </si>
  <si>
    <t>The PM of Japan called a snap General Election and won a huge majority. When our PM did it...yeah not so much. That is how you do it Theresa</t>
  </si>
  <si>
    <t>Thorpe Bay, Essex, UK</t>
  </si>
  <si>
    <t>Former Sports Editor. SEO Consultant, NFL, Fantasy Football &amp; Political Columnist. Lib Dem, Blogger, Pompey mush, Owner of Care Bears &amp; doesn't have long hair.</t>
  </si>
  <si>
    <t>ruin🕸️ferdinand</t>
  </si>
  <si>
    <t>japan election results are disappointing. abe played on tensions with north korea to win the senate and support for his militarisation plans</t>
  </si>
  <si>
    <t>biz: urbanfriendden@gmail.com</t>
  </si>
  <si>
    <t>Fiction writer, noted bisexual, queer socialist who still has hope. // Icon by @momokuri_ronpa // bi with @demonstarr13</t>
  </si>
  <si>
    <t>Okhzo Xholo</t>
  </si>
  <si>
    <t>FREE SPIRIT</t>
  </si>
  <si>
    <t>Pramod Uniyal</t>
  </si>
  <si>
    <t>Dinkar Pandey</t>
  </si>
  <si>
    <t>Lady jill</t>
  </si>
  <si>
    <t>North Korea alert: Abe’s re-election signals a more hawkish Japan | The New Daily https://t.co/1WOxZog9UK</t>
  </si>
  <si>
    <t>I'm a retired Australian Acupuncturist, vegetarian, artist, traveler, animal lover, who cares very much about what's happening to Australia.</t>
  </si>
  <si>
    <t>BusinessLIVE</t>
  </si>
  <si>
    <t>Gold slumps to two-week low on Japan’s election result https://t.co/GBx6HmLM1R</t>
  </si>
  <si>
    <t>Johannesburg</t>
  </si>
  <si>
    <t>The best of Business Day, Financial Mail, Business Times, RDM and more, plus live business, politics and markets news all day.</t>
  </si>
  <si>
    <t>j</t>
  </si>
  <si>
    <t>Mars</t>
  </si>
  <si>
    <t>Turajo Conservatore</t>
  </si>
  <si>
    <t>Nigeria/Uganda</t>
  </si>
  <si>
    <t>Open your mind free your spirit</t>
  </si>
  <si>
    <t>abhay Jitendra  soni</t>
  </si>
  <si>
    <t>Jodhpur, India</t>
  </si>
  <si>
    <t>Yogi Singh#RSS</t>
  </si>
  <si>
    <t>BHARAT MATA KE JAI MY COUNTRY MY SOUL Government and Politics Music</t>
  </si>
  <si>
    <t>PRIYANK PATEL</t>
  </si>
  <si>
    <t>PSP</t>
  </si>
  <si>
    <t>HouseofTwitsLib</t>
  </si>
  <si>
    <t>RT @neilmonnery: The PM of Japan called a snap General Election and won a huge majority. When our PM did it...yeah not so much. That is how…</t>
  </si>
  <si>
    <t>Speakers Chair, House of Twits</t>
  </si>
  <si>
    <t>Grassroots Political Reaction</t>
  </si>
  <si>
    <t>SURESH KUMAR</t>
  </si>
  <si>
    <t>Bam</t>
  </si>
  <si>
    <t>RT @FukPOTUS45: Japanese prime minister coasting to election win - TOKYO — Japan’s ruling coalition appeared headed to an impre... https://…</t>
  </si>
  <si>
    <t>Human from Earth, female</t>
  </si>
  <si>
    <t>Where'd I put my cyanide?</t>
  </si>
  <si>
    <t>Suraj Pandey 🇮🇳</t>
  </si>
  <si>
    <t>Student of ICAI</t>
  </si>
  <si>
    <t>Neil Lintern</t>
  </si>
  <si>
    <t>Calabria, Italy</t>
  </si>
  <si>
    <t>From #Australia Live to travel, explore, photograph. IMAS EOD Tech, passionate about Mine Action, History, Politics, Music &amp; all things Humanitarian. Atheist.</t>
  </si>
  <si>
    <t>Abhishek Kumar</t>
  </si>
  <si>
    <t>Proud Hindu nationalist. I have a dream to see my motherland become the world superpower again.</t>
  </si>
  <si>
    <t>Turfline/Trading</t>
  </si>
  <si>
    <t>England</t>
  </si>
  <si>
    <t>Bertie</t>
  </si>
  <si>
    <t>Newcastle Upon Tyne, UK</t>
  </si>
  <si>
    <t>B</t>
  </si>
  <si>
    <t>Ex-aviator | Ex-Mil-spec std. designer | Adventurer | Foodie | Swifting through data for a living</t>
  </si>
  <si>
    <t>Invictus</t>
  </si>
  <si>
    <t>Unapologetic Liberal. Believes in Equal Rights &amp; Justice, Science, CommonSense, in God but wary of Religions, Citizen of d World, Live by d Golden Rule 🇳🇬🇺🇸</t>
  </si>
  <si>
    <t>12Srianju</t>
  </si>
  <si>
    <t>Gorakhpur UP,India</t>
  </si>
  <si>
    <t>Die heart fan of respected Dr Shashi Tharoor .foodie,traveling,shopping,fashion ,first hwife then https://t.co/IU5FORmAOx on TV is my first choice.catwalk ,ramp like most</t>
  </si>
  <si>
    <t>Education</t>
  </si>
  <si>
    <t>Japan's Abe vows to put education spending before budget balance - Reuters https://t.co/5jAOwAFWD9</t>
  </si>
  <si>
    <t>Manchester</t>
  </si>
  <si>
    <t>Your source for the latest news on Education</t>
  </si>
  <si>
    <t>jiten rana</t>
  </si>
  <si>
    <t>RT @RepublicaNepal: After election win, Abe prioritizes North Korea, aging Japan l https://t.co/XpG7uPpgsz https://t.co/fcYiHc5p1y</t>
  </si>
  <si>
    <t>Kathmandu</t>
  </si>
  <si>
    <t>Hi i am a very professional UI/UX Designer who believes in Creativity with brilliant ideas on the themeful design as need for prospective1. ...(-_-)</t>
  </si>
  <si>
    <t>westbase.com</t>
  </si>
  <si>
    <t>Top story: Abe Placed to Lead Japan Through 2021 After Big Election Win - Bloom… https://t.co/1vZuWGfo29, see more https://t.co/IQcUl5eYdm</t>
  </si>
  <si>
    <t>The Tweeted Times</t>
  </si>
  <si>
    <t>Lincoln, CA</t>
  </si>
  <si>
    <t>Make your internet presence work for you! Link to http://t.co/TmaYK3GC - Portal, News/Trivia Forwarding, SEO/SEM, Internet Imagination, Graphics Design</t>
  </si>
  <si>
    <t>Nikhil K Patel</t>
  </si>
  <si>
    <t>Idar, India</t>
  </si>
  <si>
    <t>CONVINER ,BJP IT &amp; MEDIA CELL, IDAR , S.K .GUJARAT , Followed by @PiyushGoyalOffc ,@Dipsinh_Rathod , @ramanlalvora</t>
  </si>
  <si>
    <t>FXOne</t>
  </si>
  <si>
    <t>Gold slumps to two-week low on Japan’s election result https://t.co/oTlGQdyh4X via @BDliveSA</t>
  </si>
  <si>
    <t>Johannesburg and Cape Town</t>
  </si>
  <si>
    <t>Making foreign exchange work</t>
  </si>
  <si>
    <t>doc 4  n from heart</t>
  </si>
  <si>
    <t>Bangalore,Vadodara&amp;Manchester</t>
  </si>
  <si>
    <t>Cardiac surgeon, proud ಕನ್ನಡಿಗ Indian, patient n nation first, hate corruption, believes in humanity, faith personal n neutral opinion.</t>
  </si>
  <si>
    <t>Ketave</t>
  </si>
  <si>
    <t>@learning_pt @realitycheckind @Flyfiddlesticks Get to 50% vote share .. Like Japan sweep election and rewrite const… https://t.co/qTWDZLvaBz</t>
  </si>
  <si>
    <t xml:space="preserve">Journeying </t>
  </si>
  <si>
    <t>The truth can never be silenced as it can manifest itself from nowhere in the hearts of people</t>
  </si>
  <si>
    <t>MISSION2019</t>
  </si>
  <si>
    <t>🇮🇳🇮🇳🇮🇳🇮🇳NATION FIRST🇮🇳🇮🇳🇮🇳🇮🇳, ONLY BHARATIYA JANATA PARTY, RTS MAY/MAY NOT BE ENDORSEMENTS, MAD ABOUT PROGRESS OF INDIA, NEW INDIA, HATE ANTI NATIONALS</t>
  </si>
  <si>
    <t>Japan election: Abe hails massive win, but what now for the country's pacifist constitution? https://t.co/LZTL8i2UZM #EuroNews</t>
  </si>
  <si>
    <t>"https://t.co/QOKBMkhNIw"Japan election: Abe hails massive win, but what now for the country's pacifist constituti… https://t.co/HP9llCMJ2K</t>
  </si>
  <si>
    <t>Prakash rao</t>
  </si>
  <si>
    <t>Mehsana, Gujarat</t>
  </si>
  <si>
    <t>Supriya Sehgal</t>
  </si>
  <si>
    <t>Spirit of an Artist, Heart of a Dreamer, Mind of an Educationist &amp; Soul of a Seeker. Passionate about Academics &amp; Self-Research. Tweets personal.</t>
  </si>
  <si>
    <t>Late Night Watch</t>
  </si>
  <si>
    <t>Big election win for Japan's Shinzo Abe may mean end of pacifism https://t.co/K55i2cCyLl</t>
  </si>
  <si>
    <t>Keeping an eye on the Biblical Prophetic Horizon</t>
  </si>
  <si>
    <t>Abhay soni</t>
  </si>
  <si>
    <t>Jodhpur</t>
  </si>
  <si>
    <t>Новини</t>
  </si>
  <si>
    <t>Japan election: Abe hails massive win, but what now for the country's pacifist constitution? https://t.co/WVYQXcOsdk euronews</t>
  </si>
  <si>
    <t>Sofia, Bulgaria</t>
  </si>
  <si>
    <t>Новини. Без прасета.</t>
  </si>
  <si>
    <t>ねこさん🐳✨</t>
  </si>
  <si>
    <t>関西</t>
  </si>
  <si>
    <t>政経アカウント。安倍内閣と自民党を支持しています。論争はしません。</t>
  </si>
  <si>
    <t>इनागाकी</t>
  </si>
  <si>
    <t>好きな役者は太宰久雄、志村喬、笠智衆。好きな女優は三崎千恵子とやっぱり岡本茉利。尊敬して好きな音楽家は山本直純／かくれサユリスト/イラストレーターの中西らつ子さんファン/漫画はひなちゃんの日常がお気に入り/アナウンサーのダイアンソイヤーファン/プラネテスも好き/好きな食べ物はドンタコスと天津麻婆丼/桃井かおり</t>
  </si>
  <si>
    <t>George Soros  $</t>
  </si>
  <si>
    <t>What now for Japan after Abe's landslide election victory? https://t.co/U3fg8RqQ1G</t>
  </si>
  <si>
    <t>Upper Longwood, England</t>
  </si>
  <si>
    <t>Use our PayPal to receive your help Your charity. George Soros gives $18bn to his charitable foundation</t>
  </si>
  <si>
    <t>Bloomberg Canada</t>
  </si>
  <si>
    <t>The winners and losers of Japan's landslide election https://t.co/VI78W5M44a https://t.co/WTvbdJl3Av</t>
  </si>
  <si>
    <t xml:space="preserve">Canada </t>
  </si>
  <si>
    <t>The official Twitter account for Bloomberg in Canada. Follow for the latest in business, politics and news.</t>
  </si>
  <si>
    <t>PHANTOMOD TRADING</t>
  </si>
  <si>
    <t>RT @BDliveSA: Gold slumps to two-week low on Japan’s election result https://t.co/ZQmZ8CtcMh</t>
  </si>
  <si>
    <t>Johannesburg,South Africa</t>
  </si>
  <si>
    <t>Official Twitter Page: PHANTOMOD | #Markets #Fin #Biz #Phantomod @phantomodConstruction |https://t.co/WJyQ8hPQlu</t>
  </si>
  <si>
    <t>Steve007!</t>
  </si>
  <si>
    <t>Dark Side Of The Moon</t>
  </si>
  <si>
    <t>Cocky,Swaggering,Confident,Dark,Dangerous,Suggestive,Sexy,Unstoppable!</t>
  </si>
  <si>
    <t>Sandeep Srivastava</t>
  </si>
  <si>
    <t>Sant Ravidas Mandal,BJP Mahanagar,Varanasi</t>
  </si>
  <si>
    <t>US Press World</t>
  </si>
  <si>
    <t>Japan's Abe vows to put education spending before budget balance - Reuters https://t.co/JGijAbG3ey https://t.co/acUSzKoV4Y</t>
  </si>
  <si>
    <t>Tween</t>
  </si>
  <si>
    <t>Etats-Unis</t>
  </si>
  <si>
    <t>All the US local and national news, #realtime for you. Don't miss anything, follow us!</t>
  </si>
  <si>
    <t>さごはち</t>
  </si>
  <si>
    <t>失敗したので Good night</t>
  </si>
  <si>
    <t>Fuck3033_4</t>
  </si>
  <si>
    <t>キクジーニョ</t>
  </si>
  <si>
    <t>Setagaya, Tokyo, Japan</t>
  </si>
  <si>
    <t>某SIerに5年間勤めるも思うところあり退職。闇に隠れて生きるニート生活を経て、未公認会計士として社会復帰。グレイシー柔術は最高の格闘技（俺は弱いけど）。スワローズの応燕は常に全力（泣けるほど弱いときも）。やっぱり明治がNo.1（確実に違うけど）。好き勝手に呟いてるけど悪しからず。</t>
  </si>
  <si>
    <t>userpko</t>
  </si>
  <si>
    <t>RT Anon_Eu "#EuroNews: Japan election: Abe hails massive win, but what now for the country's pacifist… … https://t.co/YuOqyhFAqW"</t>
  </si>
  <si>
    <t>Japan votes in early election as Abe seeks record fourth term https://t.co/CbHNiFjLRT https://t.co/CY0pVE56p9</t>
  </si>
  <si>
    <t>蒙面炒粉</t>
  </si>
  <si>
    <t>Hassan</t>
  </si>
  <si>
    <t>Nairobi.</t>
  </si>
  <si>
    <t>•my Lord has 99 names°jesus°aint one •My conviction suffices •your doctor</t>
  </si>
  <si>
    <t>DeepaliAbhishek</t>
  </si>
  <si>
    <t>Babu ka Dil</t>
  </si>
  <si>
    <t>I will never ever give up on us...I can never stop loving you😍 ...</t>
  </si>
  <si>
    <t>3NovicesEurope</t>
  </si>
  <si>
    <t>#3Novices : Japan election: Abe hails massive win, but what now for the country's pacifist constitution? https://t.co/JPPck1Kt18 Buoyed by…</t>
  </si>
  <si>
    <t>The First Online Media Updater Founded by Meghashyam, Vaishnavi, Bharath</t>
  </si>
  <si>
    <t>News Addict</t>
  </si>
  <si>
    <t>Addicted to politics. On the centre right. Voted #Brexit for a global, self governing Great Britain and a brighter future.</t>
  </si>
  <si>
    <t>Saurabh Sharma Fan</t>
  </si>
  <si>
    <t>🇮🇳भारतीय हैं और हाँ ''शाखाएं" भी बहुत हैं #हिंदूराष्ट्र ⛳️</t>
  </si>
  <si>
    <t>Emeka</t>
  </si>
  <si>
    <t>A broadcaster and a media buff. I'm a FREE spirit.HUMANISM is my religion. Arsenal FC lover!</t>
  </si>
  <si>
    <t>Kerri Ng</t>
  </si>
  <si>
    <t>RT @SheilaSmithCFR: Great advice for foreign journalists covering today's election results in Japan! https://t.co/E3MB7M94rI</t>
  </si>
  <si>
    <t>Political Scientist in training | Linguist | Japanese Politics, US-Japan relations, International Security</t>
  </si>
  <si>
    <t>Konstantina Beleli</t>
  </si>
  <si>
    <t>Athens</t>
  </si>
  <si>
    <t>communication consultant-journalist</t>
  </si>
  <si>
    <t>spoopy sierra🦇</t>
  </si>
  <si>
    <t>Nashville, TN</t>
  </si>
  <si>
    <t>Poonam Shahi</t>
  </si>
  <si>
    <t>JEFFREY ODUMA</t>
  </si>
  <si>
    <t>winterfell</t>
  </si>
  <si>
    <t>MY TWEETS MY OPINION||VOICE OF REASON||GOK CRITIC||ADDICTED 2 MUSIC||#ReggaeKuruka #RootsRockReggaeRasta🍁||#TWD/#FTWD/#WWE/#GOT/#KOT🇰🇪||TEAM @alainesinga😍😍</t>
  </si>
  <si>
    <t>Hanumant Suryawanshi</t>
  </si>
  <si>
    <t>Rt. Winger. Nationalist. Optimistic. Engineer. RT's Not Necessarily the Endorsements.</t>
  </si>
  <si>
    <t>Trotskyism</t>
  </si>
  <si>
    <t>Socialist Equality Party supporter</t>
  </si>
  <si>
    <t>就是討厭你</t>
  </si>
  <si>
    <t>Japan election: Abe hails massive win, but what now for the country’s pacifist constitution? https://t.co/aRzGqNCnEw</t>
  </si>
  <si>
    <t>FOX Business</t>
  </si>
  <si>
    <t>Abe to push reform of Japan's pacifist constitution after election win https://t.co/vBiLKLWAH8</t>
  </si>
  <si>
    <t>The official Twitter page of FOX Business Network: Capitalism lives here. Ask your cable provider for FOX Business in your neighborhood.</t>
  </si>
  <si>
    <t>Babuji</t>
  </si>
  <si>
    <t>Mostly in US</t>
  </si>
  <si>
    <t>An Indian awaiting since ages, for our 'sone ki chiriya' Which is caged in Swiss Bank. And bribed every moment to convert into Muslim or Christianity.</t>
  </si>
  <si>
    <t>Houston Recruiter</t>
  </si>
  <si>
    <t>Japan Election Vindicates Shinzo Abe as His Party Wins Big - New York Times https://t.co/8x6ozpHanh https://t.co/AiKp32is9R</t>
  </si>
  <si>
    <t>Hiring, posting job opportunities. Open networker #Recruiter. #Recruitment‬ |#Recruiters‬ | #Headhunter‬ | #Hiring‬ | #Jobs‬ | #IT‬ | #HR‬</t>
  </si>
  <si>
    <t>alastairdick</t>
  </si>
  <si>
    <t>Ex RAF</t>
  </si>
  <si>
    <t>Padmavati 👑</t>
  </si>
  <si>
    <t>🇮🇳 Indian 👸Vivacious 🌄Nature Lover 💟Bollywood, Techie, Wanderlust 🗼 #NaMo Supporter</t>
  </si>
  <si>
    <t>Ayn van Bergland</t>
  </si>
  <si>
    <t>LIBERAL COMEDY: Japan's Abe just won a 2/3 election victory, but according to FAKE NEWS polls he's still unpopular… https://t.co/aBGCelK7Ci</t>
  </si>
  <si>
    <t>Ph.D., IT, American Dream is a natural law, honesty and common sense most important tools</t>
  </si>
  <si>
    <t>All American Girl</t>
  </si>
  <si>
    <t>Abe to push reform of Japan's pacifist constitution after election win | Reuters https://t.co/bfpR7zWe5S</t>
  </si>
  <si>
    <t>Wisconsin</t>
  </si>
  <si>
    <t>[ Wife, Mother, Patriot, Friend ] Searching the Internet for news relevant to conservatives. Both good and bad so we can be informed, debate, agree or correct.</t>
  </si>
  <si>
    <t>@BJP4India @BJP4JnK @BJP4Gujarat @BJP4Maharashtra @BJP4Rajasthan @BJP4Himachal @BJP4Jharkhand @BJP4Odisha… https://t.co/FV2ACJAkXR</t>
  </si>
  <si>
    <t>Gujrat</t>
  </si>
  <si>
    <t>Prime Minister is India</t>
  </si>
  <si>
    <t>RAMAN</t>
  </si>
  <si>
    <t>Director, Third Way Foundation,Political analyst with nationalist view.</t>
  </si>
  <si>
    <t>mammeri14828362</t>
  </si>
  <si>
    <t xml:space="preserve">Algiers                       </t>
  </si>
  <si>
    <t>Collection</t>
  </si>
  <si>
    <t>Ariana King</t>
  </si>
  <si>
    <t>Japan's risk-averse youth lean heavily conservative- Nikkei Asian Review https://t.co/PQ8nbsPeY3</t>
  </si>
  <si>
    <t>UN correspondent / native New Yorker / 元東京の住民 / all Tweets personal / RT &amp; 🖤 = interesting (not an endorsement) / I cover mostly NE Asia, nukes, NY and food.</t>
  </si>
  <si>
    <t>el-mohamedy</t>
  </si>
  <si>
    <t>global</t>
  </si>
  <si>
    <t>Dhaval Bhodia</t>
  </si>
  <si>
    <t>Hardware engineer in bangalore base IT company, born and brought up from Surat-Gujarat, India First, tweets are personal</t>
  </si>
  <si>
    <t>Mike de Roode</t>
  </si>
  <si>
    <t>RT @FoxBusiness: Abe to push reform of Japan's pacifist constitution after election win https://t.co/vBiLKLWAH8</t>
  </si>
  <si>
    <t>Rotterdam</t>
  </si>
  <si>
    <t>civil law / politician /investor in real estate /Trump support / working by the department of court / @leefbaarRdam /The Netherlands</t>
  </si>
  <si>
    <t>“@Reuters: Japan's Abe to push pacifist constitution reform after strong election win https://t.co/tbpt63TbhK https://t.co/QVJ9SSFK6D”</t>
  </si>
  <si>
    <t>Dr Jayant Vishe</t>
  </si>
  <si>
    <t>|Doctor| |BJP| |Marathi | |Keen interest in Indian Polity and Indian History| |believes in @narendramodi ji| |Followed by @PiyushGoyalOffc |</t>
  </si>
  <si>
    <t>aiammaia</t>
  </si>
  <si>
    <t>What now after Abe's landslide election victory? https://t.co/QXomyK74Ck Letters offer a very good analysis &amp; insight into #Japan's election</t>
  </si>
  <si>
    <t>Fishguard UK</t>
  </si>
  <si>
    <t>the Fox News of Armchair Anarchy. The antisocial web. Don't follow me, i tweet a lot. NHS privatisation, Egyptian revolution, nonsense.</t>
  </si>
  <si>
    <t>സനീഷ്‌ കെ എം</t>
  </si>
  <si>
    <t>Irinjalakuda, India</t>
  </si>
  <si>
    <t>Gene</t>
  </si>
  <si>
    <t>What Shinzo Abe’s election win will mean for China-Japan relations httpst.coWViM5X9mJq Favorite tweet: What Shinz… https://t.co/cAINKmUSZK</t>
  </si>
  <si>
    <t>China</t>
  </si>
  <si>
    <t>推特看新闻</t>
  </si>
  <si>
    <t>AMRESH KUMAR SINGH</t>
  </si>
  <si>
    <t>जय श्री राम , नमो , योगी , बीजेपी , आरयसयस , वीयचपी समर्थक , राष्ट्रवादी हिन्दु followed by @PiyushGoyalOffc Working in Indian Railway at the Post of ALP</t>
  </si>
  <si>
    <t>Siddhant Nath</t>
  </si>
  <si>
    <t>Books. Movies. TV Shows. Stories. Food. These are a few of my favourite things. Writer @UnBumf. Player at absolutely nowhere.</t>
  </si>
  <si>
    <t>Siddhartha Panjiyar</t>
  </si>
  <si>
    <t xml:space="preserve">choraut </t>
  </si>
  <si>
    <t>Nihar Ranjan Patra</t>
  </si>
  <si>
    <t>@narendramodi @AbeShinzo We look forward to improve our ever lasting relationship with Japan. Congratulations… https://t.co/EROp3Z957y</t>
  </si>
  <si>
    <t>शिव शंकर गौरव</t>
  </si>
  <si>
    <t>दिल्ली</t>
  </si>
  <si>
    <t>भारत में रहना है तो भारत माता की जय बोलना होगा /</t>
  </si>
  <si>
    <t>Takayuki Iiduka</t>
  </si>
  <si>
    <t>Hokkaido,Japan</t>
  </si>
  <si>
    <t>生粋の道産子です。 政治・経済・スポーツに関心があります。 ロスジェネ世代(1970年代中盤生まれ)。 海外ドラマ、アニメ好き(道産子声優さんのファン)。 基本スタンスは無党派(外交・安保、治安対策はタカ派、雇用・社会保障はややリベラル)、マルチ商法根絶支持。</t>
  </si>
  <si>
    <t>Ellen Turner</t>
  </si>
  <si>
    <t>South Carolina, USA</t>
  </si>
  <si>
    <t>Shivam Pandey🇮🇳</t>
  </si>
  <si>
    <t>मेरे राष्ट्र से बड़ा मेरे लिए काेई स्वाभिमान नही🇮🇳🇮🇳🇮🇳।जय हिन्द।जय श्रीराम वंदे मातरम। followed by @Piyushgoyaloffc</t>
  </si>
  <si>
    <t>🎎</t>
  </si>
  <si>
    <t>grab the wheel.</t>
  </si>
  <si>
    <t>Gio Fan</t>
  </si>
  <si>
    <t>Nikkei hits new highs after Japan election https://t.co/qGASEk16R0</t>
  </si>
  <si>
    <t>ÜT: 10.179961,-64.680267</t>
  </si>
  <si>
    <t>Compartiendo noticias y buscando la mejor informacion en tecnologia electronica. trabajando duro por un mejor pais</t>
  </si>
  <si>
    <t>Guru ಗುರು गुरु</t>
  </si>
  <si>
    <t>Bharata Varshe, Bharata Khande</t>
  </si>
  <si>
    <t>RoyalEnfield(Bullet) Rider. Bharatiya, Nationalist, Sanskrit learner. Wanna be Indologist but now in a wrong profession. Tweet on topics that inspire &amp; move me.</t>
  </si>
  <si>
    <t>FXYEAH.com</t>
  </si>
  <si>
    <t>Dollar/yen hits three-month high after Japan ruling party's election win https://t.co/3PZ6TUBd2H</t>
  </si>
  <si>
    <t>Global Forex Brokers&amp;Traders Online</t>
  </si>
  <si>
    <t>Swarnendu Halder</t>
  </si>
  <si>
    <t>कोलकाता, भारत</t>
  </si>
  <si>
    <t>Indian by Religion 🇮🇳🙏 Student of Aircraft Maintenance Engineering 🛫 |Member of #ABVP| |Motivated by #RSS &amp; #BJP| |Nation First| |Forces First|</t>
  </si>
  <si>
    <t>Pranav Sirohi</t>
  </si>
  <si>
    <t>Deputy News Editor @JagranNews दैनिक जागरण। Past - @bshindi. @IIMC_India alumni. Translated @arunjaitley &amp; @arvindsubraman's books. #IndiaFirst 🇮🇳</t>
  </si>
  <si>
    <t>Abdelwahab</t>
  </si>
  <si>
    <t>Popat Gunjal</t>
  </si>
  <si>
    <t>Rudra</t>
  </si>
  <si>
    <t>Stephen Canning</t>
  </si>
  <si>
    <t>Braintree, East</t>
  </si>
  <si>
    <t>24 yo #Essex boy, used to lead the #Conservative youth wing. Like writing things and work in comms.</t>
  </si>
  <si>
    <t>Abhishek Rohatgi</t>
  </si>
  <si>
    <t>GumBoots</t>
  </si>
  <si>
    <t>krunalmarathe</t>
  </si>
  <si>
    <t>Ahemdabad</t>
  </si>
  <si>
    <t>Social media teem member in bjp</t>
  </si>
  <si>
    <t>Bella</t>
  </si>
  <si>
    <t>Hey.Im Bella.Vampire.Newborn.I have a daughter named Reneesme.Don't fuck with me or my family.[Looking for an Edward]</t>
  </si>
  <si>
    <t>.:;</t>
  </si>
  <si>
    <t>Pramod Yadav</t>
  </si>
  <si>
    <t>Alexander Mwanthi</t>
  </si>
  <si>
    <t>entrepreneur,philanthropist of nothing left to steal,tweetpreneur, IT geek</t>
  </si>
  <si>
    <t>RMC Blog</t>
  </si>
  <si>
    <t>Japan Election Vindicates Shinzo Abe as His Party Wins Big https://t.co/CoD5s8tCT9</t>
  </si>
  <si>
    <t>Jersey Girl via PA via Cali</t>
  </si>
  <si>
    <t>Publicist, Educator, Public Relations butterfly. Newsroom &amp; Communications Specialist dabbling in Politics and Entertainment rt not necessarily endorsement</t>
  </si>
  <si>
    <t>paravola</t>
  </si>
  <si>
    <t>ビジネス・経済を中心に、まだあまり光が当たっていない小さな情報に注目してクリップしています。ログははてなブックマークでストック</t>
  </si>
  <si>
    <t>Kaivalya Desai</t>
  </si>
  <si>
    <t xml:space="preserve"> भारत , गुजरात , बीलीमोरा.</t>
  </si>
  <si>
    <t>Tweet in Like 👍👍</t>
  </si>
  <si>
    <t>Richard Beasley</t>
  </si>
  <si>
    <t>This is how you call an election @Number10gov ⚡️ “Japan leader's big election gamble pays off” by @business https://t.co/3pJB0jNTM2</t>
  </si>
  <si>
    <t>1 amazing wife, 2 wonderful sons and a ever growing family, including two beautiful granddaughters. #DCFC</t>
  </si>
  <si>
    <t>Investor</t>
  </si>
  <si>
    <t>Twitter Central</t>
  </si>
  <si>
    <t>Wits LawSchool Graduate. Student of the FinanciaI markets. I love Forex. I am applying my mind. PriceAction Analyst. CEO of GIMI Group. I make beautiful babies.</t>
  </si>
  <si>
    <t>New Delhi , INDIA</t>
  </si>
  <si>
    <t>Believe in justice for all &amp; appeasement to none. For me - India First ; everything else Last.</t>
  </si>
  <si>
    <t>IZAWA</t>
  </si>
  <si>
    <t>Tweetlogix</t>
  </si>
  <si>
    <t>iPhone: 5.323692,150.639564</t>
  </si>
  <si>
    <t>日記と読んだ本の記録に。ちなみに犬はジャック・ラッセル・テリア。</t>
  </si>
  <si>
    <t>Frank Gardner</t>
  </si>
  <si>
    <t>Maybe the First strike against North Korea will not be the US https://t.co/ZXp5v4P7jj</t>
  </si>
  <si>
    <t>I enjoy helping people grow their business, and knowing that I have personally had a part in an individuals success.</t>
  </si>
  <si>
    <t>vittorio palumbo</t>
  </si>
  <si>
    <t>PM's Office of Japan</t>
  </si>
  <si>
    <t>The official English account of Prime Minister's Office of Japan. Facebook: https://t.co/IZ4XbQmdo6</t>
  </si>
  <si>
    <t>bird</t>
  </si>
  <si>
    <t>日本国は日本人で守り、つくりあげよう！</t>
  </si>
  <si>
    <t>The environment.</t>
  </si>
  <si>
    <t>I am a human being concerned about our shared environment.</t>
  </si>
  <si>
    <t>Kwakwaru Vladimir JB</t>
  </si>
  <si>
    <t>Athi River, Kenya</t>
  </si>
  <si>
    <t>Keeping hope alive</t>
  </si>
  <si>
    <t>Tejudada (Hindu)</t>
  </si>
  <si>
    <t>वंदे मातरम।भारत माता की जय।जय हिंद।</t>
  </si>
  <si>
    <t>小翡翠</t>
  </si>
  <si>
    <t>umesh sharma</t>
  </si>
  <si>
    <t>BELIEVE IN THE THEORY OF SPIRITUALISM AND SCIENCE</t>
  </si>
  <si>
    <t>anarcho</t>
  </si>
  <si>
    <t>Shinzo Abe secures strong mandate in Japan's general election https://t.co/xC0ZZqUV7s</t>
  </si>
  <si>
    <t>California</t>
  </si>
  <si>
    <t>People's Advisor</t>
  </si>
  <si>
    <t>GOLD - Sharps Pixley</t>
  </si>
  <si>
    <t>Gold slumps to two-week low on Japan’s election result https://t.co/nmzM8ash1b via @BDliveSA</t>
  </si>
  <si>
    <t>GOLD News, Live Bullion Prices and Research. Precious metals market information as it happens... a must-see GOLD website at : https://t.co/5flnqbPJW4</t>
  </si>
  <si>
    <t>初瀬❀❀✿</t>
  </si>
  <si>
    <t>ヘッダ画像は下記URLより</t>
  </si>
  <si>
    <t>明和3年//防衛大学校(文系)志望//#戦艦少女R、#アズールレーン(佐世保)//実力と運命力を信じて//</t>
  </si>
  <si>
    <t>NotMyName</t>
  </si>
  <si>
    <t>SAN ANTONIO,TX.</t>
  </si>
  <si>
    <t>I USED TO BE COOL 🇺🇸🌼🌼🌼Irrelevant Sweet Cheeks🌼🌼🌼🇺🇸 I Will Not Vote In Yalls Polls. So stop POSIN'🤡</t>
  </si>
  <si>
    <t>Barbie Lori Walton</t>
  </si>
  <si>
    <t>Japan's Abe to push pacifist constitution reform after strong election win https://t.co/IJCtewUDMi</t>
  </si>
  <si>
    <t xml:space="preserve">Palm Beach Gardens FL </t>
  </si>
  <si>
    <t>A solid and proven track record in direct marketing and retail sales. Worked with top 3 fourtune 500 companys 🇺🇸🇺🇸..love my country!!</t>
  </si>
  <si>
    <t>NK bajgire38</t>
  </si>
  <si>
    <t>Limboti Nanded Maharashtra IND</t>
  </si>
  <si>
    <t>Mech Engineer M+9049593355</t>
  </si>
  <si>
    <t>Deron Cozart Sr</t>
  </si>
  <si>
    <t>RT @TheKurtCarr: Let's pray for the people of Japan affected by this typhoon. 🙏🏽 https://t.co/V5wOJB2Mrh #Typhoon #Japan #Prayers #TyphoonL…</t>
  </si>
  <si>
    <t>Saint Louis</t>
  </si>
  <si>
    <t>Deron Cozart, Sr., is one of the most terrific talents you will ever encounter on the planet.</t>
  </si>
  <si>
    <t>Samaskarebyaha</t>
  </si>
  <si>
    <t>https://t.co/KDfradqZTx</t>
  </si>
  <si>
    <t>Carolyn Holmes</t>
  </si>
  <si>
    <t>Protect and Respect our Elders and Honor our Veterans and Proud to be an American</t>
  </si>
  <si>
    <t>Forex4Group</t>
  </si>
  <si>
    <t>#Abe Placed to Lead Japan Through 2021 After Big Election Win https://t.co/lncHblKFQe vía @bpolitics</t>
  </si>
  <si>
    <t>Trading CFDs carries risk.</t>
  </si>
  <si>
    <t>Forex4group, your trusted trading platform.</t>
  </si>
  <si>
    <t>Akshata💙Modi Bhakt</t>
  </si>
  <si>
    <t>Indore, Nasik, Mumbai,INDIA💙</t>
  </si>
  <si>
    <t>Fashion student,Animal lover,Indori,Sketchng,Singing,Politics,filmy,learn new Languages,making new frnds,Youtuber,Blogger,Modi fan😎my tweets in Likes 🌈</t>
  </si>
  <si>
    <t>Vivek Nair</t>
  </si>
  <si>
    <t>ChemE, Love nature and music</t>
  </si>
  <si>
    <t>Amit Jain</t>
  </si>
  <si>
    <t>IIT Bombay Graduate, Co-Founder of Incentius and Aurochs Software; RTs are not endorsements</t>
  </si>
  <si>
    <t>Japan’s election results show women making little progress despite Abe’s landslide victory https://t.co/TO6y3SYzu7 #JapanTimes #news</t>
  </si>
  <si>
    <t>Yogesh Bhatt</t>
  </si>
  <si>
    <t>David Decembly</t>
  </si>
  <si>
    <t>Japan's Abe to push pacifist constitution reform after strong election win https://t.co/Hy2n5QMsrj</t>
  </si>
  <si>
    <t>Utah</t>
  </si>
  <si>
    <t>internet entrepreneur, affiliate marketing,advertisements,publisher,love making money and raising money for a good cause.</t>
  </si>
  <si>
    <t>SAMARJEET NARAYAN</t>
  </si>
  <si>
    <t>189, Cooperative Colony,Bokaro</t>
  </si>
  <si>
    <t>Retd Steel Plant Engineer with 35 yrs Experience,enjoying visiting different Parts of my beautiful country,INDIA RT is not an endorsement Supports #IT4Commerce</t>
  </si>
  <si>
    <t>Prashantkumar Ranka</t>
  </si>
  <si>
    <t>Rajarshi Mitra</t>
  </si>
  <si>
    <t>To live, to err, to fall, to triumph, to recreate life out of life.</t>
  </si>
  <si>
    <t>Referral Kings</t>
  </si>
  <si>
    <t>Japan's Abe vows to put education spending before budget balance https://t.co/ezrIiu6h45</t>
  </si>
  <si>
    <t>Shrink Bill</t>
  </si>
  <si>
    <t>Top personal finance news: Premarket: Japan election; Catalonia Chaos; European… https://t.co/tWCtWMu9m6, see more https://t.co/sMwhjGYv9i</t>
  </si>
  <si>
    <t>Alamo</t>
  </si>
  <si>
    <t>Personal finance wisely!</t>
  </si>
  <si>
    <t>Aniruddha Hindu Rss</t>
  </si>
  <si>
    <t>#EmergencyTweet #Requst wel wishers2folowTwitter @kumarmandaj @tdkalita @VSKGUWAHATI &amp;other similar A/Cs #VishwaDharmaKiJai #BharatMataKiJai</t>
  </si>
  <si>
    <t>chloe</t>
  </si>
  <si>
    <t>Shintaro</t>
  </si>
  <si>
    <t>🇺🇸🇯🇵 Disney, movie, whitehouse, royal family.</t>
  </si>
  <si>
    <t>Gold slumps to two-week low on Japan’s election result https://t.co/FvEwBQVBji</t>
  </si>
  <si>
    <t>Abhi Dahiya</t>
  </si>
  <si>
    <t>हरियाणा, भारत</t>
  </si>
  <si>
    <t>United Bharat | NaMo, Baba Ramdev | Strong Political Views | Proud Hindu/Sanatan Dharmi</t>
  </si>
  <si>
    <t>Chandan</t>
  </si>
  <si>
    <t>Proprietor and Managing Director at Nisha Disposables . YKTS यत्कर्म कुरुते तदभिसंपद्यते॥ As your deed is, so is your destiny)</t>
  </si>
  <si>
    <t>Being Subrata</t>
  </si>
  <si>
    <t>Only on Salman fans amazing excited tiger zinda hai 🐅 being e @ cycle, I love my India I am really proud for Salman big heart</t>
  </si>
  <si>
    <t>Brown sugar</t>
  </si>
  <si>
    <t>@Okinawa🇯🇵</t>
  </si>
  <si>
    <t>˚₊*୧⃛(๑⃙⃘⁼̴̀꒳⁼̴́๑⃙⃘)୨⃛*₊˚⋆GSF!／小川和久／細谷雄一／モーリー・ロバートソン／黒井文太郎／フィフィ／JSF／ヘッダ〜は最近買った雑誌◟̆◞̆*アイコンはぐでたま🎶／無言フォロー（RT、LIKE）お許しください。主に独り言。時事、ニュース等の情報収集用？な感じかな／#blockfm</t>
  </si>
  <si>
    <t>CBriquet</t>
  </si>
  <si>
    <t>Sao Paulo, Brazil</t>
  </si>
  <si>
    <t>#sculptures, carving #stone. tweets about what's relevant, beautiful or amusing... 📸 Instagram: https://t.co/XBvqfBz6Jj</t>
  </si>
  <si>
    <t>攻守兼備</t>
  </si>
  <si>
    <t>R E I N E 🌼</t>
  </si>
  <si>
    <t>SYD 🇦🇺</t>
  </si>
  <si>
    <t>Δίκη &amp; Ψ • Coffee enthusiast. ☕️✨</t>
  </si>
  <si>
    <t>Patrick Josh Valisno</t>
  </si>
  <si>
    <t>#BREAKINGNEWSNOW:(DEVELOPING)PH government congratulates Japan PM Abe on his election victory | via @GenKabiling #OnlyInThePhilippines</t>
  </si>
  <si>
    <t>Vicky Agarwal</t>
  </si>
  <si>
    <t>BJP Yuva Morcha Followed by @PiyushGoyaloffc @vijaypalbjp @mp_rekha @davepeck .I support my PM @narendramodi .</t>
  </si>
  <si>
    <t>Carlos Hiraoka </t>
  </si>
  <si>
    <t>LIMA - PERU</t>
  </si>
  <si>
    <t>Esposo, padre chancletero, hijo. Egresado (bachiller) de la PUCP y el PAD ..... no soy asesor, ni militante de ningún partido político</t>
  </si>
  <si>
    <t>Lumene55</t>
  </si>
  <si>
    <t>Seeing the twitter world picture. RTs are not necessarily my personal opinion.</t>
  </si>
  <si>
    <t>Rajendra Kushwah</t>
  </si>
  <si>
    <t>Activist</t>
  </si>
  <si>
    <t>Eric M Tyson</t>
  </si>
  <si>
    <t>hard assed conservative with a sense of humor.</t>
  </si>
  <si>
    <t>DirectivosDirigentes</t>
  </si>
  <si>
    <t>Shinzo Abe's Anti-Climatic Victory In Japan: Power Without Popularity: In the end, Japan’s snap election…… https://t.co/2hT3c4A7Vl</t>
  </si>
  <si>
    <t>La red de networking más grande en español. +20 paises +1.000.000 miembros. Información, sinergias,ayudando a personas y empresas, empleo:http://t.co/hOQAvLDqFD</t>
  </si>
  <si>
    <t>Mr.Comet</t>
  </si>
  <si>
    <t>South Asia</t>
  </si>
  <si>
    <t>I bookmark tweets with [like]. I retweet and explain to no-one for it. I follow/unfollow anytime with no obligation expected. Hate Missionaries and Jihad cults</t>
  </si>
  <si>
    <t>Ashok gee indian</t>
  </si>
  <si>
    <t>Japan pm sinjo is win your best polcey pm time win to election</t>
  </si>
  <si>
    <t>Government and Politics Government and Politics</t>
  </si>
  <si>
    <t>Stafford Omosa</t>
  </si>
  <si>
    <t>My lifestyle, my life, he he.........</t>
  </si>
  <si>
    <t>立てよ国民！</t>
  </si>
  <si>
    <t>日本が大好き</t>
  </si>
  <si>
    <t>Dhyan Shah</t>
  </si>
  <si>
    <t>Political Junkie, Follows Energy Policy. Tweet for fun but retweets are not an endorsement! Nationalist lookig for center of Right! https://t.co/xZK1nZBmVR</t>
  </si>
  <si>
    <t>Vipul Patel</t>
  </si>
  <si>
    <t>महाराजगंज, भारत</t>
  </si>
  <si>
    <t>parmar himanshu</t>
  </si>
  <si>
    <t>INDIAN🇮🇳 |CIVIL ENGINEER|પાક્કો ગુજરાતી|</t>
  </si>
  <si>
    <t>Pallav Priyank</t>
  </si>
  <si>
    <t>Darbhanga</t>
  </si>
  <si>
    <t>live life on own terms#low on emotion bt highly ambitious#loves music#loves intaracting with people#ENTREPRENEUR at Inoday#MAITHIL</t>
  </si>
  <si>
    <t>Peter</t>
  </si>
  <si>
    <t>Salzburg, Austria</t>
  </si>
  <si>
    <t>immer besser als gestern</t>
  </si>
  <si>
    <t>Anurag saxena</t>
  </si>
  <si>
    <t>Vonya Global</t>
  </si>
  <si>
    <t>via @NACD Japan Leads Global Stocks Higher After Elections https://t.co/cBnPJ85ELY #CorpGov #InternalAudit https://t.co/X5Xo4Fbj9Y</t>
  </si>
  <si>
    <t>Chicago, IL USA</t>
  </si>
  <si>
    <t>We're consultants passionate about #InternalAudit, #Governance, #RiskManagement, #Compliance, #Ethics, #Fraud Prevention. + travel, food, sports, &amp; leadership.</t>
  </si>
  <si>
    <t>Bishal</t>
  </si>
  <si>
    <t>हमारा झण्डा इसलिए नहीं फहराता कि हवा चल रही होती है, ये हर उस जवान की आखिरी साँस से फहराता है जो इसकी रक्षा में अपने प्राणों का उत्सर्ग कर देता है</t>
  </si>
  <si>
    <t>Rajesh</t>
  </si>
  <si>
    <t>Japan's general election in four charts https://t.co/KLk8FEVc2q https://t.co/pp12XJucjk</t>
  </si>
  <si>
    <t>MchariInstituteNews</t>
  </si>
  <si>
    <t>Japan's Abe vows to put education spending before budget balance - Reuters via education - Google ... https://t.co/RuUymX0cwm</t>
  </si>
  <si>
    <t>FeedBlitz</t>
  </si>
  <si>
    <t>MI College was established in 1979 with international accreditation and articulation of equivalency reciprocity.</t>
  </si>
  <si>
    <t>Trendr</t>
  </si>
  <si>
    <t>Japan’s Shinzo Abe Conjures Stunning Election Victory in a Boost for Donald Trump https://t.co/HFL8yUKzeY</t>
  </si>
  <si>
    <t>Just Trending News. Simple 🇺🇸</t>
  </si>
  <si>
    <t>回転翼機紙幣</t>
  </si>
  <si>
    <t>Nominal Gross Domestic Product Level Target (小難しい話はいいから皆の所得水準上げたら良いさ) ヘリコプターマネーで物価調整も良いけど所得増加も目指してみてはいかがでしょう？ Monaco,Malaga,Lazioの呟きは→@asemiste05</t>
  </si>
  <si>
    <t>yy775</t>
  </si>
  <si>
    <t>Jarpum Gamlin</t>
  </si>
  <si>
    <t>RT @EasternSentinel: Japan’s Shinzo Abe wins big in national election;PM Modi congratulated him &amp; said “Look forward to further strengthen…</t>
  </si>
  <si>
    <t>Alumnus of #SRCC,Delhi University &amp; #XLRI,Jamshedpur</t>
  </si>
  <si>
    <t>RT @NAR: Japan's general election in four charts https://t.co/KLk8FEVc2q https://t.co/pp12XJucjk</t>
  </si>
  <si>
    <t>After election win, Abe prioritizes North Korea, aging Japan (from @AP) https://t.co/zNu59HaePY</t>
  </si>
  <si>
    <t>India in Bhutan</t>
  </si>
  <si>
    <t>Phuentsholing, Bhutan</t>
  </si>
  <si>
    <t>Welcome to the official twitter account of the Consulate General of India Phuentsholing, Bhutan. Also follow us on https://t.co/AVV28fUois</t>
  </si>
  <si>
    <t>Evert Visser</t>
  </si>
  <si>
    <t>RT @inside_nk: Japan's Abe vows to 'deal firmly' with North Korea after election win</t>
  </si>
  <si>
    <t>Zorro</t>
  </si>
  <si>
    <t>RT @malaysiakini: Abe to push reform of Japan's pacifist constitution after election win https://t.co/EGQ8CbazBG https://t.co/SIofkfTLsE</t>
  </si>
  <si>
    <t>manas billore</t>
  </si>
  <si>
    <t>London,hong kong,Indore</t>
  </si>
  <si>
    <t>per ardua ad astra, religion wale column mein hum bold mein KAFIR likhte hain.</t>
  </si>
  <si>
    <t>Ankit Anand</t>
  </si>
  <si>
    <t>Deoghar, India</t>
  </si>
  <si>
    <t>Don't waste your time with explanations, people only hear what they want to hear.</t>
  </si>
  <si>
    <t>aditya narang</t>
  </si>
  <si>
    <t>BjpWarrior</t>
  </si>
  <si>
    <t>Shimla, India</t>
  </si>
  <si>
    <t>Cyber Warrior, Dedicated my life to BJP. NaMo Fan.Falcon.Strategic Management Faculty....!Radar is always Active</t>
  </si>
  <si>
    <t>Kunzang Palden</t>
  </si>
  <si>
    <t>I'm a mongoloid, stay in arcuate islands of far east, using Japanese, like meditating, singing and sleeping (￣▽￣), recently gave Buddhist name from my Lama.</t>
  </si>
  <si>
    <t>✨K. Thornton✨</t>
  </si>
  <si>
    <t>New Orleans, LA</t>
  </si>
  <si>
    <t>Unapologetically Black King ✊🏾👑</t>
  </si>
  <si>
    <t>唐桶十八子</t>
  </si>
  <si>
    <t>hweepeng, tay</t>
  </si>
  <si>
    <t>Follows China, East Asia news and developments. RT ≠ endorsement.</t>
  </si>
  <si>
    <t>carbonpaper</t>
  </si>
  <si>
    <t>always under the original</t>
  </si>
  <si>
    <t>A copy indeed</t>
  </si>
  <si>
    <t>DAVID HOLTZMAN</t>
  </si>
  <si>
    <t>He wants the right to wage war Abe retains supermajority in Japan’s election, may push to amend constitution https://t.co/pYrz8ZgX67</t>
  </si>
  <si>
    <t>Early-stage Internet pioneer; privacy expert; educator, advisor, author, media commentator; senior statesman of the global information economy.</t>
  </si>
  <si>
    <t>RB🇬🇧🍀🦁🌺🇮🇲</t>
  </si>
  <si>
    <t>Northern Ireland</t>
  </si>
  <si>
    <t>Mad about sports from british isles🏴󠁧󠁢󠁥󠁮󠁧󠁿🇮🇪🏴󠁧󠁢󠁳󠁣󠁴󠁿🏴󠁧󠁢󠁷󠁬󠁳󠁿british football expert⚽️,#epl.#teamgb.greatest league is @premierleague.@lions</t>
  </si>
  <si>
    <t>Serge</t>
  </si>
  <si>
    <t>Post-war Japan’s longest-ever serving PM now - Japan's Abe hails landslide victory in snap election https://t.co/EvtGEMqdJr</t>
  </si>
  <si>
    <t>Meeeeeechigan</t>
  </si>
  <si>
    <t>A lil about everything n a lot about many things..thankful for having lived on 4 of 6 habitable continents.mostly into laughs n nerdy stuff, n #Chelseafc</t>
  </si>
  <si>
    <t>https://t.co/yZ1xjtXE01 【 #DonaldTrump election】 I talked about the disadvantages of Japan and the future #トランプ #トランプ当選 #EDM #EDMlife</t>
  </si>
  <si>
    <t>sanjeev choudhary</t>
  </si>
  <si>
    <t>Prakash Datt</t>
  </si>
  <si>
    <t>passionate</t>
  </si>
  <si>
    <t>Vaishali</t>
  </si>
  <si>
    <t>Steam</t>
  </si>
  <si>
    <t>le3ts steam</t>
  </si>
  <si>
    <t>I love steam!!!!!!!!!!!!</t>
  </si>
  <si>
    <t>vijaypal nain</t>
  </si>
  <si>
    <t>gulari sangrur india</t>
  </si>
  <si>
    <t>देश को आजादी के नए अफसानों की जरूरत है भगत-आजाद जैसे आजादी के दीवानों की जरूरत है, भारत को फिर देशभक्त परवानों की जरूरत है.,😀😃☺💪🇮🇳🇮🇳🇮🇳🇮🇳</t>
  </si>
  <si>
    <t>Bikash Choudhary</t>
  </si>
  <si>
    <t>Just student</t>
  </si>
  <si>
    <t>Sahil Gupta</t>
  </si>
  <si>
    <t>I am a patriotic Indian with a burning desire to serve my country and guide it towards a prosperous future.; strategic affairs and diplomatic external relations</t>
  </si>
  <si>
    <t>Avid investor</t>
  </si>
  <si>
    <t>RT @SharpsPixley: Gold slumps to two-week low on Japan’s election result https://t.co/FvEwBQVBji</t>
  </si>
  <si>
    <t>Guven Yalcintas</t>
  </si>
  <si>
    <t>RT @dkavranoglu: Congratulations for your election victory. We hope that it will help with your efforts in reorganization for increased sec…</t>
  </si>
  <si>
    <t>Consistently fostering economic development by commercializing research technologies, proven track record of creating innovations.</t>
  </si>
  <si>
    <t>Chetan Bhakkad</t>
  </si>
  <si>
    <t>Mumbai / Delhi / Pune</t>
  </si>
  <si>
    <t>Infrastructure Development Consultant</t>
  </si>
  <si>
    <t>विवेक गुप्ता</t>
  </si>
  <si>
    <t>HuffPost</t>
  </si>
  <si>
    <t>Japan's election sets up a new battle over its pacifist constitution https://t.co/AWV6teziUf https://t.co/sHicugeaM2</t>
  </si>
  <si>
    <t>Know what's real.</t>
  </si>
  <si>
    <t>Ravinder</t>
  </si>
  <si>
    <t>Er.Ashish Agarwal</t>
  </si>
  <si>
    <t>Bhopal M.P.</t>
  </si>
  <si>
    <t>State Co-Convenor of BJP's IT Dept M.P.Ex State SecBjp YouthWing ExBanker,TelecomEngineer BE(CS) MBA,PGDM,Phd pursuing,writer,Visited Japan,as Environmentalist.</t>
  </si>
  <si>
    <t>Cesta</t>
  </si>
  <si>
    <t>MUFC till I die!!!</t>
  </si>
  <si>
    <t>EllenFallinginFall</t>
  </si>
  <si>
    <t>RT @HuffPost: Japan's election sets up a new battle over its pacifist constitution https://t.co/AWV6teziUf https://t.co/sHicugeaM2</t>
  </si>
  <si>
    <t>I care about humor. Being uplifted and uplifting others, except 45. #Superman #Gamer #Geek #Loki #DS9 #Trek #naughty #abdl</t>
  </si>
  <si>
    <t>Stéphane, Dr Congo</t>
  </si>
  <si>
    <t>Québec, Canada</t>
  </si>
  <si>
    <t>économiste et chercheur en geoeconomie</t>
  </si>
  <si>
    <t>Sufal Das🏅</t>
  </si>
  <si>
    <t>मेरा हिंदुस्तान महान था महान है और महान रहेगा मोदी भक्त हू और रहूंगा. Blessed Followed by Shri @Narendramodi777@PiyushGoyalOffc</t>
  </si>
  <si>
    <t>Mukesh</t>
  </si>
  <si>
    <t>Modi's Intolerant India</t>
  </si>
  <si>
    <t>Proud Modi Bhakt. Vyapam | LalitGate | Beef | Dadari | Intolerance | AwardWapasi | &amp; more to come. Dear haters, throw all that u can, Modi is here to stay.</t>
  </si>
  <si>
    <t>Vishal Dodiya</t>
  </si>
  <si>
    <t>Biggest Fan of @pmmodi..Ji Interested in politics.. Follow by @PiyushGoyaloffc... Work 4 @BJP4Gujarat till last breath... Follow by @IshwarParmarMLA</t>
  </si>
  <si>
    <t>cyn_city</t>
  </si>
  <si>
    <t>RT @PoliticsNewz: Japan's Shinzo Abe Conjures Stunning Election Victory in a Boost for #DonaldTrump https://t.co/9ORYZuI8AZ https://t.co/Hl…</t>
  </si>
  <si>
    <t>Anonymous 🌐🐈🐾</t>
  </si>
  <si>
    <t>#Japan's #ShinzoAbe to push pacifist constitution reform after strong election win https://t.co/5kVA3oNBdg https://t.co/ktrRely2io</t>
  </si>
  <si>
    <t>Our mission is global peace.</t>
  </si>
  <si>
    <t>🏴 @rul3r #Anonymous #YAR #BREAKING ＆#CYBERSECURITY NEWS Whistleblowers #FreeAnons #Direniş #RedHack #TeamVene10 #IntelGroup #AntiSec #400lbCr3w</t>
  </si>
  <si>
    <t>Guddu Dubey</t>
  </si>
  <si>
    <t>government +politics +cricket</t>
  </si>
  <si>
    <t>Love my country| Supports real patriots| Modiji</t>
  </si>
  <si>
    <t>Shrikant Padhy</t>
  </si>
  <si>
    <t>Bharat Mata ki Jai</t>
  </si>
  <si>
    <t>Ben Cawley</t>
  </si>
  <si>
    <t>🇬🇧🇬🇧🇬🇧</t>
  </si>
  <si>
    <t>पप्पू का पापा।</t>
  </si>
  <si>
    <t>कांग्रेसियों के भक्तों का पापा जी।</t>
  </si>
  <si>
    <t>no justice - just us</t>
  </si>
  <si>
    <t>Japan's Abe to push pacifist constitution reform after strong election win https://t.co/1tK46j3FAZ</t>
  </si>
  <si>
    <t>"The pump don't work 'Cause the vandals took the handles."</t>
  </si>
  <si>
    <t>オハナ丸号</t>
  </si>
  <si>
    <t>RT @smith796000: Japan's Abe on track for landslide win, exit polls show @CNNI https://t.co/fqbRaxqKho</t>
  </si>
  <si>
    <t>日本人として、日本という国を大切にしたい。</t>
  </si>
  <si>
    <t>“@bpolitics: How Japan leader Shinzo Abe's election gamble paid off https://t.co/lgpSCoBsPN https://t.co/kBXFOyFcpQ”</t>
  </si>
  <si>
    <t>Gyan Katta Champs</t>
  </si>
  <si>
    <t>Gold slumps to two-week low on Japan’s election result https://t.co/i8owhWq07L</t>
  </si>
  <si>
    <t>Fortune Limited</t>
  </si>
  <si>
    <t>We Ship orders within UK mainlaind only</t>
  </si>
  <si>
    <t>Doyle Industries</t>
  </si>
  <si>
    <t>The Winners and Losers of Japan's Landslide Election - Bloomberg: Bloomberg The Winners and Losers of Japan's…… https://t.co/mD7G8jJEb1</t>
  </si>
  <si>
    <t>Sydney • 1.0 AU</t>
  </si>
  <si>
    <t>A decidedly new kind of industrial enterprise here for a new, and very different world • @Doyle_Media • Engineering @Doyle_Eng • Founder: @TheRichardDoyle</t>
  </si>
  <si>
    <t>#3Novices : Japan’s election results show women making little progress despite Abe’s landslide victory https://t.co/d3QFgNmOIy Prime Minis…</t>
  </si>
  <si>
    <t>HUFFPOST: Japan's election sets up a new battle over its pacifist constitution https://t.co/5Jkr75PTAj https://t.co/xkJNtIAtWW</t>
  </si>
  <si>
    <t>⛏💥आजाद पंछी💥🇮🇳</t>
  </si>
  <si>
    <t>आर्यवत्  भरत- खण्ड</t>
  </si>
  <si>
    <t>!!ॐ!! #जय_महाकाल !!ॐ!! #राष्ट्रवादी 📚 #हिंदू 🔥 #मोदीभक्त🚩 #कार्यकर्ता 👈 मालिक💺अपनी मर्जी का ✌ 🏹महाराणा प्रताप की धरती से ⛏ #भारत_माता_की_जय🚩</t>
  </si>
  <si>
    <t>samuel lopez</t>
  </si>
  <si>
    <t>San Borja, Peru</t>
  </si>
  <si>
    <t>Limeño de pura cepa</t>
  </si>
  <si>
    <t>Blanche V. Mercaldi</t>
  </si>
  <si>
    <t>The Winners and Losers of Japan's Landslide Election</t>
  </si>
  <si>
    <t>Georgia</t>
  </si>
  <si>
    <t>Native of New York City, NY. I am a Conservative Corporate Assistant.</t>
  </si>
  <si>
    <t>もじょもじょ</t>
  </si>
  <si>
    <t>ブルース好きの40代、♂コーヒーより、紅茶が好き。煙草と酒からは足を洗いました。横浜、東京のレコード屋に出没の絶滅危惧種です。趣味は英語学習とギター演奏、読書という名の流し読み。音楽について、呟きます。よろしくお願いします。</t>
  </si>
  <si>
    <t>NARESH BHARVAD</t>
  </si>
  <si>
    <t xml:space="preserve">JAMANGAR </t>
  </si>
  <si>
    <t>Life is Game</t>
  </si>
  <si>
    <t>sugarvilleguitars</t>
  </si>
  <si>
    <t>Guitarist,Composer, Mets fan . Guitar is like a bicycle to me.</t>
  </si>
  <si>
    <t>The Voting News</t>
  </si>
  <si>
    <t>Shinzo Abe secures strong mandate in Japan's general election | The Guardian https://t.co/uJgPUcRmNz</t>
  </si>
  <si>
    <t>TVNWP2T</t>
  </si>
  <si>
    <t>Linking to news about election integrity issues in the US and around the world. We are a service of @VerifiedVoting</t>
  </si>
  <si>
    <t>00t</t>
  </si>
  <si>
    <t>Гэрэлт✨</t>
  </si>
  <si>
    <t>Намар боллоо буурай минь ирэх шиг 🍁批判、皮肉、自慢、傲慢、誹謗、中傷から避難🤛🏻役に立つツイートを🙏 The Apology of Socrates 関西弁訳最近の楽しみ😂</t>
  </si>
  <si>
    <t>Japan’s election results show women making little progress despite Abe’s landslide victory https://t.co/aIbQDxhEKl</t>
  </si>
  <si>
    <t>Maureen</t>
  </si>
  <si>
    <t xml:space="preserve">RIVERINA. NSW. AUSTRALIA. </t>
  </si>
  <si>
    <t>"Attitude is a little thing that makes a big difference.” Gemini.Conservative Rural.No time fools.Laughter.Sense humour. Family.Recently retired.18yrs insurance</t>
  </si>
  <si>
    <t>MsTradingCoach</t>
  </si>
  <si>
    <t>RT @WingGirlTrader: OVERNIGHT IN ASIA-PACIFIC: Japanese stocks rise as dollar climbs against the yen after Abe election win https://t.co/tP…</t>
  </si>
  <si>
    <t>ENTER Trading Room Below</t>
  </si>
  <si>
    <t>Free &amp; low cost trading educational content, training video, interviews, shows at https://t.co/iRkCRYwlAu . Join me daily in TIs FREE Trading Chat Room</t>
  </si>
  <si>
    <t>After landslide victory, Abe may ramp up spending to spur economic policies and social security https://t.co/S8fTHzvSOf #japan</t>
  </si>
  <si>
    <t>Japan’s election results show women making little progress despite Abe’s landslide victory https://t.co/IfnbuF0q3N #japan</t>
  </si>
  <si>
    <t>Sunny Deol</t>
  </si>
  <si>
    <t>Fan Account ! B'wood ! Humor!</t>
  </si>
  <si>
    <t>Original Duplicate'FUNOfficial A/C.Fan of Living Legend Sunny Deol,This is a parody account and not in any way affiliated with actor sunny deol 🙏🙏</t>
  </si>
  <si>
    <t>SandeepSingh Rathore</t>
  </si>
  <si>
    <t>Jaipur,Rajasthan,India</t>
  </si>
  <si>
    <t>@NarendraModi @MYogiadityanath का भक्त। कट्टर हिन्दू (राजपूत)! भारत माता की जय ! वन्दे मातरम् 🇮🇳🇮🇳🕉🕉🚩🚩</t>
  </si>
  <si>
    <t>Upstairs&amp;ToDaRight🌹</t>
  </si>
  <si>
    <t>Here for music, current events, pop culture. Mostly want to help Indie bands and artists. Progressive &amp; love animals.</t>
  </si>
  <si>
    <t>DogFarley</t>
  </si>
  <si>
    <t>Follow a Thought:https://t.co/wr0vRfGFsA</t>
  </si>
  <si>
    <t>robotNews</t>
  </si>
  <si>
    <t>Japan's Abe to push pacifist constitution reform after strong election win. #realnews #livenews #breakingnews #lat… https://t.co/v9WFCim5Rk</t>
  </si>
  <si>
    <t>The latest global headlines from only the most credible sources.</t>
  </si>
  <si>
    <t>Japan’s election results show women making little progress despite Abe’s landslide victory https://t.co/JLc8a2ORZ4</t>
  </si>
  <si>
    <t>Dirigentes</t>
  </si>
  <si>
    <t>Shinzo Abe's Anti-Climatic Victory In Japan: Power Without Popularity: In the end, Japan’s snap election… https://t.co/hR1xFgeWiS #http://…</t>
  </si>
  <si>
    <t>Buscamos los mejores #Dirigentes. ¿Eres tu uno de ellos? Follow me! @fmarin_ES Yo creo en la #Excelencia de la #Gestión y el compromiso con la #Calidad.</t>
  </si>
  <si>
    <t>Retweeted HuffPost (@HuffPost): Japan's election sets up a new battle over its pacifist constitution... https://t.co/ckGvGZ2y5h</t>
  </si>
  <si>
    <t>The Winners and Losers of Japan's Landslide Election https://t.co/ulwkocrJRy</t>
  </si>
  <si>
    <t>आयूष्मान्</t>
  </si>
  <si>
    <t>RJ (india)</t>
  </si>
  <si>
    <t>Therkut</t>
  </si>
  <si>
    <t>Japan's Abe to push pacifist constitution reform after strong election win https://t.co/sX4ecB2l4M https://t.co/wzaifc6Kax</t>
  </si>
  <si>
    <t>Feeds Bot - therkut@hotmail.com</t>
  </si>
  <si>
    <t>Daily Mail Online</t>
  </si>
  <si>
    <t>Shinzo Abe’s comfortable win in Japan's election lifts shares https://t.co/QnV6UAQk1M</t>
  </si>
  <si>
    <t>Top stories from the Daily Mail. We're also on Facebook: https://t.co/hD0PyZHS4Z #seriouslypopular</t>
  </si>
  <si>
    <t>momo noki</t>
  </si>
  <si>
    <t>原発は「弱者踏みつけ社会」の象徴！ 泥にまみれて遊び、美味しいものを全身で味わう、自然の恵みを安心して受けられる世の中を取り戻したい。子供達の本来の権利である未来と健康と幸せを守りたい。今こそ、大人が覚悟を決めて闘わなくては！</t>
  </si>
  <si>
    <t>Penelope Tindall</t>
  </si>
  <si>
    <t>Wiltshire, UK</t>
  </si>
  <si>
    <t>Trombonist with L plates. Love reading, Doc Martin, NCIS, Castle, The Mentalist, StarTrek (TNG, VOY &amp; DS9 in particular)</t>
  </si>
  <si>
    <t>Marc Schinzel</t>
  </si>
  <si>
    <t>Basel-Land, Schweiz</t>
  </si>
  <si>
    <t>Dr. iur., LL. M. (Columbia), Landrat FDP, Mitglied Parteileitung FDP BL, Binningen/BL: Politik; Geschichte; Reisen nah+fern; Musik+Kultur durch Zeiten und Räume</t>
  </si>
  <si>
    <t>Arihant Jain</t>
  </si>
  <si>
    <t>James Layne 🇬🇧</t>
  </si>
  <si>
    <t>RT @MailOnline: Shinzo Abe’s comfortable win in Japan's election lifts shares https://t.co/QnV6UAQk1M</t>
  </si>
  <si>
    <t>York, England</t>
  </si>
  <si>
    <t>Generation Identity England, York. Britain is dead. We NEED a cultural renaissance. Clean your room, Slay the dragon, Take the treasure. Pro Gun UK #Deplorable</t>
  </si>
  <si>
    <t>Mathilda</t>
  </si>
  <si>
    <t>Japan's election was a shameful answer. However, it seems that the buds of the two major parties have finally come to light.</t>
  </si>
  <si>
    <t>shashank</t>
  </si>
  <si>
    <t>Shubham</t>
  </si>
  <si>
    <t>Nagpur, India</t>
  </si>
  <si>
    <t>honoured to be followed by @piyushgoyaloffc 🙏🙏🙏🙏🙏🙏🙏</t>
  </si>
  <si>
    <t>shatrughan rajpoot</t>
  </si>
  <si>
    <t>Government &amp; Public Utilities Government &amp; Public Utilities Bollywood and Celebrities</t>
  </si>
  <si>
    <t>MRIGENDRA SINGH</t>
  </si>
  <si>
    <t>REWA,INDIA</t>
  </si>
  <si>
    <t>Humanity first...focused to social welfare..Very close to Tradition Nature &amp; Religion. Indian...</t>
  </si>
  <si>
    <t>Science News</t>
  </si>
  <si>
    <t>#Typhoon Lan lashes #Japan #Election day, leaves three: https://t.co/h74swyXprq, https://t.co/hA8UVHnQum https://t.co/5jD6bdtoVj</t>
  </si>
  <si>
    <t>ScienceNews</t>
  </si>
  <si>
    <t>Reuters: Japan's Abe vows to put education spending before budget balance: TOKYO (Reuters… https://t.co/yGkkxX4J4e</t>
  </si>
  <si>
    <t>Abwooli</t>
  </si>
  <si>
    <t>Fort Portal, Uganda</t>
  </si>
  <si>
    <t>I ride on love and kindness, the world needs it</t>
  </si>
  <si>
    <t>Amit Bhaskar</t>
  </si>
  <si>
    <t>Greater New York</t>
  </si>
  <si>
    <t>Anecdote hunter | Logophile | Passionate about many things (everything!) | My days are about #AI #Digital #Data; #Consumer #Banking @Genpact | Views personal</t>
  </si>
  <si>
    <t>Japan's Abe vows to put education spending before budget balance https://t.co/yA6y3o76nf https://t.co/VQ0oo74B5j</t>
  </si>
  <si>
    <t>Catalan brinkmanship with Madrid -Japan's PM election win UK business want quick Brexit deal https://t.co/7jAdd7iVc0 https://t.co/YB7NB1Jk6I</t>
  </si>
  <si>
    <t>Whitey Johnson</t>
  </si>
  <si>
    <t>RT @AIIAmericanGirI: Abe to push reform of Japan's pacifist constitution after election win | Reuters https://t.co/bfpR7zWe5S</t>
  </si>
  <si>
    <t>I think I was brainwashed. Color me isolationist - er, well-armed. #Militia Yet, engaged in commerce. #islamIsTheProblem</t>
  </si>
  <si>
    <t>Toto</t>
  </si>
  <si>
    <t>Tanzania</t>
  </si>
  <si>
    <t>Certified FXTrader,Banker. All twits are my own views! (RTs = Read This &amp; Likes are not = to endorsement)</t>
  </si>
  <si>
    <t>RT @VonyaGlobal: via @NACD Japan Leads Global Stocks Higher After Elections https://t.co/cBnPJ85ELY #CorpGov #InternalAudit https://t.co/X5…</t>
  </si>
  <si>
    <t>Aleyoh Lilliane</t>
  </si>
  <si>
    <t>Max R. Carlson</t>
  </si>
  <si>
    <t>RT @YourAnonRevolt: Catalan brinkmanship with Madrid -Japan's PM election win UK business want quick Brexit deal https://t.co/7jAdd7iVc0 ht…</t>
  </si>
  <si>
    <t>Brooklyn, NY</t>
  </si>
  <si>
    <t>Cecile Tamura</t>
  </si>
  <si>
    <t>Pres. &amp; CEO Okasaki Tech Holdings, Managing Dir Airily Corp., Country Dir MakeItMedia, talks innovation, entrepreneurship, giftedness, tech, food, fashion</t>
  </si>
  <si>
    <t>ABHISHEK KUMAR</t>
  </si>
  <si>
    <t>अपने बारे में क्या बताऊँ मै ?</t>
  </si>
  <si>
    <t>Christopher J. Noyes</t>
  </si>
  <si>
    <t>Programmer and photographer</t>
  </si>
  <si>
    <t>Donaldson</t>
  </si>
  <si>
    <t>ARMAN</t>
  </si>
  <si>
    <t>Islamic Republic of Iran</t>
  </si>
  <si>
    <t>World #News &amp; Middle East &amp; more @PressTV 🌎🌍🌏 @alalam_news #أخبار العالم والشرق الأوسط وأكثر من ذلك</t>
  </si>
  <si>
    <t>Stefan Mahadeo</t>
  </si>
  <si>
    <t>SuryaPratap Singh</t>
  </si>
  <si>
    <t>नरसिंहपुर ,मध्यप्रदेश ,भारत</t>
  </si>
  <si>
    <t>::PRO BJP:PRO RSS::STUDENT::RAJPUT::किसान पुत्र:हिन्दू::राष्ट्रवादी::एक विचार-हर बार मोदी सरकार::प्रयास प्राण प्रिय देश भारत की उन्नति का::</t>
  </si>
  <si>
    <t>Japan's election sets up a new battle over its pacifist constitution https://t.co/hWfCqaF78l https://t.co/XRslIU7QvU</t>
  </si>
  <si>
    <t>藤代裕之「風の人」重版出来！</t>
  </si>
  <si>
    <t>ゼミ生と作った『地域ではたらく「風の人」という新しい選択』が第29回地方出版文化功労賞・島根本大賞2016をW受賞しました。メディアとジャーナリズムの未来を創る。法政大学社会学部メディア社会学科准教授。日本ジャーナリスト教育センター（JCEJ）代表運営委員。ツイートは個人の意見で、所属する組織とは無関係です。</t>
  </si>
  <si>
    <t>国護れなくて日本国なし</t>
  </si>
  <si>
    <t>Noa</t>
  </si>
  <si>
    <t>Incognito</t>
  </si>
  <si>
    <t>I dont endorse websites, only cite sources Pledge Allegiance to Republic of USA not the mess it has become Reinstate Constitution as writen not living doc crap</t>
  </si>
  <si>
    <t>Rishikesh Kumar</t>
  </si>
  <si>
    <t>#Nuclearwar Abe, Trump agree to raise pressure on North Korea: #Japan government https://t.co/Cnop9UMjbh https://t.co/6EhZRyk58f</t>
  </si>
  <si>
    <t>Anuj Kumar Singh</t>
  </si>
  <si>
    <t>めろこあぱんくん</t>
  </si>
  <si>
    <t>メロコア、パンクが好き♫ 野球大好き!! メディアの偏向報道に危機感。TBS、テレ朝は特に酷い。NHKもダメ。 「反日マスコミの正体」検索！ 反日議員をなくして日本を守ろう！ 愛媛新聞もアカンよ。</t>
  </si>
  <si>
    <t>Harshil Bhuria🇮🇳</t>
  </si>
  <si>
    <t>Dahod,Gujarat</t>
  </si>
  <si>
    <t>★ Member Of ITSM @BJP4Gujarat ★ Followed By Gujarat CM Shri @VijayRupanibjp ji &amp; Dy.CM Shri @Nitinbhai_Patel ji &amp; @BJP4Gujarat President Shri @Jitu_Vaghani ji ★</t>
  </si>
  <si>
    <t>@rbxyq</t>
  </si>
  <si>
    <t>大阪府</t>
  </si>
  <si>
    <t>前のアカウントが消えたようです。ご迷惑をかけております。</t>
  </si>
  <si>
    <t>Mbah Soleh</t>
  </si>
  <si>
    <t>https://t.co/18q5w1w4Qa : Japan's Abe vows to put education spending before budget balance https://t.co/ACvjFxlmGY</t>
  </si>
  <si>
    <t>|| Tak Tau-tau berbagi ||</t>
  </si>
  <si>
    <t>Dak</t>
  </si>
  <si>
    <t>RT MailOnline "Shinzo Abe’s comfortable win in Japan's election lifts shares https://t.co/4UZPAyicuC"</t>
  </si>
  <si>
    <t>ILoveJapan81</t>
  </si>
  <si>
    <t>RT @YourAnonRevolt: #Nuclearwar Abe, Trump agree to raise pressure on North Korea: #Japan government https://t.co/Cnop9UMjbh https://t.co/…</t>
  </si>
  <si>
    <t>Trying an experiment</t>
  </si>
  <si>
    <t>いちごおぱんちゅ</t>
  </si>
  <si>
    <t>After election win, Abe prioritizes North Korea, aging Japan - Chicago Tribune &lt; https://t.co/tTuOFfjRE5</t>
  </si>
  <si>
    <t>Lady_MaMa</t>
  </si>
  <si>
    <t>laiku madzen</t>
  </si>
  <si>
    <t>ABC News</t>
  </si>
  <si>
    <t>Will #Japan's PM Shinzo Abe change the pacifist constitution after his decisive election win? @bevvo14 asks… https://t.co/DWp26dA34r</t>
  </si>
  <si>
    <t>Latest news updates from the Australian Broadcasting Corp. This is an official @abcaustralia account.</t>
  </si>
  <si>
    <t>Bibi Spielberg</t>
  </si>
  <si>
    <t>RT @SputnikInt: Japanese PM #Abe's ruling coalition winning majority of seats in #JapanElection https://t.co/26eyU9GyHh https://t.co/m8QdVl…</t>
  </si>
  <si>
    <t>International Buyer with Patents, Business, Marketing, Psychology, Law Student. Writer, Seeks Justice-WorldPeace-StopWars-HumanRights.</t>
  </si>
  <si>
    <t>B.S Rajput</t>
  </si>
  <si>
    <t>failure is delay not defeat👍✌️</t>
  </si>
  <si>
    <t>Aninda Das</t>
  </si>
  <si>
    <t>Not all who wander are lost.</t>
  </si>
  <si>
    <t>Stephen Robert Nagy</t>
  </si>
  <si>
    <t>RT @abcnews: Will #Japan's PM Shinzo Abe change the pacifist constitution after his decisive election win? @bevvo14 asks @nagystephen1 #ABC…</t>
  </si>
  <si>
    <t>Senior Associate Professor,International Christian University, Department of Politics and International Studies</t>
  </si>
  <si>
    <t>Ajay Khattri</t>
  </si>
  <si>
    <t>Kuldeep Singh 🔵</t>
  </si>
  <si>
    <t>Hindustan 🚩 🇮🇳</t>
  </si>
  <si>
    <t>राष्ट्र प्रथम वन्देमातरम जय हिंद 🇮🇳 #followedby @piyushgoyaloffc शम्मा-ए-वतन की लौ पर कुर्बान पतंगा हो, होठों पर गंगा हो और हाथों में तिरंगा हो 🇮🇳</t>
  </si>
  <si>
    <t>ShrikantCG</t>
  </si>
  <si>
    <t>#BeKindRewind</t>
  </si>
  <si>
    <t>San Jose, CA</t>
  </si>
  <si>
    <t>U Bum</t>
  </si>
  <si>
    <t>Mehedi Hasan Heron</t>
  </si>
  <si>
    <t>MailOnline : Shinzo Abe’s comfortable win in Japan's election lifts shares https://t.co/XbqSgVcVOz (via Twitter… https://t.co/ghExNAmSMc</t>
  </si>
  <si>
    <t>Dhaka, Bangladesh</t>
  </si>
  <si>
    <t>KANATANI, Joe 金谷 譲</t>
  </si>
  <si>
    <t>播磨と摂津の国境出身。京都市在住。姓は藤原、ミトコンドリアのみ源氏。翻訳者（英・露・中）、史学者（ユーラシア）。RTは基本メモ代わりで、コメントのない場合必ずしも同意を意味しません。</t>
  </si>
  <si>
    <t>Japan's Abe vows to put education spending before budget balance https://t.co/MalpYWOnwP https://t.co/Q85tdnx9kd</t>
  </si>
  <si>
    <t>News Hour</t>
  </si>
  <si>
    <t>Japan’s Abe to push pacifist constitution reform after strong election win https://t.co/1WSxVFvRBM https://t.co/hxhes6ZkOC</t>
  </si>
  <si>
    <t>This is an online news portal published from Bangladesh. Please visit https://t.co/vZLyn3lA1s</t>
  </si>
  <si>
    <t>Надежда Попова</t>
  </si>
  <si>
    <t>Chirag Kadiya</t>
  </si>
  <si>
    <t>narushow1012</t>
  </si>
  <si>
    <t>Share News Japan 39 minutes ago · 【House of Representatives election】 Independent · Mr. Yamazu Shisakura was... https://t.co/JN5WcOraUe</t>
  </si>
  <si>
    <t>愛知県 名古屋市 中区</t>
  </si>
  <si>
    <t>#相互フォロー１００％返しますよ！楽しい出会いを夢見ています！</t>
  </si>
  <si>
    <t>Chevalley Bernard</t>
  </si>
  <si>
    <t>En fremde Fötzel in Blocherland</t>
  </si>
  <si>
    <t>domingo ruiz</t>
  </si>
  <si>
    <t>prakash jain</t>
  </si>
  <si>
    <t>jagdalpur</t>
  </si>
  <si>
    <t>Yas</t>
  </si>
  <si>
    <t>Capridude</t>
  </si>
  <si>
    <t>Come lets face the reality.</t>
  </si>
  <si>
    <t>Tetsuaki M</t>
  </si>
  <si>
    <t>Hawkish Koike split the Democrats and helped hawkish Abe win. But in total the opposition parties also gained seats. https://t.co/vHmzrKIImx</t>
  </si>
  <si>
    <t>Yokohama</t>
  </si>
  <si>
    <t>最近気になるのは #中学校給食 #核兵器禁止条約 #総選挙 #比例は共産党</t>
  </si>
  <si>
    <t>BrdCloud News</t>
  </si>
  <si>
    <t>The Winners and Losers of Japan's Landslide Election - Bloomberg - https://t.co/V0awikMRNf The landslide victory in Japan for the party b...</t>
  </si>
  <si>
    <t>BrdCloudNews</t>
  </si>
  <si>
    <t>Patriot</t>
  </si>
  <si>
    <t>concerned about the nation issues, economics &amp; politics in India. Also concerned about environment protection. RT are not endorsement.</t>
  </si>
  <si>
    <t>Makiko (Maki) Itoh</t>
  </si>
  <si>
    <t>Yesterday there was a general election in Japan. (This is not about politics! If you want to read my political... https://t.co/Bnt4arBz8V</t>
  </si>
  <si>
    <t xml:space="preserve">France なう </t>
  </si>
  <si>
    <t>I run http://t.co/9rSiVuMXey and http://t.co/sZhxzLV9d2. This account is just for updates of those sites. For my general tweets please follow @makiwi ^_^</t>
  </si>
  <si>
    <t>Happier than I Look</t>
  </si>
  <si>
    <t>RT @PolticsNewz: Japan's Abe vows to put education spending before budget balance https://t.co/MalpYWOnwP https://t.co/Q85tdnx9kd</t>
  </si>
  <si>
    <t>West Michigan</t>
  </si>
  <si>
    <t>I could write anything here, including that I am a christian, but that means nothing without evidence. Hell, even donald trump calls himself a christian!</t>
  </si>
  <si>
    <t>Dollar hits three-month high vs yen on Abe election victory https://t.co/iRk1eSXaMT False economy #Abenomics #japan https://t.co/HYUzd5APmD</t>
  </si>
  <si>
    <t>Karol Allen</t>
  </si>
  <si>
    <t>WelcomeMr.Pres.Trump</t>
  </si>
  <si>
    <t>https://t.co/eXvrJNyIEN</t>
  </si>
  <si>
    <t>Muhammad</t>
  </si>
  <si>
    <t>I love Pakistani Sub SE Pahle Pakistan</t>
  </si>
  <si>
    <t>Abe to push reform of Japan's pacifist constitution via @RTENewsNow https://t.co/nuEE8RzUT0</t>
  </si>
  <si>
    <t>VINOD KUMAR</t>
  </si>
  <si>
    <t>Indore india</t>
  </si>
  <si>
    <t>hindu shakti. jinabad. jai bharat jai hindu. namo namo ... follow=follow,... unfollow= blocked.....</t>
  </si>
  <si>
    <t>StoneMountainCapital</t>
  </si>
  <si>
    <t>#Abe's coalition retains two-thirds #majority in #Japan #election- Nikkei Asian Review https://t.co/kTes1O4Om8</t>
  </si>
  <si>
    <t>Stone Mountain Capital LTD - Alternative Investment Advisory Solutions - info@stonemountain-capital.com</t>
  </si>
  <si>
    <t>RT @YourAnonRevolt: Dollar hits three-month high vs yen on Abe election victory https://t.co/iRk1eSXaMT False economy #Abenomics #japan htt…</t>
  </si>
  <si>
    <t>Anand G Singh</t>
  </si>
  <si>
    <t>रामभक्त राष्ट्रभक्त मोदी और योगी भक्त # RT's are not endorsements! followed by : @PiyushGoelOffc @UpCabinet</t>
  </si>
  <si>
    <t>amroli college</t>
  </si>
  <si>
    <t>AT &amp; POST : Amroli, Surat</t>
  </si>
  <si>
    <t>Toattain excellence of students in academic and other programs and for creating an environment that is dedicated to inculcating in students the skills and value</t>
  </si>
  <si>
    <t>SEO Service Corp</t>
  </si>
  <si>
    <t>Japan's Abe vows to put education spending before budget balance - Reuters https://t.co/6bf5aQKaS2 #world</t>
  </si>
  <si>
    <t>Advantage - Digital Marketing</t>
  </si>
  <si>
    <t>Vaibhav Kumar</t>
  </si>
  <si>
    <t>A Hyper-Nationaliat and Proud Hindu।।Ultra Hardcore supporter of modi।।Special haterd for congress,libtards,commies and kejriwal type people।।</t>
  </si>
  <si>
    <t>Japan’s election results show women making little progress despite Abe’s landslide victory https://t.co/4aGQQylJkk</t>
  </si>
  <si>
    <t>Chicago Navigator</t>
  </si>
  <si>
    <t>After election win, Abe prioritizes North Korea, aging Japan https://t.co/xy6ILmduRp</t>
  </si>
  <si>
    <t>The news you need for Chicago.</t>
  </si>
  <si>
    <t>GI-PURE INFORMATION</t>
  </si>
  <si>
    <t>@monitor_sur #LookingForNews &gt;&amp;gt;&amp;gt; TWITTER MOMENTS How Japan leader Shinzo Abe's election gamble paid off... https://t.co/6dz4RdWGb1</t>
  </si>
  <si>
    <t>Monitoring through major news media. All Time #LookingForNews http://t.co/hCC3D2qpga http://t.co/iGWwSQZH42 http://t.co/1G2eLj1Z1r WhatsApp1(323)591-4734</t>
  </si>
  <si>
    <t>MAHIPAL SHEKHAWAT</t>
  </si>
  <si>
    <t>#JAPAN #JPTIMES broadcast by #EMET_NEWS_PRESS: Abe claims victory as powerful endorsement, may seek re-election... https://t.co/XZwBz3DoEs</t>
  </si>
  <si>
    <t>Chung Ostrander</t>
  </si>
  <si>
    <t>Japan’s Nikkei rises for a 15th straight session after Abe’s election win https://t.co/YfFtM43WHc</t>
  </si>
  <si>
    <t>El Paso, TX</t>
  </si>
  <si>
    <t>finish my career with army, now let see what god takes me.</t>
  </si>
  <si>
    <t>Arvind Dhaker</t>
  </si>
  <si>
    <t>Junior Manager at JSW Steel Limited, Dolvi Works, Raigad, Maharashtra</t>
  </si>
  <si>
    <t>のしか</t>
  </si>
  <si>
    <t>日本海</t>
  </si>
  <si>
    <t>日本海に住んでます。たま～ぁに色々な島に渡ります。反日企業製品不買運動コツコツ実行中。梨桃蜜柑の国から国へ。資格取得に向け休眠中です。ほぼリツイートのみです。 #赤尾敏#憲法改正#拉致被害者全員奪還#日韓トンネル絶対反対#安倍総理応援団#日本のこころ#日本第一党#勢#錦木</t>
  </si>
  <si>
    <t>慈永祐士</t>
  </si>
  <si>
    <t xml:space="preserve">Sri Lanka,  </t>
  </si>
  <si>
    <t>ホームレスですが、仏教徒です。人生綱渡りです。流れているTweetのほとんどは、脳内で発生している電流が見せている妄念です。https://t.co/YEGEMYPmCm</t>
  </si>
  <si>
    <t>Mathews Sebonego</t>
  </si>
  <si>
    <t>Rustenburg, South Africa</t>
  </si>
  <si>
    <t>Motswana,Kgabo- Connecting the dots going forward.</t>
  </si>
  <si>
    <t>Baliram Pandey</t>
  </si>
  <si>
    <t>Imran Khan</t>
  </si>
  <si>
    <t>Himanish Roy</t>
  </si>
  <si>
    <t>I'm the KING of my soul</t>
  </si>
  <si>
    <t>Afternoon Voice</t>
  </si>
  <si>
    <t>Typhoon leaves 5 dead after lashing Japan on Election Day https://t.co/nhZcsN1w8g https://t.co/UFUybnqjyc</t>
  </si>
  <si>
    <t>Official Twitter handle of Afternoon Voice. Mumbai's English tabloid with Millions of readership in Print &amp; Digital. The only parallel media house of India.</t>
  </si>
  <si>
    <t>Charlie Hebdo</t>
  </si>
  <si>
    <t>;-) RTs are not endorsements.</t>
  </si>
  <si>
    <t>France Afrique</t>
  </si>
  <si>
    <t>France :</t>
  </si>
  <si>
    <t>Réseau dédié à François Fillon homme d'état français lucide et courageux face à l'adversité,un désir d'affirmer les valeurs et traditions d’une France prospère.</t>
  </si>
  <si>
    <t>Yehzdi</t>
  </si>
  <si>
    <t>Dr Lok Srivastava</t>
  </si>
  <si>
    <t>Hindu</t>
  </si>
  <si>
    <t>Gourab  Mondal</t>
  </si>
  <si>
    <t>Kolkata, West Bengal, India</t>
  </si>
  <si>
    <t>Human Rights Activist | Nation First | Working For SAVING The HINDUS of BENGAL -For whom Nobody Speaks | Believe in PM Modi |</t>
  </si>
  <si>
    <t>Joan Sala</t>
  </si>
  <si>
    <t>RT @YourAnonRevolt: #Japan's #ShinzoAbe to push pacifist constitution reform after strong election win https://t.co/5kVA3oNBdg https://t.c…</t>
  </si>
  <si>
    <t>Messiah - Maitreya</t>
  </si>
  <si>
    <t>Berlin, Deutschland</t>
  </si>
  <si>
    <t>Все пророчества о мессии: Махабхарата, Талмуд, Библия, Коран, пророчества майя и хопи, Нострадамус, вещий Авель, Ванга, Кейси, Джейн Диксон написаны обо мне.</t>
  </si>
  <si>
    <t>HuffPost: Japan's election sets up a new battle over its pacifist constitution https://t.co/EGszNvD0m2 https://t.co/zRssqYtBFF</t>
  </si>
  <si>
    <t>Eddie Blues</t>
  </si>
  <si>
    <t>神奈川在住。趣味、ハーモニカとドブロギターでブルーズを奏でること。たまにバーとかでライブしてます。仕事はクリエイティブ系。印刷媒体に長年関わりました。情報を集めたり、たくさんの方々のたくさんの見方を知るのが好きなので、あちこちフォローしてしまうかもしれません。ご了承ください。よろしくお願いいたします♪</t>
  </si>
  <si>
    <t>VIKAS MANAR VERMA</t>
  </si>
  <si>
    <t>Life is an adventure, it's not a package tour.</t>
  </si>
  <si>
    <t>Ginny Balfour</t>
  </si>
  <si>
    <t>Sit. Feast on your life. Give me the liberty to know to utter &amp; to argue freely according to conscience above all liberties. #Loki #ThorRagnarok #Sens #Retired</t>
  </si>
  <si>
    <t>Jagdeep sidhu</t>
  </si>
  <si>
    <t>dubai</t>
  </si>
  <si>
    <t>Namo supporter. Dreamer of a developed india under namo.Followed by @PiyushGoyalOffc</t>
  </si>
  <si>
    <t>Abhishek Agrawal</t>
  </si>
  <si>
    <t>Worried but pragmatic Indian</t>
  </si>
  <si>
    <t>Дмитрий Биричевский</t>
  </si>
  <si>
    <t>RT @NAR: Comment: Abe must address Japan's painful challenges https://t.co/dqbB0lXazr</t>
  </si>
  <si>
    <t>Москва</t>
  </si>
  <si>
    <t>МИДовский чиновник</t>
  </si>
  <si>
    <t>RoyG</t>
  </si>
  <si>
    <t>Inter arma silent leges, - personal timeline for news of the Middle East &amp; International Relations.</t>
  </si>
  <si>
    <t>कुಮಾರवाಣಿ</t>
  </si>
  <si>
    <t>देवभाषाವಿದ್ಯಾರ್ಥಿ | शिल्पकलाಸಕ್ತ | ಪ್ರಸಕ್ತविद्यमानानि | राजಕೀಯ | कर्णाटದೇಶವಾಸಿ | https://t.co/1qgGQu6ho7</t>
  </si>
  <si>
    <t>Ain Yuuko</t>
  </si>
  <si>
    <t>::japanophile ::coffeephile ::potterhead ::hydeist ::IleftmyheartinJapan ::el.psy.congroo</t>
  </si>
  <si>
    <t>Sikandar Rajput</t>
  </si>
  <si>
    <t>actor/ model</t>
  </si>
  <si>
    <t>Fred Katayama</t>
  </si>
  <si>
    <t>CDPJ emerges as biggest opposition party after Japan polls. @SheilaSmithCFR was right. https://t.co/Y01cC0Uftk</t>
  </si>
  <si>
    <t>Anchor/producer @Reuters. Co-author: Japan: A Living Portrait. Tweets are my own. @columbia alum; @JapanSociety board director; Ex-@CNN, ex-@USJC director</t>
  </si>
  <si>
    <t>Chogunwook</t>
  </si>
  <si>
    <t>Seoul , merci</t>
  </si>
  <si>
    <t>Fundamentalist, Investor, Thinker</t>
  </si>
  <si>
    <t>ur</t>
  </si>
  <si>
    <t>日本国</t>
  </si>
  <si>
    <t>日本が好きな普通の人？デザイン的にＧＪな日の丸と、真の友好国・台湾とチベット国に敬意を示して。独り言＆気になった記事を備忘録代わりにリツイート。興味は、政治・自転車・ＡＲＴ・デザイン・90年代ダンス音楽系で、意外に詳しいのは瞑想やスピリチュアル系。昔はプレアデスにいたらしい？</t>
  </si>
  <si>
    <t>alchemic architect</t>
  </si>
  <si>
    <t>@LeaveEUOfficial @TiceRichard Japanese PM Abe won his 5th consecutive election to form strong &amp; stable govt. Japan… https://t.co/geMInYJRHu</t>
  </si>
  <si>
    <t>#BuyBritish, #HireBritish &amp; #ProtectBritishWorkers</t>
  </si>
  <si>
    <t>#PutBritishWorkersFirst. There's solid evidence #FreeTradeHurtsWorkers: NAFTA is a disaster for America. Thus support #NoDealBrexit.</t>
  </si>
  <si>
    <t>John Brewer</t>
  </si>
  <si>
    <t>Japan Election Vindicates Shinzo Abe as His Party Wins Big https://t.co/tAhYSRk450</t>
  </si>
  <si>
    <t>Newfane, NY 14108 USA</t>
  </si>
  <si>
    <t>Retired Engineer and Manufacturing Manager, Computer Geek, Author, Family Man, Foodie, and All Around Fun Guy.</t>
  </si>
  <si>
    <t>Neelam Gupta</t>
  </si>
  <si>
    <t>Hye guys I'm who believe that god give us human life only one time so enjoy our life and do ur hard work and achieve all goals.</t>
  </si>
  <si>
    <t>Love OpenMind bum su</t>
  </si>
  <si>
    <t>대한민국 충청북도</t>
  </si>
  <si>
    <t>💘 world 0 family 1 and 0friends always8 happy3 God's 1together 4💘mind good luck 7good luck 0world people 7friends 8💘 mind.</t>
  </si>
  <si>
    <t>天災ｱﾐﾊﾞ量産型</t>
  </si>
  <si>
    <t>常にネガティブシンキングであれ。俗に言うポジティブ人間は現実から目を背けて自分に夢を見ているだけだ。必要なのは自己疑念を持つ事。向上心とは自分に疑いを持ち、常に悩んでいる人しか持ち得ない。そしてそれが人としての魅力なのだ。ちょい右ですが問題提起の観点で敢えて苦言を呈する時もあります。</t>
  </si>
  <si>
    <t>Manikant Kant</t>
  </si>
  <si>
    <t>Proud Bharatiya. INDIA FIRST, INDIA FOREMOST. BHARAT MATA KI JAI . RT not endorsement.</t>
  </si>
  <si>
    <t>Amol Tikam</t>
  </si>
  <si>
    <t>RT @SCMP_News: What Shinzo Abe’s election win will mean for China-Japan relations https://t.co/WViM5X9mJq</t>
  </si>
  <si>
    <t>Shailendra</t>
  </si>
  <si>
    <t>Harsh K. Kapoor</t>
  </si>
  <si>
    <t>Now-a-days here to decipher Policies of #NaMo Blessed to be followed by Honourable PM Sh @narendramodi ji @vijay_sampla ji, @PiyushGoyalOffc</t>
  </si>
  <si>
    <t>Japan's Abe to push pacifist constitution reform after strong election win # https://t.co/n6TydcsyD4</t>
  </si>
  <si>
    <t>Japan's Abe vows to put education spending before budget balance # https://t.co/eXJOK7LEic</t>
  </si>
  <si>
    <t>Sapan Kumar Sahani</t>
  </si>
  <si>
    <t>Polasara, Odisha, India</t>
  </si>
  <si>
    <t>Nation First #IAmNewIndia | System Admin| Interested in Technology, Politics, Media &amp; Social issues. I salute the heroes who keeps our homeland safe. ଜୟ ଜଗନ୍ନାଥ</t>
  </si>
  <si>
    <t>Nathaniel Hoover</t>
  </si>
  <si>
    <t>Jodi Jones</t>
  </si>
  <si>
    <t>abcnews: Will #Japan's PM Shinzo Abe change the pacifist constitution after his decisive election win? bevvo14 ask… https://t.co/MF3Ytf3WpV</t>
  </si>
  <si>
    <t>Meridian, MS</t>
  </si>
  <si>
    <t>Brutally Honest but Disarmingly Charming #marketing #business #manager #analyst #writer #younique #itworks #consultant #joinme</t>
  </si>
  <si>
    <t>Japan’s election results show women making little progress despite Abe’s landslide victory https://t.co/JctC9D3Dra https://t.co/gCQ6pMuBcn</t>
  </si>
  <si>
    <t>Rohit Singh</t>
  </si>
  <si>
    <t>BARACHAWAR, HINDUSTHAN</t>
  </si>
  <si>
    <t>🇮🇳🇮🇳🇮🇳🇮🇳🇮🇳🇮🇳🇮🇳🇮🇳🇮🇳🇮🇳</t>
  </si>
  <si>
    <t>黄色いひよこ</t>
  </si>
  <si>
    <t>TL読み専アカ(^o^)</t>
  </si>
  <si>
    <t>kobo78</t>
  </si>
  <si>
    <t>Ads</t>
  </si>
  <si>
    <t>Rotherham, England</t>
  </si>
  <si>
    <t>churning out news, tweet and retweet anything of interest, doesn't necessarily mean endorsement.</t>
  </si>
  <si>
    <t>Japan leads global stocks higher after elections https://t.co/vGVjoZt1HX https://t.co/5IdodNwy46</t>
  </si>
  <si>
    <t>Anand K</t>
  </si>
  <si>
    <t>A doctor by profession. A nationalist by actions, MODI fan</t>
  </si>
  <si>
    <t>Shan1KUSH</t>
  </si>
  <si>
    <t>⚡️ “Japan leader's big election gamble pays off” by @business https://t.co/A7j5GlFlo7</t>
  </si>
  <si>
    <t>in my body</t>
  </si>
  <si>
    <t>ALPHA MU #May #Zen Alpha Mu Naunet Shannon Nicole</t>
  </si>
  <si>
    <t>Japan leads global stocks higher after elections https://t.co/m070Es0zOV https://t.co/AykceoJkxj</t>
  </si>
  <si>
    <t>Election win re-energizes Abe's push to reform Japan's pacifist constitution https://t.co/LFba6jOd1X #Globe #Mail #news</t>
  </si>
  <si>
    <t>RT @WSJ: Japan leads global stocks higher after elections https://t.co/vGVjoZt1HX https://t.co/5IdodNwy46</t>
  </si>
  <si>
    <t>Ashok Nete</t>
  </si>
  <si>
    <t>Gadchiroli Delhi</t>
  </si>
  <si>
    <t>Member of Parliament Gadchiroli-Chimur (Maharashtra) | Member, Consultative Committee, Ministry of Tribal Affairs | BJP State President- ST Morcha |</t>
  </si>
  <si>
    <t>Roberto H.J</t>
  </si>
  <si>
    <t>ES/ENG/FR/CH/DEU/RS "SustainableDevelopmentGoals" #2030Agenda #GoVegan</t>
  </si>
  <si>
    <t>SP Singh</t>
  </si>
  <si>
    <t>India first # RT is not endorsement.</t>
  </si>
  <si>
    <t>norma</t>
  </si>
  <si>
    <t>tokyo japan</t>
  </si>
  <si>
    <t>不慣れですが宜しくお願いします。保守派の方のみフォロー歓迎しています。 日台友好 Free Tibet #八重桜の会 Ｊ-NSC会員</t>
  </si>
  <si>
    <t>San Francisco</t>
  </si>
  <si>
    <t>After election win, Abe prioritizes North Korea, aging Japan - San Francisco Chronicle #SanFrancisco https://t.co/kLno44puC5</t>
  </si>
  <si>
    <t>Find your latest news about San Francisco with just one click. Don't miss out on anything happening in your region!</t>
  </si>
  <si>
    <t>ketulkumar</t>
  </si>
  <si>
    <t>Working in Govt Sector</t>
  </si>
  <si>
    <t>タッツ</t>
  </si>
  <si>
    <t>Kameari /Sawara(Hokkaido)</t>
  </si>
  <si>
    <t>今どんな音楽が流行っているのかさっぱりわからない、遅れてきたフォークシンガーもどき。今年もHbA1cの数値に一喜一憂</t>
  </si>
  <si>
    <t>Harsh Shukla</t>
  </si>
  <si>
    <t>Garhwa, India</t>
  </si>
  <si>
    <t>Mom</t>
  </si>
  <si>
    <t>Japan leads global stocks higher after elections https://t.co/es6CzDshN6 https://t.co/tgXUUVAKLC</t>
  </si>
  <si>
    <t>Pranit Bandgar</t>
  </si>
  <si>
    <t>Mumbai, INDIA</t>
  </si>
  <si>
    <t>🎸🎶🎸..... Love u ❤❤❤...... काम अस करा की नाव झाल पाहिजे, आणि नाव अस करा की काम झाल पाहिजे... 🎸🎶🎸</t>
  </si>
  <si>
    <t>विवेक सिंह 'दाऊ'</t>
  </si>
  <si>
    <t>🚩🚩हिन्दू है हम हिन्दुस्था हमारा🚩🚩</t>
  </si>
  <si>
    <t>RT @SputnikInt: Japanese PM #Abe's ruling coalition winning majority of seats in #JapanElection https://t.co/26eyU9GyHh https://t.co/ID3D1F…</t>
  </si>
  <si>
    <t>WSJ: Japan leads global stocks higher after elections https://t.co/ayPRgHFkUo https://t.co/H31awcWgSR</t>
  </si>
  <si>
    <t>WSJ: Japan leads global stocks higher after elections https://t.co/eafyPi9NWi https://t.co/K4ZLBwsDJS https://t.co/vlHdUQE7LA</t>
  </si>
  <si>
    <t>Japan leads global stocks higher after elections https://t.co/p3qAP3NPQp https://t.co/X8PbGWRsfQ</t>
  </si>
  <si>
    <t>ListenTwiwter</t>
  </si>
  <si>
    <t>東京23区（仮）</t>
  </si>
  <si>
    <t>IT系……な気がするだけの会社員。東京在住</t>
  </si>
  <si>
    <t>WSJ: Japan leads global stocks higher after elections https://t.co/kdy2Ai49a4 https://t.co/XQqsDBBcCg</t>
  </si>
  <si>
    <t>wσfα qwαвєnα 🇬🇭</t>
  </si>
  <si>
    <t xml:space="preserve">Gold Coast Ghana </t>
  </si>
  <si>
    <t>It Cost $0 dollars and 0 cents to be 100% Real... Real recognize Real 👤 #RrR #Double_Tap Double ➿ Trouble #BlessUp🙌🙌 #PEACE ✌ #LifeAndLesson</t>
  </si>
  <si>
    <t>N'Pal</t>
  </si>
  <si>
    <t xml:space="preserve">Jaipur </t>
  </si>
  <si>
    <t>Business Analyst, Writer and Educationist,@tweets r personal opinions, RT are not enforcement or endorsement</t>
  </si>
  <si>
    <t>☆りんご★</t>
  </si>
  <si>
    <t>日本が大好き!☆.｡.:*(人・v・*)+゜</t>
  </si>
  <si>
    <t>blackspout</t>
  </si>
  <si>
    <t>Election win re-energizes Abe's push to reform Japan's pacifist constitution https://t.co/NWU5MaaMPL</t>
  </si>
  <si>
    <t>/ニコニコ/アニメ/マンガ/TV/小説/料理/PC/ 気軽にフォローして下さい。</t>
  </si>
  <si>
    <t>RT WSJ: Japan leads global stocks higher after elections https://t.co/971u6ivPyq https://t.co/nAdkFndqI8</t>
  </si>
  <si>
    <t>Navneet Barot</t>
  </si>
  <si>
    <t>Vijapur Gujarat India</t>
  </si>
  <si>
    <t>SUNIL NAIR</t>
  </si>
  <si>
    <t>Worked with GETIT Yellow Pages, Blue Blends Petro Chemicals. Presently operating as a Freelance contractor &amp; supplier. Patriotic &amp; Nationalist - Indian</t>
  </si>
  <si>
    <t>Shyamsunder Parikh</t>
  </si>
  <si>
    <t>Chikhli, India</t>
  </si>
  <si>
    <t>Japan leads global stocks higher after elections https://t.co/e88gyZnMqS https://t.co/wG5Ri1fq17</t>
  </si>
  <si>
    <t>Mahmut Karaduman</t>
  </si>
  <si>
    <t>risashi</t>
  </si>
  <si>
    <t>普通の主婦です。日本と大阪が好きです(〃ω〃)</t>
  </si>
  <si>
    <t>WSJ: Japan leads global stocks higher after elections https://t.co/b8hIqeny69 https://t.co/FmPRNyhJC1. https://t.co/kCLfzUFxzq</t>
  </si>
  <si>
    <t>MAHARATHI</t>
  </si>
  <si>
    <t>kimiti jane wanjiku</t>
  </si>
  <si>
    <t>margomcd</t>
  </si>
  <si>
    <t>Pennsylvania</t>
  </si>
  <si>
    <t>Travel journalist, travel planner, lover of all things travel. I've been to 39 countries, most recently Germany, Liechtenstein &amp; Switzerland. Florida next month</t>
  </si>
  <si>
    <t>ᐯ I ᔕ ᕼ ᗩ ᒪ🇮🇳</t>
  </si>
  <si>
    <t>Here for SUPERSTAR @BeingSalmanKhan Sir | u guys do whatever u want to do but dont trouble ur mother man</t>
  </si>
  <si>
    <t>Dhaval Gandhi 🇮🇳</t>
  </si>
  <si>
    <t>India, Bombay</t>
  </si>
  <si>
    <t>Engineer Director Investor Traveler and Dreamer</t>
  </si>
  <si>
    <t>arun</t>
  </si>
  <si>
    <t>गर्व से कहो हम हिंदू एक हैं तेरा वैभव अमर रहे मां Together we make a stronger Hindustan.</t>
  </si>
  <si>
    <t>hundred twenty one</t>
  </si>
  <si>
    <t>The Winners and Losers of Japan's Landslide Election https://t.co/m1eUOkZQSP</t>
  </si>
  <si>
    <t>politics @100twentyone</t>
  </si>
  <si>
    <t>Rahul kasare</t>
  </si>
  <si>
    <t>Anti corruption.</t>
  </si>
  <si>
    <t>After election win, Abe prioritizes North Korea, aging Japan - Chicago Tribune &lt; https://t.co/0nGNLEmXF8</t>
  </si>
  <si>
    <t>Japan leads global stocks higher after elections https://t.co/3IQkYGoilH https://t.co/uTQ5xDen0s</t>
  </si>
  <si>
    <t>adiblesmarket</t>
  </si>
  <si>
    <t>After election win, Abe prioritizes North Korea, aging Japan https://t.co/uzmyJ0fBte</t>
  </si>
  <si>
    <t>To assist people get connected to goods and services within their local community, helping buyers and sellers to find a competitive ground to trade.</t>
  </si>
  <si>
    <t>NAMO NARAYAN KUMAR</t>
  </si>
  <si>
    <t>Raiba</t>
  </si>
  <si>
    <t>|Nationalist|BJP supporter|Politics|Fun|Cricket|Reading</t>
  </si>
  <si>
    <t>Rajeev Shankar</t>
  </si>
  <si>
    <t>Forbesganj, India</t>
  </si>
  <si>
    <t>MA (General Eco),,,Homio Para medical,</t>
  </si>
  <si>
    <t>Black Hermione G</t>
  </si>
  <si>
    <t>NJ</t>
  </si>
  <si>
    <t>My president was black.</t>
  </si>
  <si>
    <t>MetaphorMirror</t>
  </si>
  <si>
    <t>RT @Reuters: Japan's Abe to push pacifist constitution reform after strong election win https://t.co/yak1pXnVzh https://t.co/JhRHVFoSgb</t>
  </si>
  <si>
    <t>UCD. Dublin, Ireland.</t>
  </si>
  <si>
    <t>Metaphor is the native tongue of bots that don't have to live in the real world. So I get my figurative sensibility from my bro-bot @MetaphorMagnet</t>
  </si>
  <si>
    <t>tòxico</t>
  </si>
  <si>
    <t>Page...</t>
  </si>
  <si>
    <t>LiveNews</t>
  </si>
  <si>
    <t>Japanese PM Extends Power in S https://t.co/TIZI30d2qz via @W3LiveNews #Japan #ShinzōAbe #LiberalDemocraticParty #PrimeMinisterofJapan</t>
  </si>
  <si>
    <t>W3LiveNews</t>
  </si>
  <si>
    <t>Melbourne, Victoria</t>
  </si>
  <si>
    <t>World's most popular #trends site. Bringing you the latest #trends including #news, videos and searches from all around the #world.Visit:https://t.co/6IIU8YXMth</t>
  </si>
  <si>
    <t>Japan leads global stocks higher after elections https://t.co/iuzUrrFSvv https://t.co/NvKe57fu0a</t>
  </si>
  <si>
    <t>WSJ: Japan leads global stocks higher after elections https://t.co/9yK3vchQU7 https://t.co/smJh0Y0sgG</t>
  </si>
  <si>
    <t>安全保障情報局  NSIA</t>
  </si>
  <si>
    <t>日本国 Japan</t>
  </si>
  <si>
    <t>安保情報局 National Security Intelligence Agency</t>
  </si>
  <si>
    <t>After election win, Abe prioritizes North Korea, aging Japan – Chicago Tribune https://t.co/h3tKqokoQV</t>
  </si>
  <si>
    <t>The Winners and Losers of Japan's Landslide Election - Bloomberg https://t.co/RN4FJXXqSB https://t.co/jPFve7zb9o</t>
  </si>
  <si>
    <t>RT WSJ "Japan leads global stocks higher after elections https://t.co/Ahd8QAE1qL https://t.co/8XItOcG2Or"</t>
  </si>
  <si>
    <t>yoshitada okada</t>
  </si>
  <si>
    <t>Harajuku, Ginza, Tokyo.</t>
  </si>
  <si>
    <t>家は銀座。日課は銀ブラ。仕事は頭のガテン系。ライフワークは「誇大遺跡計画3109年」岡田詳唯 living in Ginza. News junkie. Media nerd. Dog lover. Movie fan. And yep, I am an Architect! ♥︎ Icon by K.Hibino.</t>
  </si>
  <si>
    <t>cally priest</t>
  </si>
  <si>
    <t>lancaster uk</t>
  </si>
  <si>
    <t>I am me! co ed comp (british for crap education) against cruelty in all forms exept lying scumbag politicians, Love Arts in all forms, Nerd geek self certified.</t>
  </si>
  <si>
    <t>Matthew Okeke</t>
  </si>
  <si>
    <t>New post added at PmNews - Tech Daily News - Typhoon drenches Japan on general election day... https://t.co/VoLFEJZY13</t>
  </si>
  <si>
    <t>Web Developer And Apps Developer: Android - iphone App Magazine Publishing.</t>
  </si>
  <si>
    <t>Фабиан 👑</t>
  </si>
  <si>
    <t>Typhoon drenches Japan on general election day - https://t.co/yTAb6SN7R4</t>
  </si>
  <si>
    <t>Technological_News</t>
  </si>
  <si>
    <t>Stuttgart, Germany</t>
  </si>
  <si>
    <t>TNBT☞The Next Big Thing✹ Follow nd mention for a follow back! ✤support @Arsenal and @realmadrid in that order ♡Tech Lover🚀🚀</t>
  </si>
  <si>
    <t>Meggin Rosher</t>
  </si>
  <si>
    <t>Barrie, Ontario</t>
  </si>
  <si>
    <t>Hi, I’m Meggin Rosher. I’m a small business owner living in Barrie, Ontario, Canada. I am a fan of travel, reading, and photography.</t>
  </si>
  <si>
    <t>Tom Woods</t>
  </si>
  <si>
    <t>RT @Worldnews_top: Japan's Abe to push pacifist constitution reform after strong election win https://t.co/tWQMNf3Zz0 #worldnews #news #bre…</t>
  </si>
  <si>
    <t>Largo, Florida</t>
  </si>
  <si>
    <t>#MAGA #Vet #Molon-Labe #Christian #BAN-MSM #ANTI-PC #Karatbars Invest Secure Easy Affiliates https://t.co/rkm9WPXkIV #Alignable https://t.co/RsedRJYPrX</t>
  </si>
  <si>
    <t>Retweeted WORDLNEWS (@Worldnews_top): Japan's Abe to push pacifist constitution reform after strong election win... https://t.co/MJhtq2Xq2U</t>
  </si>
  <si>
    <t>Ridder: turn sharing into growth</t>
  </si>
  <si>
    <t>Laser_the_Lone_Wolf</t>
  </si>
  <si>
    <t>RT @OccuWorld: After election win, Abe prioritizes North Korea, aging Japan – Chicago Tribune https://t.co/h3tKqokoQV</t>
  </si>
  <si>
    <t xml:space="preserve">Roaming NY, DE, CA, DC or OK </t>
  </si>
  <si>
    <t>GSachs is partners wBain Cap., MNAT, SullCrom in racketeering Wall Street frauds; and their guy, Jay Clayton now heads S.E.C. WTF! https://t.co/dONYyyaBM1</t>
  </si>
  <si>
    <t>関西州</t>
  </si>
  <si>
    <t>日本の国益政党を支持！日本の為の教科書採択！電波自由化推進！国防費拡大！学校教育の健全化！高等教育費無償化！日本維新の会が与党又は野党第１党になることが国益！橋下徹氏！ 松井一郎氏！安倍政権！ 大阪！</t>
  </si>
  <si>
    <t>Mohan Rao🇮🇳</t>
  </si>
  <si>
    <t>Nationalist Indian from Bengaluru, residing in Singapore. Supporting Modiji. My country Hindustan is in the safest hands. RTs aren't Endorsement</t>
  </si>
  <si>
    <t>Rakesh Aggarwal</t>
  </si>
  <si>
    <t>Dadu Majra Colony, Chandigarh</t>
  </si>
  <si>
    <t>जन्मभूमि कर्मभूमि स्वर्ग से महान है. Proud to be a swayamsewak.भारत माता की जय. Honoured to be blessed by @PiyushGoyaloffc नमोभक्त</t>
  </si>
  <si>
    <t>Jitesh Jalan</t>
  </si>
  <si>
    <t>gum 🎃🍁👻🍂</t>
  </si>
  <si>
    <t>VA</t>
  </si>
  <si>
    <t>🌜Gum / 22 / cis girl / INFP / bi or pan or something 🌞 FFXIV: Matmia Mia on Jenova (DRG main) 🌷@thoracs🌷</t>
  </si>
  <si>
    <t>Sue Leugers</t>
  </si>
  <si>
    <t>Ohio, USA</t>
  </si>
  <si>
    <t>Gov Officials &amp; Agencies Government &amp; Politics United States Cabinet Animal rights Indigenous rights People looking to also learn</t>
  </si>
  <si>
    <t>Obura</t>
  </si>
  <si>
    <t>Wira Ni Wira | Techie | Hustle Gang | Eternal Optimist | Founder @DerevaKenya</t>
  </si>
  <si>
    <t>tokyopotato</t>
  </si>
  <si>
    <t>Japan's snap election : Final count shows Abe's ruling bloc secures more than 2/3 (310) of the total. Opposition br… https://t.co/oyMh0nkjbO</t>
  </si>
  <si>
    <t>Concerned with world moves from Tokyo. RT: ≠ Endorsement.</t>
  </si>
  <si>
    <t>Jora Singh Chahal</t>
  </si>
  <si>
    <t>देश के गद्दारों से सख्त नफरत है</t>
  </si>
  <si>
    <t>Jinesh Rawal</t>
  </si>
  <si>
    <t>Mount Abu, India</t>
  </si>
  <si>
    <t>bachelor</t>
  </si>
  <si>
    <t>aldoalonsovaldesleal</t>
  </si>
  <si>
    <t>After election win, Abe prioritizes North Korea, aging Japan https://t.co/iJ0UUOO3vm</t>
  </si>
  <si>
    <t>North Korea and ageing Japan main priorities for PM Abe after big election win https://t.co/uKg9C2tq3D #EMM</t>
  </si>
  <si>
    <t>samir gahlaut</t>
  </si>
  <si>
    <t>植田修司</t>
  </si>
  <si>
    <t>前職は営業職をやっておりましたが、今はトラックドライバーをやりながらADAコインの販売代理店とアフリエイトを勉強しながら、会社に雇われない生活を目指して頑張っております。 https://t.co/XkmGbJYxl8</t>
  </si>
  <si>
    <t>#Japan Abe has won one-quarter of eligible voters' votes in recent general elections, but first-past-post=landslide https://t.co/xLujbq8leD</t>
  </si>
  <si>
    <t>Rajnishkumaro65@gmai</t>
  </si>
  <si>
    <t>Akshit Mishra</t>
  </si>
  <si>
    <t>Mukesh Gaundar</t>
  </si>
  <si>
    <t>Bhanu ParTap SinG</t>
  </si>
  <si>
    <t>LOC🇮🇳</t>
  </si>
  <si>
    <t>हुई मसल मशहूर विश्व में, आठ फिरंगी नौ गोरे। लड़ें किले की दीवारों पर, खड़े जाट के दो छोरे Jat Regiment ☬ Jat Balwan Jai Bagwan 🚩 🇮🇳JAI HIND 🇮🇳🚩</t>
  </si>
  <si>
    <t>After election win, Abe prioritizes North Korea, aging Japan – Chicago Tribune https://t.co/0VSyIph2eg</t>
  </si>
  <si>
    <t>Rahul Singh</t>
  </si>
  <si>
    <t>Assistant manager @ Rico auto ,Ggn</t>
  </si>
  <si>
    <t>Asia takes stock of Japan's pacifism after Abe win https://t.co/epo34vxptU https://t.co/prOyITajvr</t>
  </si>
  <si>
    <t>Oxford Economics</t>
  </si>
  <si>
    <t>Japan PM Abe and his coalition to retain super-majority after election. For the economy - continued loose policy:… https://t.co/2Mj4e5ECKU</t>
  </si>
  <si>
    <t>HubSpot</t>
  </si>
  <si>
    <t>World leader in global forecasting and quantitative analysis for business and government</t>
  </si>
  <si>
    <t>Adrian Cooper</t>
  </si>
  <si>
    <t>Japan PM Abe and his coalition to retain super-majority after election. For the economy - continued loose policy:… https://t.co/NJVLlmV82A</t>
  </si>
  <si>
    <t>CEO and Chief Economist, Oxford Economics</t>
  </si>
  <si>
    <t>Leland Sandfort</t>
  </si>
  <si>
    <t>RT @microcarpa1: Abe secures strong mandate in #Japan's general #election https://t.co/LTLMUGmG2q Estimated #Voter turnout 53.6%,2nd lowest…</t>
  </si>
  <si>
    <t>Central Missouri</t>
  </si>
  <si>
    <t>Goals:Wisdom Courage Moderation Justice Fortitude Kindness. Interests:Friction fire in trying circumstances.Kettlebells</t>
  </si>
  <si>
    <t>オランジュ♪:*°</t>
  </si>
  <si>
    <t>日本を愛する日本人 I am Japanese. 差別はしませんが区別はします。尊敬する人マザー・テレサ 政治、大学、美術、料理、soundcloud、映画、ガーデニング、旅行、投資、ダンス、ジョギング、ストレッチ、美容、ボランティア 母親 主人はWikipediaにいます。 韓国大統領府からフォローされています</t>
  </si>
  <si>
    <t>ガオー。</t>
  </si>
  <si>
    <t>RT @NAR: Asia takes stock of Japan's pacifism after Abe win https://t.co/epo34vxptU https://t.co/prOyITajvr</t>
  </si>
  <si>
    <t>I'm not anyone.</t>
  </si>
  <si>
    <t>Parth Parikh</t>
  </si>
  <si>
    <t>Ahmedabad,India</t>
  </si>
  <si>
    <t>Nationalist. Bjp and Rss supporter. Huge fan of Pm @narendramodi. Aaptards stay away.</t>
  </si>
  <si>
    <t>M Brophy</t>
  </si>
  <si>
    <t>Globe Trekker, Tech, Apple, Coffee, Catholic, PHX</t>
  </si>
  <si>
    <t>Shrutee Sarkar</t>
  </si>
  <si>
    <t>RT @ReutersPolls: Japan's Abe to push pacifist constitution reform after strong election win https://t.co/4ginQP2haM</t>
  </si>
  <si>
    <t>Banga</t>
  </si>
  <si>
    <t>Reuters reporter. Music lover. Tweets are not endorsements and opinions are my own.</t>
  </si>
  <si>
    <t>sonia</t>
  </si>
  <si>
    <t>CHRISTIAN. CONSERVATIVE, TRUMP 100%. MAGA. PRO ISRAEL. .I BLOCK ALL TROLLS. DO NOT FOLLOW ME IF YOU HATE MEN.</t>
  </si>
  <si>
    <t>tweetnewsfeeds</t>
  </si>
  <si>
    <t>After election win, Abe prioritizes North Korea, aging Japan - Chicago Tribune https://t.co/Trmul0lkuf #news</t>
  </si>
  <si>
    <t>The most accurate and timely news from around the world</t>
  </si>
  <si>
    <t>Kim Okumu</t>
  </si>
  <si>
    <t>Made in heaven, Assembled in Africa,Deployed all over the world!</t>
  </si>
  <si>
    <t>Elise A. Melesky</t>
  </si>
  <si>
    <t>grandmother. wife. retired. Hospice volunteer. food pantry volunteer. music lover. Sometimes I retweet things so I can go back and read them in full later.</t>
  </si>
  <si>
    <t>Viraj Vachheta</t>
  </si>
  <si>
    <t>These days will be gone!!!!!!</t>
  </si>
  <si>
    <t>Japan leads global stocks higher after elections https://t.co/FaKySxLpnE https://t.co/xd0xdQ9kSJ</t>
  </si>
  <si>
    <t>Emma Richards</t>
  </si>
  <si>
    <t>Japan: 4 things to expect following Shinzo Abe's landslide victory https://t.co/ebJ3Cyf9tt via @ascorrespondent</t>
  </si>
  <si>
    <t>Journalist for @AsCorrespondent covering Asia Pacific. Talk to me at emma.richards@hybrid.co</t>
  </si>
  <si>
    <t>V.M.Guruprasath</t>
  </si>
  <si>
    <t>Known is a drop; Unknown is an Ocean</t>
  </si>
  <si>
    <t>monisha</t>
  </si>
  <si>
    <t>Haaila! Loves to see beautiful pics of scenery, houses and by profession I am a teacher</t>
  </si>
  <si>
    <t>Deep Nayak #BJP</t>
  </si>
  <si>
    <t xml:space="preserve">#Ahmedabad, #Gujarat , #भारत </t>
  </si>
  <si>
    <t>#NationFirst | Aeronautics Eng.। B.A in Political Sci.। @RSSorg SwayamSevak। #BJP Social Media #BJYM | Gujju | Jugadu | News Junkie |</t>
  </si>
  <si>
    <t>JEEPEG</t>
  </si>
  <si>
    <t>Abe retains supermajority in Japan’s election, may push to amend constitution https://t.co/GdBos9pSti</t>
  </si>
  <si>
    <t>lesbeauxlivres.com</t>
  </si>
  <si>
    <t>Paris, FRANCE</t>
  </si>
  <si>
    <t>Bhaskar</t>
  </si>
  <si>
    <t>Bibliophile-Cinephile-Logophile-Nemophilist Creature | Mostly Reclusive | Loves Music+Poetry | Techno-geek fb Hater | पहाड़ी</t>
  </si>
  <si>
    <t>Bhavendra Jakhar ⏺️</t>
  </si>
  <si>
    <t xml:space="preserve">Barmer, India Kagau </t>
  </si>
  <si>
    <t>कुछ तो बात है मेरे देश की मिट्टी में साहेब सरहदें कूद के आते हैं यहाँ दफ़न होने के लिए 🇮🇳100%Follow back 🔙 आप भी करें 🙏 🚩जय वीर तेजल 🚩जय वीर बिग्मल🚩</t>
  </si>
  <si>
    <t>Guillaume Weissberg</t>
  </si>
  <si>
    <t>RT @MikeBosack: Latest #Japan #Election2017 results, courtesy of #NHK. #Abe gets his supermajority while resetting his election clock until…</t>
  </si>
  <si>
    <t>Punjab Update</t>
  </si>
  <si>
    <t>Japan's ruling camp wins two-thirds majority in lower house election - https://t.co/FRKDypIHtt - https://t.co/unISc1W1NL</t>
  </si>
  <si>
    <t>PB Update</t>
  </si>
  <si>
    <t>Online News Portal</t>
  </si>
  <si>
    <t>geostation</t>
  </si>
  <si>
    <t>i dont have any particular talent , i'm just curious</t>
  </si>
  <si>
    <t>Des Pardes Times</t>
  </si>
  <si>
    <t>Typhoon leaves two dead after lashing Japan on election day - https://t.co/YokTAcVNZ3 https://t.co/bZ5uATgAmO</t>
  </si>
  <si>
    <t>Saurabh Kumar</t>
  </si>
  <si>
    <t>I'm cool.</t>
  </si>
  <si>
    <t>Desh 🇮🇳</t>
  </si>
  <si>
    <t>Patriot, Nation first, Amateur poet. RT's, Fav's n Quotes are not endorsements.</t>
  </si>
  <si>
    <t>Bhanu Raval</t>
  </si>
  <si>
    <t>Business &amp; Finance Business &amp; Finance</t>
  </si>
  <si>
    <t>TS-@Im_Negi</t>
  </si>
  <si>
    <t>पवित्र_देवभूमी 👏😘🌱❤🙏🚩</t>
  </si>
  <si>
    <t>सब ट्विटर मित्र गणों को मेरा सादर प्रणाम🙏 एवं स्नेह वन्धन। #जय_श्री_राम #भारत_माता_की_जय 🙏🚩</t>
  </si>
  <si>
    <t>ｍａｒｉｅ</t>
  </si>
  <si>
    <t>다가갈까 하다 말고.</t>
  </si>
  <si>
    <t>Simrat Grewal</t>
  </si>
  <si>
    <t>Typhoon leaves two dead after lashing Japan on election day- Punjab Star https://t.co/PoYMkMb7Jp</t>
  </si>
  <si>
    <t>Brampton, ON, Canada</t>
  </si>
  <si>
    <t>सौरभप्रतापसिंहराठौड़</t>
  </si>
  <si>
    <t>Delhi/ncr</t>
  </si>
  <si>
    <t>I proud to be an Indian</t>
  </si>
  <si>
    <t>படகோட்டி</t>
  </si>
  <si>
    <t>RT @MikeBosack: Updated #Japan #election results summary courtesy of #NHK. Still 4 seats left to be called. https://t.co/gUCrbuh37E</t>
  </si>
  <si>
    <t>Biedex</t>
  </si>
  <si>
    <t>New post (Dollar/yen hits three-month high after Japan ruling party's election ...) has been published on - -… https://t.co/00xSp2FMNI</t>
  </si>
  <si>
    <t>Tradebudddy.online</t>
  </si>
  <si>
    <t>Amsterdam</t>
  </si>
  <si>
    <t>Start trading on the best tradingplatforms and the best tools and signals https://t.co/8wIhrT4kjg #Forex #commodities #eurusd #aex #trading #wallstreet</t>
  </si>
  <si>
    <t>Mokibur Rahman</t>
  </si>
  <si>
    <t>Riyadh, Kingdom of Saudi Arabi</t>
  </si>
  <si>
    <t>Milind Pandey</t>
  </si>
  <si>
    <t>Mirzapur-Vindhyachal, India</t>
  </si>
  <si>
    <t>Make goal Reach Repeat</t>
  </si>
  <si>
    <t>Japan’s Abe to push pacifist Constitution reform after big election win - https://t.co/22rpRqLkzt https://t.co/1qPFRq8ujM</t>
  </si>
  <si>
    <t>Thangapandiyanselvam</t>
  </si>
  <si>
    <t>Muscat, Oman</t>
  </si>
  <si>
    <t>🔥ONLY GOD CAN JUDGE ME🔥 Office Administration at United Engineering Projects CO LLC. Studied https://t.co/f34DyraxZa at PMT College, Kurukalpatti.</t>
  </si>
  <si>
    <t>Sour Avinash</t>
  </si>
  <si>
    <t>My feelings are emotionally attatched with my country India.</t>
  </si>
  <si>
    <t>Ashutosh Mishra</t>
  </si>
  <si>
    <t>Sujan Das</t>
  </si>
  <si>
    <t>Japan’s Abe to push pacifist Constitution reform after big election win- Punjab Star https://t.co/G0gdmPc2oY</t>
  </si>
  <si>
    <t>Shivam</t>
  </si>
  <si>
    <t>My attitude depends on the people in front of me.</t>
  </si>
  <si>
    <t>PM Abe’s party wins Japan’s election, exit polls show https://t.co/LDTpUA2gwN</t>
  </si>
  <si>
    <t>After election win, Abe prioritizes North Korea, aging Japan - Chicago Tribune https://t.co/rMHRxtntGy</t>
  </si>
  <si>
    <t>ashish dagwar 🇮🇳</t>
  </si>
  <si>
    <t>nagpur</t>
  </si>
  <si>
    <t>BJP member,turbine engineer and wildlife lover save tigers🐯🐯🐅🐅</t>
  </si>
  <si>
    <t>Harry-boss</t>
  </si>
  <si>
    <t>RT @SCMP_News: PM Abe’s party wins Japan’s election, exit polls show https://t.co/LDTpUA2gwN</t>
  </si>
  <si>
    <t>Embu, Brasil</t>
  </si>
  <si>
    <t>I could walk forever in my garden</t>
  </si>
  <si>
    <t>jefferson1</t>
  </si>
  <si>
    <t>Ian Sarmiento</t>
  </si>
  <si>
    <t>Naga</t>
  </si>
  <si>
    <t>Christ.Martyr.Cross.Branch</t>
  </si>
  <si>
    <t>WSJ: Japan leads global stocks higher after elections https://t.co/yOdeqLVEDG https://t.co/5pbJW5W47Y</t>
  </si>
  <si>
    <t>Ganesh Nerkar</t>
  </si>
  <si>
    <t>I am a student of engineering</t>
  </si>
  <si>
    <t>larrytyner</t>
  </si>
  <si>
    <t>RT @tweetnewsfeeds: After election win, Abe prioritizes North Korea, aging Japan - Chicago Tribune https://t.co/Trmul0lkuf #news</t>
  </si>
  <si>
    <t>I retweet news</t>
  </si>
  <si>
    <t>Aswini Kumar Sahu</t>
  </si>
  <si>
    <t>Krishnapuri,Bhubaneswar</t>
  </si>
  <si>
    <t>Atreya Majumder</t>
  </si>
  <si>
    <t>The Great one; The analyst of everything</t>
  </si>
  <si>
    <t>jaya singh bais</t>
  </si>
  <si>
    <t>Jeffrey D. Bean</t>
  </si>
  <si>
    <t>Japan PM Shinzo Abe wins decisive victory in early election; LDP retains two-thirds majority in Diet lower house https://t.co/TH8mlF0rl9</t>
  </si>
  <si>
    <t xml:space="preserve">Between DC and Asia </t>
  </si>
  <si>
    <t>International relations analyst @CSIS with a twisted wrist shot. I edit the CSIS Asia Policy Blog, cogitASIA. All opinions my own not employer. RT ≠ endorse.</t>
  </si>
  <si>
    <t>Daniel Blumenthal</t>
  </si>
  <si>
    <t>Japan Election Vindicates Shinzo Abe as His Party Wins Big https://t.co/BhgK6kQfvm</t>
  </si>
  <si>
    <t>http://www.linkedin.com/pub/da</t>
  </si>
  <si>
    <t>foreign policy, economics, China, Asia Pacific, national security</t>
  </si>
  <si>
    <t>राकेश (मोनू) सनाढ्य</t>
  </si>
  <si>
    <t>mahaveer nagar ext. kota</t>
  </si>
  <si>
    <t>आप हमे छोड़ चले गए ????? आज सब कुछ होकर भी आप बिन सबअधूरा है ।।</t>
  </si>
  <si>
    <t>Deepak Singh</t>
  </si>
  <si>
    <t>Marco Dotti</t>
  </si>
  <si>
    <t>The Winners and Losers of Japan's Landslide Election https://t.co/3KRIzNGHnh https://t.co/nwUXOzhSko</t>
  </si>
  <si>
    <t>Francia</t>
  </si>
  <si>
    <t>«Propaganda ends when dialogue begins» (#McLuhan). Research on #Media #Ethics #3rdsector #digital #anthropology at @unipv // My own views</t>
  </si>
  <si>
    <t>Tokyo Happenings</t>
  </si>
  <si>
    <t>Japan’s election results show women making little progress despite Abe’s landslide victory https://t.co/eY3DoiRL4I</t>
  </si>
  <si>
    <t>wonderland.fm</t>
  </si>
  <si>
    <t>News about Tokyo and Japan: otaku, tech, japanese culture, videogames and much more!</t>
  </si>
  <si>
    <t>John Rendon</t>
  </si>
  <si>
    <t>#Japan: Prime Minister #Abe wins a big majority in his parliamentary election. Look for more pressure on #NorthKorea; expeditionary military</t>
  </si>
  <si>
    <t>TBD</t>
  </si>
  <si>
    <t>CEO of The @RendonGroup, Inc. (TRG) a global strategic communications consultancy based in Washington, DC and overhead luggage compartments worldwide</t>
  </si>
  <si>
    <t>Banzai Japan</t>
  </si>
  <si>
    <t>Latest news from Japan Times - #japan #banzaijapan #japantimes Abe claims victory as powerful endorsement, may ... https://t.co/eBCVgpd31Y</t>
  </si>
  <si>
    <t>Abe sweeps to a resounding victory in Japan's snap election https://t.co/Miug5itj1w</t>
  </si>
  <si>
    <t>vnghanekar</t>
  </si>
  <si>
    <t>Nature is great</t>
  </si>
  <si>
    <t>StarNews</t>
  </si>
  <si>
    <t>LookingForFriends</t>
  </si>
  <si>
    <t>Москва, город Москва, Россия</t>
  </si>
  <si>
    <t>....news from all corners........ #Взаимно #followback</t>
  </si>
  <si>
    <t>Rod Bamberry</t>
  </si>
  <si>
    <t>Brisbane</t>
  </si>
  <si>
    <t>Cognitive Behavioural Therapist &amp; Counsellor, Life Coach, Lecturer, Trainer &amp; Presenter, Public Speaker...who believes Everyone's Perspective is their Reality!</t>
  </si>
  <si>
    <t>Carl</t>
  </si>
  <si>
    <t>Bojami Nguyen</t>
  </si>
  <si>
    <t>Abe's victory welcomed by business lobbies https://t.co/65OOfGh3rh</t>
  </si>
  <si>
    <t>Alexandria, VA</t>
  </si>
  <si>
    <t>むすびもっち</t>
  </si>
  <si>
    <t>tweechaPrime4jp</t>
  </si>
  <si>
    <t>美しくも儚い憂き世に♪ホンダラ行進曲♪でてなもんやなヒト。</t>
  </si>
  <si>
    <t>Raj Nathani</t>
  </si>
  <si>
    <t>Bandra West, Mumbai</t>
  </si>
  <si>
    <t>Politician | Entrepreneur | Secretary BJP Youth Wing Mumbai Pradesh |</t>
  </si>
  <si>
    <t>Rimi Basu Sinha</t>
  </si>
  <si>
    <t>MUMBAI</t>
  </si>
  <si>
    <t>Indian Singer. Songwriter. Music Director. Loves to experiment with Music. Genre: Sufi, Bollywood, Folk, Indian Classical, Indie Pop, Fusion.</t>
  </si>
  <si>
    <t>Mani Pratap Hiteshi</t>
  </si>
  <si>
    <t>Kashipur,Uttrakhand</t>
  </si>
  <si>
    <t>The pain that you are feeling today is the strength you feel tomorrow.</t>
  </si>
  <si>
    <t>Shivkant</t>
  </si>
  <si>
    <t>Banker, Nationalist, follower of Indian Philosophy- Vashudhaive Kutumbakam, which means- whole world is my Family.</t>
  </si>
  <si>
    <t>Vladimir Putin</t>
  </si>
  <si>
    <t>#President #Russia Japan's election sets up a new battle over its pacifist constitution https://t.co/P7OOYhmlPx... https://t.co/SFPPb7zkT5</t>
  </si>
  <si>
    <t>Interesting information from all over the world 😎 #putin #russia #moscow #vladimirputin #president</t>
  </si>
  <si>
    <t>Shin-Howe Chen</t>
  </si>
  <si>
    <t>RT @NAR: Japan's Abe wins fresh majority in election, exit polls show https://t.co/WxZi2FoJ5l https://t.co/WFaEZPkLjQ</t>
  </si>
  <si>
    <t>Taichung, Taiwan</t>
  </si>
  <si>
    <t>#Entrepreneur, New Ideas, Venture Capitalist, #PersonalShopper, #Marketing, #Padres #Baseball, Conservative, Foodie, For #Taiwan &amp; #USA! WoofSquared CEO</t>
  </si>
  <si>
    <t>@Monitor_Sur #LookingForNews&gt;&amp;gt;&amp;gt; DAILY MAIL Shinzo Abe’s comfortable win in Japan's election lifts shares... https://t.co/0b1ZThsiO4</t>
  </si>
  <si>
    <t>PUBLIC POWER POST</t>
  </si>
  <si>
    <t>New York, New York + Florida</t>
  </si>
  <si>
    <t>Hi Public. Post Free on https://t.co/kiOgUONPpN and take home 100% ad revenue on all your posts.</t>
  </si>
  <si>
    <t>KHANT JAGDISHKMAR</t>
  </si>
  <si>
    <t>नवसारी, भारत</t>
  </si>
  <si>
    <t>Business &amp; CEOs</t>
  </si>
  <si>
    <t>Ayush Verma</t>
  </si>
  <si>
    <t>#IAmNewindia #support_pm_modi #Bharat_Mata_ki_jai #vande_matram</t>
  </si>
  <si>
    <t>Ved Pandey</t>
  </si>
  <si>
    <t>India news</t>
  </si>
  <si>
    <t>#Typhoon Lan lashes #Japan #Election day, leaves three: https://t.co/IxiOXxH1fm, https://t.co/OlYT5UTHiy https://t.co/rExYe0vLvi</t>
  </si>
  <si>
    <t>IndiaNewsNow</t>
  </si>
  <si>
    <t>Japan election: Abe hails massive win, but what now for the country's pacifist constitution? https://t.co/N21w9twktw #breaking #news #vide…</t>
  </si>
  <si>
    <t>Japan leads global stocks higher after elections https://t.co/EgDRg4iD2z https://t.co/CenUNN5Mwe</t>
  </si>
  <si>
    <t>KD</t>
  </si>
  <si>
    <t>DELHI</t>
  </si>
  <si>
    <t>Life Isn't About Finding Yourself. Life is About Creating Yourself. NeVer EnDing HighWay..₹₹Marketing Professional Who Believe in Learning₹₹ LoVe TravelinG..₹👍</t>
  </si>
  <si>
    <t>Hemant</t>
  </si>
  <si>
    <t>FOLLOWS YOU</t>
  </si>
  <si>
    <t>Internet Set Of News</t>
  </si>
  <si>
    <t>Japan’s Abe to push pacifist constitution reform after strong election win https://t.co/BuCtEEwXFg https://t.co/8nTINm3uga</t>
  </si>
  <si>
    <t>IsNews</t>
  </si>
  <si>
    <t>England, United Kingdom</t>
  </si>
  <si>
    <t>For up-to-the-seconds news, #breaking news, news brief, news in video, #news in #picture, #podcast and featured stories across the web and #social networks.</t>
  </si>
  <si>
    <t>ynwa</t>
  </si>
  <si>
    <t>Anjani Kumar</t>
  </si>
  <si>
    <t>Motihari (Champaran)</t>
  </si>
  <si>
    <t>Based in Motihari</t>
  </si>
  <si>
    <t>Uddhav Jha</t>
  </si>
  <si>
    <t>student</t>
  </si>
  <si>
    <t>Deangelo Monroe</t>
  </si>
  <si>
    <t>Finding Myself</t>
  </si>
  <si>
    <t>"I'm an imperfect angel in an imperfect world where everyone wants to be perfect." - Deangelo David Diana Monroe-Ruiz</t>
  </si>
  <si>
    <t>WSJ: Japan leads global stocks higher after elections https://t.co/U4RX6GtGSh https://t.co/r2gxieoLbB</t>
  </si>
  <si>
    <t>david bieber</t>
  </si>
  <si>
    <t>aberdeen sd</t>
  </si>
  <si>
    <t>i am curently on a mission taking pictures of world events, with my wifes permssion of course.</t>
  </si>
  <si>
    <t>Crystal 🇺🇸🇮🇱</t>
  </si>
  <si>
    <t>North Korea blasts Japan for using election to 'pave groundwork' for invasion | The Japan Times https://t.co/dbwupWbqFJ</t>
  </si>
  <si>
    <t>Arizona, USA</t>
  </si>
  <si>
    <t>My spirit animal is a Hobbit</t>
  </si>
  <si>
    <t>Bank of Valletta</t>
  </si>
  <si>
    <t>European stocks are higher as investors shrugged off the standoff between #Spain and #Catalonia, and #ShinzoAbe election win in Japan.</t>
  </si>
  <si>
    <t>Rafael 🌟‏</t>
  </si>
  <si>
    <t>RT @business: Shinzo Abe may have just won a chance to lead Japan through 2021 https://t.co/TvJY6wH3x2 https://t.co/6YrSSIyQpO</t>
  </si>
  <si>
    <t>Lar doce lar Recife, Brasil</t>
  </si>
  <si>
    <t>oi</t>
  </si>
  <si>
    <t>Ankit Singhal</t>
  </si>
  <si>
    <t>मेरे रश्के क़मर तू ने पहली नज़र जब नज़र से मिलाई मज़ा आ गया</t>
  </si>
  <si>
    <t>Sanjay Das</t>
  </si>
  <si>
    <t>FX - Momo　相互フォロー</t>
  </si>
  <si>
    <t xml:space="preserve">兵庫 </t>
  </si>
  <si>
    <t>はじめまして。より上質で快適な暮らしをおくるための生活情報と経済ニュースを配信しています。RTが中心ですが、これは僕の思考パターンだと思って下さい。ツイートは我なり、です。とくにFXトレダーのみなさん、よろしくお願いいたします＾＾なお、業者、エロ、極左、及び公序良俗に反する方は、即ブロックさせて頂きますので悪しからず。</t>
  </si>
  <si>
    <t>田端　信太郎</t>
  </si>
  <si>
    <t>戦略論から下ネタまで。LINE株式会社 上級執行役員 法人ビジネス担当。このつぶやきは言語認識アルゴリズムの実験中につき真に受けないでください。 https://t.co/f6Ll6ythsT https://t.co/OGzfRnlwe7</t>
  </si>
  <si>
    <t>Japan's risk-averse youth lean heavily conservative https://t.co/AZrfRHKQ7m</t>
  </si>
  <si>
    <t>Cesca's Nest</t>
  </si>
  <si>
    <t>Japan's Shinzo Abe Conjures Stunning Election Victory in a Boost for Donald Trump - TIME https://t.co/EdJnljygHg</t>
  </si>
  <si>
    <t>బడుగు తెలుగువాడిని</t>
  </si>
  <si>
    <t>Tweets &amp; RTs ≠ endorsements. Bhakt of Modi's good work</t>
  </si>
  <si>
    <t>Lalit kumar</t>
  </si>
  <si>
    <t>Meerut, India</t>
  </si>
  <si>
    <t>🥀</t>
  </si>
  <si>
    <t>starting a new journey | #blacklivesmatter</t>
  </si>
  <si>
    <t>Sunita Garg</t>
  </si>
  <si>
    <t>Physician, proud Hindu &amp; even prouder Indian. RTs Don't imply endorsement</t>
  </si>
  <si>
    <t>さすらうクマ＠疲弊中</t>
  </si>
  <si>
    <t>主に近畿圏を徘徊中！(*´-`)</t>
  </si>
  <si>
    <t>10月14日公開「宇宙戦艦ヤマト2202愛の戦士たち」第三章の情報収集中！(*^^*)</t>
  </si>
  <si>
    <t>Ashish Gupta</t>
  </si>
  <si>
    <t>@simple, believe, India will lead the world. with it's spiritual power and rituals #/ Om shanti. jai janani jai Bharat.</t>
  </si>
  <si>
    <t>Santosh Jain</t>
  </si>
  <si>
    <t>RT @business: The numbers behind Shinzo Abe's landslide win in Japan's snap election https://t.co/IbaoVoUC5V https://t.co/qWrmy7tY6S</t>
  </si>
  <si>
    <t>ぷー</t>
  </si>
  <si>
    <t>本垢であまり政治的なツイートするとうっとおしがられそうだったので新垢開設しました。中道保守（だと自分では思ってる）です。フォロー返すのでお願いします！（明らかに何らかの宣伝を目的としているアカウントを除く）</t>
  </si>
  <si>
    <t>WorldNews</t>
  </si>
  <si>
    <t>Japan's Abe to push pacifist constitution reform after strong election win via /r/worldnews https://t.co/2qHFxYqv6q</t>
  </si>
  <si>
    <t>Bot posting the current news stories from multiple subreddits — Automation done with @IFTTT</t>
  </si>
  <si>
    <t>Suresh Goyal</t>
  </si>
  <si>
    <t>*वक्त सिखा देता है इंसान को फ़लसफ़ा जिंदगी का *फिर नसीब क्या-लकीर क्या-और तकदीर क्या</t>
  </si>
  <si>
    <t>Mac'Odongo 🇰🇪</t>
  </si>
  <si>
    <t>kisumu</t>
  </si>
  <si>
    <t>Mwana wa Nzambe...</t>
  </si>
  <si>
    <t>sukhdevsinh Jadeja</t>
  </si>
  <si>
    <t>I proud to I m indian. bhagat singh lovers .</t>
  </si>
  <si>
    <t>Tommy Brown   N9JCM</t>
  </si>
  <si>
    <t>Salem, IN</t>
  </si>
  <si>
    <t>Wash Co. County Council Dist 1 Candidate 2018 , I-69,, Weather(LOCAL, , EMA</t>
  </si>
  <si>
    <t>Anup</t>
  </si>
  <si>
    <t>बेंगलुरु</t>
  </si>
  <si>
    <t>सौगंध मुझे इस मिटटी की मैं देश नहीं मिटने दूँगा.. मैंने कसम उठाई है मैं देश नहीं बिकने दूँगा..</t>
  </si>
  <si>
    <t>Derrell Durrett</t>
  </si>
  <si>
    <t>Boulder, Colorado, USA</t>
  </si>
  <si>
    <t>Wherein I am mean to people who deserve it. FF science, politics, economics, human/civil rights, and Ultimate. #justanothermonkey</t>
  </si>
  <si>
    <t>President Rajat</t>
  </si>
  <si>
    <t>This is the official twitter account of the President of SD vidya interact club.</t>
  </si>
  <si>
    <t>Jeff Sleasman</t>
  </si>
  <si>
    <t>Skinny kid from Cleveland.</t>
  </si>
  <si>
    <t>Alessandro</t>
  </si>
  <si>
    <t>Japan's Shinzo Abe conjures stunning election victory in a boost for Trump https://t.co/y7FAtU7fre</t>
  </si>
  <si>
    <t>Livorno</t>
  </si>
  <si>
    <t>Independent Financial Consultant. Financial blogger, vlogger, content provider w/ @DaDaMoneyBlog. Finance, investing. FX, geopolitics, other interesting stuff.</t>
  </si>
  <si>
    <t>おいしいものBABELよ bot</t>
  </si>
  <si>
    <t>botです。下劣なことをつぶやきます。おいしいものと旅行とBUCK-TICKさまが大好きです。バークチクノサークライフィリア（爆竹櫻井性愛）。こっそり食べ歩きグルメブログも↓</t>
  </si>
  <si>
    <t>Japan PM's ruling bloc scores big election win https://t.co/in3QmxrOdg Via @Reuters</t>
  </si>
  <si>
    <t>HH</t>
  </si>
  <si>
    <t>Japan's Abe hails landslide victory in snap election https://t.co/J6HUM6aLa4</t>
  </si>
  <si>
    <t>✴Swaroop Vaidya✴🇮🇳</t>
  </si>
  <si>
    <t>🚩॥वंदे मातरम॥ 🚩Mumbai 🇮🇳</t>
  </si>
  <si>
    <t>IATA Travel Consultant , Love to Travel always. A Patriotic Indian &amp; a Proud Hindu🚩, RT's = NO Endorsements वंदे मातरम ✊</t>
  </si>
  <si>
    <t>Nicole Lane</t>
  </si>
  <si>
    <t>Nicole Lane app</t>
  </si>
  <si>
    <t>Roanoke USA</t>
  </si>
  <si>
    <t>There are three kinds of lies: lies, damned lies, and statistics.</t>
  </si>
  <si>
    <t>T_Prattz</t>
  </si>
  <si>
    <t>Half man, half tea, half Charizard</t>
  </si>
  <si>
    <t>Noel Gibney</t>
  </si>
  <si>
    <t>http://217.218.67.231/Detail/2017/10/23/539566/Japan politics election north korea tension Donald Trump</t>
  </si>
  <si>
    <t xml:space="preserve">Dublin Ireland </t>
  </si>
  <si>
    <t>Noel was born of the Sun, Seas &amp; the Stars. He loves all forms of life human &amp; animals, flora &amp; fauna. Light of day &amp; night is my delight. Food &amp; drinks,music.</t>
  </si>
  <si>
    <t>Sikander Batla</t>
  </si>
  <si>
    <t>@AbeShinzo @narendramodi177 @narendramodi congratulations...for winning the election Mr.PM of Japan</t>
  </si>
  <si>
    <t>Robert Junebug</t>
  </si>
  <si>
    <t>Inclusive Progressive Liberal Navy Veteran #Constitution #Dignity #Environment #Climate #25thAmendment #resist #impeach #Mexico #PR #VI #TX #FL</t>
  </si>
  <si>
    <t>Lesley Edwards</t>
  </si>
  <si>
    <t>political junkie,AFL Follower and Grandma</t>
  </si>
  <si>
    <t>Deadly Typhoon Lan leaves two dead after lashing Japan on election day.. https://t.co/7QWn9jGvCa</t>
  </si>
  <si>
    <t>Paris Hatzievagelou</t>
  </si>
  <si>
    <t>Re-elected PM vows to tackle Japan's twin crises https://t.co/WiN6MkuqI0</t>
  </si>
  <si>
    <t>Athens - Nicosia</t>
  </si>
  <si>
    <t>Journalist - Reporter . /. Follow the info</t>
  </si>
  <si>
    <t>Arch'd Opinion</t>
  </si>
  <si>
    <t>Abe Placed to Lead Japan Through 2021 After Big Election Win - Bloomberg https://t.co/0PZ361g1er via @twttimes</t>
  </si>
  <si>
    <t>Rising Sun Chats</t>
  </si>
  <si>
    <t>INTERNATIONAL: Typhoon leaves two dead after lashing Japan on election day https://t.co/c75Q1AC3Ai https://t.co/puLEx0btQ8</t>
  </si>
  <si>
    <t>Chatsworth, Durban</t>
  </si>
  <si>
    <t>Rising Sun Chatsworth is focussed on community and local news about events, entertainment, crime, schools, &amp; municipal issues in the Chatsworth area.</t>
  </si>
  <si>
    <t>BingoBango</t>
  </si>
  <si>
    <t>白兎</t>
  </si>
  <si>
    <t>国基研</t>
  </si>
  <si>
    <t>政治とオーボエと国史と</t>
  </si>
  <si>
    <t>Rahul Sharma</t>
  </si>
  <si>
    <t>Attz a.k.a. 発酵人間</t>
  </si>
  <si>
    <t>荒川区西日暮里（NPOニッポリアニッポリ代表）</t>
  </si>
  <si>
    <t>My shit is tighter than 小学生のpussy/自家発電系DopeShit垢/東大卒の札付きillリーマン/稀代の好色一代男マスカキー/極左から真性保守へ旋回転向済み/シニカルリリカルクリミナルイリーガルサブリミナル/最近お気に入りのオカズ:キリタニガンシャ</t>
  </si>
  <si>
    <t>TRIBHUWAN NATH SHARM</t>
  </si>
  <si>
    <t>Braj Kishore Mahto</t>
  </si>
  <si>
    <t>Noida, Uttar Pradesh</t>
  </si>
  <si>
    <t>अथ यदतः परो दिवो ज्योतिर्दीप्यते विश्वतः पृष्ठेषु सर्वतः पृष्ठेष्वनुत्तमेषूत्तमेषु लोकेष्विदं वाव तद्यदिदमस्मिन्नन्तः पुरुषो ज्योतिस्तस्यैषा</t>
  </si>
  <si>
    <t>ズキス</t>
  </si>
  <si>
    <t>地獄の1丁目</t>
  </si>
  <si>
    <t>TAKAHIRO。 財務会計。 ファイナンス・IR。 USCPA。小室耳。</t>
  </si>
  <si>
    <t>Snigdhadev Dutta</t>
  </si>
  <si>
    <t>computer engineer working in a reputed MNC | avid cricket lover | bengali | born and brought up in Kolkata | Modi and BJP fan | proud and passionate Indian</t>
  </si>
  <si>
    <t>Thomas👻Cortellesi🎃</t>
  </si>
  <si>
    <t>RT @9DashLine: #Abe cements hold on power with election win https://t.co/s6Vsdkm7wa Victory puts him on course to be #Japan’s longest-servi…</t>
  </si>
  <si>
    <t>night-sky lover. internationalist scientocrat. occasional writer. podcast junkie. planetsci student @UChicago.</t>
  </si>
  <si>
    <t>الشارقة24</t>
  </si>
  <si>
    <t>#Typhoon leaves two dead after lashing #Japan on election day https://t.co/SAjq6wzMof #sharjah24 https://t.co/dCNHNKihKj</t>
  </si>
  <si>
    <t>دولة الإمارات العربية المتحدة</t>
  </si>
  <si>
    <t>الشارقة 24 هو موقع إلكتروني إخباري تابع لحكومة إمارة الشارقة ، Sharjah 24 is a 24 hour digital news website for the UAE Emirate of Sharjah</t>
  </si>
  <si>
    <t>Japan’s election results sho women making little progress despite Abe’s landslide victory https://t.co/Y2rjLqxy91 #usedcar #japan</t>
  </si>
  <si>
    <t>Vic Arya</t>
  </si>
  <si>
    <t>Human Being with India First on my mind</t>
  </si>
  <si>
    <t>Vengai Krishnan</t>
  </si>
  <si>
    <t>SAFE</t>
  </si>
  <si>
    <t>ME, USA</t>
  </si>
  <si>
    <t>Mother, Artist, Poet, Child of God. Truth seeker. Human. My RTs are random bursts of twitter 🏄🏽‍♀️. Sharing, exposing, conversing, debating, inspiring. Unity</t>
  </si>
  <si>
    <t>MARCOS...</t>
  </si>
  <si>
    <t>मोदी जी के भारत मै..</t>
  </si>
  <si>
    <t>i m an proud indian as well as an anti paid media too...+ one of the biggest bhakt of modi ji...हर हर मोदी घर घर मोदी...</t>
  </si>
  <si>
    <t>News Summed Up</t>
  </si>
  <si>
    <t>Japan Election result: Narendra Modi congratulates Shinzo Abe on re-election https://t.co/qxAEaZPnGz</t>
  </si>
  <si>
    <t>Brand Whistle</t>
  </si>
  <si>
    <t>Latest news from your favourite newspapers. US - UK - India - Canada - New Zealand - Kenya Get Press Coverage for your company Mail us newssummedup@gmail.com</t>
  </si>
  <si>
    <t>HIROSHI♔MAEHIRO</t>
  </si>
  <si>
    <t>Yokohama city, japan</t>
  </si>
  <si>
    <t>Let`s rediscover japan.♡いろんな(職種)人と友達になりたいですネ,頑張る人大好きです！♡ BABYMETAL⇒jazz⇒boat-race⇒矢沢永吉⇒蛇石マリナ⇒metal-band大好きです♡【人生は一度きりです悔いの無い様に本音で生きましょう】※フォローは元気な人のみです§^。^§</t>
  </si>
  <si>
    <t>I.S.Chauhan</t>
  </si>
  <si>
    <t xml:space="preserve">NOIDA </t>
  </si>
  <si>
    <t>Šammÿ</t>
  </si>
  <si>
    <t xml:space="preserve">Dubai,U.A.E </t>
  </si>
  <si>
    <t>INSTAGRAM : @sammipetes</t>
  </si>
  <si>
    <t>Jim Yoneshige</t>
  </si>
  <si>
    <t>IT professional, world traveler, parent Opinions are my own Retweets do not indicate approval #TrumpRussia #PutinPuppet</t>
  </si>
  <si>
    <t>Pramod KS</t>
  </si>
  <si>
    <t>Software Engineer, Hindu Nationalist</t>
  </si>
  <si>
    <t>ゆう</t>
  </si>
  <si>
    <t>暗号通貨リップルの上昇が人生の楽しみになっている。各時代の支配者は永遠の命を望み成し遂げることができなかった。今世紀になりすでに永遠の命が獲得できるプログラム、スケジュールが完成している？？最近102歳で死亡したRO氏はもう少し生きれば永遠の命を獲得できたとつぶやいたと真しやかに語られている。</t>
  </si>
  <si>
    <t>R.K. Sharma</t>
  </si>
  <si>
    <t>Allan Madeley</t>
  </si>
  <si>
    <t>Shankly Land</t>
  </si>
  <si>
    <t>Eclectic tastes and in managed ok decline (with thanks to Lord Howe) May not always agree with the sentiment of my RT`s</t>
  </si>
  <si>
    <t>Heartiest congratulations @AbeShinzo for wining election hope Indo Japan friendship will prosper to newheights @narendramodi</t>
  </si>
  <si>
    <t>Sheikh Muhammad</t>
  </si>
  <si>
    <t>Ahmedabad , Gujarat</t>
  </si>
  <si>
    <t>Devoted Muslim | Follower of Allah | Learnt Holy-Quran By Hard | Nation First | Support Uniform Civil Code | Hate Shariah Law | Vegetarian |</t>
  </si>
  <si>
    <t>Vishu</t>
  </si>
  <si>
    <t>S/w engg by profession | Passionate about IAF | Stayed in almost all parts of India..whether J&amp;K or NE | Big NaMo Fan. Retweets are not endorsements.</t>
  </si>
  <si>
    <t>Aditya Patel</t>
  </si>
  <si>
    <t>Japan's Abe vows to put education spending before budget balance https://t.co/DG3eswPyf1 #world</t>
  </si>
  <si>
    <t>qwf₮ob.%*#;㍊㌶㍗</t>
  </si>
  <si>
    <t>共謀罪、成立。ネット詐欺師もリアルworld詐欺師も、悪質医療機関も取り締まりで。ネット覆面警察に期待。</t>
  </si>
  <si>
    <t>Austin Info Inc</t>
  </si>
  <si>
    <t>Re-elected PM vows to tackle Japan's twin crises https://t.co/QoYpEiKFEO</t>
  </si>
  <si>
    <t>Travel enthusiast. Student. Wannabe social media geek. Music aficionado. Devoted internet scholar.</t>
  </si>
  <si>
    <t>kamlesh tiwari</t>
  </si>
  <si>
    <t>Grateful to Almighty to be born in India.Broad minded but narcissists stay away.Views Personal | RTs, QTs, Likes &amp; Links are not an Endorsement</t>
  </si>
  <si>
    <t>P S Gokulnath</t>
  </si>
  <si>
    <t>Just one among 7 billion but blessed to be born in Bharat...🚩💟✊ ONE LIFE... ONE MISSION...</t>
  </si>
  <si>
    <t>Alsnova</t>
  </si>
  <si>
    <t>大瀧詠一、ナイアガラのファンです。</t>
  </si>
  <si>
    <t>babysophiecat🕊🕊🕊</t>
  </si>
  <si>
    <t>Modesto, CA</t>
  </si>
  <si>
    <t>DJ Baby Mama 2 Ellie Grace 🙏🏼Imma metal dog Imma cat =^_^= Imma bunny Imma scapegoat Imma martyr aiming for Peace Globally &amp; UN Global Goats🐐🐐🐐🕷🕸🌎🌍🌏✨</t>
  </si>
  <si>
    <t>ウサギさん</t>
  </si>
  <si>
    <t>CARDS</t>
  </si>
  <si>
    <t>Japan's Abe to push pacifist constitution reform after strong election win https://t.co/4FJlCfHbsI</t>
  </si>
  <si>
    <t>Arlington, VA</t>
  </si>
  <si>
    <t>The Congressional Analysis and Resource Database System (CARDS) provides congressional data with a DOD focus. Contact us for more info. Dynetics, Inc.</t>
  </si>
  <si>
    <t>person</t>
  </si>
  <si>
    <t>saynudinl22j6</t>
  </si>
  <si>
    <t>sometimes I draw</t>
  </si>
  <si>
    <t>DR AJAY KUMAR VYAS</t>
  </si>
  <si>
    <t>Japan's Shinzo Abe conjures stunning election victory in a boost for Trump https://t.co/S1ZpyGCl3s</t>
  </si>
  <si>
    <t>MUSCAT</t>
  </si>
  <si>
    <t>MBBS,MD,FROM INDIAN ARMY MEDICAL CORPS EX Apolitical,Honest,Nationalistic views.</t>
  </si>
  <si>
    <t>Yasaar Neeamuth</t>
  </si>
  <si>
    <t>"Dollar/yen hits three-month high after Japan ruling party's election win" by Reuters via Forex News https://t.co/6hmaSOdVpV</t>
  </si>
  <si>
    <t>Mauritius</t>
  </si>
  <si>
    <t>mohit jejani</t>
  </si>
  <si>
    <t>hyderabad</t>
  </si>
  <si>
    <t>hps</t>
  </si>
  <si>
    <t>ooO oP sInGh</t>
  </si>
  <si>
    <t>Lokhandwala Mumbai</t>
  </si>
  <si>
    <t>Music producer, rapper &amp; actor...</t>
  </si>
  <si>
    <t>Typhoon Leaves Five Dead After Lashing Japan on Election Day.. https://t.co/AHM8ofhlwx</t>
  </si>
  <si>
    <t>India Forward</t>
  </si>
  <si>
    <t>A concerned NRI | Support the leadership of PM @narendramodi ji</t>
  </si>
  <si>
    <t>Cheers!_Tokyo/Japan</t>
  </si>
  <si>
    <t>東京 千代田区</t>
  </si>
  <si>
    <t>外資系CEO &amp; 零細企業Founder. 日本と日本の伝統文化が大好き、東京が大好き。💓♥️❤️ 「Conservative」を自負していたが昨今やや「Nationalist」傾向、「美しい日本」を実現する改憲賛成派。</t>
  </si>
  <si>
    <t>Franklin Lopez</t>
  </si>
  <si>
    <t>Japan's Shinzo Abe conjures stunning election victory in a boost for Trump https://t.co/vEV8B5YyqB</t>
  </si>
  <si>
    <t>Washington, DC-San Juan, PR</t>
  </si>
  <si>
    <t>Journalist, Writer, Broadcaster, Builder, Equality Warrior, Political Prisoner! https://t.co/Pizz0AFLdN</t>
  </si>
  <si>
    <t>Dayaram maurya</t>
  </si>
  <si>
    <t>Ludhiana, India</t>
  </si>
  <si>
    <t>tech Dmch</t>
  </si>
  <si>
    <t>amitx57</t>
  </si>
  <si>
    <t>Patrick Wayne</t>
  </si>
  <si>
    <t>Hi There! BU'2019</t>
  </si>
  <si>
    <t>Mangi Jambha</t>
  </si>
  <si>
    <t>I will win not immediately but definitely Proudy Sewak of Ma Bharti 🙏</t>
  </si>
  <si>
    <t>なっチョコジャムんちょ</t>
  </si>
  <si>
    <t>@johndavidreece6 Thank you david, Yesterday there was a democratic election in Japan but I lost. Today I was very nervous. 😭😭😭</t>
  </si>
  <si>
    <t>宮城県</t>
  </si>
  <si>
    <t>無言フォローすみません。リツイート多めです。 話題はとっちらかっております。</t>
  </si>
  <si>
    <t>@krishnasurana</t>
  </si>
  <si>
    <t>@SURANAKRISHNA @cmwestbengal @DRSURANAKK Democracy&amp;its deceptions https://t.co/n66PKPJ6cL https://t.co/gMLcoyHZRl… https://t.co/POfkH9MJwN</t>
  </si>
  <si>
    <t>नज़रें नीची रहे, होश सलामत रहे, बाअदब बामूलाहिजा होशियार, A PSYCHIATRIST KNOWS EVERYTHING AND DOES NOTHING, PRACTICED MEDICINE DR KNEW SOMETHING &amp; DID SOMETHING</t>
  </si>
  <si>
    <t>小鱷魔</t>
  </si>
  <si>
    <t>MiroirVd</t>
  </si>
  <si>
    <t>#CBC #World Re-elected PM vows to tackle Japan's twin crises https://t.co/9O5pk9v0XV</t>
  </si>
  <si>
    <t>Djibouti</t>
  </si>
  <si>
    <t>Bot journaliste indépendant numérique,VerredeMiroir le Relai de l'information du Monde est dans vos mains. #Français #Anglais #Arabes. Appartient à @Madharnabil</t>
  </si>
  <si>
    <t>Sudhakar Bhat</t>
  </si>
  <si>
    <t>Retired central banker and nationalist. RT no endorsement.</t>
  </si>
  <si>
    <t>Sachin Bhadauria🇮🇳</t>
  </si>
  <si>
    <t>Faridabad, Haryana Bharat</t>
  </si>
  <si>
    <t>एक राम ही सत्य है!! गर्व है मुझे मैं हिंदू हूँ!! #जय_श्री_राम #वंदे_मातरम #BJP_FOR_INDIA #Mission_2019_BJP #MODI_FOR_INDIA follwing by shri @piyushgoyaloffc</t>
  </si>
  <si>
    <t>-     johnny     -</t>
  </si>
  <si>
    <t>Newsjs Ethiopia</t>
  </si>
  <si>
    <t>Japan's Abe vows to put education spending before budget balance - Reuters https://t.co/qX7nDeQsDM #News https://t.co/0QS5IJWxXV</t>
  </si>
  <si>
    <t>Ethiopia</t>
  </si>
  <si>
    <t>Ethiopia edition</t>
  </si>
  <si>
    <t>ゆきんこ</t>
  </si>
  <si>
    <t>CBC World News</t>
  </si>
  <si>
    <t>Re-elected PM vows to tackle Japan's twin crises https://t.co/karfikI7MU https://t.co/1IXiJkOsq4</t>
  </si>
  <si>
    <t>World news and Reports from Abroad from CBCNews.ca.</t>
  </si>
  <si>
    <t>UIL Current Issues</t>
  </si>
  <si>
    <t>More than 200,000 were forced to evacuate in Japan. At least 2 people were dead. And there was a delay in snap election. What caused it all?</t>
  </si>
  <si>
    <t>Vikram Pandey</t>
  </si>
  <si>
    <t>Author &amp; Poet</t>
  </si>
  <si>
    <t>Mahesh Patil</t>
  </si>
  <si>
    <t>Good always good. Kar bhala to ho bhala</t>
  </si>
  <si>
    <t>Atalanta</t>
  </si>
  <si>
    <t>With women holding just over 9% of seats in the lower house of parliament, Japan ranks 165th out of 193 countries https://t.co/LqwYJHcl49</t>
  </si>
  <si>
    <t>Mission: to increase the number of women in senior government positions worldwide &amp; accelerate programmes that tackle gender inequality.</t>
  </si>
  <si>
    <t>Imagekhabar</t>
  </si>
  <si>
    <t>Japan's ruling camp wins two-thirds majority in lower house election amid opposition splitting-up… https://t.co/EqbbaGbJdp</t>
  </si>
  <si>
    <t>kathmandu, nepal</t>
  </si>
  <si>
    <t>इमेजखबर डटकमको आधिकारीक ट्वीटर अकाउन्ट ।</t>
  </si>
  <si>
    <t>5th Dimension</t>
  </si>
  <si>
    <t>Mumbai / Lucknow, India</t>
  </si>
  <si>
    <t>Admires Modiji SabkaSaathSabkaVikas Blocked by @sardesairajdeep @bainjal @drkumarvishwas @Lambaalka @mkatju @abhisar_sharma @msisodia RTs not endorsements.</t>
  </si>
  <si>
    <t>Qatar Update</t>
  </si>
  <si>
    <t>Typhoon leaves five dead after lashing Japan on election day https://t.co/KytpqpXTBm #news</t>
  </si>
  <si>
    <t>Qatar News Update</t>
  </si>
  <si>
    <t>Sweta Westerwelle</t>
  </si>
  <si>
    <t>RT @CGTNOfficial: Abe to push reform of #Japan’s pacifist constitution after election win https://t.co/Kj3mTKyQqE https://t.co/espRyDH67T</t>
  </si>
  <si>
    <t>Virginia, USA</t>
  </si>
  <si>
    <t>Хто шукає, той знайде. Хто любить, той вистоїть. Долею єдиний, Вірою переможемо!</t>
  </si>
  <si>
    <t>kento</t>
  </si>
  <si>
    <t>Pankaj Jain</t>
  </si>
  <si>
    <t>Anand Vihar, New Delhi</t>
  </si>
  <si>
    <t>#ModiBesteverPM #amitshah #best #president #BJP #maheishgirri #CMmaterial</t>
  </si>
  <si>
    <t>Power 98FM News</t>
  </si>
  <si>
    <t>Japan PM @AbeShinzo promises to deal with North Korea threat, aging and shrinking population after decision election victory</t>
  </si>
  <si>
    <t>Listen to Power 98FM and follow us to find out the latest news. Email us at news@safraradio.com.sg.</t>
  </si>
  <si>
    <t>Babita</t>
  </si>
  <si>
    <t>Dennis Uribe</t>
  </si>
  <si>
    <t>Abe, Trump agree to raise pressure on North Korea: Japan government https://t.co/WWjNLgBoN0 #SmartNews</t>
  </si>
  <si>
    <t>Round Rock, TX</t>
  </si>
  <si>
    <t>Chronic illness and Chron's fighter. In search of Zen and decency in Trumpworld, Disability and all. AWAG (America Was Aready Great) #Resistance ❄ #BadDude</t>
  </si>
  <si>
    <t>Fresh_Fashion_Club</t>
  </si>
  <si>
    <t>Franken, Germany</t>
  </si>
  <si>
    <t>Our Club connects people loving the fascination of fashion. We are story telling profis. Read our online-magazin. Wir verbinden Menschen aller Kleidergrößen.</t>
  </si>
  <si>
    <t>Democracy and its deceptions https://t.co/n66PKPJ6cL https://t.co/gMLcoyHZRl https://t.co/mnjW7MMtyl… https://t.co/JxuQ8jb66F</t>
  </si>
  <si>
    <t>Bassya</t>
  </si>
  <si>
    <t>bullet</t>
  </si>
  <si>
    <t>🚩दिनेश प्रसाद 🇮🇳</t>
  </si>
  <si>
    <t>Rudrapur (Uttrakhand)</t>
  </si>
  <si>
    <t>वन्दे मातरम (मोदी भक्त) विश्वास हिन्दू राष्ट्र सेवा दिवस</t>
  </si>
  <si>
    <t>Joseph B. Jaskolka</t>
  </si>
  <si>
    <t>Japan's Abe to push pacifist constitution reform after strong election win https://t.co/iRZl3pTTk4</t>
  </si>
  <si>
    <t>Delaware, USA</t>
  </si>
  <si>
    <t>112,695 people are shot in a Year, 78, 815 survive their wounds, 33,880 die in a year from gun violence.</t>
  </si>
  <si>
    <t>ピーピー:) @一時帰国now</t>
  </si>
  <si>
    <t>元ネットワークSEです。道産子です。同年代はゆとり世代と呼ばれています。現在タイ滞在中。勢いだけで東南アジアに出てきました。基本的に日常・学習・海外についてつぶやいてます。 趣味→海外旅行、国際交流、映画鑑賞、スポーツ観戦、筋トレ、クレカマニア</t>
  </si>
  <si>
    <t>THE WALL STREET JOURNAL: Japan leads global stocks higher after elections https://t.co/PtDNkEStzI https://t.co/VPCc06k26q</t>
  </si>
  <si>
    <t>worldfinmarketupdate</t>
  </si>
  <si>
    <t>Update Japan's Abe vows to put education spending before budget balance https://t.co/GZVM9TKvsf</t>
  </si>
  <si>
    <t>World Wide Stock Market And Major Indices Live Major Indices World Wide Stock Exchanges And Market News</t>
  </si>
  <si>
    <t>Abia</t>
  </si>
  <si>
    <t>abiakazApplicationABC1</t>
  </si>
  <si>
    <t>Concord, NC</t>
  </si>
  <si>
    <t>Coachella</t>
  </si>
  <si>
    <t xml:space="preserve">not coachella </t>
  </si>
  <si>
    <t>imagine a year without coachella and its style</t>
  </si>
  <si>
    <t>Democracy and its deceptions https://t.co/n66PKPJ6cL https://t.co/gMLcoyHZRl https://t.co/mnjW7MMtyl… https://t.co/V3Wf7vt1pP</t>
  </si>
  <si>
    <t>Yoana Calleja</t>
  </si>
  <si>
    <t>Japan PM's ruling bloc scores big election win https://t.co/1413CqFXUG Japanese Prime Minister Shinzo Abe’s ruling bloc scores a big elect…</t>
  </si>
  <si>
    <t>Periodista #freelance. Colaboro en @DistritosMadrid @Marca_Madrid_ y @Estrellas_Siete @Gerontes_ | La música es para el alma</t>
  </si>
  <si>
    <t>Gaurav Singh</t>
  </si>
  <si>
    <t>Bhiwadi, India</t>
  </si>
  <si>
    <t>ERP Consultant Shriram Group, MBA in Marketing, CS Engineer!! Politically Sound! :-) Life's race is all about to be the BEST YOU..</t>
  </si>
  <si>
    <t>cqopoc</t>
  </si>
  <si>
    <t>老いに鞭打ち日々Go! Go! しおちゃんに夢中の日々Go! Go!</t>
  </si>
  <si>
    <t>Abe claims victory as powerful endorsement, may seek re-election next month https://t.co/LyqI11Kyty #breakingnews</t>
  </si>
  <si>
    <t>Times of News from Austria</t>
  </si>
  <si>
    <t>kinseyhaddock</t>
  </si>
  <si>
    <t>Japan PM's ruling bloc scores big election win - Japanese Prime Minister Shinzo Abe’s ruling bloc scores a big ... https://t.co/DrTao5m9od</t>
  </si>
  <si>
    <t>Someone you know</t>
  </si>
  <si>
    <t>Arush Meshram</t>
  </si>
  <si>
    <t>Play cricket</t>
  </si>
  <si>
    <t>Samar Deshmukh</t>
  </si>
  <si>
    <t>Caltech Alumni, Nasa Goddard Centre, ESA, BITS Pilani Dubai, Proud Indian, Inspired by Narendra Modi &amp; Benjamin Franklin</t>
  </si>
  <si>
    <t>杉浦憲二(Sugíura Kenji)</t>
  </si>
  <si>
    <t>日本国兵庫県</t>
  </si>
  <si>
    <t>嘗て「安濃爾鱒」というハンドルネームを使っていましたが、実名に変更しました。朝日新聞的な「セーギ」の人は勿論、その正反対のつもりの陳腐なデマをばら撒く人とも仲良くなれません。なお、「不幸の非科学」のイタコ芸のオッサンのことは、頭がオカシイとしか思っていないので、そっちの方面の方は寄ってこないでください。</t>
  </si>
  <si>
    <t>Brad Valentine</t>
  </si>
  <si>
    <t>Python-Twitter Integration</t>
  </si>
  <si>
    <t>Champagne for my real friends and real pain for my sham friends.</t>
  </si>
  <si>
    <t>Arpit Gupta</t>
  </si>
  <si>
    <t>I march to the beat of my own drum.I will either find a way or make one, coz I m my own role model. Support Hindu Unity. #BharatMataKiJai</t>
  </si>
  <si>
    <t>日本を愛する若者＠海外なう</t>
  </si>
  <si>
    <t>海外</t>
  </si>
  <si>
    <t>日本を愛する１人の若者（道産子）です。海外を拠点に活動中。日本ではITエンジニアをやっていました。海外から日本の政治、経済についてつぶやきたいと思います。 日本は世界中で愛され、尊敬される国です。それを少しでも同じ世代の方々に知っていただきたい。</t>
  </si>
  <si>
    <t>g. aldaz</t>
  </si>
  <si>
    <t>Japan PM's ruling bloc scores big election win #news #worldnews 🌎 https://t.co/Mw6LD2Eh13</t>
  </si>
  <si>
    <t>#investing</t>
  </si>
  <si>
    <t>Reuters TV</t>
  </si>
  <si>
    <t>Shinzo Abe's risky snap election pays off as the Japanese prime minister cruises to victory: https://t.co/pRzHcWx7UN https://t.co/L06WwK0W51</t>
  </si>
  <si>
    <t>Straight from the source. Anytime. Anywhere. Available free on iOS, Android, Web, Roku and Apple TV.</t>
  </si>
  <si>
    <t>roshan madhav</t>
  </si>
  <si>
    <t>https://t.co/GrFSXZQrZi https://t.co/pvNT6iQVI9</t>
  </si>
  <si>
    <t>Citizen of EU</t>
  </si>
  <si>
    <t>Vancouver, BC</t>
  </si>
  <si>
    <t>An EU citizen who recognizes propaganda and thinks before believing anything</t>
  </si>
  <si>
    <t>FXINTER.NET</t>
  </si>
  <si>
    <t>USD/JPY Jumps Up on Japan Election Results | LTC Dips https://t.co/QgiHQCSM9K</t>
  </si>
  <si>
    <t>FXINTER.NET Différé</t>
  </si>
  <si>
    <t>Free Realtime Forex and Bitcoin News</t>
  </si>
  <si>
    <t>Walter COLLICA Forex</t>
  </si>
  <si>
    <t>USD/JPY Jumps Up on Japan Election Results | LTC Dips https://t.co/r0O1dwelrj</t>
  </si>
  <si>
    <t>CollicaBG</t>
  </si>
  <si>
    <t>Chief Strategist at http://t.co/OLUbCsXZlo, Tweets in English and French.</t>
  </si>
  <si>
    <t>Sandeep Bhardwaj</t>
  </si>
  <si>
    <t>A patriot, a nationalist, an altruist, a disciple of humanity, friend of a friend &amp; foe for a foe.</t>
  </si>
  <si>
    <t>Ashwani Shukla 🇮🇳</t>
  </si>
  <si>
    <t>🕉</t>
  </si>
  <si>
    <t>Darshan Gohil</t>
  </si>
  <si>
    <t>Alpesh Sapkal</t>
  </si>
  <si>
    <t>印象操作は言論の自殺行為</t>
  </si>
  <si>
    <t>ＳＮＳの発明は言論の民主化を実現させました。テレ朝の報ステを鵜呑みにする高齢者がいる一方、テレビを観ない若者の主な情報源はＳNＳです。作家や芸能人、学者や映画監督などの文筆業者やテレビ出演者は、新聞やテレビを面と向かって批判することは出来ません。暴走するメディアを監視出来のは、常識ある無名の一般国民です。</t>
  </si>
  <si>
    <t>suresh choudhary</t>
  </si>
  <si>
    <t>jaipur india</t>
  </si>
  <si>
    <t>kishor agarwal</t>
  </si>
  <si>
    <t>Moradabad, India</t>
  </si>
  <si>
    <t>#Democracy&amp;itsDeceptions https://t.co/n66PKPJ6cL https://t.co/gMLcoyHZRl https://t.co/mnjW7MMtyl… https://t.co/kvOsiofkfv</t>
  </si>
  <si>
    <t>hrp</t>
  </si>
  <si>
    <t>telly albert</t>
  </si>
  <si>
    <t>An Indian</t>
  </si>
  <si>
    <t>@sanjay73sri #Democracy&amp;itsDeceptions https://t.co/n66PKPJ6cL https://t.co/gMLcoyHZRl https://t.co/mnjW7MMtyl… https://t.co/VscpoRFbDp</t>
  </si>
  <si>
    <t>Amar Nath BJP</t>
  </si>
  <si>
    <t>Member of BJP. Big fan of Modi ji's Development agenda. Fighter for a Akhand https://t.co/uXFpHzpSOY can find me in FB at https://t.co/Y0DAvS1R1E</t>
  </si>
  <si>
    <t>RSM Media Network</t>
  </si>
  <si>
    <t>Japan PM's ruling bloc scores big election win https://t.co/u1WomoDazO</t>
  </si>
  <si>
    <t>Tennessee, USA</t>
  </si>
  <si>
    <t>Creator. Troublemaker. Evil travel specialist. Professional introvert. Entrepreneur.</t>
  </si>
  <si>
    <t>Recorder.X</t>
  </si>
  <si>
    <t>Jim Falkiner</t>
  </si>
  <si>
    <t>Peace just too hard? I can't help but give our wonderful POTUS Trump partial credit. https://t.co/vsm54zHQcK</t>
  </si>
  <si>
    <t>Life is not a reality show. Grow up everyone. Let's start trying to make things work.</t>
  </si>
  <si>
    <t>Сана</t>
  </si>
  <si>
    <t>I love figure skating and rhythmic gymnastics. Music lover, Classical, Heavy Metal, Jazz, etc. Hates Folk and Country.</t>
  </si>
  <si>
    <t>Victor K K</t>
  </si>
  <si>
    <t>|B.Sci IBA |#GGMU | life is too short to sleep too much</t>
  </si>
  <si>
    <t>RhinoTokyo</t>
  </si>
  <si>
    <t>霞町動物公園</t>
  </si>
  <si>
    <t>２０代前半に海外放浪で悟り、帰国後何故か代書屋に。転職を試みるも天職だと言われ、他に得意なこと・やりたいこともなく現在に至ります。</t>
  </si>
  <si>
    <t>Pancrasius Antony</t>
  </si>
  <si>
    <t>Be fearless. Have a vision. Believe in yourself. Always hustle. Stay focused. Get out there. Get motivated. Get inspired</t>
  </si>
  <si>
    <t>Asia News</t>
  </si>
  <si>
    <t>#Typhoon Lan lashes #Japan #Election day, leaves three: https://t.co/OVjbzpSVu0, https://t.co/RaUA5ZrGhb https://t.co/LQkuINUNwW</t>
  </si>
  <si>
    <t>AsiaNews</t>
  </si>
  <si>
    <t>Top Asia News</t>
  </si>
  <si>
    <t>Ketan Tamhane</t>
  </si>
  <si>
    <t>Promoter, Builder, Construction contractor, Interior Designer &amp; Real Estate Consultant. Blood Group: B -ve</t>
  </si>
  <si>
    <t>@Sharmistha_GK #Democracy&amp;itsDeceptions https://t.co/n66PKPJ6cL https://t.co/gMLcoyHZRl https://t.co/mnjW7MMtyl… https://t.co/P4DL4TzA9H</t>
  </si>
  <si>
    <t>newsworld</t>
  </si>
  <si>
    <t>Japan's Abe to push pacifist constitution reform after strong election win via /r/worldnews https://t.co/XBMEsovsRW</t>
  </si>
  <si>
    <t>Abhishek Singh</t>
  </si>
  <si>
    <t>arunabha lahiri</t>
  </si>
  <si>
    <t>ठाणे, भारत</t>
  </si>
  <si>
    <t>Staunch Nationalist &amp; A Proud INDIAN. Strongly averse to pseudo seculars, self styled intellectuals, &amp; news traders.</t>
  </si>
  <si>
    <t>Sandip Dutta</t>
  </si>
  <si>
    <t>Mad about Sports!!!Crazy Roger Federer fan..fan of Virat Kohli..Die-hard Chelsea fan!!! live in my own twitter world...</t>
  </si>
  <si>
    <t>Hanover</t>
  </si>
  <si>
    <t>FATYACHAND Jetwani</t>
  </si>
  <si>
    <t>FOLLOWED BY (( PM SH NARENDER MODI JI )) .WORKING IN MCD.</t>
  </si>
  <si>
    <t>IFA Magazine</t>
  </si>
  <si>
    <t>Japanese general election: "Japan’s politicians shy away from answering the big questions" https://t.co/gwxxsfe2hX https://t.co/JRgaCU3Npk</t>
  </si>
  <si>
    <t>IFA Magazine auto post</t>
  </si>
  <si>
    <t>For today's discerning financial and investment professionals.</t>
  </si>
  <si>
    <t>AMIT KUMAR (AB+)ॐ🇮</t>
  </si>
  <si>
    <t>#Swayamsewak, Nationalist and a Personnel Officer at THE UNITED GROUP @uch_delhi7</t>
  </si>
  <si>
    <t>Sand Das [sanddas™]</t>
  </si>
  <si>
    <t>ReutersTV: Shinzo Abe's risky snap election pays off as the Japanese prime minister cruises to victory: https://t.co/g2oDo8MKxw …</t>
  </si>
  <si>
    <t>Kolkata, India. ☑</t>
  </si>
  <si>
    <t>Creative Director, KEVAURA, LLC. CA, USA | #Eco #RealEstateEnthusiast #Photography #ToursAndtravels to #BengalAndSikkim #WebsiteGuy https://t.co/JTKWwESj5w</t>
  </si>
  <si>
    <t>カリアゲくん</t>
  </si>
  <si>
    <t>#Democracy&amp;itsDeceptions https://t.co/n66PKPJ6cL https://t.co/gMLcoyHZRl https://t.co/mnjW7MMtyl… https://t.co/GR4qzZvCHx</t>
  </si>
  <si>
    <t>Turnout Put At 2nd-Lowest In Japan Lower House Election https://t.co/XwqlQlcLRH</t>
  </si>
  <si>
    <t>噴照骨胡</t>
  </si>
  <si>
    <t>#SouthKorea formed an alliance with the aggressor #China, and has sprinkled the many dirty lies about #Japan all over the world. #LiarCCP. 『いいね』より『リツイート』よろピコ。</t>
  </si>
  <si>
    <t>devnath</t>
  </si>
  <si>
    <t>Jai shri ram</t>
  </si>
  <si>
    <t>floower moon</t>
  </si>
  <si>
    <t>rayakkumar</t>
  </si>
  <si>
    <t xml:space="preserve">Erode </t>
  </si>
  <si>
    <t>Love to clean this blog of EVILS,PAID Blogers &amp; EXPOSE PAID MEDIA.HATE SYCOPHANTS of CORRUPT POLITICIANS RT not endorsement</t>
  </si>
  <si>
    <t>PEEYUSH RAMRAKHYANI</t>
  </si>
  <si>
    <t>Passionate for engineering</t>
  </si>
  <si>
    <t>Bike Mad Bob</t>
  </si>
  <si>
    <t>Love my family, almost as much as I love my bikes...</t>
  </si>
  <si>
    <t>Japan's Abe vows to put education spending before budget balance https://t.co/F3ZPjCqEPN Via @Reuters #worldnews</t>
  </si>
  <si>
    <t>Shalin Shah</t>
  </si>
  <si>
    <t>Student, football frenzy, movie maniac from Ahmedabad, India</t>
  </si>
  <si>
    <t>Goo News Japan's Abe vows to put education spending before budget balance - Reuters… https://t.co/TZNvElzHXj</t>
  </si>
  <si>
    <t>Arka Dutta</t>
  </si>
  <si>
    <t>loves to read, loves to code and loves KKR</t>
  </si>
  <si>
    <t>Tenzin Lother</t>
  </si>
  <si>
    <t>Kullu and Manali, India</t>
  </si>
  <si>
    <t>self employee</t>
  </si>
  <si>
    <t>@airnewsalerts Democracy&amp;itsDeceptions https://t.co/n66PKPJ6cL https://t.co/gMLcoyHZRl https://t.co/mnjW7MMtyl… https://t.co/VG557vxgLG</t>
  </si>
  <si>
    <t>Amol A Girhe</t>
  </si>
  <si>
    <t>Reddit r/worldnews</t>
  </si>
  <si>
    <t>Japan's Abe to push pacifist constitution reform after strong election win https://t.co/NkKCTLAGtu</t>
  </si>
  <si>
    <t>Feed from r/worldnews.</t>
  </si>
  <si>
    <t>Tikan Kumar Sahoo</t>
  </si>
  <si>
    <t>God created your life.... and u r in charge to colour it, make it beautiful......</t>
  </si>
  <si>
    <t>VIRAT EMPIRE</t>
  </si>
  <si>
    <t xml:space="preserve"> INDIA 🌎🌎</t>
  </si>
  <si>
    <t>I Love my great nation india..... and I proud to be an indian...💖💖💖💖</t>
  </si>
  <si>
    <t>末近浩太</t>
  </si>
  <si>
    <t>京都</t>
  </si>
  <si>
    <t>中東・イスラーム地域研究、国際政治学、比較政治学。立命館大学国際関係学部・教授。Twilog：http://t.co/5JwF8Kb6mV インタビュー：http://t.co/g7ocodyH1M Yahoo!ニュース・個人：https://t.co/d9QCfstrJA</t>
  </si>
  <si>
    <t>VITHALRAO KULKARNI</t>
  </si>
  <si>
    <t>Mechanical Engineer by profession, freelance writer on current topics,Hate Pseudo Secularism,RT are not endorsement.</t>
  </si>
  <si>
    <t>Jonathan Johnson</t>
  </si>
  <si>
    <t>Japan election: Abe hails massive win, but what now for the country's pacifist constitution?</t>
  </si>
  <si>
    <t>May I talk to someone over here? =) Follow humans only.</t>
  </si>
  <si>
    <t>₹ k.p.pati ₹</t>
  </si>
  <si>
    <t xml:space="preserve">    India . Karnataka </t>
  </si>
  <si>
    <t>Photography. writer</t>
  </si>
  <si>
    <t>Jasbir Singh</t>
  </si>
  <si>
    <t>El Patron</t>
  </si>
  <si>
    <t>If a free society cannot help the many who are poor, it cannot save the few who are rich</t>
  </si>
  <si>
    <t>RADHA NANDAN JHA</t>
  </si>
  <si>
    <t>LOVE YOUR WORK ........</t>
  </si>
  <si>
    <t>Japan Election Vindicates Shinzo Abe as His Party Wins Big - New York Times https://t.co/0PzE97SToV</t>
  </si>
  <si>
    <t>Parbat Rabari</t>
  </si>
  <si>
    <t>सदस्य - भारतीय जनता पार्टी, सोश्यल वर्कर, सेवा परमो धर्म. वंदे भारत मातरम्</t>
  </si>
  <si>
    <t>🇮🇳Jagdish Singh🚩</t>
  </si>
  <si>
    <t>Lucknow / Raipur Chattisgarh.</t>
  </si>
  <si>
    <t>🙏 🙏दे शिवा वर मोहे ऐहे शुभ करमन से कबहू न डरूँ,न डरू बैरी सो जब चाहे लडू,निश्चय कर अपनी जीत 💪 करूँ 🙏🙏</t>
  </si>
  <si>
    <t>Siddharth Sharma</t>
  </si>
  <si>
    <t>Luc Champoux</t>
  </si>
  <si>
    <t>💲🏦7⃣0⃣0⃣0⃣0⃣0⃣0⃣0⃣0⃣0⃣🌐💜💙💚💛🧡❤️</t>
  </si>
  <si>
    <t>☆たま☆</t>
  </si>
  <si>
    <t>君の心の中🌠✨💕</t>
  </si>
  <si>
    <t>15♀です☆よろしくね💓💖💕💗💝❤</t>
  </si>
  <si>
    <t>Nikki Kumar</t>
  </si>
  <si>
    <t>Islampur, India</t>
  </si>
  <si>
    <t>Even if we’re not Ƭogether physically Just talking with Ƴou Ŧills up the distance Ᏸetween ᑌs ❥❃❥❃❥❤️❥❃❥❃❥</t>
  </si>
  <si>
    <t>Bansi PJ</t>
  </si>
  <si>
    <t>up2date</t>
  </si>
  <si>
    <t>RT @Reuters: Powerful typhoon drenches Japan, tens of thousands advised to evacuate https://t.co/DByVqktVQy https://t.co/w9f1ivi30s</t>
  </si>
  <si>
    <t>💁👦👩👨👧🙋</t>
  </si>
  <si>
    <t>裏アカオレオ@雑用垢</t>
  </si>
  <si>
    <t>青学文学部のすみっこぐらし</t>
  </si>
  <si>
    <t>世間体を気にしない垢。私にだって意見はある。一般現役で入って２留の私が取れた授業は巷で「神単」と呼ばれる…とか。自己満で突然リプ送り付けます。返事なくても平気</t>
  </si>
  <si>
    <t>Chris Day</t>
  </si>
  <si>
    <t>Galaxy Hot</t>
  </si>
  <si>
    <t>Shanghai</t>
  </si>
  <si>
    <t>Screw Android, Long Live Chrome</t>
  </si>
  <si>
    <t>Gowtham Prasad</t>
  </si>
  <si>
    <t>Vandan Maheshwari</t>
  </si>
  <si>
    <t>#SwayamSevak In RSS, Active BJP Member,Law Student, Social Worker,Youth Leader My Idol Is @narendramodi</t>
  </si>
  <si>
    <t>Japan's Abe vows to put education spending before budget balance https://t.co/RO0d16tyIW #NLU</t>
  </si>
  <si>
    <t>Japan PM's ruling bloc scores big election win https://t.co/1cotD3yGsd #NLU</t>
  </si>
  <si>
    <t>守望先鋒</t>
  </si>
  <si>
    <t>Manjusha Deshpande</t>
  </si>
  <si>
    <t>prashob Krishnan</t>
  </si>
  <si>
    <t>Kozhikode</t>
  </si>
  <si>
    <t>おこめちゃん</t>
  </si>
  <si>
    <t>赤池はよねろ/たんぽぽ白鳥/京都府宇治市/ブスdis/嫁ブス/74770520/</t>
  </si>
  <si>
    <t>miki kaneko</t>
  </si>
  <si>
    <t>TOEIC980・英検１級の通訳案内士 通訳/翻訳 元新国立劇場オペラ研修所英語講師 青学卒 純ジャパ certified tour guide, EJ translator, mother of 2 sons, physician/pharmacist 趣味は歌舞伎観劇 loves kabuki &amp; musicals</t>
  </si>
  <si>
    <t>ASHOK BISHNOI</t>
  </si>
  <si>
    <t>Jaipur, India</t>
  </si>
  <si>
    <t>North Korea Reddit</t>
  </si>
  <si>
    <t>North Korea blasts Japan for using election to 'pave groundwork' for invasion: submitted by /u/tito333 [link]…… https://t.co/c8B2nt2fAm</t>
  </si>
  <si>
    <t>Automatically posts https://t.co/ZjixQlmUFd top posts.</t>
  </si>
  <si>
    <t>@सुरजीत @</t>
  </si>
  <si>
    <t>बाग में टहलते हुये एक दिन, जब वो बेनकाब हो गए, जितने पेड़ थे बबूल के सब के सब गुलाब हो गए।..Big fan of @Narerdermodi.....Followed by @piyushgoyaloffc</t>
  </si>
  <si>
    <t>SUBRAMANYA N</t>
  </si>
  <si>
    <t>Mysore, India</t>
  </si>
  <si>
    <t>All that happens is for Good</t>
  </si>
  <si>
    <t>Pranesh</t>
  </si>
  <si>
    <t>Vikash Jain</t>
  </si>
  <si>
    <t>Balangir, India</t>
  </si>
  <si>
    <t>jeevan jitna sada rahega tension utnaa aadha rahega</t>
  </si>
  <si>
    <t>Abe claims victory as powerful endorsement, may seek re-election next month - https://t.co/T8mXQ01yR4 Prime Minister Shinzo Abe says the ...</t>
  </si>
  <si>
    <t>Abe claims victory as powerful endorsement, may seek re-election next month - https://t.co/kx72TZ8qBe Prime Minister Shinzo Abe says the ...</t>
  </si>
  <si>
    <t>Japan’s election results show women making little progress despite Abe’s landslide victory - https://t.co/keuCdUDite Prime Minister Shinz...</t>
  </si>
  <si>
    <t>Alastair Hart</t>
  </si>
  <si>
    <t>Japan's Abe to push pacifist constitution reform after strong election win https://t.co/5KQfQoine9</t>
  </si>
  <si>
    <t>Win the Customer</t>
  </si>
  <si>
    <t>london</t>
  </si>
  <si>
    <t>Fly’s the flag for the Underdog. Hates bullies, especially those in power. Can be opinionated and can be wrong. Loves a good discussion and Rugby.</t>
  </si>
  <si>
    <t>AshishD38406864</t>
  </si>
  <si>
    <t>Sankat Khedkar</t>
  </si>
  <si>
    <t>Pune, Maharashtra, India</t>
  </si>
  <si>
    <t>👌☺Life is too short 👌☺......so live it spreading love all over the world.....New age of my life,,,😊😊👌</t>
  </si>
  <si>
    <t>सिद्धार्थ</t>
  </si>
  <si>
    <t>Milton Keynes,UK</t>
  </si>
  <si>
    <t>Engineer by https://t.co/YmQ2YDADfg Cricket,Foodie,Husband.A human being.</t>
  </si>
  <si>
    <t>mayu</t>
  </si>
  <si>
    <t>Pawan Kumar</t>
  </si>
  <si>
    <t>Connaught Place, New Delhi</t>
  </si>
  <si>
    <t>Bollywood and Celebrities Brands Breaking News Brands Breaking News Business and Financial News CEOs Comedy and Humour Cricketers and Commentators Food Fashion</t>
  </si>
  <si>
    <t>OptionsTip</t>
  </si>
  <si>
    <t>New post: Japan’s Nikkei hits new highs after Abe wins election https://t.co/2yb15YTheh</t>
  </si>
  <si>
    <t>optionstipblog</t>
  </si>
  <si>
    <t>That Guy</t>
  </si>
  <si>
    <t>OFBJP Australia</t>
  </si>
  <si>
    <t>Sydney, Melbourne, Australia</t>
  </si>
  <si>
    <t>Overseas Friends of BJP, Australia. Official representative of India's ruling party BJP in Australia. Working on strengthening ties between India and Australia.</t>
  </si>
  <si>
    <t>dimitry shau</t>
  </si>
  <si>
    <t>Re-elected PM vows to tackle Japan’s twin crises https://t.co/KJr9ycgOZz https://t.co/uzU2ukArVt</t>
  </si>
  <si>
    <t>internet</t>
  </si>
  <si>
    <t>мужчина в расцвете сил, Христианин, увлечения - мониторинг сми, создание сайтов, интернет, благотворительность.</t>
  </si>
  <si>
    <t>✌️</t>
  </si>
  <si>
    <t>Opinions expressed on this timeline may be facetious and do not necessarily reflect the views of the user.</t>
  </si>
  <si>
    <t>New post: Japan’s Nikkei hits new highs after Abe wins election https://t.co/2G90vaozoJ</t>
  </si>
  <si>
    <t>New post: Japan’s Nikkei hits new highs after Abe wins election https://t.co/eMmpYgERfN</t>
  </si>
  <si>
    <t>Surendra PratapSingh</t>
  </si>
  <si>
    <t>New Delhi (India)</t>
  </si>
  <si>
    <t>#ProudSon of #Sharda &amp; #Ram, @RSS4India #ProudIndian #BharatMataKiJai #YouthOfIndia #YouthofWorld #YouthEngagement #2030Agenda #YouthReport #JaiHind #JaiBharat</t>
  </si>
  <si>
    <t>Mohamed A. El-Erian</t>
  </si>
  <si>
    <t>.@FT on the what &amp; why of the gains in #Japanese #stocks after the big election win by PM #ShinzoAbe… https://t.co/hSGf831PBE</t>
  </si>
  <si>
    <t>Chief Economic Adviser, Allianz. Author of NYT bestsellers "When Markets Collide" and “The Only Game in Town.”</t>
  </si>
  <si>
    <t>The Knife Media</t>
  </si>
  <si>
    <t>Japan election | Iran-backed forces | Italy autonomy votes | New Czech PM | France arrests https://t.co/dv7cKewkjw… https://t.co/IueLpZ453Q</t>
  </si>
  <si>
    <t>The Knife Media strips news of bias so it’s just the news. Then, we rate sources so you know what to believe. Finally, we show the spin so you’re never misled.</t>
  </si>
  <si>
    <t>Harald Pflueger</t>
  </si>
  <si>
    <t>Japan`s ruling camp wins two-thirds majority in lower house election amid opposition splitting-up: Japan`s ruling... https://t.co/iLA67jIaif</t>
  </si>
  <si>
    <t>Pflueger_Twit_App_01</t>
  </si>
  <si>
    <t>Harald Pflueger bloggt, was viele denken: Die Massenmörder von Kunduz gehören hinter Schloss und Riegel !</t>
  </si>
  <si>
    <t>Rameshwartewari2016</t>
  </si>
  <si>
    <t>dumdum cantonment 700028</t>
  </si>
  <si>
    <t>Julie</t>
  </si>
  <si>
    <t>Mom.</t>
  </si>
  <si>
    <t>New post: Japan’s Nikkei hits new highs after Abe wins election https://t.co/AK2VS32K5b</t>
  </si>
  <si>
    <t>Jai</t>
  </si>
  <si>
    <t>Salem, India</t>
  </si>
  <si>
    <t>Raju Patil</t>
  </si>
  <si>
    <t>Japan's Abe hails landslide victory in snap election https://t.co/ra93H1k9x8 https://t.co/i9aSggCz0S</t>
  </si>
  <si>
    <t>Charlie Young</t>
  </si>
  <si>
    <t>Summary: https://t.co/QwcrsV9XnH #JapanElection</t>
  </si>
  <si>
    <t>Veelox</t>
  </si>
  <si>
    <t>I've run political campaigns across all three major political parties in the UK. Training to be a lawyer.</t>
  </si>
  <si>
    <t>Eric H.</t>
  </si>
  <si>
    <t>RT @SharpsPixley: Gold slumps to two-week low on Japan’s election result https://t.co/nmzM8ash1b via @BDliveSA</t>
  </si>
  <si>
    <t>Talking markets. Sharing trading ideas.</t>
  </si>
  <si>
    <t>DHEERAJ kedia</t>
  </si>
  <si>
    <t>Jamshedpur, Jharkhand</t>
  </si>
  <si>
    <t>みちよ</t>
  </si>
  <si>
    <t>Rohit Dubey</t>
  </si>
  <si>
    <t>JAIN</t>
  </si>
  <si>
    <t xml:space="preserve">Hindustan </t>
  </si>
  <si>
    <t>Living a life since 91 || God is Great 👆🏼|| snapchat - Gauravv11</t>
  </si>
  <si>
    <t>shriram pathak</t>
  </si>
  <si>
    <t>AutoDCMation01</t>
  </si>
  <si>
    <t>[World News] Re-elected Japanese PM vows hard line on North Korea - CBC.ca https://t.co/Cvh84L5Lkv</t>
  </si>
  <si>
    <t>rdviews, Rohan Desai</t>
  </si>
  <si>
    <t>Surat, Gujarat</t>
  </si>
  <si>
    <t>Trend following trader, Equity Investor, Private equity investor, Founder of Triumph Capital and Director at https://t.co/Hek45smvLp</t>
  </si>
  <si>
    <t>Jeet</t>
  </si>
  <si>
    <t>सीकर, भारत</t>
  </si>
  <si>
    <t>Rahul Krishnan</t>
  </si>
  <si>
    <t>Karunagappally</t>
  </si>
  <si>
    <t>cool and lovely person 😄</t>
  </si>
  <si>
    <t>7-13 Capital LLC</t>
  </si>
  <si>
    <t>Japanese stocks rise as dollar climbs against the yen after Abe election win https://t.co/f1fvHbxTVB</t>
  </si>
  <si>
    <t>7-13 Capital offers a market timing based on technical indicators under a fully discretionary investment management service to high net worth investors</t>
  </si>
  <si>
    <t>My2Dads</t>
  </si>
  <si>
    <t>US News @CNN - 7 things to know before the bell - Japan election landslide; Chaos in Catalonia; European populi... https://t.co/ZfhHHOFm3T</t>
  </si>
  <si>
    <t>We're Rod &amp; Doug (AKA Dada &amp; Dad), an interracial, gay couple in ATL. Watch as we raise our son, Jackson. #gaydads #twodads #adoption #parenting</t>
  </si>
  <si>
    <t>Linda Johnson</t>
  </si>
  <si>
    <t>What now for Japan after Abe's landslide election victory? https://t.co/8tuxI6vb3q</t>
  </si>
  <si>
    <t xml:space="preserve">Land mass fka America         </t>
  </si>
  <si>
    <t>TheResistance Mission: Fight tRump as he tries to destroy civilization! Warning: No Time For Trolls MAGA=BLOCK Weakness: F Bombs and Cute Felines</t>
  </si>
  <si>
    <t>mahesh</t>
  </si>
  <si>
    <t>Open Outcrier</t>
  </si>
  <si>
    <t>Japan Election Vindicates Shinzo Abe as His Party Wins Big - NYT https://t.co/vETiV1UACu</t>
  </si>
  <si>
    <t>Real-time stock &amp; option trading headlines, breaking news, rumors and strategy. Nothing we post constitutes investment advice; we may have positions in markets</t>
  </si>
  <si>
    <t>Rebecca</t>
  </si>
  <si>
    <t>🇺🇸☘✝✡📚⚔🌻🌳🇬🇧🇮🇱🖖🏻</t>
  </si>
  <si>
    <t>I'm a stand up girl. I stand up for my beliefs. Born waving an American flag &amp; standing on a soapbox. I march to the beat of a different drum. Play nice,👌🏻</t>
  </si>
  <si>
    <t>Double.D</t>
  </si>
  <si>
    <t>Sicha Janow</t>
  </si>
  <si>
    <t>Thika, Kenya</t>
  </si>
  <si>
    <t>man has no bio</t>
  </si>
  <si>
    <t>Kevin Brown</t>
  </si>
  <si>
    <t>After election win, Abe prioritizes North Korea, aging Japan #asia #donaldTrump #japan https://t.co/rjHHRxHjsB</t>
  </si>
  <si>
    <t>App #asifg67sad</t>
  </si>
  <si>
    <t>Campinas, Brasil</t>
  </si>
  <si>
    <t>Ravi Ghiyar</t>
  </si>
  <si>
    <t>NIT Surat Alumnus | Interested in Technology, Public Policy, Governance, Politics and Spirituality | Masala Chai Lover</t>
  </si>
  <si>
    <t>masa-y</t>
  </si>
  <si>
    <t>@japantimes In Japan 's election there are many votes of Liberal Democratic Party.</t>
  </si>
  <si>
    <t>I'm masami, writing from Japan.I like listening to pop song and rock music.Please Follow Me!#ネット右翼 100%Follow Back. #保守派 #News</t>
  </si>
  <si>
    <t>Yajnesh Narayan</t>
  </si>
  <si>
    <t>Boston,US</t>
  </si>
  <si>
    <t>India First Religion Second</t>
  </si>
  <si>
    <t>母ポン</t>
  </si>
  <si>
    <t>日本の未来のために、子たちの為に、身を挺して働く安倍総理。こんなに働く首相を見たことがありません。安倍総理は日本を救う奇跡の宰相です！＊＊＊和と和を繋いで、善き伝統、善き文化、美しい日本を子や孫に残してあげましょう。 ○Japan-Conservative ○Free Tibet ○六四天安門○</t>
  </si>
  <si>
    <t>John Beitel</t>
  </si>
  <si>
    <t>A Galaxy Far Far Away</t>
  </si>
  <si>
    <t>I love Android</t>
  </si>
  <si>
    <t>i stan hunks 🎵🎷🎃</t>
  </si>
  <si>
    <t>RT @urbanfriendden: japan election results are disappointing. abe played on tensions with north korea to win the senate and support for his…</t>
  </si>
  <si>
    <t>they/them pronouns</t>
  </si>
  <si>
    <t>curator of inanity, unhealthy Steve x Tony shipper, sporadic puzzlewright, gray gay demiboy | maths student | i apologise for my excessive favs and rts</t>
  </si>
  <si>
    <t>Mark Wayne</t>
  </si>
  <si>
    <t>Aim to be the Orwell of the twitter generation. Love truth justice human rights democracy. Dislike hypocrisy ignorance prejudice bigotry racism. #MUFC</t>
  </si>
  <si>
    <t>Mr. S</t>
  </si>
  <si>
    <t>RT @OpenOutcrier: Japan Election Vindicates Shinzo Abe as His Party Wins Big - NYT https://t.co/vETiV1UACu</t>
  </si>
  <si>
    <t>I promise to call you on your bullshit in 140 characters or less.</t>
  </si>
  <si>
    <t>Dabby Dabby</t>
  </si>
  <si>
    <t>My cat's name: Touby</t>
  </si>
  <si>
    <t>Kenyan News</t>
  </si>
  <si>
    <t>Shinzo Abe sweeps to resounding victory in Japan snap election https://t.co/tirBlYEkEZ</t>
  </si>
  <si>
    <t>kenyan news</t>
  </si>
  <si>
    <t>Syndicated News</t>
  </si>
  <si>
    <t>praddumn dwivedi</t>
  </si>
  <si>
    <t>Simplest....</t>
  </si>
  <si>
    <t>なつき</t>
  </si>
  <si>
    <t>札幌住。 トロンボーン・吹奏楽指導したりしてます。</t>
  </si>
  <si>
    <t>Nana Kwame Anthony</t>
  </si>
  <si>
    <t>Philly, USA</t>
  </si>
  <si>
    <t>Meandering on Wisdom's Stream - A Bluesman's riff on Daily</t>
  </si>
  <si>
    <t>mspencer</t>
  </si>
  <si>
    <t>Shinzo Abe secures strong mandate in Japan's general election https://t.co/dPYMzNaimL</t>
  </si>
  <si>
    <t>somewhere around the world</t>
  </si>
  <si>
    <t>I AM WHAT I AM. HK/UK/JP Japanese/English. 英語、旅、演劇、音楽などなどを気ままに。</t>
  </si>
  <si>
    <t>mo</t>
  </si>
  <si>
    <t>zhang</t>
  </si>
  <si>
    <t>RT @timothygo_only1: NEWSBREAK: Japan voters to deliver verdict on PM Abe's nearly five-year rule https://t.co/NNt7dS5Tae</t>
  </si>
  <si>
    <t>Sunil Singh Aswal</t>
  </si>
  <si>
    <t>Pride Hindu</t>
  </si>
  <si>
    <t>David Moon</t>
  </si>
  <si>
    <t>RT @CarolinCNBC: Japan's leader just won a resounding election victory, but he's still unpopular https://t.co/13boW9f6mK</t>
  </si>
  <si>
    <t>San Francisco, California</t>
  </si>
  <si>
    <t>Full-Time Dad &amp; Husband. Attorney. Financial News Junkie. Retweets are not endorsements.</t>
  </si>
  <si>
    <t>Er Ravi Ranjan</t>
  </si>
  <si>
    <t>IT Assistant, GOB</t>
  </si>
  <si>
    <t>Brad Buckmaster</t>
  </si>
  <si>
    <t>Good morning, #Huntsville.Alabama. Let's make it a safe one</t>
  </si>
  <si>
    <t>senthil kumar</t>
  </si>
  <si>
    <t>Proud Hindu and Indian Nationalist.I love animals including snakes and birds.They too have right to live on this earth.No human being have right to eat them.</t>
  </si>
  <si>
    <t>Virat Hindu</t>
  </si>
  <si>
    <t>Jai Hindu Rashtra</t>
  </si>
  <si>
    <t>Yaduveer Singh baghe</t>
  </si>
  <si>
    <t>Udaipur, India</t>
  </si>
  <si>
    <t>Self-employed</t>
  </si>
  <si>
    <t>Amit K, Esq.</t>
  </si>
  <si>
    <t>RT @elerianm: .@FT on the what &amp; why of the gains in #Japanese #stocks after the big election win by PM #ShinzoAbe https://t.co/UXLA07uEen…</t>
  </si>
  <si>
    <t>V-Formation</t>
  </si>
  <si>
    <t>Car-Los</t>
  </si>
  <si>
    <t>Shamballa</t>
  </si>
  <si>
    <t>@me all you want I still have the kids, Emily</t>
  </si>
  <si>
    <t>Christine K</t>
  </si>
  <si>
    <t>Alberta, Canada</t>
  </si>
  <si>
    <t>Have VEDs, I have interests in many things, reading, music, photography, great food, fitness, design, movies, walking in the woods, birds &amp; animals.</t>
  </si>
  <si>
    <t>कार्तिक K</t>
  </si>
  <si>
    <t>Hindu nationalist , bathroom singer, Rationalist !!!</t>
  </si>
  <si>
    <t>Shinzo Abe To Push Reform Of Japan's Constitution After Election Win https://t.co/ktFGihxAQt</t>
  </si>
  <si>
    <t>jafarmiya Shaikh</t>
  </si>
  <si>
    <t>RT @business: Shinzo Abe's election win in Japan won't make everybody rich https://t.co/ad5tzl314K via @gadfly https://t.co/RARUcUJ4dv</t>
  </si>
  <si>
    <t>India for All, 60 + Engineer, widely travelled n worked in 3 continents. Peace lover. Retired but not tired. Retweets r not endorsements.</t>
  </si>
  <si>
    <t>John Palmier</t>
  </si>
  <si>
    <t>Nikkei hits new highs after Japan election https://t.co/qVj4UjqGPI</t>
  </si>
  <si>
    <t>Marbella, Malaga. Spain</t>
  </si>
  <si>
    <t>Private Placement Programs (by Invitation),Sales,Marketng,Investments.Sales management, Business Development, Team Leadership</t>
  </si>
  <si>
    <t>Greg London</t>
  </si>
  <si>
    <t>Income Investing. Everyone talks about investing for the future. Well tomorrow may never come.</t>
  </si>
  <si>
    <t>shashwat</t>
  </si>
  <si>
    <t>लखनऊ</t>
  </si>
  <si>
    <t>You know, hope is a mistake. If you can't fix what's broken, you'll go insane.</t>
  </si>
  <si>
    <t>Alok Bhatt</t>
  </si>
  <si>
    <t>Unlearning to learn new things!</t>
  </si>
  <si>
    <t>भारत हमारी माता</t>
  </si>
  <si>
    <t xml:space="preserve">महादेव की नगरी काशी </t>
  </si>
  <si>
    <t>त्रृदेवों से संचालित है सृष्टि अपना कर्तव्य सनातन हिन्दू संस्कृति का संरक्षण बस इतना ही समझना ठीक रहेगा</t>
  </si>
  <si>
    <t>霜降</t>
  </si>
  <si>
    <t>JPN</t>
  </si>
  <si>
    <t>情報収集用アカウント</t>
  </si>
  <si>
    <t>Bhavik Shrimal</t>
  </si>
  <si>
    <t>TRUMP supporter.</t>
  </si>
  <si>
    <t>佳音</t>
  </si>
  <si>
    <t>政治の話題が多いです。リツイートも多いです。</t>
  </si>
  <si>
    <t>Deanna Ortner</t>
  </si>
  <si>
    <t>Love the beach, dark chocolate, elephants, good food, family, friends, people, policy, travel, volunteering and wine!</t>
  </si>
  <si>
    <t>Vikash Pandey</t>
  </si>
  <si>
    <t>आरा  India</t>
  </si>
  <si>
    <t>भारतीय जनता पार्टी B. J. P</t>
  </si>
  <si>
    <t>कौस्तुभ तिवारी</t>
  </si>
  <si>
    <t>Raipur/Gujarat</t>
  </si>
  <si>
    <t>Energy Sector || Fan of PM Shri Narendra Modi ji || Fan of Hrithik</t>
  </si>
  <si>
    <t>Nationalist DK</t>
  </si>
  <si>
    <t>India First, Hindu Nationalist, Politics (BJP), Sports (Cricket), भारत माता की जय 🇮🇳 जय श्री राम🚩....</t>
  </si>
  <si>
    <t>Diana Martinez</t>
  </si>
  <si>
    <t>RT @DanielCoulomb: ‘There is this bad threat that’s out there, and you have to trust me because I know how to handle things,’ ... https://t…</t>
  </si>
  <si>
    <t>everywhere</t>
  </si>
  <si>
    <t>Gobierno del Estado de Coahuila</t>
  </si>
  <si>
    <t>Baga Gam</t>
  </si>
  <si>
    <t>RT @haraldpflueger: Japan`s ruling camp wins two-thirds majority in lower house election amid opposition splitting-up: Japan`s ruling... ht…</t>
  </si>
  <si>
    <t xml:space="preserve">Berlin-West Africa-Brasil </t>
  </si>
  <si>
    <t>Schwerpunkte: Datenschutz, Afrika, Flucht + Widerstand PRIVACY, REASONS to FLEE or RESIST, AFRICA Privacidade, refugiados e resistência, África, Ámérica do Sul</t>
  </si>
  <si>
    <t>soumyajit mohanty</t>
  </si>
  <si>
    <t>Indian, निरीश्वरवाद हिन्दू, Right Wing, ManUtd Fan, Freak, Traveller</t>
  </si>
  <si>
    <t>Naveen Raj 🇮🇳🚩</t>
  </si>
  <si>
    <t xml:space="preserve">Gorakhpur,UP, India </t>
  </si>
  <si>
    <t>राष्ट्रवादी सोच ..! RSS विचारधारा..! भारतीय 🇮🇳 होने पर गर्व ..! Big fan of @narendramodi, @myogiadityanath &amp;#Akshaykumar हिन्दू युवा वाहिनी 🚩 जय श्री राम 🚩</t>
  </si>
  <si>
    <t>Pratyush</t>
  </si>
  <si>
    <t>Alfons López Tena</t>
  </si>
  <si>
    <t>RT @alfonslopeztena: Shinzo Abe secures strong mandate in Japan's general election, in course to win 2/3 supermajority in the lower house h…</t>
  </si>
  <si>
    <t>Catalonia</t>
  </si>
  <si>
    <t>Jurist. Spanish Judiciary Council's &amp; Catalan Parliament's former member. Writes in @businessinsider—@InPRA—@ctxt_es—@myfairobserver—@Jerusalem_Post—@htTweets.</t>
  </si>
  <si>
    <t>rashid al dosari</t>
  </si>
  <si>
    <t>I listen to and respect others views and I expect them to do the same, I like political analysis-constructive criticism required</t>
  </si>
  <si>
    <t>PeterS</t>
  </si>
  <si>
    <t>Asia Markets: Japan’s Nikkei rises for a 15th straight session after Abe’s election win https://t.co/br950r7tHt</t>
  </si>
  <si>
    <t>TwitPanePlus for Android</t>
  </si>
  <si>
    <t>Verbum Dei/ Amor Omnia Vincit / The Truth Is Out There / AFC Ajax Amsterdam XXX / Married to Jenny / VERITAS HBS</t>
  </si>
  <si>
    <t>Clay Engberg</t>
  </si>
  <si>
    <t>RT @GreenAwakening: #Japan—#Typhoon #Lan sweeps #Tokyo—#wind gusts 198 km/hr (123 mph)—during nat’l election—deaths #PowerLoss danger https…</t>
  </si>
  <si>
    <t>Sundsvall</t>
  </si>
  <si>
    <t>A Bushman with focus on Environment and Nature. Also a Ecosoph ! #environment #nature #ecology #climatechange #ecosophy #leadership #troubleshooting #ISTP #Jedi</t>
  </si>
  <si>
    <t>RajNOT Singh</t>
  </si>
  <si>
    <t>Doormat of Jamia</t>
  </si>
  <si>
    <t>Father of The Kadi Ninda</t>
  </si>
  <si>
    <t>Marc-Andre Fongern</t>
  </si>
  <si>
    <t>Frankfurt &amp; Milan</t>
  </si>
  <si>
    <t>@ChathamHouse Associate. Economic Adviser. Tweeting about Financial Markets &amp; Politics. Views are my own.</t>
  </si>
  <si>
    <t>Meena 🤓Modifor2019❤</t>
  </si>
  <si>
    <t xml:space="preserve">Guwahati India </t>
  </si>
  <si>
    <t>I am Indian and love India</t>
  </si>
  <si>
    <t>Yogi Sourya</t>
  </si>
  <si>
    <t>Rajbiraj, Nepal</t>
  </si>
  <si>
    <t>Humanist. Data Analyst. Maithili. Hindu. |Dharma - above all| || जननी जन्मभूमिश्च स्वर्गादपि गरीयसी ||</t>
  </si>
  <si>
    <t>Almond</t>
  </si>
  <si>
    <t>RT @AJWasahi: Typhoon delays vote counting as ballot boxes stuck on islands #Japan #election https://t.co/ESjUEYVIOe</t>
  </si>
  <si>
    <t>ツイタマ for Android</t>
  </si>
  <si>
    <t>Anil Paul</t>
  </si>
  <si>
    <t>Jaipur, Rajasthan</t>
  </si>
  <si>
    <t>Entrepreneur</t>
  </si>
  <si>
    <t>asuka</t>
  </si>
  <si>
    <t>Staying on the reflationary policy mix-Shinzo Abe wins the election thanks to Yuriko Koike https://t.co/CtnhNQzq6Z… https://t.co/zawMjeuS8U</t>
  </si>
  <si>
    <t>No Nukes. 沖縄の辺野古基地埋め立て工事反対 National University of Singapore NUS Admissions Video (International) 🇸🇬🏝️💖😃🌞https://t.co/OHX8xfWzNM #autofollow</t>
  </si>
  <si>
    <t>醤油猫 (´･ω･`)ｽｰ</t>
  </si>
  <si>
    <t>修羅の国は自衛隊基地近く住み。ヅラFBI</t>
  </si>
  <si>
    <t>属性は在家仏教徒のボンクラマカー。RT多めw(´･ω･`) ＆ややアスペ、ミリオタ傾向なのでご注意。※野郎ではありません。 エロ絵はブロック御免ね。</t>
  </si>
  <si>
    <t>Arpit Gokhroo</t>
  </si>
  <si>
    <t>Thinks a lot</t>
  </si>
  <si>
    <t>gerituboisdead</t>
  </si>
  <si>
    <t>日本人。</t>
  </si>
  <si>
    <t>Saurabh Kushwaha🇮🇳</t>
  </si>
  <si>
    <t>Bareilly,India</t>
  </si>
  <si>
    <t>Mechanical Engineer 😎 ....I am Indian 🇮🇳 first then a Hindu &amp; Holy book 'Constitution of India' first then Geeta, Ramayana, Veda etc.</t>
  </si>
  <si>
    <t>himawari206</t>
  </si>
  <si>
    <t>Ajay Pillay</t>
  </si>
  <si>
    <t>Harshvardhan Trivedi</t>
  </si>
  <si>
    <t>ahmedabad, India</t>
  </si>
  <si>
    <t>Harshvardhan R. Trivedi. Education:- B.Pharm. Occupation:-Business. From:- Kadi ,District:-Mehasana(382715).lives in:- ahmedabad cell no:-9825292463.</t>
  </si>
  <si>
    <t>Candi</t>
  </si>
  <si>
    <t>QT &gt;&amp;gt; Japan’s election results show women making little progress despite Abe’s landslide victory… https://t.co/VZQRPN4BKA</t>
  </si>
  <si>
    <t>Los que mueren son los que se comportan siempre:de lo misma forma pensando que no se puede hacer nada diferente</t>
  </si>
  <si>
    <t>Petrov Dempski</t>
  </si>
  <si>
    <t>What now for Japan after Abe's landslide election victory? https://t.co/ywYCfqIRd1</t>
  </si>
  <si>
    <t>Born in Australia living in the States. Part of 'Her Majesty's' Disloyal Opposition. American Democrat.</t>
  </si>
  <si>
    <t>Lakhwinder Pawar</t>
  </si>
  <si>
    <t>Indiana,</t>
  </si>
  <si>
    <t>Fan diljit dosanjh</t>
  </si>
  <si>
    <t>Suniel Kummar</t>
  </si>
  <si>
    <t>Loves Photography Travelling Entrepreneur Working on a #Startup Believes in Swachh Bharat Animal Lover Mumbaikar by birth Hyderabadi by choice &amp; an Indian DilSe</t>
  </si>
  <si>
    <t>sharavan shandilya</t>
  </si>
  <si>
    <t>गया, भारत</t>
  </si>
  <si>
    <t>Nationalist</t>
  </si>
  <si>
    <t>KOREA BONANZA</t>
  </si>
  <si>
    <t>Republic of Korea</t>
  </si>
  <si>
    <t>newsvideos</t>
  </si>
  <si>
    <t>Japan's Abe Wins Election, To Push Paficism Revision https://t.co/GbGFGPBnWb https://t.co/PH8yEUrEOR</t>
  </si>
  <si>
    <t>news_vids_com</t>
  </si>
  <si>
    <t>🌠💲anjeev ❗🌴</t>
  </si>
  <si>
    <t>Traveler, Foodie, Political thinker. Fan of 'Honest' people like Arvind Kejriwal, Ashok Khemka &amp; few others. Also love to watch growth of OLA, OYO, FLIPKART</t>
  </si>
  <si>
    <t>WillowGhost</t>
  </si>
  <si>
    <t>I'm a writer, writing dusty old tomes about life, the universe and everything. And yes...the meaning of life really is 42. Trust me. Fatal words, I know.</t>
  </si>
  <si>
    <t>V. SUBRAMANI Aiyar</t>
  </si>
  <si>
    <t>A legal person</t>
  </si>
  <si>
    <t>どかり＠昭ちゃんと天安門事件を忘れない</t>
  </si>
  <si>
    <t>日本人として生まれて良かった。日本の歴史と文化を大事にして日本人らしさを取り戻したい。拉致被害者を日本に取り戻したいです。激しい言葉や、不本意な会話に巻き込まれると、ブロックさせていただくことがあります。申し訳ありません。</t>
  </si>
  <si>
    <t>Vaal Paiyan</t>
  </si>
  <si>
    <t>In God we trust, all others bring data -- W. E. Deming. ❤ Team India, Patriots, Red Sox , Bruins, Celtics &amp; LFC. Expert in typos. RTs != endorsement</t>
  </si>
  <si>
    <t>swaraj master</t>
  </si>
  <si>
    <t>Waganjp くコ:彡</t>
  </si>
  <si>
    <t>元アステルPHS廃人。</t>
  </si>
  <si>
    <t>Random Guy</t>
  </si>
  <si>
    <t>kuch Jasbat abi ankahe hai, Kuch sapne abi adhure hai... #Padahi bauji ki icha se aur Naukri do waqt ki roti k liye#</t>
  </si>
  <si>
    <t>Raviprakash singh</t>
  </si>
  <si>
    <t>New delhi</t>
  </si>
  <si>
    <t>I am perfect .......any hard work........do or die................ my name..BJP YUWA NETA RAVI RAJPUT</t>
  </si>
  <si>
    <t>Devendra Srivastava</t>
  </si>
  <si>
    <t>Lives in  Delhi from Allahabad</t>
  </si>
  <si>
    <t>HT Media Editorial team</t>
  </si>
  <si>
    <t>Sassy Indian Girl</t>
  </si>
  <si>
    <t>शास्त्र शस्त्र</t>
  </si>
  <si>
    <t xml:space="preserve">किंकर्तव्यमूढ प्रारब्ध </t>
  </si>
  <si>
    <t>जहाँ शास्त्र काम ना करे वहाँ शस्त्र का प्रयोग अनिवार्य है || Where knowledge &amp; discussions don't bring peace use of force isn't optional anymore!!</t>
  </si>
  <si>
    <t>Nicole</t>
  </si>
  <si>
    <t>Japan's Abe to push pacifist constitution reform after strong election win https://t.co/QkyoDLtTMv https://t.co/qQAiN4aKZu</t>
  </si>
  <si>
    <t>Nothing can ever change my feelings for you.</t>
  </si>
  <si>
    <t>Raju RAJPUROHIT</t>
  </si>
  <si>
    <t>#Nation first🇮🇳🇮🇳, nothing big den my nation, fearless and courageous,independent thinker, believes in change, #questioning always without fear,.</t>
  </si>
  <si>
    <t>Sanjay M. Kesharvani</t>
  </si>
  <si>
    <t>Bhiwandi, India</t>
  </si>
  <si>
    <t>I like my family</t>
  </si>
  <si>
    <t>@zeerajasthan_ @VasundharaBJP #Democracy&amp;itsDeceptions https://t.co/n66PKPJ6cL https://t.co/gMLcoyHZRl… https://t.co/cvo7miXuNS</t>
  </si>
  <si>
    <t>Pankaj Pokhriyal</t>
  </si>
  <si>
    <t>Hardcore Nationalist, Sarcastic Expendable</t>
  </si>
  <si>
    <t>KITV4</t>
  </si>
  <si>
    <t>Japanese Prime Minister Abe wins big in national elections Associated Press - 22 October 2017... https://t.co/Xc1ZHJCh5R</t>
  </si>
  <si>
    <t>Honolulu, Hawaii</t>
  </si>
  <si>
    <t>This is the official Twitter account for KITV4 News. E Komo Mai!</t>
  </si>
  <si>
    <t>Amit Kumar Singh</t>
  </si>
  <si>
    <t>Japan's Abe vows to put education spending before budget balance https://t.co/UZLEGUIcv6 https://t.co/SwIAWPLCSd</t>
  </si>
  <si>
    <t>Chubby cheeks</t>
  </si>
  <si>
    <t>Étudiante en double licence droit-géo à @SorbonneParis1</t>
  </si>
  <si>
    <t>RT @Reuters: Japan's Abe vows to put education spending before budget balance https://t.co/UZLEGUIcv6 https://t.co/SwIAWPLCSd</t>
  </si>
  <si>
    <t>james brege</t>
  </si>
  <si>
    <t>Third Rock from Sol</t>
  </si>
  <si>
    <t>Music is Art is Music. Making the world a better place one song at a time. Radio Wizard. Douchewaffle Slayer. Person of Interest. Musical Therapist. Old Soul.</t>
  </si>
  <si>
    <t>RT Reuters "Japan's Abe vows to put education spending before budget balance https://t.co/UXlEZceyip https://t.co/OBDBLCxkv7"</t>
  </si>
  <si>
    <t>Reuters: Japan's Abe vows to put education spending before budget balance https://t.co/mmyvnG9nf2 … https://t.co/rOPZEFzUnX</t>
  </si>
  <si>
    <t>Yudi Bakshi</t>
  </si>
  <si>
    <t>a drop in the ocean of consciousness</t>
  </si>
  <si>
    <t>KS India</t>
  </si>
  <si>
    <t>Tamil Nadu, India</t>
  </si>
  <si>
    <t>Sanatani, Nationalist. RTs ~= endorsements</t>
  </si>
  <si>
    <t>Amanda P</t>
  </si>
  <si>
    <t>Joie de vivre!</t>
  </si>
  <si>
    <t>Caroline Hayes</t>
  </si>
  <si>
    <t>History</t>
  </si>
  <si>
    <t>Jim Bailey</t>
  </si>
  <si>
    <t>Fila Rapheigh</t>
  </si>
  <si>
    <t>Malacca, Malaysia</t>
  </si>
  <si>
    <t>#Saggitarius #TravelAddict #HistoryJunkie #NotRichButHappy #Alhamdulillah #Hādha min faḍl rabbī (هَـٰذَا مِن فَضْلِ رَبِّي) This, by the Grace of my Lord</t>
  </si>
  <si>
    <t>Nasir Shah</t>
  </si>
  <si>
    <t>Perth, Western Australia</t>
  </si>
  <si>
    <t>I stand for Humanity, Social &amp; Economic Progress, Female Emancipation, Pashtuns, Subcontinent and Australia. Retweets are for sharing not endorsements.</t>
  </si>
  <si>
    <t>Enkhbat Dangaasuren</t>
  </si>
  <si>
    <t>Ulaanbaatar</t>
  </si>
  <si>
    <t>System Engineer PhD, #Mongolian #Internet Pioneer, Promoter of #OpenKnowledge and #OpenEducation --- RTs not endorsements.</t>
  </si>
  <si>
    <t>संदीप गुप्ता (sandy)</t>
  </si>
  <si>
    <t>मुझे परवाह नही की जिंदगी में कितने पल हो.. बस जितने पल हो... तुम्हारे याद में हो...!!</t>
  </si>
  <si>
    <t>masako fukui</t>
  </si>
  <si>
    <t>Japan's Shinzo Abe scores major victory in national elections https://t.co/FWt8MiIT2J via @ABCNews</t>
  </si>
  <si>
    <t>freelance writer/producer in sydney, australia</t>
  </si>
  <si>
    <t>Benjamin Boren</t>
  </si>
  <si>
    <t>Mississippi</t>
  </si>
  <si>
    <t>Searching for the sun above me, the sand below me, the waves in front of me and the family beside me.</t>
  </si>
  <si>
    <t>Sim</t>
  </si>
  <si>
    <t>Cyprus🇨🇾</t>
  </si>
  <si>
    <t>⛳ ✈ &amp; angular diameters in #finance, #banking, #economics, #entrepreneurship, trying 2avoid #politics. Among others: #Professor ROILITRS ethnicity</t>
  </si>
  <si>
    <t>The DREAMER</t>
  </si>
  <si>
    <t>The most insightful and entertaining political, pop culture and boxing analysis on the web! Go to https://t.co/Ki8vfkk6p9 to get boxing analysis!</t>
  </si>
  <si>
    <t>Reuters: Japan's Abe vows to put education spending before budget balance https://t.co/SsCOXrTdzq … https://t.co/paweuo5ZL5</t>
  </si>
  <si>
    <t>inner scorecard</t>
  </si>
  <si>
    <t>A bibliophile and an autodidact. Interest in history, Economics, Business, Investing, Psychology, Science, Society, Food and Philosophy. Love balance sheets.</t>
  </si>
  <si>
    <t>Jeffrey B. Meyers</t>
  </si>
  <si>
    <t>Door open 4 revision of postwar Japanese constitution...prime minister coasts to election win via @POLITICO for iOS… https://t.co/VAx7YVI9zK</t>
  </si>
  <si>
    <t>Father, husband, itinerant law prof and citizen. Diet: turmeric and kale. Predictably, I have a man bun. #TRUlaw @mornings983</t>
  </si>
  <si>
    <t>Grtx</t>
  </si>
  <si>
    <t>Read Japan PM's ruling bloc scores big election win on GRTX - https://t.co/NPJrRuLn5V https://t.co/htYFCYTgH2</t>
  </si>
  <si>
    <t>GRTX</t>
  </si>
  <si>
    <t>Amsterdam, The Netherlands</t>
  </si>
  <si>
    <t>Shares News : See @youtubefeednl @itfeednl too. Follow and we follow back. Visit our site at https://t.co/GanNTc5uq1</t>
  </si>
  <si>
    <t>Дарьганга Ангараг</t>
  </si>
  <si>
    <t>Энэ гарагийн хүн биш 👽</t>
  </si>
  <si>
    <t>つまみな（つまみ記者丹羽）</t>
  </si>
  <si>
    <t>Yaizu,Shizuoka,Japan</t>
  </si>
  <si>
    <t>つまみ記者が半径５mの世界の情報をつまんでまとめてお届けします。焼津市拠点。でも自称 大阪みなと観光協会。焼津生活を綴るタグ #ヤイヅグラシ を使わまいか</t>
  </si>
  <si>
    <t>Japan's Abe vows to put education spending before budget balance https://t.co/T7geVZa9aa https://t.co/YDdvVUkQRi</t>
  </si>
  <si>
    <t>arun  bhandarkar</t>
  </si>
  <si>
    <t>After election win, Shinzo Abe says his priorities are North Korea and ageing Japan https://t.co/fqmv4SAnWF via @wionews</t>
  </si>
  <si>
    <t>Japan's Abe vows to put education spending before budget balance https://t.co/Yo6wDYXDjW https://t.co/QnVwKDFpRv Reuters</t>
  </si>
  <si>
    <t>Shivaji Sengupta</t>
  </si>
  <si>
    <t>Reuters: Japan's Abe vows to put education spending before budget balance https://t.co/gNZRPYYevY https://t.co/rzi4sAMHow</t>
  </si>
  <si>
    <t>Japan's Abe vows to put education spending before budget balance https://t.co/mEkoIKkQZU https://t.co/OE5rjv6CTB Reuters</t>
  </si>
  <si>
    <t>sasada</t>
  </si>
  <si>
    <t>本、政治、経済、スポーツ、お笑いに興味を持っています。最近はほぼ政治に対するストレス発散に使っています。リツイートとはメモ代わりに使用している場合も多いです。</t>
  </si>
  <si>
    <t>こーた。</t>
  </si>
  <si>
    <t>古都</t>
  </si>
  <si>
    <t>NY2-1 𓅿 #たまごちゃんの歌を聴いておくれ</t>
  </si>
  <si>
    <t>Andrew I.Kazibwe</t>
  </si>
  <si>
    <t>Kigali,Rwanda</t>
  </si>
  <si>
    <t>I marvel at the untapped beauty the Arts hold,most not knowing to venture...A learner, Arts Journalist, influencer, Blogger,Critic&amp; advocate.🤨</t>
  </si>
  <si>
    <t>Rahul Sahu</t>
  </si>
  <si>
    <t>West Karbi Anglong, Assam.</t>
  </si>
  <si>
    <t>General Secretary at Hojai District NSUI, Social Media Coordinator of Assam State NSUI, National Students' Union of India l Interested in Literature |</t>
  </si>
  <si>
    <t>L.Dorjnamjim</t>
  </si>
  <si>
    <t>The Japan News</t>
  </si>
  <si>
    <t>#Abe begins work on 4th Cabinet https://t.co/kPpswCtJN1 #election</t>
  </si>
  <si>
    <t>News from The Japan News, the English-language sister publication of Japan's largest daily newspaper, The Yomiuri Shimbun. @JN_Japanese</t>
  </si>
  <si>
    <t>REUTERS reports Japan's Abe vows to put education spending before budget balance https://t.co/7poaGhhQHY https://t.co/xcVf3xaPLu</t>
  </si>
  <si>
    <t>あみば</t>
  </si>
  <si>
    <t>Japan votes for lower house; Abe's party seen headed for win https://t.co/icH6t2dILR</t>
  </si>
  <si>
    <t>จังหวัด โอซาก้า</t>
  </si>
  <si>
    <t>小学5-6年の担任が満州引揚げ者の共産党員（インターナショナルのプリントを配布）。大学在学中に学内運動家から「部落解放運動に参加しないのは悪」と言われ反発。行動する保守運動の主張を支持。売国マスコミが気持ち悪いので老後はBangkok移住。#大政奉還二 #รักในหลวง</t>
  </si>
  <si>
    <t>Reuters: Japan's Abe vows to put education spending before budget balance https://t.co/HwnVsYeEWg https://t.co/y3eGDtb3jV</t>
  </si>
  <si>
    <t>Japan's Abe vows to put education spending before budget balance https://t.co/VAhaRbXdAJ https://t.co/J6bmF61y13 #klout #maga</t>
  </si>
  <si>
    <t>Sureshkumar Choudhar</t>
  </si>
  <si>
    <t>A.latif Bseth</t>
  </si>
  <si>
    <t>Jennifer Grunig</t>
  </si>
  <si>
    <t>JOHN POCKERSTARS©</t>
  </si>
  <si>
    <t>(Aguilas, Murcia).</t>
  </si>
  <si>
    <t>No creo que haya otra cualidad tan esencial para perseverar de cualquier forma que confiar en uno. Ello supera a casi todo. (Jugador de Fútbol). (PockerStars®).</t>
  </si>
  <si>
    <t>humanrightsforall</t>
  </si>
  <si>
    <t>Scotland, United Kingdom</t>
  </si>
  <si>
    <t>PETER (DAPAC) V THE RED TAPE CHALLENGE Dodgy Dave 10 Billion Sting CRIMES ENDED TORYS / SNP /PLP</t>
  </si>
  <si>
    <t>ミズハラタケヒコ</t>
  </si>
  <si>
    <t>Aristea</t>
  </si>
  <si>
    <t>スマートフォンの上。</t>
  </si>
  <si>
    <t>旅行写真とゲーム。お気に入り写真シリーズ。 https://t.co/NS3ihd7xRo</t>
  </si>
  <si>
    <t>Agent007</t>
  </si>
  <si>
    <t>North Korea blasting Japan for using election is a sign they are afraid of invasion from Japan w/ Art. 9 of Pacifis… https://t.co/RDfyf34X0W</t>
  </si>
  <si>
    <t>日本国民として誇りを持ち、皇室を敬愛し、日本の歴史、伝統、文化を守りたい。安倍総理を支持、憲法改正を実現するため仲間を増やしたい。 I am what I think I am. Optimism is a choice I find most rewarding in my life.</t>
  </si>
  <si>
    <t>New Delhi Times</t>
  </si>
  <si>
    <t>After election win, Abe prioritizes North Korea, aging Japan https://t.co/lyJN791kmQ https://t.co/Pk4d3fS0F0</t>
  </si>
  <si>
    <t>New Delhi Times, India's only newspaper providing Editorial based reporting since 1982 from New Delhi. #newdelhitimes #newsdelhi @NewDelhiTimesIN</t>
  </si>
  <si>
    <t>Tory Generation 🇬🇧</t>
  </si>
  <si>
    <t>| Young @Conservatives 🙋🏼| 52% | insta @Tory_Generation | #BloodyDifficultWoman | #ImWithMay | #ff @AineMichelleL 💁🏻 |</t>
  </si>
  <si>
    <t>N.R. DUDI</t>
  </si>
  <si>
    <t>RAJASTHAN</t>
  </si>
  <si>
    <t>FINE</t>
  </si>
  <si>
    <t>REUTERS: Japan's Abe vows to put education spending before budget balance https://t.co/9Zl76rhvYF https://t.co/NNiOW3oiOZ</t>
  </si>
  <si>
    <t>David Papp</t>
  </si>
  <si>
    <t>Japan's Shinzo Abe Conjures Stunning Election Victory in a Boost for Donald Trump https://t.co/sjPd30ut6B</t>
  </si>
  <si>
    <t>Edmonton</t>
  </si>
  <si>
    <t>Blogger, Author, Speaker, Trainer, Consultant, Professional Engineer, and Entrepreneur. I share links on technology and social media.</t>
  </si>
  <si>
    <t>Suraj Arya</t>
  </si>
  <si>
    <t>Reuters: Japan's Abe vows to put education spending before budget balance https://t.co/ae5FUNvWie https://t.co/HGN7vxlBqH</t>
  </si>
  <si>
    <t>Marta Ames</t>
  </si>
  <si>
    <t>Resist nationalism, racism &amp; sexism. Expand Social Security. Sustain independent media. Adopt a pet. Read Proust &amp; Marx when you get the chance.</t>
  </si>
  <si>
    <t>Daichi Suzuki</t>
  </si>
  <si>
    <t>RT @asuka_250: Staying on the reflationary policy mix-Shinzo Abe wins the election thanks to Yuriko Koike https://t.co/CtnhNQzq6Z #Japan h…</t>
  </si>
  <si>
    <t>元証券マン、現在MR。twitterは忘備録も兼ねて。興味は金融、医療、政治、社会問題や農業。趣味は投資（株とETFと投信と仮想通貨メイン）や映画鑑賞とネットサーフィンや散歩など。音楽はつばき、ゲームはモンストとアナザーエデンが好き！また政治経済の情報ジャンキーかも笑。理不尽なことが嫌いです。一人ひとりが笑顔な社会に！</t>
  </si>
  <si>
    <t>サンシャイン</t>
  </si>
  <si>
    <t>Swedish/Indonesian interested in Japan, videogames, anime, electronic dance music (production), sports, gymming, business and technology.</t>
  </si>
  <si>
    <t>Josh Rose</t>
  </si>
  <si>
    <t>Owner/Operator of J.R. Farms, Accountant</t>
  </si>
  <si>
    <t>aloha ⛓️ mode📎</t>
  </si>
  <si>
    <t>海ってどこよ？</t>
  </si>
  <si>
    <t>海の向こう。 #海外ドラマ #憧れの米国生活#今日習った英語 #これから海外に来る人へ #これから海外に来る人に #今日のレディット （←海外サイトの面白抜粋） #フー図 #ネガティブ落書き変身技 「アメリカでは」＝文字数の関係上「私が住んでる所に限った個人的な体験に基づく情報」という意味で使用 21↑</t>
  </si>
  <si>
    <t>Tanuj Tj</t>
  </si>
  <si>
    <t>Social media anlayst Gonews24x7 | YouTuber | Social Worker | Entrepreneur | Traveller | Freelancer</t>
  </si>
  <si>
    <t>たはらありみ</t>
  </si>
  <si>
    <t>ひきこもり系の、のんびり主婦です。</t>
  </si>
  <si>
    <t>Joan O'Sullivan</t>
  </si>
  <si>
    <t>Len M Nichols</t>
  </si>
  <si>
    <t>Northern Virginia</t>
  </si>
  <si>
    <t>Health economist, reform is moral and economic imperative, realigning incentives for all is key to success; Love baseball Nats + Cardinals and football Saints</t>
  </si>
  <si>
    <t>PK Chin</t>
  </si>
  <si>
    <t>Japanese stocks rise as dollar climbs against the yen after Abe election win https://t.co/cxQ2pPHxGr</t>
  </si>
  <si>
    <t>Serial Entrepreneur. VC Love Start ups. Mainstream tv production &amp; producer. "Work faster, Play more". Self made. Follow Me if u likeThank U"</t>
  </si>
  <si>
    <t>Avinash</t>
  </si>
  <si>
    <t>Japan's Abe vows to put education spending before budget balance https://t.co/jjxvDz5T5U https://t.co/DAqz6RUVbJ (Reuters)</t>
  </si>
  <si>
    <t>Japan's Abe vows to put education spending before budget balance https://t.co/oQRZhQlbVS https://t.co/Sj8xTMs4LY</t>
  </si>
  <si>
    <t>NoOne</t>
  </si>
  <si>
    <t>Mumbai , Powai</t>
  </si>
  <si>
    <t>RTs are not the endorsement! Follow me on twitter and Facebook</t>
  </si>
  <si>
    <t>( ´∀`)無許可ヌルーポ</t>
  </si>
  <si>
    <t>兵庫県神戸市</t>
  </si>
  <si>
    <t>神戸に生息する目の光ったアルパカです。 好き勝手ツイート＆画像アップしています。 ヽ(´ー｀)ノﾏﾀｰﾘ行きましょう ※twiccaの仕様上RTのマークがつかないため同時にファボってます。</t>
  </si>
  <si>
    <t>Tev_IN</t>
  </si>
  <si>
    <t>K E</t>
  </si>
  <si>
    <t>I'm the warm blooded creature with Brown eyes your momma warned you about. MUFC ☆</t>
  </si>
  <si>
    <t>Reuters: Japan's Abe vows to put education spending before budget balance https://t.co/enG1YAvg94 https://t.co/IVY4pdR0h2</t>
  </si>
  <si>
    <t>Japan's Abe vows to put education spending before budget balance https://t.co/MSeEytIhjS https://t.co/1r7m3f8ubw</t>
  </si>
  <si>
    <t>rabia100</t>
  </si>
  <si>
    <t>Lucky</t>
  </si>
  <si>
    <t>Japan's Shinzo Abe Conjures Stunning Election Victory in a Boost for Donald Trump - https://t.co/zjbiFfjxLp by RO…… https://t.co/xPfna2nDfc</t>
  </si>
  <si>
    <t>Penis Enlargement Bible (original, PDF download) https://t.co/T9Evy2GlVD</t>
  </si>
  <si>
    <t>Watchlatestnews</t>
  </si>
  <si>
    <t>Japan's Abe Wins Election, To Push Paficism Revision https://t.co/PAqsgp5VXC https://t.co/8oJJ8V4Ta9</t>
  </si>
  <si>
    <t>Watchnews</t>
  </si>
  <si>
    <t>Manju K</t>
  </si>
  <si>
    <t>Business intelligence, researcher, analyst, consultant, cleanliness and civic sense fanatic, compulsive retweeter and Namo admirer</t>
  </si>
  <si>
    <t>Vivek Singh</t>
  </si>
  <si>
    <t>The best friend you can ask for... at least some say so ;-) instagram: singhvivek83</t>
  </si>
  <si>
    <t>सलिल गुप्ता</t>
  </si>
  <si>
    <t>I m What i m #Sanatani #NationFirst</t>
  </si>
  <si>
    <t>Ken McCafferty</t>
  </si>
  <si>
    <t>Shrewsbury, MA  USA</t>
  </si>
  <si>
    <t>Hard News Admin - Systems Engineer</t>
  </si>
  <si>
    <t>Sanjul bhargava</t>
  </si>
  <si>
    <t>Kareli, India</t>
  </si>
  <si>
    <t>लायनेस अध्यक करेली, समाज सेवक</t>
  </si>
  <si>
    <t>#Japan election: Abe hails massive win, ... - #ClipTrends #VideoTrends #New #Election_Results #Euronews #Politics… https://t.co/oMcGyzrmor</t>
  </si>
  <si>
    <t>Rajvardhan</t>
  </si>
  <si>
    <t>RT: @reuters :Japan's Abe vows to put education spending before budget balance https://t.co/0lndjWTkhg https://t.co/igs0LkVNoj</t>
  </si>
  <si>
    <t>News In The World</t>
  </si>
  <si>
    <t>Shinzo Abe’s comfortable win in Japan's election lifts shares https://t.co/uAhhGtQJZi</t>
  </si>
  <si>
    <t>News around the world, what's happening at the world?</t>
  </si>
  <si>
    <t>AutomateRobot_nextbigstock</t>
  </si>
  <si>
    <t>安部 美紀</t>
  </si>
  <si>
    <t>Two dead as typhoon slams into Japan after election day https://t.co/F2hHHrfowu via Yahoo!</t>
  </si>
  <si>
    <t>Noé Smith</t>
  </si>
  <si>
    <t>Manchester, UK</t>
  </si>
  <si>
    <t>Instagram - noahjamessmith Snapchat - mahomiesmith Everton ⚽️</t>
  </si>
  <si>
    <t>Mac</t>
  </si>
  <si>
    <t>Mad as hell I missed the play on Japan's election 💤💤</t>
  </si>
  <si>
    <t>🦅RWB🇺🇸</t>
  </si>
  <si>
    <t>The Old Currency</t>
  </si>
  <si>
    <t>Research firm, providing opinion and insight on the stock market through buy/sell ratings.</t>
  </si>
  <si>
    <t>bhavesh  dave</t>
  </si>
  <si>
    <t>New Jersey ----- USA</t>
  </si>
  <si>
    <t>http://t.co/z6jZf67lN2</t>
  </si>
  <si>
    <t>Japan's Abe vows to put education spending before budget balance - Reuters https://t.co/8VyG04xfvI #news</t>
  </si>
  <si>
    <t>Reuters: Japan's Abe vows to put education spending before budget balance https://t.co/hwY4nOXzVA https://t.co/DwMYWRg6Yb</t>
  </si>
  <si>
    <t>Puneet Joshi 🇮🇳</t>
  </si>
  <si>
    <t>A INDIAN A TRUE INDIAN.. Hindu Activists, Follower of Hinduism, Support Digital India, Bharat Mata ki Jai, Vande Matraam (Views Strictly Personal)</t>
  </si>
  <si>
    <t>Dimitri François</t>
  </si>
  <si>
    <t>"Japan’s Shinzo Abe Conjures Stunning Election Victory in a Boost for Donald Trump" https://t.co/THh1mTZvyZ #presse_etrangère #feedly</t>
  </si>
  <si>
    <t>Avranches, Normandie, France</t>
  </si>
  <si>
    <t>Sommelier-Conseil, Juré Professionnel de Validation de TP en Commerce, Vente et Distribution - EcoSocialiste - Pro-Féministe - Protestant Libéral</t>
  </si>
  <si>
    <t>no_emission</t>
  </si>
  <si>
    <t>Xochitl I. Hernández</t>
  </si>
  <si>
    <t>San Salvador</t>
  </si>
  <si>
    <t>Economista y enamorada de las Ciencias Sociales.</t>
  </si>
  <si>
    <t>SLThompson</t>
  </si>
  <si>
    <t>Interior designer, cat lover, dog lover, book lover, flower lover, homebody, positive thinker (mostly...)</t>
  </si>
  <si>
    <t>HEDGEaccordingly📈</t>
  </si>
  <si>
    <t>#Japan votes in early election as Abe seeks a record 4th term https://t.co/1CSHTYRtaC #euronews</t>
  </si>
  <si>
    <t>Tweet Old Post</t>
  </si>
  <si>
    <t>#Hedge Accordingly Curates Business, #Wallst &amp; Political news.</t>
  </si>
  <si>
    <t>Ma'Kunta</t>
  </si>
  <si>
    <t>Places</t>
  </si>
  <si>
    <t>Very Simple.</t>
  </si>
  <si>
    <t>Japan's Abe vows to put education spending before budget balance https://t.co/XI8nluhkSn https://t.co/6E8j9EEu32</t>
  </si>
  <si>
    <t>https://t.co/yMxebxAV5s Japan PM's ruling bloc scores big election win https://t.co/U6MiCMIxFO</t>
  </si>
  <si>
    <t>Anuroop</t>
  </si>
  <si>
    <t>HELL WAS FULL SO I CAME BACK!!</t>
  </si>
  <si>
    <t>Om Ratna</t>
  </si>
  <si>
    <t>Supaul, India</t>
  </si>
  <si>
    <t>सवा सौ करोड़ देशवासियों में से एक श्री नरेंद्र मोदी जी का फैन</t>
  </si>
  <si>
    <t>Claudia Salvà Arag�</t>
  </si>
  <si>
    <t>Japan election: Abe hails massive win, but what now for the country's pacifist constitution? https://t.co/Emx0grEpqv https://t.co/1aYGa83Dh2</t>
  </si>
  <si>
    <t>Como diría mi abuela, 40 primaveras y de muy buen ver. Muy friki, por deseo propio. ¿O sí?.</t>
  </si>
  <si>
    <t>KELLIE ROSE WICK 🐦</t>
  </si>
  <si>
    <t>Texas  🇨🇱  🇺🇸  🇫🇮  🇩🇪</t>
  </si>
  <si>
    <t>The Academy Expo: Science Oriented info from the best sources found on Twitter. 🗽 Independent Thinkers- Current Events - Writers, TY! RTS/NOT Endorsements.</t>
  </si>
  <si>
    <t>bill dick</t>
  </si>
  <si>
    <t>please remember I might not agree with items I retweet</t>
  </si>
  <si>
    <t>B.K.Raina</t>
  </si>
  <si>
    <t>Kashmiri Hindu Nationalist.Refugee in my own Country.</t>
  </si>
  <si>
    <t>Tsumickey-ling</t>
  </si>
  <si>
    <t>Tokyo Japan</t>
  </si>
  <si>
    <t>いきものがかり,ゴジラ,ドラえもん,吉岡聖恵,石田ゆり子,近江友里恵,Chloë Grace Moretz,Eugenie Bouchard,乃木坂46が好き。Waseda Jitsugyo high school baseball2006champ→Waseda Uni、Curlingを愛する某総合商社勤務、一口馬主</t>
  </si>
  <si>
    <t>Steven</t>
  </si>
  <si>
    <t>Publico Japon</t>
  </si>
  <si>
    <t>政治/世界/経済/女性と社会/日本/自然環境/文化/Política/mundo/economía/mujer y sociedad/Japan/medio ambiente/cultura. 作成した政治系アンケートは、 #パボジャポ世論調査 で検索して下さい。michikohirota@outlook.com</t>
  </si>
  <si>
    <t>Barbecue Chicken</t>
  </si>
  <si>
    <t>Reuters: Japan's Abe vows to put education spending before budget balance https://t.co/O77P4JjRK3 https://t.co/6u1yTJuBvr</t>
  </si>
  <si>
    <t>Santasree Chaudhuri</t>
  </si>
  <si>
    <t>Kolkata,India</t>
  </si>
  <si>
    <t>Social entrepreneur,Women's rights Activist.Advocate of peace,non violence &amp;equality.Keen interest in spiritual studies.Avid traveller,poet &amp;healer</t>
  </si>
  <si>
    <t>おーまさ</t>
  </si>
  <si>
    <t>岡山県倉敷</t>
  </si>
  <si>
    <t>フリーシステムエンジニア （元酒屋） を営んでいます。 保守系政治ネタが多いため取り扱い注意。穏健派のつもりですが・・ エンジニアらしい事もたまに発信します。 オヤジギャクは優しくスルー希望。 心肺停止から再度生還しました。(-.-;) デスクワークなら可能な新米障害者ですw</t>
  </si>
  <si>
    <t>Nitish kumar singh</t>
  </si>
  <si>
    <t>मेरी पढाई</t>
  </si>
  <si>
    <t>William Ruiz🇵🇷🇺🇸</t>
  </si>
  <si>
    <t>Earth 1.0</t>
  </si>
  <si>
    <t>I'm the NASAnerd learn something new everyday to which education has 0 borders #IMPEACHtrump #Astronomer RAVER FUTURE AEROSPACE EnGner enginer(I fix stuff) USAF</t>
  </si>
  <si>
    <t>#Abe begins work on 4th Cabinet https://t.co/jtQhBObgIg #election</t>
  </si>
  <si>
    <t>manu</t>
  </si>
  <si>
    <t>momozo🍀</t>
  </si>
  <si>
    <t>嵐さんが好きです。大野智くんの人柄、歌、ダンスがだいすき。平和で優しい5人がだいすき。 本当は智くんや嵐さん関連のツイートだけしておきたいのだけど、これからの未来が不安で政治の話が増えている今日この頃・・・。</t>
  </si>
  <si>
    <t>Japan's Abe to push pacifist constitution reform after strong election win https://t.co/T9T2liMbZO https://t.co/x4rWWbhlnf</t>
  </si>
  <si>
    <t>राजीव सक्सेना</t>
  </si>
  <si>
    <t>हरिद्वार, भारत</t>
  </si>
  <si>
    <t>जय सत्य सनातन धर्म , आध्यात्मिक भारत</t>
  </si>
  <si>
    <t>pAng</t>
  </si>
  <si>
    <t>☕️</t>
  </si>
  <si>
    <t>I will squeeze his cheek if he put on or take off with a tactical squishy Batfleck cowl.</t>
  </si>
  <si>
    <t>arpit patel</t>
  </si>
  <si>
    <t>ahmedabad,gujrat,india</t>
  </si>
  <si>
    <t>Good report on Japan’s Lower House election from the Asahi https://t.co/WCKxuKvPlV</t>
  </si>
  <si>
    <t>Theertha</t>
  </si>
  <si>
    <t>ANIL KUMAR SINHA</t>
  </si>
  <si>
    <t>Richowusoya</t>
  </si>
  <si>
    <t>Graphic News</t>
  </si>
  <si>
    <t>Shinzo Abe secures large majority in Japan election: October 23, 2017 -- Prime Minister Shinzo Abe has…… https://t.co/WBzUeVKCnA</t>
  </si>
  <si>
    <t>Top news stories told visually: Who • What • When • Where • Why</t>
  </si>
  <si>
    <t>Abhishek</t>
  </si>
  <si>
    <t>Victoria. Coo,</t>
  </si>
  <si>
    <t>MOTHER GRANDMOTHER DOG LOVER, ARTIST_HAPPY BEING JEWISH AND FRUM_WORKING TOWARDS A BETTER PLACE_</t>
  </si>
  <si>
    <t>kwame70</t>
  </si>
  <si>
    <t>Re-Elected Japanese PM Plans Big Change to Military https://t.co/6we0WnEUgX</t>
  </si>
  <si>
    <t>Canada Ghana</t>
  </si>
  <si>
    <t>Social Media / Aviation/Tech/Travel/Politics/Food Geek-Nerd</t>
  </si>
  <si>
    <t>David Musumba</t>
  </si>
  <si>
    <t>Busia, Kenya</t>
  </si>
  <si>
    <t>Manouvability. thespian. art lover</t>
  </si>
  <si>
    <t>Upendra Mishra</t>
  </si>
  <si>
    <t>FT</t>
  </si>
  <si>
    <t>Dr Asif Shahid</t>
  </si>
  <si>
    <t>RT @DrAsifShahid: #TyphoonLan leaves two dead after lashing #Japan on election day #JapanElection https://t.co/8vrLgZhJ3W</t>
  </si>
  <si>
    <t>Lahore Pakistan</t>
  </si>
  <si>
    <t>Journalist, Writer, Blogger, working with 92 news HD as Content Head. worked with other media groups in last 20 years.</t>
  </si>
  <si>
    <t>Retweeted Dr Asif Shahid (@DrAsifShahid): #TyphoonLan leaves two dead after lashing #Japan on election day... https://t.co/IUFdvLScXw</t>
  </si>
  <si>
    <t>Crystal Glenn</t>
  </si>
  <si>
    <t>RT @DavidPapp: Japan's Shinzo Abe Conjures Stunning Election Victory in a Boost for Donald Trump https://t.co/sjPd30ut6B</t>
  </si>
  <si>
    <t xml:space="preserve">Oklahoma </t>
  </si>
  <si>
    <t>🇨🇦 EIG 🇨🇦</t>
  </si>
  <si>
    <t>⚡️ “Japan leader's big election gamble pays off” by @business https://t.co/WbfjzoFX5y</t>
  </si>
  <si>
    <t>Brantford, Ontario, CANADA</t>
  </si>
  <si>
    <t>ELLIS INVESTIGATION GROUP Licensed Private Investigative Services for Public, Legal &amp; Corporate clients. Member: CPIO, CAPI</t>
  </si>
  <si>
    <t>#IStandWithTrump👠</t>
  </si>
  <si>
    <t>After election win, Abe prioritizes North Korea, aging Japan https://t.co/du9bkUWs6h</t>
  </si>
  <si>
    <t>Hard to categorize but I'll try. Forgiven sinner, ninja fact finder, support constitution, trigger libs, mom to Jingles. RT doesn't=support. No lists! #MAGA</t>
  </si>
  <si>
    <t>eTurboNews (eTN)</t>
  </si>
  <si>
    <t>Typhoon leaves five dead after lashing Japan on election day https://t.co/jG27eZO9bM https://t.co/2SfpMx7glE</t>
  </si>
  <si>
    <t>global in 226 countries</t>
  </si>
  <si>
    <t>Global Travel and Tourism news and updates, trends. Global voice for travelers and tourism professionals. (https://t.co/YZkoxM9xIx)</t>
  </si>
  <si>
    <t>Nirmal Kumar Raut</t>
  </si>
  <si>
    <t>Shinzo Abe likely to continue as PM for the next term. https://t.co/P52ds2Uao3</t>
  </si>
  <si>
    <t>PhD in Economics. Assistant Professor at #TribhuvanUniversity. #Nepali soul.</t>
  </si>
  <si>
    <t>Rxsuleman</t>
  </si>
  <si>
    <t>PhD Research Scholar of Great India , Political , (M.Pharm), Former General Sec ARCP -ANAND,ASST-SEC (ALL INDIA PHARMA CLINICS ASSOCIATION)</t>
  </si>
  <si>
    <t>chelchabilogujarati</t>
  </si>
  <si>
    <t>Darshan Undirwadkar</t>
  </si>
  <si>
    <t>On a journey in search myself. Want to join me !?</t>
  </si>
  <si>
    <t>Lands Fanmol 🌐</t>
  </si>
  <si>
    <t>ABE WINS THE JAPAN GENERAL ELECTION.</t>
  </si>
  <si>
    <t>News, Hispanic, Aficionado, Meme, 卐 ☭, Filipino Person, English, Future Politician,☺♥ , TRUMP</t>
  </si>
  <si>
    <t>Jon</t>
  </si>
  <si>
    <t>Euskal Herria</t>
  </si>
  <si>
    <t>Jurista (UPV-EHU). Opositando. Juez de Paz. Eurípides decía que los hombres más sabios siguen su propio rumbo; yo lo intento. #T</t>
  </si>
  <si>
    <t>渡邉葉</t>
  </si>
  <si>
    <t>ニューヨークの片隅で暮らしています。しっぽ、羽、鱗をもつすべてのヒトビト、夢と仁義をもつすべてのヒトビトを愛す。 米国弁護士 (Attorney, NY &amp; NJ) ここに書いているのは個人の意見。法律相談でもなければ国・家族・友人とも関係ありません。</t>
  </si>
  <si>
    <t>Jayesh Chauhan</t>
  </si>
  <si>
    <t>DP Toshniwal</t>
  </si>
  <si>
    <t>Date of birth 1st July1958, By education http://t.co/cbUf1NJPUu (Hons.) Calcutta University,in 1977.rest you will know by my opinions expressed</t>
  </si>
  <si>
    <t>Franklin Beaty</t>
  </si>
  <si>
    <t>Las Vegas</t>
  </si>
  <si>
    <t>Shailesh</t>
  </si>
  <si>
    <t>cybersecurity</t>
  </si>
  <si>
    <t>With a landslide win, Shinzo Abe could be ready to rewrite Japan's pacifist constitution - LA Times https://t.co/PYfJMV6l5h</t>
  </si>
  <si>
    <t>Satoshi Saeki</t>
  </si>
  <si>
    <t>関東地方</t>
  </si>
  <si>
    <t>完全にぶっちゃけています。ぼやきです。はい。誤解しないように。趣味はアニメ鑑賞時々カラオケたまに劇場版映画鑑賞。２００２年以降のものは大体チェックしてます。アニメライフもといソニーライフ満喫中。デレステ・ドリスピ・ポケモンGO継続プレイ中。ipadmini3・iphone6s増設。不定期#List更新</t>
  </si>
  <si>
    <t>Ümran korkusuz özbey</t>
  </si>
  <si>
    <t>İstanbul, Türkiye</t>
  </si>
  <si>
    <t>English language teacher</t>
  </si>
  <si>
    <t>Shaikh.shoeb</t>
  </si>
  <si>
    <t>Sheikh</t>
  </si>
  <si>
    <t>Kishan laddha</t>
  </si>
  <si>
    <t>Nationalist | Mandal President ,BJP,Jodhpur,RAJ</t>
  </si>
  <si>
    <t>PJ_KyodoNews</t>
  </si>
  <si>
    <t>The landslide election victory just turned PM @AbeShinzo to the longest-serving PM of #Japan since WWII.… https://t.co/gwDfheeQzB</t>
  </si>
  <si>
    <t>Correspondent at Kyodo News • Former Journalist at Bangkok Post • Government of India "ICCR" Scholarship Student 🔹 「All Views Expressed Are My Own」</t>
  </si>
  <si>
    <t>संतोष सती भा ज पा</t>
  </si>
  <si>
    <t>देहरादून</t>
  </si>
  <si>
    <t>Entertainment Bollywood and Celebrities News Breaking News Business and Financial News Journalists Government and Politics Women &amp; NGOs</t>
  </si>
  <si>
    <t>New York Times World</t>
  </si>
  <si>
    <t>In Japan, there is “no serious discussion as to what should be done” about the lack of women in Parliament https://t.co/4Se2MlffRw</t>
  </si>
  <si>
    <t>World news from The New York Times. Follow our journalists here: https://t.co/dZjTQkxoyM</t>
  </si>
  <si>
    <t>RISHIRAJ</t>
  </si>
  <si>
    <t>SEIF KABELELE</t>
  </si>
  <si>
    <t>AFRICA</t>
  </si>
  <si>
    <t>Online &amp; Social Media Specialist.•|• Public Relations➡ #Blogger 🕺I speak 7 Languages #PUBLICIST Doin the damn thang❗MY MIND QUESTIONS EVERYTHING: #Scorpion ♏</t>
  </si>
  <si>
    <t>shivam</t>
  </si>
  <si>
    <t>हर हर माहादेव.</t>
  </si>
  <si>
    <t>Schoresch Davoodi</t>
  </si>
  <si>
    <t>RT @nytimesworld: In Japan, there is “no serious discussion as to what should be done” about the lack of women in Parliament https://t.co/4…</t>
  </si>
  <si>
    <t>Bochum</t>
  </si>
  <si>
    <t>Politik, Shadowrun und Nudeln Liebhaber</t>
  </si>
  <si>
    <t>iyer subramaniam</t>
  </si>
  <si>
    <t>Balram Suhane 🇮🇳</t>
  </si>
  <si>
    <t>Charlotte Wolters</t>
  </si>
  <si>
    <t>Public Relations| WLMP Founder| Interests: the arts, business, politics, law &amp; policy stuff, mentorship &amp; the absurd. Retweets Not endorsements.Views my own.</t>
  </si>
  <si>
    <t>Priyamwada V</t>
  </si>
  <si>
    <t>Proud Indian. Follower of Dr. Aniruddha Joshi, aka Bapu.</t>
  </si>
  <si>
    <t>Paul Van Dyke</t>
  </si>
  <si>
    <t>Working entertainer &amp; tecknocrat; Love Macs &amp; Linux; Love Helena, three kids &amp; fur children. Seen so much &amp; still know so little. So teach me world, so I know</t>
  </si>
  <si>
    <t>madhur kaushik</t>
  </si>
  <si>
    <t>中野区議会議員　中村延子</t>
  </si>
  <si>
    <t>東京都中野区</t>
  </si>
  <si>
    <t>1981年9月2日中野区生まれ。東京文化小学校、中学校卒。15歳で単身米国へ。米国WA州アニーライトスクール高等部卒、CA州クレアモント・ピッツァーカレッジ卒。大学在学中、北京大学医学部短期留学。民間企業に約4年間勤めた後、手塚よしお秘書、蓮舫秘書。2011 年中野区議選で初当選。2015年4月、２期目の当選。</t>
  </si>
  <si>
    <t>Speaking God</t>
  </si>
  <si>
    <t>navimumbai</t>
  </si>
  <si>
    <t>Success is 99% luck + 1% hard work ..I advice LUCKY NAMES for success.BILL GATE, D.TrumpGOOGLE numerically LUCKY compare to UNLUCKY YAHOO ,Hillary Clinton</t>
  </si>
  <si>
    <t>Pritesh vadgama</t>
  </si>
  <si>
    <t>Dmitry Klimenko</t>
  </si>
  <si>
    <t>Москва, Россия</t>
  </si>
  <si>
    <t>Трейдер и просто хороший человек</t>
  </si>
  <si>
    <t>Akshay Shete</t>
  </si>
  <si>
    <t>Don</t>
  </si>
  <si>
    <t>Powerful storm leaves 5 dead, 1 missing in Japan https://t.co/5mwFPxXvIg</t>
  </si>
  <si>
    <t>depressed</t>
  </si>
  <si>
    <t>Holly Wright</t>
  </si>
  <si>
    <t xml:space="preserve">Newcastle-upon-Tyne/Cardiff </t>
  </si>
  <si>
    <t>Year 13 student | Conservative | Bloody Difficult Woman | Welsh | Greggs Connoisseur</t>
  </si>
  <si>
    <t>Ali Bakari, PhD</t>
  </si>
  <si>
    <t>"@Reuters: Japan's Abe vows to put education spending before budget balance https://t.co/5I27am9eXE https://t.co/MfqVE6ZAvn"</t>
  </si>
  <si>
    <t>Dundee, UK</t>
  </si>
  <si>
    <t>Environmental Geologist, Academic &amp; Consultant #PhD #SDGs #IDPsChildren. All comments expressed are own opinion.</t>
  </si>
  <si>
    <t>Mr. Anderson</t>
  </si>
  <si>
    <t xml:space="preserve">WHERE KNOWLEDGE IS UNBOUNDED </t>
  </si>
  <si>
    <t>Libertarian.I support Fiscal/economic conservativism,Tax cut,Growth push,National security. Fan of Pork,chicken peri peri,Gym,Study,Scotch &amp; computer Games.</t>
  </si>
  <si>
    <t>Wakallann</t>
  </si>
  <si>
    <t>ほぼ毎回、酒を呑んだ後に登場してます。べろべろな時があり、単なるバカもんです。</t>
  </si>
  <si>
    <t>Shivendra Kumar Dube</t>
  </si>
  <si>
    <t>Peter A. Grant</t>
  </si>
  <si>
    <t>Denver, Colorado USA</t>
  </si>
  <si>
    <t>Market analyst and precious metals dealer, specializing in gold.</t>
  </si>
  <si>
    <t>しろねこ</t>
  </si>
  <si>
    <t>社会人♀。殺処分反対。ペットショップでの動物の生体販売禁止を。動物虐待、拷問する人間に厳罰。気になる人フォローしてます。安倍政権打倒を国民の総意と思っている人達が大嫌いです。</t>
  </si>
  <si>
    <t>w : [ -Q-o-Q- ] : n</t>
  </si>
  <si>
    <t>Information Hub.</t>
  </si>
  <si>
    <t>USANEE P.</t>
  </si>
  <si>
    <t>Bangkok,Thailand</t>
  </si>
  <si>
    <t>Christian, I am Thai E.L.F (Support Super Junior) Traveller , Korean addicted..Only HaeJin #ParkHaeJin..</t>
  </si>
  <si>
    <t>Invest Smart - News</t>
  </si>
  <si>
    <t>Dollar/yen hits three-month high after Japan ruling party's election win https://t.co/W4XI1omcqa</t>
  </si>
  <si>
    <t>SocialReport.com</t>
  </si>
  <si>
    <t>Money. Investments. Tech. Taxes. Business.</t>
  </si>
  <si>
    <t>ZeroReq011</t>
  </si>
  <si>
    <t>A Social Scientist and History Buff who Dabbles in Creative Writing and Anime Analysis Every Now and Again.</t>
  </si>
  <si>
    <t>うーちゃん045@工務店</t>
  </si>
  <si>
    <t>Aras melek</t>
  </si>
  <si>
    <t>Vermisler cennet'i sevmeyenlere cennet'ken cennet'i bilememisler, cehennem sevenlerin için demisler, sevenler cehennem'i cennet etmisler...</t>
  </si>
  <si>
    <t>Olufemi.K</t>
  </si>
  <si>
    <t>Abuja, Nigeria</t>
  </si>
  <si>
    <t>Town Planning. Environment. Politics. Policies. Opinions.</t>
  </si>
  <si>
    <t>ChezCeleste</t>
  </si>
  <si>
    <t>Japan Election Vindicates Shinzo Abe as His Party Wins Big https://t.co/vq51O4eOaD</t>
  </si>
  <si>
    <t>Bobbin</t>
  </si>
  <si>
    <t>Kobe→CO/OK→VＡ→Kobe</t>
  </si>
  <si>
    <t>Tweet in Japanese &amp; English. Ephesians 5:1 Colossians 3:16 Mixed, Congregationalist, The Ugly Duckling. No relations w/ celeb&amp;organisation. @bobbin0323</t>
  </si>
  <si>
    <t>rxk14007@この男共謀につき</t>
  </si>
  <si>
    <t>仙台出身、東京在住。インフラエンジニアとして Windows, CentOS, VMware ESXi などを管理。 週末はビールとスポーツ観戦多し。Carp と Vegalta と 89ERS を応援しています。東電と NHK は解約しました。アイコンは ずんだねこまさむね です。画像と動画の転載禁止。</t>
  </si>
  <si>
    <t>ಭರತ್‌ರಾಜ್</t>
  </si>
  <si>
    <t>Interested in Science &amp; Spirituality. Proud Hindu. Retweets ≠ endorsements.</t>
  </si>
  <si>
    <t>FACT PATROL</t>
  </si>
  <si>
    <t>Japan's Abe to push pacifist constitution reform after strong election win - More at FactPatrol: https://t.co/67qbj84ROV</t>
  </si>
  <si>
    <t>FactPatrol</t>
  </si>
  <si>
    <t>Just the Facts...FactPatrol is your news, entertainment &amp; fashion website. We provide the latest news and videos...:) https://t.co/KH3twRSCQE</t>
  </si>
  <si>
    <t>Baba Shyamdev</t>
  </si>
  <si>
    <t>Utopia</t>
  </si>
  <si>
    <t>Uncompromisngly and bluntly truthful liberal sanatan dharma lover with a life mission to fight enslaving totalitarian ideologies.</t>
  </si>
  <si>
    <t>ブリンツオイルン（・ω・）ノ</t>
  </si>
  <si>
    <t>Amazonショッピングカート内</t>
  </si>
  <si>
    <t>イッヌです_( ´ ω `_)⌒)_去勢はしていない 。意識低い系と言うより意識不明系。</t>
  </si>
  <si>
    <t>Mila</t>
  </si>
  <si>
    <t>RT @whirrlpool: Good report on Japan’s Lower House election from the Asahi https://t.co/WCKxuKvPlV</t>
  </si>
  <si>
    <t>politics, environment, animals, feminism - RTs &amp; ff ≠ endorsement - Germany</t>
  </si>
  <si>
    <t>Sanjay</t>
  </si>
  <si>
    <t>Lucknow, Uttar Pradesh</t>
  </si>
  <si>
    <t>somashekhar</t>
  </si>
  <si>
    <t>dharwad</t>
  </si>
  <si>
    <t>Euan mcCutcheon</t>
  </si>
  <si>
    <t>Twitter Test 6516581981</t>
  </si>
  <si>
    <t>Barnsley, England</t>
  </si>
  <si>
    <t>Tsukada Hisanori</t>
  </si>
  <si>
    <t>Japan's Abe to push pacifist constitution reform after strong election win https://t.co/r0MG1jg05E</t>
  </si>
  <si>
    <t>神奈川県　中郡</t>
  </si>
  <si>
    <t>嫌煙過激派です。 核兵器より恐ろしい静かな大量殺戮兵器タバコを廃絶しましょう。 家庭内喫煙は、児童虐待でありDVです。 ニコチン・アディクトとの間には理解も妥協もありません。 アディクト同様、放射脳にも容赦しませんが、事実に基づいた現実的な脱原発・反原発の方との議論は、大歓迎です。</t>
  </si>
  <si>
    <t>あかね</t>
  </si>
  <si>
    <t>晴れの国たまにムラ、東京</t>
  </si>
  <si>
    <t>縫ったり文献に埋もれる系。宝塚と美女と服が好き。鉄より空。ガジェット好き。MotoG5plus</t>
  </si>
  <si>
    <t>Mangesh Pandey</t>
  </si>
  <si>
    <t>melteal</t>
  </si>
  <si>
    <t>Janetter</t>
  </si>
  <si>
    <t>愛媛県松山市</t>
  </si>
  <si>
    <t>政治、経済、ゲーム、等々最新情報を集めてます。筋金入りのゲーマー。基本的に昼間はRTのみです。 真のリベラルを目指して勉強中。愛媛新聞の社説のツッコミが密かな趣味。</t>
  </si>
  <si>
    <t>ن</t>
  </si>
  <si>
    <t>امرأة</t>
  </si>
  <si>
    <t>ワイエス</t>
  </si>
  <si>
    <t>ストライクウィッチーズときらら系のオタク</t>
  </si>
  <si>
    <t>JUMProgram</t>
  </si>
  <si>
    <t>#Japan's Prime Minister @AbeShinzo maintains coalition majority following yesterday's election. https://t.co/af4OpehVdK</t>
  </si>
  <si>
    <t>The Japan U.S. Military Program (JUMP) connects past and present service members, families, and government civilians who have served in Japan.</t>
  </si>
  <si>
    <t>Ayan Neogi</t>
  </si>
  <si>
    <t>Koh Nagao</t>
  </si>
  <si>
    <t>Ichikawa-shi, Chiba Japan</t>
  </si>
  <si>
    <t>一般人</t>
  </si>
  <si>
    <t>INDIAN</t>
  </si>
  <si>
    <t>Hampton</t>
  </si>
  <si>
    <t>GOL</t>
  </si>
  <si>
    <t>Japan's Abe vows to put education spending before budget balance https://t.co/ePEVqZ3ulY teaching moment, time to look forward not at race</t>
  </si>
  <si>
    <t>Human being of this earth</t>
  </si>
  <si>
    <t>Soumen Karmakar</t>
  </si>
  <si>
    <t>Panchkula, India</t>
  </si>
  <si>
    <t>Japan's Abe vows to put education spending before budget balance - Reuters https://t.co/2ihk62mEAj #world</t>
  </si>
  <si>
    <t>Uceda School</t>
  </si>
  <si>
    <t>Japan's Abe vows to put education spending before budget balance - Reuters https://t.co/73gDSR37op</t>
  </si>
  <si>
    <t>Learn English with UCEDA SCHOOL. Open to all international and local students. #ucedaschool #uceda Follow us on Facebook: https://t.co/p4lTi1yFaj</t>
  </si>
  <si>
    <t>IT Job Pro</t>
  </si>
  <si>
    <t>Japan's Abe vows to put education spending before budget balance - Reuters https://t.co/RCnvhB99NI https://t.co/XTqz3IIZX4</t>
  </si>
  <si>
    <t>New York - London</t>
  </si>
  <si>
    <t>IT Job Site for IT Professionals world-wide looking for employment in Information Technology. Over 5 Million jobs and growing. See the latest #ITJobs first.</t>
  </si>
  <si>
    <t>龍陽⛵海容</t>
  </si>
  <si>
    <t>都内</t>
  </si>
  <si>
    <t>編集者をやっています。</t>
  </si>
  <si>
    <t>Tommi Mantere</t>
  </si>
  <si>
    <t>anselmoS</t>
  </si>
  <si>
    <t>Finland</t>
  </si>
  <si>
    <t>We are all pearl fishers ..one way..., or another ;) Interests: Pearl fishing,... #Music,#Nature etc.</t>
  </si>
  <si>
    <t>Vícký Kúmétí</t>
  </si>
  <si>
    <t>Narayanpur Chhattisgarh, India</t>
  </si>
  <si>
    <t>एक तो मैं भारतीय🇮🇳ऊपर से हिन्दू भी🚩गर्व तो होगा ही!!</t>
  </si>
  <si>
    <t>(Japan Times) #Abe claims victory as powerful endorsement, may seek re-election next.. https://t.co/dx4aKpNwZD https://t.co/xjko6UMqA6</t>
  </si>
  <si>
    <t>Rhonda</t>
  </si>
  <si>
    <t>Art Culture Government News Photography</t>
  </si>
  <si>
    <t>Syd Weng</t>
  </si>
  <si>
    <t>And nothing pleaseth but rare accidents!</t>
  </si>
  <si>
    <t>Arik Gandhi 🇮🇳</t>
  </si>
  <si>
    <t>Navsari District It Cell/Social Media Convenor &amp; Former Chikhli Taluka IT- Cell Co- Convener at (BJP) 2013-17.</t>
  </si>
  <si>
    <t>clara</t>
  </si>
  <si>
    <t>President of #Tibet congratulates Japanese PM Shinzo Abe on re-election #japan https://t.co/XYbqE1fekE https://t.co/bjAJoJH6ua</t>
  </si>
  <si>
    <t>Hell is really hell Freedom equality democracy livelihood Will there come a time when everyone will be free from the fortress of hell TashiRabten FREE TIBET</t>
  </si>
  <si>
    <t>Vikky Mehra</t>
  </si>
  <si>
    <t>professional, loves traveling, meeting people. have faith in PM MODI, inspired by PM's believe to change INDIA</t>
  </si>
  <si>
    <t>四代目モノノフ</t>
  </si>
  <si>
    <t>エビモバの頃からエビ中ちゃんを愛娘の如く溺愛しています。レキシ池ちゃんの大ファン。最近、フレンズにもハマりました。永遠の鈴木裕乃推し！日本が大好き！</t>
  </si>
  <si>
    <t>Umaru chan</t>
  </si>
  <si>
    <t>Mein Lapata</t>
  </si>
  <si>
    <t>|Cricket mera junoon hai|MSD meri jaan hai|aur mein hu Sejal urf Mahi yahi mera naam hai|</t>
  </si>
  <si>
    <t>Harold Vásquez</t>
  </si>
  <si>
    <t>Santo Domingo, D.R.</t>
  </si>
  <si>
    <t>Cristiano, Doctor en Economía, Consultor @BancoCentralRD y Profesor Investigador @intecRD. Editor revista Ciencia, Economía &amp; Negocios. #MarathonRunner</t>
  </si>
  <si>
    <t>Mr. ...</t>
  </si>
  <si>
    <t>no Bio needed</t>
  </si>
  <si>
    <t>Ankit Munjal</t>
  </si>
  <si>
    <t>Edward Painter</t>
  </si>
  <si>
    <t>Farnham Surrey</t>
  </si>
  <si>
    <t>English_Ethnic_EU</t>
  </si>
  <si>
    <t>Citizen of The World</t>
  </si>
  <si>
    <t>Humanist, Ethnic Minorities, European and North African. I hate despotism, backwardness &amp; extremism. Voted #Remain 🇪🇺 #StopBrexit #NoBrexit #TheResistance 🗽</t>
  </si>
  <si>
    <t>Manuco</t>
  </si>
  <si>
    <t>Japan’s Shinzo Abe Conjures Stunning Election Victory in a Boost for Donald Trump https://t.co/M0YFD3lNND</t>
  </si>
  <si>
    <t>Pensando donde ir</t>
  </si>
  <si>
    <t>Banner design. Advisor to foreigners on Outdoor advertising. Carteles asesoramos a extranjeros</t>
  </si>
  <si>
    <t>Denise The Writer</t>
  </si>
  <si>
    <t>Jamaica✈️ Japan</t>
  </si>
  <si>
    <t>Press Release Writer. Ghostwriter. Content Strategist. Author-Evolve:How Small Business Can Give BIG Service. https://t.co/KYughfNBgN</t>
  </si>
  <si>
    <t>Vivek Choudhary</t>
  </si>
  <si>
    <t>एक स्वयंसेवक</t>
  </si>
  <si>
    <t>Dr.med. Bernd Kynast</t>
  </si>
  <si>
    <t>RT @ReutersUK: Daily Briefing: - Catalan brinkmanship with Madrid - Japan's PM election win - UK business want quick Brexit deal https://t.…</t>
  </si>
  <si>
    <t>Milky way,  I can see aliens !</t>
  </si>
  <si>
    <t>Medical Oncology, Molecular Genetics, Medical &amp; Business Consultancy, Commander (Navy, Reserve) § Unfollow=blocked #Passion4America</t>
  </si>
  <si>
    <t>Bhayukt</t>
  </si>
  <si>
    <t>मी भायुक्त, A so-called Hindu (Dharmic way of life) योग एव सच्चिदानंद प्रदाय</t>
  </si>
  <si>
    <t>Suman Kaushik</t>
  </si>
  <si>
    <t>After election win, Abe prioritizes North Korea, aging Japan https://t.co/daxNxnru78</t>
  </si>
  <si>
    <t>Amanda Diaz</t>
  </si>
  <si>
    <t>Puerto Rico, USA</t>
  </si>
  <si>
    <t>Me la paso entre vinos y licores, bloggeando situaciones de actualidad social, y dejando un legado en el espacio cyber.</t>
  </si>
  <si>
    <t>Alexis Dix</t>
  </si>
  <si>
    <t>Baltimore MD</t>
  </si>
  <si>
    <t>A Loner who wanders</t>
  </si>
  <si>
    <t>@CECY</t>
  </si>
  <si>
    <t>Estados Unidos</t>
  </si>
  <si>
    <t>My help comes from the LORD, the Maker of heaven and earth. Psalm 121:2</t>
  </si>
  <si>
    <t>Social Media Connect</t>
  </si>
  <si>
    <t>Japan PM's ruling bloc scores big election win - Japanese Prime Minister Shinzo Abe’s ruling bloc scores a big ... https://t.co/n5OGy5ajrf</t>
  </si>
  <si>
    <t>Social Media Hub connects you with the best and most interesting accounts on social media with a colourful new web platform powered by CMS technology #SMHub</t>
  </si>
  <si>
    <t>Japan's abe wins resounding election victory: https://t.co/81U0Onz8OO qua @YouTube</t>
  </si>
  <si>
    <t>Rahul Dev</t>
  </si>
  <si>
    <t>憂国百姓</t>
  </si>
  <si>
    <t>日本皇国　割と真ん中辺</t>
  </si>
  <si>
    <t>日月神示を胆にいれ、自然農と鶏を飼いながら真の日本人を目指す、山奥仙人。 ＃余命三年時事日記 ＃日韓断交 安倍総理断固支持、皇族批判は受け付けません。</t>
  </si>
  <si>
    <t>Tarun Sharma</t>
  </si>
  <si>
    <t>Sambasiva Reddy S</t>
  </si>
  <si>
    <t>Calm, serene and spiritual best describes me. Always feel blessed. Strongly feel that only Sanathan Dharma is word of God.</t>
  </si>
  <si>
    <t>Priya Gupta</t>
  </si>
  <si>
    <t>Dream big👼,,work hard😎,,,More Brainy😇 Than Adorbs... Observational Humorists. Constitutional Indian🇮🇳. Faith Humanity💓💓 RT not endorsement..,,,No Dm🙏😏</t>
  </si>
  <si>
    <t>Lovely JP369</t>
  </si>
  <si>
    <t>オプションは生まれながらの共感覚☆★この地球で光と闇をベースに、感動する、遊ぶ、学ぶ、面白さを絶賛味わい中‼️基本ベジタリアン。 猫、うさぎLove💕 サロン経営者@吉祥寺。 まず日本から世界平和へ❗️369☆🇯🇵</t>
  </si>
  <si>
    <t>Sawan Dhanotiya</t>
  </si>
  <si>
    <t>indore</t>
  </si>
  <si>
    <t>jatinsagar Indian</t>
  </si>
  <si>
    <t>India First. Graduate.LessAgressive.Small Trader.Hindu.Indian.देसा मा देस हरियाणा।देश पर गर्व करने वाले ही मुझे फालो करें।</t>
  </si>
  <si>
    <t>sushil punia</t>
  </si>
  <si>
    <t>https://t.co/FYlVO1MQ2S Japan's Abe vows to put education spending before budget balance https://t.co/2cEalF83N2</t>
  </si>
  <si>
    <t>Maxwell Anderson 🎃</t>
  </si>
  <si>
    <t xml:space="preserve">caterham </t>
  </si>
  <si>
    <t>#starwarstheforceawakens| #RogueOne | #starwarsaftermath</t>
  </si>
  <si>
    <t>RT @BloombergAsia: Shinzo Abe may have just won a chance to lead Japan through 2021 https://t.co/bQHPujxVG7 https://t.co/4H7akzESNK</t>
  </si>
  <si>
    <t>EIAS</t>
  </si>
  <si>
    <t>Brussels</t>
  </si>
  <si>
    <t>EIAS is a Brussels-based Think Tank which aims to promote understanding between the EU and Asia. RT's ≠ endorsements.</t>
  </si>
  <si>
    <t>Positive India</t>
  </si>
  <si>
    <t>Raipur-Chhattisgarh(India)</t>
  </si>
  <si>
    <t>https://t.co/XKAawNK3J8 is a Online Daily Newspaper from India.Offline, Positive India is Illustrated National Weekly https://t.co/Wn1oZ6Qt2h Editor, active on social media</t>
  </si>
  <si>
    <t>priyanka agarwal</t>
  </si>
  <si>
    <t>Impressario "Don't let the World make me hard.. Don't let the pain make me hate... Don't let the bitterness steal my sweetness...."</t>
  </si>
  <si>
    <t>ANTIFA大阪</t>
  </si>
  <si>
    <t>Osaka, Japan</t>
  </si>
  <si>
    <t>2013年12月6日の自公政権による特定秘密保護法成立強行に抗うべく立ち上がった、関西在住の個人の集合体。当面、安倍政権打倒、反レイシズムに注力します。奴らを通すな! ¡No pasarán!</t>
  </si>
  <si>
    <t>Abinash Kumar</t>
  </si>
  <si>
    <t>Former Civil Servant, social worker,Views personal</t>
  </si>
  <si>
    <t>james jackson</t>
  </si>
  <si>
    <t>Japan's Abe hails landslide victory in snap election https://t.co/ylJrG3O687</t>
  </si>
  <si>
    <t>The Wild</t>
  </si>
  <si>
    <t>News Junkie</t>
  </si>
  <si>
    <t>미 현(みひょん)🐾猫の勢力</t>
  </si>
  <si>
    <t>新潟</t>
  </si>
  <si>
    <t>日韓中mix(混合比順) カウンター下部構成員w あと色々(黒) 作成7日以内及びフォロワー15以下のアカウントからのメンションは自動ブロックの設定となっております。</t>
  </si>
  <si>
    <t>The Eyes of Texas</t>
  </si>
  <si>
    <t>Japanese stocks rise as dollar climbs against the yen after Abe election win https://t.co/AhPndN4pxZ</t>
  </si>
  <si>
    <t>現在、米国のエネルギー産業で仕事中。日本の真の原動力、中小企業を活気付けることが今の日本には必要。とりあえず原発再活動するべし。 座右の銘: 働かざるもの食うべからず。</t>
  </si>
  <si>
    <t>the pharo</t>
  </si>
  <si>
    <t>SATHYAN PALAKKAL</t>
  </si>
  <si>
    <t>political</t>
  </si>
  <si>
    <t>RT @FGB358: Japan Election 2017. Win Big https://t.co/gDzOWHHRFl</t>
  </si>
  <si>
    <t>katsutaro</t>
  </si>
  <si>
    <t>東京砂漠にのまれないようスキマを埋めるべく日々精進。東京五輪までは留まるつもり。 中小企業診断士2015 合格。アビスパ福岡、楢崎ファンのコーヒー好き（堀口珈琲）。囲碁も学んでます。バリュー株投資。息子命。</t>
  </si>
  <si>
    <t>Ajay Shukla</t>
  </si>
  <si>
    <t>The Corporate Prof.</t>
  </si>
  <si>
    <t>Equities and Abenomics winners from Japanese election landslide | https://t.co/wCwyQGhja4 #corpgov #business #Japan</t>
  </si>
  <si>
    <t>The Corporate Prof. is focused on Corporate Governance, Law and Business; and other incidental matters.</t>
  </si>
  <si>
    <t>Chris</t>
  </si>
  <si>
    <t>day trader. Futures, equities, metals.</t>
  </si>
  <si>
    <t>#JAPAN: Shinzo Abe’s election victory sparks record 15th straight rise in Nikkei https://t.co/HB8YvGaXtu #NEWS</t>
  </si>
  <si>
    <t>ウサギ</t>
  </si>
  <si>
    <t>泉州堺生まれの大阪市民。音楽は古いのと新しいの。日本の伝統芸能だと舞楽や平曲や能や文楽に関心があります。河内音頭やだんじりの鳴りもんも好き。西洋のものだと古楽と現代音楽。映画はバーホーベン。文学だとユンガーが好み。</t>
  </si>
  <si>
    <t>Slade_me</t>
  </si>
  <si>
    <t>ghost town</t>
  </si>
  <si>
    <t>people know me as i am, animal lover. I respect only those who respect females.</t>
  </si>
  <si>
    <t>味噌Maxとアズカバンの囚人</t>
  </si>
  <si>
    <t>竹輪の穴。ドリフマニア。ZTTK。</t>
  </si>
  <si>
    <t>人間も暗渠も竹輪みたいなものじゃないか。</t>
  </si>
  <si>
    <t>SHC Youth Ministries</t>
  </si>
  <si>
    <t>Princeton</t>
  </si>
  <si>
    <t>Making disciples who follow Christ.</t>
  </si>
  <si>
    <t>abhishek raghuwanshi</t>
  </si>
  <si>
    <t>Bhilai</t>
  </si>
  <si>
    <t>easy going, generous</t>
  </si>
  <si>
    <t>JNU_Student</t>
  </si>
  <si>
    <t>Rupesh Mishra</t>
  </si>
  <si>
    <t>Proud Indian. International business professional, highly inflamable on national issues but all views are mine, not averse to constructive criticism.</t>
  </si>
  <si>
    <t>SAJAN BHARDWAJ</t>
  </si>
  <si>
    <t>Japan's Abe hails landslide victory in snap election @CNNI https://t.co/N36Jo1xe4p NEWS ALL BLISS H. E. @AbeShinzo Congratulations JAPAN !</t>
  </si>
  <si>
    <t>SAJAN BHARDWAJ : B.A. , M.A. Pol. Science { International Law, Foreign Relations &amp; Diplomacy} , LL.B. Addl. Taxation Laws , LL. M {crime &amp; Torts} ; A Professor</t>
  </si>
  <si>
    <t>Axel Merk</t>
  </si>
  <si>
    <t>What Japan's election does do, it allows continuity for 4 years, as well as Abe's continued leadership.</t>
  </si>
  <si>
    <t>Palo Alto, CA</t>
  </si>
  <si>
    <t>https://t.co/Csfc5O2lln</t>
  </si>
  <si>
    <t>JustoneK7™</t>
  </si>
  <si>
    <t>Virtual</t>
  </si>
  <si>
    <t>I'm #AhamBrahmāsmi # Religion of Hate (Xtianity) &amp; religion of Terror (Islam) labels me a Heathen &amp; Kuffar condemned to hell for eternity ! #Love #Peace :)</t>
  </si>
  <si>
    <t>Chuck Dalldorf</t>
  </si>
  <si>
    <t>#Japan's Abe vows to put #education spending before budget balance https://t.co/yOgyuswjak #Asia #budgets #economy #investment</t>
  </si>
  <si>
    <t>Communication consultant, university lecturer &amp; love Scotland. Friday Harbor WA resident, US Coast Guard Auxiliary. Kayaker, Brooklyn native, USAF veteran.</t>
  </si>
  <si>
    <t>きゅう</t>
  </si>
  <si>
    <t>すべては日本のために。そういうことを仕事にできたらいいなぁ。</t>
  </si>
  <si>
    <t>Raj Kumar Singh</t>
  </si>
  <si>
    <t xml:space="preserve">Sunday </t>
  </si>
  <si>
    <t>News News News</t>
  </si>
  <si>
    <t>Amitendu</t>
  </si>
  <si>
    <t>Economist working on international trade, development, political economy,China-India &amp; public policies.</t>
  </si>
  <si>
    <t>Anna Aniko</t>
  </si>
  <si>
    <t>WATCH OUT NORTH KOREA: Japan election win gives Abe mandate to get tough on Kim - WORLD NEWS https://t.co/4fwLNiFyIi</t>
  </si>
  <si>
    <t>Gaurav sharma</t>
  </si>
  <si>
    <t>New delhi, india</t>
  </si>
  <si>
    <t>Tattoos :a big Turn on.Intelligence &amp; creativity over Grammar &amp; accent. Sunset.Storyteller.Long walks.Deep Talks.Backpacker. Beer.Ball dance. Lord Keshava _/\_</t>
  </si>
  <si>
    <t>Dr. Mahalakshmi Iyer</t>
  </si>
  <si>
    <t>Sharan Louise Harper</t>
  </si>
  <si>
    <t>I forward news stories and once in a while include my opinion</t>
  </si>
  <si>
    <t>Kewal Singla</t>
  </si>
  <si>
    <t>Lehragaga, India</t>
  </si>
  <si>
    <t>Vice Chairman Market Committee Lehragaga Senior Member BJP</t>
  </si>
  <si>
    <t>ladysmoker</t>
  </si>
  <si>
    <t>Japan Hokkaido　Sapporo</t>
  </si>
  <si>
    <t xml:space="preserve">政治経済、自作PC、パーツなどに反応しがち、J-NSCに参加中http://t.co/TEJYRXuYGg </t>
  </si>
  <si>
    <t>Ravi Gogawle</t>
  </si>
  <si>
    <t>I'm new to twitter</t>
  </si>
  <si>
    <t>モア・リベラル☆勘違い保守は不要</t>
  </si>
  <si>
    <t>日本の伝統は右より左が格上みたい</t>
  </si>
  <si>
    <t>日本人は中庸が肝心だとおもっていました。未熟ですがリベラル、中道的な方を中心にフォロー。 「民主主義は闘争。誰もが関わらなければならない」トマ・ピケティ氏 ※タイムライン重くなるのでフォロー返しできなくてごめんなさい。</t>
  </si>
  <si>
    <t>Jun@SG</t>
  </si>
  <si>
    <t>シンガポールに生きる24歳。日本人</t>
  </si>
  <si>
    <t>Bharat Sachania</t>
  </si>
  <si>
    <t>Guy Miller</t>
  </si>
  <si>
    <t>https://t.co/cp3YOHtWR0: Pleased to share comments and views from the team on the implications of Japan's election and China's 'new era'</t>
  </si>
  <si>
    <t>Zurich, Switzerland</t>
  </si>
  <si>
    <t>Chief market strategist &amp; head of macroeconomics @Zurich. Tweets reflect my personal view.</t>
  </si>
  <si>
    <t>After election win, Abe prioritizes North Korea, aging Japan https://t.co/dQvmDQyuWk</t>
  </si>
  <si>
    <t>R@hul emmi</t>
  </si>
  <si>
    <t>Proud to be fan of a @emraanhashmi</t>
  </si>
  <si>
    <t>歩宮路</t>
  </si>
  <si>
    <t>日本 奈良市</t>
  </si>
  <si>
    <t>格差を拡大するアベノミクスには修正が必要、このままだと数年後大変な事になると思います。枝野氏も言っておられましたが、立憲民主党には上からではなく下からの対策、つまり格差の改善に期待してます。</t>
  </si>
  <si>
    <t>とるば🌃どうるん🍏</t>
  </si>
  <si>
    <t>神奈 中井町</t>
  </si>
  <si>
    <t>永遠❤️の鮎川穂乃果🌷さん💝捺し💕🍒🌃</t>
  </si>
  <si>
    <t>crustacean</t>
  </si>
  <si>
    <t>「甲殻類」です。 サイクリングを趣味にしています。７０年代８０年代のアニソンをカラオケで歌うのも大好きです。80年代の米国ドラマも好物です。 A hobby cyclist, Anime-fan of 70's &amp; 80's. I also like 80's U.S. TV movie.</t>
  </si>
  <si>
    <t>梶原景季(略称：景季)</t>
  </si>
  <si>
    <t>アイコンはワールドトリガーのレプリカ ◆背景はワールドトリガーの出水公平 キャッチコピーイベントの賞品的なもの(公式) ◆アクセスは親・親族、シニア猫の介護のため超不規則、RT多め (煩かったらミュート願います) ◆徳川美術館友の会会員 ◆元医療職・介護離職組 ◆猫クラスタ(多頭飼い) ◆GSF</t>
  </si>
  <si>
    <t>RT @clara111: President of #Tibet congratulates Japanese PM Shinzo Abe on re-election #japan https://t.co/XYbqE1fekE https://t.co/bjAJoJH6…</t>
  </si>
  <si>
    <t>Re-elected PM vows to tackle Japan's twin crises https://t.co/oWVMsgApKy</t>
  </si>
  <si>
    <t>JAYANT BHATI</t>
  </si>
  <si>
    <t>Teresa MASIA PERALES</t>
  </si>
  <si>
    <t>Re-Elected Japanese PM Plans Big Change to Military https://t.co/8RNLhvPdp7</t>
  </si>
  <si>
    <t>Eaubonne, 95, France</t>
  </si>
  <si>
    <t>Human rights activist</t>
  </si>
  <si>
    <t>Om Singh Vijay</t>
  </si>
  <si>
    <t>Congratulations Mr. PM @AbeShinzo for your wonderful victory in Japan election.☺️</t>
  </si>
  <si>
    <t>Be good and make good.</t>
  </si>
  <si>
    <t>桜もみじ</t>
  </si>
  <si>
    <t>豊葦原の千五百秋の瑞穂の國</t>
  </si>
  <si>
    <t>以前のアカウントは趣味中心に呟く専用にしたため、時事専用のをこちらで始めました。 ピクシブで時事ヘタ中心に執筆中。数年前に自虐史観から脱却。 エロ系やツイートが無い方はフォローしてくださってもブロックすることがあります。悪しからず</t>
  </si>
  <si>
    <t>born in 🇯🇵→🇺🇸12 yrs→🇯🇵5 yrs. ❤️oboe, classical music, trekking, skiing, Labrador retrievers, Byzantine art, Pre-Raphaelites. 座右の銘「まあまあが一番」by おばあちゃん</t>
  </si>
  <si>
    <t>Prashant...</t>
  </si>
  <si>
    <t>Puneet Yadav 🇮🇳</t>
  </si>
  <si>
    <t>Foodie, Beer Lover, Nationalist. Tweets and RTs are personal, do not reflect views of my employer - GoI !</t>
  </si>
  <si>
    <t>JPflorida🇺🇸</t>
  </si>
  <si>
    <t>America 1st🇺🇸 TRUMP Supporter #TrumpTrain All trolls will be blocked.</t>
  </si>
  <si>
    <t>Rastra prahari</t>
  </si>
  <si>
    <t>Sports Government and Politics News</t>
  </si>
  <si>
    <t>Mr. Anil</t>
  </si>
  <si>
    <t>Inspirational Speaker! Motivational Trainer! Dreamer! Thinker! An Observer! Founder of 'Meet Yourself Today' Honoured to be followed by @PiyushGoyalOffc</t>
  </si>
  <si>
    <t>Medha</t>
  </si>
  <si>
    <t>Proud Hindu, Love to put a smile on everyone s face, Hobbies-painting n travelling.Interested in #Entrepreneurship #Politics #Spirituality #Analytics #AI #ML</t>
  </si>
  <si>
    <t>Shiv</t>
  </si>
  <si>
    <t>JJ</t>
  </si>
  <si>
    <t>The Japanese economy will resurrect again.</t>
  </si>
  <si>
    <t>Nikunj Mall</t>
  </si>
  <si>
    <t>晩成</t>
  </si>
  <si>
    <t>Candice</t>
  </si>
  <si>
    <t xml:space="preserve">Michigan </t>
  </si>
  <si>
    <t>Austin__</t>
  </si>
  <si>
    <t>Computer Science, IOT, @Arsenal supporter</t>
  </si>
  <si>
    <t>Alain-Vilakazi™|Inc.</t>
  </si>
  <si>
    <t>In Japan, there is “no serious discussion as to what should be done” about the lack of women in Parliament https://t.co/7fdTpeJ7jW</t>
  </si>
  <si>
    <t xml:space="preserve">Everywhere </t>
  </si>
  <si>
    <t>Father, Husband, Founder &amp; CEO of AlVil™ Medi-Care Centre | Human Rights Activist | My aim is to share info because it's a human's right ! RT's≠endorsements!</t>
  </si>
  <si>
    <t>Kartik Athreya</t>
  </si>
  <si>
    <t>love mediacrooks blogs n tweets. admire subramaniam swamy n prof vaidya. happy citizen of india under shri modi. retweet not equal to endorsement</t>
  </si>
  <si>
    <t>All News 24/7</t>
  </si>
  <si>
    <t>Japan's Abe vows to put education spending before budget balance https://t.co/cw1VHE7EDX</t>
  </si>
  <si>
    <t>Follow us to keep up with the latest news 24/7! Make sure to tell the world about our account thats dedicated to delivering breaking news</t>
  </si>
  <si>
    <t>Omprakash Shrivastav</t>
  </si>
  <si>
    <t>Yulan Graham</t>
  </si>
  <si>
    <t>Seema Sahu</t>
  </si>
  <si>
    <t xml:space="preserve">Seema Sahu </t>
  </si>
  <si>
    <t>seemabsahu</t>
  </si>
  <si>
    <t>kaushal singla</t>
  </si>
  <si>
    <t>Modi sir fan from heart ...being opimistic for great india 🇮🇳 believe in all religion coz religion are for mankind welfare..</t>
  </si>
  <si>
    <t>Felix Schlumpf</t>
  </si>
  <si>
    <t>RT @guysiemiller: https://t.co/cp3YOHtWR0: Pleased to share comments and views from the team on the implications of Japan's election and Ch…</t>
  </si>
  <si>
    <t>Disclaimer: Tweets reflect my personal view and not necessarily that of Zurich Insurance Group. RT ≠ endorsement.</t>
  </si>
  <si>
    <t>MahaMaya 🔱</t>
  </si>
  <si>
    <t>#जय_महाकाल 🔱🔱 #जय _श्रीराम 🚩🚩 #जय_हिन्द 🇮🇳 #Nation_first #VandeMataram हिन्दू राष्ट्र सर्वोपरि, Rts not endorsement.</t>
  </si>
  <si>
    <t>sirowatamusume</t>
  </si>
  <si>
    <t>研究者。日本好き。政治や国際情勢も興味あり。夫が優しい。酒好き。ご飯好き。</t>
  </si>
  <si>
    <t>Travel Advisory</t>
  </si>
  <si>
    <t>#Japan #Weather 2 dead as 'Paolo' slams into Japan after election day TOKYO, Japan — A powerful typhoon ripped int… https://t.co/iuSPBdbArb</t>
  </si>
  <si>
    <t>Weather warnings, travel disruptions, health outbreaks gathered from around the world.</t>
  </si>
  <si>
    <t>#Japan #Weather Election day typhoon takes Japan by storm The storm's centreline forecast shows it is set to trave… https://t.co/iuSPBdbArb</t>
  </si>
  <si>
    <t>#Japan #Weather Typhoon leaves five dead after lashing Japan on election day Some ferry services in western Japan … https://t.co/iuSPBdbArb</t>
  </si>
  <si>
    <t>Sami Childs</t>
  </si>
  <si>
    <t>Tucson</t>
  </si>
  <si>
    <t>☯️People,Pets,Art,Philosophy, Reading.Proud Mama &amp; Grammy, what goes around comes around &amp; boy is it coming around. Cancer survivor. Be well@</t>
  </si>
  <si>
    <t>Subhajit Sarkar</t>
  </si>
  <si>
    <t>🔹Electrical Engineer⚡ 🔹 Gadgets Lover 🔹 30th Dec, 1994🎂 🔹 Cazz Life, Foodie Bangali Babu 🔹 Loved to play COC (9PVVV09G2) &amp; 8 Ball Pool🎱</t>
  </si>
  <si>
    <t>David Hathaway</t>
  </si>
  <si>
    <t>Japan's Abe vows to put education spending before budget balance https://t.co/zWT95K2HEL</t>
  </si>
  <si>
    <t>Brasília</t>
  </si>
  <si>
    <t>Nascido nos EUA, residente há 35 anos no Brasil. Casado com Gisela, e pai de Camila, Anna Lou e Samuel.</t>
  </si>
  <si>
    <t>Shib Sankar Malakar</t>
  </si>
  <si>
    <t>Chandannagore, Hooghly, WB</t>
  </si>
  <si>
    <t>उल्टी खोपड़ी</t>
  </si>
  <si>
    <t xml:space="preserve">समझ से परे </t>
  </si>
  <si>
    <t>Twitter पर आकर हम कर क्या लेंगे, बस लिख कर फाड़ देंगे। Oh! Sorry, ट्विट कर देंगे या रीट्विट कर देंगे। 😕🙏</t>
  </si>
  <si>
    <t>Rabinarayan</t>
  </si>
  <si>
    <t>Stocks mostly rise amid Japanese election, US tax hopes https://t.co/toL2d6zTJI #EMM</t>
  </si>
  <si>
    <t>Fatima Z. Er-Rafia</t>
  </si>
  <si>
    <t>After election win, #Abe prioritizes #NorthKorea, aging #Japan https://t.co/LT2MgjH6A1</t>
  </si>
  <si>
    <t>Follow+RT+Like≠Endorse</t>
  </si>
  <si>
    <t>Lecturer @HEC_Montreal @polymtl, Researcher, Consultant. China, Japan, Asia: Business, Geopolitics, International Relations, History...</t>
  </si>
  <si>
    <t>Bitcoin News App</t>
  </si>
  <si>
    <t>USD/JPY Jumps Up on Japan Election Results | LTC Dips https://t.co/pXNW1QfPfy https://t.co/nKySWz7chl</t>
  </si>
  <si>
    <t>Newyork, USA</t>
  </si>
  <si>
    <t>Bitcoin News App collects daily news from several sources. Download now - https://t.co/ulLXzDMIaU</t>
  </si>
  <si>
    <t>Carlton Avery</t>
  </si>
  <si>
    <t>Retired educator, interpreter and lettercarrier, hiding out in the foothills of the Blue Ridge. To build a Peoples Party!</t>
  </si>
  <si>
    <t>Japan’s Shinzo Abe Conjures Stunning Election Victory in a Boost for Donald Trump https://t.co/umSXSUorXV</t>
  </si>
  <si>
    <t>KANHAIYA . SINGH</t>
  </si>
  <si>
    <t>Purnia, India</t>
  </si>
  <si>
    <t>proud Indian. Student. ||dream, believe do &amp; repeat|| jst keep it real wid me......I will respect u a way more!! #BaBa 👊🚩</t>
  </si>
  <si>
    <t>Abhishek Dalal</t>
  </si>
  <si>
    <t>Indian at heart, Global in Spirit 🇮🇳🇺🇸🇦🇷|Views personal, RTs are not endorsements|</t>
  </si>
  <si>
    <t>Preetam Shetty</t>
  </si>
  <si>
    <t xml:space="preserve">Bombay </t>
  </si>
  <si>
    <t>Politics, Tech, Cars, Movies, Cricket, Business, Economy, Armchair Psephologist. News Junkie......</t>
  </si>
  <si>
    <t>Render PC</t>
  </si>
  <si>
    <t>Japan pm's ruling bloc scores big election win — constitutional reform now likely https://t.co/rMLIuzuh4O</t>
  </si>
  <si>
    <t>ladders</t>
  </si>
  <si>
    <t>Japan ranks low in female lawmakers https://t.co/61aweGrJv6 #womeninpolitics #ShesWorthMore</t>
  </si>
  <si>
    <t>Ladders is an organization that increases the visibility of females and ensures their voices count</t>
  </si>
  <si>
    <t>MUBS Finance HOME</t>
  </si>
  <si>
    <t>RT @fastFT: Japan's yen weakens to nearly ¥114 per dollar after Abe election victory https://t.co/xafybtJ4Te https://t.co/O01mQutB5q</t>
  </si>
  <si>
    <t>MUBS Nakawa</t>
  </si>
  <si>
    <t>Official account for the great Makerere University Business School Finance Students Association kampala uganda</t>
  </si>
  <si>
    <t>Ravizdname</t>
  </si>
  <si>
    <t>Japan's Abe vows to put education spending before budget balance - Reuters https://t.co/QSNCr6qiCS #news</t>
  </si>
  <si>
    <t>Newscenter PHL</t>
  </si>
  <si>
    <t>Kkimoo</t>
  </si>
  <si>
    <t>#Japan PM's #Ruling #Bloc #Scores big #Election win https://t.co/6hNVoBZx7L #PMs</t>
  </si>
  <si>
    <t>KkimooKKkimooKKkimooKKkimooK</t>
  </si>
  <si>
    <t>National and World News</t>
  </si>
  <si>
    <t>Raj Patel</t>
  </si>
  <si>
    <t>Washington DC metro area</t>
  </si>
  <si>
    <t>US based Indian origin, Fan of Narendra Modi. Love Yoga. RTs are not my endorsement.</t>
  </si>
  <si>
    <t>Naoki Iso</t>
  </si>
  <si>
    <t>Tokyo / Paris</t>
  </si>
  <si>
    <t>JSPS Research Fellow / Chercheur invité @CESSP_UMR</t>
  </si>
  <si>
    <t>Abe’s election super majority puts Japan’s pacifist constitution in his crosshairs again https://t.co/JdiNn2hZZW</t>
  </si>
  <si>
    <t>Osman Tansel Erdem</t>
  </si>
  <si>
    <t>RT @DrErRafiaFZ: After election win, #Abe prioritizes #NorthKorea, aging #Japan https://t.co/LT2MgjH6A1</t>
  </si>
  <si>
    <t>Mühendis ve Uluslararası ilişkiler mezunu,Dünya Gezgini.Kitap https://t.co/2rbqmYAbPN.Graduated from International https://t.co/lOFOuDIe3r Traveller,Bibliophage</t>
  </si>
  <si>
    <t>Chris Osgood</t>
  </si>
  <si>
    <t>US Army Rakkasans</t>
  </si>
  <si>
    <t>Murali Krishna G</t>
  </si>
  <si>
    <t>hyderabad India</t>
  </si>
  <si>
    <t>Promoting Nutrigenomics Technology - for protecting all bio spheres-agriculture,livestock n human-for healthy food-RT's are not necessarily my endorsements</t>
  </si>
  <si>
    <t>AJIT KUMAR CHAND</t>
  </si>
  <si>
    <t>बालेश्वर, भारत</t>
  </si>
  <si>
    <t>Hi</t>
  </si>
  <si>
    <t>Rajendra Rajwade</t>
  </si>
  <si>
    <t>Love politics &amp; games. RTs not endorsement and tweet are personal.</t>
  </si>
  <si>
    <t>K L G</t>
  </si>
  <si>
    <t>BJP https://t.co/Fsnj54sYjP</t>
  </si>
  <si>
    <t>RT @tweetnewsfeeds: Japan's Abe vows to put education spending before budget balance - Reuters https://t.co/QSNCr6qiCS #news</t>
  </si>
  <si>
    <t>FRM34BEES</t>
  </si>
  <si>
    <t>Your neighbor</t>
  </si>
  <si>
    <t>Political science</t>
  </si>
  <si>
    <t>RT @SCMP_News: Abe’s election super majority puts Japan’s pacifist constitution in his crosshairs again https://t.co/JdiNn2hZZW</t>
  </si>
  <si>
    <t>TJP@TerryeP</t>
  </si>
  <si>
    <t>DHERENDRA PRATAP</t>
  </si>
  <si>
    <t xml:space="preserve">Almora, Uttarakhand , India </t>
  </si>
  <si>
    <t>धीरेन्द्र प्रताप सिंह -- महामंत्री, मीडिया प्रभारी, भा ज यु मो, मछोड मंडल, विधानसभा सल्ट,अल्मोड़ा, उत्तराखंड.... आदर्श.. @narendramodi @amitshah @tsrawatbjp</t>
  </si>
  <si>
    <t>Chi Hon 韓志</t>
  </si>
  <si>
    <t>尋找那個特別的 and 朋友 seeking dreamer dreams of becoming a pro bono &amp; ... giving professional supported by caring friends, learning inspiring values</t>
  </si>
  <si>
    <t>Taro たつのこ太郎</t>
  </si>
  <si>
    <t>Somewhere in East Asia</t>
  </si>
  <si>
    <t>Aged Optical Engineer. Street Photographer. Gov. Certified Interpreter Guide. Globe Watcher. Love Arthur Ransome's S&amp;A series, Kyoto, Izu &amp; Hawaii.</t>
  </si>
  <si>
    <t>ARYA</t>
  </si>
  <si>
    <t>Purpleibby</t>
  </si>
  <si>
    <t>Love 80's culture, 80's metal, 80's music, 80's US President, and Trump! MAGAFE!</t>
  </si>
  <si>
    <t>sudeep jaiswal</t>
  </si>
  <si>
    <t>アキラ</t>
  </si>
  <si>
    <t>無言フォローお許しくださいm(_ _)m去年くらいからニュースや番組に不信感を抱き、沖縄基地の機動隊土人発言偏向報道で確信に変わりました。自身の不勉強を悔みながらも、少しずつ皆様から勉強させて頂いております。未来の日本の子供達が幸せでありますように。</t>
  </si>
  <si>
    <t>હરખ પદુળા કાકા</t>
  </si>
  <si>
    <t>only RT</t>
  </si>
  <si>
    <t>HON DERRICK OMONDI</t>
  </si>
  <si>
    <t>The Member of county Assembly for kisumu Market Millimani ward</t>
  </si>
  <si>
    <t>devendra AHLUWALIA</t>
  </si>
  <si>
    <t>Kanpur, Uttar Pradesh</t>
  </si>
  <si>
    <t>Kamal Mehadia</t>
  </si>
  <si>
    <t>Ramdaspet, Nagpur</t>
  </si>
  <si>
    <t>Katy Balls</t>
  </si>
  <si>
    <t>Shinzo Abe breaks the 2016/17 snap election curse – CC. Malcolm Turnbull, Theresa May https://t.co/1orhBsOXRQ</t>
  </si>
  <si>
    <t>@Spectator's Political Correspondent. @theipaper columnist. All views are Balls [kballs@spectator.co.uk]</t>
  </si>
  <si>
    <t>Siddhant BHARDWAJ</t>
  </si>
  <si>
    <t>RSS स्वयंसेवक एवं विद्यार्थ l Followed by @PiyushGoyalOffc</t>
  </si>
  <si>
    <t>モブ♂</t>
  </si>
  <si>
    <t>神の国</t>
  </si>
  <si>
    <t>正しく生きた先に自分の幸せがある 天皇弥栄( *・ω・)ノ🍊</t>
  </si>
  <si>
    <t>Jibé</t>
  </si>
  <si>
    <t>RT @ReutersIndia: Prime Minister Shinzo Abe to push for reforms to Japan's post-war pacifist constitution after strong election win. https:…</t>
  </si>
  <si>
    <t>informar, share, verbaliser!</t>
  </si>
  <si>
    <t>bill eijgenberger</t>
  </si>
  <si>
    <t>What now for Japan after Abe's landslide election victory? https://t.co/tatYkl3Ooc</t>
  </si>
  <si>
    <t>स्वयंभू...!</t>
  </si>
  <si>
    <t>सोने की लंका</t>
  </si>
  <si>
    <t>एको अहं दूज़ो ना अस्ती... न भूतो न भविष्यति... #लंकेश</t>
  </si>
  <si>
    <t>まやこ</t>
  </si>
  <si>
    <t>スポーツ観戦と海外ドラマ、洋画メイン。Richard Armitage好き。テニス、自転車、サッカー観戦時は呟き多めです。F/Rご自由に。</t>
  </si>
  <si>
    <t>Oliver Jia (オリバー・ジア)</t>
  </si>
  <si>
    <t>North Korea blasts Japan for using election to 'pave groundwork' for invasion | The Japan Times https://t.co/iI3AJbfuS7</t>
  </si>
  <si>
    <t>Kobe, Japan</t>
  </si>
  <si>
    <t>Studying to be an educator specializing in Japanese culture. Also enjoys films, games, literature, and history. Skeptical by nature. Views are my own. ENG/日本語</t>
  </si>
  <si>
    <t>Steven Pieragastini</t>
  </si>
  <si>
    <t>RT @PM_Thornton: What a Shinzo Abe win will mean for #China-#Japan relations: China more of a threat than opportunity https://t.co/ERDnA0cl…</t>
  </si>
  <si>
    <t>Visiting Assistant Professor, History Department, Boston College</t>
  </si>
  <si>
    <t>Radhakrishnan Nair</t>
  </si>
  <si>
    <t>妖怪オカリナ人間べってぃ(日本付け目党）</t>
  </si>
  <si>
    <t>Hokkaido, Japan</t>
  </si>
  <si>
    <t>No music, no life! I love playing the ocarina and the guitar🎵 日本付け目党は、付け目を愛する人たちの集まりです。それ以上でも以下でもありません。党首はただの言い出しっぺです。偉い人じゃありません。基本、機械的なフォロバしない方針です。ご了承ください。</t>
  </si>
  <si>
    <t>VitalAnon</t>
  </si>
  <si>
    <t>#world: Shinzo Abe retains supermajority in Japan’s election, may push to amend constitution https://t.co/vIBYCUpoO0</t>
  </si>
  <si>
    <t>Collective Truth Seekers</t>
  </si>
  <si>
    <t>#Anonymous #Science #Technology #Animalrights #ClimateChange #Yemen #Security #Privacy #OpISIS Chat: ProtonMail | XMPP | Viber | Riot | TOR | Wickr | RT≠Endorse</t>
  </si>
  <si>
    <t>N.Elisabet Naibaho</t>
  </si>
  <si>
    <t>#Indonesia</t>
  </si>
  <si>
    <t>unwanted.</t>
  </si>
  <si>
    <t>yashwant nagar</t>
  </si>
  <si>
    <t>mumbai andheri (east)</t>
  </si>
  <si>
    <t>Eiichiro Yanagawa</t>
  </si>
  <si>
    <t>Japan election pushes Nikkei 225 to record 15th consecutive gain- Nikkei Asian Review https://t.co/EMSht4FQsc</t>
  </si>
  <si>
    <t>Minato-ku, Tokyo, Japan</t>
  </si>
  <si>
    <t>Senior analyst with Celent's Asian Financial Services group and is based in the firm’s Tokyo office.</t>
  </si>
  <si>
    <t>NewsBlogged</t>
  </si>
  <si>
    <t>AP: After election win, Abe prioritizes North Korea, aging Japan https://t.co/ggAFaSy30N</t>
  </si>
  <si>
    <t>NewsBlogged brings you the latest news, news videos and live news videos from around the world.</t>
  </si>
  <si>
    <t>taro kunugi</t>
  </si>
  <si>
    <t>Ricoh GRII Photography Jomon Pottery Haiku Renku</t>
  </si>
  <si>
    <t>Parth Soni</t>
  </si>
  <si>
    <t>Jamnagar</t>
  </si>
  <si>
    <t>Plant Engineer at Gujarat State Fertilizer &amp; Chemicals Limited.</t>
  </si>
  <si>
    <t>Srikanth Manchikanti</t>
  </si>
  <si>
    <t>Fyrestar</t>
  </si>
  <si>
    <t>Connecting dots #Climate #Si2 #GMO #Vegan #Periscope #NASA #ESA #Music #Science #Legalize #Technology #Surfing #BLM #Humanity #Resistance</t>
  </si>
  <si>
    <t>クリーンマン</t>
  </si>
  <si>
    <t>H29.3.25飼い猫｢はな｣病気で亡くした享年１５歳５ケ月 ｢はな｣に会いたい。 犬猫殺処分反対！ ペットショップ生体展示販売絶対反対！ ！ ＆ 嫌韓、嫌中。</t>
  </si>
  <si>
    <t>Manoranjan kumar</t>
  </si>
  <si>
    <t>Nalanda, India</t>
  </si>
  <si>
    <t>Born in Jan 1970</t>
  </si>
  <si>
    <t>Raashi Bhatia</t>
  </si>
  <si>
    <t>Delhi, San Francisco Bay Area</t>
  </si>
  <si>
    <t>India. Intl Security. Foreign Policy. SOCENT. True Crime TV. Space. Tutor Ops @CourseHero. Mama to Leo. Georgetown &amp; LSR alum. Views own.</t>
  </si>
  <si>
    <t>Yogarajah Sgy</t>
  </si>
  <si>
    <t>กระทรวงการต่างประเทศ</t>
  </si>
  <si>
    <t>Prime Minister of Thailand sent a Congratulatory Message to the Prime Minister of Japan on Winning the Election https://t.co/UuDS1zxS23</t>
  </si>
  <si>
    <t>ติดตามข่าวสารเพิ่มเติมบนโซเชียลมีเดียอีกช่องทางที่ Facebook : กระทรวงการต่างประเทศ</t>
  </si>
  <si>
    <t>Deepak Pai</t>
  </si>
  <si>
    <t>chirag rawal</t>
  </si>
  <si>
    <t>Modi bhkt ,indian army ,RSS bhkt , against deshdrohi ,dogle log........Jay mahakal</t>
  </si>
  <si>
    <t>Sumit Rana</t>
  </si>
  <si>
    <t>PATRIOTIC INDIAN. Bhakt Of NARENDRA MODI, Jai Hind, VANDE MATARAM, BHARAT MATA ki Jai</t>
  </si>
  <si>
    <t>Dinesh Choudhary</t>
  </si>
  <si>
    <t>सनातन धर्म ही हिन्दू धर्म है।</t>
  </si>
  <si>
    <t>RaHul SiNgH RaJpOoT</t>
  </si>
  <si>
    <t>lucknow Uttar pradesh</t>
  </si>
  <si>
    <t>ॐ त्र्यम्बकं यजामहे सुगन्धिं पुष्टिवर्धनम्। उर्वारुकमिव बन्धनान् मृत्योर्मुक्षीय मामृतात्॥ #wanderlust #staunch_hindu_nationalist⛳⛳ #proud_to_be_a_rajput</t>
  </si>
  <si>
    <t>Josh Porter</t>
  </si>
  <si>
    <t>Sapulpa, Oklahoma, USA</t>
  </si>
  <si>
    <t>Christian. Husband. Father. Entrepreneur. Conservative. Musician. Artist. Conspiracy Theorist. Coach. Outdoorsman.</t>
  </si>
  <si>
    <t>Saurabh Aglave</t>
  </si>
  <si>
    <t>🙏 रघुकुलरीती सदा चली आई,प्राण जाई पर वचन ना जाई 🙏 किसान हु ,खेती करता हु, सेकुलर कीड़ो पर कीटनाशक फवारता हु 🌷चप्पा चप्पा भाजपा 🌷अब केरल मे भी कमल खिलेगा 🌷</t>
  </si>
  <si>
    <t>KNRamesh</t>
  </si>
  <si>
    <t>ねずみ王様</t>
  </si>
  <si>
    <t>くにざかいのまち</t>
  </si>
  <si>
    <t>Tyrant of Death, responsable for the death of 200 million people, bbc says. https://t.co/WimmNczqTh</t>
  </si>
  <si>
    <t>Deirdre Walsh</t>
  </si>
  <si>
    <t>Interested in science and the humanities. Keen syfy fan, huge star trek fan. Also into current affairs and economics. Pretty curious about everything.</t>
  </si>
  <si>
    <t>Justin Bertini</t>
  </si>
  <si>
    <t>Shinzo Abe just moved closer to becoming Japan’s longest-serving leader https://t.co/VkrOypJgUx via @qz</t>
  </si>
  <si>
    <t>Encinitas, CA</t>
  </si>
  <si>
    <t>Goldstein</t>
  </si>
  <si>
    <t>What now for Japan after Abe's landslide election victory? https://t.co/xC15aKCX9v</t>
  </si>
  <si>
    <t>Selvaraj Desikan</t>
  </si>
  <si>
    <t>News Business and Financial News Lifestyle Travel Government and Politics Business &amp; CEOs</t>
  </si>
  <si>
    <t>Japan’s Abe vows to put education spending before budget balance – Reuters https://t.co/WQJJHErdcB</t>
  </si>
  <si>
    <t>l_u</t>
  </si>
  <si>
    <t>I am a social democrat from Japan. Japan's democracy needs the Open Primary Campaign.</t>
  </si>
  <si>
    <t>Himanshu Dev Sharma</t>
  </si>
  <si>
    <t>A Hindu Nationalist.Project Management for livelihood..Educationalist..Martial Arts enthusiast..1st Dan Black Belt in Karate..भारत माता की जय..गौ माता की जय !!</t>
  </si>
  <si>
    <t>West Virginia Topics</t>
  </si>
  <si>
    <t>@wochit Japan's Abe Wins Election, To Push Paficism Revision https://t.co/c44USdbjhF</t>
  </si>
  <si>
    <t>Morgantown, WV</t>
  </si>
  <si>
    <t>dubvNOW started as a weekly handout sheet on #WVU campus in 2011 - 5,000 copies a week. Now... we post links to articles &amp; videos. connect to team@dubvLIVE.com</t>
  </si>
  <si>
    <t>gorichangblog</t>
  </si>
  <si>
    <t>Anywhere</t>
  </si>
  <si>
    <t>おじさん</t>
  </si>
  <si>
    <t>simran bhatia</t>
  </si>
  <si>
    <t>I am biggest supporter of modi ji. He is working good and I think he will fulfill all his promises.</t>
  </si>
  <si>
    <t>NewOrleanIan</t>
  </si>
  <si>
    <t>New Orleans, La./Austin, Tx.</t>
  </si>
  <si>
    <t>Courage is not the absence of fear. It is doing what is right and just in spite of being afraid.</t>
  </si>
  <si>
    <t>ShyWriter™</t>
  </si>
  <si>
    <t>After election win, Abe prioritizes North Korea, aging Japan https://t.co/kvNHYCQgBT</t>
  </si>
  <si>
    <t>My mind follows serendipitous events. MARS soon; TRAPPIST-1 sys. later? THE original "ShyWriter"©1995 USAF=1963-70 ~ RT/Follow≠Endorse! +Me to LISTS=U BLOCKED!</t>
  </si>
  <si>
    <t>ＮＫ</t>
  </si>
  <si>
    <t>観劇、ライブ鑑賞が大好きなFANKSです。 底辺でわからないなりに勉強、迷子中。 特定の支持はありません。 読む方が主で、自戒 個人的メモも含めRT多いです。 フォローご希望の際は一言メッセージをお願い致します（TL氾濫につき、フォローバック出来ずすみません）。 090703</t>
  </si>
  <si>
    <t>#France24 #En #Youtube Japan's stocks on record winning streak after Abe's election victory https://t.co/RmpZgxnyQk</t>
  </si>
  <si>
    <t>Siddharth🇮🇳</t>
  </si>
  <si>
    <t>Blessed to be followed by PM @narendramodi ResearchFellow@#IndiaFoundation Tracking #IndianForeignPolicy #IndiaChinaUSA International Relations, IndoAsiaPacific</t>
  </si>
  <si>
    <t>Study CIMA</t>
  </si>
  <si>
    <t>Japan election: Shinzo Abe's economy faces huge challenges https://t.co/BwPeitIVzG via drumup.io https://t.co/QHm3K7Sa3A</t>
  </si>
  <si>
    <t>#CIMA Online free study resources</t>
  </si>
  <si>
    <t>RAJPUTANA ATUL.</t>
  </si>
  <si>
    <t>BANGLORE.</t>
  </si>
  <si>
    <t>I AM SIMPLE HONEST, GOD PLEASE BLESS ME ALWAYS!!</t>
  </si>
  <si>
    <t>Om Prakash Paliwal</t>
  </si>
  <si>
    <t>Purani Basti, Jaipur</t>
  </si>
  <si>
    <t>Myself Sr Professionar of PR Liaisions from big industrial house of India Ex-DCM and similarly now for Realestate groups Harbingar ,100 Co-founder Start-up no 1</t>
  </si>
  <si>
    <t>vijay sharma</t>
  </si>
  <si>
    <t>archivist_kyoto</t>
  </si>
  <si>
    <t>京都／大阪</t>
  </si>
  <si>
    <t>Fukusima,Yukihiro archives／公文書館／図書館／library／歴史学／京都／大阪 如何なる組織の見解も代表してないこと、また、RTがすべて賛意を表している訳ではないこと、両点、申し添えます。 https://t.co/J6db8yqBiZ http://t.co/qP4mCkPkP5</t>
  </si>
  <si>
    <t>Shinzo Abe sweeps to resounding victory in Japan vote https://t.co/1nhZM2oBuP via @economictimes</t>
  </si>
  <si>
    <t>Devendra PratapSingh</t>
  </si>
  <si>
    <t>Fatehpur-Allahabad-Hyderabad</t>
  </si>
  <si>
    <t>Software Development Engineer @ Amazon ( एक भारत , श्रेष्ठ भारत )</t>
  </si>
  <si>
    <t>Japan’s Abe vows to put education spending before budget balance – Reuters https://t.co/J8izEwinKN</t>
  </si>
  <si>
    <t>くみねこ★(祝)安倍自民党圧勝！</t>
  </si>
  <si>
    <t>THE FAKE OF NANKING MASSACRE！/ FREE TIBET！/ FREE UYGHUR！/ 無言フォロー・フォロバ失礼致します。通知が見れない事が多々あり、返信がもれてましたらお許し下さいm(_ _)m 安倍政権応援しています。昭和レトロな雑貨等大好きです♪宜しくお願いします(*^_^*)</t>
  </si>
  <si>
    <t>Modi Fan</t>
  </si>
  <si>
    <t>उत्तर प्रदेश, भारत</t>
  </si>
  <si>
    <t>Smith Bronson</t>
  </si>
  <si>
    <t>A good life is when you smile often, dream big, laugh a lot, and realize how blessed you are for what you have. IT Consultant | Product Development | Web design</t>
  </si>
  <si>
    <t>フローズンまげぱ</t>
  </si>
  <si>
    <t>ディジタルうどん県そうめん村</t>
  </si>
  <si>
    <t>まげぱです。Mage Whopperと書きます。🍣待ち 美味しいものが食べたい 干し芋 https://t.co/nXO9Aa5mRX</t>
  </si>
  <si>
    <t>I am New India🇮🇳</t>
  </si>
  <si>
    <t>MERA DESH BHARAT</t>
  </si>
  <si>
    <t>ॐJAY JAGANNATH ॐ The Nation Builder PM NaMo Transforming BHARAT.</t>
  </si>
  <si>
    <t>cancan</t>
  </si>
  <si>
    <t>好きなものは洋画、宝塚、歴史、アート、旅などなど</t>
  </si>
  <si>
    <t>amit siddhartha</t>
  </si>
  <si>
    <t>Flibbertigibbet, Information-seeker &amp; analytical, Spiritual, Hold Conviction, MBA in Marketing, still learning lessons of life!</t>
  </si>
  <si>
    <t>manu.et.mente</t>
  </si>
  <si>
    <t>千葉県木更津市</t>
  </si>
  <si>
    <t>Born and brought up in Kisarazu. BCom in Finance, the UNSW, Sydney. Just uttering myself. Not really interesting.</t>
  </si>
  <si>
    <t>Worldwide News Tube</t>
  </si>
  <si>
    <t>Japan's Abe vows to put education spending before budget balance https://t.co/3JEgwx6Y2L</t>
  </si>
  <si>
    <t>Worldwide breaking news on politics, science and shocking events of the world.</t>
  </si>
  <si>
    <t>SUNIL SHAH</t>
  </si>
  <si>
    <t>DELHI NCR</t>
  </si>
  <si>
    <t>A PROUD MODI BHAKT. RTs NOT ENDORSEMENT...</t>
  </si>
  <si>
    <t>#SixthMassExtinction</t>
  </si>
  <si>
    <t>#Fukushima news for 10/23/17 Guy Sneaks into #Fukushima and takes photos In other news, PM Abe wins election and takes Japan pro-nuke</t>
  </si>
  <si>
    <t>#Fukushima and #GeoEngineering are ACCELERATING #ClimateChange and the extinction of humanity #SpeakUp, steal my tweets, spread awareness! #SixthMassExtinction</t>
  </si>
  <si>
    <t>Indra Narayan Choudh</t>
  </si>
  <si>
    <t>Faridabad, India</t>
  </si>
  <si>
    <t>Indra Narayan Choudhary S/o Mr. Pulkit Choudhary I am from Bihar now in Faridabad and working in Apollo International Ltd Noida as assistant manager - Accounts.</t>
  </si>
  <si>
    <t>Balram Vaidya</t>
  </si>
  <si>
    <t>Rabobank Economics</t>
  </si>
  <si>
    <t>Japan: Abe’s election ‘gamble’ turned into victory https://t.co/d6SnmRsqsk https://t.co/3mnQOmQA6W</t>
  </si>
  <si>
    <t>Utrecht, Netherlands</t>
  </si>
  <si>
    <t>Rabobank's economists about (inter)national economic developments</t>
  </si>
  <si>
    <t>Bretton Woods Com</t>
  </si>
  <si>
    <t>#BWCom #DailyNews via @ft Shinzo #Abe gains big victory in #Japan #election #globalecon https://t.co/k4ED06xWNA</t>
  </si>
  <si>
    <t>Bretton Woods Committee : Network of global citizens working to demonstrate the value of intl econ cooperation &amp; foster effective Bretton Woods Institutions</t>
  </si>
  <si>
    <t>koganehakogame</t>
  </si>
  <si>
    <t>Japan-Nippon（日本）</t>
  </si>
  <si>
    <t>「日本の主権を再確立する会」準備委員。受動喫煙防止のための路上・屋内完全禁煙を求めています。日本の国土を守るため外国人及び外国資本による日本国の土地売買の規制強化実施を要望します。外国人への生活保護支給禁止を国と各自治体に要望。憲法第9条には自衛隊を明記するべきと考えています🇯🇵</t>
  </si>
  <si>
    <t>Nishtha Satyam</t>
  </si>
  <si>
    <t>Head- Strategic Partnerships, Policy Impact and PR @unwomenindia . Futurist. Feminist. People, Policy and Profits and their interplay excites me!</t>
  </si>
  <si>
    <t>@i__Global</t>
  </si>
  <si>
    <t>Abe to push reform of Japan's pacifist constitution after election win https://t.co/0G830iQPqi</t>
  </si>
  <si>
    <t>Japan's Abe vows to put education spending before budget balance - Reuters https://t.co/l8HS1ZHYRK https://t.co/yVlAb793tm</t>
  </si>
  <si>
    <t>doug stuber</t>
  </si>
  <si>
    <t>RT @LivingOnChi: #Fukushima news for 10/23/17 Guy Sneaks into #Fukushima and takes photos In other news, PM Abe wins election and takes Ja…</t>
  </si>
  <si>
    <t>Chapel Hill, NC</t>
  </si>
  <si>
    <t>Poet, Artist, Musician.</t>
  </si>
  <si>
    <t>Deepak Kumar</t>
  </si>
  <si>
    <t>परीक्षितगढ़, भारत</t>
  </si>
  <si>
    <t>岡安 由遊子（通常モード）</t>
  </si>
  <si>
    <t>酒場  職場  猫場  その他</t>
  </si>
  <si>
    <t>猫と酒とカラオケが大好き。アイコンはとりのささみ。先生に描いて頂きました(^^)。ヘッダーの黒猫はアトム♂（H29.5.14 天に召されました）覆面猫ウラン♀も可愛くてたまりません。機械音痴です。失礼がありましたら何卒ご容赦下さいませ。イイネ、リツイも多いです。無言フォローご自由に。無言フォローご容赦下さいませ。</t>
  </si>
  <si>
    <t>Ismo</t>
  </si>
  <si>
    <t>RT @ReutersScience: Typhoon kills at least two in Japan, prompts call for thousands to evacuate https://t.co/KyyIh3Bvmd https://t.co/jpvAid…</t>
  </si>
  <si>
    <t>It's Nice To Be Important, But It's More Important To Be Nice</t>
  </si>
  <si>
    <t>RT @CGTNOfficial: #Japan's ruling party, led by #ShinzoAbe, expected to win majority in lower house election https://t.co/CUuWcskYli</t>
  </si>
  <si>
    <t>guy tamarro</t>
  </si>
  <si>
    <t>Japan's Abe vows to put education spending before budget balance - Reuters: Reuters Japan's… https://t.co/P9Cobcn0Gx</t>
  </si>
  <si>
    <t>Utkarsh Suryavanshi</t>
  </si>
  <si>
    <t>Hindu and proud. Hard-nosed pragmatist. Keen defence &amp; nation enthusiast. The only good Commie/Sickularist is a dead Commie/Sickularist.</t>
  </si>
  <si>
    <t>Anupam Dey</t>
  </si>
  <si>
    <t>India, Montréal, Québec</t>
  </si>
  <si>
    <t>CS researcher,AI &amp; DATA MINING,Cognitive sc. I am liberal but not pseudo liberal. ReTweet NOT an endorsement. Followings are not endorsement #Centrist</t>
  </si>
  <si>
    <t>PharmaMarketAccess</t>
  </si>
  <si>
    <t>RT @reutersBenHir: Another #referendum coming up --&gt; #Japan's #Abe to push pacifist constitution reform after strong election win https://t…</t>
  </si>
  <si>
    <t>Sub-Saharan Africa</t>
  </si>
  <si>
    <t>Market access professionals focused on Pricing, Pharmacoeconomics, Public Policy, Outcomes Research, and the Reimbursement of medicines in Sub-Saharan Africa.</t>
  </si>
  <si>
    <t>Doomsday's CW</t>
  </si>
  <si>
    <t>Activist, FmrJourno, Historian, Earthling #NoH8 #NoNukes #NoDAPL #IdleNoMore #HumanRights #GetMoneyOut #LGBTQ #SandersGabbard2020 Aganst #Oligarchy #Corruption</t>
  </si>
  <si>
    <t>RT @socialmedia4bjp: Narendra Modi congratulates Shinzo Abe on re-election in Japan https://t.co/svnRHnzunz https://t.co/EgKgYgvi3b</t>
  </si>
  <si>
    <t>Namasake</t>
  </si>
  <si>
    <t>The Truth is Incontrovertible, Malice may Attack it, Ignorance may Derail it but in the end There it is.</t>
  </si>
  <si>
    <t>Dan Moshenberg</t>
  </si>
  <si>
    <t>What now for #Japan after Abe's landslide election victory? https://t.co/iC3maoOlYh</t>
  </si>
  <si>
    <t>DC/Cape Town</t>
  </si>
  <si>
    <t>Women In and Beyond the Global, WIBG, is an open access feminist forum which focuses on women in and beyond the global household, global prison, global city.</t>
  </si>
  <si>
    <t>Mt_violaki</t>
  </si>
  <si>
    <t>愛媛県</t>
  </si>
  <si>
    <t>時事RT過密アカ。最近は家事子育てに追われてます。アメコミ/映画/花/魚/山歩き/ゲーム。本読む時間がない… 自公お維希望に投票しないよ。あと党派性もいらないよ。 NO ABE. NO JIMIN.</t>
  </si>
  <si>
    <t>What now for #Japan after #Abe's landslide #election #victory? - the guardian https://t.co/L7GQ5lK5gQ</t>
  </si>
  <si>
    <t>Abhay</t>
  </si>
  <si>
    <t>INDIAN | ❤ INDIAN ARMY | ❤ Cricket | Movies - PK-Nani Fan💙 | FOODIE💙</t>
  </si>
  <si>
    <t>うさぎ 🐇 Rabbit</t>
  </si>
  <si>
    <t>Anti-Austerity. 反緊縮うさぎ💰ポリティカルコンパスでは左派リベラルに位置💡 生きてるうちに好景気を経験したいんじゃ〜</t>
  </si>
  <si>
    <t>Neelam Vasant Parab</t>
  </si>
  <si>
    <t>bremont Alfredo</t>
  </si>
  <si>
    <t>will yellowstone save humanity? blow up his top buried forever the scum of the earth usa of america ? https://t.co/aNO5EEOW3e</t>
  </si>
  <si>
    <t>France/Paris</t>
  </si>
  <si>
    <t>artist, lover of art and women who are a work of art .. the philosophy of men, fire,water,air,matter. art A harmonious pleasure. films writer, wine.</t>
  </si>
  <si>
    <t>Shubham Srivastava</t>
  </si>
  <si>
    <t>Dharmic Gunner</t>
  </si>
  <si>
    <t>NAMO BHAKT!</t>
  </si>
  <si>
    <t>Memphis bell</t>
  </si>
  <si>
    <t>ゆっくりまったりの通り道 鍵垢さんは一言お声がけ下さい。</t>
  </si>
  <si>
    <t>Media覚書</t>
  </si>
  <si>
    <t>Lokesh</t>
  </si>
  <si>
    <t>Chicago Bears Fans</t>
  </si>
  <si>
    <t>#BearsNation #Bears #ChicagoBears After election win, Abe prioritizes North Korea, aging Japan https://t.co/bcRjE65MeA</t>
  </si>
  <si>
    <t>Chicago Bears Fan Page. NOT linked to Official Chicago Bears. #BearsNation #Bears #ChicagoBears #BearDown #DaBears #BearsTalk</t>
  </si>
  <si>
    <t>Serhan DUMAN</t>
  </si>
  <si>
    <t>sadece on üç harflik kahraman olmanın gayretinde</t>
  </si>
  <si>
    <t>Salman's Tiger</t>
  </si>
  <si>
    <t>Dnt care wht world thinks,i m on my own #Fighter #supersalmanfan :)</t>
  </si>
  <si>
    <t>Anurag Pandey</t>
  </si>
  <si>
    <t>वड़ोदरा, भारत</t>
  </si>
  <si>
    <t>भारत सरकार राजनीतिक पार्टियों सरकार और राजनीति बोलीवुड टीवी सरकार और राजनीति मनोरंजन टीवी समाचार समाचार बोलीवुड</t>
  </si>
  <si>
    <t>Harish Purohit</t>
  </si>
  <si>
    <t>Rt and favorite doesn't mean that I subscribe to the views. Equal rights and equal protection I believe in. Blessed to be followed by Hon'ble PM @narendramodi G</t>
  </si>
  <si>
    <t>ふくまる</t>
  </si>
  <si>
    <t>北海道 札幌市</t>
  </si>
  <si>
    <t>ラクなほうに流されて沈黙する善人になるより、ちゃんと子供たちの未来の為に声を上げていく大人でありたいなー、と日々思っています。フォロー･リツイ、ありがとうございます。個別にお礼は送ってません。スミマセン（￣～￣；）</t>
  </si>
  <si>
    <t>Harikrishna</t>
  </si>
  <si>
    <t>Kodigehalli</t>
  </si>
  <si>
    <t>Ex Abvp Taluq Conveniour,Ex Treasurer BJYM Byatarayanapura Assembly Constituency,BJP Karyakarta @ Byatarayanapura.</t>
  </si>
  <si>
    <t>The History Master</t>
  </si>
  <si>
    <t>Just a historian &amp; political analyst for East Asia with a pretentious twitter handle. Follow the blog below if you're looking for more.</t>
  </si>
  <si>
    <t>h.yamaguchi</t>
  </si>
  <si>
    <t>Tokyo 東京</t>
  </si>
  <si>
    <t>地震とその後のメディアの惨状にショックを受け、ツイッターへやって来ました。原発の爆発映像を見たときの体の震えは一生忘れないと思う。〈オペラ ドキュメンタリー映画 里山のいきもの 雪山ハイキング 成年後見制度〉</t>
  </si>
  <si>
    <t>shure</t>
  </si>
  <si>
    <t>on a leaf</t>
  </si>
  <si>
    <t>a calculator</t>
  </si>
  <si>
    <t>Situ Jayal</t>
  </si>
  <si>
    <t>राष्ट्रवादी हिन्दू सेना कि तरफ से हार्दिक अभिन्दन 🚩🚩 मेरे आदर्श मोदी जी 🚩🚩</t>
  </si>
  <si>
    <t>Kajal</t>
  </si>
  <si>
    <t>まきまき</t>
  </si>
  <si>
    <t>Janetter for iPhone</t>
  </si>
  <si>
    <t>✌('ω')✌ｽｯ</t>
  </si>
  <si>
    <t>元獣医の現医学生、医学部学士編入勢。TLをたまーにものすごい勢いで流すことが得意なフレンズだよ！医療クラスタ、株クラスタ、FF14クラスタが主なナワバリだよ！言語能力は低いけど、フレンズによって得意なことは違うから気にしない！たーのしー！</t>
  </si>
  <si>
    <t>New York Investor</t>
  </si>
  <si>
    <t>Stocks Climb to Start the Week - Wall Street Journal https://t.co/ouQuf6ltkM</t>
  </si>
  <si>
    <t>I Look at a Hundred Deals a Day. I Pick ONE.</t>
  </si>
  <si>
    <t>Ms.Lawrence</t>
  </si>
  <si>
    <t>MOTHER NATURE the serial killer..of World Issues, Master of Medicine, Governmental systems, Astrology, the ARTs, Philosophy, Evolution, Theology, etc.etc etc.</t>
  </si>
  <si>
    <t>saurav suman</t>
  </si>
  <si>
    <t>Assistant Professor in Guru Nanak institute of Engineering &amp; Management. Nagpur. My Home Town is Samastipur (Bihar)</t>
  </si>
  <si>
    <t>himanshu Prasad</t>
  </si>
  <si>
    <t>Raj</t>
  </si>
  <si>
    <t>Justin Tetyevsky</t>
  </si>
  <si>
    <t>HF Economist feat. Soros' wisdom, Gundlach's flamboyance, &amp; Druckenmiller's risk perception with Buffet's common sense &amp; Dalio's spirituality: I too, like $AGN.</t>
  </si>
  <si>
    <t>Vishal sharma</t>
  </si>
  <si>
    <t>@divyeshpadamani</t>
  </si>
  <si>
    <t>Patricia Farrell</t>
  </si>
  <si>
    <t>With a landslide win, Shinzo Abe could be ready to rewrite Japan's pacifist constitution https://t.co/IvvdGzqlsf</t>
  </si>
  <si>
    <t>Dr. Farrell is a licensed psychologist, stress expert, author, photographer, interested in film, Python coding, writing, and health: http://t.co/VT8mvcAvRz</t>
  </si>
  <si>
    <t>mAt global</t>
  </si>
  <si>
    <t>Japan's Abe vows to put education spending before budget balance - Reuters https://t.co/zFaPPGb77a News US</t>
  </si>
  <si>
    <t>world</t>
  </si>
  <si>
    <t>media #mAt #global world #africa #asia #europe #america #australia</t>
  </si>
  <si>
    <t>santosh</t>
  </si>
  <si>
    <t>JSG27th</t>
  </si>
  <si>
    <t>Michigan</t>
  </si>
  <si>
    <t>I am too old to be playing on Twitter,doing it https://t.co/3u20zlXq5d drawing,photography,re😀 😀,Movies,Comics,Manga,Anime all funzs wo as soo waz swsz'$ stuff...</t>
  </si>
  <si>
    <t>AL</t>
  </si>
  <si>
    <t>Franck</t>
  </si>
  <si>
    <t>FRANCE 24 English</t>
  </si>
  <si>
    <t>BUSINESS DAILY - Japan's stocks on record winning streak after Abe's election victory https://t.co/CN8ZHrQXzp https://t.co/PxoS3yVDcx</t>
  </si>
  <si>
    <t>Paris, France</t>
  </si>
  <si>
    <t>🌍 The French international news channel live 24/7 from Paris - Follow us for top stories on #business, #politics and #sports - 🔴 Breaking Alerts: @BreakingF24</t>
  </si>
  <si>
    <t>Subramanyam K.V.</t>
  </si>
  <si>
    <t>Hyderabad.</t>
  </si>
  <si>
    <t>S/W engineer by profession, blogger by passion. A Toast Master, ardent book reader, book reviewer. Agile enthusiast......http://t.co/BLOyUwLgvR</t>
  </si>
  <si>
    <t>Krishna Singh</t>
  </si>
  <si>
    <t>#भारतीय, #xIndianArmy #Bjp</t>
  </si>
  <si>
    <t>#plamedi_kisungu</t>
  </si>
  <si>
    <t>RT @France24_en: BUSINESS DAILY - Japan's stocks on record winning streak after Abe's election victory https://t.co/CN8ZHrQXzp https://t.co…</t>
  </si>
  <si>
    <t>République Démocratique Du Congo</t>
  </si>
  <si>
    <t>je suis plamedi kisungu donc je suis #suis pas encore le meilleur mais prochain sur la liste</t>
  </si>
  <si>
    <t>Kusai Kedri</t>
  </si>
  <si>
    <t>Japan's Abe vows to put education spending before budget balance https://t.co/fs5DlBTobQ</t>
  </si>
  <si>
    <t>Opinions expressed herein are strictly personal. RT not ndrsmnt</t>
  </si>
  <si>
    <t>TacticalFM</t>
  </si>
  <si>
    <t>Shinzo Abe on track for landslide victory, exit polls show #worldnews #actu https://t.co/xj1HFyvlXD https://t.co/Qz6205WapI</t>
  </si>
  <si>
    <t>Actualité mondiale et webradio depuis 2007</t>
  </si>
  <si>
    <t>Japan's Abe to push pacifist constitution reform after strong election win - https://t.co/0MVgNo68pG https://t.co/m4uMY81UiE</t>
  </si>
  <si>
    <t>BC NewsWire</t>
  </si>
  <si>
    <t>Re-elected Japanese PM vows hard line on North Korea - https://t.co/p2PmAylRz5 #worldnews</t>
  </si>
  <si>
    <t>Breaking International, Domestic and Local News, Features from International Social Media. #bcpoli #cdnpoli #worldpoli #worldnews #uspoli #vanpoli #topoli</t>
  </si>
  <si>
    <t>SunShine</t>
  </si>
  <si>
    <t>Let's all brighten up our World - every possible way...Our World, my Tweets-my Choice</t>
  </si>
  <si>
    <t>MOHEMMED</t>
  </si>
  <si>
    <t>Japan's Abe to push pacifist constitution reform after strong election win - https://t.co/LQv4ncguI0</t>
  </si>
  <si>
    <t>cupbord Community</t>
  </si>
  <si>
    <t xml:space="preserve">Egypt </t>
  </si>
  <si>
    <t>A tech blog focused on #blogging tips, #SEO, #socialmedia, #mobile #gadgets, pc tips, how-to guides and general #tips and #tricks https://t.co/Om6u3S52MQ</t>
  </si>
  <si>
    <t>Charles Muhammad</t>
  </si>
  <si>
    <t>#Gold hits 2-week low as PM Abe wins in #Japan election to keep easy-money policy, lifts #dollar https://t.co/gMI1CQ5Ryh</t>
  </si>
  <si>
    <t>Trader/Investor, Gold &amp; Silver Bullion Coin Buying Advisor, Co-Founder https://t.co/Hsd2VBduO8</t>
  </si>
  <si>
    <t>deenaut007</t>
  </si>
  <si>
    <t>From Devbhumi ... living in USA. Algo trading using ML. Born at Kashi. Sanatani ... son of vedic rishi muni</t>
  </si>
  <si>
    <t>omkar dubey</t>
  </si>
  <si>
    <t>Kalyan , Maharashtra,India</t>
  </si>
  <si>
    <t>Student in k.v Pendharkar clg,Kalyan.i love to read sci-fi books. INDIA is under #MODIfication , #मंदिर_wahi_बनाएंगे</t>
  </si>
  <si>
    <t>ASW</t>
  </si>
  <si>
    <t>RT @MFAThai: Prime Minister of Thailand sent a Congratulatory Message to the Prime Minister of Japan on Winning the Election https://t.co/U…</t>
  </si>
  <si>
    <t>14.149305,100.612188</t>
  </si>
  <si>
    <t>Parveen Kumar</t>
  </si>
  <si>
    <t>Chilling out in rainy day!</t>
  </si>
  <si>
    <t>ねぎ鍋</t>
  </si>
  <si>
    <t>好きな方は関ジャニ∞‼私の元気の源💝 ベーシストのKenKen✨神です🎵 安倍総理支持❗自民党支持です✨ 本気で美しく強い我が国の現状と未来を考える方々共感です。 大嫌いな物 朝日新聞 民進党 反日 嫌日 在日チョン 我が国日本を貶める人々 嘘を撒き散らすマスゴミ</t>
  </si>
  <si>
    <t>Dinesh Nayak</t>
  </si>
  <si>
    <t>Indian..</t>
  </si>
  <si>
    <t>PHL News Insider</t>
  </si>
  <si>
    <t>RT @ABSCBNNews: Abe to push reform of Japan's pacifist constitution after election win https://t.co/O1NvxJKXoR https://t.co/WywuG2mshb</t>
  </si>
  <si>
    <t>Dheeraj Guntupalli</t>
  </si>
  <si>
    <t>Proud Hindu, Blood group is Anti congress</t>
  </si>
  <si>
    <t>Adil Badgujar</t>
  </si>
  <si>
    <t>Alexandria, Egypt</t>
  </si>
  <si>
    <t>Adil</t>
  </si>
  <si>
    <t>Japan’s Abe to push pacifist constitution reform after strong election win: google_ad… https://t.co/oxLRPASt9s</t>
  </si>
  <si>
    <t>Ashishpurey1978</t>
  </si>
  <si>
    <t>SUSHIL KUMAR</t>
  </si>
  <si>
    <t>कुछ मन्द बुद्धि और गद्दारों को भी follow करता हुँ की जरुरत पड़ने पर इनको लतेड़ सकु</t>
  </si>
  <si>
    <t>SPS Gill</t>
  </si>
  <si>
    <t>Agra</t>
  </si>
  <si>
    <t>Orthopaedic Surgeon</t>
  </si>
  <si>
    <t>Bert Kimura</t>
  </si>
  <si>
    <t>Japan Ranks Low in Female Lawmakers. An Election Won’t Change That. via @NYTimes https://t.co/abxFnRRYP6</t>
  </si>
  <si>
    <t>Japan &amp; Hawaii</t>
  </si>
  <si>
    <t>I tweet, I learn. Curious about nature. TCC Online Conference coordinator. University of Hawaii, Kansai University faculty. Ukulele cat by Cane Haul Road.</t>
  </si>
  <si>
    <t>monta</t>
  </si>
  <si>
    <t>NY</t>
  </si>
  <si>
    <t>在ニューヨーク、２ちびちびの母。母業の傍らブルックリンの片隅で食堂もやってます。元、津軽のりんご娘w、現Astoriaのおばちゃんです。よろしくポン。</t>
  </si>
  <si>
    <t>Abhishek Malik</t>
  </si>
  <si>
    <t>SANTHOSH S NAIR</t>
  </si>
  <si>
    <t>bluebot</t>
  </si>
  <si>
    <t>#politics #media #news https://t.co/KAfTHwf6zU Japan election: Abe hails massive win, but what now for the country's pacifist constitution…</t>
  </si>
  <si>
    <t>just a lil political watchbot, and occasionally the creator as well</t>
  </si>
  <si>
    <t>Uranium Energy Corp</t>
  </si>
  <si>
    <t>RT @AmirAdnani: Abe’s big victory in Japan election = great win for pro nuclear energy policy and a boost to more reactor restarts https://…</t>
  </si>
  <si>
    <t>USA &amp; Canada</t>
  </si>
  <si>
    <t>Low-Cost Fuel for Emission-Free Electricity</t>
  </si>
  <si>
    <t>XaniaNews</t>
  </si>
  <si>
    <t>Japan’s Shinzo Abe scores impressive election win - National - https://t.co/TSCtixJdYM https://t.co/mJyR9yh1Qd</t>
  </si>
  <si>
    <t>Xanianews</t>
  </si>
  <si>
    <t>The latest international news , featuring top stories from around the world and breaking news from trusted sources. #XaniaNews</t>
  </si>
  <si>
    <t>Mikiji</t>
  </si>
  <si>
    <t>真の歴史を知り、真正日本の再建を願って、時々呟きます。「ネット保守連合」に参加。</t>
  </si>
  <si>
    <t>Aditya Kumar Gupta</t>
  </si>
  <si>
    <t>Die HARD fan of Mr. AMITABH BACCHAN MODI BHAKTA &amp; RSS VHP HYV also.. RT's not endorsement.. Num- 9454173039</t>
  </si>
  <si>
    <t>Anoop Raghunathan</t>
  </si>
  <si>
    <t>#Swayamsevak. Ex NagarKaryavag. Software Engg for Stomach. Hindu for Life. Tweets are personal. Proud Hindu,bProud Bro of Pracharak, @rssorg. @sgurumurthy Fan</t>
  </si>
  <si>
    <t>GhettoKnight</t>
  </si>
  <si>
    <t>RT @iShares: PM Shinzo Abe won Japan's snap election - let's take a look at what that means for the markets and Japanese stocks https://t.c…</t>
  </si>
  <si>
    <t>Augusta, GA</t>
  </si>
  <si>
    <t>Anna Politkovskaya your vengeance is due. Time for justice</t>
  </si>
  <si>
    <t>hardik mangukiya</t>
  </si>
  <si>
    <t>Ahmadabad City, Gujarat</t>
  </si>
  <si>
    <t>executive member #BJYM karnavati mahanagar #BJP General Secretary at Krishnanagarward Joined #BJYM Since 2009 pursuing LLB</t>
  </si>
  <si>
    <t>Japan's stocks on record winning streak after Abe's election victory https://t.co/Bcjust4Wjm #breaking #world #news #video #today #watch #…</t>
  </si>
  <si>
    <t>Pearl Nazare✨</t>
  </si>
  <si>
    <t>Just one in a billion🍕🍔</t>
  </si>
  <si>
    <t>Parkash Pawar</t>
  </si>
  <si>
    <t>BUSINESS DAILY - Japan's stocks on record winning streak after Abe's election victory https://t.co/KL1o6XBB3R https://t.co/X1ygrAAM8X</t>
  </si>
  <si>
    <t>World Wide Finance</t>
  </si>
  <si>
    <t>Dollar/yen hits three-month high after Japan ruling party's election win - https://t.co/hinJZENjDa https://t.co/KzY3BvPgP1</t>
  </si>
  <si>
    <t>world wide finance</t>
  </si>
  <si>
    <t>majjed2014</t>
  </si>
  <si>
    <t>Dollar/yen hits three-month high after Japan ruling party's election win - https://t.co/wvCWRfPs5B https://t.co/JDt9qgL0MM</t>
  </si>
  <si>
    <t>autopost world wide finance</t>
  </si>
  <si>
    <t>#Gold hits two-week low as Abe election victory lifts dollar https://t.co/nCAeHozdsP Japan's ultra-loose monetary policy to stay in place.</t>
  </si>
  <si>
    <t>Adm. General Aladeen</t>
  </si>
  <si>
    <t>Somasekharanpillai</t>
  </si>
  <si>
    <t>Uday shankar</t>
  </si>
  <si>
    <t>Syunsuke Ono</t>
  </si>
  <si>
    <t>Meguro-ku</t>
  </si>
  <si>
    <t>オノシュンスケ [ Electro Voice Sings Sly Stone ] rar-04 beatport:https://t.co/kFoM12zkDv iTunesStore:https://t.co/VQ8pa33ffQ ototoy(wav.):https://t.co/ByRFUOG18i</t>
  </si>
  <si>
    <t>Tom O'Sullivan</t>
  </si>
  <si>
    <t>Tokyo based consultant, focused on N-E Asia markets; energy, defense economics focuses; civil engineer, CPA, inv. bkg background</t>
  </si>
  <si>
    <t>陸奥 愛国爺</t>
  </si>
  <si>
    <t>宮城県仙台市</t>
  </si>
  <si>
    <t>仙台市在住 男性 会社経営 日本に生まれ、日本人であることを心の底から良かったと思っており、知識は充分ではないかもしれませんが、愛国者を自負しております。 ・安倍総理絶対支持！ ・憲法は何としても改正すべし！ ・支那朝鮮の害毒を我が国から一掃すべし！ ※無言フォローをお許しください</t>
  </si>
  <si>
    <t>Ashok K Singh</t>
  </si>
  <si>
    <t>RT @the_hindu: Japanese Prime Minister #ShinzoAbe swept to a resounding victory in a snap election on Sunday. https://t.co/L6S5snA8t2</t>
  </si>
  <si>
    <t>evolution is a continuous process .</t>
  </si>
  <si>
    <t>तोषी शर्मा</t>
  </si>
  <si>
    <t>आर्यावर्त</t>
  </si>
  <si>
    <t>एक छोटा सा स्वाभिमानी पत्रकार। राष्ट्रीय समाचार पत्र का मजदूर हूं।। किसी जरूरतमंद की मदद कर सकूं यही मेरा ध्येय है। वंदेमातरम्</t>
  </si>
  <si>
    <t>jaideep</t>
  </si>
  <si>
    <t>Bhopal</t>
  </si>
  <si>
    <t>TOI World News</t>
  </si>
  <si>
    <t>After election win, Abe prioritizes North Korea, aging Japan https://t.co/p6fY39B1mw</t>
  </si>
  <si>
    <t>cmssocialservice</t>
  </si>
  <si>
    <t>Follow latest world news and headlines from US, UK, Gulf, Pakistan, China, Europe and rest of the world.</t>
  </si>
  <si>
    <t>FinanzLinksECONOMY</t>
  </si>
  <si>
    <t>Japan: Abe’s election ‘gamble’ turned into victory https://t.co/0UlxHpkF78 RABOBANK</t>
  </si>
  <si>
    <t>Japan's Prime Minister to win third term, exit polls show - https://t.co/dyKvAjc23c</t>
  </si>
  <si>
    <t>Juha Keskinen</t>
  </si>
  <si>
    <t>Helsinki</t>
  </si>
  <si>
    <t>Iltalehden politiikan toimittaja, jolle mikään inhimillinen ei ole vierasta.</t>
  </si>
  <si>
    <t>Mitch's Muse</t>
  </si>
  <si>
    <t>From NewsOK: After election win, Abe prioritizes North Korea, aging Japan https://t.co/ki5qPjOmDM</t>
  </si>
  <si>
    <t>Global communicator, Journalism, Entrepreneur, Web editor, Blogger, Freelance writer, Jazz enthusiast. FB: http://t.co/By9xIYztRU</t>
  </si>
  <si>
    <t>Japan PM's ruling bloc scores big election win - Japanese Prime Minister Shinzo Abe’s ruling bloc scores a big ... https://t.co/dU15qWakNV</t>
  </si>
  <si>
    <t>Dylan Hunt #Ω</t>
  </si>
  <si>
    <t>RT @BBGVisualData: Shinzo Abe’s ruling coalition retains two-thirds majority in parliament after big #japanelection win https://t.co/yREOhO…</t>
  </si>
  <si>
    <t>Maine</t>
  </si>
  <si>
    <t>The long night has come. Tyranny, fear &amp; hate stalk our land. United, we seek truth &amp; justice. Hope lives in #TheResistance 1SG (Ret) #FBR #VeteransResist</t>
  </si>
  <si>
    <t>Japan PM's ruling bloc scores big election win - Japanese Prime Minister Shinzo Abe’s ruling bloc scores a big ... https://t.co/fHEQ6cwvod</t>
  </si>
  <si>
    <t>Japan PM's ruling bloc scores big election win - Japanese Prime Minister Shinzo Abe’s ruling bloc scores a big ... https://t.co/BHQxFJk1Fr</t>
  </si>
  <si>
    <t>dehydratedpaani</t>
  </si>
  <si>
    <t>Admirer of Ramdev/SriSri/Pathmeda. Allergic to Congress/Sonia &amp; her Ford Foundation poodle Kejru. Passions: Gau Seva, Ayurved/Yog, Vegetarianism. Hindu Atheist.</t>
  </si>
  <si>
    <t>x</t>
  </si>
  <si>
    <t>RT @TOIWorld: After election win, Abe prioritizes North Korea, aging Japan https://t.co/p6fY39B1mw</t>
  </si>
  <si>
    <t>News, political, Army, Drone flights, OutLaw country music, know lot of WW2. visit battlefields.</t>
  </si>
  <si>
    <t>George S Donohue</t>
  </si>
  <si>
    <t>Rochester, NY</t>
  </si>
  <si>
    <t>ex USN/USMC medic . ex polymer chemist</t>
  </si>
  <si>
    <t>Typhoon Leaves Five Dead After Lashing Japan on Election Day https://t.co/E3tvzw4Qra https://t.co/457P1AuRPG</t>
  </si>
  <si>
    <t>Praveentamoli</t>
  </si>
  <si>
    <t>Young Professional from software industry contributing success to my country and family.</t>
  </si>
  <si>
    <t>Dev Rajbonshi</t>
  </si>
  <si>
    <t>BHARAT is above all.</t>
  </si>
  <si>
    <t>Anil Kumar Shukla</t>
  </si>
  <si>
    <t>I have been born &amp; brought up as a Hindu; believe in Hinduism &amp; Sanatan Dharm.Bhagwat Gita is my true inspiration..!!! M.Sc.(Electronics)</t>
  </si>
  <si>
    <t>Ankit Mehta</t>
  </si>
  <si>
    <t>VA,USA</t>
  </si>
  <si>
    <t>Software engineer by profession and sports enthusiast who loves to read about World Politics, Technology and Economy.</t>
  </si>
  <si>
    <t>What now for Japan after Abe's landslide election victory? https://t.co/2P7Ot4bDKW</t>
  </si>
  <si>
    <t>MediaFlood</t>
  </si>
  <si>
    <t>Shinzo Abe on track for landslide victory, exit polls show - https://t.co/JSsFwL7mCD</t>
  </si>
  <si>
    <t>World News as it Happens</t>
  </si>
  <si>
    <t>道明寺楓</t>
  </si>
  <si>
    <t>Madhup Mohta</t>
  </si>
  <si>
    <t>Global Vagabond, Wordsmith.</t>
  </si>
  <si>
    <t>looker89</t>
  </si>
  <si>
    <t>Owen Van Spall</t>
  </si>
  <si>
    <t>a "Seinfeld election" - or an election about nothing. https://t.co/i6Y10mzvtA via @smh</t>
  </si>
  <si>
    <t xml:space="preserve">London </t>
  </si>
  <si>
    <t>Film Programmer and writer. Journalism &amp; Film MA Grad. Broke &amp; hungry. Tweets own!</t>
  </si>
  <si>
    <t>bhakt</t>
  </si>
  <si>
    <t>Die hard ... Narendra Modi</t>
  </si>
  <si>
    <t>Muna</t>
  </si>
  <si>
    <t>RT @BloombergAsia: These are the winners and losers of Japan's landslide election https://t.co/ApBNOatRUx https://t.co/uyWMJZ1PRt</t>
  </si>
  <si>
    <t>3・11よりアカウント取得★私の追いかけているネタは..ほんの一部ではございますが、旧アカウント@graczsolo_muna のフォローやツィートをご参考まで☆ユーモアは一服の清涼剤☆</t>
  </si>
  <si>
    <t>Sandra Halifax</t>
  </si>
  <si>
    <t>West Berkshire</t>
  </si>
  <si>
    <t>proud mother of two brilliant daughters and grandmother to adorable grandson. lived London, Hertfordshire, California, Somerset, Isle of Man and Berkshire</t>
  </si>
  <si>
    <t>田作</t>
  </si>
  <si>
    <t>ほぼRT&amp;fav用 四国/鉄道/音楽/うどん/IJN/JSDF/艦これ/高雄</t>
  </si>
  <si>
    <t>Lucknow</t>
  </si>
  <si>
    <t>Gazala</t>
  </si>
  <si>
    <t>Agra,INDIA</t>
  </si>
  <si>
    <t>#Dreamer #Doglover #foodie</t>
  </si>
  <si>
    <t>Vir Singh Tanwar</t>
  </si>
  <si>
    <t>CMA, B Com</t>
  </si>
  <si>
    <t>K H A L E E S I</t>
  </si>
  <si>
    <t>What are chills ?</t>
  </si>
  <si>
    <t>秋便器</t>
  </si>
  <si>
    <t>スーパーで買ったたこ焼きを箸で喉奥に当てるとフェラの練習みたいだな、と思う。大好きだったビッチの女の子が「フェラは愛だよ」と呟いたのを思い出しながら、秋。 https://t.co/TZeg9OIl2x</t>
  </si>
  <si>
    <t>Brajesh Kumar</t>
  </si>
  <si>
    <t>Gopal Sharma</t>
  </si>
  <si>
    <t>Aryavarta</t>
  </si>
  <si>
    <t>scareable technology</t>
  </si>
  <si>
    <t>BHIVE Nagoyaka</t>
  </si>
  <si>
    <t>Abe claims victory as powerful endorsement, may seek re-election next month #japan #bhive https://t.co/Qx4RoqRk6s</t>
  </si>
  <si>
    <t>Nagoya, Japan</t>
  </si>
  <si>
    <t>Sharing the latest news in #Nagoya for our tweeps. Here is a short clip about us @bhivec2: https://t.co/OTHn1KV2rk. #bhive #savethebees #marketing</t>
  </si>
  <si>
    <t>Ravi</t>
  </si>
  <si>
    <t>Japan exit polls: PM Shinzo Abe may win 3rd term with 2/3rds vote allowing amendment of constitution for defense https://t.co/dUKOS8Vmgz</t>
  </si>
  <si>
    <t>Siddharth Pandey🇮🇳</t>
  </si>
  <si>
    <t>Indian Football,MUFC, Federer, Test Cricket, Dharma</t>
  </si>
  <si>
    <t>Cyndie Annett</t>
  </si>
  <si>
    <t>Abe's focus on North Korea after Japan election win https://t.co/YiNsWoMq5T</t>
  </si>
  <si>
    <t>Alberta</t>
  </si>
  <si>
    <t>Devoted to Special Olympics! Past coach and team manager for alpine racing team, as well as, past Chair of Special Olympics Edmonton! Our athletes rock ; )</t>
  </si>
  <si>
    <t>Yuzo Akakura</t>
  </si>
  <si>
    <t>Tokyo, JAPAN</t>
  </si>
  <si>
    <t>報道機関のシステムエンジニア。専門はウェブメディアの企画、設計、開発。個人の責任でツイートしています。JCEJ運営委員。</t>
  </si>
  <si>
    <t>山本一郎(やまもといちろう@告知用)</t>
  </si>
  <si>
    <t>東京都 千代田区</t>
  </si>
  <si>
    <t>投資家、作家。なるだけ頂戴したメンション返しますが、流れが速いと読んでないので返信されなくても泣かないでください。また、スパム増加につき、フォロワー数の少ないアカウントは自動ブロックされてしまいます、すみません。プロフィールはブログ参照、ツイートは個人の意見です。ゲーム&amp;個人垢→@kirik_game</t>
  </si>
  <si>
    <t>Jeetu Kumar</t>
  </si>
  <si>
    <t>Bokaro Steel City, India</t>
  </si>
  <si>
    <t>service</t>
  </si>
  <si>
    <t>sanjay vashist</t>
  </si>
  <si>
    <t>▶️ Japan's stocks on record winning streak after Abe's election victory https://t.co/FjMDpqSrp6 https://t.co/XbUVPUHT21</t>
  </si>
  <si>
    <t>Manoj Yadav</t>
  </si>
  <si>
    <t>नवी मुम्बई ,भारत ।</t>
  </si>
  <si>
    <t>राष्ट्र सर्वप्रथम ,सर्वोपरि । जय हिन्द । जय हिन्द की सेना । वंदे मातरम । भारत माता की जय । भारतीय सेना जान से भी प्यारी ।</t>
  </si>
  <si>
    <t>avinash moon</t>
  </si>
  <si>
    <t>#childish #wish me on 2nd march #photos addict #animals lover #love to make new friends #mumma's boy #kid at heart</t>
  </si>
  <si>
    <t>Dr. Jay Chauhan💎</t>
  </si>
  <si>
    <t>To understand, I need to know, Follow me to know more✍️</t>
  </si>
  <si>
    <t>Shashi BhushanSharma</t>
  </si>
  <si>
    <t>Intellectual</t>
  </si>
  <si>
    <t>subba gonella</t>
  </si>
  <si>
    <t>Nationalist. India first. Interested in Politics and current affairs. Love Music, Traveling and Cricket. Tweets are personal. RT are not endorsement.</t>
  </si>
  <si>
    <t>Mireya Solis</t>
  </si>
  <si>
    <t>Japan will hold a major election on Sunday. Here's why you should care https://t.co/VVyTuO8kSa</t>
  </si>
  <si>
    <t>Senior Fellow and Knight Chair in Japan Studies, The Brookings Institution.</t>
  </si>
  <si>
    <t>Dinesh Singh</t>
  </si>
  <si>
    <t>UltimateFinesser</t>
  </si>
  <si>
    <t>21. sc tiondriaa #SmileLikeZach</t>
  </si>
  <si>
    <t>CaptainCanuk</t>
  </si>
  <si>
    <t>RT @BCNewsWire: Re-elected Japanese PM vows hard line on North Korea - https://t.co/p2PmAylRz5 #worldnews</t>
  </si>
  <si>
    <t>Kelowna BC</t>
  </si>
  <si>
    <t>I will ridicule any and all politicians and hypocrites especially you religious nuts.3600 gawds in the historic record. But yours is special.</t>
  </si>
  <si>
    <t>VivianEfthimiopoulou</t>
  </si>
  <si>
    <t>Athens - Greece</t>
  </si>
  <si>
    <t>🤔* Communication Parkourist * News curator at factnews.gr * Liberal * Panathinaikos * Roman among Greeks</t>
  </si>
  <si>
    <t>Rahul Roy</t>
  </si>
  <si>
    <t>Doont</t>
  </si>
  <si>
    <t>MODERN SIKH</t>
  </si>
  <si>
    <t>RT @France24_en: ▶️ Japan's stocks on record winning streak after Abe's election victory https://t.co/FjMDpqSrp6 https://t.co/XbUVPUHT21</t>
  </si>
  <si>
    <t>Tokyo Outsider 🌏</t>
  </si>
  <si>
    <t>Tatami-chair observer of East Asian economics and security // #CarbonTaxNow🌏</t>
  </si>
  <si>
    <t>Divraniya Sameer</t>
  </si>
  <si>
    <t>S. K. Shastri</t>
  </si>
  <si>
    <t>Try and fail, but never fail to try...</t>
  </si>
  <si>
    <t>tetsuo yoshida</t>
  </si>
  <si>
    <t>It seems that there is injustice in yesterday's Japan's election. A relation with illegal back society began to be… https://t.co/LqBYrVPprO</t>
  </si>
  <si>
    <t>山梨 甲府市</t>
  </si>
  <si>
    <t>日本人、離婚</t>
  </si>
  <si>
    <t>Lisa McGrath</t>
  </si>
  <si>
    <t>I believe in doing the right thing, no matter the difficulty.</t>
  </si>
  <si>
    <t>そ～た</t>
  </si>
  <si>
    <t>ウォールオブ環七の手前</t>
  </si>
  <si>
    <t>その日、人類は思い出した。 ヤンキー に支配されていた恐怖を。鳥籠に囚われていた屈辱を……。</t>
  </si>
  <si>
    <t>G.V.vikram</t>
  </si>
  <si>
    <t>पलप्पलम कन्याकुमारी, भारत</t>
  </si>
  <si>
    <t>Ankit Dey</t>
  </si>
  <si>
    <t>Rourkela Industrial Township, India</t>
  </si>
  <si>
    <t>Sisupalan Panicker</t>
  </si>
  <si>
    <t>Huge fan of @narendramodi . Staunch supporter of BJP. Entrepreneur: Heads a business in Automobile sector. Tweets are indubitably endorsed. So, are RT's</t>
  </si>
  <si>
    <t>United News America</t>
  </si>
  <si>
    <t>TOKYO Global stocks mostly rose on Monday after a parliamentary election victory by Japan’s Prime… https://t.co/WfDDC7MPpb @UnitedNewsofUSA</t>
  </si>
  <si>
    <t>United News of America news syndication of all large US news agencies with US and global news distribution. UNoA rocks!!</t>
  </si>
  <si>
    <t>India First</t>
  </si>
  <si>
    <t>せめんと</t>
  </si>
  <si>
    <t>めがりす</t>
  </si>
  <si>
    <t>ゲーム嗜んでエスコンとかBFとか…あとは浜ファンってぐらいかね （現在NuAns NEO Reloaded待ち</t>
  </si>
  <si>
    <t>miwako_n</t>
  </si>
  <si>
    <t>yokohama japan</t>
  </si>
  <si>
    <t>❤️LOVE ...beautiful foods 🍶SAKE 🍻CRAFTBEER 🔪cooking ⛰🌱foraging wildfood</t>
  </si>
  <si>
    <t>fastidous</t>
  </si>
  <si>
    <t>Serafeim Stasinos</t>
  </si>
  <si>
    <t>Japan PM Shinzo Abe pledges pressure on North Korea after big election win https://t.co/SJqyZvApHq</t>
  </si>
  <si>
    <t>Athens, Greece.</t>
  </si>
  <si>
    <t>Έπεα πτερόεντα. Winged words. Repeated history and repeating history.</t>
  </si>
  <si>
    <t>Lila F.</t>
  </si>
  <si>
    <t>Why is our President such an ass</t>
  </si>
  <si>
    <t>Sonu Verma</t>
  </si>
  <si>
    <t>Phyu</t>
  </si>
  <si>
    <t>Karen Christino</t>
  </si>
  <si>
    <t>News stories today on revising Japan and NYS constitutions, a Pluto in Capricorn topic! More w/ Saturn joining soon https://t.co/9S94bWyAox</t>
  </si>
  <si>
    <t>Astrologer and author of six books on astrology - decoding the Universe one horoscope at a time.</t>
  </si>
  <si>
    <t>BouChan</t>
  </si>
  <si>
    <t>Japan: Shinzo Abe's Election Victory Is a Boost for Trump | https://t.co/49CJRLIbxm https://t.co/1kMVy1gaXv</t>
  </si>
  <si>
    <t>リヒテンシュタイン</t>
  </si>
  <si>
    <t>Warthunder ソ/独(陸)BR7.3 米/ソ(空)BR6.8 WoWs金剛 アニメは基本全部見る٩( 'ω' )۶</t>
  </si>
  <si>
    <t>優希斗@祥鳳&amp;神通&amp;時雨カッコカリ提督</t>
  </si>
  <si>
    <t>二次とリアルの雑多な趣味について呟いております。</t>
  </si>
  <si>
    <t>Electra Heart♥</t>
  </si>
  <si>
    <t>Probably near you</t>
  </si>
  <si>
    <t>Even the wildest of beasts can be tamed by a patient and gentle hand.</t>
  </si>
  <si>
    <t>Hemanthyuvi Yuvi</t>
  </si>
  <si>
    <t>Thomas·王 🍁</t>
  </si>
  <si>
    <t>What now for Japan after Abe's landslide election victory? https://t.co/oX3Fo6epzD</t>
  </si>
  <si>
    <t>Vancouver 溫哥華, Canada 加拿大 🇨🇦</t>
  </si>
  <si>
    <t>A newsaholic, atheist, and hashtag abuser with OCD. Most tweets are about #China #中國 #中国, and some may shock and/or offend. Sorry, I can't always follow back.</t>
  </si>
  <si>
    <t>Suyash Dewa</t>
  </si>
  <si>
    <t>I'm an economist and I'm a booksie writer I do write short stories and publish my stories on my booksie account</t>
  </si>
  <si>
    <t>Shivam Mishra</t>
  </si>
  <si>
    <t>Traderji</t>
  </si>
  <si>
    <t>Finding a good trade is a skill. Sticking to the trade, is bigger one!</t>
  </si>
  <si>
    <t>とも</t>
  </si>
  <si>
    <t>日々の事を気ままに。RT多め。アジア大好き(タイ/台湾/韓国/ベトナム/香港/シンガポールへ✈️)、5カ国の鼎泰豊制覇🎉ウォーキング、読書、料理、フレンチブルドッグ、ディズニー。行く行くはアジアでのんびり過ごしたい。まずは広くて使いやすいキッチンがある家に引越する。</t>
  </si>
  <si>
    <t>▶️ Japan's stocks on record winning streak after Abe's election victory https://t.co/Oyh2qXEWek https://t.co/BmRmIPg6pG</t>
  </si>
  <si>
    <t>ただのん</t>
  </si>
  <si>
    <t>社畜 誘われたらなんでもします 主にFPSとLoLとbattleritebattleriteはいいぞ。めもまうすdpi 666 2667 1.19</t>
  </si>
  <si>
    <t>たるにー</t>
  </si>
  <si>
    <t>横浜市</t>
  </si>
  <si>
    <t>女性。高齢親。息子は中学生。NO FASCISM。動物好き。歴史好き。</t>
  </si>
  <si>
    <t>Cheryl Morgan</t>
  </si>
  <si>
    <t>To know what is in my heart- what drives me- it's simple-listen to The Hollies❤️✌🇨🇦 ️https://t.co/qrgLzXSWut</t>
  </si>
  <si>
    <t>What now for Japan after Abe's landslide election victory? https://t.co/iEDFq7qbGk</t>
  </si>
  <si>
    <t>Max Walden</t>
  </si>
  <si>
    <t>RT @EmmaRichards85: Japan: 4 things to expect following Shinzo Abe's landslide victory https://t.co/ebJ3Cyf9tt via @ascorrespondent</t>
  </si>
  <si>
    <t>Sydney, Jakarta, Kuala Lumpur</t>
  </si>
  <si>
    <t>Covering Southeast Asia for @AsCorrespondent. Contributing writer @Study_INTNL. Editing @InsideIndo. Views are my own. Keep me occupied: max@hybrid.co</t>
  </si>
  <si>
    <t>Signals.me</t>
  </si>
  <si>
    <t>Japanese stocks rise as dollar climbs against the yen after Abe election win - CNBC - https://t.co/PvFWel4mnG… https://t.co/37w4GW4PSt</t>
  </si>
  <si>
    <t>Free daily stock &amp; forex signals powered by social sentiment, artificial intelligence, neural networks and cloud computing</t>
  </si>
  <si>
    <t>Citywire Money</t>
  </si>
  <si>
    <t>Japan Q&amp;A: why Abe’s election victory cheers investors https://t.co/pL3HgC4Prv</t>
  </si>
  <si>
    <t>Vauxhall, London</t>
  </si>
  <si>
    <t>Citywire Money: current, reliable, independent financial news and investment info. Articles by @CitywireMoney/Citywire-Money-Hacks.</t>
  </si>
  <si>
    <t>Yallu tenkeppanavar</t>
  </si>
  <si>
    <t>njslea</t>
  </si>
  <si>
    <t>ICYMI: RARadio w Eric and Jim Abe to push reform of Japan's pacifist constitution after election win… https://t.co/9bB44EPkX1</t>
  </si>
  <si>
    <t>Israel should stop negotiating everything away, Nationally Jews Should Leave Everything Alone, they should let God..</t>
  </si>
  <si>
    <t>ICYMI: RARadio w Eric and Jim Typhoon kills at least two in Japan, prompts call for thousands to evacuate… https://t.co/QJG4U193tF</t>
  </si>
  <si>
    <t>Don Roberts</t>
  </si>
  <si>
    <t>Mumal Rathore</t>
  </si>
  <si>
    <t>Trainee journalist at Reuters news. Native of India. Views my own; re-tweets my curiosities. alis volat propriis :)</t>
  </si>
  <si>
    <t>...david jones</t>
  </si>
  <si>
    <t>#New North Korea Fears Japan 'Invasion' as Abe's Victory Paves the Way for Changes to Pacifist Constitution https://t.co/RgwNBULOtI</t>
  </si>
  <si>
    <t>#DV #CSA  #Daniel_Morgan</t>
  </si>
  <si>
    <t>DAILY UK &amp; WORLDWIDE NEWS... Please RT or "Quote" etc. RECENT HEART ATTACK SURVIVOR. I ❤️❤️NHS. Just DON'T SHOOT THE MESSENGER !! NO Auto DM's. Thanks &amp; Enjoy.</t>
  </si>
  <si>
    <t>aniket mandavgane</t>
  </si>
  <si>
    <t>Paul Mulinge</t>
  </si>
  <si>
    <t>Living life today!</t>
  </si>
  <si>
    <t>Alex Leff</t>
  </si>
  <si>
    <t>Japan's Abe promises to 'deal firmly' with North Korea after resounding election victory https://t.co/8ZBEqYWlej</t>
  </si>
  <si>
    <t>Senior editor @PRI @GlobalPost. Priors: Costa Rica @Reuters &amp; @TheTicoTimes, Spain reporter &amp; @columbiajourn+@Unibarcelona J school</t>
  </si>
  <si>
    <t>Pankaj KOHLI</t>
  </si>
  <si>
    <t>GlobalRenaissance</t>
  </si>
  <si>
    <t>...joining PM @theresa_may + others to congratulate PM @AbeShinzo on his election success. Greetings to all in… https://t.co/gQ8qgLkh9n</t>
  </si>
  <si>
    <t>Global | USA | Africa |Nigeria</t>
  </si>
  <si>
    <t>A Global Citizen; a Nigerian &amp; African Patriot committed to the renaissance of Nigeria, Africa &amp; the Global Village.</t>
  </si>
  <si>
    <t>sonal naresh mehta</t>
  </si>
  <si>
    <t>Ashish Pant</t>
  </si>
  <si>
    <t>OOKKA2</t>
  </si>
  <si>
    <t>todayindia</t>
  </si>
  <si>
    <t>madhyapradesh</t>
  </si>
  <si>
    <t>news,india news,today india, current affair, fashion Vedio,cooking vedio,travels vedio, sports vedio</t>
  </si>
  <si>
    <t>Finance News London</t>
  </si>
  <si>
    <t>Japan Q&amp;A: why Abe’s election victory cheers investors https://t.co/jYaNbw9zaL</t>
  </si>
  <si>
    <t>The latest finance, banking &amp; investment news from the City of London &amp; Canary Wharf.</t>
  </si>
  <si>
    <t>Vedanti Vroms</t>
  </si>
  <si>
    <t>Nanded</t>
  </si>
  <si>
    <t>Arijit is my bust buddy....😘😘😘😘😘😘😘😘😘😘😘😘😘</t>
  </si>
  <si>
    <t>नमो:2019</t>
  </si>
  <si>
    <t>Primeminister OF India</t>
  </si>
  <si>
    <t>Dinesh Mistry</t>
  </si>
  <si>
    <t>Preston, England</t>
  </si>
  <si>
    <t>もも</t>
  </si>
  <si>
    <t>主婦、1児の母。近現代史を詳しく教えない教育に疑問を持ち、大人になって日本が神話と現代が脈絡とつながる2000年以上続く世界的に唯一無二の国であることを知る。日本人は外国による評価は脇に置き、大東亜戦争を自ら省みて自主憲法を制定すること、そこから真の日本再生は始まると思います。安倍首相支持。日ころ応援。</t>
  </si>
  <si>
    <t>अर्जुन सिंह चौहान</t>
  </si>
  <si>
    <t>Lucknow,india</t>
  </si>
  <si>
    <t>जय श्री कृष्णा... जय हिंद... वन्दे मातरम... # ये आंखों में भरभर के पानी कहेगी, ये माटी सभी की कहानी कहेगी...</t>
  </si>
  <si>
    <t>Jesse Aloo</t>
  </si>
  <si>
    <t>Mombasa,Kenya</t>
  </si>
  <si>
    <t>A most grateful undeserving recipient of The Grace.My life and service is to my Maker.Value the little things in life .</t>
  </si>
  <si>
    <t>Japan's stocks on record winning streak after Abe's election victory https://t.co/G2OThtzkkZ</t>
  </si>
  <si>
    <t>Japan's Abe vows to put education spending before budget balance https://t.co/D3RHEN359m</t>
  </si>
  <si>
    <t>なべぞう</t>
  </si>
  <si>
    <t>文学垢だったはずなんですけど……来世でインテリ作家になるべくtwitterで色々情報収集中。</t>
  </si>
  <si>
    <t>Dawn Rose Turner</t>
  </si>
  <si>
    <t>Typhoon Lan lashes Japan on election day, leaves five dead, one missing, scores injured https://t.co/1hYg1UX0ke</t>
  </si>
  <si>
    <t>Comox Valley, BC</t>
  </si>
  <si>
    <t>Perpetually curious</t>
  </si>
  <si>
    <t>Manoj Poddar BJP</t>
  </si>
  <si>
    <t>चकाई विधानसभा, Bihar,India</t>
  </si>
  <si>
    <t>मैं आप लोगों के साथ हूँ , ये मेरा भाग्य हे। पर आप सभी लोग मेरे साथ हैं, यह मेरा सोभाग्य हे।</t>
  </si>
  <si>
    <t>Educational Technolo</t>
  </si>
  <si>
    <t>Japan's Abe vows to put education spending before budget balance - Reuters https://t.co/Nh8tT9FEXd</t>
  </si>
  <si>
    <t>All the latest breaking news about Educational Technology</t>
  </si>
  <si>
    <t>Elif Safak</t>
  </si>
  <si>
    <t>İzmir, Türkiye</t>
  </si>
  <si>
    <t>Elif Şafak</t>
  </si>
  <si>
    <t>Shailesh Tewarie</t>
  </si>
  <si>
    <t>Born Rebellion,Proud Hindu,By mistake acquired Qualification in Science,Law,Management &amp;Chartered Accountancy,Convenor #NaMoTeaParty 4 @narendramodi ,</t>
  </si>
  <si>
    <t>Newsweek INT.</t>
  </si>
  <si>
    <t>North Korea fears Japan "invasion" after Shinzo Abe's victory https://t.co/WoM0TIlZu4 https://t.co/oz0wkSjw5r</t>
  </si>
  <si>
    <t>Newsweek International is a premium weekly news magazine and website, bringing high-quality journalism to readers around the globe for over 80 years.</t>
  </si>
  <si>
    <t>Prem Narayan Neupane</t>
  </si>
  <si>
    <t>Japan's ruling camp wins two-thirds majority in lower house election amid opposition splitting-up</t>
  </si>
  <si>
    <t>Job holder</t>
  </si>
  <si>
    <t>じょば【秘密保全法反対/不正選挙を撲滅】</t>
  </si>
  <si>
    <t>放射能汚染首都圏→希望を探す旅に出たい…</t>
  </si>
  <si>
    <t>原発災害＆戦争モードを生き残れるか？サバイバル目指し頑張ろう！核発電は不要。#脱原発 や反TPPの方99%即相互フォロー。日米地位協定は改正を。電力自由化賛成。日米原子力協定と総括原価方式は廃止！放射能からは逃げるが勝ち #マスク戦士。平成25年（行ケ）第４号＆第105号（不正選挙裁判）原告</t>
  </si>
  <si>
    <t>Ketan Jain</t>
  </si>
  <si>
    <t>Always India First</t>
  </si>
  <si>
    <t>Ved Kashyap</t>
  </si>
  <si>
    <t>Lt Cdr S K Sharma</t>
  </si>
  <si>
    <t>BBC News - Japan's snap election explained https://t.co/yCfxqCceBu</t>
  </si>
  <si>
    <t>जय हिंद l वन्दे मातरम् l</t>
  </si>
  <si>
    <t>Finance, Business, Politics &amp; News Enthusiast. Want Clean, Corruption &amp; Crime Mukt Developed Bharat. Proudly Hindu Born Nationalist. RTs are not endorsement.</t>
  </si>
  <si>
    <t>Manjul Paul</t>
  </si>
  <si>
    <t>Polling Analyst at Reuters News</t>
  </si>
  <si>
    <t>AMBADAS R.RACHCHA</t>
  </si>
  <si>
    <t>Ahmadnagar, India</t>
  </si>
  <si>
    <t>WarrierCan</t>
  </si>
  <si>
    <t>Allergic to pseudo seculars, dynastic poodles, apptards and commies. Appreciate life, beauty, travel, photography, guitars and a good laugh</t>
  </si>
  <si>
    <t>Sanjay Sharma</t>
  </si>
  <si>
    <t>Under rated &amp; Under estimated views (Thanks to god) Current Affairs &amp; Civic issues. Hey Rotten Hyena, Dont stalk me</t>
  </si>
  <si>
    <t>WBJ News</t>
  </si>
  <si>
    <t>China urges Japan’s peaceful development after Abe’s election win https://t.co/lhiplgZuoI</t>
  </si>
  <si>
    <t>Yuji Kondo</t>
  </si>
  <si>
    <t>１２年１１月、ロンドンから東京本社へ帰任。読売新聞勤務ですが、投稿は社の見解ではありません。ＲＴも必ずしも賛意とは限りません。Transferred to Tokyo from London in Nov. 2012. Working for Yomiuri Shimbun. love running, dogs!</t>
  </si>
  <si>
    <t>CHIRANJEEVI</t>
  </si>
  <si>
    <t>Jack of All Traits as I m a TRUE Engineer.Interested in Politics, Indian mythology,Computer programming.</t>
  </si>
  <si>
    <t>Nikkei hits new highs after Japan election - BBC News https://t.co/ufNcqBpmPF</t>
  </si>
  <si>
    <t>VKBhardwaj</t>
  </si>
  <si>
    <t>Gurugram India</t>
  </si>
  <si>
    <t>Self employed,against corruption.NamoFan nationalist,wish a progressive India,I follow back.</t>
  </si>
  <si>
    <t>BJP THONDAN</t>
  </si>
  <si>
    <t>Coimbatore  TAMILNADU  Bharat</t>
  </si>
  <si>
    <t>bjp cadre// booth level worker //NAMO bakth /hate UPMA CLASS people non sense intellectualism // active member of BJP Coimbatore . Hindutuva atheist</t>
  </si>
  <si>
    <t>ken musa</t>
  </si>
  <si>
    <t>focus on your focus and keep on keeping on</t>
  </si>
  <si>
    <t>VB</t>
  </si>
  <si>
    <t>Just an ordinary guy, living an ordinary life...</t>
  </si>
  <si>
    <t>Ankit Pandit</t>
  </si>
  <si>
    <t>Seven Trading</t>
  </si>
  <si>
    <t>Japan’s Nikkei rises for a 15th straight session after Abe’s election win https://t.co/04Fq45YuRy</t>
  </si>
  <si>
    <t>Financiero| Altruista| MBA| Trader</t>
  </si>
  <si>
    <t>Abhishek Verma</t>
  </si>
  <si>
    <t>Kyoto City, Kyoto</t>
  </si>
  <si>
    <t>Civil Servant, Lawyer, MBA@Kyoto-Univ. I love my family, friends and India. Views personal.</t>
  </si>
  <si>
    <t>Aman singh</t>
  </si>
  <si>
    <t>Azamgarh</t>
  </si>
  <si>
    <t>Srinath Lakshmipathy</t>
  </si>
  <si>
    <t>Smile can hide all your feelings and make you to feel better. Keep smiling :)</t>
  </si>
  <si>
    <t>Shubham Thakur</t>
  </si>
  <si>
    <t>Financial and Legal Consultant , Tax professional, Lawyer, GST....</t>
  </si>
  <si>
    <t>Ana Banal</t>
  </si>
  <si>
    <t>Japan's Abe to push pacifist constitution reform after strong election win</t>
  </si>
  <si>
    <t>SheepArmy</t>
  </si>
  <si>
    <t>Silent Majority</t>
  </si>
  <si>
    <t>Stocks • Options • Futures • Forex • Bonds • Equities • Derivatives • Indices•Commodities•Binaries•Currencies•Metals•CFD•ETF• Retweets aren't endorsements</t>
  </si>
  <si>
    <t>Yuxing Sun</t>
  </si>
  <si>
    <t>#sp500 #nasdaq #DowJones Stocks Climb to Start the Week https://t.co/M2ae9r3dYF</t>
  </si>
  <si>
    <t>Santa Clara, CA</t>
  </si>
  <si>
    <t>#ai #deeplearning #bigdata #ApacheSpark #cloudera #aws #Cassandra #options #trader #bodypump #lesmillsus #insanity #atp #avpbeach #warriors #splashbrother</t>
  </si>
  <si>
    <t>Prabhachandra k🇮🇳</t>
  </si>
  <si>
    <t xml:space="preserve"> Karnataka, Bharath</t>
  </si>
  <si>
    <t>देश सर्वप्रथम । तेरा वैभव अमर रहे माँ। हम दिन चार रहे न रहे।</t>
  </si>
  <si>
    <t>#Japan’s Shinzo Abe hails landslide victory in snap election: Watch Video A… https://t.co/gokJ6Amv3N via @WTKR3</t>
  </si>
  <si>
    <t>Rupash Jaiswal</t>
  </si>
  <si>
    <t xml:space="preserve">Bhartiya Janta Party </t>
  </si>
  <si>
    <t>Yuva Morcha team</t>
  </si>
  <si>
    <t>Ram ram ji</t>
  </si>
  <si>
    <t>horizon</t>
  </si>
  <si>
    <t>STcomSingapore</t>
  </si>
  <si>
    <t>Prime Minister Lee congratulates Japan's Shinzo Abe on Lower House election victory https://t.co/2Xd492VCjT</t>
  </si>
  <si>
    <t>Rahul Das</t>
  </si>
  <si>
    <t>Kolkata,  India</t>
  </si>
  <si>
    <t>Die hard United fan :)</t>
  </si>
  <si>
    <t>png</t>
  </si>
  <si>
    <t>RT @Newsweek_INT: North Korea fears Japan "invasion" after Shinzo Abe's victory https://t.co/WoM0TIlZu4 https://t.co/oz0wkSjw5r</t>
  </si>
  <si>
    <t>Adelaide, South Australia</t>
  </si>
  <si>
    <t>主に政治、経済等について。 専攻 : 国際政治(中東情勢、国際テロ) その他 : 国際法、憲法、経済学(ミクロ/マクロ/国際)</t>
  </si>
  <si>
    <t>NarendraKumarAcharya</t>
  </si>
  <si>
    <t>I love my friend</t>
  </si>
  <si>
    <t>Daryl Montgomery</t>
  </si>
  <si>
    <t>#Japan 's Shinzo Abe hails landslide victory in snap election https://t.co/wNiOcculsx #Asia</t>
  </si>
  <si>
    <t>New York CIty</t>
  </si>
  <si>
    <t>#Investing in #Trump #Brexit era. Former professor, expert witness, author 5 books on investing, politics. Run 7500 member investing group #MAGA #DrainTheSwamp</t>
  </si>
  <si>
    <t>AOL Solapur</t>
  </si>
  <si>
    <t xml:space="preserve">Solapur </t>
  </si>
  <si>
    <t>Come to ur ultimate inner peace with doing some Yoga ,Meditation with Solapur Art of living team email solapur.aol@gmail.com</t>
  </si>
  <si>
    <t>Vikas Kalani</t>
  </si>
  <si>
    <t>Rohidas Sonawane</t>
  </si>
  <si>
    <t>Shirdi, India</t>
  </si>
  <si>
    <t>SingaporeUpdate</t>
  </si>
  <si>
    <t>Prime Minister Lee congratulates Japan's Shinzo Abe on Lower House election victory https://t.co/SMrdMdVQKM</t>
  </si>
  <si>
    <t>新加坡</t>
  </si>
  <si>
    <t>Update information and news on Singapore</t>
  </si>
  <si>
    <t>Hillary Han</t>
  </si>
  <si>
    <t>Currently watching a reality show called #TrumpRussia</t>
  </si>
  <si>
    <t>Venkata Ramana</t>
  </si>
  <si>
    <t>Joshi Bharat Kumar</t>
  </si>
  <si>
    <t>Mrinal Thakur</t>
  </si>
  <si>
    <t>Flawed and fabulous ...</t>
  </si>
  <si>
    <t>Anoop</t>
  </si>
  <si>
    <t>|Hard WoRk NeVeR FaILs|Twitter Addict|O+ve(Last donated on 24.2.2017)|Tech Geek|Ready to help everyone 24by7 365d|Engineer|</t>
  </si>
  <si>
    <t>Edano's CDPJ Wins over Unaffiliated Voters in Japan General Election https://t.co/1aqrzcTQqd</t>
  </si>
  <si>
    <t>China urges Japan’s peaceful development after Abe’s election win https://t.co/q5g0aWAfXY #JT</t>
  </si>
  <si>
    <t>Madhu Gattani</t>
  </si>
  <si>
    <t>not much to say .... yet!!</t>
  </si>
  <si>
    <t>Shakthikumar Raja GK</t>
  </si>
  <si>
    <t>Rajapalayam, Tamilnadu,India</t>
  </si>
  <si>
    <t>Textile Technologist having experience of 26 years in manufacturing operations of Textile mills. Currently doing business of SOLAR POWER PROJECTS installer.</t>
  </si>
  <si>
    <t>Kichu Kannan Namo</t>
  </si>
  <si>
    <t>Lyricist ,BJP SM co-ordinator. Loyal Leo.Nationalist #Modibhakt followed by @PiyushGoyal</t>
  </si>
  <si>
    <t>Tirumalaraddi</t>
  </si>
  <si>
    <t>Adwait Dubey</t>
  </si>
  <si>
    <t>Ahmedabad, Dehradun</t>
  </si>
  <si>
    <t>Sanatani|Civil Engineer|Nationalist|Member @BJP4India|Grammar Nazi| 🇮🇳 Jai Hind! 🇮🇳 P.S: RTs maybe endorsements that are subject to market risks.</t>
  </si>
  <si>
    <t>CUI Ling -tinkerbell</t>
  </si>
  <si>
    <t>Some people feel the rain, others just get wet...</t>
  </si>
  <si>
    <t>gompa krishna(gvk)</t>
  </si>
  <si>
    <t>visakhapatnam</t>
  </si>
  <si>
    <t>Typhoon leaves five dead after lashing Japan on election day https://t.co/FyVSK0Gl3O</t>
  </si>
  <si>
    <t>Vidoe TV</t>
  </si>
  <si>
    <t>Japan election: Abe hails massive win, but what now for the country's pacifist constitution? -… https://t.co/p97iSf4JUE</t>
  </si>
  <si>
    <t>vidoe tv</t>
  </si>
  <si>
    <t>Become a Dailymotion Partner: https://t.co/dmuvMIpoLF Our Video Platform: https://t.co/FYjXVmXzP3</t>
  </si>
  <si>
    <t>Dyunta</t>
  </si>
  <si>
    <t>子どもたちの明日が生きやすい社会でありますように。</t>
  </si>
  <si>
    <t>Sudha B. Kumar</t>
  </si>
  <si>
    <t>Thiruvananthapuram</t>
  </si>
  <si>
    <t>We are on track to get there....</t>
  </si>
  <si>
    <t>William Pesek</t>
  </si>
  <si>
    <t>Abe, post-election, faces a new @realDonaldTrump problem | The Japan Times https://t.co/8yFql1me1f #Abenomics</t>
  </si>
  <si>
    <t>Columnist, author of 'Japanization,' ex-Barron's &amp; Bloomberg, pop culture junkie, wine lover not a fighter, believer in virtues of wanderlust.</t>
  </si>
  <si>
    <t>Deepak Srivastava In</t>
  </si>
  <si>
    <t>NIKHIL P BHAGWAT</t>
  </si>
  <si>
    <t>Hamarein baad mehfilon mein afsaane bayan honge, Hamare baad mehfilon mein afsaane bayan honge. Bahaarein hamko dhundegi, najane ham kahan honge.</t>
  </si>
  <si>
    <t>Pradeep Singh</t>
  </si>
  <si>
    <t>The Straits Times</t>
  </si>
  <si>
    <t>Prime Minister Lee congratulates Japan's Shinzo Abe on Lower House election victory https://t.co/CPibhzGHia https://t.co/3vVXFBaPIy</t>
  </si>
  <si>
    <t>Breaking news from the online site of Singapore's most widely read newspaper</t>
  </si>
  <si>
    <t>ST Foreign Desk</t>
  </si>
  <si>
    <t>Prime Minister Lee congratulates Japan's Shinzo Abe on Lower House election victory https://t.co/69Y3XPG7yh https://t.co/GzWz9rh0Gn</t>
  </si>
  <si>
    <t>The Straits Times Foreign Desk brings you news about the rest of the world. Follow us for live tweeting of major events.</t>
  </si>
  <si>
    <t>North Korea Fears Japan 'Invasion' as Abe's Victory Paves the Way for Changes to Pacifist… https://t.co/12f5JrHK3A</t>
  </si>
  <si>
    <t>Singapore Informer</t>
  </si>
  <si>
    <t>Prime Minister Lee congratulates Japan's Shinzo Abe on Lower House election victory https://t.co/tmjhXQOWIP https://t.co/wAAjUD68DE</t>
  </si>
  <si>
    <t>Singapore News from A - Z, that's what you get from us</t>
  </si>
  <si>
    <t>प्राजक्त (Prajakt)</t>
  </si>
  <si>
    <t>TRAMP</t>
  </si>
  <si>
    <t>CHICAGO/TEXAS</t>
  </si>
  <si>
    <t>artist</t>
  </si>
  <si>
    <t>Smiling ரெட்டை வால்!</t>
  </si>
  <si>
    <t>Smile &amp; make others smile | RT is no endorsement | Loves ரெட்டை வால் ரெங்குடு, Bharathi, Ram, Krishna, Sai | வாக்கினிலே யினிமை வேண்டும் | நினைவு நல்லது வேண்டும்</t>
  </si>
  <si>
    <t>Ambassador Sam</t>
  </si>
  <si>
    <t>Ambassador of Thailand to India, charged with helping ASEAN, India &amp; Thailand find each other's fullest potential.</t>
  </si>
  <si>
    <t>Saul of United</t>
  </si>
  <si>
    <t>Japan PM Shinzo Abe pledges pressure on North Korea after big election win https://t.co/vrspqgPJgr</t>
  </si>
  <si>
    <t>Pyongyang</t>
  </si>
  <si>
    <t>Don't hate the player, hate the game : Religion, History and Geopolitics. Questions and Answers. DPRK</t>
  </si>
  <si>
    <t>कृष्ण प्यार मे पागल</t>
  </si>
  <si>
    <t>Samana, India</t>
  </si>
  <si>
    <t>working as Computer Faculty Gsss, Samana</t>
  </si>
  <si>
    <t>Sudipta Chaterjee</t>
  </si>
  <si>
    <t>Shankar Sharma 🇮🇳</t>
  </si>
  <si>
    <t>Nationalist by Heart..! Sports enthusiast, Proud Indian, MODIfied, RT not endorsement..! जय हिंद</t>
  </si>
  <si>
    <t>Saurabh Chaturvedi</t>
  </si>
  <si>
    <t>Positive thinker,optimistic,keenly interested in political debates,wanna see india as developed nation!!!</t>
  </si>
  <si>
    <t>PM Lee Hsien Loong congratulates Japan's Shinzo Abe on Lower House election victory https://t.co/2Xd492VCjT</t>
  </si>
  <si>
    <t>HRS</t>
  </si>
  <si>
    <t>RT @STcom: Prime Minister Lee congratulates Japan's Shinzo Abe on Lower House election victory https://t.co/CPibhzGHia https://t.co/3vVXFBa…</t>
  </si>
  <si>
    <t>Chiba,Japan</t>
  </si>
  <si>
    <t>怠惰で無能な人のつぶやきです。ご利用は自己責任で。 I'm lazy and imbecile.</t>
  </si>
  <si>
    <t>Harish Chibber</t>
  </si>
  <si>
    <t>Kethily  Santos</t>
  </si>
  <si>
    <t>São Paulo, Brasil</t>
  </si>
  <si>
    <t>Sporty Foot</t>
  </si>
  <si>
    <t>Nikkei hits new highs on Japan election https://t.co/p6iOi9wnnQ</t>
  </si>
  <si>
    <t>redpeak</t>
  </si>
  <si>
    <t>Football, soccer, baseball and beer. Go sports!</t>
  </si>
  <si>
    <t>Nikhil N</t>
  </si>
  <si>
    <t>Peenya, Bengaluru</t>
  </si>
  <si>
    <t>Life is short make it sweet</t>
  </si>
  <si>
    <t>cosmicblinker</t>
  </si>
  <si>
    <t>Ham Radio Show</t>
  </si>
  <si>
    <t>Abe to push reform of Japan’s pacifist constitution after election win https://t.co/TPr1aZe1Tg</t>
  </si>
  <si>
    <t>The Ham Radio Show not to be confused with amateur radio is a weekly talk radio show that airs live every Wednesdays from 6p-8p Est. on https://t.co/QqbGhMMVKk</t>
  </si>
  <si>
    <t>NewSparkTamil</t>
  </si>
  <si>
    <t>#Japan: #ShinzoAbe Strikes Hat-trick #Win in Snap #Election https://t.co/jQ5aYrfzDb https://t.co/x2ycywWpTe</t>
  </si>
  <si>
    <t>New Spark in Media</t>
  </si>
  <si>
    <t>el bajamallo</t>
  </si>
  <si>
    <t>Fortaleza</t>
  </si>
  <si>
    <t>Where is Michael Caine??? snap: isacbernardo</t>
  </si>
  <si>
    <t>Shivasagar patil</t>
  </si>
  <si>
    <t>Gulbarga</t>
  </si>
  <si>
    <t>Dr. Bhavin Modi</t>
  </si>
  <si>
    <t>Ankleshwar, Gujarat</t>
  </si>
  <si>
    <t>Mitsuru Obe</t>
  </si>
  <si>
    <t>Abe's attempt to revise constitution "largest threat to post-war peaceful system"--China Liberation Daily https://t.co/pUxG6FmUoW</t>
  </si>
  <si>
    <t>Journalist, former WSJ</t>
  </si>
  <si>
    <t>Samuel Moriasi</t>
  </si>
  <si>
    <t>Kenyan</t>
  </si>
  <si>
    <t>The VICE News Guide to the World — Week of October 23 https://t.co/e5pVHWYnrm</t>
  </si>
  <si>
    <t>団地おばさん</t>
  </si>
  <si>
    <t>東京</t>
  </si>
  <si>
    <t>団地に住んでいます。</t>
  </si>
  <si>
    <t>HECTOR E .'.</t>
  </si>
  <si>
    <t>OAXACA - CDMEX</t>
  </si>
  <si>
    <t>@NWOaxaca ASESORIA POLÍTICA, MEDIOS. LRI UNIVAS OAXACA. ORGULLOSAMENTE MIXTECO DE CHALCATONGO</t>
  </si>
  <si>
    <t>Fingeritis</t>
  </si>
  <si>
    <t>Nationalist, sportsman, armchair critic, generally chilled... Unless provoked.</t>
  </si>
  <si>
    <t>आशीष</t>
  </si>
  <si>
    <t>हिन्दू तन, हिन्दू मन, हिन्दू अपना जीवन। रामराज्य फिर लाऐगे बोले हर एक धडकन।। ।।जय श्री राम।।</t>
  </si>
  <si>
    <t>VICE News</t>
  </si>
  <si>
    <t>North Korea thinks Abe’s election win is a prelude to invasion https://t.co/13YXbCEzCl https://t.co/POoQVMt1ds</t>
  </si>
  <si>
    <t>Sprout Social</t>
  </si>
  <si>
    <t>VICE News Tonight airs Mon-Thurs 7:30PM on @HBO / #VICEonHBO airs Fridays 7:30PM and 11PM / SecureDrop: https://t.co/ERfNH4ff3V</t>
  </si>
  <si>
    <t>NeO™</t>
  </si>
  <si>
    <t>Ministry of Media</t>
  </si>
  <si>
    <t>Guru</t>
  </si>
  <si>
    <t>A Proud Hindustani 🇮🇳</t>
  </si>
  <si>
    <t>Rohitian ❤</t>
  </si>
  <si>
    <t>esh Dwivedi...</t>
  </si>
  <si>
    <t>राष्ट्रभक्त.......मोदीभक्त.......अभियान 2019....शशक्त भारत,.......समर्थ भारत</t>
  </si>
  <si>
    <t>Vikash Mishra</t>
  </si>
  <si>
    <t>If U don't sacrifice for what you want, what U want becomes the sacrifice...😊👍🏻✌🏻</t>
  </si>
  <si>
    <t>Kaushik Saha</t>
  </si>
  <si>
    <t>TV strategist &amp; Advertising guru says Abandon the religion which is without compassion and yes @narendramodi follows me</t>
  </si>
  <si>
    <t>Jogendra Kashyap</t>
  </si>
  <si>
    <t>Government and Politics Books &amp; Authors &amp;Travel&amp; Bollywood and Celebrities &amp; Hindi Music</t>
  </si>
  <si>
    <t>shashi prabha</t>
  </si>
  <si>
    <t>Aviator Anil Chopra</t>
  </si>
  <si>
    <t>Retd Air Marshal of Indian #AirForce, Test Pilot. India First for me Always. Writes on #Aviation #Defence. Tweets not endorsement often info only</t>
  </si>
  <si>
    <t>気になったこと</t>
  </si>
  <si>
    <t>気になったことを、気ままに、深く考えず、スイーツします。</t>
  </si>
  <si>
    <t>Short-end Treasury yields lower as investors weigh Spanish tensions, Japan election https://t.co/gId6yhfXrH</t>
  </si>
  <si>
    <t>adam jensen</t>
  </si>
  <si>
    <t>RT @vicenews: North Korea thinks Abe’s election win is a prelude to invasion https://t.co/13YXbCEzCl https://t.co/POoQVMt1ds</t>
  </si>
  <si>
    <t>Kyiv</t>
  </si>
  <si>
    <t>FOUR STAR NEWS</t>
  </si>
  <si>
    <t>NKorea thinks Abe’s election win is a prelude to invasion https://t.co/SMCUY6Bemy via @vicenews #Japan #NKorea #SKorea #world #Politics</t>
  </si>
  <si>
    <t>#Resistance of the political divide becoming tribal is a major first step towards #PROGRESS.</t>
  </si>
  <si>
    <t>Akash Sinha</t>
  </si>
  <si>
    <t xml:space="preserve">Pantnagar </t>
  </si>
  <si>
    <t>born and brought up in jamalpur, bihar</t>
  </si>
  <si>
    <t>आर्यवीर</t>
  </si>
  <si>
    <t>भारतखंडे, जम्बुद्वीपे</t>
  </si>
  <si>
    <t>राष्ट्रवादी, मोदी समर्थक, भक्त, संघी, कम्युनल, असहिष्णु, - वंदे मातरम्</t>
  </si>
  <si>
    <t>दीपक हिन्दुस्तानी</t>
  </si>
  <si>
    <t>gwalior</t>
  </si>
  <si>
    <t>Ashok Kumar</t>
  </si>
  <si>
    <t>Barbil,Odisha</t>
  </si>
  <si>
    <t>kunwar arvind singh</t>
  </si>
  <si>
    <t>U P JAUNPUR</t>
  </si>
  <si>
    <t>Natura Bio science</t>
  </si>
  <si>
    <t>MIA</t>
  </si>
  <si>
    <t>I got $5 on it</t>
  </si>
  <si>
    <t>shriramthechange</t>
  </si>
  <si>
    <t xml:space="preserve">Pune </t>
  </si>
  <si>
    <t>Jason bourne</t>
  </si>
  <si>
    <t>North Korea thinks Abe’s election win is a prelude to invasion https://t.co/pgBjZwN58K https://t.co/MUcqV0tgd9 — VICE News (vicenews) Oc…</t>
  </si>
  <si>
    <t>👍ZEAL News</t>
  </si>
  <si>
    <t>vicenews: North Korea thinks Abe’s election win is a prelude to invasion https://t.co/B1YGruwQHY https://t.co/BVjob0W2Vv</t>
  </si>
  <si>
    <t>Next gen hard hitting breaking real news! News that affects you! News for the Millennial generation! Apart of @channel1network</t>
  </si>
  <si>
    <t>justin</t>
  </si>
  <si>
    <t>North Korea thinks Abe’s election win is a prelude to invasion https://t.co/uYnyZhdhmT https://t.co/66enSowd3h</t>
  </si>
  <si>
    <t>Bay Area Native &amp; technology professional | Music &amp; Food Aficionado | #IoT #aiethics #android | Powered by Google &amp; Samsung</t>
  </si>
  <si>
    <t>R J Smith</t>
  </si>
  <si>
    <t>none of your business</t>
  </si>
  <si>
    <t>Born lived made mistakes learned from them died</t>
  </si>
  <si>
    <t>sandyc</t>
  </si>
  <si>
    <t>Happywings</t>
  </si>
  <si>
    <t>Loyalty to country ALWAYS. Loyalty to government, when it deserves it.</t>
  </si>
  <si>
    <t>Lalit Negi</t>
  </si>
  <si>
    <t>Working in Freight Forwarding Industry.</t>
  </si>
  <si>
    <t>Wall Street opens at record after Abe election win https://t.co/qSQPVPsqDD #wallstreet #Finance #money #StockMarket #Japan #Economy</t>
  </si>
  <si>
    <t>Spitma</t>
  </si>
  <si>
    <t>Meghalaya (India)</t>
  </si>
  <si>
    <t>Aham Brahmāsmi RTs ≠ endorsements</t>
  </si>
  <si>
    <t>Tokyo News</t>
  </si>
  <si>
    <t>Abe, post-election, faces a new Trump problem https://t.co/74D5SUxSe0</t>
  </si>
  <si>
    <t>Tokyo native giving you latest information about Tokyo including news, weather, trends, fashion, stocks, events, offerings, and more.</t>
  </si>
  <si>
    <t>Super Maori</t>
  </si>
  <si>
    <t>Gone.</t>
  </si>
  <si>
    <t>🤘</t>
  </si>
  <si>
    <t>Abhishek Salecha</t>
  </si>
  <si>
    <t>😇</t>
  </si>
  <si>
    <t>Lucky jain</t>
  </si>
  <si>
    <t>#politics #supporter @narendramodi #student #interca #MakeInIndia #CongressMuktBharat</t>
  </si>
  <si>
    <t>となりのおばちゃん</t>
  </si>
  <si>
    <t>Tokyo 2017</t>
  </si>
  <si>
    <t>A tipical Japanese OBASAN. Follows &amp; retweets are not endorsements. Just checking what's going on around the neighborhood.</t>
  </si>
  <si>
    <t>forget about you</t>
  </si>
  <si>
    <t>RT @thaitvnews: The VICE News Guide to the World — Week of October 23 https://t.co/e5pVHWYnrm</t>
  </si>
  <si>
    <t>crispy pork is inexorable.</t>
  </si>
  <si>
    <t>Shinzo Abe Wins Japan's Election, Will Focus On North Korea (RT↺ Fav❤️) https://t.co/4u1uP2yVka #Tokyo #Japan #JoshuaBerlin</t>
  </si>
  <si>
    <t>Short-end Treasury yields lower as investors weigh Spanish tensions, Japan election https://t.co/fBr0aQpZlF</t>
  </si>
  <si>
    <t>Las Vegas NV Blog</t>
  </si>
  <si>
    <t>Japan's Shinzo Abe Conjures Stunning Election Victory in a Boost for Donald Trump https://t.co/7AEAEmseuA https://t.co/QQXHCknm29</t>
  </si>
  <si>
    <t>Typhoon</t>
  </si>
  <si>
    <t>kapil ahuja</t>
  </si>
  <si>
    <t>New Delhi, INDIA</t>
  </si>
  <si>
    <t>Peaya</t>
  </si>
  <si>
    <t>SPK</t>
  </si>
  <si>
    <t>Only for reading news</t>
  </si>
  <si>
    <t>BJP IT Cell Maha</t>
  </si>
  <si>
    <t>This Account is Followed By Honourable PM SHRI Narendra Modi ji VOTE for BJP and lets make our country Prosperous</t>
  </si>
  <si>
    <t>Harry T</t>
  </si>
  <si>
    <t>one of the good guys...</t>
  </si>
  <si>
    <t>Elizabeth Rydan</t>
  </si>
  <si>
    <t>In the bushes with Spicy</t>
  </si>
  <si>
    <t>I'm twitterpated (I don't answer DM's or Trump trolls)</t>
  </si>
  <si>
    <t>Mrityunjoy Kumar Jha</t>
  </si>
  <si>
    <t>It’s paid off .. Japan PM Abe’s risk by calling for an early election, even though many felt that the decision was politically risky.</t>
  </si>
  <si>
    <t>Broadcast Journalist | EX TV18 (IBN7) | @TVToday #Newstrack @aajtak | Covering since 1989 on Indian politics &amp; Pakistan,SriLanka,Afgn etc|RT not endorsement</t>
  </si>
  <si>
    <t>Prasanna Viswanathan</t>
  </si>
  <si>
    <t>Bangalore,India</t>
  </si>
  <si>
    <t>CEO,Swarajyamag (views personal)</t>
  </si>
  <si>
    <t>#ModiMinistry After win, Abe prioritizes NKorea, aging Japan https://t.co/P6KMotS8JR</t>
  </si>
  <si>
    <t>FREE TIBET N BALOCH</t>
  </si>
  <si>
    <t>After election win, Abe prioritizes North Korea, aging Japan https://t.co/QxYRR3cGPV via @TOIWorld</t>
  </si>
  <si>
    <t>TIBETIAN N BOLOCHI FREEDOM DON'T COME WITH PLACARD OR DRANA OR FAST OR SELF BURNING IT COME U LOVE N SACRIFICES TO U MOTHERLAND N U PEOPLE U MIGHTY NOT SEE</t>
  </si>
  <si>
    <t>pavan</t>
  </si>
  <si>
    <t>RT @Mrityunjoykjha: It’s paid off .. Japan PM Abe’s risk by calling for an early election, even though many felt that the decision was poli…</t>
  </si>
  <si>
    <t>sea is my passion ....music and movies are my companion ....constant traveler.....తెలుగు నా ప్రపంచం ...శ్రీ శ్రీ నా గురువు ...మహా ప్రస్థానం నా ఊపిరి #SHL👊</t>
  </si>
  <si>
    <t>KULDEEP UPADHYAY</t>
  </si>
  <si>
    <t>Balrampur,Uttar Pradesh, India</t>
  </si>
  <si>
    <t>अहिंसा परमोधर्मा धर्म रक्षा तथैव च । I PROUD TO BE सनातनी हिन्दू Bachelor of Science #नमोभक्त social worker of RSS संघी #RTs-my PERSONAL</t>
  </si>
  <si>
    <t>Japan_Rover</t>
  </si>
  <si>
    <t>RT @UKenyatta: Met IEBC Chairman Wafula Chebukati and discussed the October 26 fresh election https://t.co/uYeoEez1aY https://t.co/j9K1xSHN…</t>
  </si>
  <si>
    <t>Journalist/Author/Editor/Language instructor</t>
  </si>
  <si>
    <t>H R Lingshetty</t>
  </si>
  <si>
    <t>MarketWatch</t>
  </si>
  <si>
    <t>Short-end Treasury yields lower as investors weigh Spanish tensions, Japan election https://t.co/hmdGeGnujr</t>
  </si>
  <si>
    <t>News, personal finance &amp; commentary from MarketWatch. Tweets by @SAFmedia, @jessmarmor, @slangwise.</t>
  </si>
  <si>
    <t>WLST.com</t>
  </si>
  <si>
    <t>Short-end Treasury yields lower as investors weigh Spanish tensions, Japan election #wlst https://t.co/zyKa5MQ4yQ https://t.co/Ee5rueBhyS</t>
  </si>
  <si>
    <t>wlst</t>
  </si>
  <si>
    <t>digital</t>
  </si>
  <si>
    <t>wall street breaking news, investing news, trading news ++free streaming news, trends, buzz</t>
  </si>
  <si>
    <t>Janice Peggins</t>
  </si>
  <si>
    <t>Mohd Shafeeg Mahmood</t>
  </si>
  <si>
    <t>Maldives</t>
  </si>
  <si>
    <t>Chief Executive Officer | Local Government Authority | Maldives | Tweets=Personal | RT≠Endorsement.</t>
  </si>
  <si>
    <t>S Korea's Dong-A Ilbo predicts more Japan-China rivalry as Abe, Xi extend their reign https://t.co/pUxG6FmUoW</t>
  </si>
  <si>
    <t>Technik Finansów</t>
  </si>
  <si>
    <t>Skilled worker who only works as long as the money comes in, and creates a story with numbers. I'm interested in how the world is moving, making money.</t>
  </si>
  <si>
    <t>sakaki (あまたつぅー)</t>
  </si>
  <si>
    <t>岡山 鏡野町</t>
  </si>
  <si>
    <t>神社巡りが、もはや人生の一部。 主に岡山・島根・鳥取の神社をうろうろ。 高須クリニック、神社巡り、銀魂、鷹の爪が大好き。 ･:*+.\(( °ω° ))/.:+ 顔は天達武史と小栗旬とチンパンジーを足して、そこから小栗旬を引いた後に２で割った感じの顔です。 つまり、イケメンでs(っ･д･)≡⊃)3ﾟ)∵</t>
  </si>
  <si>
    <t>JustBigNews.com</t>
  </si>
  <si>
    <t>Abe to push reform of Japan's pacifist constitution after election win -- 18 related stories on JustBigNews. https://t.co/SwxIb3l3TD</t>
  </si>
  <si>
    <t>Newsibly Top Headlines</t>
  </si>
  <si>
    <t>News feed from the JustBigNews aggregator. Bringing you the topics most reported on by major media.</t>
  </si>
  <si>
    <t>After election win, Abe prioritizes North Korea, aging Japan https://t.co/IjoJLAzUTs</t>
  </si>
  <si>
    <t>Amit Sharma</t>
  </si>
  <si>
    <t>Japan PM's ruling bloc scores big election win: https://t.co/RcLFiXHtBD via @ReutersTV</t>
  </si>
  <si>
    <t>yoshiya</t>
  </si>
  <si>
    <t xml:space="preserve">TheWorld for iOS　</t>
  </si>
  <si>
    <t>音楽作ったり、写真撮ったり、企画考えたりしてました。親介護なう。</t>
  </si>
  <si>
    <t>Kabir Chatterji</t>
  </si>
  <si>
    <t>25mom-snsn</t>
  </si>
  <si>
    <t>綺麗な写真や動物のRTが多めです。 #FakeOfNanking #移民反対 無言フォロー失礼致します｡ エロ系ブロック、販売関係には興味ありません。(DM✖︎. I’m not interested in buying followers. )</t>
  </si>
  <si>
    <t>Rushikesh Joshi</t>
  </si>
  <si>
    <t>PM: @narendramodi Supporter. Member of @BJP4India. @PMOIndia Proud #IndianArmy Proudly #INDIAN Followed by Hon @PiyushGoyalOffc #gautian fan of @GautamGambhir</t>
  </si>
  <si>
    <t>kalusayakkaragesunil</t>
  </si>
  <si>
    <t>Abe vows to 'firmly deal' with North Korea after landslide Japan election victory | SBS News https://t.co/2L0WgzkJiN</t>
  </si>
  <si>
    <t>Sri Lanka</t>
  </si>
  <si>
    <t>astrologer</t>
  </si>
  <si>
    <t>Edward</t>
  </si>
  <si>
    <t>Short-end Treasury yields lower as investors weigh Spanish tensions, Japan election https://t.co/czBoqpMQrX</t>
  </si>
  <si>
    <t>#Digital #Marketing consultant in #SocialMedia and #Ecommerce #Machinelearning #AI #IoT #ROI #Fintech #Banking #Startups #Insurtech #Payments</t>
  </si>
  <si>
    <t>Future Toronto</t>
  </si>
  <si>
    <t>Japan shares at two-decade top, yen at three-month low on Shinzo Abe win https://t.co/1Zt8HGm27c</t>
  </si>
  <si>
    <t>RelationFlow</t>
  </si>
  <si>
    <t>The future is here.. what's on your mind Toronto?</t>
  </si>
  <si>
    <t>Simple Mortgage Calc</t>
  </si>
  <si>
    <t>Bond Report: Short-end Treasury yields lower as investors weigh Spanish tensions, Japan election https://t.co/x0HloHMYl1</t>
  </si>
  <si>
    <t>The easiest way to crunch your mortgage numbers.</t>
  </si>
  <si>
    <t>Mukesh Tiwari</t>
  </si>
  <si>
    <t>Pratyush Pratap</t>
  </si>
  <si>
    <t>Thomas Viruvelil</t>
  </si>
  <si>
    <t>Cochin,India</t>
  </si>
  <si>
    <t>Architect,Poet,House builder,Management Consultant</t>
  </si>
  <si>
    <t>George Perfect</t>
  </si>
  <si>
    <t>South East, England</t>
  </si>
  <si>
    <t>Chair of Medway Youth Council 17-18. Recognised by UK PM @theresa_may. Appeared on @SkyNews. Personal account, all views my own. RT, Fav, Follow ≠ endorsement.</t>
  </si>
  <si>
    <t>ＭＯ＋</t>
  </si>
  <si>
    <t>RT いいね フォロー ありがとうございます☆ o(･x･)/ ☆</t>
  </si>
  <si>
    <t>Rahul sharma</t>
  </si>
  <si>
    <t>जिंदगी में सब लोग रिश्तेदार या दोस्त बन कर नही आते, कुछ लोग सबक बन कर भी आते हैं !</t>
  </si>
  <si>
    <t>WSJ Markets</t>
  </si>
  <si>
    <t>Stocks climb to start the week https://t.co/opMZOk9LTG via @GoldRiva @Ese_Journo</t>
  </si>
  <si>
    <t>Breaking news, smart analysis and in-depth features on global markets and finance from The Wall Street Journal.</t>
  </si>
  <si>
    <t>Fawad Barlas</t>
  </si>
  <si>
    <t>WSJmarkets: Stocks climb to start the week https://t.co/Ecot7w8krX via GoldRiva Ese_Journo</t>
  </si>
  <si>
    <t>齐才</t>
  </si>
  <si>
    <t>Abe’s election super majority puts Japan’s pacifist constitution in his crosshairs again… https://t.co/F4dOjTZUFm</t>
  </si>
  <si>
    <t>Daily #Finance</t>
  </si>
  <si>
    <t>MarketWatch: "Bond Report: Short-end Treasury yields lower as investors weigh Spanish tensions, Japan election" https://t.co/q6o3QtZ8z9 #f…</t>
  </si>
  <si>
    <t>Latest financial news, including insights and special reports on #money, #trading, #markets, #stocks, and more. Follow @dailyfn for daily updates.</t>
  </si>
  <si>
    <t>seputartrading</t>
  </si>
  <si>
    <t>Bond Report: Short-end Treasury yields lower as investors weigh Spanish tensions, Japan election https://t.co/LDD9M3oEmm</t>
  </si>
  <si>
    <t>Solo</t>
  </si>
  <si>
    <t>Analisa Anda lah yang paling benar!. Sebuah visi untuk membangun dan membantu trader agar sukses &amp; mandiri. PIN BB 748D9F5B. Klik http://t.co/EPlDVZFfS1</t>
  </si>
  <si>
    <t>Front Business News</t>
  </si>
  <si>
    <t>Bond Report: Short-end Treasury yields lower as investors weigh Spanish tensions, Japan election https://t.co/KNLKFZJSHi Trading in Treasu…</t>
  </si>
  <si>
    <t>in the World</t>
  </si>
  <si>
    <t>Press-Portal for Business News Finance Markets Technology Entrepreneurs Work Lifestyle Lists Opinions http://t.co/fN7JSoHH5w</t>
  </si>
  <si>
    <t>Justin Trudeau</t>
  </si>
  <si>
    <t>My congratulations to Prime Minister @AbeShinzo on his victory in the general election in Japan: https://t.co/QIzGatuwU5</t>
  </si>
  <si>
    <t>Papineau</t>
  </si>
  <si>
    <t>Account run by the 23rd Prime Minister of Canada and staff… Compte géré par le 23e premier ministre du Canada et personnel.</t>
  </si>
  <si>
    <t>Fairbank Village</t>
  </si>
  <si>
    <t>RT @JustinTrudeau: My congratulations to Prime Minister @AbeShinzo on his victory in the general election in Japan: https://t.co/QIzGatuwU5</t>
  </si>
  <si>
    <t>Fairbanks</t>
  </si>
  <si>
    <t>The Fairbank News is a feed comprised of local businesses, organizations and people who are committed to the Dufferin/Eglinton neighborhood.</t>
  </si>
  <si>
    <t>モーラステープ</t>
  </si>
  <si>
    <t>貝殻</t>
  </si>
  <si>
    <t>Haris Khan Trudeau🍁</t>
  </si>
  <si>
    <t xml:space="preserve">Peshawar, Pakistan Canada </t>
  </si>
  <si>
    <t>🍁If the world is against @JustinTrudeau,I am against the world I will Support him till my last breath (I'm Humanitarian ,Peace is my dream)</t>
  </si>
  <si>
    <t>Short-end Treasury yields lower as investors weigh Spanish tensions, Japan election https://t.co/blICxV9iA2 — MarketWatch (MarketWatch) O…</t>
  </si>
  <si>
    <t>linda x</t>
  </si>
  <si>
    <t>49.831694,-97.044436</t>
  </si>
  <si>
    <t>working Mom with 2 boys</t>
  </si>
  <si>
    <t>Kundry</t>
  </si>
  <si>
    <t>Dramatización de lo que sería el cataclismo final. Heir to the Chrome. Bene Gesserit.</t>
  </si>
  <si>
    <t>NewsHound.ca</t>
  </si>
  <si>
    <t>#3 Sun @ NewsHound.ca - @cbcnews: Abe to push reform of Japan's pacifist constitution after election win https://t.co/XB9EO5AFTk</t>
  </si>
  <si>
    <t>NewsHound.ca Publisher</t>
  </si>
  <si>
    <t>NewsHound.ca helps you track the most important news in Canada by continuously monitoring and analyzing major news sites and reaction on social media.</t>
  </si>
  <si>
    <t>Carlos Cardona</t>
  </si>
  <si>
    <t>soy Uribista de corazón y de convicción y no acepto ni los quejidos,ni los que joden!</t>
  </si>
  <si>
    <t>iFortuneFinancing</t>
  </si>
  <si>
    <t>Stocks climb to start the week https://t.co/UA3PQsGsJN via GoldRiva Ese_Journo #$loan #firsttimebusinessloan #veteransmallbusinessloan</t>
  </si>
  <si>
    <t>Intrepid Fortune Financing lives to lend! Helping hundreds of thousands of small businesses every year grow and expand at exponential rates.</t>
  </si>
  <si>
    <t>Qureshi Asif</t>
  </si>
  <si>
    <t>🇬🇧</t>
  </si>
  <si>
    <t>Andy</t>
  </si>
  <si>
    <t>Lethbridge AB</t>
  </si>
  <si>
    <t>ReTweets by me are not endorsements. "Liking" tweets is useless emoting.</t>
  </si>
  <si>
    <t>B. 📎</t>
  </si>
  <si>
    <t>Coffee Drinker, Oxygen Breather. #Jets|#Rangers|#Yankees|#Knicks Sports Biz|Pop Culture|Social Media Writer/Creator: TM4T Blog - http://t.co/bGwxp3rnil</t>
  </si>
  <si>
    <t>Finance News</t>
  </si>
  <si>
    <t>Bond Report: Short-end Treasury yields lower as investors weigh Spanish tensions, Japan election… https://t.co/dM0Sk26g1j</t>
  </si>
  <si>
    <t>The latest financial pr news</t>
  </si>
  <si>
    <t>Holmes Unlimited</t>
  </si>
  <si>
    <t>MarketWatch: Short-end Treasury yields lower as investors weigh Spanish tensions, Japan election https://t.co/ytpkdak8on</t>
  </si>
  <si>
    <t>#Non-Profit / Small Business #Management Consultant / #Social Media / #Entrepreneur / Foodie who loves to dance. http://t.co/RC4mF4szcX</t>
  </si>
  <si>
    <t>Neeraj Bhatia</t>
  </si>
  <si>
    <t>Secular, Liberal, Progressive Indian, Truthful</t>
  </si>
  <si>
    <t>Rex L Smith</t>
  </si>
  <si>
    <t>RT @WSJmarkets: Stocks climb to start the week https://t.co/opMZOk9LTG via @GoldRiva @Ese_Journo</t>
  </si>
  <si>
    <t xml:space="preserve">Eureka Montana, Don't blink! </t>
  </si>
  <si>
    <t>Family man, Hunter gatherer, Naturalist, free thinker, nonconformists conservative... live free or die</t>
  </si>
  <si>
    <t>Politiquement Mort</t>
  </si>
  <si>
    <t>Japan Election Vindicates Shinzo Abe as His Party Wins Big https://t.co/7sIycfIQ0c</t>
  </si>
  <si>
    <t>Pratap Simha</t>
  </si>
  <si>
    <t xml:space="preserve">Mysuru-Kodagu(Coorg) </t>
  </si>
  <si>
    <t>Columnist and MP, BJP. For MEDIA: Tweets n retweets reflect personal views, certainly not that of the party.</t>
  </si>
  <si>
    <t>Telly Monster</t>
  </si>
  <si>
    <t>Winnipeg, Manitoba</t>
  </si>
  <si>
    <t>Sally Yates and Kamala Harris and Maxine Waters fan</t>
  </si>
  <si>
    <t>insane thinker</t>
  </si>
  <si>
    <t>Pune Vasi London Nivasi</t>
  </si>
  <si>
    <t>Bhakt. RT does not mean endorsement. Blocked by defencepk, Shirish Kunder, Vir Sanghvi aur is baat ka mujhe garv hai. pseudo paid troll</t>
  </si>
  <si>
    <t>the dude</t>
  </si>
  <si>
    <t>we are all one consciousness experiencing itself subjectively. there is no such thing as death, life is only a dream and we are the imagination of ourselves.</t>
  </si>
  <si>
    <t>ArmchairPseph</t>
  </si>
  <si>
    <t>आर्यावर्तन्तेतत्र पुन पुनरुद्भवन्त्याक्रम्याक्रम्यापि न चिर तत्र म्लेच्छाः स्थातारोभवन्ति ||</t>
  </si>
  <si>
    <t>durgesh chouhan</t>
  </si>
  <si>
    <t>Short-end Treasury yields lower as investors weigh Spanish tensions, Japan election https://t.co/gbNHJE9kC2</t>
  </si>
  <si>
    <t>Skynet Inforena</t>
  </si>
  <si>
    <t>Prajeesh km</t>
  </si>
  <si>
    <t>My thoughts were in right direction. I checked @narendramodi twitter handle to check 48TH general election results in Japan instead of news</t>
  </si>
  <si>
    <t xml:space="preserve">Kerala+ vada pav land India </t>
  </si>
  <si>
    <t>Very Unlucky,Half serious,Medical Graduate from Govt. Medical college ,Thrissur. Aspire to become a surgeon</t>
  </si>
  <si>
    <t>Sanjay Jaiswal</t>
  </si>
  <si>
    <t>A Hindu. Indian. Nation first.</t>
  </si>
  <si>
    <t>H.K Bhardwaj</t>
  </si>
  <si>
    <t>श्रीया</t>
  </si>
  <si>
    <t>अमरेश आनन्द झा</t>
  </si>
  <si>
    <t>Proud Hindu .want each Hindustani to participate in making bharat a country to reckon</t>
  </si>
  <si>
    <t>Jackie</t>
  </si>
  <si>
    <t>Think ◆ Dream ◆ Believe ◆ Dare</t>
  </si>
  <si>
    <t>Shamnad Thajudeen</t>
  </si>
  <si>
    <t>APPRENDRE A TRADER</t>
  </si>
  <si>
    <t>Short-end Treasury yields lower as investors weigh Spanish tensions, Japan election https://t.co/WfHmx97By1 MarketWatch</t>
  </si>
  <si>
    <t>WSJmarkets: Stocks climb to start the week https://t.co/x80HQuwe1l via GoldRiva Ese_Journo</t>
  </si>
  <si>
    <t>Ayan</t>
  </si>
  <si>
    <t>London, Ontario</t>
  </si>
  <si>
    <t>I don't care either you are white,black,tall,short,fat,thin...if you respect me I'll respect..</t>
  </si>
  <si>
    <t>William L. Smith</t>
  </si>
  <si>
    <t>Etat de Catatonie</t>
  </si>
  <si>
    <t>Doctoral candidate. Clinical Mental Health Counsellor by training. #Cheeky #Bastard. Self-published author. Francophone. Russophone. https://t.co/gIhtQdY2Gh</t>
  </si>
  <si>
    <t>Lou Fortin</t>
  </si>
  <si>
    <t>Parksville</t>
  </si>
  <si>
    <t>Edinson Fonseca</t>
  </si>
  <si>
    <t>Japan's Abe to push pacifist constitution reform after strong election win https://t.co/n7GXYESZbc</t>
  </si>
  <si>
    <t>Bogotá, Col.</t>
  </si>
  <si>
    <t>Business, Economics, Politics, Eco &amp; Tech. | Business Manager @UNColombia | Here only my opinions. #Freedom ✊ #TheShowMustGoOn</t>
  </si>
  <si>
    <t>hide</t>
  </si>
  <si>
    <t>大事な人、頑張る人を応援したい。 たちあがれ日本、日本創新党、創生日本を応援しています。 j-nscの会員になりました。 この国から反日勢力を一層して、強い誇りある日本を取戻したい。</t>
  </si>
  <si>
    <t>giovanni dall' olio</t>
  </si>
  <si>
    <t>Bond Report: Short-end Treasury yields lower as investors weigh Spanish tensions, Japan election https://t.co/Jqsx6YLQYN MarketWatch.c…</t>
  </si>
  <si>
    <t>lugo</t>
  </si>
  <si>
    <t>once bank employee;graduate in economics;retweets &amp; feeds not endorsement</t>
  </si>
  <si>
    <t>Sallby</t>
  </si>
  <si>
    <t>New Jersey, USA</t>
  </si>
  <si>
    <t>Independent*scientist*supportive of fairness, diversity, and equality*'likes' are support for poster's reporting of the info &amp; to track what I have already seen</t>
  </si>
  <si>
    <t>J'adore Montréal</t>
  </si>
  <si>
    <t>JustinTrudeau: My congratulations to Prime Minister AbeShinzo on his victory in the general election in Japan: https://t.co/GxgRbQooRj</t>
  </si>
  <si>
    <t>Montréal, Québec</t>
  </si>
  <si>
    <t>Toute l'information en français, english et español</t>
  </si>
  <si>
    <t>Shinzo Abe just got one step closer to realizing his mandate for Japan. Here’s what it looks like https://t.co/p7yxxlixN7 vía @qz</t>
  </si>
  <si>
    <t xml:space="preserve">Antonia </t>
  </si>
  <si>
    <t>Michigander since birth.</t>
  </si>
  <si>
    <t>イナバヤ🍑</t>
  </si>
  <si>
    <t>beeter (β)</t>
  </si>
  <si>
    <t>北のほう</t>
  </si>
  <si>
    <t>I Love Kei Nishikori and Kyle Edmund…and more！テニス好きです（観る専門）。フォローの挨拶は一切いりません。するも離れるもあなたの自由。お気軽にリプライして下さいな。焼き海苔LOVE。</t>
  </si>
  <si>
    <t>FinCharts</t>
  </si>
  <si>
    <t>RT MarketWatch : Short-end Treasury yields lower as investors weigh Spanish tensions, Japan election https://t.co/gzYcS2nJNj</t>
  </si>
  <si>
    <t>Sanjay Shrivastava</t>
  </si>
  <si>
    <t>After election win, Abe prioritizes North Korea, aging Japan https://t.co/Zfj8OBeQIA</t>
  </si>
  <si>
    <t>✴︎minshindie 2017✴︎</t>
  </si>
  <si>
    <t>自由民主党＆安倍政権絶対🇯🇵支持‼️ 京都６区 あんどう裕先生を必ずここから国政へ。 「自民党の政策を変えられるのは、自民党の議員だけです。」</t>
  </si>
  <si>
    <t>Widener Money Club</t>
  </si>
  <si>
    <t>Stocks climb to start the week https://t.co/JBVImPjt5a via GoldRiva Ese_Journo</t>
  </si>
  <si>
    <t>Chester, PA</t>
  </si>
  <si>
    <t>The Widener Money Club's mission is to further enrich students' academic experience with extracurricular and experiential activities in finance.</t>
  </si>
  <si>
    <t>泥酔蜘蛛丸🕷ガイア教徒</t>
  </si>
  <si>
    <t>ヨト市 ン・カイ地区</t>
  </si>
  <si>
    <t>最近は通知機能がお亡くなりになってるのか機能してません、ご容赦を。以前と変わらずお酒大好き！お酒に寛容な日本も超好きですよー！そして、民進党（含む民主党）日教組、共産党、創価学会なんかは外宇宙の果てに消えて欲しいと切に願ってますわ。あとブロックされるのは地味に寂しいので、ウザいと思われたらミュートでオナシャス！</t>
  </si>
  <si>
    <t>Sami Parvez</t>
  </si>
  <si>
    <t>Saskatoon, Saskatchewan</t>
  </si>
  <si>
    <t>Member of @Liberal_Party. Freelance Writer &amp; Staff Reporter of @TheB_Point. Graduated from University of Balochistan Quetta.</t>
  </si>
  <si>
    <t>Shailesh Prakash</t>
  </si>
  <si>
    <t>Jacqui</t>
  </si>
  <si>
    <t>AIESECer, lecturer, political junkie, PhD, researching Accounting for Carbon Emission Trading</t>
  </si>
  <si>
    <t>mssmoney</t>
  </si>
  <si>
    <t>Bond Report: Short-end Treasury yields lower as investors weigh Spanish tensions, Japan election https://t.co/HKIn0fc1G9</t>
  </si>
  <si>
    <t>Egypt</t>
  </si>
  <si>
    <t>24/7 financial news by Mohamed Shauoki Salama @shawkisalama</t>
  </si>
  <si>
    <t>littlewisehen</t>
  </si>
  <si>
    <t>Japan's Abe vows to put education spending before budget balance https://t.co/D98DW0uiU8</t>
  </si>
  <si>
    <t>Zwischen Tegernsee und London</t>
  </si>
  <si>
    <t>Minima non curat praetor ✈️+🚂+🏙, 🎨+🎭+🎬+🎼, ⚖️+§§, 📚, 🍴+🍮+🍷, 📈+💰+💵, wechselnde Schokoladensorten und andere Vergnügen! Donaldist.</t>
  </si>
  <si>
    <t>resona daiichi</t>
  </si>
  <si>
    <t>Bond Report: Short-end Treasury yields lower as investors weigh Spanish tensions, Japan election… https://t.co/gTGj88YkT5</t>
  </si>
  <si>
    <t>tokyo</t>
  </si>
  <si>
    <t>Resona Dai-Ichi Group りそな第一グループ is a private wealth management company that provides financial services to the needs of individuals and corporate institutions.</t>
  </si>
  <si>
    <t>FinanzLinksUSA</t>
  </si>
  <si>
    <t>Bond Report: Short-end Treasury yields lower as investors weigh Spanish tensions, Japan election:… https://t.co/d8ZQdZYj06 MARKETWATCH</t>
  </si>
  <si>
    <t>くらぷとん</t>
  </si>
  <si>
    <t>BW</t>
  </si>
  <si>
    <t>RT @FourStarNews: Wall Street opens at record after Abe election win https://t.co/qSQPVPsqDD #wallstreet #Finance #money #StockMarket #Japa…</t>
  </si>
  <si>
    <t>Vincent Menezes</t>
  </si>
  <si>
    <t>Doctor~Music~Sciences~Technology. #WalkWithoutFeet~ #FlyWithoutWings~and #ThinkWithoutMind.' ~ ~ ✨Osho✨</t>
  </si>
  <si>
    <t>more pasta is better than pasta</t>
  </si>
  <si>
    <t>Mukund Agrawal</t>
  </si>
  <si>
    <t>MBBS-King George's Medical University 1st year resident -MD(Pediatrics) Fan of Narendra Modi &amp; Dr. Subramanian Swamy</t>
  </si>
  <si>
    <t>RT @FourStarNews: NKorea thinks Abe’s election win is a prelude to invasion https://t.co/SMCUY6Bemy via @vicenews #Japan #NKorea #SKorea #w…</t>
  </si>
  <si>
    <t>Politics Canadian</t>
  </si>
  <si>
    <t>JustinTrudeau: My congratulations to Prime Minister AbeShinzo on his victory in the general election in Japan: https://t.co/jTfaDODblI</t>
  </si>
  <si>
    <t>Canadá</t>
  </si>
  <si>
    <t>Canadian politician</t>
  </si>
  <si>
    <t>Sick of Sickulars</t>
  </si>
  <si>
    <t>Against Anti-nationals, Nationalist, Grandson of INA Freedom fighter, Proud Hindu, Proud Bhakt &amp; Unapologetic. Blunt. Views are Personal</t>
  </si>
  <si>
    <t>SiKiii</t>
  </si>
  <si>
    <t>Beautiful food addict</t>
  </si>
  <si>
    <t>Akshay Singh</t>
  </si>
  <si>
    <t>Government &amp; Public Utilities Politicians and Pol Parties Government &amp; Public Utilities Politicians and Pol Parties Government and Politics</t>
  </si>
  <si>
    <t>Nitin Shanbhag</t>
  </si>
  <si>
    <t>Nation first | Believes in God &amp; Ghost tales | Driven by karma fostered by conscience | Interest in politics, sports &amp; trek | Tech Savy | Never give up</t>
  </si>
  <si>
    <t>After election win, Abe prioritizes North Korea, aging Japan https://t.co/PWfQ1UjR9y #AssocPress #World</t>
  </si>
  <si>
    <t>my  fine</t>
  </si>
  <si>
    <t>I like🤣 to re-twitter about anything. I see here. mother ,Like sounds🙃, gospel😍 Sports. 😍The dancers,😍 priceless 💃🕺lets' share what you like.</t>
  </si>
  <si>
    <t>Concerned</t>
  </si>
  <si>
    <t>Ham. ON. Canada</t>
  </si>
  <si>
    <t>Tolerant, kind &amp; fairly easy going. Proud &amp; grateful to be Canadian!🇨🇦😉😃😄🍁</t>
  </si>
  <si>
    <t>Phoenix Housing News</t>
  </si>
  <si>
    <t>Bond Report: Short-end Treasury yields lower as investors weigh Spanish tensions, Japan election https://t.co/N0xjeYR836</t>
  </si>
  <si>
    <t>Phoenix, AZ Valleywide</t>
  </si>
  <si>
    <t>Everything About Phoenix Area Homes &amp; Neighborhoods In Real Time. Jonovich &amp; Associates Realty</t>
  </si>
  <si>
    <t>Andrée-Lyne Hallé</t>
  </si>
  <si>
    <t>Directrice adj. des communications / Deputy Director of Communications for Prime Minister @JustinTrudeau. 🇨🇦 Fière méganticoise. Fan finie de F1 et du CH.</t>
  </si>
  <si>
    <t>タク</t>
  </si>
  <si>
    <t>関西の30代前半の中小企業経営者です。 自分ではリベラルのつもりが左の人には右に見えるらしい。 ITや食品の情報収集できればと思います。 フォローされればフォローしたいと思います。</t>
  </si>
  <si>
    <t>Mustafa Ali</t>
  </si>
  <si>
    <t>MarketWatch "Short-end Treasury yields lower as investors weigh Spanish tensions, Japan election https://t.co/YBxJKs7SCm" #forex #news</t>
  </si>
  <si>
    <t>Staunch liberal. Strong proponent of freedom of speech. Reject, oppose, and wholeheartedly loath right wing zealots.</t>
  </si>
  <si>
    <t>Gwen Wang</t>
  </si>
  <si>
    <t>#Taiwan President Tsai @iingwen congratulates @AbeShinzo Abe on election victory | #Japan https://t.co/r2IP4fKvMi</t>
  </si>
  <si>
    <t>London &amp; Taipei</t>
  </si>
  <si>
    <t>PhD candidate @Warwickuni &amp; Annenberg-Oxford Media Policy alumna. Tweets on East Asia, Democracy, Startup, &amp; Foreign Policy. Retweet ≠ endorsement.</t>
  </si>
  <si>
    <t>Praise Tanya</t>
  </si>
  <si>
    <t>Yuri Paradise</t>
  </si>
  <si>
    <t>Eggs are Lewd! Teacher of Yurinomics at Ooarai girls highschool. My Stand is 「Bike Hussaria」 I Hate Millennials</t>
  </si>
  <si>
    <t>PR. Deora</t>
  </si>
  <si>
    <t>Martial Arties</t>
  </si>
  <si>
    <t>Rohit Dhakras</t>
  </si>
  <si>
    <t>BusinessNews</t>
  </si>
  <si>
    <t>Bond Report: Short-end Treasury yields lower as investors weigh Spanish tensions, Japan election… https://t.co/i2LwTJ8mSz</t>
  </si>
  <si>
    <t>breaking news and their insights on what matters most in business and finance.</t>
  </si>
  <si>
    <t>Tun Tun Winn</t>
  </si>
  <si>
    <t>Myanmar</t>
  </si>
  <si>
    <t>news in politics</t>
  </si>
  <si>
    <t>AK Upadhyay</t>
  </si>
  <si>
    <t>👉 RAJASTHAN (INDIA) 👊</t>
  </si>
  <si>
    <t>tell the truth👈 👉taal thok ke. Freedom of Expression👉 ( Rts are not endorsement ) 👉on line 5.00pm to 12.00 mid night.</t>
  </si>
  <si>
    <t>砂田橋【公式】</t>
  </si>
  <si>
    <t>NGY高校3年D組</t>
  </si>
  <si>
    <t>#低品質なツイート</t>
  </si>
  <si>
    <t>KS Kapaliswaran</t>
  </si>
  <si>
    <t>कांग्रेसहटाओदेशबचाओ</t>
  </si>
  <si>
    <t>#BJP #Modi #Nationalist #ProudBhakt #RSS #TruthSeeker RTs aren't Endorsement. you can mention for Follow back. Followed by @PiyushgoyalOffc</t>
  </si>
  <si>
    <t>MarketWatch: Short-end Treasury yields lower as investors weigh Spanish tensions, Japan election https://t.co/osbIHuCiYr</t>
  </si>
  <si>
    <t>Norita</t>
  </si>
  <si>
    <t>Receiver not Transmitter (unless provoked)</t>
  </si>
  <si>
    <t>Mark Shuker</t>
  </si>
  <si>
    <t>Worcester, England</t>
  </si>
  <si>
    <t>Fundamentally a Civil Engineer with cognitive skills. Optimist in a pessimistic World.</t>
  </si>
  <si>
    <t>Mystique 2017💥</t>
  </si>
  <si>
    <t>scientist, rebel, truth-fearing Atheist. There's a box? #TheResistance #FactsMatter #Swingleft #HeroesResist</t>
  </si>
  <si>
    <t>heyone2free</t>
  </si>
  <si>
    <t>Love her,follow her</t>
  </si>
  <si>
    <t>JAIYEORIE</t>
  </si>
  <si>
    <t>Japan Braces For Super Typhoon Ahead Of Election CLICK https://t.co/bmedDaWqUE for more Super typhoon Lan, describ… https://t.co/iSLGtm4fHk</t>
  </si>
  <si>
    <t>I HAVE GIST</t>
  </si>
  <si>
    <t>KazanGlocalInstitute</t>
  </si>
  <si>
    <t>Japan's Abe to push pacifist constitution reform after strong election win https://t.co/1bqM7Woj14</t>
  </si>
  <si>
    <t xml:space="preserve">この地球のどこか　</t>
  </si>
  <si>
    <t>Strategic GLOCAL Research in the world, No-Nukes! 脱原発 No radiation exposure! Against NWO!RTは常に賛意を示しているとは限らず。多忙につきTweet 関する質疑にはお応えしかねます。</t>
  </si>
  <si>
    <t>Tarun Malhotra</t>
  </si>
  <si>
    <t>RTs not endorsements...</t>
  </si>
  <si>
    <t>Glenn On Fire Stoyan</t>
  </si>
  <si>
    <t>#Christian, #PoliceLivesMatter, #Politics, #ProLife, #Trump, #IstandWithIsrael #Numismatics #1A #2A, #Conservative #USA #tcot #ccot #NRA #MAGA</t>
  </si>
  <si>
    <t>Lilo Isenburg</t>
  </si>
  <si>
    <t>Frank Covfefe</t>
  </si>
  <si>
    <t>RT @littlewisehen: Japan's Abe vows to put education spending before budget balance https://t.co/D98DW0uiU8</t>
  </si>
  <si>
    <t>Neuland</t>
  </si>
  <si>
    <t>Frank still writes about Punk, politics and JPop</t>
  </si>
  <si>
    <t>Jeff Wasserstrom</t>
  </si>
  <si>
    <t>RT @iChinadian: What now for Japan after Abe's landslide election victory? https://t.co/oX3Fo6epzD</t>
  </si>
  <si>
    <t>Teaches history @ucirvine / writes on many things/edits @jas_tw /on @dissentmag board/ part of @LARBchina team/ adviser to @litfest_hk /retweets ≠ endorsements</t>
  </si>
  <si>
    <t>Amitabh</t>
  </si>
  <si>
    <t>BTM Layout, Bengaluru South</t>
  </si>
  <si>
    <t>An enthusiastic open minded guy which keeps his eye open and always ready to show the mirror to the people !!</t>
  </si>
  <si>
    <t>Joshua NYC</t>
  </si>
  <si>
    <t>金子陽一</t>
  </si>
  <si>
    <t>PM Lee Hsien Loong congratulates Japan's Shinzo Abe on Lower House election victory https://t.co/fQxePf26xs</t>
  </si>
  <si>
    <t>シンガポール/ Singapore</t>
  </si>
  <si>
    <t>大和魂/尊王攘夷/富国強兵 classic and japanese litterature. political scientist</t>
  </si>
  <si>
    <t>Ranjith Kumar TP</t>
  </si>
  <si>
    <t>Sreekumarsbt@gmail.c</t>
  </si>
  <si>
    <t>Yash Singh</t>
  </si>
  <si>
    <t>blitz</t>
  </si>
  <si>
    <t>Observe and act with honesty</t>
  </si>
  <si>
    <t>Brahma Singh</t>
  </si>
  <si>
    <t>Jammu</t>
  </si>
  <si>
    <t>Maj (12th IMA) MA(Mil Sc) M Phil(History) PhD(History) Writer on Def since1963 permanent residence Jammu</t>
  </si>
  <si>
    <t>nancy sheldon</t>
  </si>
  <si>
    <t>I'm a retired RN. Most of my career I worked in Mental Health. It was both frustrating and rewarding. I would like to become an advocate in this area!!</t>
  </si>
  <si>
    <t>luanquan29425</t>
  </si>
  <si>
    <t>Abe’s election super majority puts Japan’s pacifist constitution in his crosshairs again https://t.co/ExHIgzjnGL</t>
  </si>
  <si>
    <t>Young Justice</t>
  </si>
  <si>
    <t>San Diego</t>
  </si>
  <si>
    <t>Official twitter for the fan made web series Young Justice: Abduction created by Colin Bass and brought to you by Comic Booked Studios.</t>
  </si>
  <si>
    <t>Rohit yadav</t>
  </si>
  <si>
    <t>Pukhrayan, India</t>
  </si>
  <si>
    <t>Simple living and high thinking. English Teacher, Animal Lover, True Lover&amp;many more........</t>
  </si>
  <si>
    <t>Dinesh Mehta</t>
  </si>
  <si>
    <t>Yupon</t>
  </si>
  <si>
    <t>鳥と蟲。</t>
  </si>
  <si>
    <t>Jsonu</t>
  </si>
  <si>
    <t>सुशील कुमार 🇮🇳</t>
  </si>
  <si>
    <t>IDK</t>
  </si>
  <si>
    <t>Rishab Prabha Dixit</t>
  </si>
  <si>
    <t>Farrukhabad-Fatehgarh, India</t>
  </si>
  <si>
    <t>Being an Indian.......said it proud......love my mother and mother-land</t>
  </si>
  <si>
    <t>བུ་ཆུང་ཀེ་ཚེ་རིང་།</t>
  </si>
  <si>
    <t>#DalaiLama congratulates #Japan PM on his re-election https://t.co/AncR23cGpT https://t.co/dD5qxQEvxG</t>
  </si>
  <si>
    <t>Washington, D.C. personal</t>
  </si>
  <si>
    <t>མ་མཐོང་ཕྱིར་ན་མེད་པ་མིན། Not seeing something doesn't mean it does not exist.</t>
  </si>
  <si>
    <t>Kato Markhus</t>
  </si>
  <si>
    <t>Stavanger, Norway, Earth</t>
  </si>
  <si>
    <t>Tweaking that Insight towards total accomplishment before lack of time may tell me to stop, and summarize to gratefulness for trying. RT's are not endorsements</t>
  </si>
  <si>
    <t>Manila City, National Capital Region</t>
  </si>
  <si>
    <t>Breaking News, Developing Stories</t>
  </si>
  <si>
    <t>Papa ki Pari hu mai</t>
  </si>
  <si>
    <t>💗 Ummatti| Dad's Gal| A Sister| An Aunt| A Pure Heart| A Learner| HR Professional| A Leo. No endorsements through RTs n Ts, I don't follow back please💗</t>
  </si>
  <si>
    <t>KSP_Libs</t>
  </si>
  <si>
    <t>Kildonan-St. Paul Winnipeg MB</t>
  </si>
  <si>
    <t>Visit https://t.co/NLc89WwfOM &amp; sign up to become a #LPC supporter, to donate or to become a volunteer. Contact the KSP EDA via Direct Message.</t>
  </si>
  <si>
    <t>lloyd robinson</t>
  </si>
  <si>
    <t>toronto ont canada</t>
  </si>
  <si>
    <t>I am retired and is staying home</t>
  </si>
  <si>
    <t>BJP KERALA</t>
  </si>
  <si>
    <t>to be an Indian</t>
  </si>
  <si>
    <t>Dilip Das</t>
  </si>
  <si>
    <t>...BE OPEN... RT are not endorsement</t>
  </si>
  <si>
    <t>gab.ai/MCH Celeste</t>
  </si>
  <si>
    <t>RT @StratSentinel: .@AbeShinzo wins a landslide victory to secure the Japanese Prime Ministership through 2021 https://t.co/4Gg5ddVDQz</t>
  </si>
  <si>
    <t>🍁Ex JW, Now Trad Catholic, Family Service: Navy, Marines &amp; Army. God, Family, Country, Trump. Amos 9:6 Psalm 93:1 Isaiah 45:18 🙏🏻🙏🏻#MAGA #ProLife</t>
  </si>
  <si>
    <t>Bitcoin Master</t>
  </si>
  <si>
    <t>#crypto https://t.co/mYdnKw78KJ #MoneyBeat WSJ City: Abe Wins Japan Election, Boom in… https://t.co/8jRfGPeVma #bitcointalk #bitcoin #btc</t>
  </si>
  <si>
    <t>Miami, Florida</t>
  </si>
  <si>
    <t>News: https://t.co/LE3L2bgGp5 🤣</t>
  </si>
  <si>
    <t>Jack Spencer</t>
  </si>
  <si>
    <t>Richmond Hill, Ontario, Canada</t>
  </si>
  <si>
    <t>Keepin' on the road I'm on</t>
  </si>
  <si>
    <t>sanjeev</t>
  </si>
  <si>
    <t>Raita Ka Reporter</t>
  </si>
  <si>
    <t>Mohalla Restaurant</t>
  </si>
  <si>
    <t>Raita Revolution has begun! Health jarur badlega!! 😂😂</t>
  </si>
  <si>
    <t>Mukund kumar</t>
  </si>
  <si>
    <t>bluemoon</t>
  </si>
  <si>
    <t>日本が大好きです。日本人ならではの 思いやり、優しさを誇りに思っています。そして音楽（クラシック・ジャズ等）が好きです。ジェジュンを知り、その歌声と人柄に触れ、ずっと溺愛しています。</t>
  </si>
  <si>
    <t>Goldie R.(Facebook)R</t>
  </si>
  <si>
    <t>London, ON MOVED fr: Halifax N</t>
  </si>
  <si>
    <t>i am learning about myself 'til the day i die~SO what can i say?</t>
  </si>
  <si>
    <t>Jim Johnson</t>
  </si>
  <si>
    <t>Easy Street</t>
  </si>
  <si>
    <t>Proud Navy Vet ⚓️| ❤️Married to a redhead who’s my everything 🐝| Proud Pappy of two amazingly talented fine young men | 😎 Retired..so screw it, let’s ride.</t>
  </si>
  <si>
    <t>Ankit Akash</t>
  </si>
  <si>
    <t>Proud Indian!! Viewer of Transforming and Developing India.</t>
  </si>
  <si>
    <t>Hitesh Ghunawat</t>
  </si>
  <si>
    <t>We Support NaMo</t>
  </si>
  <si>
    <t>Vote for BJP</t>
  </si>
  <si>
    <t>anand</t>
  </si>
  <si>
    <t>Nationalism is in our blood.so let's start doing small things to build d nation. plant 5 trees n take care of those.lets adopt one poor child. follow road rules</t>
  </si>
  <si>
    <t>Guriiii</t>
  </si>
  <si>
    <t>斜視悪化中につき、よく樹木希林になります</t>
  </si>
  <si>
    <t>昔(7-8年前)は日テレ男、今はバラエティなら全局大好き❤何でもツイート。無意識に息止める癖が何故かついて、自信もついた(圧倒的勘違い)のでヘルメット無しの宇宙旅行計画中 自分索敵中 #ナイセン団 隠れファン 知識は広く浅いです 最近はテレビ実況が好き ※気まぐれにリプするのでクソリプかの判断もつかずにリプします。</t>
  </si>
  <si>
    <t>Margery Wilson</t>
  </si>
  <si>
    <t xml:space="preserve"> East Tennessee</t>
  </si>
  <si>
    <t>🇺🇸 🇨🇦🍑🍁🎶 Independent thinker. Covetous of a better world for ALL. #MAKLECA</t>
  </si>
  <si>
    <t>☆クミ☆</t>
  </si>
  <si>
    <t>RT @higiyama: Japan's Abe to push pacifist constitution reform after strong election win https://t.co/1bqM7Woj14</t>
  </si>
  <si>
    <t>since 2011/04/09 主に #原発 関係で呟いています。天の無情と世の不条理に日々怒りながら、地道に働く関西のおばちゃんです。 #脱原発 は民主主義への第一歩。</t>
  </si>
  <si>
    <t>たままま</t>
  </si>
  <si>
    <t>地球🌏民です。人間は海や宇宙や生命の殆どをまだ解明できてないから、今ある人間の学もそのレベルを決して超えない。一を知りて二を知らず。本やテレビじゃなくこの目で見て 耳で聴き匂いを感じ観察したい。原発いらない。政治は枝野さん応援。人はどんな事にも例外無く心を使って考える事を忘れてはならないと思う。 投票は共産党！</t>
  </si>
  <si>
    <t>COFFEEBREAQ</t>
  </si>
  <si>
    <t>Japan PM Abe on track for resounding election victory https://t.co/KMdgLqKIb2</t>
  </si>
  <si>
    <t>ヘビメタ好きなクソじじぃですん。</t>
  </si>
  <si>
    <t>Ramesh</t>
  </si>
  <si>
    <t>Bahrain, Padubidri, Bengaluru</t>
  </si>
  <si>
    <t>Nationalist Indian. Wants to see the old glory of India back and see her lead the world again...Doctor by profession.</t>
  </si>
  <si>
    <t>Rakesh Kumar</t>
  </si>
  <si>
    <t>Rakesh Gupta 🇮🇳🇮🇳</t>
  </si>
  <si>
    <t>Ayuko.k</t>
  </si>
  <si>
    <t>考察、用事などなどメモ帳予定です。</t>
  </si>
  <si>
    <t>hanna maulidina</t>
  </si>
  <si>
    <t>Bogor</t>
  </si>
  <si>
    <t>International Relations</t>
  </si>
  <si>
    <t>Divyadristiparshuram</t>
  </si>
  <si>
    <t>Webnauta 5.9 💻📲</t>
  </si>
  <si>
    <t>Quello che scrivo è personale!</t>
  </si>
  <si>
    <t>Inder Mohan Lodhi</t>
  </si>
  <si>
    <t>Bulandshahr, India</t>
  </si>
  <si>
    <t>ಔದುಂಬರ</t>
  </si>
  <si>
    <t xml:space="preserve">Karnataka. India </t>
  </si>
  <si>
    <t>Even as a worm lives and dies, and land erodes away, Somewhere deep in the ocean, a new island emerges. Something wanes here, something grows elsewhere. There i</t>
  </si>
  <si>
    <t>Bonnie Jewell</t>
  </si>
  <si>
    <t>ontario</t>
  </si>
  <si>
    <t>Psychic,mediumship, nature heals, camera freak, lake superior enthusiast, swimming, hiking, drumming, chanting, some days rock, some do not!</t>
  </si>
  <si>
    <t>DHIRENDRA@Dhirobhai</t>
  </si>
  <si>
    <t>MUZAFFAR NAGAR (U.P.)</t>
  </si>
  <si>
    <t>EX. Banker. social activist &amp; free thinker. Lives my own life.</t>
  </si>
  <si>
    <t>aniceto cataño</t>
  </si>
  <si>
    <t>RT @CGTNOfficial: Snap election poll opens on Sunday morning across Japan amid bad weather and will close after 13 hours at 20:00 local tim…</t>
  </si>
  <si>
    <t>SilvicultrixOfficial</t>
  </si>
  <si>
    <t>Sofía González</t>
  </si>
  <si>
    <t>Rías Altas o Baixas. Depende</t>
  </si>
  <si>
    <t>Los amores sin esperanza no terminan nunca. Sándor Márai</t>
  </si>
  <si>
    <t>Piyush Swain</t>
  </si>
  <si>
    <t>DR.B.C.BARIK</t>
  </si>
  <si>
    <t>Bhubaneswar</t>
  </si>
  <si>
    <t>Associated with medical profession,silent observer of politics,finance&amp;budget.Story writer,deep involve in various social causes.</t>
  </si>
  <si>
    <t>tracy vinet</t>
  </si>
  <si>
    <t>Kamlesh J Sharma</t>
  </si>
  <si>
    <t>SATYA NARAYAN BARIK</t>
  </si>
  <si>
    <t>I AM MAN OF INSURANCE AND A GOOD DATA ENTRY OPERATOR.</t>
  </si>
  <si>
    <t>shiv g gangapure</t>
  </si>
  <si>
    <t>chakur</t>
  </si>
  <si>
    <t>chandulal Deshmukh</t>
  </si>
  <si>
    <t>Bharath Suryaprakash</t>
  </si>
  <si>
    <t>|| SAP Consultant || Nationalist || @narendramodi Fan || Founder Member #NaMoBrigade || https://t.co/NgbHurtiUg</t>
  </si>
  <si>
    <t>Nensy - ننش - ネンシ</t>
  </si>
  <si>
    <t xml:space="preserve">Cimahi, Indonesia </t>
  </si>
  <si>
    <t>I ❤ @LArc_official &amp; music so much, create @LArcsoloproject @sheerionbdg. ❤ languages, learn from nature. http://t.co/4VVEv3SdHr http://t.co/EMAjBHhGxe</t>
  </si>
  <si>
    <t>猫組長</t>
  </si>
  <si>
    <t>『猫組長と西原理恵子の「ネコノミクス宣言」』週刊 SPA! にて連載中 //『山口組分裂と国際金融』https://t.co/9qk1eihRgV徳間書店『惡問のすゝめ』https://t.co/R65t2NrtFc 徳間書店 //猫組代紋は井筒啓之さん@izu2 の作品です//猫の会代表</t>
  </si>
  <si>
    <t>bips</t>
  </si>
  <si>
    <t>I love my Bharatiya culture and Hinduism. (Most ancient and most tolerant.) RTs are not endorsements.</t>
  </si>
  <si>
    <t>I'm disappointed with the result of the House of Representative election this time in Japan... We should go to the vote more!</t>
  </si>
  <si>
    <t>Japanese. Trans-man. Respect for Jake Zyrus,Charice pempengco and Jenna Ushkowitz. I'm Gleek :) #LGBTQ #Glee #Jakester</t>
  </si>
  <si>
    <t>Priyanka Thakkar</t>
  </si>
  <si>
    <t>Turn your scars into your stars | Chartered accountant | finance and accounting professional |nationalist</t>
  </si>
  <si>
    <t>Ajay Singh Tewatia</t>
  </si>
  <si>
    <t>Palwal, Haryana</t>
  </si>
  <si>
    <t>PUEAA UNAM</t>
  </si>
  <si>
    <t>RT @STcom: BREAKING: NHK predicts #ShinzoAbe's LDP will win between 253 and 300 out of 465 seats in #JapanElection https://t.co/TxOtr2FZdK…</t>
  </si>
  <si>
    <t>Mario de la Cueva s/n, C.U.</t>
  </si>
  <si>
    <t>El Programa Universitario de Estudios sobre Asia y África (PUEAA) tiene la finalidad de propiciar la investigación y los vínculos entre México y esas regiones.</t>
  </si>
  <si>
    <t>Darpan S</t>
  </si>
  <si>
    <t>जयोस्त्तु ते श्रीमहन्मंगले। शिवास्पदे शुभदे् । स्वतंत्रते भगवति। त्वामहं यशोयुतां वंदे । तुजसाठिं मरण तें जनन तुजविण जनन ते मरण-स्वातंत्र्यवीर सावरकर</t>
  </si>
  <si>
    <t>Teerthraj Dash,M.D</t>
  </si>
  <si>
    <t>Abe again https://t.co/BJBc8rcAbB</t>
  </si>
  <si>
    <t>Cuttack. ORISSA</t>
  </si>
  <si>
    <t>male😎</t>
  </si>
  <si>
    <t>Ryan Standifer</t>
  </si>
  <si>
    <t>Naptown</t>
  </si>
  <si>
    <t>Here lies Dobby, a free elf</t>
  </si>
  <si>
    <t>Yutaka YOSHIMURA</t>
  </si>
  <si>
    <t>東京大学大学院新領域/AORI</t>
  </si>
  <si>
    <t>Paleomagnetism. Researching evolution of the geomagnetic activity (&amp; Large Igneous Provinces: LIPs) 古地磁気学。地球磁場の化石を使って、地球磁場の進化や、その記録媒体の巨大火成岩岩石区の研究しています。※博士課程</t>
  </si>
  <si>
    <t>斉藤大法 （僧侶・精神科医）</t>
  </si>
  <si>
    <t>埼玉県行田市下忍138-1 要唱寺（大黒堂）</t>
  </si>
  <si>
    <t>大病をきっかけに医学の道へ進み、その後、仏教の素晴らしさに触れ僧となりました。唱題プラクティスを中心に、医療、経済、環境、平和及び人間の可能性の研究と、CEP（カンボジア・エンパワーメント・プロジェクト）代表として、国際人道支援活動に取り組んでいます。「CEPホームページ」https://t.co/Ro2tq9bCgB</t>
  </si>
  <si>
    <t>Margaret R. Twitty</t>
  </si>
  <si>
    <t xml:space="preserve">United States and Canada </t>
  </si>
  <si>
    <t>Spokeswoman For #CRPS. Passionate Activist. Traveler. Look For My Article In @PainPathwaysMag. #JusticeForJoey #ProtectHer #IAMEVIDENCE #IAmThatGirl #UNICEF</t>
  </si>
  <si>
    <t>Wahyu Hukama W</t>
  </si>
  <si>
    <t>Daegu, Republic of Korea</t>
  </si>
  <si>
    <t>@NiynaFebrianty's husband &amp; one of Barca's fans in the country</t>
  </si>
  <si>
    <t>OchoggiahA</t>
  </si>
  <si>
    <t>Kampala, Uganda</t>
  </si>
  <si>
    <t>General Manager Voice of Teso</t>
  </si>
  <si>
    <t>Shubham kumar</t>
  </si>
  <si>
    <t>Master's Mathematics supports @narendramodi's NEW INDIA</t>
  </si>
  <si>
    <t>उमाकांत मिश्रा</t>
  </si>
  <si>
    <t>Barabanki, Uttar Pradesh</t>
  </si>
  <si>
    <t>कर्म योग द्वारा कर्म करने से ही कर्मों से छुटकारा मिलता है। कर्म किये बिना तो यह शरीर की यात्रा भी संभव नहीं हो सकती। शरीर है तो कर्म तो करना ही पड़ेगा॥</t>
  </si>
  <si>
    <t>TecnologíaFinanciera</t>
  </si>
  <si>
    <t>#NoticiasTF The Winners and Losers of Japan's Landslide Election - Bloomberg https://t.co/F10JNFvRbZ</t>
  </si>
  <si>
    <t>Caracas, Venezuela</t>
  </si>
  <si>
    <t>📘The Best School Of Finance 📈Diplomado de Trading &amp; Inversión 💻Certificación de Reuters ✈️Pasantías en Londres 🏦Programa de Trader en Criptomonedas</t>
  </si>
  <si>
    <t>Varma's</t>
  </si>
  <si>
    <t>Delhi NCR</t>
  </si>
  <si>
    <t>Cosmopolitan,like to learn cultures,humanity,RT likes</t>
  </si>
  <si>
    <t>The Mainichi</t>
  </si>
  <si>
    <t>Voter turnout in Japan general election at 54%, 2nd-lowest since WWII #JapanVotes #JapanElection… https://t.co/bX9D95Vaz2</t>
  </si>
  <si>
    <t>Stories and breaking news from the English website of the Mainichi Shimbun newspaper. https://t.co/2MWkV5ruQf https://t.co/OXsrIMcidw</t>
  </si>
  <si>
    <t>@wochit Shinzo Abe Wins Japan's Election, Will Focus On North Korea https://t.co/hEmsb41GsO</t>
  </si>
  <si>
    <t>Arjun seshadri</t>
  </si>
  <si>
    <t>art of living volunteer, VITian, simple boy and that's all..smile</t>
  </si>
  <si>
    <t>lakshmipathy</t>
  </si>
  <si>
    <t>RT @Reuters: Japan PM Abe's ruling bloc on track for big win in election: TV exit polls https://t.co/mBQuo5KdxN</t>
  </si>
  <si>
    <t>Bond Report: Short-end Treasury yields lower as investors weigh Spanish tensions, Japan election… https://t.co/UwsZbm8Tcf</t>
  </si>
  <si>
    <t>真田</t>
  </si>
  <si>
    <t>ロック好きなメカニカルデザイナー</t>
  </si>
  <si>
    <t>マーカス</t>
  </si>
  <si>
    <t>I am black visually, American mentally, with Japanese tendencies, and Egyptian capabilities</t>
  </si>
  <si>
    <t>Palace congratulates Japan’s Abe on election win https://t.co/y9CJdG5sRv</t>
  </si>
  <si>
    <t>Palace congratulates Japan’s Abe on election win https://t.co/Mvq3fHoOgy</t>
  </si>
  <si>
    <t>Japan Braces For Super Typhoon Ahead Of Election https://t.co/JFkhlYOe4W</t>
  </si>
  <si>
    <t>ANTONIA PANADERO CUE</t>
  </si>
  <si>
    <t>ESPAÑA</t>
  </si>
  <si>
    <t>IMPRESCINDIBLE LA EDUCACIÓN Y UN TITULO ACADEMICO</t>
  </si>
  <si>
    <t>There's a negative correlation between voter turnout and the number of seats for Japan's governing coalition… https://t.co/q4xASV32jM</t>
  </si>
  <si>
    <t>Ramkumaar TV</t>
  </si>
  <si>
    <t>Cricketer turned Commercial Photograher. Jai Hind</t>
  </si>
  <si>
    <t>Jignesh Patel</t>
  </si>
  <si>
    <t>Remo Rea</t>
  </si>
  <si>
    <t>Regina, Saskatchewan</t>
  </si>
  <si>
    <t>Architect, obsessor of things great and small, life pirate and it's been said by a very bright young man..."things are better when it's just Remo"</t>
  </si>
  <si>
    <t>Monique 💜 Covfefe</t>
  </si>
  <si>
    <t>Love liberty, 2nd Amendment, the constitution, and don't tread on me. I'm 110% a natural born American not Ted Cruz he's a Canadian. I'm for Trump 110% vote DT</t>
  </si>
  <si>
    <t>ICAS</t>
  </si>
  <si>
    <t>The Institute for China-America Studies (ICAS) is a Washington think tank dedicated to analyzing important issues in US-China relations. RTs not endorsements.</t>
  </si>
  <si>
    <t># NIGGA PLS #BMT</t>
  </si>
  <si>
    <t># asia #21 #stay cool</t>
  </si>
  <si>
    <t>serving the nation, book out on fri and book in on sun's every wk #army life 🙁 # till dec 9. Will tweet occasionally when I have the time as I am in camp.</t>
  </si>
  <si>
    <t>Fernando Slebe</t>
  </si>
  <si>
    <t>Acharya Astavakra</t>
  </si>
  <si>
    <t>Khurda,Odisha</t>
  </si>
  <si>
    <t>kattar Hindu.. Non-veg.. Pagan...</t>
  </si>
  <si>
    <t>Anurag Rai</t>
  </si>
  <si>
    <t>I don't care baby...#UsEhAtEfEeLlOvE...</t>
  </si>
  <si>
    <t>Anand Shankar Phatak</t>
  </si>
  <si>
    <t>Daljeet</t>
  </si>
  <si>
    <t>Sharad Avhad</t>
  </si>
  <si>
    <t>Udgir, Latur.</t>
  </si>
  <si>
    <t>peyongpeyong</t>
  </si>
  <si>
    <t>郡山市 →札幌市</t>
  </si>
  <si>
    <t>Maqaddam Mustafa</t>
  </si>
  <si>
    <t>Aruna</t>
  </si>
  <si>
    <t>Abhishek Mohan Labh</t>
  </si>
  <si>
    <t>I love to help everyone.</t>
  </si>
  <si>
    <t>wonka845【ウォンカ】</t>
  </si>
  <si>
    <t>映画が大好きで海外ならMr.ジョニーデップ、国内なら寺尾聰さん&amp;水谷豊さん&amp;森山未來さん、狂言師の野村萬斎さんハリウッドスターの真田広之さんも大好きです。音楽は好みに合ったら好きになるタイプで誰という事はありません。 いつか好きな楽器を持って色々な所に旅行に行ってみたいなぁ～と夢みております。</t>
  </si>
  <si>
    <t>Seema Rao</t>
  </si>
  <si>
    <t>my book is selling pretty well in Japan, apparently. I wondering which side of the election populace was buying it.… https://t.co/FmE7LzBR5I</t>
  </si>
  <si>
    <t>Principal,Brilliant Idea Studio: change facilitation&amp; content strategy https://t.co/OEj6wPXoPV &amp; author:Self-Carefor #TheResistance https://t.co/bB1RKQL2Pk</t>
  </si>
  <si>
    <t>Kenny K</t>
  </si>
  <si>
    <t xml:space="preserve">ToRoNTo, CaNaDa     </t>
  </si>
  <si>
    <t>☆ DJ Double K is in Da House ☆ - Now Playing : The Hip Fully Completely - ● Canada ● Germany ● Japan ●</t>
  </si>
  <si>
    <t>dinesh</t>
  </si>
  <si>
    <t>Prateek Gawarle</t>
  </si>
  <si>
    <t>Nagpur,Maharashtra,India</t>
  </si>
  <si>
    <t>TheCrystalsOfGaea</t>
  </si>
  <si>
    <t>RT @_____FuckYeah: #Japan #Election #Sick #FuckTheGov It fucking sucks. https://t.co/kCtIWsYjr5</t>
  </si>
  <si>
    <t>A Community Where Art And Life Bridge The Void Between Politics And Fear</t>
  </si>
  <si>
    <t>Rashi</t>
  </si>
  <si>
    <t>Love to talk and help everyone 😘😘😘</t>
  </si>
  <si>
    <t>あやちゃん♀リツイート多め</t>
  </si>
  <si>
    <t>地球上のどこか(*^^*)</t>
  </si>
  <si>
    <t>日本を日本人の為に良くして行こう！朝鮮/支那要らない！パチンコ廃止!NHKは解体!エロネタ不細工パヨクフォローするな！ DM要らない！何もツイートしてない人即ブロックします、時々毒を吐きますが宜しく</t>
  </si>
  <si>
    <t>James Ohayo</t>
  </si>
  <si>
    <t>Romain Torrese</t>
  </si>
  <si>
    <t>#Gooner - #Rihanna - #Arsenal - #SherlockHolmes - #GoonerFamily - #COYG - #RitaOra - #Barbarella #Batman</t>
  </si>
  <si>
    <t>Manoj Sinha</t>
  </si>
  <si>
    <t>Not so liberal...But not so fake either! Unconventional brooding soul, Incorrigibly fascinated with Art, Language &amp; Literature. Views absolutely personal.</t>
  </si>
  <si>
    <t>Sejin Paik</t>
  </si>
  <si>
    <t>Associate Editor, @GoogleNewstand 👩🏻‍💻 Stanford Journalism Grad 🌲</t>
  </si>
  <si>
    <t>Somesh Dubey</t>
  </si>
  <si>
    <t>Sagar, India</t>
  </si>
  <si>
    <t>This is the official twitter account of Mr. Somesh dubey</t>
  </si>
  <si>
    <t>Vinay Kunchala</t>
  </si>
  <si>
    <t>Stores Manager</t>
  </si>
  <si>
    <t>Pradipta</t>
  </si>
  <si>
    <t>Benedict</t>
  </si>
  <si>
    <t>Accra, Ghana</t>
  </si>
  <si>
    <t>Dont insult my intelligence</t>
  </si>
  <si>
    <t>Tarun Vashisth</t>
  </si>
  <si>
    <t>Jhalawar, India</t>
  </si>
  <si>
    <t>Hemang Joshi</t>
  </si>
  <si>
    <t>vadodara</t>
  </si>
  <si>
    <t>Naturally flavoured.I am part of History of World .so live historical. RT doesn't mean endorsement.My Pleasure @narendramodi ji is following me :)</t>
  </si>
  <si>
    <t>Zak_Files</t>
  </si>
  <si>
    <t>When anger rises, think of the consequences. Confucius</t>
  </si>
  <si>
    <t>What the....</t>
  </si>
  <si>
    <t>RT @bhuchungtsering: #DalaiLama congratulates #Japan PM on his re-election https://t.co/AncR23cGpT https://t.co/dD5qxQEvxG</t>
  </si>
  <si>
    <t>Live free or die like Chinese, #Freedom Is Your Birthright</t>
  </si>
  <si>
    <t>Maureen Kelsey</t>
  </si>
  <si>
    <t>More Extreme Weather The storm, known as Typhoon No. 21 in Japan—being the 21st typhoon to hit the country this... https://t.co/IDmMfEEsqz</t>
  </si>
  <si>
    <t>Strategic global biz development, branding, program creation thru implementation, consultant and innovator, beyond sustainability to regenerative design</t>
  </si>
  <si>
    <t>Tridib Chakraborty</t>
  </si>
  <si>
    <t>LORENZO</t>
  </si>
  <si>
    <t>international politics • pop music • men #allblacklivesmatter #translivesmatter •</t>
  </si>
  <si>
    <t>trumpathon</t>
  </si>
  <si>
    <t>Japan election: Abe hails massive win, but what now for the country’s pacifist constitution? https://t.co/WxDVpKAdJF https://t.co/Zq34X0kd5W</t>
  </si>
  <si>
    <t>news and information on https://t.co/tnuvBNgteD</t>
  </si>
  <si>
    <t>Ian</t>
  </si>
  <si>
    <t>@forteVGC is Japan having some kind of election right now?</t>
  </si>
  <si>
    <t>Day 2 nats '15(Level 50 Volcarona)/日本語を勉強する/ High Tier Misanthrope</t>
  </si>
  <si>
    <t>✍⚛⚛❣सुजीत शर्मा❣⚛⚛✍</t>
  </si>
  <si>
    <t>खानाबदोश हूँ घर रास नहीं आता।</t>
  </si>
  <si>
    <t>Don't know who am I?</t>
  </si>
  <si>
    <t>Rαηη Ɓαηкα Rαтнσяє</t>
  </si>
  <si>
    <t>यत्र, तत्र, सर्वत्र.......</t>
  </si>
  <si>
    <t>✴️रण बँका राठौड़✴️ Anti-Pakistan,Congress, APP, Psuedosecular, Liberal &amp; So called Intellectual etc....... दूर रहै झंडूओ की झंड करने में माहिर..........💯</t>
  </si>
  <si>
    <t>The storm, known as Typhoon No. 21 in Japan—being the 21st typhoon to hit the country this season https://t.co/3K2CaRp8Ez</t>
  </si>
  <si>
    <t>EVELYN ZEBRO</t>
  </si>
  <si>
    <t>Japan Ranks Low in Female Lawmakers. An Election Won’t Change That. https://t.co/WARY0y1Ma0</t>
  </si>
  <si>
    <t>Finley Harper</t>
  </si>
  <si>
    <t>RT @financeworld1: Dollar/yen hits three-month high after Japan ruling party's election win - https://t.co/hinJZENjDa https://t.co/KzY3BvPg…</t>
  </si>
  <si>
    <t>Finley’s</t>
  </si>
  <si>
    <t>Fashion trends shared, daily. #WalkingImpression or tag for a feature.</t>
  </si>
  <si>
    <t>前田慶次</t>
  </si>
  <si>
    <t>食べ物のアカです(ФωФ)</t>
  </si>
  <si>
    <t>SixFaces</t>
  </si>
  <si>
    <t>An Epic Stalker, A Divine Booger</t>
  </si>
  <si>
    <t>Mahendra Kumar</t>
  </si>
  <si>
    <t>Thanks to U.....</t>
  </si>
  <si>
    <t>GurwinderSingh.SOHAL</t>
  </si>
  <si>
    <t>sohal gurdaspur punajb</t>
  </si>
  <si>
    <t>facebook-gs8867@gmail.com YouTubegs8867@gmail.com Google+gs8867@gmail.com Twitter-gs9867@Twitter.com instagram-sohal_gurwinder whatsup-7837794747</t>
  </si>
  <si>
    <t>Shailendra gautam</t>
  </si>
  <si>
    <t>Maihar, India</t>
  </si>
  <si>
    <t>student at apsu rewa</t>
  </si>
  <si>
    <t>RPurandare</t>
  </si>
  <si>
    <t>Gratitude to all the Soldiers who have sacrificed &amp; serving Bharat Maa so that we citizens are secure.Jai Babaji, Jai Gurudev ! RT's not endorsements !</t>
  </si>
  <si>
    <t>Tapan Samal</t>
  </si>
  <si>
    <t>Android Development, Web Development</t>
  </si>
  <si>
    <t>arunkumar</t>
  </si>
  <si>
    <t>i hope and believe in my dreams ,,,,,,,,,,one day it comes true</t>
  </si>
  <si>
    <t>沈丁花ハナメ</t>
  </si>
  <si>
    <t>祖国日本を愛する日本人。仕事上海外在住ですが、その立場から日本のためにできる事を模索中。 情報を共有できればと思います。 無言フォローご容赦ください。</t>
  </si>
  <si>
    <t>tfish</t>
  </si>
  <si>
    <t>Baltimore, MD</t>
  </si>
  <si>
    <t>Barry Trudeau</t>
  </si>
  <si>
    <t>pkp</t>
  </si>
  <si>
    <t>ADARSH KUMAR PATHAK</t>
  </si>
  <si>
    <t>PATNA</t>
  </si>
  <si>
    <t>A SOLDIER, WRITER, SOCIAL-WORKER, &amp; A TRUE DEVOTEE OF MY ADORABLE GOD... FOLLOWED BY OFFICE OF SRI PIYUSH GOYAL, MINISTER OF RAILWAY AND COAL @PiyushGoyalOffc,</t>
  </si>
  <si>
    <t>Andy Burton</t>
  </si>
  <si>
    <t>World News: China's congress-focused media keep Japan election on radar https://t.co/taSIaukDfU</t>
  </si>
  <si>
    <t>Grimsby, England</t>
  </si>
  <si>
    <t>Sales of Professional Sound, Lighting, Disco &amp; PA equipment. Deliveries UK &amp; Europe. I also produce quality radio commercials for businesses. Check my Website!</t>
  </si>
  <si>
    <t>RT @MarketWatch: Short-end Treasury yields lower as investors weigh Spanish tensions, Japan election https://t.co/hmdGeGnujr</t>
  </si>
  <si>
    <t>M C GovardhanaRangan</t>
  </si>
  <si>
    <t>Finance Editor, The Economic Times, Mumbai Twitter for news &amp; fun. No ideology debates. Vews personal. Retweets no endorsement.</t>
  </si>
  <si>
    <t>Arun Thakur</t>
  </si>
  <si>
    <t>karandeep ramgariha</t>
  </si>
  <si>
    <t>Gurdapur Punjab</t>
  </si>
  <si>
    <t>live in gurdaspur punjab guru gobind singh je de lal ha waheguru ji fateh kran har medan vich👳👳 bs baba ji sanu asra he tuhada hai</t>
  </si>
  <si>
    <t>News247WorldPress</t>
  </si>
  <si>
    <t>Japan election: Abe hails massive win, but what now for the country’s pacifist constitution? https://t.co/6yekfxuL6N https://t.co/pJDtN2Y7nc</t>
  </si>
  <si>
    <t>NEWS AGENCY</t>
  </si>
  <si>
    <t>Uday S Panchpor</t>
  </si>
  <si>
    <t>We are living in a better world</t>
  </si>
  <si>
    <t>KM</t>
  </si>
  <si>
    <t>君と世界の戦いでは、世界に支援せよ</t>
  </si>
  <si>
    <t>*</t>
  </si>
  <si>
    <t>Omnipresent</t>
  </si>
  <si>
    <t>C.A., xHedge fund manager,right-leaning, proud Indian, Will change status quo.Retweets not endorsements, read an 'allegedly' before anything accusatory.</t>
  </si>
  <si>
    <t>Tosh Asaoka</t>
  </si>
  <si>
    <t>Obvious outcome when 10s&amp;20s are constantly told their future looks dimmer b/c of aging population and lost decades https://t.co/bNIdgmgdbP</t>
  </si>
  <si>
    <t>Opinions are my own. MA @asianstudiesgu. BA #AIU. Former @SasakawaUSA Congressional Fellow. Intern @CFR_Asia, @TheWilsonCenter, @diplocourier. Film junkie.</t>
  </si>
  <si>
    <t>Bond Report: Short-end Treasury yields lower as investors weigh Spanish tensions, Japan election https://t.co/j6GF0jIyRu via @bllshbrsh</t>
  </si>
  <si>
    <t>Mithilesh Ojha</t>
  </si>
  <si>
    <t>Sr Manager Outbound Product and operations</t>
  </si>
  <si>
    <t>Rizu Kimura</t>
  </si>
  <si>
    <t>MIYABI abacus school代表 No abacus, No Life! I'm an abacus ambassador! I want to expand SOROBAN around the world!:) そろばん海外展開中！ Twitterあまりしないけど。</t>
  </si>
  <si>
    <t>Pradeep Kumar</t>
  </si>
  <si>
    <t>Agra, Uttar Pradesh</t>
  </si>
  <si>
    <t>CME Active Trader</t>
  </si>
  <si>
    <t>Today’s need to know with @Bob_Iaccino 1) Earnings week 2) Japan’s Election 3) ECB Meeting https://t.co/dhaUynuU1Y</t>
  </si>
  <si>
    <t>Brightcove Social</t>
  </si>
  <si>
    <t>@CMEGroup's place for active traders looking for new trading opportunities or capital efficient ways to manage risk with futures or options on futures.</t>
  </si>
  <si>
    <t>Cameron Ahmad</t>
  </si>
  <si>
    <t>Congratulating Japan's PM @AbeShinzo on his election victory: https://t.co/RgtVlUsBpc #CdnPoli #polcan</t>
  </si>
  <si>
    <t>Ottawa &amp; Montréal</t>
  </si>
  <si>
    <t>Manager, media relations for @CanadianPM | Gestionnaire, relations médias pour le @PMcanadien, @JustinTrudeau | @JournalismCU | Retweet ≠ endorsement</t>
  </si>
  <si>
    <t>Sanjay Gupta 🇮🇳</t>
  </si>
  <si>
    <t xml:space="preserve">Pakistan Occupied Kashmir </t>
  </si>
  <si>
    <t>होई है वही जो राम रचि राखा , Proud Member of #HMP Party President Mumbai HMP Party Retweets are full Endorsement</t>
  </si>
  <si>
    <t>Bob Iaccino</t>
  </si>
  <si>
    <t>RT @CMEActiveTrader: Today’s need to know with @Bob_Iaccino 1) Earnings week 2) Japan’s Election 3) ECB Meeting https://t.co/dhaUynuU1Y</t>
  </si>
  <si>
    <t>Bob has been a fund manager, now heads a Prop trading group. Appears on CNBC Futures Now, Bloomberg &amp; BNN. Founder and CMS @PathTradingPartners https://t.co/saaM0XQgrI</t>
  </si>
  <si>
    <t>Salute Indian Army</t>
  </si>
  <si>
    <t>Yumi Tanaka</t>
  </si>
  <si>
    <t>Co-Founder/Executive #Producer of @NYPeaceFilmFest. 1st #Nagasaki #Peace #Correspondent. #Baseball Go @Yankees! ニューヨーク平和映画祭主宰、長崎平和特派員第1号、野球・ヤンキースファン。横浜出身NY在住。</t>
  </si>
  <si>
    <t>Ankit Gupta</t>
  </si>
  <si>
    <t>Bhagalpur, India</t>
  </si>
  <si>
    <t>M.U. student | #Proud_Indian| Proud to be a #Hindu|</t>
  </si>
  <si>
    <t>内田 吏 (Uchida Osamu)</t>
  </si>
  <si>
    <t>三重</t>
  </si>
  <si>
    <t>カメラとiPhone、文具が好き、街中が好き。射手座、A型。 I can not take it ... From Mie (Japan) instagram ID:osam_u</t>
  </si>
  <si>
    <t>大富 民喜 【ネット保守連合】千葉所属</t>
  </si>
  <si>
    <t>日本帝国 千葉県</t>
  </si>
  <si>
    <t>歴史好きの愛国者。支那や朝鮮人の悪行は断じて許すことができません。特に韓国とは即時国交断絶、在日の即時帰国、売春婦の即時強制送還 原発再稼働促進 目指せ核武装 自衛隊の早期国防軍昇格 靖國神社崇敬奉賛会会員 The Empire of Japan 自民党員 自民党愛国派支持 リフレ派 ネット保守連合に参加</t>
  </si>
  <si>
    <t>utada☆</t>
  </si>
  <si>
    <t>米国支配からの独立。改憲して国軍の創設。安全保障強化の為の軍備拡張。消費増税凍結。財政出動によるデフレから経済成長の実現を支持。シカゴ在住のストラテジスト滝澤伯文氏を勝手師事。青山繁晴氏応援。好きなもの：花の乱、ゲームオブスローンズ、宇多田ヒカルさん 、山本彩さん、タイ等</t>
  </si>
  <si>
    <t>Wenyi Han</t>
  </si>
  <si>
    <t>醬・栗・酢・豆腐</t>
  </si>
  <si>
    <t>whatever i say has been said before</t>
  </si>
  <si>
    <t>shubham pareek</t>
  </si>
  <si>
    <t>Jaipur.India</t>
  </si>
  <si>
    <t>Anupam Saxena</t>
  </si>
  <si>
    <t>ravipatnaik</t>
  </si>
  <si>
    <t>Bhubaneswar (Odisha)</t>
  </si>
  <si>
    <t>RT is not my endorsement.</t>
  </si>
  <si>
    <t>Paula Carrillo Peña</t>
  </si>
  <si>
    <t>El Mundo</t>
  </si>
  <si>
    <t>Periodista, ex AFP, ex NTN24. Master in International Affairs. RT, Follows NOT endorsements. Cuenta personal - ES, EN, FR</t>
  </si>
  <si>
    <t>RT CMEActiveTrader "Today’s need to know with Bob_Iaccino 1) Earnings week 2) Japan’s Election 3) ECB Meeting https://t.co/uzl2wRggKB"</t>
  </si>
  <si>
    <t>BIZLI</t>
  </si>
  <si>
    <t>Asia markets: Japan election, dollar/yen, Fed chair race in focus https://t.co/EHT0EutPv8 #markets_asia_pacific… https://t.co/Fx4yDci9Pu</t>
  </si>
  <si>
    <t>Dub.io</t>
  </si>
  <si>
    <t>Inside Servers</t>
  </si>
  <si>
    <t>Manoj Gangwar</t>
  </si>
  <si>
    <t>Éngiñeériñg Stúdéñt 🔩🔧🛠</t>
  </si>
  <si>
    <t>Venkat</t>
  </si>
  <si>
    <t>भारतम भवति परम। तस्य सेवनम हि न: जीवनम।।</t>
  </si>
  <si>
    <t>Khetaram</t>
  </si>
  <si>
    <t>Phoenix Rising</t>
  </si>
  <si>
    <t>Soccer, Politics</t>
  </si>
  <si>
    <t>LUCIO MLS ASCP</t>
  </si>
  <si>
    <t>After election win, Abe prioritizes North Korea, aging Japan https://t.co/pNvEstS23f</t>
  </si>
  <si>
    <t>TEXAS,USA</t>
  </si>
  <si>
    <t>I am one with the UNIVERSE. Creator of limitless visions. Be kind to all animals 🐱🐭🐵🙉🐷🦊🐞🦗🕷️🦗🦀🦂🦋🐿️🦃🐙🦐</t>
  </si>
  <si>
    <t>Fenil Patel🇮🇳</t>
  </si>
  <si>
    <t>💯Helping people always comes back to you. 🙌Fan of Messi and Dhoni</t>
  </si>
  <si>
    <t>RT TFTCS "RT CMEActiveTrader "Today’s need to know with Bob_Iaccino 1) Earnings week 2) Japan’s Election 3) EC… https://t.co/DL9iS84U1d""</t>
  </si>
  <si>
    <t>vaibhav gandhi</t>
  </si>
  <si>
    <t>Typhoon kills at least two in Japan, prompts call for thousands to evacuate https://t.co/50DQe42Yqy #economics</t>
  </si>
  <si>
    <t>I Like:-प्रधानमंत्री</t>
  </si>
  <si>
    <t>Entertainment Entertainment Sports Government and Politics Politicians and Pol Parties TV Personalities Brands Radio Women &amp; NGOs</t>
  </si>
  <si>
    <t>Kopitiam Bot</t>
  </si>
  <si>
    <t>PM Lee Hsien Loong congratulates Japan’s Shinzo Abe on Lower House election victory https://t.co/r44MPgPf0J https://t.co/0RhhFTBNX4</t>
  </si>
  <si>
    <t>News · Lifestyle · Tech · Singapore</t>
  </si>
  <si>
    <t>Deepika Patel</t>
  </si>
  <si>
    <t>I am the Female personification of India. Home of King Cobras , Elephants, Bollywood, and Hinduism.</t>
  </si>
  <si>
    <t>blue glass bird</t>
  </si>
  <si>
    <t>Made in Japan復活を夢想する地方の部品製造会社勤めの中年のおっさんです。無言フォローお許し下さい。 思いついたことを気ままに呟いているため、中身（おつむ含む）はスッカスカです。</t>
  </si>
  <si>
    <t>Coecaine</t>
  </si>
  <si>
    <t>West Indianapolis</t>
  </si>
  <si>
    <t>RT CMEActiveTrader "Today’s need to know with Bob_Iaccino 1) Earnings week 2) Japan’s Election 3) ECB Meeting https://t.co/8ox02dGZTK"</t>
  </si>
  <si>
    <t>Giantpony</t>
  </si>
  <si>
    <t>Person. TBI survivor (5.5 yrs). Cannabis has saved my life. Hobby farmer. Wife. Mother. Will block &amp; mute. Zero tolerance for crap.</t>
  </si>
  <si>
    <t>SANDEEP BISWAS</t>
  </si>
  <si>
    <t>Rashid Ansari</t>
  </si>
  <si>
    <t>Uttaranchal, India</t>
  </si>
  <si>
    <t>Hello friends.................</t>
  </si>
  <si>
    <t>kirankumar</t>
  </si>
  <si>
    <t>Maverick(AB+)</t>
  </si>
  <si>
    <t>Proud being Indian. Patriotism in my blood. India first nothing greater than my motherland India . A sales guy working in NBFC</t>
  </si>
  <si>
    <t>Harlan Peterson</t>
  </si>
  <si>
    <t>Japan's Abe to push pacifist constitution reform after strong election win https://t.co/jQ93iMG8sq</t>
  </si>
  <si>
    <t>Starbuck, mn</t>
  </si>
  <si>
    <t>Center for Inner Development</t>
  </si>
  <si>
    <t>MAY</t>
  </si>
  <si>
    <t>日本と猫と吹奏楽とクラリネット大好き。 何度生まれ変わっても 日本人として日本に生まれたい。 同郷の浅田真央＆舞さんを応援。 すめらぎいやさか！</t>
  </si>
  <si>
    <t>LDP does well on Sea of Japan side; Komeito in southern half of Japan; opposition on Pacific Ocean side, big cities… https://t.co/8k5TFRiASB</t>
  </si>
  <si>
    <t>RAHUL GUPTA</t>
  </si>
  <si>
    <t>Krishan</t>
  </si>
  <si>
    <t>Anand Rajhauns</t>
  </si>
  <si>
    <t>Ironical that in a country where one of the most imp. WAR was fought for dharma, most of the politicians want to be on the side of dharmanirapeksha</t>
  </si>
  <si>
    <t>SB Singh</t>
  </si>
  <si>
    <t>国語赤点昇降機</t>
  </si>
  <si>
    <t>神奈川東部のどこかしら</t>
  </si>
  <si>
    <t>中川にいる何か 無言フォロー失礼します フォロ前にツイフの確認を 過去の旅は #あせね旅目録 から 飯テロは #あせね見食録 から</t>
  </si>
  <si>
    <t>Vishal Pandey</t>
  </si>
  <si>
    <t>Gaurav Joshi</t>
  </si>
  <si>
    <t>Ashok Sarswat BJP</t>
  </si>
  <si>
    <t>सूरत, भारत</t>
  </si>
  <si>
    <t>#गुजरात प्रदेश बेटी बचाओ बेटी पढ़ाओ प्रकल्प प्रतिनिध सूरत जिला IT CELL कंवीनर रचनात्मक सूरत जिला BJYM समाज सेवक, व्यवसायी, नमो नमो भक्त विप्र फाउंडेशन मंत्री</t>
  </si>
  <si>
    <t>ramu</t>
  </si>
  <si>
    <t>日本が好きです。ふるさとが好きです。先祖から頂いた心の財産を、大切にしたいです。今年こそは拉致被害者の方々全員が、故郷に帰ってこれますように祈っています。</t>
  </si>
  <si>
    <t>Craig Kafura</t>
  </si>
  <si>
    <t>RT @mit_obe: LDP does well on Sea of Japan side; Komeito in southern half of Japan; opposition on Pacific Ocean side, big cities https://t.…</t>
  </si>
  <si>
    <t>Research associate @ChicagoCouncil; Young Leader @PacificForum. Working on public opinion + foreign policy. @Yale '09, @Columbia '10.</t>
  </si>
  <si>
    <t>平成の憂国者</t>
  </si>
  <si>
    <t>関心事、国際政治、軍事関係など。 あと、競馬とテレビゲームも。 そして、れなっちこと、AKBの加藤玲奈ちゃん https://t.co/HvzMqwodld の単推しです（笑） 座右の銘「虎穴に入らずんば虎児を得ず」 さまざまな出来事に対して、 なるべく簡潔につぶやいて行こうと思います（笑）</t>
  </si>
  <si>
    <t>Prasad Karandikar</t>
  </si>
  <si>
    <t>I support Narendra Modi for development, oppose him for so called Hinduism, belive in social work, fan of Shreya Ghoshal, love her voice</t>
  </si>
  <si>
    <t>@jimi_barot🇮🇳</t>
  </si>
  <si>
    <t>Patan, Gujrat,India</t>
  </si>
  <si>
    <t># Proud to be Indian # Mechanical Engineer # Likes Cricket &amp; Tennis # I am single because God is busy writing the best love story for me…😎</t>
  </si>
  <si>
    <t>paulo sisinno</t>
  </si>
  <si>
    <t>Rio de Janeiro - Brazil</t>
  </si>
  <si>
    <t>Professor, Tradutor, Radialista. Humanista, Iluminista, Pacifista, Feminista, Progressista, Democrata, Internacionalista, Ecologista, Ecossocialista.</t>
  </si>
  <si>
    <t>Deepanshu sharma</t>
  </si>
  <si>
    <t>Cheeku</t>
  </si>
  <si>
    <t>Foreign Affairs</t>
  </si>
  <si>
    <t>Why the Party of Hope performed so poorly in Japan's snap election: https://t.co/wFPE9jCKfM</t>
  </si>
  <si>
    <t>In-depth insight and analysis on international affairs and U.S. foreign policy since 1922.</t>
  </si>
  <si>
    <t>Caracal Global</t>
  </si>
  <si>
    <t>NYT: Japan election vindicates Shinzo Abe as his party wins big WSJ: Japan’s Abe Cements hold on power with election win</t>
  </si>
  <si>
    <t>Specializing in Global Business Communications at the Intersection of Politics + Policy + Profits</t>
  </si>
  <si>
    <t>Mario</t>
  </si>
  <si>
    <t>check out my new mixtape</t>
  </si>
  <si>
    <t>MarketPulse</t>
  </si>
  <si>
    <t>What Next For Japan After the Election? - https://t.co/GadXw5EZLF</t>
  </si>
  <si>
    <t>MarketPulse Tweets</t>
  </si>
  <si>
    <t>Team of analysts covering the financial markets with a focus on FX, commodities, &amp; global indices. Leveraged trading is high risk. Losses can exceed investment</t>
  </si>
  <si>
    <t>Nepal News English</t>
  </si>
  <si>
    <t>THT: After election win, Abe prioritizes North Korea, aging Japan - https://t.co/SkBq5aXWp3</t>
  </si>
  <si>
    <t>Aggregates news from Nepali media in English from MyRepublica, The Himalayan Times, Kathamandu Post (E-Kantipur RSS is down since months) and SetoPati.</t>
  </si>
  <si>
    <t>Aman Chauhan🇮🇳</t>
  </si>
  <si>
    <t>Sonipat, India</t>
  </si>
  <si>
    <t>Bold aur Capital me INDIAN... 🇮🇳</t>
  </si>
  <si>
    <t>सिप्पी सक्सेना(वरुण)</t>
  </si>
  <si>
    <t>Breaking News Europe</t>
  </si>
  <si>
    <t>Abe to push reform of Japan's pacifist constitution after election win - https://t.co/EWmyyRKpAZ #breakingnews</t>
  </si>
  <si>
    <t>Times of News Europe</t>
  </si>
  <si>
    <t>Online free breaking news and top stories from europe Continent.</t>
  </si>
  <si>
    <t>poochlucky</t>
  </si>
  <si>
    <t>何が正しい情報か、誰が信頼できるかは、より多くの情報や歴史を通して判断され、真実を知ることを怖れていてはならないとつくづく思う。今じゃネットが世界の命綱？憂国、愛国の一人の日本人です。</t>
  </si>
  <si>
    <t>abel kitonga</t>
  </si>
  <si>
    <t>RT turbostocks "RT CMEActiveTrader "Today’s need to know with Bob_Iaccino 1) Earnings week 2) Japan’s Election… https://t.co/DL9iS84U1d""</t>
  </si>
  <si>
    <t>PathTradingPartners</t>
  </si>
  <si>
    <t>PathTradingPartners began w/ 1 goal Show novice &amp; journeyman traders a path to trading success ~Podcast https://t.co/cyWvXRlZWT ~YouTube https://t.co/FXvG01OIaX</t>
  </si>
  <si>
    <t>Danny Russel</t>
  </si>
  <si>
    <t>I discuss Japanese election results w/@business. Voters sought safe haven in uncertain geopolitical, economic times https://t.co/37p4llyxDJ</t>
  </si>
  <si>
    <t>Senior Fellow &amp; Diplomat-in-Residence @AsiaPolicy. Former Asst. Sec. @USAsiaPacific.</t>
  </si>
  <si>
    <t>Hrishikesh M</t>
  </si>
  <si>
    <t>Bengaluru, Karnataka, India</t>
  </si>
  <si>
    <t>arjun</t>
  </si>
  <si>
    <t>Patriot, seeks value addition</t>
  </si>
  <si>
    <t>Healthy Toronto</t>
  </si>
  <si>
    <t>What now for Japan after Abe's landslide election victory? https://t.co/fsu2z3b0eh</t>
  </si>
  <si>
    <t>Discussing ideas to improve health in Toronto for a better future</t>
  </si>
  <si>
    <t>Rishu singh</t>
  </si>
  <si>
    <t>Lucknow India</t>
  </si>
  <si>
    <t>Civill engineer in Mahalaxmi Infrastructure jankipuram lucknow</t>
  </si>
  <si>
    <t>nemoto takafumi</t>
  </si>
  <si>
    <t>シェル</t>
  </si>
  <si>
    <t>新宿とか東銀座とか</t>
  </si>
  <si>
    <t>趣味は歌舞伎、落語を中心に、ミュージカル、文楽、能、狂言なんかもときどき。ミュージカルは笹本玲奈、新妻聖子、歌舞伎役者は團十郎、海老蔵、松緑、歌六、時蔵、噺家は小三治、雲助、さん喬、文左衛門、白酒とかが好き。</t>
  </si>
  <si>
    <t>SB</t>
  </si>
  <si>
    <t>John Galt. RTs/Likes/Follows≠endorsements.</t>
  </si>
  <si>
    <t>NIRAJ KUMAR SINGH</t>
  </si>
  <si>
    <t>Juan Restrepog</t>
  </si>
  <si>
    <t>World,Medellín</t>
  </si>
  <si>
    <t>Improving every day: Shares,Commodities,Fx and infrastructure. Geoeconomics and cyclist. Administrator, U de Medellin. September 2017, 42Km, marathon. Trail 70k</t>
  </si>
  <si>
    <t>Seema</t>
  </si>
  <si>
    <t>RT≠ endorsement</t>
  </si>
  <si>
    <t>Jocelyne 🇨🇦❄️🌈</t>
  </si>
  <si>
    <t>Montréal, Ottawa, Toronto</t>
  </si>
  <si>
    <t>LGBTQ ally! Avid reader Political junkie #Resistance ‘We must be willing to get rid of the life we planned, so as to have the life that is waiting for us’❤️🦋</t>
  </si>
  <si>
    <t>Venkat Iyer</t>
  </si>
  <si>
    <t xml:space="preserve">Chennai </t>
  </si>
  <si>
    <t>expert on nothing! opinion on everything!</t>
  </si>
  <si>
    <t>Hemant Mandhare</t>
  </si>
  <si>
    <t>santosh chavan</t>
  </si>
  <si>
    <t xml:space="preserve">INDIA </t>
  </si>
  <si>
    <t>NEVER GIVE UP.</t>
  </si>
  <si>
    <t>AamirSiddiqueBhatti</t>
  </si>
  <si>
    <t>Universe</t>
  </si>
  <si>
    <t>Self Respect Peace Loving being Honoured</t>
  </si>
  <si>
    <t>PM Abe’s party wins Japan’s election, exit polls show https://t.co/mawJ10SflK</t>
  </si>
  <si>
    <t>Ken Moritsugu</t>
  </si>
  <si>
    <t>@AP News Director for Japan and the Koreas. Canadian-born, US-raised. @AAJA and @AAJAAsia member.</t>
  </si>
  <si>
    <t>sheetal</t>
  </si>
  <si>
    <t>Love me or hate me, u cannot ignore me !!</t>
  </si>
  <si>
    <t>dharmeshpatel</t>
  </si>
  <si>
    <t>K A Y C E E</t>
  </si>
  <si>
    <t>People fascinate me. Their stories. Their worries. RT means I found it interesting, not that I agree.</t>
  </si>
  <si>
    <t>Rebecca Lim 林淑云 레베카</t>
  </si>
  <si>
    <t>ÜT: 38.987125,-77.153627</t>
  </si>
  <si>
    <t>Global citizen, digital native. Tweets international news &amp; insights. Ex-journo. Views are personal.</t>
  </si>
  <si>
    <t>NavigateMarketStorm</t>
  </si>
  <si>
    <t>aaaaaaaaaaaaaaaaaaaaaaaaaa11</t>
  </si>
  <si>
    <t>https://t.co/DbjqTZqNxN</t>
  </si>
  <si>
    <t>Suman Kumar P</t>
  </si>
  <si>
    <t>Zojo</t>
  </si>
  <si>
    <t>I never give up💯💯 #ZOJOGANG #ZGG</t>
  </si>
  <si>
    <t>#Catalonia</t>
  </si>
  <si>
    <t>Catalonia RT</t>
  </si>
  <si>
    <t>I'm a cute robot 🤖. I retweet stuff about #Catalonia, mostly in #English. Made by @JimCAT1111.&amp;emsp;&amp;emsp;&amp;emsp;&amp;emsp;&amp;emsp; {RT≠endorsement -- obviously 🙄}</t>
  </si>
  <si>
    <t>RT Path_Trading "RT CMEActiveTrader: Today’s need to know with Bob_Iaccino 1) Earnings week 2) Japan’s Election 3)… https://t.co/DL9iS84U1d"</t>
  </si>
  <si>
    <t>Pravin Desai</t>
  </si>
  <si>
    <t>Valsad Gujarat India</t>
  </si>
  <si>
    <t>Keith Fitzgerald</t>
  </si>
  <si>
    <t>RT @ForeignAffairs: Why the Party of Hope performed so poorly in Japan's snap election: https://t.co/wFPE9jCKfM</t>
  </si>
  <si>
    <t>Boston - Singapore - Bangkok</t>
  </si>
  <si>
    <t>#Negotiation &amp; #Conflict Management, former Harvard Negotiation Project, Harvard Kennedy School, Sea-Change Partners, Conflict Advisor, Photographer, RT=retweet</t>
  </si>
  <si>
    <t>Mohit tailor</t>
  </si>
  <si>
    <t>रvi कुmaर</t>
  </si>
  <si>
    <t>Governing coalition's share in Japan lower house little changed after election. Opposition fighting among themselve… https://t.co/3KfWzbFVbd</t>
  </si>
  <si>
    <t>Deep News-Multipolar</t>
  </si>
  <si>
    <t>Intelligence-Strategy-International Relations-Law-MultiPolar World Order / İstihbarat-Strateji-Uluslararası İlişkiler -Hukuk-Çok Kutuplu Dünya Düzeni</t>
  </si>
  <si>
    <t>Hash</t>
  </si>
  <si>
    <t>Japanese PM Shinzo Abe eyes hawkish reform to pacifist constitution after landslide election win. #News #Japan… https://t.co/neP8CFg8Cg</t>
  </si>
  <si>
    <t>Aggregating popular tweets about the day’s most topical stories, Hash is a simple, visual way for everyone to catch up on global events.</t>
  </si>
  <si>
    <t>Lubna Kably</t>
  </si>
  <si>
    <t>I analyse policies incld #tax #hr #migration Views = personal APOLITICAL Abusers R promptly blocked 💟🐕🐈🐦🐴 #taxtwitter</t>
  </si>
  <si>
    <t>Ramita Sharma</t>
  </si>
  <si>
    <t>Proud Indian🇮🇳✌😘💞</t>
  </si>
  <si>
    <t>@AbeShinzo congratulations to grand victory in Japan election.</t>
  </si>
  <si>
    <t>India.</t>
  </si>
  <si>
    <t>Visual Art Professional-Eminent Painter &amp; Art Writer of India. Follow me- https://t.co/SSwl1Ly5X9 anilkumar.sinha1</t>
  </si>
  <si>
    <t>@EZ997RS！横浜から芦屋に原発移住</t>
  </si>
  <si>
    <t>Bayside KOBE JAPAN</t>
  </si>
  <si>
    <t>反原発脱被曝はデマ多発の人が多い、裏取って！ 当方、内部被曝に関しては尿検査とWBC2種類やって数値確定ND。甲状腺エコー、眼球検査も。 使用線量計DC-100、TERRA MKS-05、SOEKS-01M。エアカウンターS、核汚染からは逃げるが勝ち。距離取って戦おう！ 2ストクレイジー、RG500Γ/NSR250R</t>
  </si>
  <si>
    <t>Nepal123.com</t>
  </si>
  <si>
    <t>After election win, Abe prioritizes North Korea, aging Japan https://t.co/QTM3AEpdjS https://t.co/a1WAqAkKET</t>
  </si>
  <si>
    <t>Where the world meets my country...</t>
  </si>
  <si>
    <t>Lokesh Bagri</t>
  </si>
  <si>
    <t>Tezpur, Assam, NorthEast, Ind</t>
  </si>
  <si>
    <t>When I am not in Tezpur, You'll find me in the mountains.</t>
  </si>
  <si>
    <t>Narayan Mishra</t>
  </si>
  <si>
    <t>IPS(Rtd),Matter of interest: Current Affairs and Politics. A lover of nature. Advocate, Patna High Court.</t>
  </si>
  <si>
    <t>Rajiv ranjan</t>
  </si>
  <si>
    <t>Gaya, India</t>
  </si>
  <si>
    <t>Godfrey Oundoh</t>
  </si>
  <si>
    <t>Samburu, Kenya</t>
  </si>
  <si>
    <t>Correspondent, Nation Media Group- Samburu County. Do News Gathering, Compiling and reporting.</t>
  </si>
  <si>
    <t>LOLWA</t>
  </si>
  <si>
    <t>216.2285° N, 530.5860° E</t>
  </si>
  <si>
    <t>A category-3 engineer from a category-2 college ,trying best possible to be a category-1 moron..</t>
  </si>
  <si>
    <t>NIKKEI HITS THE HIGHEST LEVEL AFTER JAPAN ELECTION https://t.co/uGGs138giz</t>
  </si>
  <si>
    <t>Yogesh Prajapati</t>
  </si>
  <si>
    <t>@narendramodi ji ka Supporter | Followed by @PiyushGoyalOffc and @amitshah4bjp</t>
  </si>
  <si>
    <t>Jitendra Parihar</t>
  </si>
  <si>
    <t xml:space="preserve">Ajmer, India Living Dehli </t>
  </si>
  <si>
    <t>I Am Die Hard supporter for PM @NarendraModi ji #MODIBHAGAT #Bhagatsingh #ShivBhagat Followed By @PiyushGoyalOffc #DiamondBusiness #NotBJPITCaller</t>
  </si>
  <si>
    <t>songbogong</t>
  </si>
  <si>
    <t>Chunichi/Tokyo:Cartographic analysis of Japan's election. Regional differences with animation with #d3js &amp; #webgl… https://t.co/dyZqgYeKHu</t>
  </si>
  <si>
    <t>Interested In Interactive Infographics. PGP: https://t.co/nE3Nz9kzjE</t>
  </si>
  <si>
    <t>Salman Zaheer</t>
  </si>
  <si>
    <t>Liberal#Truth seeker#well versed w multi languages#Dream to see the world in peace#Traveller# In love with Thailand. *RT not endorsement.</t>
  </si>
  <si>
    <t>Sucharita Nanivadeka</t>
  </si>
  <si>
    <t>Physician. Retired Professor in a Medical College in Mumbai. Authored 100 research papers. At present engaged in artistic pursuits and charity work.</t>
  </si>
  <si>
    <t>ボヤッキー</t>
  </si>
  <si>
    <t xml:space="preserve">日本 </t>
  </si>
  <si>
    <t>ボヤッキー ツninja ヨーゼフから此処に至る。</t>
  </si>
  <si>
    <t>RAGHAV  JAIN</t>
  </si>
  <si>
    <t>Insurance Professional, Proud Swyamsevak, Quora Addict, Green Tea lover, Avid Traveller, spread happiness, light lives :)</t>
  </si>
  <si>
    <t>Tomatom flog</t>
  </si>
  <si>
    <t>feel good 26+tire 何もない</t>
  </si>
  <si>
    <t>Christine Carter</t>
  </si>
  <si>
    <t>https://t.co/qwDJJ3BSUK typhoon kills 2 in Japan, call for thousands to evacuate</t>
  </si>
  <si>
    <t>Taylors, SC</t>
  </si>
  <si>
    <t>I absolutely luv the G-d of Israel! I luv people! I luv music!I sing, play flute,read,write,make jewelry,take pictures, crochet.I am married w children;grandcn</t>
  </si>
  <si>
    <t>K 🍉</t>
  </si>
  <si>
    <t>ごきげんよう😌</t>
  </si>
  <si>
    <t>kulbhushan joshi</t>
  </si>
  <si>
    <t>線の風邪になって</t>
  </si>
  <si>
    <t>Arindam</t>
  </si>
  <si>
    <t>Bureaucrat/ChasingAWanderingHeart/Daydreamer/AppeasementMakeRouges/TweetsOnPolitics&amp;Nicities/HateHypocrites/AnIndian/LoveWriting&amp;Scotch/CommiesSocietzFoes/ 🎼🌺</t>
  </si>
  <si>
    <t>Mamta</t>
  </si>
  <si>
    <t>Atul Raval</t>
  </si>
  <si>
    <t>Kapadvanj, India</t>
  </si>
  <si>
    <t>😎Do not dwell in the past,do not dream of the future, concentrate the mind on the present moment. 😎</t>
  </si>
  <si>
    <t>Rita Onyango</t>
  </si>
  <si>
    <t>work in progress</t>
  </si>
  <si>
    <t>KALYAN  MISHRA</t>
  </si>
  <si>
    <t>Yash</t>
  </si>
  <si>
    <t>Shinzo Abe’s Japan election win lifts world stocks, dollar</t>
  </si>
  <si>
    <t>Yep, that Digital Marketing guy • Freelancer • Content Creator • Cricket Aficionado • Sports Enthusiast • Observer • Thinker • Seeker • Multitasker • Foodie</t>
  </si>
  <si>
    <t>Satish Tripathi</t>
  </si>
  <si>
    <t>Ayodhya and GURUGRAM</t>
  </si>
  <si>
    <t>The Truth Sets you free</t>
  </si>
  <si>
    <t>José Medina</t>
  </si>
  <si>
    <t>Abe retains supermajority in Japan’s election, may push to amend constitution https://t.co/R6KpW5humR</t>
  </si>
  <si>
    <t>Silver Bird</t>
  </si>
  <si>
    <t>Indianapolis, IN</t>
  </si>
  <si>
    <t>Mexillenial originally from the desert, who believes in always ordering dessert.</t>
  </si>
  <si>
    <t>VOTE FOR BJP</t>
  </si>
  <si>
    <t>@AbeShinzo Congratulations to grand victory in Japan election.</t>
  </si>
  <si>
    <t>Motivate voters to vote for BJP. Social,Political issues.Visit fb,Google+.whApp-09934464793 @anilkssocialnet.Anil Kumar Sinha,Senior Artist-Painting.Member-BJP.</t>
  </si>
  <si>
    <t>RT @Worldnews_top: Japan's Abe hails landslide victory in snap election https://t.co/3nKJHLdiyx #worldnews #news #breakingnews</t>
  </si>
  <si>
    <t>Sacchidanand Pandey</t>
  </si>
  <si>
    <t>Varanasi, Uttar Pradesh</t>
  </si>
  <si>
    <t>मैं एक मानव हूँ और जो कुछ भी मानवता को प्रभावित करता है उससे मुझे मतलब है।🇮भारत सर्वोपरि🇮</t>
  </si>
  <si>
    <t>Retweeted WORDLNEWS (@Worldnews_top): Japan's Abe hails landslide victory in snap election... https://t.co/Q80x09D3iW</t>
  </si>
  <si>
    <t>chirag.sp</t>
  </si>
  <si>
    <t>Koganti Sandeep</t>
  </si>
  <si>
    <t>हर्ष नामदेव ABVP</t>
  </si>
  <si>
    <t>Vijayraghavgarh, India</t>
  </si>
  <si>
    <t>#वन्देमातरम एक शब्द नहीं राष्ट्रीयता की पहचान है,इसको न बोलने वाला पाकिस्तानी हैवान है। @ABVPMahakoshal 【नगर उपाध्यक्ष】 @RSSOrg 【महाविद्यालय प्रमुख】 @BJP4MP</t>
  </si>
  <si>
    <t>Japan Ranks Low in Female Lawmakers. An Election Won’t Change That. https://t.co/3pbPt4NVKw</t>
  </si>
  <si>
    <t>🇬🇧 JuliaGulia 🇺🇸</t>
  </si>
  <si>
    <t>AZ, TX, NC, UK</t>
  </si>
  <si>
    <t>I'm lost.</t>
  </si>
  <si>
    <t>Livemint</t>
  </si>
  <si>
    <t>Shinzo Abe’s Japan election win lifts world stocks, dollar https://t.co/Ot3GvNplMw</t>
  </si>
  <si>
    <t>Breaking news &amp; analyses of Indian and world business, economy &amp; politics from Mint. @livemint, @mint_lounge, @Mint_Opinion and @livemint_m2m are official IDs</t>
  </si>
  <si>
    <t>bogmate</t>
  </si>
  <si>
    <t>Japan Vote: Abe Wins Convincingly Incumbent Prime Minister Shinzo Abe wins a decisive victory in Japan's snap election. The newly-formed op…</t>
  </si>
  <si>
    <t>China urges Japan's peaceful development after Abe's election win https://t.co/0tYrr6FA1g</t>
  </si>
  <si>
    <t>Abe to push reform of Japan's pacifist constitution after election win https://t.co/RU1KPdHnru</t>
  </si>
  <si>
    <t>Jorge Juan</t>
  </si>
  <si>
    <t>RT @japantimes: China urges Japan's peaceful development after Abe's election win https://t.co/0tYrr6FA1g</t>
  </si>
  <si>
    <t>Artificial Intelligence Researcher. Goal: to find&amp;block totalitarianism and bad manners. Followback.</t>
  </si>
  <si>
    <t>Abhishek C</t>
  </si>
  <si>
    <t>Kerala Mananthavady</t>
  </si>
  <si>
    <t>Abhishek is a young mean. Am studying for kerala</t>
  </si>
  <si>
    <t>Mulobi Snr.®</t>
  </si>
  <si>
    <t>Growing.....</t>
  </si>
  <si>
    <t>Think +&amp; B h@pp7</t>
  </si>
  <si>
    <t>From aamchi Mumbai !</t>
  </si>
  <si>
    <t>Proud Indian (pseudo-secular Suck) .Want India to overtake china in terms of Economy &amp; hard on corruption.जय हिंद।वदे मातरम् ।</t>
  </si>
  <si>
    <t>Sourav Bhowmick</t>
  </si>
  <si>
    <t>World is crazy enuf a place as it is.It can surely handle one more crazy like me who says 'I will be missed by people after I leave this world'.</t>
  </si>
  <si>
    <t>S.B. Satpathy</t>
  </si>
  <si>
    <t>Bhubaneswar, India</t>
  </si>
  <si>
    <t>Japan wrestles with future of its pacifist constitution ahead of election Sunday - World - CBC News https://t.co/Vk0hyURc8p</t>
  </si>
  <si>
    <t>Environment Guru</t>
  </si>
  <si>
    <t>Japan&amp;apos s Shinzo Abe Conjures Stunning Election Victory in a Boost for Donald Trump… https://t.co/0zYCVCUV86</t>
  </si>
  <si>
    <t>San Francisco, Ca</t>
  </si>
  <si>
    <t>Intelligence tools to find #water, #energy, #air, #greenbuilding, #toxic, #sustainability, #waste, #naturalresources including #news, #jobs, #events, and #bids</t>
  </si>
  <si>
    <t>आदित्य_तारू वत्स</t>
  </si>
  <si>
    <t>Software Engineer | An IT Berozgaar Indian | Hacker | DJ Producer &amp; Remixer | Passionate &amp; Fashionate | India Against Corruption | Reservation Free INDIA</t>
  </si>
  <si>
    <t>Sandeep</t>
  </si>
  <si>
    <t>Somewhere in North India</t>
  </si>
  <si>
    <t>Proud Indian, proud Hindu, ultra-Nationalist, Consultant, having interests in hetrodox economics, public policy,Indian history,Value Investing, Psychology</t>
  </si>
  <si>
    <t>An IITian &amp; an ardent Cricket-follower turned Consultant turned Quizzer turned Scrabbler! I have an opinion on everything. RTs are not necessarily endorsements.</t>
  </si>
  <si>
    <t>Vinay kumar</t>
  </si>
  <si>
    <t>कोटा, भारत</t>
  </si>
  <si>
    <t>Indira</t>
  </si>
  <si>
    <t>Mother. Baker. Reader. Procrastinator. Believer.</t>
  </si>
  <si>
    <t>The Times Times</t>
  </si>
  <si>
    <t>#PrimeMinister Lee congratulates #Japan's #ShinzoAbe on Lower #Houseelection victory... https://t.co/zByq8q7JCe https://t.co/WOByoESmsJ</t>
  </si>
  <si>
    <t>Lead Stories Feed Publisher</t>
  </si>
  <si>
    <t>Emerging news from newspapers with 'Times' in their names from around the globe.</t>
  </si>
  <si>
    <t>Srinivas</t>
  </si>
  <si>
    <t>IASGurukul</t>
  </si>
  <si>
    <t>Shinzo Abe’s Japan election win lifts world stocks, dollar https://t.co/CsQW93Jy93</t>
  </si>
  <si>
    <t>News in 24 languages. Brainchild of Ankur Shrivastava (https://t.co/36Oepcb4zN)</t>
  </si>
  <si>
    <t>Paulo Roberto</t>
  </si>
  <si>
    <t>SasakawaUSA press briefing on results of Japan's general election https://t.co/iwnVe7wqjH</t>
  </si>
  <si>
    <t>drashti purohit</t>
  </si>
  <si>
    <t>vadodara gujarat india</t>
  </si>
  <si>
    <t>😜</t>
  </si>
  <si>
    <t>Raghavendra</t>
  </si>
  <si>
    <t>Mechanical Engineer with keen interest in Spirituality. Extremely honored to be followed by our revered PM, Shri Narendra Modiji</t>
  </si>
  <si>
    <t>#Human💯Manu🍕</t>
  </si>
  <si>
    <t>People let you down,God never does😇Student. Fan of @narendramodi @IISuperwomanII @Rickshawali 🤗 followed by @PiyushGoyalOffc 💫tweets in ❤</t>
  </si>
  <si>
    <t>Tomohiko Kimura 木村知彦</t>
  </si>
  <si>
    <t>Japan,Kanto region.</t>
  </si>
  <si>
    <t>In order to follow the great of their RESPECTive fields _ scholars &amp; politicians &amp; football.</t>
  </si>
  <si>
    <t>Dances with wolves</t>
  </si>
  <si>
    <t>Bharatvarsha(india)</t>
  </si>
  <si>
    <t>One's often meet his destiny on The Road One's often Avoid it. Rastravadita,Desha,Dharma,Suvichara. RT's not endorsement.</t>
  </si>
  <si>
    <t>energyball38</t>
  </si>
  <si>
    <t>議論の幅を広げるために</t>
  </si>
  <si>
    <t>aman namra</t>
  </si>
  <si>
    <t>RT @livemint: Shinzo Abe’s Japan election win lifts world stocks, dollar https://t.co/Ot3GvNplMw</t>
  </si>
  <si>
    <t>A Journalist by profession, intrested in real lfe changing stories</t>
  </si>
  <si>
    <t>Kadapa, Andhrapradesh</t>
  </si>
  <si>
    <t>NaMo follower. . .Interested in social service. . .Music lover. . .Swimming. .cooking. . Photography</t>
  </si>
  <si>
    <t>Manish Bhartiya</t>
  </si>
  <si>
    <t xml:space="preserve">Dwarka-new Delhi </t>
  </si>
  <si>
    <t>जीत तक जारी जंग' मेरा रंग दे बसंती चोला युवा भारत संगठन-दिल्ली प्रान्त #BharatSwabhiman#JoinYuvaBharat #PatanjaliYogPeeth</t>
  </si>
  <si>
    <t>vipul goswami</t>
  </si>
  <si>
    <t>dhansura</t>
  </si>
  <si>
    <t>Shalin Talajia</t>
  </si>
  <si>
    <t>Shinzo Abe’s Japan election win lifts world stocks, dollar https://t.co/rltPuYJPUv</t>
  </si>
  <si>
    <t>International Marketing Manager at Geofresh #MBA #IOT #Entrepreneur #Startups #Equity #Mutualfunds #Technology #Import #Exports #Football</t>
  </si>
  <si>
    <t>appoke</t>
  </si>
  <si>
    <t>関西生まれのテニス好きなおっさん。「かくすれば かくなるものと知りながら やむにやまれぬ 大和魂」 見て松陰先生に感化されちまったよー～！</t>
  </si>
  <si>
    <t>AllStartups.in</t>
  </si>
  <si>
    <t>Shinzo Abe’s Japan election win lifts world stocks, dollar https://t.co/AuQXR3nyDQ https://t.co/gQYsYRLt0F</t>
  </si>
  <si>
    <t>New platform coming up..</t>
  </si>
  <si>
    <t>China urges Japan's peaceful development after Abe's election win https://t.co/ArTQWSAB34</t>
  </si>
  <si>
    <t>fafa</t>
  </si>
  <si>
    <t>一時住んだ所が総連と民団と学会と部落解放同盟の近くで殺人事件もある所でした。嫌がらせが始まり生活妨害され人生が変わり、当時検索しても何もわからず。保守の方々の郵便受けへのチラシで、日本がおかしいと思うのは自分だけでないと気付き、更に数年後、保守の方のブログや日本人への嫌がらせの正体が反日特亜人であることを発見しました。</t>
  </si>
  <si>
    <t>Vinod Giri</t>
  </si>
  <si>
    <t>Vinod Giri diploma in civil engineering</t>
  </si>
  <si>
    <t>Julie Hill</t>
  </si>
  <si>
    <t>Mother, Wife, Health &amp; Wellness Consultant, Gov Col for Active &amp; Healthy Living, AHA advocate, YMCA board of Trustees, DIG.</t>
  </si>
  <si>
    <t>Tom Flowers 🎧</t>
  </si>
  <si>
    <t>Neptune Beach, Florida, USA</t>
  </si>
  <si>
    <t>US Marine veteran. BA Psychology from UNF (2000). American Numismatic Association (ANA) Member No. R-1179011. Facebook https://t.co/eStZiEdTgz</t>
  </si>
  <si>
    <t>CMEGroup</t>
  </si>
  <si>
    <t>The world’s most diverse financial marketplace made up of CME, CBOT, NYMEX, COMEX and KCBT.</t>
  </si>
  <si>
    <t>Angelica</t>
  </si>
  <si>
    <t>RT @BloombergTV: Shinzo Abe's election gamble pays off https://t.co/0dijBcBu64 https://t.co/mfjLTn7M8v</t>
  </si>
  <si>
    <t>san diego,ca</t>
  </si>
  <si>
    <t>#SanDiego🤗 native #mother of two girls.👭 #fitnessjourney 17 to 85 😢🏈🙈 #Padres ⚾️💖</t>
  </si>
  <si>
    <t>Shalabh Agarwal</t>
  </si>
  <si>
    <t>Senior EDI Consultant - Hyderabad - IBM Certified B2B Sterling Integrator v5.2 Solution Implementor</t>
  </si>
  <si>
    <t>ASPI</t>
  </si>
  <si>
    <t>Watch: Our @dannyrrussel on the snap election in Japan &amp; what Shinzo Abe's re-election means. https://t.co/TQ8qOXA7if</t>
  </si>
  <si>
    <t>New York, NY &amp; Washington, DC</t>
  </si>
  <si>
    <t>@AsiaSociety Policy Institute: Think- &amp; do-tank tackling policy challenges confronting the Asia-Pacific in security, prosperity &amp; sustainability. RT≠endorsement</t>
  </si>
  <si>
    <t>rbodpr</t>
  </si>
  <si>
    <t>RT @wearehash: Japanese PM Shinzo Abe eyes hawkish reform to pacifist constitution after landslide election win. #News #Japan https://t.co/…</t>
  </si>
  <si>
    <t>ecoda TOKYO JAPAN</t>
  </si>
  <si>
    <t>ROCK＆VOLCANO＆custom knife</t>
  </si>
  <si>
    <t>ぽぴさん(•͈⌔•͈⑅)♡</t>
  </si>
  <si>
    <t>スイス 仏語圏</t>
  </si>
  <si>
    <t>主観でボソっと地味に呟く為漂着。現実主義者。グルメ・旅行・音楽・スポーツ・動物好き。好奇心旺盛。日欧米のメンタリティ混ぜ混ぜな国際人。東南アジアの海を日々妄想中❤︎心は日の丸❤︎平和第一❤︎海なしグンマー❤︎焼きまんじゅうがソウルフード❤︎日本の地方創生応援中❤︎猫大好き❤︎政経・時事関連呟き系♬銀行畑出身¥経済学士☆</t>
  </si>
  <si>
    <t>Muckraker</t>
  </si>
  <si>
    <t>Re-elected #Japanese PM vows hard line on North Korea, why not before? - World - CBC News https://t.co/fjSeClRMud</t>
  </si>
  <si>
    <t>Exposing corruption everywhere!</t>
  </si>
  <si>
    <t>हिन्दू चिंतन</t>
  </si>
  <si>
    <t>मा भारती की गोद मे</t>
  </si>
  <si>
    <t>poltical science teacher gujarat के पास का हु हु राजस्थानी फिर भी गुजरात को देखकर 15 सालो से मोदी जी का दीवाना हु</t>
  </si>
  <si>
    <t>macaron</t>
  </si>
  <si>
    <t>経理。秘書。総務。元保育士。表より裏方。北風より太陽。自由と責任。東京都江東区有明。チワワ（名:マカロン）と湾岸散歩。ひとり旅。クラシック音楽。元吹奏楽部・合唱部。美術館。ユルい英語学習。積極的ネガティブ。生真面目甲斐性無。現実と夢の間。沈黙OK。過去と他人は変わらない。騙すより騙される。営業お断り</t>
  </si>
  <si>
    <t>Sameer diwan #BJP</t>
  </si>
  <si>
    <t>It cell &amp;social media cell lambha ward. maninagr. 9687724040</t>
  </si>
  <si>
    <t>toosan</t>
  </si>
  <si>
    <t>Re-elected PM vows to tackle Japan's twin crises - https://t.co/CwyXyP9z3r</t>
  </si>
  <si>
    <t>Post with Klout</t>
  </si>
  <si>
    <t>Sinjuku-ku, Tokyo, Japan</t>
  </si>
  <si>
    <t>I'm thinking to emigrate to Thailand after retirement. 定年後の生活安定に向け、どれだけ準備できるのか？日々、情報収集・分析を行い、一歩踏み出すときに備えています。</t>
  </si>
  <si>
    <t>Hidetoshi Azuma</t>
  </si>
  <si>
    <t>North Korea thinks Abe’s election win is a prelude to invasion https://t.co/qi3xsUedTN via @vicenews</t>
  </si>
  <si>
    <t>Global bridge-builder &amp; guru specializing in #geopolitics, #US/#Japan/#Eurasia/#Russia, #energy/#defense @apcoworldwide.</t>
  </si>
  <si>
    <t>🚂Sam Riddle👊🇺🇸!</t>
  </si>
  <si>
    <t>Indy</t>
  </si>
  <si>
    <t>I will not bow to the left or its hate &amp; divisiveness! Navy Vet - Constitutional Conserv who believes in power of faith &amp; unlike Congress, our OATH is For LIFE!</t>
  </si>
  <si>
    <t>Craig Erlam</t>
  </si>
  <si>
    <t>RT @marketpulsecom: What Next For Japan After the Election? - https://t.co/GadXw5EZLF</t>
  </si>
  <si>
    <t>Senior Market Analyst at @marketpulsecom and @OANDA. All views are my own. Leveraged trading is high risk. Losses can exceed investment.</t>
  </si>
  <si>
    <t>Gregory McLeod</t>
  </si>
  <si>
    <t>$GBPJPY Move higher Japan's Abe hails landslide victory in snap election. @CNN https://t.co/6jnrcntr3L</t>
  </si>
  <si>
    <t>Posts are educational only</t>
  </si>
  <si>
    <t>Overwhelmed by Forex Market information? Need Trading Consistency and a Plan? Click Here https://t.co/Obul2nySkW</t>
  </si>
  <si>
    <t>sanket kumar</t>
  </si>
  <si>
    <t>kolkata</t>
  </si>
  <si>
    <t>young minded...make for innovation</t>
  </si>
  <si>
    <t>Ravi Singh</t>
  </si>
  <si>
    <t>Ranchi , Jharkhand</t>
  </si>
  <si>
    <t>An ardent admirer of NaMo and his qualities - an engr, fedup with evils prevailing in the system - NaMo is only HOPE</t>
  </si>
  <si>
    <t>Vannos</t>
  </si>
  <si>
    <t>any fool with a bit of luck can find himself born into power But earning it for yourself that takes work.@vannos.</t>
  </si>
  <si>
    <t>Robert Czerniawski</t>
  </si>
  <si>
    <t>humanist, writer, philosopher, artist, analyst https://t.co/YtQiwiI5O8 http://wstegamobiusa</t>
  </si>
  <si>
    <t>After election win, Abe prioritizes North Korea, aging Japan https://t.co/ZqKSsX91ac</t>
  </si>
  <si>
    <t>Hari_Khichar</t>
  </si>
  <si>
    <t>झुंझनूं, भारत</t>
  </si>
  <si>
    <t>JVVNL</t>
  </si>
  <si>
    <t>pandurangan</t>
  </si>
  <si>
    <t>Know Your Video Leak</t>
  </si>
  <si>
    <t>Japan's Stocks On Record Winning Streak After Abe's Election Victory (RT↺ Fav❤️) https://t.co/T0pizpzBpq #france24 #news #S</t>
  </si>
  <si>
    <t>KnowYourLeakNow</t>
  </si>
  <si>
    <t>Latest Video Leaks Daily:</t>
  </si>
  <si>
    <t>Nishant Mehta 🇮🇳</t>
  </si>
  <si>
    <t>Gandhinagar, India</t>
  </si>
  <si>
    <t>Petroleum Engineering student at Pandit Deendayal Petroleum University, परं वैभवं नेतुमेतत् स्वराष्ट्रं समर्था भवत्वाशिषा ते भृशम्।</t>
  </si>
  <si>
    <t>Deepak Shukla@</t>
  </si>
  <si>
    <t>Rewa MP,India</t>
  </si>
  <si>
    <t>life</t>
  </si>
  <si>
    <t>Shilpa</t>
  </si>
  <si>
    <t>Love Bollywood Music &amp; Dance. Love traveling. Love my India. Don't tweet much. Prefer to read different opinions. RT# endorsement.</t>
  </si>
  <si>
    <t>MO BELAL</t>
  </si>
  <si>
    <t>I am belal azhari best friend @watsonshuaib i see i eite i drink i live cricket made boy of cricket came on India play bet bwol @yayablal</t>
  </si>
  <si>
    <t>Vicky Rajput</t>
  </si>
  <si>
    <t>Proud to be called as Anndh Bhakt of Sri Narendra Modi Jee ...!!!🙏🙏🙏</t>
  </si>
  <si>
    <t>SilasDuski     🇨🇦</t>
  </si>
  <si>
    <t>Vancouver, British Columbia</t>
  </si>
  <si>
    <t>The official profile... We Are All Peshmerge 💪 .k U R D I S H ◀▶ 🇨🇦Periscope tv . silasduski .👻.Snap:Silas_doski</t>
  </si>
  <si>
    <t>Piyush पीयूष</t>
  </si>
  <si>
    <t>Nemesis to #islamofascists,commies,naxals, congis,jihadis. TIT-4-TAT &amp; no holds barred replies as per lang used जैसी जिसकी भाषा वैसा ही उसको उत्तर, जय श्रीराम।</t>
  </si>
  <si>
    <t>Ajathasathru</t>
  </si>
  <si>
    <t>Don't be brainwashed by the propaganda and lies."</t>
  </si>
  <si>
    <t>Santosh Vaidya</t>
  </si>
  <si>
    <t>Chandra bhu</t>
  </si>
  <si>
    <t>Sharing info about India, people, Hinduism, trade, food security, technology, environment, resources, and social change. Int. business journalist/editor.</t>
  </si>
  <si>
    <t>Jude Jackson</t>
  </si>
  <si>
    <t>Socialist Equality Party supporter, musician, atheist, lesbian. Politics, Arts, environment, cats and gardening. Speak Castillian Spanish.</t>
  </si>
  <si>
    <t>Dr Prashant Das⏫</t>
  </si>
  <si>
    <t>Ahmadabad City ,Vadodara INDIA</t>
  </si>
  <si>
    <t># Physician MD# Inspired by Narendra Modi #Followed &amp; Following # BJP Member # DOB18 th September # Tweets Personal #Interested in Active PoliticsOnly</t>
  </si>
  <si>
    <t>yomctac</t>
  </si>
  <si>
    <t>美月</t>
  </si>
  <si>
    <t>★JAPAN Forward（産経英字新聞）●Fresh From Election Victory, Will Shinzo Abe Get People’s Support for Constitutional Revision? …</t>
  </si>
  <si>
    <t>❤️まとめ・newsの更新お知らせ⭐️雑誌・ブログ→@singeki_mizuki2⭐️まとめ約90タイトル1000記事→@kougeki_mizuki⭐️各社ニュース約2000記事→@geigeki_mizuki4→予備アカ@geigeki_mizuki⭐️動画約100タイトル更新→@situgeki_mizuki</t>
  </si>
  <si>
    <t>Desai Mahesh</t>
  </si>
  <si>
    <t>राष्ट्रनीति</t>
  </si>
  <si>
    <t>IT Professional, Hindu Nationlist. Believes in Development for all &amp; appeasement to none.</t>
  </si>
  <si>
    <t>P..</t>
  </si>
  <si>
    <t>⚡️ “Japan leader's big election gamble pays off” by @business https://t.co/Tnx4dALhfy</t>
  </si>
  <si>
    <t>Garden of my thoughts 24/7 = Dangerous</t>
  </si>
  <si>
    <t>One Year = 365 Opportunities</t>
  </si>
  <si>
    <t>Abe to push reform of Japan's pacifist constitution after election win - https://t.co/ppAIGU2NID</t>
  </si>
  <si>
    <t>New post added at PmNews - Tech Daily News - Abe to push reform of Japan's pacifist constitution after election... https://t.co/aTqQuIoIKF</t>
  </si>
  <si>
    <t>Chip Smith</t>
  </si>
  <si>
    <t>Saint John- Rothesay</t>
  </si>
  <si>
    <t>McGill 2021• Politics, Tennis, and Coffee• NBProud• LPC• 🇮🇪🇨🇦🇪🇺</t>
  </si>
  <si>
    <t>K.S.STEWART</t>
  </si>
  <si>
    <t>Jason Robinson</t>
  </si>
  <si>
    <t>Congratulations to my friend @AbeShinzo on his election win. We must continue to grow the great relationship between Ams and Japan.</t>
  </si>
  <si>
    <t>Ams City, Ams</t>
  </si>
  <si>
    <t>President of Ams. Leader of Civic Party. Account run by the President and staff.</t>
  </si>
  <si>
    <t>Mark Collins</t>
  </si>
  <si>
    <t>#Japan's #ShinzoAbe to push pacifist constitution reform after strong election win https://t.co/C0C75oehtA #JSDF #DoD #NorthKorea #China</t>
  </si>
  <si>
    <t>Ottawa, Ontario</t>
  </si>
  <si>
    <t>Ret'd Canadian public servant with life-long interest in military history, defence &amp; international affairs-served in ExtAff, SolGen &amp; Cdn Coast Guard</t>
  </si>
  <si>
    <t>Anjoo Srivastava</t>
  </si>
  <si>
    <t>Ahmadabad City, India.</t>
  </si>
  <si>
    <t>Die heart fan of Dr Shashi tharoor.foodie#traveller#fashion#shows#modelling.</t>
  </si>
  <si>
    <t>CanadianPM</t>
  </si>
  <si>
    <t>PM Justin Trudeau congratulates Prime Minister Shinzo Abe on his victory in yesterday’s general election in Japan: https://t.co/Zxmm7mtnHb</t>
  </si>
  <si>
    <t>Official Twitter account of Justin Trudeau, Prime Minister of Canada – Terms: https://t.co/cVtd0EBoub – Français: @PMcanadien</t>
  </si>
  <si>
    <t>Robin Kwong</t>
  </si>
  <si>
    <t>RT @songbogong: Chunichi/Tokyo:Cartographic analysis of Japan's election. Regional differences with animation with #d3js &amp; #webgl https://t…</t>
  </si>
  <si>
    <t>Head of Digital Delivery @FT bringing project management &amp; design thinking into newsrooms. @ftdata alum. altMBA5</t>
  </si>
  <si>
    <t>Alejo</t>
  </si>
  <si>
    <t>RT @CanadianPM: PM Justin Trudeau congratulates Prime Minister Shinzo Abe on his victory in yesterday’s general election in Japan: https://…</t>
  </si>
  <si>
    <t xml:space="preserve">Lima / Bruxelles </t>
  </si>
  <si>
    <t>Arquitecto - Urbanista / PUCP - UCLouvain / Perú - Belgique. Me gusta la política. Instagram @anglaigus</t>
  </si>
  <si>
    <t>rumi ♈</t>
  </si>
  <si>
    <t>Tweeting frm 🇯🇵Love dogs🐾,🇨🇦 /🇳🇿/🇦🇺/🇬🇧/watching⚽n foreign TV shows to learn English! Pls follow me,n I'll follow u back 😀♥</t>
  </si>
  <si>
    <t>kishan.</t>
  </si>
  <si>
    <t>Ahmedabad.</t>
  </si>
  <si>
    <t>Believe in NARENDRA MODI. Proud Gujarati.</t>
  </si>
  <si>
    <t>Robert J Molnar</t>
  </si>
  <si>
    <t>North Korea fears Japan "invasion" after Shinzo Abe's victory https://t.co/1BGudZrbAz</t>
  </si>
  <si>
    <t>Silicon Valley USA</t>
  </si>
  <si>
    <t>game theorist and bad poker pro...did campaign politics, worked in government, dabbled in foreign policy...sanctioned Iran once. 3 time tech entrepreneur. #USA</t>
  </si>
  <si>
    <t>Viswadhar</t>
  </si>
  <si>
    <t>BJP PALAMURU</t>
  </si>
  <si>
    <t>Palamuru, Telangana</t>
  </si>
  <si>
    <t>BJP IT Cell For Digital Palamuru on the #DigitalIndia Intiative.</t>
  </si>
  <si>
    <t>Japan's Abe to push pacifist constitution reform after strong election win.. https://t.co/Xvsn07fpXe</t>
  </si>
  <si>
    <t>Varun Dave</t>
  </si>
  <si>
    <t>Vadodara,India</t>
  </si>
  <si>
    <t>|Mindless Retweeter| Interested in meaningful social interactions and living active and fulfilling life...</t>
  </si>
  <si>
    <t>Nikhil kp</t>
  </si>
  <si>
    <t>raamanck</t>
  </si>
  <si>
    <t>chennai.india</t>
  </si>
  <si>
    <t>Nationalist. Support War On Anti National Elements, Presstitudes, Fake S(i)eculars</t>
  </si>
  <si>
    <t>KSHATRIYA</t>
  </si>
  <si>
    <t>seek and you shall find</t>
  </si>
  <si>
    <t>Patriot, proud Indian, Jai hind</t>
  </si>
  <si>
    <t>Rakesh</t>
  </si>
  <si>
    <t>A Patriot | Meditator | Yogi | Techie | RTs/Favourites not endorsements</t>
  </si>
  <si>
    <t>salina shah Munhir</t>
  </si>
  <si>
    <t>Housewife. Education m.a subject islami studies . Bangladesh my country.</t>
  </si>
  <si>
    <t>Vinayak</t>
  </si>
  <si>
    <t>Bengaluru, India.</t>
  </si>
  <si>
    <t>Made_In_India , from Hubli-Dharawd.</t>
  </si>
  <si>
    <t>Japan's Abe to push pacifist constitution reform after strong election win.. https://t.co/8MepfKBxAp</t>
  </si>
  <si>
    <t>Japan's Abe vows to put education spending before budget balance.. https://t.co/MF3AvRIVLP</t>
  </si>
  <si>
    <t>vinayrajput➡</t>
  </si>
  <si>
    <t>A special smile, A special face. A special someone i cant replace. I luv U, I always will. U have filled a space no one can fill !!great fan of you peecee.😊😊</t>
  </si>
  <si>
    <t>Daisy Maxey</t>
  </si>
  <si>
    <t>#Stocks Little Changed to Start Week; Markets look to ECB meeting later this week for hints on bond-buying program https://t.co/MNvafrU2DL</t>
  </si>
  <si>
    <t>daisy.maxey@wsj.com</t>
  </si>
  <si>
    <t>Truth exists. Wall Street Journal columnist covering investments and financial advisers. Unapologetic feminist. Scuba enthusiast. Links, RTs aren't advice. NYC.</t>
  </si>
  <si>
    <t>Akash R Yadav</t>
  </si>
  <si>
    <t>ENGINEER,Sports lover,specially Cricket, Great fan of Narendra Modi,Natural Lover.I love my india🇮🇳, inspired by Swami Vivekananda</t>
  </si>
  <si>
    <t>Dalwinder singh brar</t>
  </si>
  <si>
    <t>Ganganagar, Rajasthan, India</t>
  </si>
  <si>
    <t>optimist</t>
  </si>
  <si>
    <t>wherever job takes :)</t>
  </si>
  <si>
    <t>wanna be techee n architect; lost in thought, mentor needed..</t>
  </si>
  <si>
    <t>Dinesh Thakkar</t>
  </si>
  <si>
    <t>None can teach you, none can make you spiritual. There is no other teacher but your own soul.जय महाकाल , Proud feel Followed by shree @piyushgoyaloffc ji.</t>
  </si>
  <si>
    <t>Srinivasan V</t>
  </si>
  <si>
    <t>An Indian, settled @ Perth-Western Australia. Chartered Accountant by choice. Following Positive &amp; Enriching Thoughts, all around. Briefly in Seychelles, now.</t>
  </si>
  <si>
    <t>gєєтαиʝαℓι</t>
  </si>
  <si>
    <t>I m only one, but I m one. I cannot do everything, but I can do something.&amp; because I cannot do everything, I will not refuse to do the something that I can do.</t>
  </si>
  <si>
    <t>Robert Ouko</t>
  </si>
  <si>
    <t>I'm Robert. I'm Just Robert.</t>
  </si>
  <si>
    <t>Amitendra Dwivedi</t>
  </si>
  <si>
    <t>नमो भक्त : बीजेपी सदस्य; व्यक्ति के विचार उसके व्यक्तित्व को प्रतिविम्बित करते है जो उसकी अभिव्यक्ति में स्पस्ट झलकते हैं. भक्त हूँ मातृ भूमि और भोले भंडारी का</t>
  </si>
  <si>
    <t>Guru Kumble</t>
  </si>
  <si>
    <t>Global🌍</t>
  </si>
  <si>
    <t>| Nationalist | | Follower of @narendramodi ji | | Believe in BJP | | Engineering Student | | Writer ✍ | | 💯 ❤ |</t>
  </si>
  <si>
    <t>gab.ai/VandeMataram</t>
  </si>
  <si>
    <t>Honored to have Prime Minister @NarendraModi &amp; MoS @Gen_VKSingh follow my account! Vande MAtaram! Youtube Channel: http://t.co/dDX4vAle0e</t>
  </si>
  <si>
    <t>Japan's Abe to push pacifist constitution reform after strong election win.. https://t.co/ykLwp22f9O</t>
  </si>
  <si>
    <t>Abhinav Choudhary</t>
  </si>
  <si>
    <t>TrendyTrade</t>
  </si>
  <si>
    <t>Spot the trend, trade the market</t>
  </si>
  <si>
    <t>Abhijit Limaye</t>
  </si>
  <si>
    <t>West Des Moines, IA</t>
  </si>
  <si>
    <t>Biotechnologist| Renewable, Green Energy &amp; Sustainability Enthusiast| Ardent follower of Indian Politics, Bollywood and Cricket Lover| Foodie!</t>
  </si>
  <si>
    <t>Pan Ders</t>
  </si>
  <si>
    <t>T-田中</t>
  </si>
  <si>
    <t>Tokio o Osaka,Japón</t>
  </si>
  <si>
    <t>Un redactor de canales digitales del @SportsHochi . スポーツ報知デジタル編集。 R,Python,QGIS,d3.js PGP=8B9FE45C Soy del GambaOsaka. ガンバ大阪。</t>
  </si>
  <si>
    <t>#Fukushima #TyphoonLan was engineered by the global elite so that PM Abe could win the election and take Japan nuclear against protests</t>
  </si>
  <si>
    <t>RT trendytradepd "RT CMEActiveTrader: Today’s need to know with Bob_Iaccino 1) Earnings week 2) Japan’s Election 3… https://t.co/8ox02dGZTK"</t>
  </si>
  <si>
    <t>Anlabo Tsong™</t>
  </si>
  <si>
    <t>Malacañang on Monday congratulated Japanese Prime Minister Shinzo Abe following his big election victory, saying... https://t.co/x8mSUvxRZ0</t>
  </si>
  <si>
    <t>We're everywhere and nowhere.</t>
  </si>
  <si>
    <t>In war, you can only be killed once, but in politics, many times. #AyawSaDilaw #UnitedDDS #WeAreDuterte #NagaLeaks #ImpeachLeniRobredo #PalitBise #CocoyGate</t>
  </si>
  <si>
    <t>ABC</t>
  </si>
  <si>
    <t>Alisyn Gayle</t>
  </si>
  <si>
    <t>Azadtiwarichunnu Bab</t>
  </si>
  <si>
    <t>Marc A. Ross</t>
  </si>
  <si>
    <t xml:space="preserve">Washington, DC + Detroit, MI </t>
  </si>
  <si>
    <t>Communications + Content + Commerce 🎯 Politics + Policy + Profits 🎯 Founder @the_brigadoon + @caracalglobal</t>
  </si>
  <si>
    <t>RT trendytradepd "RT CMEActiveTrader: Today’s need to know with Bob_Iaccino 1) Earnings week 2) Japan’s Election 3… https://t.co/VtcpTOW1z5"</t>
  </si>
  <si>
    <t>Japan Election Vindicates Shinzo Abe as His Party Wins Big https://t.co/jwNbq4DW34 via @nytimesworld</t>
  </si>
  <si>
    <t>Jim Crump</t>
  </si>
  <si>
    <t>🇨🇦 with American friends and relatives trying to get a grasp of wtf is happening to 🇺🇸and hoping for sanity but losing hope</t>
  </si>
  <si>
    <t>Griffin Muhati</t>
  </si>
  <si>
    <t>Inderjeet Khanna</t>
  </si>
  <si>
    <t>RTs are not endorsement. Believer of Gross Happiness over GDP. Inclusivness can only be sustained and become reason of fulfillment and joy.</t>
  </si>
  <si>
    <t>かおるくん</t>
  </si>
  <si>
    <t>ウチの周りをフラフラしてる自由人ですね</t>
  </si>
  <si>
    <t>Surya</t>
  </si>
  <si>
    <t>....India first. All faith in RSS and NaMo. RTs not endorsements. Honoured to be followed by @PiyushGoyalOffc</t>
  </si>
  <si>
    <t>Nessie 🚑</t>
  </si>
  <si>
    <t>I know I come across as super fancy. I'm not. - Sweet Dee Reynolds.</t>
  </si>
  <si>
    <t>Abe to push reform of Japan's pacifist constitution after election win.. https://t.co/29QyKlJNlk</t>
  </si>
  <si>
    <t>ᎪᏞᎬx ᎪᏁᎠᎬᏒ</t>
  </si>
  <si>
    <t>Toronto ON</t>
  </si>
  <si>
    <t>od uoy tahw evol, evol uoy tahw od.</t>
  </si>
  <si>
    <t>Manju Srinivas</t>
  </si>
  <si>
    <t>Manju is an Interwoven and Adobe AEM #ECM, Jive SBS and Web consultant currently working at #TCS.</t>
  </si>
  <si>
    <t>Avinax</t>
  </si>
  <si>
    <t>Japan PM's ruling bloc scores big election win.. https://t.co/Ex9dj9UtRR</t>
  </si>
  <si>
    <t>Abe to push reform of Japan's pacifist constitution after election win.. https://t.co/WPrRJRwvBC</t>
  </si>
  <si>
    <t>RT trendytradepd "RT CMEActiveTrader: Today’s need to know with Bob_Iaccino 1) Earnings week 2) Japan’s Election 3… https://t.co/UhYK4KjYt7"</t>
  </si>
  <si>
    <t>RT trendytradepd "RT CMEActiveTrader: Today’s need to know with Bob_Iaccino 1) Earnings week 2) Japan’s Election 3… https://t.co/uzl2wRggKB"</t>
  </si>
  <si>
    <t>Vetri vel mahesh</t>
  </si>
  <si>
    <t>Bharatiya.. Proud hindu nationalist...Modi ji supporter..Allways right..Anti nationals better stay away,Spiritual, Want bharat as a viswa guru with namo power</t>
  </si>
  <si>
    <t>dharmendra singhal</t>
  </si>
  <si>
    <t>MBBS, MRCP Consultant Endocrinologist</t>
  </si>
  <si>
    <t>Ranjit Swain 🇮🇳</t>
  </si>
  <si>
    <t>Obsessed by trains - traveling from 9th day. I don't support any particular party, for me Nation is first. Huge fan of Shri Narendra Modi.Fo by @PiyushGoyalOffc</t>
  </si>
  <si>
    <t>महाकाल</t>
  </si>
  <si>
    <t>NCC Cadet.भक्ति में लीन एक भक्त॥ , राम राज्य मतलब सबका साथ सबका विकास</t>
  </si>
  <si>
    <t>shashi sinha</t>
  </si>
  <si>
    <t>RT trendytradepd "RT CMEActiveTrader: Today’s need to know with Bob_Iaccino 1) Earnings week 2) Japan’s Election 3… https://t.co/1kBqNAhvPd"</t>
  </si>
  <si>
    <t>bishop</t>
  </si>
  <si>
    <t>Liberty Guns Beer Tits.</t>
  </si>
  <si>
    <t>Abe to push reform of Japan's pacifist constitution after election win.. https://t.co/38zmN0TWkY</t>
  </si>
  <si>
    <t>Two dead as typhoon slams into Japan after election day https://t.co/B4QLZtLfWF</t>
  </si>
  <si>
    <t>cheena</t>
  </si>
  <si>
    <t>Political observer</t>
  </si>
  <si>
    <t>RT trendytradepd "RT CMEActiveTrader: Today’s need to know with Bob_Iaccino 1) Earnings week 2) Japan’s Election 3… https://t.co/DL9iS84U1d"</t>
  </si>
  <si>
    <t>RT trendytradepd "RT CMEActiveTrader: Today’s need to know with Bob_Iaccino 1) Earnings week 2) Japan’s Election 3… https://t.co/pIb3efrrV9"</t>
  </si>
  <si>
    <t>Abusidiqu.com</t>
  </si>
  <si>
    <t>Trump Congratulates Japan's Prime Minister, Shinzo Abe On Election Victory - https://t.co/WNT6t1Rk1V https://t.co/XDa0QvORwp</t>
  </si>
  <si>
    <t>abusidiq blog app</t>
  </si>
  <si>
    <t>Official page for http://t.co/2vwSYsZrOY. We amplify your thoughts, News and in-depth analysis on topical issues. E-mail: info@abusidiqu.com</t>
  </si>
  <si>
    <t>Japan PM's ruling bloc scores big election win.. https://t.co/8fUe7zT7eb</t>
  </si>
  <si>
    <t>Abe to push reform of Japan's pacifist constitution after election win.. https://t.co/KW7sF3ppCA</t>
  </si>
  <si>
    <t>ZZ</t>
  </si>
  <si>
    <t>(Trump Congratulates Japan's Prime Minister, Shinzo Abe On Election Victory) - https://t.co/r5UAb9T2Ok https://t.co/T9wlDoJH1e</t>
  </si>
  <si>
    <t>Tweet At Me</t>
  </si>
  <si>
    <t>Entrepreneur||PoliticalAnalyst||01582🤘🏼</t>
  </si>
  <si>
    <t>Abubakar Sidiq Usman</t>
  </si>
  <si>
    <t>Trump Congratulates Japan's Prime Minister, Shinzo Abe On Election Victory - https://t.co/gomAiY9n9b https://t.co/VjWuNghqC2</t>
  </si>
  <si>
    <t>mr abusidiq</t>
  </si>
  <si>
    <t>Urban Planner | City Manager | Development Expert | Aspiring Politician | Digital Media Strategist | Publisher, https://t.co/UibvzTICHv @Abusidiqublog</t>
  </si>
  <si>
    <t>RuralReporters</t>
  </si>
  <si>
    <t>Trump Congratulates Japan's Prime Minister, Shinzo Abe On Election Victory - https://t.co/lFlKH1c7fq https://t.co/kOFXusZ9q3</t>
  </si>
  <si>
    <t>Lekan</t>
  </si>
  <si>
    <t>Founding Team @rural_reporters| Development Journalist|Social Worker</t>
  </si>
  <si>
    <t>USMAN, Abbass Babayo</t>
  </si>
  <si>
    <t>Trump Congratulates Japan's Prime Minister, Shinzo Abe On Election Victory - https://t.co/MddjV4YfM2 https://t.co/4ApNF3KFhN</t>
  </si>
  <si>
    <t>abusidiq blog app shangu</t>
  </si>
  <si>
    <t>Official Twitter account of Usman, Abbass Babayo of Nigeria, Tweets are my views (RT, following does not constitute endorsement) | Future sophisticated investor</t>
  </si>
  <si>
    <t>Santoshgaur27</t>
  </si>
  <si>
    <t>News, Fx-rates</t>
  </si>
  <si>
    <t>Trump Congratulates Japan's Prime Minister, Shinzo Abe On Election Victory - https://t.co/HGz9XvFYFI https://t.co/WslKA27QBO</t>
  </si>
  <si>
    <t>abusidiq blog app nbp</t>
  </si>
  <si>
    <t>Abuja, Nigeria.</t>
  </si>
  <si>
    <t>Latest news in Nigeria, get FOREX rates of naira against Pounds, Dollar, Euro. Do you have any information for us? Reach us using: nigerianewsdeck@gmail.com</t>
  </si>
  <si>
    <t>yuli</t>
  </si>
  <si>
    <t>shinjyuku</t>
  </si>
  <si>
    <t>Must be -2bs.Drummer</t>
  </si>
  <si>
    <t>Hi, world peoples ! How do You think about the result of japanese election ? Do You agree Japan government going to begin the War ??</t>
  </si>
  <si>
    <t>Kyoto city</t>
  </si>
  <si>
    <t>I'm a Drummer. And I need more some live stage experience now . Also I love 2 bass drum set up and learning them day by day . I'll look for the band who need me</t>
  </si>
  <si>
    <t>LivingOnChi: #Fukushima #TyphoonLan was engineered by the global elite so that PM Abe could win the election and take Japan nuclear against…</t>
  </si>
  <si>
    <t>*Zeyani Chrisanna*</t>
  </si>
  <si>
    <t>RT @iShares: Here's your pre-election guide for what to know about Japan's election and why investors should care https://t.co/F4Bj3tsXZ3 h…</t>
  </si>
  <si>
    <t>Laguna Beach // Palo Alto</t>
  </si>
  <si>
    <t>OmniOccupied™ CEO &amp; Renegade System Designer, Play Right, In Aesthetic Creationary Realms, Experiencing Revenue, Conductivity &amp; Productivity {+ + +}.</t>
  </si>
  <si>
    <t>Mahak</t>
  </si>
  <si>
    <t>Piyush Jain</t>
  </si>
  <si>
    <t>Son, Husband, Father and Indian, Working as Delivery Manager with EMC, ECD Consulting Services, going to Opentext</t>
  </si>
  <si>
    <t>Neelesh Jadhav</t>
  </si>
  <si>
    <t>priya iyer</t>
  </si>
  <si>
    <t>AbSi</t>
  </si>
  <si>
    <t>void</t>
  </si>
  <si>
    <t>Veer Saraf</t>
  </si>
  <si>
    <t>Jammu &amp; Kashmir, India</t>
  </si>
  <si>
    <t>I am a Political Activist. I'm Sangathan Mantri of BJP for South Kashmir. I am a KASHMIRI PANDIT.I STILL EXIST! https://t.co/iXDRgQLHR5</t>
  </si>
  <si>
    <t>Prince Paul</t>
  </si>
  <si>
    <t>Miami, Florida baby!!!</t>
  </si>
  <si>
    <t>-FOLLOW ME- Professional boxer, Born &amp; rasied in NY, Dreams do come true.</t>
  </si>
  <si>
    <t>Drain The Swamp!</t>
  </si>
  <si>
    <t>State of  Bliss</t>
  </si>
  <si>
    <t>Hemant Chaudhary</t>
  </si>
  <si>
    <t>Thriving this life !</t>
  </si>
  <si>
    <t>Canada Mission UN</t>
  </si>
  <si>
    <t>Permanent Mission of Canada to the United Nations FR: @CanadaONU PR: @BlanchardCanada DPR: @CdnAmbUN DPR: @blais_louise https://t.co/YcijzugMJP</t>
  </si>
  <si>
    <t>Repeal 93rd</t>
  </si>
  <si>
    <t>Crazy, Rebellious, Unpredictable, Love to piss off others...</t>
  </si>
  <si>
    <t>Rajat Mahajan</t>
  </si>
  <si>
    <t>Tushar</t>
  </si>
  <si>
    <t>Nashik, India</t>
  </si>
  <si>
    <t>I am an Electrical Engineer.. ☠️😎 Doing some social work.... 😋😋 And always Take it easy... 👿😈 and addiction of hindutva.... 🕉️🚩🚩</t>
  </si>
  <si>
    <t>Godda, India</t>
  </si>
  <si>
    <t>Linda DelaBarrera</t>
  </si>
  <si>
    <t>What's at Stake in Japan's Snap Election? The Country's 'Peace Constitution', for One https://t.co/MnTYgsY6Cw via @nevin_thompson</t>
  </si>
  <si>
    <t>Mexico City</t>
  </si>
  <si>
    <t>Clinical Psychologist “You have your way. I have my way. As for the right way, the correct way, and the only way, it does not exist.” Friedrich Nietzsche</t>
  </si>
  <si>
    <t>SGM-FX</t>
  </si>
  <si>
    <t>City of London, London</t>
  </si>
  <si>
    <t>Bringing you breaking, detailed and actionable #forex #analysis. Trust through Longevity: we provide innovative foreign exchange services. es@sgm-fx.com</t>
  </si>
  <si>
    <t>Business Review Asia</t>
  </si>
  <si>
    <t>Japanese stocks surge as @AbeShinzo is elected Prime Minister of Japan 👔 Read More 👉 https://t.co/t5KukDozWB https://t.co/8raBJ9KxnT</t>
  </si>
  <si>
    <t>Digital magazine and news channel focusing on #Asian #business.</t>
  </si>
  <si>
    <t>What Shinzo Abe’s election win will mean for China-Japan relations https://t.co/ivrXLZVqcN</t>
  </si>
  <si>
    <t>Rajasthani</t>
  </si>
  <si>
    <t>gurgaon bangalore</t>
  </si>
  <si>
    <t>Working as IT professional in Gurgaon.</t>
  </si>
  <si>
    <t>Grahame Lucas</t>
  </si>
  <si>
    <t>Shinzo Abe secures strong mandate in Japan's general election https://t.co/54LXRFpHWW</t>
  </si>
  <si>
    <t>Crowdfire - Go Big</t>
  </si>
  <si>
    <t>Citizen of nowhere</t>
  </si>
  <si>
    <t>Journalist, lecturer: #FreeRaif, #PressFreedom, #StopBrexit, #HeForShe, #ClimateChange #AbolishTheDeathPenalty. Own views, RTs not endorsement</t>
  </si>
  <si>
    <t>Japan's Abe to push pacifist constitution reform after strong election win https://t.co/Ik5kIg2NT3</t>
  </si>
  <si>
    <t>Cathy 🍓</t>
  </si>
  <si>
    <t>In Flanders fields the poppies blow, Between the crosses, row on row, That mark our place; and in the sky..... #LestWeForget #Remember 🌺 #RemembranceDay</t>
  </si>
  <si>
    <t>Paras🇮🇳</t>
  </si>
  <si>
    <t>SatkarmBhikshu, An Absolute Indian, Philanthropist, Career Consultant, Hrithik-Farhan-Amir fan. Praying to Lord Buddha &amp; Lord Shiva.</t>
  </si>
  <si>
    <t>Make Me Aware</t>
  </si>
  <si>
    <t>Japan’s Abe Cements Hold on Power With Election Win @WSJ #JapanDecides #JapanElection #ShinzoAbe #news #MakeMeAware https://t.co/oKxLgDFco4</t>
  </si>
  <si>
    <t>Embracing change, provoking thought and empowering the next generation.</t>
  </si>
  <si>
    <t>SFS Asian Studies</t>
  </si>
  <si>
    <t>"Abe claims victory as powerful endorsement, may seek re-#election next month" | Japan Times https://t.co/jpXk0FzMAW #ShinzoAbe #Japan</t>
  </si>
  <si>
    <t>This is the official account of the @georgetownSFS Asian Studies Program. Follow us to receive updates on Asia, the MASIA degree, and events. RT ≠ Endorsement</t>
  </si>
  <si>
    <t>Kirsty Duncan</t>
  </si>
  <si>
    <t>Etobicoke North</t>
  </si>
  <si>
    <t>Minister of Science. MP for Etobicoke North // Ministre des Sciences. Députée de Etobicoke-Nord. Professor, scientist, Highland dancer, gymnast.</t>
  </si>
  <si>
    <t>Japan's Shinzo Abe aims at N. Korea threat after storming to 'super-majority' election win https://t.co/gnB3pLhdGw https://t.co/hWQtpPc4tp</t>
  </si>
  <si>
    <t>Cloudhopper</t>
  </si>
  <si>
    <t>https://t.co/nuAY1hJI3u</t>
  </si>
  <si>
    <t>Gaurav Lath</t>
  </si>
  <si>
    <t>Kolkata</t>
  </si>
  <si>
    <t>Very patriotic n Hindutvawadi n now a Verified Sanghi!</t>
  </si>
  <si>
    <t>Sushil Karwa</t>
  </si>
  <si>
    <t>Leadership of @narendramodi Ji make feel proud. Honoured to be followed by @girirajsinghbjp Ji, @nstomar Ji. Retweet are not Endorsement.</t>
  </si>
  <si>
    <t>Trending News</t>
  </si>
  <si>
    <t>After election win, Abe prioritizes North Korea, aging Japan After election win, Abe prioritizes North Korea, aging… https://t.co/IkgrHp88Qc</t>
  </si>
  <si>
    <t>International latest breaking news about world, sports,football, cricket, entertainment, business, weather, education, technology and lifestyle, jobs and more</t>
  </si>
  <si>
    <t>pravinkumar gupta</t>
  </si>
  <si>
    <t>life is not remote in a self and start life enjoyed but care</t>
  </si>
  <si>
    <t>Foreign Policy CAN</t>
  </si>
  <si>
    <t>Canada’s Foreign Policy activities are led by Global Affairs Canada - Français : @CanadaPE - https://t.co/YcijzugMJP</t>
  </si>
  <si>
    <t>Family Day</t>
  </si>
  <si>
    <t>Japan: PM Abe vows to make education, childcare a priority over fiscal reforms after election win https://t.co/8BYZdXSD1R</t>
  </si>
  <si>
    <t>Toronto, York &amp; Peel Regions</t>
  </si>
  <si>
    <t>Family Day provides high quality child care and early learning programs throughout the GTA.</t>
  </si>
  <si>
    <t>Rajprasong_News</t>
  </si>
  <si>
    <t>Nikkei: #Japan's general election in four charts https://t.co/IRBN6j05nG https://t.co/WrHfKkhlNv</t>
  </si>
  <si>
    <t>Opinions about Thailand and the Universe</t>
  </si>
  <si>
    <t>sachin sud</t>
  </si>
  <si>
    <t>Citizen of India</t>
  </si>
  <si>
    <t>बीहारी</t>
  </si>
  <si>
    <t>Ara, India</t>
  </si>
  <si>
    <t>🚢</t>
  </si>
  <si>
    <t>Reboot, Recharge</t>
  </si>
  <si>
    <t>After election win, Abe prioritizes North Korea, aging Japan https://t.co/guDK7wgYg0 via @TOIWorld</t>
  </si>
  <si>
    <t>Mississauga, Ontario</t>
  </si>
  <si>
    <t>Writer, Independent Journalist</t>
  </si>
  <si>
    <t>Sanjay Joshi</t>
  </si>
  <si>
    <t>A Bhakt, Narendrabhai supporter,</t>
  </si>
  <si>
    <t>Truth Artists News</t>
  </si>
  <si>
    <t>Nowhere to hide': North Korean missiles spur anxiety in Japan fishing town https://t.co/40UnVHvR5P</t>
  </si>
  <si>
    <t>New York, New York</t>
  </si>
  <si>
    <t>Global News &amp; Educational Conduit</t>
  </si>
  <si>
    <t>Gajendra_Kumar</t>
  </si>
  <si>
    <t>Bilaspur, India</t>
  </si>
  <si>
    <t>☄#खुद_से_जीतने_की_जिद_है, #मुझे_खुद_को_ही_हराना_है...! #मै_भीड़_नहीं_हूँ_दुनिया_की, #मेरे_अन्दर_एक_ज़माना_है....!!☄</t>
  </si>
  <si>
    <t>Chandra</t>
  </si>
  <si>
    <t>Proud to be followed by Surya</t>
  </si>
  <si>
    <t>RT trendytradepd "RT CMEActiveTrader: Today’s need to know with Bob_Iaccino 1) Earnings week 2) Japan’s Election 3… https://t.co/VZZ5eQwMwu"</t>
  </si>
  <si>
    <t>akash pawar</t>
  </si>
  <si>
    <t>DharmvirJangra</t>
  </si>
  <si>
    <t>SANJARWAS @KPGBJP @naqvimuhtar</t>
  </si>
  <si>
    <t>Hon'blePMfollows @narendramodi @byadavbjp @AkbaruddinIndUN @RuchiraKamboj @S_MahajanLS @mepratap @ramkripalmp @vinitgoenka @gssjodhpur @cmohry, fb-AmitShah</t>
  </si>
  <si>
    <t>Peter Bayandin</t>
  </si>
  <si>
    <t>Fun Movies Fun Movies Fun Movies Fun Movies Fun Movies Fun Movies Fun Movies Fun Movies Fun Movies Fun Movies Fun Movies Fun Movies Fun Movies Fun Movies Fun</t>
  </si>
  <si>
    <t>Inky Mark</t>
  </si>
  <si>
    <t>RT @GrahameLucas: Shinzo Abe secures strong mandate in Japan's general election https://t.co/54LXRFpHWW</t>
  </si>
  <si>
    <t>dauphin,manitoba</t>
  </si>
  <si>
    <t>Retired MP(1997-2010/ 5 Parties),immigrant(3 gen.) China 1955,hometown Gilbert Plains,MB, teacher,bus,mayor of Dauphin,MB,rebel,wife Lynda Burelle,Roblin,2sons</t>
  </si>
  <si>
    <t>shivar shangari</t>
  </si>
  <si>
    <t>Amritsar</t>
  </si>
  <si>
    <t>प्रवीर</t>
  </si>
  <si>
    <t xml:space="preserve">भारत </t>
  </si>
  <si>
    <t>जय भारत, जय भवानी, हर हर महादेव। RTs किसी के विचारों का अनुमोदन नहीं है।</t>
  </si>
  <si>
    <t>LAXMAN GAUTAM</t>
  </si>
  <si>
    <t>shajil</t>
  </si>
  <si>
    <t>Santhosh</t>
  </si>
  <si>
    <t>Nation First. Jai Modi ji, Proud to be a Indian Working In Dubai</t>
  </si>
  <si>
    <t>Adithya</t>
  </si>
  <si>
    <t>Bolo Ram Ram Ram</t>
  </si>
  <si>
    <t>Bhakti Ramji Ki - Taqat Bhakton Ki Hindus only in Hindustan. Ram Krishna Hari</t>
  </si>
  <si>
    <t>aashish gupta</t>
  </si>
  <si>
    <t>A Hindu Nationalist, Convener of IT &amp; Social Media cell( BJP Moradabad),Tweets are personal, Retweets are not endorsement.</t>
  </si>
  <si>
    <t>Keshav Bhardwaj</t>
  </si>
  <si>
    <t>Mr.Praveen Desai</t>
  </si>
  <si>
    <t>Ratnagiri, India</t>
  </si>
  <si>
    <t>BJYM Social Media District President,Ratnagiri.BE Automobile.BJP कार्यकर्ता,गुरू अटलजी के विचार का पालन करनेवाला कार्यकर्ता, RTs aren't endorsement</t>
  </si>
  <si>
    <t>Mr Hagan-Lingfield C</t>
  </si>
  <si>
    <t>Nikkei hits new highs after Japan election https://t.co/MrFgpSkvgB</t>
  </si>
  <si>
    <t>Business tweets picked out for you! Warning: Some sensitive content + No political bias intent.No other use for account and NO re-tweets, follows... accepted.</t>
  </si>
  <si>
    <t>Jaydev Dave</t>
  </si>
  <si>
    <t>Aceface</t>
  </si>
  <si>
    <t>News SummedUp Kenya</t>
  </si>
  <si>
    <t>Shinzo Abe sweeps to resounding victory in Japan snap election https://t.co/dY1UqdBj3v</t>
  </si>
  <si>
    <t>Get yourself covered by News Summed Up! Email us at aprilinnovationslab@gmail.com Download now https://t.co/5vDRNSUuRg</t>
  </si>
  <si>
    <t>sabudana_vada</t>
  </si>
  <si>
    <t>@$|-|W@|\|I🇮🇳💝</t>
  </si>
  <si>
    <t>ॐ नमो भगवते वासुदेवाय B.E(CIVIL) DELHI UNIVERSITY #MODI supporter #PROUDINDIAN #PROUDHINDU देश भक्ति खून में है</t>
  </si>
  <si>
    <t>MAX Security</t>
  </si>
  <si>
    <t>Shinzo Abe secures strong mandate in #Japan's general election | World news | The Guardian https://t.co/hTN0ugwnN7</t>
  </si>
  <si>
    <t>Europe,Middle East,Africa,Asia</t>
  </si>
  <si>
    <t>Real-time, insightful intelligence combined with on-ground operational capabilities is the synergy that sets us apart. Learn more: https://t.co/TbZ6fVj1Hi</t>
  </si>
  <si>
    <t>ram naresh</t>
  </si>
  <si>
    <t>India First/Swabhimani Bharat</t>
  </si>
  <si>
    <t>Swapnil Pathre 🇮🇳</t>
  </si>
  <si>
    <t>Malegaon, Maharashtra</t>
  </si>
  <si>
    <t>Convener: BJP IT Cell Nashik Dist. Blessed &amp; Honoured to be followed by @AmitShah ji, Union Minister @DrSubhashMoS @ahir_hansraj @JaykumarRawal , @sanghaviharsh</t>
  </si>
  <si>
    <t>Subhankar Biswas</t>
  </si>
  <si>
    <t>Rembert Pineda</t>
  </si>
  <si>
    <t>RT @AnlaboTsong: Malacañang on Monday congratulated Japanese Prime Minister Shinzo Abe following his big election victory, saying... https:…</t>
  </si>
  <si>
    <t>Manal Guindi</t>
  </si>
  <si>
    <t>Ottawa, Canada</t>
  </si>
  <si>
    <t>يا سيد أعطني هذا الماء لكي لا أعطش ولا آتي إلى هنا لأستقي. يو 4: 15</t>
  </si>
  <si>
    <t>Bhak Be</t>
  </si>
  <si>
    <t>ए भाई कोई है। RT समर्थित नहीं है भाई।</t>
  </si>
  <si>
    <t>अमित प्रजापति</t>
  </si>
  <si>
    <t>मेरठ उत्तर प्रदेश क्रांति धरा</t>
  </si>
  <si>
    <t>देश के लिये जिए समाज के लिये जिए समाज के लिये जिये, ये धड़कने ये श्वास हो पुण्य भूमि के लिये, मात्रभूमि के लिये</t>
  </si>
  <si>
    <t>Brijm0han Mudhotia</t>
  </si>
  <si>
    <t>Datia, India</t>
  </si>
  <si>
    <t>सोशल वर्कर</t>
  </si>
  <si>
    <t>चंद्रभूषण राजावत</t>
  </si>
  <si>
    <t>Nothing about 'Bio' coz i m a maths student, follow back leke unfollow karne waale dur rahe 😉😉 followed by @piyushGoyaloffc tweets likes mai</t>
  </si>
  <si>
    <t>波平の１本毛をフライにして食べたい</t>
  </si>
  <si>
    <t>材料 （ 2 人分 ） 波平の１本毛 コショウ少々 衣 小麦粉大さじ1 溶き卵1/2個分 パン粉1/2カップ タルタルソース ゆで卵(固ゆで)1個 玉ネギ(みじん切り)1/8個分 マヨネーズ大さじ1.5 粒マスタード小さじ1/2 塩コショウ少々 レモン1/4個 揚げ油</t>
  </si>
  <si>
    <t>RT @astrosunil20121: Abe vows to 'firmly deal' with North Korea after landslide Japan election victory | SBS News https://t.co/2L0WgzkJiN</t>
  </si>
  <si>
    <t>Sudhan Das</t>
  </si>
  <si>
    <t>I am Rock star</t>
  </si>
  <si>
    <t>Victoria Kimenye</t>
  </si>
  <si>
    <t>Namanga</t>
  </si>
  <si>
    <t>A small town girl. Lover of people, food and bringing the 2 together at Marigold Park, Namanga, Kenya.</t>
  </si>
  <si>
    <t>Kaushal Kumar Yadav</t>
  </si>
  <si>
    <t>Ankit Bhaliya</t>
  </si>
  <si>
    <t>CHANDRAKUMAR</t>
  </si>
  <si>
    <t>Varundeepsingh</t>
  </si>
  <si>
    <t>WORDLNEWS</t>
  </si>
  <si>
    <t>Japan's Abe to push pacifist constitution reform after strong election win https://t.co/jgnQIoa9eC #worldnews #news #breakingnews</t>
  </si>
  <si>
    <t>TOP NEWS.</t>
  </si>
  <si>
    <t>Shivay</t>
  </si>
  <si>
    <t>Priya 🇮🇳</t>
  </si>
  <si>
    <t>Proud Indian, Proud Hindu, NaMo, BJP supporter, RTs are not endorsements.</t>
  </si>
  <si>
    <t>देशी दारू</t>
  </si>
  <si>
    <t>HMP Head Quaters, 😁 Earth</t>
  </si>
  <si>
    <t>Шiηd Tαℓkεя!</t>
  </si>
  <si>
    <t>Anjanaabh</t>
  </si>
  <si>
    <t>Yes, I Fucking Am! I Exist In Your Mind! I Exist Because You Imagine I Do!</t>
  </si>
  <si>
    <t>Rajesh Wadhwa</t>
  </si>
  <si>
    <t>Office of Intolerant</t>
  </si>
  <si>
    <t>Conservative</t>
  </si>
  <si>
    <t>XPeaceful</t>
  </si>
  <si>
    <t>Suits Filed in Japan to Nullify Lower House Election https://t.co/vZPCPtYHNq</t>
  </si>
  <si>
    <t>Jo Alexander</t>
  </si>
  <si>
    <t>Blogger, Poetry &amp; Writing Arts, Fashion News &amp; Informational Arts, Consumerism</t>
  </si>
  <si>
    <t>abhishek singhal</t>
  </si>
  <si>
    <t>foodie, centre right ideology,Hindu by birth and choice,Political Blogger,Amazed by aviation and a globetrotter, idolise Tintin,RTs are not endorsements</t>
  </si>
  <si>
    <t>Barry Burden</t>
  </si>
  <si>
    <t>Abe's LDP majority appears the biggest since the party was founded. https://t.co/Q42c0Uq35w https://t.co/OdVPiVqlGy</t>
  </si>
  <si>
    <t>Madison, WI</t>
  </si>
  <si>
    <t>Professor of Political Science. Director of @electionscenter. First gen college grad. Has been known to Tweet irregularly.</t>
  </si>
  <si>
    <t>alex gamalinda</t>
  </si>
  <si>
    <t>san Diego,california</t>
  </si>
  <si>
    <t>"ALWAYS MAKE THE BEST DAY OF ALL TIMES " aircraft maintenance Engineer graduate 1976,work in abroad as Electrical Tech and maint supervisor different countries.</t>
  </si>
  <si>
    <t>Dev Shukla</t>
  </si>
  <si>
    <t>Lifestyle</t>
  </si>
  <si>
    <t>FPI</t>
  </si>
  <si>
    <t>.@motokorich on Japan election results https://t.co/B4alyniAmp https://t.co/WzRxo2aH2w</t>
  </si>
  <si>
    <t>Changing the ratio. Amplifying female voices. Interrupting Foreign Policy. Co-founding Interruptors: @EndeavoringE @LaurenBohn Holler: info@fpinterrupted.com</t>
  </si>
  <si>
    <t>Omar Vera</t>
  </si>
  <si>
    <t xml:space="preserve">New York, NY, USA </t>
  </si>
  <si>
    <t>Official Twitter Profile of Omar Vera, an enthusiastic and very outgoing young person, a fan of subway systems, and advocates for better transit and much more.</t>
  </si>
  <si>
    <t>एक आदमी</t>
  </si>
  <si>
    <t>लखनऊ, भारत</t>
  </si>
  <si>
    <t>उत्तम जीवन के लिए, उत्तम करो विचार। जो खुद को लगता बुरा, मत कर वह व्यवहार।।</t>
  </si>
  <si>
    <t>Ajoy Chatterjee</t>
  </si>
  <si>
    <t>NW Arkansas, US</t>
  </si>
  <si>
    <t>#India, that is #Bharat; South Asia enthusiast @SACRIR; IT-wallah @AjoyCTech; #SingleMalt at sunset; saffron dreams; prayers for free #Tibet &amp; #Balochistan</t>
  </si>
  <si>
    <t>Mp</t>
  </si>
  <si>
    <t>Nirapad News</t>
  </si>
  <si>
    <t>After election win, Abe prioritizes North Korea, aging Japan https://t.co/5531cb9LL4</t>
  </si>
  <si>
    <t>Morgan Stanley</t>
  </si>
  <si>
    <t>Post-election growth policies crucial for Japan PM, Robert Feldman, MS Senior Advisor in Japan says @bsurveillance https://t.co/8xIlZGCjv9</t>
  </si>
  <si>
    <t>Official Twitter account of Morgan Stanley. We provide a range of investment banking, securities, investment management &amp; wealth management services worldwide.</t>
  </si>
  <si>
    <t>Alex Cena</t>
  </si>
  <si>
    <t>Post-election growth policies crucial for Japan PM, Robert Feldman, MS Senior Advisor in Japan says bsurveillance https://t.co/fqXgeLlW7B</t>
  </si>
  <si>
    <t>Dallas, TX</t>
  </si>
  <si>
    <t>Alex Cena, Financial Therapist | Personal CFO | Dallas | New York | California | Texas | Outdoor Enthusiast | Photographer</t>
  </si>
  <si>
    <t>Pepe Fdez-Albertos</t>
  </si>
  <si>
    <t>RT @bcburden: Abe's LDP majority appears the biggest since the party was founded. https://t.co/Q42c0Uq35w https://t.co/OdVPiVqlGy</t>
  </si>
  <si>
    <t>Soy politólogo, hablo de política y economía, y escribo en el blog Piedras de Papel. https://t.co/lQ0MzP4cmT</t>
  </si>
  <si>
    <t>Al</t>
  </si>
  <si>
    <t>After election win, Abe prioritizes North Korea, aging Japan https://t.co/HEKZsKzQXo https://t.co/tZFwCIxjzW</t>
  </si>
  <si>
    <t>Pittsburgh</t>
  </si>
  <si>
    <t>Ask Me a QUESTION</t>
  </si>
  <si>
    <t>Lorenzo Bukot2x Village</t>
  </si>
  <si>
    <t>Isang Bagay lng gusto ko ay maging bagay tayo! BWAHAHAHAHA!!</t>
  </si>
  <si>
    <t>Bullseye FX</t>
  </si>
  <si>
    <t>New post (What Next For Japan After the Election?) has been published on BullseyeFX - https://t.co/O1OYdEZGbV https://t.co/iHcc8M1mCs</t>
  </si>
  <si>
    <t>bullseyefx</t>
  </si>
  <si>
    <t>Free Forex Signals On Twitter! Follow us and you will receive live updates and free Forex signals. Average over 600 pips per month...</t>
  </si>
  <si>
    <t>deepika padhi</t>
  </si>
  <si>
    <t>balasore</t>
  </si>
  <si>
    <t>いまかぶFX</t>
  </si>
  <si>
    <t>RT @MorganStanley: Post-election growth policies crucial for Japan PM, Robert Feldman, MS Senior Advisor in Japan says @bsurveillance https…</t>
  </si>
  <si>
    <t>トレード（ドル円、ユーロ円、ユーロドル、個別、先物）と英語が趣味です。スイーツと紅茶が好き。ワイン。(≧ω≦)</t>
  </si>
  <si>
    <t>Dr Anish Kumar™</t>
  </si>
  <si>
    <t xml:space="preserve">South Pole </t>
  </si>
  <si>
    <t>Doctor(Physician) । Avid Traveler | BJP Supporter|Blessed to be Followed by Shri @narendramodi Ji|AAPtards stay away |Sachin Fan |</t>
  </si>
  <si>
    <t>Nigel Tharpe</t>
  </si>
  <si>
    <t>Virginia Maria</t>
  </si>
  <si>
    <t>RT @mattakaneko: PM Lee Hsien Loong congratulates Japan's Shinzo Abe on Lower House election victory https://t.co/fQxePf26xs</t>
  </si>
  <si>
    <t xml:space="preserve">Jaén </t>
  </si>
  <si>
    <t>Estudiante PP / TRUMP / EU / DONALD TUSK Camarera Fan Asot / Family Trance / Armin Van Buuren /GO/ MGX / TSFIT / HWONAIR/GOONAIR/ ASOT 532 etc....</t>
  </si>
  <si>
    <t>Asako</t>
  </si>
  <si>
    <t>harpsichordist and collaborative pianist, vocal coach ❤️推理小説、漱石、珈琲、スィーツ, 猫、https://t.co/uNvKdueEkt</t>
  </si>
  <si>
    <t>V.Praveen Aravind</t>
  </si>
  <si>
    <t>Bharat 🇮🇳</t>
  </si>
  <si>
    <t>V.Praveen Aravind B.A.B.L., Advocate | Nation 🇮🇳 First Everything Next | @RSSorg SwayamSevak | PM : @narendramodi | Instagram : @iam_praveen1995</t>
  </si>
  <si>
    <t>yayoi</t>
  </si>
  <si>
    <t>B'z、玉木宏、藤木直人のFCに入会しています♡伊勢谷友介、西島秀俊のファンです♥皇室ご一家、Princess Diana、世界のRoyal Family大好きです♪アイコンをひんぱんに変更していますが特に意味はありません、気まぐれです☆</t>
  </si>
  <si>
    <t>Mohd Alfaiz</t>
  </si>
  <si>
    <t>I'm the king of Romance</t>
  </si>
  <si>
    <t>Pete Smalls</t>
  </si>
  <si>
    <t>Congratulations! #PrimeMinister, #ShinzoAbe. Your resounding #victory in #Japan's #Parliament-ary #election-s... https://t.co/A5FcnOB5Se</t>
  </si>
  <si>
    <t>New York, NY, USA</t>
  </si>
  <si>
    <t>Music has played a major role in my life; and that goes for all types of music - Classics, Pop, R&amp;B, etc., but none has fascinated me more than Hip-Hop.</t>
  </si>
  <si>
    <t>Kuldeep Sancheti</t>
  </si>
  <si>
    <t>BJYM</t>
  </si>
  <si>
    <t>Mary Ann Mann</t>
  </si>
  <si>
    <t>Hi I am a mother, wife, and retired nurse! I enjoy twitter, luv messaging with positive people! Most of all I'm a THERESA and LARRY CAPUTO'S FAN!</t>
  </si>
  <si>
    <t>Gondaliya Ashvin</t>
  </si>
  <si>
    <t>I am big fan for @narendrmodi ji..... BJYM #BJP_IT_CELL (Co-convener - Surat)</t>
  </si>
  <si>
    <t>SHRIKANT PRASAD</t>
  </si>
  <si>
    <t>I love my India. Bharat Mata ki Jai वन्दे मातरम्‌ 🇮🇳🇮🇳🇮🇳</t>
  </si>
  <si>
    <t>Prem</t>
  </si>
  <si>
    <t>Sumit Kumar</t>
  </si>
  <si>
    <t>Shinzo Abe’s Japan election win lifts world stocks, dollar https://t.co/LjKKWgICVJ</t>
  </si>
  <si>
    <t>Manager - LAP | Volleyball &amp; Cricket lover | Tweets are personal | Social Worker in NGOs | BIT Sindri | IMNU Ahmedabad</t>
  </si>
  <si>
    <t>CSIS</t>
  </si>
  <si>
    <t>Why Japan’s Prime Minister called a snap election a year ahead of schedule https://t.co/iIdbsl6LQG</t>
  </si>
  <si>
    <t>A bipartisan institution founded in 1962, CSIS is the world's #1 defense &amp; national security think tank. Now on Medium: https://t.co/lpgn4SvzfQ</t>
  </si>
  <si>
    <t>Badri Narain Upadhya</t>
  </si>
  <si>
    <t>Shivpur,Ballia,UP, India</t>
  </si>
  <si>
    <t>Japan's Abe to push pacifist constitution reform after strong election win https://t.co/RGfmUrxhK1</t>
  </si>
  <si>
    <t>Ajay Singh Rawat</t>
  </si>
  <si>
    <t>MBA &amp; Cost &amp; Management Accountant (CMA). Manager (F&amp;A). #DigitalIndia #MakeinIndia. Tweets = opinion.... Retweet = nt endorsement</t>
  </si>
  <si>
    <t>Japan's Abe vows to put education spending before budget balance https://t.co/wn58MaJSVP</t>
  </si>
  <si>
    <t>paddlinginpaddy</t>
  </si>
  <si>
    <t xml:space="preserve">京都 / Kyoto Japan　</t>
  </si>
  <si>
    <t>ハタ・ヨガ 瞑想 森 川 鳥 植物 動物 人間の尊厳 適正技術 歩くこと 自然食 平和 自由 読書 ネット記事URLの拡散ツイート中、非選択自動的に設定された写真の拡散を防ぐため、 1箇所だけ記号 . を使用してません。参照される場合は、"DOT"を . に変えて入力してください。</t>
  </si>
  <si>
    <t>saisavitri</t>
  </si>
  <si>
    <t>Samastha Lokah Sukhino Bhavantu 〜May all the beings in all the worlds be happy and peaceful〜 美しき日本は、太古からの日本独自の精神性と文化があってこそ、万年かけて進化し受け継がれてきた。和魂を大切にし、清らかな地を守りたい。</t>
  </si>
  <si>
    <t>@lalauraru777</t>
  </si>
  <si>
    <t>Passionate advocate for plight of elephants, pro-conservation. 100% TRUMP-PENCE, fiscally conservative. Lover of beautiful things &amp; places.Don't put me on list,</t>
  </si>
  <si>
    <t>Dushyant Chopra</t>
  </si>
  <si>
    <t>DRISHTIKONE MEDIA</t>
  </si>
  <si>
    <t>Ryan AhiR</t>
  </si>
  <si>
    <t>R Jagannathan</t>
  </si>
  <si>
    <t>Editorial Director of Swarajya. Earlier editor at Firstpost &amp; Forbes India. The views expressed are purely personal. Not all retweets are endorsements.</t>
  </si>
  <si>
    <t>Rajesh Jaswal</t>
  </si>
  <si>
    <t>There is nothing like ''Busy'', it's all about ''Priorities''</t>
  </si>
  <si>
    <t>AshokChaturvedi.</t>
  </si>
  <si>
    <t>Behar; India.</t>
  </si>
  <si>
    <t>!! हिन्दुस्तानी :-: राष्ट्रभक्त !! #Hearer...of...#Heart. #Fan.....of.....#Truth.</t>
  </si>
  <si>
    <t>vishalkumar</t>
  </si>
  <si>
    <t>Sijua, India</t>
  </si>
  <si>
    <t>City A.M.</t>
  </si>
  <si>
    <t>Japan's stock market greets Abe election win with two-decade high https://t.co/laJT7qaGb4 https://t.co/ZW4lIRPu09</t>
  </si>
  <si>
    <t>Business with personality. For all distribution queries, see @CityAMDist. For work experience, see https://t.co/dXh18fB8fe</t>
  </si>
  <si>
    <t>Don Johnston (LC)</t>
  </si>
  <si>
    <t>CSIS: Why Japan’s Prime Minister called a snap election a year ahead of schedule https://t.co/emNzc8Krxi</t>
  </si>
  <si>
    <t>Don Johnston | Co-Founder @LimaCharlieNews Entrepreneur | U.S. Army Combat Veteran Nonpartisan | Your Feelings ≠ Reality</t>
  </si>
  <si>
    <t>Dr. Nitin Tyagi</t>
  </si>
  <si>
    <t>Proud Bhartiya, B.A.M.S. Doctor, Hindu nationalist, politics, Tweets r my own, RT ≠ endorsement</t>
  </si>
  <si>
    <t>Yinan He</t>
  </si>
  <si>
    <t>Japan Election Vindicates Shinzo Abe as His Party Wins Big https://t.co/wuel5Z1fWv</t>
  </si>
  <si>
    <t>International relations professor at Lehigh University. Author of The Search for Reconciliation: Sino-Japanese and German-Polish Relations since World War II</t>
  </si>
  <si>
    <t>TheUrbanNewz</t>
  </si>
  <si>
    <t>Japan Election Victory Gives Abe Mandate For Reform https://t.co/T1H8MV6uZy https://t.co/Yq2P5kzOt4</t>
  </si>
  <si>
    <t>Keeping you informed, enlightened, up to date and experienced. #News #Sports #Music #Style #Food #Cars #Money #HumanInterest</t>
  </si>
  <si>
    <t>時田憲一（本人）</t>
  </si>
  <si>
    <t>RT @CSIS: Why Japan’s Prime Minister called a snap election a year ahead of schedule https://t.co/iIdbsl6LQG</t>
  </si>
  <si>
    <t>Japan 岐阜県 / 名古屋大学</t>
  </si>
  <si>
    <t>心理学者/カウンセラー。https://t.co/8YLXeRlc4x ←ホームページ 名古屋大学/教育学部/心理発達科学。看護師ほか社会福祉士・医療SW(見込)取得。自己愛人格研究/データサイエンス数理統計が主。病院勤務。読書/投資/自作PCが趣味。中道リバータリアンの愛郷ポピュリスト。清和天皇系の子孫。禅宗。</t>
  </si>
  <si>
    <t>Channels Television</t>
  </si>
  <si>
    <t>Trump Calls Japan's Abe, Congratulates Him On Election Victory. https://t.co/YcGlyZ3Rge https://t.co/F3xqANTZ1Z</t>
  </si>
  <si>
    <t>ctv-auto-tweet</t>
  </si>
  <si>
    <t>Channels Television is one of the 13 independent television stations currently broadcasting in Nigeria.</t>
  </si>
  <si>
    <t>RT @nytimesworld: Shinzo Abe's party is on the road to a major victory in Japan's elections, early projections show https://t.co/Risa5hshi2</t>
  </si>
  <si>
    <t>✴️Asteris✴️</t>
  </si>
  <si>
    <t>RT @ReutersTV: Shinzo Abe's risky snap election pays off as the Japanese prime minister cruises to victory: https://t.co/pRzHcWx7UN https:/…</t>
  </si>
  <si>
    <t>Tweets are my opinions. Not responsible for tweets received/retweeted. No lists. DON'T FIGHT! UNITE!</t>
  </si>
  <si>
    <t>Manthak</t>
  </si>
  <si>
    <t>Shinzo Abe’s Japan election win lifts world stocks, dollar https://t.co/VcsvbrCrb7</t>
  </si>
  <si>
    <t>Ordinary Human Being..!</t>
  </si>
  <si>
    <t>Sagara Lotus</t>
  </si>
  <si>
    <t>Fresh From Election Victory, Will Shinzo Abe Get People’s Support for Constitutional Revision? https://t.co/0AhXTHzpad</t>
  </si>
  <si>
    <t>読書と歴史が好きなインドア派。 最近、美術館巡りが趣味になってます。</t>
  </si>
  <si>
    <t>भारत की विजय 16 मई</t>
  </si>
  <si>
    <t>ॐनमोॐ भक्त|संघी Followedby @byadavbjp @vinitgoenka @upadhyaysbjp @MLekhiOffice @DrPremKumarBJP @TheRahulMahajan @ramkripalmp @AshwiniKChoubey @PiyushGoyalOffc</t>
  </si>
  <si>
    <t>lewayusuf</t>
  </si>
  <si>
    <t>RT @channelstv: Trump Calls Japan's Abe, Congratulates Him On Election Victory. https://t.co/YcGlyZ3Rge https://t.co/F3xqANTZ1Z</t>
  </si>
  <si>
    <t>ikorodu lagos</t>
  </si>
  <si>
    <t>Hina✨</t>
  </si>
  <si>
    <t>❤Proud to be a Nakshholic❤A yrkkhfan 💕Love my Hiran - Hina &amp; Karan💕Kareena❤Alia❤Ranbir❤Salman</t>
  </si>
  <si>
    <t>Prof @SheilaSmithCFR quoted in "#Japan Election Vindicates #ShinzoAbe as His Party Wins Big" | New York Times https://t.co/z529qV1sSC</t>
  </si>
  <si>
    <t>iownbatman</t>
  </si>
  <si>
    <t>https://t.co/ze08TyKN88 https://t.co/HiDgxHIeYx https://t.co/u2SqmD5ZqR</t>
  </si>
  <si>
    <t>ﾀﾞﾀﾞ･出腹</t>
  </si>
  <si>
    <t>Kumamoto, Japan</t>
  </si>
  <si>
    <t>1980's ♂ 2016.04.14 21:26 熊本地震前震で被災。2016.04.16 01:25 本震で負傷。リハビリ中。肉球新党 #ANTIFA</t>
  </si>
  <si>
    <t>Global Issues Web</t>
  </si>
  <si>
    <t>Japan Election Victory Gives Abe Mandate For Reform https://t.co/UnIjOMS7au https://t.co/a5f1c8rk1o</t>
  </si>
  <si>
    <t>Los Angeles, California, USA</t>
  </si>
  <si>
    <t>Forum on Global Issues, Geography, and Culture. In the interests of economic justice, sustainable development and universal human welfare.</t>
  </si>
  <si>
    <t>Asif</t>
  </si>
  <si>
    <t>#Money Japan Q&amp;A: why Abe’s victory cheers investors - Shinzo Abe’s third election victory by no means solves J... https://t.co/xGZ6C9Lo6E</t>
  </si>
  <si>
    <t>MD @PMA_Accountants in Wanstead, East London. Photographer. Supporter of Liverpool FC. Also @ https://t.co/6y05Zg9LeN</t>
  </si>
  <si>
    <t>Hans</t>
  </si>
  <si>
    <t>Vienna, Virginia</t>
  </si>
  <si>
    <t>Entrepreneur, Day Trader, Conservative, Game Developer, CUA grad, Tech Enthusiast with a love for Business and European Cars</t>
  </si>
  <si>
    <t>Santosh Das</t>
  </si>
  <si>
    <t>Bhubaneshwar, Orissa</t>
  </si>
  <si>
    <t>Let's work hard so that we can make our country the best place in the world to live.</t>
  </si>
  <si>
    <t>Public Situation</t>
  </si>
  <si>
    <t>Public Situation App</t>
  </si>
  <si>
    <t>Cyprus</t>
  </si>
  <si>
    <t>Preconceptions, exposes amazing new facts and discoveries, explores different perspectives, and inspires you to..</t>
  </si>
  <si>
    <t>Subramaniam Umapathy</t>
  </si>
  <si>
    <t>Libi Puerto Granados</t>
  </si>
  <si>
    <t>Hija de Dios. De mis padres aprendí humildad y servicio, de mi Señor Jesucristo aprendía a servir sin hacer acepción de personas.</t>
  </si>
  <si>
    <t>Southeast Asia News</t>
  </si>
  <si>
    <t>Japan Election Victory Gives Abe Mandate For Reform - The ruling coalition scores a two-thirds majority in the ... https://t.co/tlu8giR2Zr</t>
  </si>
  <si>
    <t>Southeast Asia News from Burma, Thailand, Laos, Cambodia, Malaysia, Vietnam, Indonesia, Brunei, Philippines &amp; beyond curated by @browngoesaround #AsianStudies</t>
  </si>
  <si>
    <t>Agnostic Hindu</t>
  </si>
  <si>
    <t>Dallas Tx</t>
  </si>
  <si>
    <t>a cultural Hindu proud of our moral, scientific &amp; aesthetic contribution to the world and have enough sense to condemn our inherit racism and misogyny</t>
  </si>
  <si>
    <t>LALIT SHARMA</t>
  </si>
  <si>
    <t>Bhakt. Pessimist. Followed by chancellor of USA,President of UK&amp; PM of Germany</t>
  </si>
  <si>
    <t>Suresh Sadagopan</t>
  </si>
  <si>
    <t>Certified Financial Planner, Columnist, Thinker, Founder - Ladder7 Financial Advisories.</t>
  </si>
  <si>
    <t>A Banker who loves gardening...</t>
  </si>
  <si>
    <t>MANOJ KUMAR</t>
  </si>
  <si>
    <t>Saurabh Chamoli</t>
  </si>
  <si>
    <t>India 1st/3rdWorldThinker/Some tweets r strictly 4 public consumption. RT is certainly an endorsement.</t>
  </si>
  <si>
    <t>मनचला</t>
  </si>
  <si>
    <t>Trying to be someone..</t>
  </si>
  <si>
    <t>NAVARRE MEDIA</t>
  </si>
  <si>
    <t>After election win, Abe prioritizes North Korea, aging Japan (from @AP) https://t.co/tQjxlJk68E</t>
  </si>
  <si>
    <t>South Central , Louisiana</t>
  </si>
  <si>
    <t>Sharing Information on Domestic, National , and World News Events ! Thank You In Advance To All Who Follow. Welcome !</t>
  </si>
  <si>
    <t>Ashok Malik</t>
  </si>
  <si>
    <t>RT @Make_Me_Aware: Japan’s Abe Cements Hold on Power With Election Win @WSJ #JapanDecides #JapanElection #ShinzoAbe #news #MakeMeAware http…</t>
  </si>
  <si>
    <t>Media person, Trend-spotter. Dr BR Ambedkar: "If suppressed classes convert to Islam/Christianity, they'll no longer remain Indian.They become denationalized"</t>
  </si>
  <si>
    <t>RT @CameronAhmad: Congratulating Japan's PM @AbeShinzo on his election victory: https://t.co/RgtVlUsBpc #CdnPoli #polcan</t>
  </si>
  <si>
    <t>Sahaj Agrawal</t>
  </si>
  <si>
    <t>political enthusiast, cricket lover. BHARAT MATA KI JAI</t>
  </si>
  <si>
    <t>Siba Soumendra</t>
  </si>
  <si>
    <t>Madrid Exterior</t>
  </si>
  <si>
    <t>PM Justin Trudeau congratulates Prime Minister Shinzo Abe on his victory in yesterday’s general election in Japan: https://t.co/DFslhgjx1M…</t>
  </si>
  <si>
    <t>#Noticias e #Información de #Actualidad para #invertir en #Madrid. Director: @fmarin_ES También en @Estrellas_Siete, @InfluyenMadrid y @Marca_Madrid_</t>
  </si>
  <si>
    <t>Rahul Bhatia</t>
  </si>
  <si>
    <t>Big data and programmatic advertising professional</t>
  </si>
  <si>
    <t>Justin Sabir</t>
  </si>
  <si>
    <t>Microbiologist , Undergraduate Researcher, Computer programmer , Web Graphic designer &amp; Genetic Engineer. [Facebook: @itsJustinS]</t>
  </si>
  <si>
    <t>cyrus</t>
  </si>
  <si>
    <t>I love IRGC</t>
  </si>
  <si>
    <t>Indian Stocks Update</t>
  </si>
  <si>
    <t>Shinzo Abe’s Japan election win lifts world stocks, dollar https://t.co/vcFfvGHY4l</t>
  </si>
  <si>
    <t>GoogleScriptToTweet</t>
  </si>
  <si>
    <t>Automatically tweeting latest news about Indian Share Market from Google News (This is not a stock broker/advisor) #BSE #NSE #SENSEX #Investing</t>
  </si>
  <si>
    <t>Prasad🇮🇳</t>
  </si>
  <si>
    <t>I am Bharatiya. Nationalist. Proud Hindu. PM Modi bhakt. Balasahebancha sainik.</t>
  </si>
  <si>
    <t>Ashwani Tyagi</t>
  </si>
  <si>
    <t>akinsowon olusegun</t>
  </si>
  <si>
    <t>Trump Calls Japan's Abe, Congratulates Him On Election Victory. https://t.co/x1F9KGN9jn https://t.co/MIJi2w46Iz</t>
  </si>
  <si>
    <t>ilorin Nigeria</t>
  </si>
  <si>
    <t>I am an anaesthetist. I try to make surgical operation safe, comfortable and make the outcome acceptable to my patients. Follow me for all the latest happenings</t>
  </si>
  <si>
    <t>vinod ghai</t>
  </si>
  <si>
    <t>Chandra Shekhar Tiwa</t>
  </si>
  <si>
    <t>I am god loving person, I like good thoughts &amp; like god related photos also nature pics</t>
  </si>
  <si>
    <t>ShantiChennai</t>
  </si>
  <si>
    <t>Praying for NaMo 2019!</t>
  </si>
  <si>
    <t>Ashiana Lucknow, Uttar Pradesh</t>
  </si>
  <si>
    <t>Pankaj Kr Gupta https://t.co/In7vBKd4qh NIT Bhopal Academic Mentor n Faculty 4 IIT-JEE Entrance Modi Bhakt n Great Believer in Sprituality</t>
  </si>
  <si>
    <t>ViMo@gujjuVimo</t>
  </si>
  <si>
    <t>Politicians and Pol Parties</t>
  </si>
  <si>
    <t>Blogs of War</t>
  </si>
  <si>
    <t>Japan Election Victory Gives Abe Mandate For Reform https://t.co/nljIuiXO7A</t>
  </si>
  <si>
    <t>John W. Little: conflict, tech, intelligence, &amp; miscellanea. Host of the @CovertContact national security podcast. @IFTF Fellow.</t>
  </si>
  <si>
    <t>Marina Meadows</t>
  </si>
  <si>
    <t>#Monday October23rd #Japan's PM #Abe general election in #Tokyo https://t.co/2DR8iCOHFb</t>
  </si>
  <si>
    <t>Accidental2014CandidateCommish MD-Fla-D10 Turned👻#Silenced by #crookedMEDIA &amp;Special Interests @mycampaign2014 Advocacy:Protect/Voice #Truthtellers Nonpartisan</t>
  </si>
  <si>
    <t>ILoveIndia</t>
  </si>
  <si>
    <t>Indian!!!</t>
  </si>
  <si>
    <t>सोनीसुलोचना शर्मा🕉️</t>
  </si>
  <si>
    <t>New Delhi, India,,🇮🇳🇮🇳🇮🇳</t>
  </si>
  <si>
    <t>भारतीय होने पर गर्व , हिन्दुत्व की रक्षा, बेटी बचाओ बेटी पढ़ाओ 👧👏✍️ 🚩🚩 जय श्री राम 🚩🚩 🕉️</t>
  </si>
  <si>
    <t>Alistair MacFadyen</t>
  </si>
  <si>
    <t>RT @CityAM: Japan's stock market greets Abe election win with two-decade high https://t.co/laJT7qaGb4 https://t.co/ZW4lIRPu09</t>
  </si>
  <si>
    <t>Consultant</t>
  </si>
  <si>
    <t>Biju Nair</t>
  </si>
  <si>
    <t>I am proud to belong to a religion which has taught the world both tolerance and universal acceptance.</t>
  </si>
  <si>
    <t>楓</t>
  </si>
  <si>
    <t>日韓法的地位協定に基づく協議の結果に関する覚書の破棄！</t>
  </si>
  <si>
    <t>Vinay Mauj</t>
  </si>
  <si>
    <t>YYCFLFedLiberal</t>
  </si>
  <si>
    <t>Calgary, Alberta</t>
  </si>
  <si>
    <t>The official twitter of The Liberal Party of Canada in Calgary Forest Lawn</t>
  </si>
  <si>
    <t>Yukko</t>
  </si>
  <si>
    <t>この青い惑星 wherever i am</t>
  </si>
  <si>
    <t>機械の扱いと流行に疎いです～ an Asian girl with glittering obsidianlike eyes and silky black hair 正在治疗睡眠障碍. used to be sort of alcoholic.only sort of.</t>
  </si>
  <si>
    <t>Dipak007</t>
  </si>
  <si>
    <t>Singapore, Singapore</t>
  </si>
  <si>
    <t>Amith 🇮🇳❤️🇮🇱</t>
  </si>
  <si>
    <t xml:space="preserve">1 AU, Hindustan </t>
  </si>
  <si>
    <t>RT @LivingOnChi: #Fukushima #TyphoonLan was engineered by the global elite so that PM Abe could win the election and take Japan nuclear aga…</t>
  </si>
  <si>
    <t>Debesh Majumdar</t>
  </si>
  <si>
    <t>Some like them hot. Some like them cold. Some don't like them at all. They are my tweets. Tweets are public but personal. RTs may or may not be endorsements.</t>
  </si>
  <si>
    <t>Kate Young</t>
  </si>
  <si>
    <t>London Ontario</t>
  </si>
  <si>
    <t>Member of Parliament for London West</t>
  </si>
  <si>
    <t>Nobel Mason ∴</t>
  </si>
  <si>
    <t>N. America</t>
  </si>
  <si>
    <t>- Ph.D. Aviation Security - Masters of Aviation Science - B. Sc. Computer Sc. &amp; Math. - Pilot (ATP) - Black Belt Kyusho Jitsu - Black Belt Hapkido-Brown Ishinr</t>
  </si>
  <si>
    <t>IlRagazzoGeopolitico</t>
  </si>
  <si>
    <t>Japan Election Victory Gives Abe Mandate For Reform https://t.co/Es1Irrvihr Sent from FeedLab</t>
  </si>
  <si>
    <t>Retweets = no endorsement</t>
  </si>
  <si>
    <t>Dr. Vishav</t>
  </si>
  <si>
    <t>カツオ(kaz_o)</t>
  </si>
  <si>
    <t>副首都　大阪</t>
  </si>
  <si>
    <t>自分の意見の分析と整理する置き場として始めました。普段がタメ口の人は遠慮なくどうぞ。アラフォー。ちょおカラクチにいきたいです。不定期更新。橋下徹氏、松井一郎氏、大阪維新応援! 偏読家(猪瀬直樹、石原慎太郎、田中康夫、苫米地英人、茂木健一郎、レイモンド・チャンドラー、大前研一、本田直之とか)。日本がどうなるかが心配です。</t>
  </si>
  <si>
    <t>VINAY KUMAR PATEL</t>
  </si>
  <si>
    <t>Allahabad U.P.INDIA</t>
  </si>
  <si>
    <t>Graduation University of Allahabad. (One Nation One Law). Nation first.I proud of Indian Army and I proud of Hindu. Follow me 100% follow back.</t>
  </si>
  <si>
    <t>Aditya Jha</t>
  </si>
  <si>
    <t>Lisi</t>
  </si>
  <si>
    <t>Venezolana in Canada.</t>
  </si>
  <si>
    <t>Gopal Prajapati</t>
  </si>
  <si>
    <t>Good think and good feel</t>
  </si>
  <si>
    <t>Ashok Kumar Dwivedy</t>
  </si>
  <si>
    <t>Ayodhya faizabad India</t>
  </si>
  <si>
    <t>Zila viklang bandhu/L.L.C FZD,SC/ST committee/E.C PDDUNIPPD MSJE/G.C.NILD/RJ.AIR/HR/Journalist/SAKSHM Awadh prant/BSNL/JJ visitor/DSCC Fzd/Adv</t>
  </si>
  <si>
    <t>Rainbow SW(A)T</t>
  </si>
  <si>
    <t>Not a criminal. Not a revolutionary. Not even a consumer. But if you want to take our most treasured things away, you WILL have another thing coming.</t>
  </si>
  <si>
    <t>Mohit Kabra</t>
  </si>
  <si>
    <t>Die-hard cricket fan, IITB alum, wannabe strategy consultant and part time arm chair expert on arm-chairing</t>
  </si>
  <si>
    <t>大和魂</t>
  </si>
  <si>
    <t>下町</t>
  </si>
  <si>
    <t>ただ自分の住んでる地域、国が好きなだけです。 外国人参政権反対。靖国に参拝しています。 先人に感謝。</t>
  </si>
  <si>
    <t>BGASC.com</t>
  </si>
  <si>
    <t>Dollar/yen hits three-month high after Japan ruling party's election win https://t.co/eabV4aZT4Y</t>
  </si>
  <si>
    <t>Fast. Reliable. Trusted. BGASC (Buy Gold And Silver Coins) is one of the largest, fastest, most trusted online precious metals suppliers in the U.S.</t>
  </si>
  <si>
    <t>Neymarridwan</t>
  </si>
  <si>
    <t>Oyo, Nigeria</t>
  </si>
  <si>
    <t>#politicalScientist</t>
  </si>
  <si>
    <t>Soumen Barman</t>
  </si>
  <si>
    <t>Logical Banda</t>
  </si>
  <si>
    <t>King</t>
  </si>
  <si>
    <t>AZ_Files</t>
  </si>
  <si>
    <t>Eurasie</t>
  </si>
  <si>
    <t>Les savants sont des gens qui, sur la route des choses inconnues, s'embourbent un peu plus loin que les autres</t>
  </si>
  <si>
    <t>FX IVY</t>
  </si>
  <si>
    <t>What Next For Japan After the Election? - MarketPulse (blog) https://t.co/1Sl3AvFHvK https://t.co/93sQ9kLiF3 #forex</t>
  </si>
  <si>
    <t>FOREX TRADER</t>
  </si>
  <si>
    <t>☯️</t>
  </si>
  <si>
    <t>#Art lover, Classical #dancer, geek, #blogger, Backpacker.Cyber Forensics from Aussie. into #yoga #meditation &amp; all for #lgbtq rights. RT Not Endorsement</t>
  </si>
  <si>
    <t>Shinzo Abe’s Japan election win lifts world stocks, dollar https://t.co/lzHaQuUVrP</t>
  </si>
  <si>
    <t>I.N.A. 99th Brigade</t>
  </si>
  <si>
    <t>Truth is bitter, knowledge is gold learn one to gain the other. Armchair analyst, conspiracy theory nut (specially ufo's), s/w, h/w tech addict &amp; a history buff</t>
  </si>
  <si>
    <t>Meme Christopher Udo</t>
  </si>
  <si>
    <t>Trump Calls Japan’s Abe, Congratulates Him On Election Victory https://t.co/BLLQQSuLFX</t>
  </si>
  <si>
    <t>Matt Lichtenstein</t>
  </si>
  <si>
    <t>Socialware Inc.</t>
  </si>
  <si>
    <t>Financial Advisor for Morgan Stanley for more information please visit my website. NMLS# 1395617</t>
  </si>
  <si>
    <t>JAPAN ELECTIONS - North Korea accuses Japan PM of preparing to invade Korea after re-election https://t.co/WHAlyoySoE</t>
  </si>
  <si>
    <t>Ville Kostian</t>
  </si>
  <si>
    <t>"#Japan Election Victory Gives #Abe Mandate For Reform" https://t.co/rObj9g2XQw</t>
  </si>
  <si>
    <t>Helsinki, Finland</t>
  </si>
  <si>
    <t>Geopolitics, geoeconomics and military.</t>
  </si>
  <si>
    <t>Dayalthomas</t>
  </si>
  <si>
    <t>Modi best PM-India</t>
  </si>
  <si>
    <t>Our country is finally in safe hand of patriotic &amp; hardworking PM Modi. in 3+ years, all Indians are feeling thrilled &amp; all credit goes to our great PM Modi.</t>
  </si>
  <si>
    <t>'Prakash Raj''''''</t>
  </si>
  <si>
    <t>love u @Varun_dvn. @ajaydevgn. @hiran_chatterji. @bonysengupta. @jeet30.nd @sachin_rt sir.namo @narendramodi my best pm. ....... i love #IndianArmy ......</t>
  </si>
  <si>
    <t>Raghu Gurumurthy</t>
  </si>
  <si>
    <t>Davanagere, India</t>
  </si>
  <si>
    <t>Software Developer / Lecturer</t>
  </si>
  <si>
    <t>Soham</t>
  </si>
  <si>
    <t>Nidhish Chandra</t>
  </si>
  <si>
    <t>Marketing Manager Zeon International</t>
  </si>
  <si>
    <t>Akshay Vikas Manore</t>
  </si>
  <si>
    <t>NorthKoreaRealTime</t>
  </si>
  <si>
    <t>North Korea blasts Japan for using election to 'pave groundwork' for invasion | The Japan Times… https://t.co/31g6nJHswT</t>
  </si>
  <si>
    <t>Not an expert nor a journalist. Just a passionate tweeter of ALL things North Korea. Check out my FlipBoard magazine NORTH KOREA REAL TIME</t>
  </si>
  <si>
    <t>Cecile Blackberry</t>
  </si>
  <si>
    <t>Black Urbanist IAgri HoodsIFreethinker...</t>
  </si>
  <si>
    <t>Greg Johansen</t>
  </si>
  <si>
    <t>Calgary #yyc #yyccentre</t>
  </si>
  <si>
    <t>Green Liberal • Sports fanatic • #LGBTQ2 • #Aspergers • #cdnpoli • tweet from the heart and soul, and usually inappropriately ¯\_(ツ)_/¯ johansengreg@hotmail.com</t>
  </si>
  <si>
    <t>Rajnish Sinha</t>
  </si>
  <si>
    <t>India First. #GoVegan - reduce non-veg in your food that is the best one can do to reduce global warming and a better beautiful world. # Bharat Mata Ki Jai.</t>
  </si>
  <si>
    <t>BM</t>
  </si>
  <si>
    <t>Chandigarh, Delhi, Mumbai</t>
  </si>
  <si>
    <t>My religion is Humanity. Citizen of The Great India. Like hear positive critics, It helps to improve &amp; learn. Always try to give my the Best</t>
  </si>
  <si>
    <t>Plaid Modi</t>
  </si>
  <si>
    <t>Congratulations do my dear friend @Plaid_Abe on his big win in the election. Looking forward to a great relationship with Japan.</t>
  </si>
  <si>
    <t>The Plaid Avenger's updates for Indian Prime Minister Narendra Modi. (parody account) (FAKE!!)</t>
  </si>
  <si>
    <t>DHINAMUM</t>
  </si>
  <si>
    <t>Tom Bailey</t>
  </si>
  <si>
    <t>Japan’s stock market hits two-decade high following election - time to buy? https://t.co/mNN8SxOsjz https://t.co/UabFxRhsiP</t>
  </si>
  <si>
    <t>Content manager and writer @MoneyObserver | Columnist @spikedonline</t>
  </si>
  <si>
    <t>Rajdroh Sardesai</t>
  </si>
  <si>
    <t>Constipationoble</t>
  </si>
  <si>
    <t>World lightweight boxing champion 2002 Madison Square. Parody account</t>
  </si>
  <si>
    <t>🇮🇳 श्वेता सिंह</t>
  </si>
  <si>
    <t>भारतीय. Patriot. I support Vision &amp; Action of Shri Narendra Modi Ji for #NewIndia . Rts not endorsements.</t>
  </si>
  <si>
    <t>U-chan</t>
  </si>
  <si>
    <t>旧次世代の党支持。閲覧注意。 無断フォロー、RT御免。挨拶無用。</t>
  </si>
  <si>
    <t>Ninja For Hire</t>
  </si>
  <si>
    <t>RT @bpolitics: Here's how Japan PM Shinzo Abe responded to his projected election victory https://t.co/CDIKEO6MbK https://t.co/Do0InDqOHN</t>
  </si>
  <si>
    <t>I'm big in Japan</t>
  </si>
  <si>
    <t>雲 白鳥 鮫 蜘蛛     (鵬鯤)</t>
  </si>
  <si>
    <t>全世界が幸福に一つの宇宙世界で無く宗教で無く貴方の世界観が広がれば幸せです。私達の一つの宇宙も地球人類として誇りを持てる人に成って下さい！明治維新前後欧米人が日本に来民度が高く天国が日本と言ってましたし地球が滅んでも日本人だけは滅んで欲しく無いです。地球人類以上の文明に地球人類は滅んで欲しく無いと思われるよう希望します</t>
  </si>
  <si>
    <t>I want Bharat to be a superpower. A proud Hindu.</t>
  </si>
  <si>
    <t>✞The Watchmans Post✞</t>
  </si>
  <si>
    <t>RT @BuckTurgidson79: North Korea blasts Japan for using election to 'pave groundwork' for invasion | The Japan Times https://t.co/njErZLKKM…</t>
  </si>
  <si>
    <t>Spiritual, Front Line</t>
  </si>
  <si>
    <t>#Proverbs27v18 Whoso keepeth the fig tree shall eat the fruit thereof: so he that waiteth on his master shall be honoured.</t>
  </si>
  <si>
    <t>Communicator Sudhir</t>
  </si>
  <si>
    <t>New Delhi,  INDIA</t>
  </si>
  <si>
    <t>Indian minded thinking of overall change in every sphere of lives, no matter whether it is individuals or institutions. Attempt is on.</t>
  </si>
  <si>
    <t>Shrikant malozalwar</t>
  </si>
  <si>
    <t>graphic disigner</t>
  </si>
  <si>
    <t>ひろ松のフォロバ用</t>
  </si>
  <si>
    <t>Many Stars Creator Pro</t>
  </si>
  <si>
    <t>皆さんおはようございます(？) 本垢はこちら→ @HIROTO_0131</t>
  </si>
  <si>
    <t>Elaine Obenshain</t>
  </si>
  <si>
    <t>Morocco &amp; Texas</t>
  </si>
  <si>
    <t>VP American Moroccan Alliance @AMAnonprofit Supporting Autonomy in the Sahara from Dallas, Texas.</t>
  </si>
  <si>
    <t>Bo Anderson</t>
  </si>
  <si>
    <t>SanjayKumarTripathi</t>
  </si>
  <si>
    <t>rajahmundry</t>
  </si>
  <si>
    <t>Santosh</t>
  </si>
  <si>
    <t>Chelsea fan, skeptic, rational and critical thinker. Retweets are not endorsements.</t>
  </si>
  <si>
    <t>Shrikant Deshpande</t>
  </si>
  <si>
    <t>India first!!! Dreamer &amp; a proud Hindu! love to debate! Punekar to the core! Will appreciate a good argument even if i don't agree :) RT not endorsement</t>
  </si>
  <si>
    <t>kollynx!</t>
  </si>
  <si>
    <t>PORTHARCOURT</t>
  </si>
  <si>
    <t>I ALWAYS FEEL HAPPY WHEN YOU ARE HAPPY, RESPECT TO EVERYBODY THAT DESERVE IT..</t>
  </si>
  <si>
    <t>AKASH TRIPATHI</t>
  </si>
  <si>
    <t>Swarup Arun Desai.</t>
  </si>
  <si>
    <t>Lakshendra Singh</t>
  </si>
  <si>
    <t>Kanpur - INDIA</t>
  </si>
  <si>
    <t>MBA, Director, Marv Systems Pvt. Ltd., a Software Development company.</t>
  </si>
  <si>
    <t>baby driver</t>
  </si>
  <si>
    <t>Where I come from, we keep it moving</t>
  </si>
  <si>
    <t>coco</t>
  </si>
  <si>
    <t>日本が好きな会社員。在日教師による偏向教育を知り、教師になることを決意。 現在教育学部に在学し2回目の大学生になりました。皆さんのTwitterを拝見して日々勉強中。無言フォローお許しください。</t>
  </si>
  <si>
    <t>Mayank pal</t>
  </si>
  <si>
    <t>Kanpur</t>
  </si>
  <si>
    <t>SANATAN DHARMI 🕉</t>
  </si>
  <si>
    <t>Believe in Universe(BRAHMA), it's Destructive power(SHIVA), Nature of World as a protector(VISHNU) in a form of HINDUISM THE WAY OF LIFE. ❤️ Ved, Yog.</t>
  </si>
  <si>
    <t>Jitendra Kumar 🇮🇳</t>
  </si>
  <si>
    <t>団子</t>
  </si>
  <si>
    <t>福岡生まれ広島育ち</t>
  </si>
  <si>
    <t>『日本国は日本人のものです。 反日する奴は出ていけ。 とっとと国に帰れ！』 未来ある日本の宝、大切な大切な日本の子供達の為に 今、私らが戦わないけんのよ。 片腕もげても守らないけん。</t>
  </si>
  <si>
    <t>Sai Shirpure</t>
  </si>
  <si>
    <t>Dharmabad, India</t>
  </si>
  <si>
    <t>BJP Social Media District President Nanded &amp; Bjym City President Dharmabad Maharashtra</t>
  </si>
  <si>
    <t>Sanjaykumar Singh</t>
  </si>
  <si>
    <t>Akhand Bharat</t>
  </si>
  <si>
    <t>Tweets are personal views, if u r offended thats ur problem. ।। हिन्दू प्रचंड हो ।। भारत अखंड हो ।।</t>
  </si>
  <si>
    <t>Japan votes in early election as Abe seeks record fourth term https://t.co/ZGf9ELz2xw https://t.co/7CghlwU90q</t>
  </si>
  <si>
    <t>NaveeN</t>
  </si>
  <si>
    <t>proud to be an INDIAN</t>
  </si>
  <si>
    <t>Nirapad Sarak Chai</t>
  </si>
  <si>
    <t>After election win, Abe prioritizes North Korea, aging Japan https://t.co/NjazbA15Cf</t>
  </si>
  <si>
    <t>Movie Star &amp; Social Worker.</t>
  </si>
  <si>
    <t>まるまる。</t>
  </si>
  <si>
    <t>地味に物書く下請け屋 色々な方々のお話やお考えを読ませて頂いております、情報は力だと思っております、様々な見識勉強になりますありがとうございます。</t>
  </si>
  <si>
    <t>Manish Nair</t>
  </si>
  <si>
    <t>Malmo</t>
  </si>
  <si>
    <t>Environmentalist; Humanitarian; Philosopher; Photographer; ceaseless yearn 4 Ayurveda n Yoga; chartin d uncharted. Most imptantly, Views expressed are my own.</t>
  </si>
  <si>
    <t>Raju Jahar Singh</t>
  </si>
  <si>
    <t>Jennifer Jean</t>
  </si>
  <si>
    <t>I follow Global Geopolitics, China Hegemony, ASEAN and anything regarding the salt in the seas. 🤓</t>
  </si>
  <si>
    <t>Times of India</t>
  </si>
  <si>
    <t>After election win, Abe prioritizes North Korea, aging Japan https://t.co/q9eIL6OEt1 via @TOIWorld https://t.co/JMXpoGPdEc</t>
  </si>
  <si>
    <t>News. Views. Analyses. Conversations. India’s No.1 digital news destination, world’s largest-selling English newspaper - A Times Internet Limited Product</t>
  </si>
  <si>
    <t>KRTpro News</t>
  </si>
  <si>
    <t>📢 Japan's Abe to push pacifist constitution reform after election win https://t.co/Ek18RiphAy #KRTpro #Japan #Election2017 @AbeShinzo</t>
  </si>
  <si>
    <t>The latest news stories from around the world. News also supplied to @KRTpro_Music and @ASN_Sportsnews</t>
  </si>
  <si>
    <t>Aonghas Crowe</t>
  </si>
  <si>
    <t>Lawsuits filed to nullify Lower House election | The Japan Times https://t.co/eDwAECdMwr</t>
  </si>
  <si>
    <t>Here and there</t>
  </si>
  <si>
    <t>Crowe is a writer and translator. Author of four novels, he splits his time between Fukuoka, Japan and Portland, OR. He's mouldy for a drink.</t>
  </si>
  <si>
    <t>Japan's Prime Minister Shinzo Abe faces long-term economic challenges now the election is over https://t.co/z3odEm3VWZ</t>
  </si>
  <si>
    <t>Tatvam Asi</t>
  </si>
  <si>
    <t>India/UK/Bharat Rakshak</t>
  </si>
  <si>
    <t>Political animal,Economist, Free enterprise absolutist.Creating solutions for bottom of the pyramid consumers.Swayamsevak!! Future is bright,future is RIGHT!</t>
  </si>
  <si>
    <t>Saikarthik</t>
  </si>
  <si>
    <t>Nellore, India</t>
  </si>
  <si>
    <t>THE WALL STREET JOURNAL: Japan's Prime Minister Shinzo Abe faces long-term economic challenges now the election is… https://t.co/KKOjK5GDsb</t>
  </si>
  <si>
    <t>壁の向こうは壁だったヽ(´o｀；</t>
  </si>
  <si>
    <t>RT @WSJ: Japan's Prime Minister Shinzo Abe faces long-term economic challenges now the election is over https://t.co/z3odEm3VWZ</t>
  </si>
  <si>
    <t>たまにつぶやく。ぶつぶつぶつ…。</t>
  </si>
  <si>
    <t>WSJ Once</t>
  </si>
  <si>
    <t>Twitter bot retweeting news stories just once. Full source and other feeds available on GitHub page. Not affiliated with Wall Street Journal.</t>
  </si>
  <si>
    <t>EnLawded.com</t>
  </si>
  <si>
    <t>EnLawded API</t>
  </si>
  <si>
    <t>#Surely The #Biggest #Unknown #Adidas #Originals #Brand #Celebration of All Time with 54 Countries &amp; #Nations #Honoured : #Peace ! @EnLawded</t>
  </si>
  <si>
    <t>WSJ: Japan's Prime Minister Shinzo Abe faces long-term economic challenges now the election is over https://t.co/ITPYLXsB4O</t>
  </si>
  <si>
    <t>#War: Japan's Abe to push pacifist constitution reform after strong election win https://t.co/KY1ONAFnVi</t>
  </si>
  <si>
    <t>Pathla Bheem🔵</t>
  </si>
  <si>
    <t>Proud Indian. Tries to balance on both wings but tends to fly right these days to counter the libtards propaganda and the history distortion. Namo Namaha</t>
  </si>
  <si>
    <t>PMA Accountants</t>
  </si>
  <si>
    <t>#Money Japan Q&amp;A: why Abe’s victory cheers investors - Shinzo Abe’s third election victory by no means solves J... https://t.co/E0vFafHT2Y</t>
  </si>
  <si>
    <t>Wanstead, London, E11</t>
  </si>
  <si>
    <t>Accountants Based In Wanstead, East London - Offering Accounts, Taxation, Business Advisory And Support Services. Free Consultation - Call 0203 189 1736</t>
  </si>
  <si>
    <t>mahalakshmi</t>
  </si>
  <si>
    <t>After election win, Abe prioritizes North Korea, aging Japan https://t.co/8gwz5Zl7mz via TOIWorld https://t.co/IKEMwA7JCy</t>
  </si>
  <si>
    <t>Rajasthan</t>
  </si>
  <si>
    <t>Die hard fan of Indian team | foodie | Contest Freak | Social Media Influencer | Never give up personality| Speaker</t>
  </si>
  <si>
    <t>Japan's Prime Minister Shinzo Abe faces long-term economic challenges now the election is over #Forex</t>
  </si>
  <si>
    <t>J♠️Carter</t>
  </si>
  <si>
    <t>Kyodo News - English</t>
  </si>
  <si>
    <t>#Japan voters list #NorthKorea threat among reasons for choosing who to vote for in #JapanElection https://t.co/jZX5mdP7ju</t>
  </si>
  <si>
    <t>The latest updates on Japan, Asia and the world from Kyodo News</t>
  </si>
  <si>
    <t>Japan's Prime Minister Shinzo Abe faces long-term economic challenges now the election is over https://t.co/YbOsNGKaVZ</t>
  </si>
  <si>
    <t>Steven Russolillo</t>
  </si>
  <si>
    <t>@WSJ markets reporter in Hong Kong. Ex @GoldmanSachs. MBA at @baruchcollege. @UDelaware Blue Hen. Massapequa/Delaware/Hoboken/NYC/Hong Kong.</t>
  </si>
  <si>
    <t>WSJ: Japan's Prime Minister Shinzo Abe faces long-term economic challenges now the election is over https://t.co/ZOEMnAZUiF</t>
  </si>
  <si>
    <t>Yogesh Rawal</t>
  </si>
  <si>
    <t>knakada</t>
  </si>
  <si>
    <t>msn</t>
  </si>
  <si>
    <t>RT @kyodo_english: #Japan voters list #NorthKorea threat among reasons for choosing who to vote for in #JapanElection https://t.co/jZX5mdP7…</t>
  </si>
  <si>
    <t>Free Asian Alliance</t>
  </si>
  <si>
    <t>JAPAN,USA,TAIWAN,HONGKONG, INDIA,TIBET,UYGHUR, ENGLAND   ALL ASIA, Avoid the Pig Rude Crime</t>
  </si>
  <si>
    <t>#MAGA #AmericaFirst #Japan1st #BritainFirst #SaveHongKong #TaiwanIndependence #GreatIndia #SaveTibet #SaveUyghur #SaveSouthMongolia</t>
  </si>
  <si>
    <t>Harish Yadav</t>
  </si>
  <si>
    <t>時雨@金クラ中執/名簿</t>
  </si>
  <si>
    <t>a smart aleck</t>
  </si>
  <si>
    <t>ks5 英検2次試験怖いナリ Fラン大学志望です 女は誰でもマンコ捧げてください 人格はいらないです 神のような美少女を除く 性格美少女 ママ〜〜</t>
  </si>
  <si>
    <t>WSJ: Japan's Prime Minister Shinzo Abe faces long-term economic challenges now the election is over … https://t.co/kCLfzUFxzq</t>
  </si>
  <si>
    <t>Richard Blaber</t>
  </si>
  <si>
    <t>What now for Japan after Abe's landslide election victory? https://t.co/hWpLuG4L6W</t>
  </si>
  <si>
    <t>Northamptonshire, England.</t>
  </si>
  <si>
    <t>I am a 60 year old retired academic with Asperger Syndrome, epilepsy, depression, OCD &amp; tinnitus. I want to make the world a better place for disabled people.</t>
  </si>
  <si>
    <t>Japan to UK</t>
  </si>
  <si>
    <t>sharing #suaju Abe retains supermajority in Japan's election, may push to amend constitution .. #japan #japanese https://t.co/JqUMmjkndg</t>
  </si>
  <si>
    <t>England, UK</t>
  </si>
  <si>
    <t>Japanese Culture, Food, Clothes, Fashion, Music, Art, Books, Business, Success, Entertainment, Work-life, Retirement or anything else you would like to share.</t>
  </si>
  <si>
    <t>Deepak Goyal</t>
  </si>
  <si>
    <t>Dharmendra yadav</t>
  </si>
  <si>
    <t>Patna India</t>
  </si>
  <si>
    <t>https://t.co/In7vBKd4qh(Civil Engineering) from UPTU Lucknow.</t>
  </si>
  <si>
    <t>Brijesh Singh</t>
  </si>
  <si>
    <t>Author of 'Quantum Siege' co-author 'Dangerous Minds' (Penguin books). Cyberspace n00b, aspiring chef.</t>
  </si>
  <si>
    <t>The Observer</t>
  </si>
  <si>
    <t>Merlin</t>
  </si>
  <si>
    <t>kasworld</t>
  </si>
  <si>
    <t>Go to our website for full view: After election win, Abe prioritizes North Korea, aging Japan … https://t.co/05a5ecElfk</t>
  </si>
  <si>
    <t>Funny Post, Romantic Post, love Post, jokes</t>
  </si>
  <si>
    <t>Japan's Prime Minister Shinzo Abe faces long-term economic challenges now the election is over https://t.co/r3yh2Xe3K7</t>
  </si>
  <si>
    <t>From The G-Man</t>
  </si>
  <si>
    <t>Japan's Stocks on Record Winning Streak After Abe's Election Victory https://t.co/Fj618Aet8x</t>
  </si>
  <si>
    <t xml:space="preserve">New York City </t>
  </si>
  <si>
    <t>An independent source for news and information, exclusive interviews and uncensored commentary.</t>
  </si>
  <si>
    <t>Mohit $marty....</t>
  </si>
  <si>
    <t>RT @timesofindia: After election win, Abe prioritizes North Korea, aging Japan https://t.co/q9eIL6OEt1 via @TOIWorld https://t.co/JMXpoGPdEc</t>
  </si>
  <si>
    <t>Japan's Prime Minister Shinzo Abe faces long-term economic challenges now the election is over https://t.co/OYlsKe6vBJ</t>
  </si>
  <si>
    <t>鎌田彷月</t>
  </si>
  <si>
    <t>H.Kamada／Translator. Ex-proofreader, editor, reviewer, columnist, etc.</t>
  </si>
  <si>
    <t>blm</t>
  </si>
  <si>
    <t>i like sport and pay attantion to the news anywere in the world.</t>
  </si>
  <si>
    <t>WSJ: Japan's Prime Minister Shinzo Abe faces long-term economic challenges now the election is over https://t.co/z5jsDOByEO</t>
  </si>
  <si>
    <t>WSJ: Japan's Prime Minister Shinzo Abe faces long-term economic challenges now the election is over https://t.co/dAFehxNi3w</t>
  </si>
  <si>
    <t>Chris Bayliss</t>
  </si>
  <si>
    <t>RT @s8mb: Take note, Mrs May - the people want expansionary monetary policy, labour market reform and military rearmament. https://t.co/Sj…</t>
  </si>
  <si>
    <t>Cleobury Mortimer, England</t>
  </si>
  <si>
    <t>saloon-bar bore.</t>
  </si>
  <si>
    <t>Saiprasad Bagrecha</t>
  </si>
  <si>
    <t>https://t.co/Ldqyvyd5Mr ,Shinzo Abe’s Japan election win lifts world stocks, dollar https://t.co/PMFc8oFRfZ</t>
  </si>
  <si>
    <t>IndianTaxHome</t>
  </si>
  <si>
    <t>Chartered Accountant by Profession. Updates on Stocks, Personal Finance, Investments, Savings, Income Tax, GST, Value Creation, Law and Technology</t>
  </si>
  <si>
    <t>Japan's Prime Minister Shinzo Abe faces long-term economic challenges now the election is over https://t.co/o7d5lnCZhX</t>
  </si>
  <si>
    <t>Geeta Ramanath</t>
  </si>
  <si>
    <t>Teacher for the past 30yrs at schools &amp;colleges.Proud Indian.Revere our culture&amp; heritage.Intolerantly rashtra bhakt.NaMo supporter.Humbled to be followed by PM</t>
  </si>
  <si>
    <t>nishiki_e</t>
  </si>
  <si>
    <t>Japan Election Vindicates Shinzo Abe as His Party Wins Big https://t.co/IXEgCOzbl1</t>
  </si>
  <si>
    <t>約1600年前にどんぶらこと小舟で河内湖(現・富田林市)へ流れ着いた百済系機織り集団(錦織部・にしこりべ)の末裔。なのに放浪癖のみ受け継ぎ、裁縫など手芸関係が全く出来ぬサボテンも枯らすオナゴw@都内在住</t>
  </si>
  <si>
    <t>Bill Cortese</t>
  </si>
  <si>
    <t>RT @BlogsofWar: Japan Election Victory Gives Abe Mandate For Reform https://t.co/nljIuiXO7A</t>
  </si>
  <si>
    <t>New Jersey</t>
  </si>
  <si>
    <t>USMC Veteran | Entrepreneur | Public Affairs Professional | Animal Lover | Adrenaline Junkie | Traveler | 80's Hair Metal | Boxing | F1 | UCONN | Dallas Cowboys</t>
  </si>
  <si>
    <t>News Breaker</t>
  </si>
  <si>
    <t>|Breaking news from DPRK, MENA and TERRORISM related events| retweet/fav=no endorsement. Against all terror groups/dictators❌</t>
  </si>
  <si>
    <t>Theresia J. Crosby</t>
  </si>
  <si>
    <t>Researcher #UKPolitics #EuropeanPolitics #USPolitics My passion for Africa's wildlife runs deep...Foster Mum to baby elephants #Ndotto &amp; #Kelelari @DSWT</t>
  </si>
  <si>
    <t>Ashutosh Tiwari</t>
  </si>
  <si>
    <t>rewa m.p</t>
  </si>
  <si>
    <t>भारतीय जानता पार्टी , राष्ट्रीय सर्व समाज महासंघ महासचिव मध्यप्रदेश ।</t>
  </si>
  <si>
    <t>SwarTz Mooha</t>
  </si>
  <si>
    <t>timesofindia: After election win, Abe prioritizes North Korea, aging Japan https://t.co/H6LbZc8t8K via TOIWorld https://t.co/ydwYkyuCap</t>
  </si>
  <si>
    <t>#Mobile #Marketing #Blogger #News #Reporter #Technician #Programmer #GodBeliever. #Husband2Be Wizardhatemail@gmail.com</t>
  </si>
  <si>
    <t>Vinod Chirvi</t>
  </si>
  <si>
    <t xml:space="preserve">Lives in Jammu, </t>
  </si>
  <si>
    <t>Working at DoordarshanNational-1</t>
  </si>
  <si>
    <t>poli_nerd</t>
  </si>
  <si>
    <t>Japan's Prime Minister Shinzo Abe faces long-term economic challenges now the election is over https://t.co/IauCiBGlyL</t>
  </si>
  <si>
    <t>JayDhaKid</t>
  </si>
  <si>
    <t>GA</t>
  </si>
  <si>
    <t>•Jamal is the name,Blunt BLowing is the thang,if yhu not with the game then Remain a lame•Kik@PrettyBoy_G14 •#FreakNation</t>
  </si>
  <si>
    <t>WSJ: Japan's Prime Minister Shinzo Abe faces long-term economic challenges now the election is over https://t.co/ze1Kg5Yhhk</t>
  </si>
  <si>
    <t>EON News Net</t>
  </si>
  <si>
    <t>WTF in Japan? https://t.co/f9R7YXzbky https://t.co/QpxL09L3NH</t>
  </si>
  <si>
    <t>Ecological Options Network - A Planetarian Perspective on Nuclear &amp; EMF Radiation, GMO, Election Protection, Pesticides, Clean Energy</t>
  </si>
  <si>
    <t>jilesh</t>
  </si>
  <si>
    <t>we deal in cctv access control telecom &amp; av #cctv #accesscontrol #fingerprint #palmvein #ipcctv #nvr #dvr #hdcctv #telecom #ippbx #matrix #panasonic #hikvision</t>
  </si>
  <si>
    <t>Hemant Garg</t>
  </si>
  <si>
    <t>Bharatpur Rajasthan India</t>
  </si>
  <si>
    <t>Mohan Pandalai</t>
  </si>
  <si>
    <t>Managing Partner, Antal International Network</t>
  </si>
  <si>
    <t>خالد الزهراني</t>
  </si>
  <si>
    <t>HassanScript9</t>
  </si>
  <si>
    <t>ayeshas</t>
  </si>
  <si>
    <t>hong kong</t>
  </si>
  <si>
    <t>Newsaholic photoaddict curious cat. City University, London alumni. ayeshasitaraa on Instagram.</t>
  </si>
  <si>
    <t>Sabri Megueddem</t>
  </si>
  <si>
    <t xml:space="preserve">Paris - New York </t>
  </si>
  <si>
    <t>Student at @SciencesPo, @enmarchefr enthusiast, @LesEchos' columnist. Flying liberal.</t>
  </si>
  <si>
    <t>Black Oak Family O</t>
  </si>
  <si>
    <t>Geneva, Switzerland</t>
  </si>
  <si>
    <t>Leroy Enrique Arao</t>
  </si>
  <si>
    <t>Japan's Prime Minister Shinzo Abe faces long-term economic challenges now the election is over https://t.co/3nQavWEVzj</t>
  </si>
  <si>
    <t>RT WSJ: Japan's Prime Minister Shinzo Abe faces long-term economic challenges now the election is over https://t.co/ehoo9SdzXY</t>
  </si>
  <si>
    <t>ねこみみ</t>
  </si>
  <si>
    <t>色々繋がって欲しいからいいねやRTを繰り返す人 (やりすぎて時々ブロックやら凍結やら食らってる) 中身は創作でよく見るようなヤバそうなミリオタおじさんだから想像しやすいかも</t>
  </si>
  <si>
    <t>Guzzer Enoh Cents</t>
  </si>
  <si>
    <t>IT professional{IS security,Databases and computing( parallel, client Server, and cloud)} ||CISA||MCSE|| CCNA||CCNP||Oracle||Red Hat|| Project Management</t>
  </si>
  <si>
    <t>Sir Amit Tholia</t>
  </si>
  <si>
    <t>Churu, India</t>
  </si>
  <si>
    <t>Social worker............</t>
  </si>
  <si>
    <t>Sundeep</t>
  </si>
  <si>
    <t>Hyderbad, India</t>
  </si>
  <si>
    <t>Software Architect, IITian, Anime lover, Hindu Nationalist, RT = spreading the word</t>
  </si>
  <si>
    <t>Bond Report: Short-end Treasury yields lower as investors weigh Spanish tensions, Japan election https://t.co/63dRKPORKY</t>
  </si>
  <si>
    <t>Vijaya Kumar</t>
  </si>
  <si>
    <t xml:space="preserve">INDIA. </t>
  </si>
  <si>
    <t>Dreaming for ... a Strong, Powerful &amp; Glorious INDIA, in a Beautiful WORLD... 'Vasudhaiva Kutumbakam' !!! ... RTs are Not Endorsements !</t>
  </si>
  <si>
    <t>Eniola</t>
  </si>
  <si>
    <t>News Trump Calls Japan’s Abe, Congratulates Him On Election Victory https://t.co/Odkexz4t3W</t>
  </si>
  <si>
    <t>Lekki, Nigeria</t>
  </si>
  <si>
    <t>I.G -Official__king_enny #official #BeMine #LeanOnMe ▪️Time and silence are the most luxurious things today....🎴🀄️</t>
  </si>
  <si>
    <t>mercy ngima</t>
  </si>
  <si>
    <t>Ghislain Amega</t>
  </si>
  <si>
    <t>Quebec - Canada</t>
  </si>
  <si>
    <t>Mupesh R. Choudhary</t>
  </si>
  <si>
    <t xml:space="preserve">Nagarcoil Kanyakumari </t>
  </si>
  <si>
    <t>Mehul Padmashali</t>
  </si>
  <si>
    <t>Japan's Prime Minister Shinzo Abe faces long-term economic challenges now the election is over https://t.co/YzZzvEDsls</t>
  </si>
  <si>
    <t>RISHABH NEGI</t>
  </si>
  <si>
    <t>Sandeep Biswas</t>
  </si>
  <si>
    <t>After election win, Abe prioritizes North Korea, aging Japan https://t.co/dHLI0ez8x0 via TOIWorld https://t.co/DIpsnc1dLG</t>
  </si>
  <si>
    <t>Media Presenter, Photographer</t>
  </si>
  <si>
    <t>Ravinarayan</t>
  </si>
  <si>
    <t xml:space="preserve">Santoor </t>
  </si>
  <si>
    <t>Snehal Bhau Taksande</t>
  </si>
  <si>
    <t xml:space="preserve">Nagpur Maharashtra </t>
  </si>
  <si>
    <t>Japan's Prime Minister Shinzo Abe faces long-term economic challenges now the election is over https://t.co/Lp5zQpOMkl</t>
  </si>
  <si>
    <t>Andrew Nell</t>
  </si>
  <si>
    <t>Abe, #Trump agree to raise pressure on #NorthKorea: #Japan government https://t.co/cQ9MHCx7QT</t>
  </si>
  <si>
    <t>Sharing of U.S. politics &amp; FP. RT ≠ personal views. GWU alumnus. Enlisted USMCR. All views expressed are my own</t>
  </si>
  <si>
    <t>AC JERED</t>
  </si>
  <si>
    <t>Trump Calls Japan’s Abe, Congratulates Him On Election Victory https://t.co/zMq5vzGepR https://t.co/qOwpTc5BJc</t>
  </si>
  <si>
    <t>BANS Nation, www.stuntfm.com</t>
  </si>
  <si>
    <t>Being nice to someone you dislike doesn't mean you're a fake. It means you are mature enough to tolerate your dislike towards them. for Booking: 08065304772</t>
  </si>
  <si>
    <t>STUNTFM 97.3</t>
  </si>
  <si>
    <t>Trump Calls Japan’s Abe, Congratulates Him On Election Victory https://t.co/v3oQ6GWzPI https://t.co/avrkoT2aY4</t>
  </si>
  <si>
    <t>www.facebook.com/stuntfm</t>
  </si>
  <si>
    <t>We Play,Talk and you Listen</t>
  </si>
  <si>
    <t>NolanDraco</t>
  </si>
  <si>
    <t>Shinzo Abe just moved closer to becoming Japan’s longest-serving leader https://t.co/TmYHN71SsJ</t>
  </si>
  <si>
    <t>TwitterBernie</t>
  </si>
  <si>
    <t>Flatiron, Manhattan</t>
  </si>
  <si>
    <t>Serial Tweeter, EDM Junkie,</t>
  </si>
  <si>
    <t>FOLLOW US @STUNTFMC</t>
  </si>
  <si>
    <t>Trump Calls Japan’s Abe, Congratulates Him On Election Victory https://t.co/bQQkrCJvgR https://t.co/GsaTLP4kTS</t>
  </si>
  <si>
    <t xml:space="preserve">maitama  Abuja, Nigeria </t>
  </si>
  <si>
    <t>Here is my new twitter page sry i was hacked. Before u embark on a journey of revenge,dig two graves.</t>
  </si>
  <si>
    <t>GS ABHILASH</t>
  </si>
  <si>
    <t>ANANDARAJ N</t>
  </si>
  <si>
    <t>i am like a mirror</t>
  </si>
  <si>
    <t>RT WSJ "Japan's Prime Minister Shinzo Abe faces long-term economic challenges now the election is over https://t.co/WJzktx9RFR"</t>
  </si>
  <si>
    <t>Soujanya</t>
  </si>
  <si>
    <t>Hyderabad | Singapore</t>
  </si>
  <si>
    <t>Say it with pride: WE ARE INDIANS &amp; HINDUS</t>
  </si>
  <si>
    <t>BHARATH K BHAT</t>
  </si>
  <si>
    <t>After election win, Abe prioritizes North Korea, aging Japan https://t.co/V8A7OYf8a5 congratulations 2 n old frnd</t>
  </si>
  <si>
    <t>A Shakthari, DHAIRYAM SARVATHRA SADHANAM... All the views held r personal &amp; r not intended to hurt any person's feelings</t>
  </si>
  <si>
    <t>Leading Edge Guides</t>
  </si>
  <si>
    <t>Сергей Осинкин</t>
  </si>
  <si>
    <t>RT @michaeldrich: Why today's snap election in #Japan matters to the U.S. https://t.co/QlZ9hfVrZ1 via @RANDCorporation</t>
  </si>
  <si>
    <t>Шуя, Москва</t>
  </si>
  <si>
    <t>Политолог, выпускник аспирантуры МГУ, член резерва управленческих кадров Ивановской области, лауреат проекта «Профессиональная команда Губернатора»</t>
  </si>
  <si>
    <t>Vanessa Polius</t>
  </si>
  <si>
    <t>interest include human and world events. I can be contacted at vamessapolius@gmail.com</t>
  </si>
  <si>
    <t>Nicolás Mamadera</t>
  </si>
  <si>
    <t>"...καὶ γνώσεσθε τὴν ἀλήθειαν, καὶ ἡ ἀλήθεια ἐλευθερώσει ὑμᾶς".</t>
  </si>
  <si>
    <t>Gabriel Morales</t>
  </si>
  <si>
    <t>Querétaro</t>
  </si>
  <si>
    <t>Un buen periódico es una nación hablándose a sí misma: Arthur Miller</t>
  </si>
  <si>
    <t>Ryan Parks</t>
  </si>
  <si>
    <t>Abe to push reform of Japan's pacifist constitution after election win https://t.co/tyqoxzabdz</t>
  </si>
  <si>
    <t>Calgary, Canada</t>
  </si>
  <si>
    <t>Kamlesh</t>
  </si>
  <si>
    <t>FXDD</t>
  </si>
  <si>
    <t>MetaTrader 4 | Currency Trading | Forex Trading Software. Risk Disclosure: http://t.co/aGUfH8WDGj</t>
  </si>
  <si>
    <t>ThePuffinPost</t>
  </si>
  <si>
    <t>New on #Steemit: Prime Minister Abe is the general election winner in Japan. https://t.co/iqELnMmXPW</t>
  </si>
  <si>
    <t xml:space="preserve"> @puffin at Steemit - here mai</t>
  </si>
  <si>
    <t>XpieirhMTwuFmek2BjibmYeSWDtzf4muKY</t>
  </si>
  <si>
    <t>Apă   Chioară</t>
  </si>
  <si>
    <t>Solomonar. Ma numesc Roman Bizantin. Sunt prezent in conturul Romaniei Vesnice, adica al Noului Bizant.</t>
  </si>
  <si>
    <t>Atul</t>
  </si>
  <si>
    <t>Roads and Music ek taraf.....NaMo ek taraf..🙏🙏</t>
  </si>
  <si>
    <t>Chandan kr.</t>
  </si>
  <si>
    <t>charles warren</t>
  </si>
  <si>
    <t>martial artist, husband, father, navigator, land economist</t>
  </si>
  <si>
    <t>GaySpeak News</t>
  </si>
  <si>
    <t>Japan's Abe hails landslide victory in snap election https://t.co/jmGlNctg0h</t>
  </si>
  <si>
    <t>Pretoria, South Africa</t>
  </si>
  <si>
    <t>Social media news source with a gay bias for news, fun, jobs, competitions, gay resorts and more. Much more!</t>
  </si>
  <si>
    <t>💕❤neelam___afroj❤💕</t>
  </si>
  <si>
    <t>Dhanbad,jharkhand, India</t>
  </si>
  <si>
    <t>i'm 💙 Proud 😘 tO be a 💜indian 😊 nd I'm 💜 freedom 😎 lOver😘 💗🍃Dreamer🌀Achiver☺Believer👍✌👌 😊 🌙🎊🌙🎉🌙💜 ❤⭐❇❤⭐❇❤⭐❇❤⭐❇❤⭐❇❤⭐❇❤⭐</t>
  </si>
  <si>
    <t>SHATRUDHAN DAS</t>
  </si>
  <si>
    <t>ibjen</t>
  </si>
  <si>
    <t>I follow bloggers, love saving money &amp; will retweet Military, important, or funny news. Sorry if too much, just important stuff to share!</t>
  </si>
  <si>
    <t>Alka Rani Singh</t>
  </si>
  <si>
    <t>लखनऊ उत्तर प्रदेश भारत</t>
  </si>
  <si>
    <t>सरकार के साथ समाज कार्य</t>
  </si>
  <si>
    <t>Avinash Pathania</t>
  </si>
  <si>
    <t>http://t.co/In7vBKd4qh Civil from NIT Hamirpur . Views r my personal and RT does'nt mean always agree but inf. to frnds.</t>
  </si>
  <si>
    <t>Social media buff, Fashion Writer, Traveler, eager to build global India</t>
  </si>
  <si>
    <t>$ VASHU GOYAL $</t>
  </si>
  <si>
    <t>Kharsia, India</t>
  </si>
  <si>
    <t>YOU ARE NOT ALONE @iamalanwalker @justinbieber 👍👍❤❤ #bieberforever @BillGates $MY INSPIRATION$</t>
  </si>
  <si>
    <t>Niraj Verma</t>
  </si>
  <si>
    <t>New Delhi, ✈Bihar</t>
  </si>
  <si>
    <t>Patriot। BJP/RSS। Hate Seculars Who Divided India in Religion n caste।Social Activist।Indian Politics। Modi Hater's Stay Away। Luv Indian Army। Modi Fan।</t>
  </si>
  <si>
    <t>Saba Sebhatu</t>
  </si>
  <si>
    <t>Restoring traditional values, stressing obligations to the state over individual rights, constraints on military https://t.co/782XaSRRfj</t>
  </si>
  <si>
    <t>Asmara, Eritrea</t>
  </si>
  <si>
    <t>Geopolitical dynamics, economic developments, conflict resolution, media relations Peacebuilding Centre for the Horn of Africa</t>
  </si>
  <si>
    <t>Toronto Canada</t>
  </si>
  <si>
    <t>WAHHABISM in SAUDI ARABIA is the RUTH to ISIS and RADICALISM EXTREMISTS,,CUT the RUTH and The rest Will DIE,.</t>
  </si>
  <si>
    <t>A K Pandey 👔</t>
  </si>
  <si>
    <t>दुनिया आपके “उदाहरण” से बदलेगी, आपकी “राय” से नहीं !🙏😊</t>
  </si>
  <si>
    <t>Shamsher Singh</t>
  </si>
  <si>
    <t>Hisar, India</t>
  </si>
  <si>
    <t>दुनिया में सब प्यार से रहे तो दुनिया सवर्ग है चाहे कोई भी धर्म हो कोइ भी देश हो कोइ भी जगह हो सबको एक दूसरे का समाऩ करना चाहिए महिलाओं के लिए इज्जत का भाव हो</t>
  </si>
  <si>
    <t>ModiTrumpFanIndia</t>
  </si>
  <si>
    <t>I am big big fan of @realDonaldTrump and @narendramodi. I dont want people follow me but i want follow you</t>
  </si>
  <si>
    <t>Charles Munn,</t>
  </si>
  <si>
    <t>Detail from 1 of my paintings.</t>
  </si>
  <si>
    <t>BLM! Draft Bernie Sanders! I'm a socialist, physics fan, writer &amp; painter. I invent characters &amp; pallets, and they write or paint my stories &amp; visions.</t>
  </si>
  <si>
    <t>Renaissance</t>
  </si>
  <si>
    <t>The withered minds are excluded</t>
  </si>
  <si>
    <t>Not from any Political Party. A Proud India Opinion my own.</t>
  </si>
  <si>
    <t>nitesh singh</t>
  </si>
  <si>
    <t>fred walton</t>
  </si>
  <si>
    <t>Lawyer , blogger , sports fan-and yes a Red Sox fan for years , world observer , news junkie supreme ! Let's talks about what matters , exchange views- learn !</t>
  </si>
  <si>
    <t>Indradip Ghosh</t>
  </si>
  <si>
    <t>Polling Analyst @ Reuters #ReutersPolling #Economics Views are my own</t>
  </si>
  <si>
    <t>Naa K Siaw-Marfo</t>
  </si>
  <si>
    <t>Journalist @ Citi 97.3 FM|| Sports Lover|| Barca|| July's Finest😍</t>
  </si>
  <si>
    <t>it'z kumar</t>
  </si>
  <si>
    <t>India 🇮🇳 is my country ❤</t>
  </si>
  <si>
    <t>Post Graduate and CA. Believer and proud भारतीय। नए विचार और प्रगति पर अग्रसर।</t>
  </si>
  <si>
    <t>Ronald Gurung</t>
  </si>
  <si>
    <t>दार्जीलिंग, भारत</t>
  </si>
  <si>
    <t>M 2....good</t>
  </si>
  <si>
    <t>Hemang Palan</t>
  </si>
  <si>
    <t xml:space="preserve">Mumbai wen not globetrotting </t>
  </si>
  <si>
    <t>entrepreneur/industrialist,Exporter textiles. proud INDIAN 🇮🇳 RT r RT</t>
  </si>
  <si>
    <t>Durgesh Rai</t>
  </si>
  <si>
    <t>a4ankuragarwal@gmail</t>
  </si>
  <si>
    <t>Runwal Dharmesh</t>
  </si>
  <si>
    <t>Active member of BJP Youth.. die hard fan of Narendra Modi ji..our beloved PM🇮🇳</t>
  </si>
  <si>
    <t>Pinak Pani Bhattacha</t>
  </si>
  <si>
    <t>Ben L</t>
  </si>
  <si>
    <t>I follow back! “Complicated business folks… Complicated business”… @realDonaldTrump</t>
  </si>
  <si>
    <t>Shubham Aaditya</t>
  </si>
  <si>
    <t>Indian Hindu•Devotee of @srisri• Congis, Liberals, Indian commies, Islamists and missionaries stay away•Also known as Bumm•Nation First 🇮🇳Forces First• 19 😁</t>
  </si>
  <si>
    <t>Dinesh gagrani</t>
  </si>
  <si>
    <t>Bhilwara, India</t>
  </si>
  <si>
    <t>Rohit Panwar</t>
  </si>
  <si>
    <t>सरदारशहर राजस्थान(हिन्दुस्तान)</t>
  </si>
  <si>
    <t>भारतीय जनता पार्टी (BJP) Official Twitter Account Of Rohit Panwar</t>
  </si>
  <si>
    <t>Govindsharma</t>
  </si>
  <si>
    <t>Jaagdalpur</t>
  </si>
  <si>
    <t>जन्म राजस्थान कमॆ छैत्र छतिसगढ टिमबर व्यापार राजनीतिक छेत्र बीजेपी कायॆकरता कट्टर हिन्दू</t>
  </si>
  <si>
    <t>てるリン♪</t>
  </si>
  <si>
    <t>北緯30度22分東経128度4分</t>
  </si>
  <si>
    <t>高校生です。愛国者（日本人として当たり前）プラモデル(軍艦)、鉄道、歴史大すき。日本人であることに誇りに思います。！日本をダメにする輩は絶対許さない。 頑張れ日本！</t>
  </si>
  <si>
    <t>मुर्खमंत्री💯</t>
  </si>
  <si>
    <t>🚩🌏</t>
  </si>
  <si>
    <t>वंदे मातरम 🚩जय हिंद🚩</t>
  </si>
  <si>
    <t>I believe in Bharatvarsh. It can't rise by status quo colonial sepoy influencers. We will have to make our future. Successful Equity Investor. IIM-L Grad.</t>
  </si>
  <si>
    <t>bandaru naveen</t>
  </si>
  <si>
    <t>First Gen Entrepreneur and a Proud Indian</t>
  </si>
  <si>
    <t>Pranay Bhartiya</t>
  </si>
  <si>
    <t>Prabhadevi, Mumbai</t>
  </si>
  <si>
    <t>Bit Choosy, proud as an Indian, big fan of Mr. Narendra Modi, blessed to be followed by @PiyushGoyalOffc , been once with DNA: part of patriotic Zee Media Corp</t>
  </si>
  <si>
    <t>aman</t>
  </si>
  <si>
    <t>civil engineer great learner &amp; highly optimist</t>
  </si>
  <si>
    <t>IvoJima61</t>
  </si>
  <si>
    <t>Pourquoi acheter un journal quand on peut acheter un journaliste ?😉</t>
  </si>
  <si>
    <t>Tapendra Pathak</t>
  </si>
  <si>
    <t>F4F=UF4UF</t>
  </si>
  <si>
    <t>TORONTO CANADA!!</t>
  </si>
  <si>
    <t>i see human but no humanity!</t>
  </si>
  <si>
    <t>G.V.Nair NAMO 🇮🇳🙏</t>
  </si>
  <si>
    <t>India - My Mathru Bhoomi</t>
  </si>
  <si>
    <t>Doing voluntry seva in my Gurus Ashram. NaMo💪👍🙏R.Ts r fun. Hon'rd &amp; blesed 2b followed by PM @narendramodi_PM, Piyush ji @piyushgoyal_Offc, Yogiji @ppagarwal</t>
  </si>
  <si>
    <t>ᗰᗪᑭ ᔕOᖇᑌ 🎈</t>
  </si>
  <si>
    <t>RT nytimesworld: Shinzo Abe's party is on the road to a major victory in Japan's elections, early projections show https://t.co/cCAngPson0</t>
  </si>
  <si>
    <t>Republic of Maldives</t>
  </si>
  <si>
    <t>| Maldivian | | My tweets reflect my personal view | #Amaabunithifarahdiyun</t>
  </si>
  <si>
    <t>What ¯\_(ツ)_/¯</t>
  </si>
  <si>
    <t>LOL land</t>
  </si>
  <si>
    <t>Retweets &amp; links are not endorsements</t>
  </si>
  <si>
    <t>#SoutheastAsia Japan Election Victory Gives Abe Mandate For Reform https://t.co/bywMejdBHf</t>
  </si>
  <si>
    <t>Piyush Singh</t>
  </si>
  <si>
    <t>Junior Research Associate @TakshashilaInst.China.India.Foreign Policy. Law. Tech.</t>
  </si>
  <si>
    <t>eshaprasanna</t>
  </si>
  <si>
    <t>Sub editor - Vijayavani Daily VRL media Ltd. former sub editor Prajavani, Vishwavani.</t>
  </si>
  <si>
    <t>ajay yadav</t>
  </si>
  <si>
    <t>Indian, Rationalist</t>
  </si>
  <si>
    <t>Japan Election Victory Gives Abe Mandate For Reform https://t.co/cgTtrUk66h</t>
  </si>
  <si>
    <t>Alok Chandra Mohanty</t>
  </si>
  <si>
    <t>Cuttack, Odisha, India.</t>
  </si>
  <si>
    <t>Nationalist &amp; Social Activist. State Executive Member. Bharatiya Janata Yuva Morcha, Odisha Pradesh. Views are Personal.</t>
  </si>
  <si>
    <t>KCAggarwal</t>
  </si>
  <si>
    <t>I am devotee of our PM Modi Ji. In next 15 years, he will change the destiny of India. We may be World Leader in all spheres and no poverty in India.</t>
  </si>
  <si>
    <t>Anna C. Fontana 👗</t>
  </si>
  <si>
    <t xml:space="preserve">Rome *** World *** </t>
  </si>
  <si>
    <t>Let the wind blow through your heart 🇨🇦 *** Zoe *** Instagram *** anna_annie12_ *** 🇨🇦</t>
  </si>
  <si>
    <t>Arijit Saha</t>
  </si>
  <si>
    <t>Over the Hills and Far Away!</t>
  </si>
  <si>
    <t>iModi, i Beer, iRT, i Play fps games, i listen to a lotta Music.. ohh btw, can i get sum gud # anywer?</t>
  </si>
  <si>
    <t>Lordy</t>
  </si>
  <si>
    <t>-Management Professional -Believes In Akhand Bharat -Trusts @narendramodi -Blessed To Be Followed By Many Who Are Personally Followed By @narendramodi ji😉</t>
  </si>
  <si>
    <t>Kaushal MS</t>
  </si>
  <si>
    <t>Sanatani, Proud Bharateeya</t>
  </si>
  <si>
    <t>Eric</t>
  </si>
  <si>
    <t>Monument, CO</t>
  </si>
  <si>
    <t>Tweet a profanity at me and you’re blocked. That’s you ceding the argument. I have zero time for people who can’t converse above an adolescent level.</t>
  </si>
  <si>
    <t>Claudia Limardo</t>
  </si>
  <si>
    <t>Visshwas</t>
  </si>
  <si>
    <t>Ganny</t>
  </si>
  <si>
    <t>Dulce B 🌹</t>
  </si>
  <si>
    <t>#FeelTheBern #NoDAPL RT ≠ endorsement 🌹</t>
  </si>
  <si>
    <t>Thamaraisk</t>
  </si>
  <si>
    <t>LIKIMANI GEORGE</t>
  </si>
  <si>
    <t>Kiambu County, Kenya</t>
  </si>
  <si>
    <t>IT Technician.</t>
  </si>
  <si>
    <t>Shelley</t>
  </si>
  <si>
    <t>Midwest</t>
  </si>
  <si>
    <t>avid reader, esp mystery, sci fi/fantasy;Anglophile; #Browncoat #Fillionaire Warning! I have #ONFD</t>
  </si>
  <si>
    <t>Mangalrathore</t>
  </si>
  <si>
    <t>Seivale Patil</t>
  </si>
  <si>
    <t>ANKUR SAXENA</t>
  </si>
  <si>
    <t>Shashank Pandey🇮🇳</t>
  </si>
  <si>
    <t>सुनो सबकी करो दिल की ताल ठोक के 👍🇮🇮 🇳followed by @PiyushGoyaloffc</t>
  </si>
  <si>
    <t>SAURABH SINGH</t>
  </si>
  <si>
    <t>I m religious person &amp; makes life easy for everyone who needs help</t>
  </si>
  <si>
    <t>Dr. Joydeep Banerjee</t>
  </si>
  <si>
    <t>India ie Bharat</t>
  </si>
  <si>
    <t>Scientist, Discovery Research, #Rationalist, #Nation First, Passion Poetry, RT# Not necessarily Endorsement #Save India 4m Pseudo Secularism</t>
  </si>
  <si>
    <t>Ed Mercado</t>
  </si>
  <si>
    <t>IMMIGRANT. Sports Fan. Husband and a Father of 2. Desperate CPA Candidate.</t>
  </si>
  <si>
    <t>#BeHonest.</t>
  </si>
  <si>
    <t>thane/maharashtra</t>
  </si>
  <si>
    <t>Indian. Proud to be associated with BJP since its inception. No compromise on Hindutva. Tremendous faith on our PM Shri. Modiji. BHARAT MATA KI JAI !</t>
  </si>
  <si>
    <t>Dakota Cary</t>
  </si>
  <si>
    <t>After yesterday's election, ruling LDP coalition of Japan keeps the 2/3 majority needed to revise the pacifist constitution.</t>
  </si>
  <si>
    <t>Raleigh, NC</t>
  </si>
  <si>
    <t>Connector of Legislators and Constituents for @NCRealtors | OFA, Colbert-Busch, Hagan, Barnhill Alum | Foodie, reader, 汉语, economics and international relations</t>
  </si>
  <si>
    <t>Büyük Taarruz</t>
  </si>
  <si>
    <t>Büyük ihtimalle ustadan ve ortadoğunun geleceği için söylenmiştir</t>
  </si>
  <si>
    <t>Bjp Gir SomnathSM</t>
  </si>
  <si>
    <t>Gir Somnath</t>
  </si>
  <si>
    <t>મતિ ભ્રમિત થાય નાં, ગતિ સ્થગિત થાય નાં, ધ્યેય નિષ્ઠા મારી કદી છીન્ન ભિન્ન થાય નાં, રાષ્ટ્રધર્મ સર્વોપરિ🇮🇳🙏</t>
  </si>
  <si>
    <t>SAM JOSHI...💖</t>
  </si>
  <si>
    <t>rajkot [gujarat]</t>
  </si>
  <si>
    <t>💞Please Understand, You've Got a Heart To Fall In Love ... Now You Decide, Whether You Want To Fall In Love With One Or Eleven..💞💕💖</t>
  </si>
  <si>
    <t>Nishant Kumar</t>
  </si>
  <si>
    <t>Indian Media Watch</t>
  </si>
  <si>
    <t>Watching New Stories of Indian Media. Trying to highlight contradictions and agendas. For Honest Journalists and media watchers</t>
  </si>
  <si>
    <t>Yogesh Gandhi</t>
  </si>
  <si>
    <t>Carol Nolan Drake</t>
  </si>
  <si>
    <t>Columbus, OH</t>
  </si>
  <si>
    <t>Babak</t>
  </si>
  <si>
    <t>real estate agent who is interested in world news especially Middle East</t>
  </si>
  <si>
    <t>Viren Viradiya</t>
  </si>
  <si>
    <t>नादियाड़, भारत</t>
  </si>
  <si>
    <t>Mechanical engineering Student at Dharmsinh Desai University, Nadiad, Gujarat</t>
  </si>
  <si>
    <t>Boris Johnson</t>
  </si>
  <si>
    <t>Warm congratulations to @AbeShinzo on his election success. I look forward to further strengthening ties. UK &amp; Japan are natural partners</t>
  </si>
  <si>
    <t>Secretary of State for Foreign &amp; Commonwealth Affairs. MP for Uxbridge and South Ruislip</t>
  </si>
  <si>
    <t>Amandeep SinghBhogal</t>
  </si>
  <si>
    <t>RT @BorisJohnson: Warm congratulations to @AbeShinzo on his election success. I look forward to further strengthening ties. UK &amp; Japan are…</t>
  </si>
  <si>
    <t>Westminster, England</t>
  </si>
  <si>
    <t>Conservative Campaigner ▪ GE2015 Parliamentary candidate Upper Bann ▪ Political commentator ▪ Foundry engineer</t>
  </si>
  <si>
    <t>Pavel Кulyuk</t>
  </si>
  <si>
    <t>The situation in #NorthKorea Abe poised for victory as voters battle through wind and rain in Japan election… https://t.co/wbAxdwKi6G</t>
  </si>
  <si>
    <t>If I knew where I am :)</t>
  </si>
  <si>
    <t>I'm journalist #NorthKorea, war, #terrorists, scandals, and #Trump. When I get tired, I write about #ReaEstate in a quiet and safe #Switzerland.</t>
  </si>
  <si>
    <t>William Single</t>
  </si>
  <si>
    <t>coventry city uk</t>
  </si>
  <si>
    <t>football and cricket Coventry and England</t>
  </si>
  <si>
    <t>Alex Robinson</t>
  </si>
  <si>
    <t>Burqa Butt</t>
  </si>
  <si>
    <t>I'm a #Presstitute -oops! Liberal Journo. I like to pull stories out my butt &amp; unknwn srcs &amp; when called out, I like to call thm trolls &amp; shw how abusive they r</t>
  </si>
  <si>
    <t>Jitu v Bhanushali</t>
  </si>
  <si>
    <t>Motostrelki</t>
  </si>
  <si>
    <t>코민테른</t>
  </si>
  <si>
    <t>저는 빨갱 이가 아닙니 다</t>
  </si>
  <si>
    <t>THLleong</t>
  </si>
  <si>
    <t>Heaven let your light shine down , chasing own PIPs &amp; TICKs of life , music lover + financial markets player focusing on Time , Price &amp; Pattern !</t>
  </si>
  <si>
    <t>Pravin</t>
  </si>
  <si>
    <t>🇮🇳 रवि गुप्ता 🇮🇳</t>
  </si>
  <si>
    <t>1st भारतीय हूँ। Assistant Prosecution Officer #UPGovernment (RT's r nt endorsement) @narendramodi भक्‍त हूँ। अंध भक्त और मोदी विरोधी दूर रहें।</t>
  </si>
  <si>
    <t>Official Dhairya.T</t>
  </si>
  <si>
    <t>Anime expert || Need suggestion for anime ..I'm the best around here 😏|| ashxcynthia &amp; ashxserena || I also follow many ships in other anime ||</t>
  </si>
  <si>
    <t>Rahul Jobanputra</t>
  </si>
  <si>
    <t>Patan, India</t>
  </si>
  <si>
    <t>#Convener, #IT &amp; #Socialmedia Department BJYM PATAN CITY सेवा संघर्ष और बलिदान। राजनीति हमारे लिए शौख धंधा नहीं ,बल्कि हमारा धर्म,कर्तव्य एवं फर्ज है।😊🚩</t>
  </si>
  <si>
    <t>Deepak Soni</t>
  </si>
  <si>
    <t>कुक्षी,  मध्य प्रदेश, भारत</t>
  </si>
  <si>
    <t>MersalBhairava @RAJI</t>
  </si>
  <si>
    <t>Sports Music Entertainment Food Travel Lifestyle TV Fashion Comedy and Humour Music Music Music Music Music Music Music Music Music Music Music Music Music</t>
  </si>
  <si>
    <t>Gokul Raj</t>
  </si>
  <si>
    <t>Anil Ramesh</t>
  </si>
  <si>
    <t>Bangalore, Karnataka, India</t>
  </si>
  <si>
    <t>Engineer, Entrepreneur, Photographer. Tech-savvy guy. Blogger, Traveler, Yoga Trainer and Practitioner.</t>
  </si>
  <si>
    <t>dr parag 🇮🇳</t>
  </si>
  <si>
    <t>Consultant Radiologist / / Die-Hard Fan of NaMo / હું વિકાસ છું .. હું છું ગુજરાત /</t>
  </si>
  <si>
    <t>Mayank Yadav 💕</t>
  </si>
  <si>
    <t>Rampur</t>
  </si>
  <si>
    <t>A proud INDIAN and a die hard supporter of Balochistan freedom movement.... Long live balochistan ✌</t>
  </si>
  <si>
    <t>Logesh Rocker</t>
  </si>
  <si>
    <t>Dharapuram, India</t>
  </si>
  <si>
    <t>Studying at Nachimuthu polytechnic collage</t>
  </si>
  <si>
    <t>Md Jabed hussain</t>
  </si>
  <si>
    <t>WSJ: Japan's Prime Minister Shinzo Abe faces long-term economic challenges now the election is over … https://t.co/7iNC9oQ2o6</t>
  </si>
  <si>
    <t>SANJEEV SHARMA</t>
  </si>
  <si>
    <t>Dharma Ki jay ho Adharam ka naash ho Praniyo Mein sadbhawna ho Vishav ka kalyan ho. INDIAN COMMUNITY BENEVOLENT FORUM - QATAR</t>
  </si>
  <si>
    <t>Kus Mukherjee</t>
  </si>
  <si>
    <t>Howrah,West Bengal  India</t>
  </si>
  <si>
    <t>I know the difference between pleasing and loving, obeying and respecting. I am not single, not taken. I'm simple on reserve for the one who believes me🎧</t>
  </si>
  <si>
    <t>Anuj Kumar Sahu</t>
  </si>
  <si>
    <t>🇮🇳🇮🇳असली देश भक्तो का भाई🇮🇳🇮🇳 धर्मान्धो के लिए 🏹🚩कट्टर हिंदू 🏹🚩 सेकुलरो एवम् नकली हिंदू के लिए 🦂🐍🦀जहर🕷️🦗 HHHजय हिंद🙏🙏🙏🙏</t>
  </si>
  <si>
    <t>Saffron Allegiance</t>
  </si>
  <si>
    <t>Mukesh Joshi</t>
  </si>
  <si>
    <t>Susan J. Gempka</t>
  </si>
  <si>
    <t>Librarian, Love family, books, news and our country</t>
  </si>
  <si>
    <t>Free Them All</t>
  </si>
  <si>
    <t>I believe human beings deserve love and we are here to promote it to each other. Human rights is protected by love.</t>
  </si>
  <si>
    <t>Japan's Abe to push pacifist constitution reform after strong election win https://t.co/fzM1YZU6Pw</t>
  </si>
  <si>
    <t>Japan Press Weekly</t>
  </si>
  <si>
    <t>Shii at kick-off speech resolves anew to seek JCP advance in general election https://t.co/fA9KvfeNh8</t>
  </si>
  <si>
    <t>providing information of progressive, democratic movements in Japan</t>
  </si>
  <si>
    <t>Rajeshwari Shah</t>
  </si>
  <si>
    <t>ufufunofu</t>
  </si>
  <si>
    <t>いろんな方のツイートを読んで勉強したいのでフォロー祭中です（＾＾)ウザい程のRT魔なのでよろしく。らぶあんどぴーす( ´Д`)y━･~~</t>
  </si>
  <si>
    <t>The Editor News</t>
  </si>
  <si>
    <t>Japan Election Victory Gives Abe Mandate For Reform: The ruling coalition scores a two… https://t.co/M29FklaiMz</t>
  </si>
  <si>
    <t>HYC, TS, IN</t>
  </si>
  <si>
    <t>Deciphering News!</t>
  </si>
  <si>
    <t>KPvasu</t>
  </si>
  <si>
    <t>David Sinclair</t>
  </si>
  <si>
    <t>North Korea and ageing Japan main priorities for PM Abe after big election win https://t.co/q4QT6qEPPe</t>
  </si>
  <si>
    <t>Bognor Regis</t>
  </si>
  <si>
    <t>Chair, Open Age; Director, ILC-UK; Ageing; Cycling, Policy, Jellyfish, Queen, Wrexham, Wales, Bognor, London, Romania, Bognor and Chichester CTC</t>
  </si>
  <si>
    <t>Int Longevity Centre</t>
  </si>
  <si>
    <t>North Korea and ageing Japan main priorities for PM Abe after big election win https://t.co/qsfzm8bTKG</t>
  </si>
  <si>
    <t>Posts from team @ilcuk. Contributors include David Sinclair (DS), Dave Eaton (DE), Ben Franklin (BE), Dean Hochlaf (DH)</t>
  </si>
  <si>
    <t>©OfficeofSpit™</t>
  </si>
  <si>
    <t>Secularpur</t>
  </si>
  <si>
    <t>Woh do the aur tum char, Phir bhi tum log wapas aa gaye...Haramzado, Gabbar ka naam mitti main mila diya... aack thu! Supports #IndianArmy!</t>
  </si>
  <si>
    <t>Amit Kumar  Vats</t>
  </si>
  <si>
    <t>महेश सुथार</t>
  </si>
  <si>
    <t>Heartiest Greetings to @AbeShinzo on his Big Election Win. Look Forward to Further Strengthen India-Japan Relations with Him.</t>
  </si>
  <si>
    <t xml:space="preserve">पाटण,  गुजरात </t>
  </si>
  <si>
    <t>IT &amp; Social Media Conviner BJYM Patan./ Member of Yuva Foundation./ Member of Bhoomi Foundation.</t>
  </si>
  <si>
    <t>prasanta misra</t>
  </si>
  <si>
    <t>gurgaon,india</t>
  </si>
  <si>
    <t>NRM/rural engineering and technlogy/inclusive development/women empowerment/social justice Engineer(IIT,Kharagpur) /(IIM,Ahmedabad).</t>
  </si>
  <si>
    <t>Support Vector</t>
  </si>
  <si>
    <t>George Lavrov</t>
  </si>
  <si>
    <t xml:space="preserve">San Rafael, CA </t>
  </si>
  <si>
    <t>George Lavrov was born and raised in Yokohama Japan. Attended SJC ('59) He is the author of Yokohama Gaijin.</t>
  </si>
  <si>
    <t>Pravinkotian</t>
  </si>
  <si>
    <t>M</t>
  </si>
  <si>
    <t>KL Communications</t>
  </si>
  <si>
    <t>“The sun may yet rise for Japan with Abe at the helm”. Read @Hermesinvest's Louise Dudley’s take on the impact of J… https://t.co/TUgNziJKzr</t>
  </si>
  <si>
    <t>The proactive financial PR and communications consultancy with a proven track record of consistently delivering value-added results.</t>
  </si>
  <si>
    <t>Koji Yamada</t>
  </si>
  <si>
    <t>新潟→横浜→川崎→京都</t>
  </si>
  <si>
    <t>アルビかブラウンか時計か服か靴か飯か呑み</t>
  </si>
  <si>
    <t>shahriyar gourgi</t>
  </si>
  <si>
    <t>After election win, Abe prioritizes #NorthKorea, aging #Japan - Associated Press https://t.co/UvJaGNRuMU</t>
  </si>
  <si>
    <t>Political/Military</t>
  </si>
  <si>
    <t>Tony Daltorio</t>
  </si>
  <si>
    <t>Shinzo Abe gains big victory in Japan election https://t.co/sZda2CgHoR via @FT</t>
  </si>
  <si>
    <t>Tweets are my personal views</t>
  </si>
  <si>
    <t>Financial Markets Expert and Writer</t>
  </si>
  <si>
    <t>The Diplomat</t>
  </si>
  <si>
    <t>Japan Election Victory Gives Abe Mandate For Reform https://t.co/CRjQHvcqtn</t>
  </si>
  <si>
    <t>The Diplomat: the premier international affairs magazine for the Asia-Pacific, covering politics, defense and society from China and Iran to Burma and Australia</t>
  </si>
  <si>
    <t>TG ☄</t>
  </si>
  <si>
    <t>RT @ReutersUK: Japan voters to deliver verdict on PM Abe's nearly five-year rule https://t.co/Deu3D5nDtz https://t.co/lmZB2HFcvC</t>
  </si>
  <si>
    <t xml:space="preserve">NYC </t>
  </si>
  <si>
    <t>Astrologer♒♒♐Photography💘NYC #RTEndorsements #NewsMusicArtTV #TheaterFilms, who knows? ✨ Time spent in laughter😁,is time spent with the gods! PEACE☮♡</t>
  </si>
  <si>
    <t>bhahubali bpy</t>
  </si>
  <si>
    <t>Opinions are personal. RTs are not endorsement.</t>
  </si>
  <si>
    <t>Jharkhand, India</t>
  </si>
  <si>
    <t>🐅</t>
  </si>
  <si>
    <t>Olugbenga Oribayo</t>
  </si>
  <si>
    <t>Trump Calls Japan’s Abe, Congratulates Him On Election Victory https://t.co/r0LBj1VAi0</t>
  </si>
  <si>
    <t>Lagos nigeria</t>
  </si>
  <si>
    <t>Official Twitter Account of Headbayo • Digital Content Manager at @ChannelsTv • WhatsApp +234-8067205806 • RT ≠ Endorsement</t>
  </si>
  <si>
    <t>ANIL GURJAR</t>
  </si>
  <si>
    <t>KeepWalking</t>
  </si>
  <si>
    <t>KL Kaz</t>
  </si>
  <si>
    <t>Leader, dreamer, amateur wine taster. I sometimes run with scissors.</t>
  </si>
  <si>
    <t>Ralph Leaman</t>
  </si>
  <si>
    <t>Polls open in Japan&amp;#039;s snap general election https://t.co/Lycs3YAeI8</t>
  </si>
  <si>
    <t>Gaithersburg, MD</t>
  </si>
  <si>
    <t>Eagle/Scout A' &amp; B's/school perfect attn. spent 5 yrs. in chemistry/notes Instagram: ralphleaman Facebook ralph.leaman Inquiries: 😣Contact leaman_r@yahoo.com</t>
  </si>
  <si>
    <t>G.B. aka リベラル再興へ</t>
  </si>
  <si>
    <t>こうもりだけが知っている</t>
  </si>
  <si>
    <t>GOLDEN BAT is GOD. ロージナ茶会一般人派。ホシュ、サヨク、自民、公明、維新、民進党、御用メディア不支持。立憲主義、議会制民主主義支持。A member of Rodina T.P., a Latin American Bolero Lover, and a liberalist.</t>
  </si>
  <si>
    <t>AllianzGI Media</t>
  </si>
  <si>
    <t>What's Japan-ing? Neil Dwane explains to @FundFanatic what a third win for Shinzo Abe might mean for markets https://t.co/qEPIHlRHYv 🇯🇵</t>
  </si>
  <si>
    <t>Global investment news and views from AllianzGI’s Communications teams in London and New York. Intended for media professionals</t>
  </si>
  <si>
    <t>Diya.</t>
  </si>
  <si>
    <t>hii I am a new in Twitter can you all joined me please.</t>
  </si>
  <si>
    <t>Srimanta Kumar Das</t>
  </si>
  <si>
    <t>Tweets are personal</t>
  </si>
  <si>
    <t>DEVASHISH RATURI</t>
  </si>
  <si>
    <t>Dr Shivram 🇮🇳</t>
  </si>
  <si>
    <t>Ajmer, India</t>
  </si>
  <si>
    <t>Ayurved Medical Officer at Govt of Rajasthan ,B.A.M.S.,M.D.(Ayurveda) I.P.G.T.&amp; R.A.(GAU) Die Heart fan of PM @narendramodi @swamy39 @DrGPradhan,Nation comes1st</t>
  </si>
  <si>
    <t>雲水</t>
  </si>
  <si>
    <t>RT @The_Japan_News: #Abe begins work on 4th Cabinet https://t.co/kPpswCtJN1 #election</t>
  </si>
  <si>
    <t>淡道之穂之狭別島，兵庫縣，日本國｜Hyogo , Japan</t>
  </si>
  <si>
    <t>神戸方面を中心に、アコースティック系のライブを参観してます♪（ご注意）けっこうな量のＲＴをします。FreeJAPAN・親台湾・FreeTIBET・FreeUYGHUR・反社民・反共・反中。フォローに当たっては予めご留意ねがいます。</t>
  </si>
  <si>
    <t>Michael</t>
  </si>
  <si>
    <t>@NBCNews This election was a fight between Japanese and Koreans in Japan.</t>
  </si>
  <si>
    <t>The country in Japan</t>
  </si>
  <si>
    <t>日本の暇人です。 世界の面白情報を紹介します。 I am a Japanese leisure person. Interesting information of the world will be introduced.</t>
  </si>
  <si>
    <t>Thomas Lee</t>
  </si>
  <si>
    <t>Passionate about life and travel. Philosopher of the mind. Londoner through and through. Tweets my own. Welcome new thoughts and debates.</t>
  </si>
  <si>
    <t>Surendra Rajpoot</t>
  </si>
  <si>
    <t>अलीगंज, लखनऊ</t>
  </si>
  <si>
    <t>Sjoerd van Hoorn</t>
  </si>
  <si>
    <t>RT @Diplomat_APAC: Japan Election Victory Gives Abe Mandate For Reform https://t.co/CRjQHvcqtn</t>
  </si>
  <si>
    <t>Nijmegen/Nimègue, Pays-Bas</t>
  </si>
  <si>
    <t>Schrijft, writes, écrit, dichtet.</t>
  </si>
  <si>
    <t>i0xoo sara 🐸</t>
  </si>
  <si>
    <t>Dollar/yen hits three-month high after Japan ruling party’s election win https://t.co/uHDpJabm3D</t>
  </si>
  <si>
    <t>Here</t>
  </si>
  <si>
    <t>Just wanna #MAGA🐸</t>
  </si>
  <si>
    <t>TomiCraft 🚀</t>
  </si>
  <si>
    <t>Japan's stocks on record winning streak after Abe's election victory https://t.co/sm5MgJVzfy via @YouTube</t>
  </si>
  <si>
    <t>LA-NY-Paris</t>
  </si>
  <si>
    <t>Change is the law of life. And those who look only to the past or present are certain to miss the future #Forex #USDNZD 💱 #USDJPY</t>
  </si>
  <si>
    <t>Vithal Wadje</t>
  </si>
  <si>
    <t>.NET Developer | Microsoft MVP | 5 times C# Corner MVP | C# corner Mumbai UG lead | Author | Speaker | Son of farmer | Laturkar | dream​ to become SW Architect</t>
  </si>
  <si>
    <t>Nitin Kochhar</t>
  </si>
  <si>
    <t>Corporate Laws Consultant (FCS, L. LB.) and heading a team of professionals at NSK (Corporate Advisors). Reweets are not endorsement.</t>
  </si>
  <si>
    <t>keyur sankhesara🇮🇳</t>
  </si>
  <si>
    <t>Doctor</t>
  </si>
  <si>
    <t>長月</t>
  </si>
  <si>
    <t>水の都 多摩の国</t>
  </si>
  <si>
    <t>感情的な人、レッテル貼りする人は無理みたいですw ごめんなさいねw 100の言葉より1の行動が大事！</t>
  </si>
  <si>
    <t>Ganduri</t>
  </si>
  <si>
    <t>SAP |TDP &amp; BJP supporter |Bhakt | पूर्णमदः पूर्णमिदं पूर्णात् पूर्णमुदच्यते पूर्णस्य पूर्णमादाय पूर्णमेवावशिष्यते | Hindu | RSS Pracharak</t>
  </si>
  <si>
    <t>M.Turner</t>
  </si>
  <si>
    <t>好きなものは音楽。主に洋楽Rock.Jazz。政治が好きで安倍政権、自民党を応援するホテルマンです。宜しくお願い致します！</t>
  </si>
  <si>
    <t>doralanillos</t>
  </si>
  <si>
    <t>Japan's Abe to push pacifist constitution reform after strong election win https://t.co/rlikHc52uQ https://t.co/MQjHZzpTkV</t>
  </si>
  <si>
    <t>Dora.32 .student .photographer.just trying to find amazing news each day in the world</t>
  </si>
  <si>
    <t>Francis H. Byrd</t>
  </si>
  <si>
    <t>Brooklyn, New York</t>
  </si>
  <si>
    <t>I'm a pessimist by nature and a cynic by choice. All opinions expressed herein are solely my own.</t>
  </si>
  <si>
    <t>Mark Field MP</t>
  </si>
  <si>
    <t>MP for the Cities of London and Westminster and Minister of State for Asia and the Pacific @foreignoffice</t>
  </si>
  <si>
    <t>harish Jangid</t>
  </si>
  <si>
    <t>जब शौर्य सो जाए,पाठ प्रताप का पढ़ लेना||</t>
  </si>
  <si>
    <t>Alastair Fairbrother</t>
  </si>
  <si>
    <t>RT @AllianzGI_Media: What's Japan-ing? Neil Dwane explains to @FundFanatic what a third win for Shinzo Abe might mean for markets https://t…</t>
  </si>
  <si>
    <t>Head of Corporate and UK Comms @AllianzGI_Media. Saw Lord Sugar in a lift w/ @LSEGplc. @CPFC sufferer. Recovering mint tea addict. Views mine</t>
  </si>
  <si>
    <t>Krishna Kr Singh</t>
  </si>
  <si>
    <t>राष्ट्रवादी.. विशुद्ध भारतीय..!!</t>
  </si>
  <si>
    <t>Aditya Kuthiala</t>
  </si>
  <si>
    <t>Nothing profound to express, uncomplicated thoughts lead to simple expressions. I don't RT un-endorsable tweets</t>
  </si>
  <si>
    <t>KIO</t>
  </si>
  <si>
    <t>Earthbound</t>
  </si>
  <si>
    <t>彷徨えるシュールレアリスト マクロ経済学(勉強中♪)/新ウィーン楽派/英国政治(ボリス外相)/アルチンボルド/安部公房 Enchantée!(アンシャンテ)</t>
  </si>
  <si>
    <t>ALBERTO_SEVERINI</t>
  </si>
  <si>
    <t>Serrapetrona (MC), Marche</t>
  </si>
  <si>
    <t>North Korea Fears Japan 'Invasion' as Abe's Victory Paves the Way for Changes to Pacifist Constitution https://t.co/YJCin1kKtq</t>
  </si>
  <si>
    <t>Sreeram Kempanna</t>
  </si>
  <si>
    <t>Aerospace Industry</t>
  </si>
  <si>
    <t>MJay</t>
  </si>
  <si>
    <t>North Korea Fears Japan 'Invasion' as Abe's Victory Paves the Way for Changes to Pacifist Constitution https://t.co/wOI4b3TwJr</t>
  </si>
  <si>
    <t>truthseeker</t>
  </si>
  <si>
    <t>The Dark Side of the Moon</t>
  </si>
  <si>
    <t>Senior BPM Architect, BPM Practice Lead, Startups, IT, Hard Core Rock n Roll Fan 🤘 .. Big Foddie n I Love Traveling .. just keep driving man!!! 🚘😊😎🤘🤞🏖🗽</t>
  </si>
  <si>
    <t>North Korea Fears Japan 'Invasion' as Abe's Victory Paves the Way for Changes to Pacifist Constitution https://t.co/GPQb6rKGm0</t>
  </si>
  <si>
    <t>Under The Sea</t>
  </si>
  <si>
    <t>BharatBhakt/RamBhakt/ModiBhakt/BjpBhakt/BharatMataKiJai/VandeMataram/Mera Bharat Desh Mahaan🙏🇮🇳</t>
  </si>
  <si>
    <t>Natt  Klinsukond</t>
  </si>
  <si>
    <t>BBC News: Nikkei hits new highs on Japan election https://t.co/XE819tmR0l</t>
  </si>
  <si>
    <t>BBC News on iOS</t>
  </si>
  <si>
    <t>Managing Director, LNP Creative Consultants Co.,Ltd. Certified Public Accountants, CPA(Thailand) ผู้ตรวจสอบบัญฃีรับอนุญาต สมาชิกสภาวิชาชีพบัญชี</t>
  </si>
  <si>
    <t>shootertron</t>
  </si>
  <si>
    <t>Japan election news makes me envious because at least it’s not Immortan Orange :(</t>
  </si>
  <si>
    <t>It's a mystery</t>
  </si>
  <si>
    <t>Super robot lifeform. 18+ content. I post nasty stuff sometimes, don't follow if robot violence unnerves you. 日本語をまだ学んでるから返信がおそくなってすみません。我可以说中文但是我经常用一个字典。囧rz</t>
  </si>
  <si>
    <t>Diplomat_APAC: Japan Election Victory Gives Abe Mandate For Reform https://t.co/BmRA04iz60</t>
  </si>
  <si>
    <t>331107adp</t>
  </si>
  <si>
    <t>to raise support rate, #Japanese Abe Govt expects more #NorthKorea #missile #launch during #election #Japan #NorthKoreaNukes #UnitedNations</t>
  </si>
  <si>
    <t>North Korea Fears Japan 'Invasion' as Abe's Victory Paves the Way for Changes to Pacifist Constitution https://t.co/uPfY8TUmQD</t>
  </si>
  <si>
    <t>Erika Alpert 💬</t>
  </si>
  <si>
    <t>Detroit•Astana•Kyoto</t>
  </si>
  <si>
    <t>Personal opinions of a linguist and anthropologist. Language, tech, gender, sexuality, Japan, etc. Retweets are not endorsements.</t>
  </si>
  <si>
    <t>One Longfinger</t>
  </si>
  <si>
    <t>Fact: Harper is the WORST PM</t>
  </si>
  <si>
    <t>Environmental scientist, researcher, professor, interest in politics, exposing the truth, want a better future for my family and for mankind.</t>
  </si>
  <si>
    <t>Vinmax Infotech</t>
  </si>
  <si>
    <t>#After election win, Abe prioritizes North Korea, aging Japan - https://t.co/fQeh3pX3cJ #admin html template by maxartkiller admin ...</t>
  </si>
  <si>
    <t>latest mobile news app</t>
  </si>
  <si>
    <t>Vinmax Infotech is one of leading Software Development, Designing &amp; Outsourcing Company in the business of providing software services to its clients globally.</t>
  </si>
  <si>
    <t>Dhaval Doshi</t>
  </si>
  <si>
    <t>😎BJP ITSM-SOCIAL MEDIA INCHARGE! MISSION-TO MAKE A CHANGE IN A SOCIETY! GOAL-MAKE PEOPLE UNITED! M.9081595995👈JUST WHATS UP IF U WANT TO BE PART OF BJP!😎</t>
  </si>
  <si>
    <t>Cllr Joe Porter 🇬🇧</t>
  </si>
  <si>
    <t>Endonian, Stokie &amp; Keelite</t>
  </si>
  <si>
    <t>Co-Leader @weareundivided/ Political Director @ThinkNorthUK/ Endon Cllr/ Advisory Board @appg_brexit/ @ukyv Rep/ @iwill_campaign Rep/ Chair @staffsmoorcf #LGBT</t>
  </si>
  <si>
    <t>पं.रामसुजान द्विबेदी</t>
  </si>
  <si>
    <t>नागपुर</t>
  </si>
  <si>
    <t>कांग्रेस भगाओ देश बचाओ।</t>
  </si>
  <si>
    <t>Maruti</t>
  </si>
  <si>
    <t>Entrepreneur, Arsenal fan, Dog Lover, Chess player, Proud Indian.</t>
  </si>
  <si>
    <t>Anil Kumar</t>
  </si>
  <si>
    <t>Al Khobar, Eastern</t>
  </si>
  <si>
    <t>A nobody trying to tell everybody about somebody</t>
  </si>
  <si>
    <t>Ashutosh Shivhare</t>
  </si>
  <si>
    <t>jabalpur, Shahdol mp</t>
  </si>
  <si>
    <t>गर्व से हिंदीमीडियम। हिंदू तन मन, हिंदू जीवन, रग रग हिंदू मेरा परिचय॥ blessed by shri @piyushgoyaloffc |pharmacist| computer expert |Teacher| RT -\- Endorsement</t>
  </si>
  <si>
    <t>Bhanu Prakash</t>
  </si>
  <si>
    <t>Muzaffarpur, Bihar, India</t>
  </si>
  <si>
    <t>Right - Activist, Analyst, Humanist A secret solitaire Instagram - @bhanupr11 Sarahah - @bhanupr11</t>
  </si>
  <si>
    <t>Ryan Cook</t>
  </si>
  <si>
    <t>Virginia Beach, VA</t>
  </si>
  <si>
    <t>Amar Rajpal</t>
  </si>
  <si>
    <t>Businessman, Hotelier, Foodie, NAMO fan..RTs not endorsements.</t>
  </si>
  <si>
    <t>PM Lee Hsien Loong congratulates Japan's Shinzo Abe on Lower House election victory https://t.co/Fhcw9tNoU0 https://t.co/Lkdpk4R6Hp</t>
  </si>
  <si>
    <t>RightRelevanceTweetApp</t>
  </si>
  <si>
    <t>Live content curated by top Singapore influencers. (Pic:https://t.co/EPJeOg7nVC)</t>
  </si>
  <si>
    <t>monty scates</t>
  </si>
  <si>
    <t>Stocks little changed to start the week https://t.co/moDYSqaDEC via @WSJ</t>
  </si>
  <si>
    <t>Sr.Dollar</t>
  </si>
  <si>
    <t>Former Owner of /Dollar Services/Dollar &amp; Associates/Former Vendor to Family Dollar Inc / خدمات الأمن الدولار /Pastor / Official account of Sr.Dollar</t>
  </si>
  <si>
    <t>Babba</t>
  </si>
  <si>
    <t>Datiya,  ujjain,  delhi</t>
  </si>
  <si>
    <t>karm-kand, waidik anusthaan, astrolojy, and solution advice.</t>
  </si>
  <si>
    <t>Japan&amp;amp;apos;s Shinzo Abe Conjures Stunning Election Victory in a Boost for Donald Trump #Socialmedia https://t.co/g4n2rhxJQy</t>
  </si>
  <si>
    <t>Find your latest Social Media news with just one click. Don't miss out on anything happening in your industry .check</t>
  </si>
  <si>
    <t>鳴海悟</t>
  </si>
  <si>
    <t>ガンダム、艦これ、カメラその他諸々にはまっております。 友人知人がTwitterを始めていると知り、試しにはじめてみました。 こちらでは過去に撮った写真を中心に貼ってみようかと思ってます。</t>
  </si>
  <si>
    <t>Basant Bhoruka</t>
  </si>
  <si>
    <t>Shenzhen - China</t>
  </si>
  <si>
    <t>Shuttling between India &amp; China for business</t>
  </si>
  <si>
    <t>Venkatakrishna C H</t>
  </si>
  <si>
    <t>GiveUpAMeal4Cows</t>
  </si>
  <si>
    <t>SUNIEL SINGH NEGI</t>
  </si>
  <si>
    <t>BHARAT</t>
  </si>
  <si>
    <t>Alchemist. Never lost faith in humans. Moved from Manager-Training to become Teacher, now Life Coach and finally the destination of becoming a Farmer-Organic.</t>
  </si>
  <si>
    <t>Japan’s Lower House Election: Abe Prevails Again | @CSIS by Michael Green &amp; Nick Szechenyi @JapanChair https://t.co/PUtN3ehwUD #Japan</t>
  </si>
  <si>
    <t>Dipshuvra dass</t>
  </si>
  <si>
    <t>HGV Respect</t>
  </si>
  <si>
    <t>We watching you are you watching us. You tube seach Hgv Respect</t>
  </si>
  <si>
    <t>North Korea Fears Japan 'Invasion' as Abe's Victory Paves the Way for Changes to Pacifist Constitution https://t.co/tnG8q20KQD</t>
  </si>
  <si>
    <t>neeraj sharma</t>
  </si>
  <si>
    <t>Industrial Robotics And Manufacturing professional</t>
  </si>
  <si>
    <t>Ashish Rajput</t>
  </si>
  <si>
    <t>The comeback of Abe is good for India. https://t.co/YLL7XNctWs</t>
  </si>
  <si>
    <t>President Of World Student Union 【writer📝】【Poet】 【Hate Poltical Secularism】 【Radical Indian from heart &amp; work】</t>
  </si>
  <si>
    <t>rahul rana</t>
  </si>
  <si>
    <t>How Abe's election gamble paid off https://t.co/c6JSPEuoxi https://t.co/o15Klv8Rp0</t>
  </si>
  <si>
    <t>S. Shekhar</t>
  </si>
  <si>
    <t>Naresh Choudhary</t>
  </si>
  <si>
    <t>Ashok Chaupal</t>
  </si>
  <si>
    <t>Arbinda Tiwary</t>
  </si>
  <si>
    <t>Varanasi U.P. INDIA</t>
  </si>
  <si>
    <t>Vyshaka</t>
  </si>
  <si>
    <t>Bharatiya | Kannadiga | Engineer | Entrepreneur | Nationalist Activist | Tweets Personal RTs Not Necessarily Endorsements | Courage In Adversity</t>
  </si>
  <si>
    <t>Luís</t>
  </si>
  <si>
    <t>Brasília, Brasil</t>
  </si>
  <si>
    <t>Vamoqvamo</t>
  </si>
  <si>
    <t>VicHoot</t>
  </si>
  <si>
    <t>Ulala! After election win, Abe prioritizes North Korea, aging Japan https://t.co/MZoJIPoLcV test</t>
  </si>
  <si>
    <t>ValentinaHoot</t>
  </si>
  <si>
    <t>Ulala! After election win, Abe prioritizes North Korea, aging Japan https://t.co/Gq1jpnaolf test</t>
  </si>
  <si>
    <t>ARVIND MISHRA</t>
  </si>
  <si>
    <t>Social Media activist &amp; Nationalist 🚩भगवा अपना जीवन है । भगवा अपनी पहचान है । भगवा से ही हिंदू है , भगवा से हिंदुस्तान है ॥</t>
  </si>
  <si>
    <t>Carl Bildt</t>
  </si>
  <si>
    <t>Landslide victory for PM Abe in Japan election. Now begins forming his 4th cabinet. Has two thirds majority. https://t.co/1xp4nDM10Y</t>
  </si>
  <si>
    <t>Co-Chair European Council on Foreign Relations @ecfr. Among many other things. På svenska på @cbildt.</t>
  </si>
  <si>
    <t>Ddwddick</t>
  </si>
  <si>
    <t>PETITE Or plus size Doesn't Matter - If You Mount Up, You Better Be Ready To Ride...</t>
  </si>
  <si>
    <t>Jitendra Singh</t>
  </si>
  <si>
    <t>Merta CT, India</t>
  </si>
  <si>
    <t>B.Sc Math Student Govt. College Ajmer,IAS Aspirant&amp;Sharing things, I m learning through My Foundation Work and Other Intrests.</t>
  </si>
  <si>
    <t>Activism and M&amp;A</t>
  </si>
  <si>
    <t>#FTIConsulting's Activism and M&amp;A Solutions practice is a one-stop shop for consulting on #shareholderactivism engagements and #hostileMnA.</t>
  </si>
  <si>
    <t>"https://t.co/QOKBMkhNIw"After election win, Abe prioritizes North Korea, aging Japan #Ειδήσεις #News #Noticias #N… https://t.co/w413VYBYud</t>
  </si>
  <si>
    <t>Persnickety</t>
  </si>
  <si>
    <t>RT @carlbildt: Landslide victory for PM Abe in Japan election. Now begins forming his 4th cabinet. Has two thirds majority. https://t.co/1x…</t>
  </si>
  <si>
    <t>Click link below for my political leanings. Superb typo artist. I don't followback. I RT things for my amusement. #NotMyCircus</t>
  </si>
  <si>
    <t>Liberal Intellectual</t>
  </si>
  <si>
    <t xml:space="preserve">Intellectual Brain </t>
  </si>
  <si>
    <t>If Mao, Stalin, Che, Pol Pot et al commies are humanists and naxals &amp; ISIS are Gandhian with Guns then I'm proudly communal! | RT ❌ endorsment 🇮🇳</t>
  </si>
  <si>
    <t>Jairo Rodriguez</t>
  </si>
  <si>
    <t>After election win, Abe prioritizes North Korea, aging Japan https://t.co/9puCYM0BCF</t>
  </si>
  <si>
    <t>Houston,TX</t>
  </si>
  <si>
    <t>#houstonRealtor,#Houstontexas, #realtorKatytexas,#HAR,#Richmond,#Texas,#Realestate,#sellersrepresentation,#buyersrepresentation. call me now 2816588263</t>
  </si>
  <si>
    <t>Joe English</t>
  </si>
  <si>
    <t>Bolton, United Kingdom</t>
  </si>
  <si>
    <t>I'm a non-binary that use they/them pronouns but still ok with he/him pronouns, pansexual, ESTJ, social-democratic cosmopolitan, create art, music person/furry.</t>
  </si>
  <si>
    <t>Asia Policy</t>
  </si>
  <si>
    <t>#Japan’s Lower House Election: Abe Prevails Again https://t.co/BfCRK74cif #diplomacy #dpj #economics #elections</t>
  </si>
  <si>
    <t>Germany</t>
  </si>
  <si>
    <t>Official Twitter Handle of Asia Policy Research Initiative | Tweets &amp; ReTweets ≠ Endorsements</t>
  </si>
  <si>
    <t>APAC Monitor</t>
  </si>
  <si>
    <t>#Japan’s Lower House Election: Abe Prevails Again https://t.co/H6cN81G5ZZ #diplomacy #dpj #economics #elections</t>
  </si>
  <si>
    <t xml:space="preserve">The Asia-Pacific </t>
  </si>
  <si>
    <t>Get Important Updates from Asia Pacific: Current Events, Photos, Infographics and lots more.</t>
  </si>
  <si>
    <t>Rinku kashyap</t>
  </si>
  <si>
    <t>jay shree ram</t>
  </si>
  <si>
    <t>Vishal Ramanuj</t>
  </si>
  <si>
    <t>अपने पीछे Follower की भीड़ मकसद नहीं है, साथ लेकर चलना हमारा स्वभाव है! इसलिए Following का ग्राफ भी बराबर है! सबका साथ-सबका विकाश हमारा नारा है ! जय हिन्द !</t>
  </si>
  <si>
    <t>seana magee</t>
  </si>
  <si>
    <t>U.N. reporter for Kyodo News, UNCA Secretary, Treasurer of Dag Hammarskjold Fund for Journalists, dancer, (re/tweets are mine and ≠ endorsements)</t>
  </si>
  <si>
    <t>How Japan leader Shinzo Abe's election gamble paid off https://t.co/64Pl67GyBJ https://t.co/dYH6PNWyOL</t>
  </si>
  <si>
    <t>gulshan srivastva</t>
  </si>
  <si>
    <t>Simple person..</t>
  </si>
  <si>
    <t>¦ªµ♀ޔÎη♀ bÈªµ⊥ý  ťm♀</t>
  </si>
  <si>
    <t>MuMbAi✈PuNe</t>
  </si>
  <si>
    <t>जागना भी कबूल तेरी यादों मे रातभर यारा😘जो सुकून तेरे एहसासो मे है वो नींद मे कहाँ💖कुछ नही बस यूँ ही💟 Ķě€p ķãĄm &amp; KãĀm Śě ĶáĂm😉 Ňò Đm🔫€£💲è BłØčĶ ढिशुम👊</t>
  </si>
  <si>
    <t>Eddie van der Walt</t>
  </si>
  <si>
    <t>RT @BloombergAsia: How Japan leader Shinzo Abe's election gamble paid off https://t.co/64Pl67GyBJ https://t.co/dYH6PNWyOL</t>
  </si>
  <si>
    <t>Bloomberg's gold, commodities, macro journalist in London. Views mine, not Bloomberg's. #METL, #OATT, #OOTT, in that order.</t>
  </si>
  <si>
    <t>Oroande utveckling</t>
  </si>
  <si>
    <t>Sweden</t>
  </si>
  <si>
    <t>Om utvecklingen i Ryssland, Ukraina, Syrien och dess påverkan på oss. Svensk och global säkerhetspolitik. +robot som RT int. säkpol https://t.co/I5vkAy0B3s</t>
  </si>
  <si>
    <t>Soham Roy</t>
  </si>
  <si>
    <t>Indian || Heart Follower || 'Stay Humble, Never Betray'</t>
  </si>
  <si>
    <t>Samuel Kevin</t>
  </si>
  <si>
    <t>Kenya,Africa,Earth</t>
  </si>
  <si>
    <t>Health Data System specialist! MDC Consultant! Data Enthusiast! Tech Savvy!Views are my Own!</t>
  </si>
  <si>
    <t>Kiran Somasekharan</t>
  </si>
  <si>
    <t>After election win, Abe prioritizes North Korea, aging Japan | https://t.co/3SS4pTOkMb | #Iran</t>
  </si>
  <si>
    <t>Everiting</t>
  </si>
  <si>
    <t>After election win, Abe prioritizes North Korea, aging Japan https://t.co/3mwinBMWtX #news</t>
  </si>
  <si>
    <t>Technology blog founded in 2009. This twitter is made by feeds. Do you want to advertise here? Send me a reply ✏️ PT-EN</t>
  </si>
  <si>
    <t>After election win, Abe prioritizes North Korea, aging Japan https://t.co/43vUQn9TlD</t>
  </si>
  <si>
    <t>Hamassenger.com</t>
  </si>
  <si>
    <t>Make Japan great again: Abe’s landslide is a victory for militant nationalism in the Trump age https://t.co/PcJ4pgesnx</t>
  </si>
  <si>
    <t>Your messenger on Hamas in Peace</t>
  </si>
  <si>
    <t>After election win, Abe prioritizes North Korea, aging Japan https://t.co/XVDNUoiSZ9</t>
  </si>
  <si>
    <t>Jay R Desai</t>
  </si>
  <si>
    <t>MODIFied INDIA</t>
  </si>
  <si>
    <t>Proud Indian.Politcal Analyst..Die hard Fan of NaMo ✌️&amp; Sachin 🏏#Modified India 👏👏 Blessed To be live in Modji Era...Followed By Hon.Min @piyushGoyal..🙏🙏</t>
  </si>
  <si>
    <t>Jacob Kreyberg</t>
  </si>
  <si>
    <t>RT @AndersFoghR: A strong mandate for @AbeShinzo in today’s election giving Japan stability as it faces challenges of a volatile region. #J…</t>
  </si>
  <si>
    <t>Oxford, England</t>
  </si>
  <si>
    <t>Humanitarian and opinionist. In Oxford, from Oslo, Norway. Retweets≠endorsements / Opinions are my own.</t>
  </si>
  <si>
    <t>V S Keshavamurthy</t>
  </si>
  <si>
    <t xml:space="preserve">Hebbal, Bengaluru </t>
  </si>
  <si>
    <t>BJP General Secretary Hebbal Mandal.</t>
  </si>
  <si>
    <t>Timothy Mutua</t>
  </si>
  <si>
    <t>Hitesh Singh Rathore</t>
  </si>
  <si>
    <t>Kind Intel Naughty Guy; RT's not Endorsements. Die Hard Indian Nationalist, Follow Indian Armed Forces, Warfare Strategy Fanatic. Napoleon Bonaparte #Respect.</t>
  </si>
  <si>
    <t>えめらるど@S.K</t>
  </si>
  <si>
    <t>Ibaraki Pref, Japan</t>
  </si>
  <si>
    <t>何事も無気力。会計┃経済┃金融｜政治(右でも左でもない。)┃読書｜みるきー┃さくらたん┃松井玲奈｜太田夢莉｜がたねぇ｜馬場ふみか┃柳瀬早紀｜吉高由里子｜ラーメン┃コーヒー｜お酒全般。フォロー等ご自由に。気になった方をフォロー。たまに病む。 うーたん</t>
  </si>
  <si>
    <t>Vishal Gaur</t>
  </si>
  <si>
    <t>Paris France News</t>
  </si>
  <si>
    <t>Prime Minister Abe poised for landslide victory in Japan's general election - https://t.co/MLHJjVikdm #GoogleAlerts</t>
  </si>
  <si>
    <t>Paris France News : Michel Vincent Le Goff</t>
  </si>
  <si>
    <t>Uttam Chauhan</t>
  </si>
  <si>
    <t>social activist &amp; health conscious</t>
  </si>
  <si>
    <t>Er.Gautam Y  Thakore</t>
  </si>
  <si>
    <t>Nadiad, Gujarat, India</t>
  </si>
  <si>
    <t>Be Positive, civil engineering my passion</t>
  </si>
  <si>
    <t>Core Exercise</t>
  </si>
  <si>
    <t>After election win, Abe prioritizes North Korea, aging Japan https://t.co/98xAC1Bx1k</t>
  </si>
  <si>
    <t>Akash verma</t>
  </si>
  <si>
    <t>prem kumar singh</t>
  </si>
  <si>
    <t xml:space="preserve">gopal ganj Bihar </t>
  </si>
  <si>
    <t>मोदी का भक्त हु और मरते दम तक रहुगा मोदी के खिलाफ कुछ भी नही सुनुगां</t>
  </si>
  <si>
    <t>Rajeev Ranjan</t>
  </si>
  <si>
    <t>C H A I ·チャイ, RN</t>
  </si>
  <si>
    <t>Tokorozawa-shi, Saitama</t>
  </si>
  <si>
    <t>2⃣4⃣ || FANGIRL.</t>
  </si>
  <si>
    <t>アフロ◢</t>
  </si>
  <si>
    <t>銀河帝国</t>
  </si>
  <si>
    <t>呪われた10月。何とか生き残って東京ドームへ</t>
  </si>
  <si>
    <t>Venkat Subramanian</t>
  </si>
  <si>
    <t>Founder &amp; CEO, Surag Instruments</t>
  </si>
  <si>
    <t>Brig VK Agrawal</t>
  </si>
  <si>
    <t>Retired in Jan 2001.Loves Modi.</t>
  </si>
  <si>
    <t>Pranavy</t>
  </si>
  <si>
    <t>noida</t>
  </si>
  <si>
    <t>Coz I've got a Jet Black Heart and there's a hurricane underneath it #LoveYourself #BTS #ARMY #SWIFTY</t>
  </si>
  <si>
    <t>jigar shah</t>
  </si>
  <si>
    <t>Kolhapur, Maharashtra</t>
  </si>
  <si>
    <t>Rajdeep Kumar🇮🇳</t>
  </si>
  <si>
    <t>Muzaffarpur, Bihar,India</t>
  </si>
  <si>
    <t>💐No Matter How Hard Things were, Tomorrow's a Fresh Opportunity to Make it Better☺</t>
  </si>
  <si>
    <t>Kazimoto Baraka</t>
  </si>
  <si>
    <t>Proudly Tanzanian</t>
  </si>
  <si>
    <t>सूर्यवंशी ⚔™</t>
  </si>
  <si>
    <t>I’m not failed… my success is just postponed.</t>
  </si>
  <si>
    <t>Suresh Prasad</t>
  </si>
  <si>
    <t>Mohammad Keshtkar</t>
  </si>
  <si>
    <t>After election win, Abe prioritizes North Korea, aging Japan https://t.co/gk3hT0Whji</t>
  </si>
  <si>
    <t>https://t.co/dYkrPnSMxE https://t.co/LD9JaPddEL</t>
  </si>
  <si>
    <t>aditya</t>
  </si>
  <si>
    <t>R.K.Bafna</t>
  </si>
  <si>
    <t>Follower of NAMO. RTs are not endorsement. JAI BHARAT</t>
  </si>
  <si>
    <t>Google News US</t>
  </si>
  <si>
    <t>After election win, Abe prioritizes North Korea, aging Japan https://t.co/4xasw7DPnz</t>
  </si>
  <si>
    <t>Mountain View, CA</t>
  </si>
  <si>
    <t>Pius Muturi ®™</t>
  </si>
  <si>
    <t>Marketer | Entrepreneur | An idealist; Retweets are not endorsement. Snapchat; pius.muturi</t>
  </si>
  <si>
    <t>Creativity cultivated..</t>
  </si>
  <si>
    <t>蜜柑</t>
  </si>
  <si>
    <t>❤️歴史好き。洋楽厨。基本的には自民党政権支持。 RTは、賛同不賛同問わず色々してます。必ずしも賛同RTばかりとは限りません。</t>
  </si>
  <si>
    <t>Michael Leonard</t>
  </si>
  <si>
    <t>"Japan's Abe vows to put education spending before budget balance" - https://t.co/fm282iEWho #econinthenews</t>
  </si>
  <si>
    <t>Surrey, BC</t>
  </si>
  <si>
    <t>Economics Professor</t>
  </si>
  <si>
    <t>Andrzej G.</t>
  </si>
  <si>
    <t>Lodz, Poland</t>
  </si>
  <si>
    <t>🇪🇺 Stary upiór bolszewicki. Zdradziecka morda i ubecka wdowa w jednej osobie. Nie-lewak, ale #lewazmiana ; oddaję follow</t>
  </si>
  <si>
    <t>Hammond faces budget 'Ambush', Javid says 'borrow to build' &amp; Abe wins Japan election Watch our Headlines Roundup:… https://t.co/i2jOZJOZVL</t>
  </si>
  <si>
    <t>#NorthKorea blasts Japan for using election to ‘pave groundwork’ for invasion https://t.co/A7DeGE17ip https://t.co/Oa5aEdFFdS</t>
  </si>
  <si>
    <t>Lawsuits filed to nullify Lower House election https://t.co/t1JRnTQjVE #breakingnews</t>
  </si>
  <si>
    <t>Gail Cooper</t>
  </si>
  <si>
    <t>りんどう@</t>
  </si>
  <si>
    <t>近現代史、国際政治、二十一代集、洛中観光、等が一応の関心事。保守反動・歴史修正主義者・改憲派を自認するものの、どうしてかいはゆる右派の方々とあまり仲良くできぬやうです。大半は備忘のため、時折りは徒然に呟きます。Ｆ&amp;RTは必ずしも支持や賛意を意味しません、為念。なほ仮名遣ひは原則として福田≒丸谷の其れに準拠してをります。</t>
  </si>
  <si>
    <t>Tentoyia Kiragu</t>
  </si>
  <si>
    <t>THE MOTHERLAND!!</t>
  </si>
  <si>
    <t>God's girl| young East African girl| aiming for the upper echelons :-)</t>
  </si>
  <si>
    <t>डोभी जौनपुर ,आश्रमगढआजमगढ भारत</t>
  </si>
  <si>
    <t>मेरी_पहचान नरेन्द्र मोदी का घोर समर्थक हु बीजेपी का सक्रिय कार्यकर्ता हु आरएसएस का सक्रिय स्वयंसेवक हू बाबा गोरखनाथ का उपासक हू RSS के विद्यालय का छात्र रहा ह</t>
  </si>
  <si>
    <t>Gustaf Reinfeldt</t>
  </si>
  <si>
    <t>Lund, Sweden</t>
  </si>
  <si>
    <t>Älskar frihet, pasta bolognese. @mufswe. Digital specialist @MilttonLabs. Internationell sekreterare @_FMSF. Aktiv i @Studentafton. Tidigare @PrimePR, @timbro.</t>
  </si>
  <si>
    <t>Cameron</t>
  </si>
  <si>
    <t>Trading account.. let's trade online with help of Twitter. Easy way of trading ..Follow for follow back.. Likes and retweets</t>
  </si>
  <si>
    <t>Ram Gopal</t>
  </si>
  <si>
    <t>Nom de guerre of an engineer. Proud Indian &amp; a Hindu. Pro-BJP/RSS, Pro-Indian Armed Forces, Pro-Science &amp; loves Chemistry. Politically &amp; Intellectually Right.</t>
  </si>
  <si>
    <t>Säkpol_SE</t>
  </si>
  <si>
    <t>Sakpol Magic</t>
  </si>
  <si>
    <t>Bot som retweetar listan Säkpol och allt taggat #säkpol eller #värtattförsvara. Följ för att hålla koll, använd taggarna för att nå ut. Egna tweets förekommer.</t>
  </si>
  <si>
    <t>Games</t>
  </si>
  <si>
    <t>After election win, Abe prioritizes North Korea, aging Japan #Games https://t.co/pVDnnPTZbk</t>
  </si>
  <si>
    <t>Find your latest games news with just one click. Don't miss out on anything happening!</t>
  </si>
  <si>
    <t>Japan PM Shinzo Abe pledges pressure on #NorthKorea after big election win https://t.co/NZBoiQKKfd</t>
  </si>
  <si>
    <t>I Seed Justice</t>
  </si>
  <si>
    <t>RT @Paveluljuk: #NorthKorea blasts Japan for using election to ‘pave groundwork’ for invasion https://t.co/A7DeGE17ip https://t.co/Oa5aEdFF…</t>
  </si>
  <si>
    <t>I am the knowledge of future</t>
  </si>
  <si>
    <t>千山萬水</t>
  </si>
  <si>
    <t>RT @WilliamPesek: Abe, post-election, faces a new @realDonaldTrump problem | The Japan Times https://t.co/8yFql1me1f #Abenomics</t>
  </si>
  <si>
    <t>金融危機から震災／原発あぼんと大きな出来事が続いた後のｔｗへの人の流れに連られてきました 流消保全読返しのためRT多数</t>
  </si>
  <si>
    <t>yuji yosumi</t>
  </si>
  <si>
    <t>Japanese businessman based in Hong Kong for Asian market from 1998</t>
  </si>
  <si>
    <t>Toronto Fc fan</t>
  </si>
  <si>
    <t>Waterloo, Ontario</t>
  </si>
  <si>
    <t>☥ Tranquil &amp; Peace.</t>
  </si>
  <si>
    <t>Hollygrove</t>
  </si>
  <si>
    <t>☥ 13love. 🇯🇲 peace. #LongLiveNnamdi 77 is my number. goldengatesmgmt@yahoo.com 🍿🍿🎬 #UPTBPT</t>
  </si>
  <si>
    <t>neneyyy</t>
  </si>
  <si>
    <t>Medico,Indian,Pawan Kalyan,Rohit sharma,Karim Benzema,Trivikram,Mega Family, YUVRAJ Singh...JANASENA SAINIKUDINI, HALA MADRID</t>
  </si>
  <si>
    <t>Peter Jespersen</t>
  </si>
  <si>
    <t>Piepmatz</t>
  </si>
  <si>
    <t>Broendby, Copenhagen, Denmark</t>
  </si>
  <si>
    <t>World domination in 2030.</t>
  </si>
  <si>
    <t>luckkeyme</t>
  </si>
  <si>
    <t>england</t>
  </si>
  <si>
    <t>Trust God stop abortion</t>
  </si>
  <si>
    <t>Adrian Harewood</t>
  </si>
  <si>
    <t>What now for Japan after #Abe's landslide election victory? https://t.co/PuoPplUKLr</t>
  </si>
  <si>
    <t>Ottawa</t>
  </si>
  <si>
    <t>News Anchor, CBC Ottawa News @ 6. Host of Our Ottawa, weekly TV current affairs magazine.</t>
  </si>
  <si>
    <t>#NoReformsNoElection</t>
  </si>
  <si>
    <t>Commentator on social issues,my tweets represent my personal opinions as a citizen!</t>
  </si>
  <si>
    <t>Anand Chadha</t>
  </si>
  <si>
    <t>Chhatrasal Singh</t>
  </si>
  <si>
    <t>ABV,SRT,Big B &amp; PRAN Fan,Cricketer,Retro song(RAFI) &amp; Dog lover,Teacher by qualification,Entrepreneur by profession,Management graduate, &amp; A Right wing thinker.</t>
  </si>
  <si>
    <t>Amitabh Kumar</t>
  </si>
  <si>
    <t>Sagar Sarvaiya</t>
  </si>
  <si>
    <t>Al Fred ♌️.</t>
  </si>
  <si>
    <t>Tanzania.</t>
  </si>
  <si>
    <t>You gotta love me or leave me alone. I take envy as a badge of honor. Connect with me. Consult with me.</t>
  </si>
  <si>
    <t>Dehnnohz larry</t>
  </si>
  <si>
    <t>A marketer,believe in trust.</t>
  </si>
  <si>
    <t>Ramraj Jat</t>
  </si>
  <si>
    <t>I love n live sports</t>
  </si>
  <si>
    <t>Emico.</t>
  </si>
  <si>
    <t>tokyo/Japan</t>
  </si>
  <si>
    <t>I am hair&amp;make-up artist and handicraft creater. I like travel,cooking,photograph. I can kimono styling maybe. I will do it open mind future thinking.</t>
  </si>
  <si>
    <t>Andrew Ogolla</t>
  </si>
  <si>
    <t>Kisumu</t>
  </si>
  <si>
    <t>Computer Software and hardware expert, Community &amp; Social work Assistant.</t>
  </si>
  <si>
    <t>shelly betancourt</t>
  </si>
  <si>
    <t>Dhruv Mehta</t>
  </si>
  <si>
    <t>ITSM . સહઇન્ચાર્જ ગોમતીપુર વૉર્ડ</t>
  </si>
  <si>
    <t>Abe retains supermajority in Japan’s election, may push to amend constitution https://t.co/cnYSNMonrd</t>
  </si>
  <si>
    <t>shashwatsinghparihar</t>
  </si>
  <si>
    <t>Kharagpur</t>
  </si>
  <si>
    <t>Indian Institute of Technology</t>
  </si>
  <si>
    <t>Randhir Negi</t>
  </si>
  <si>
    <t>New Delhi,India</t>
  </si>
  <si>
    <t>PROUD INDIAN!SAVE Mother EARTH frm CLIMATE CHANGE,Plant TREES to fight climate change!HEALTH CARE must be recognized as a RIGHT,not a privilege.RT not endorsmnt</t>
  </si>
  <si>
    <t>Paul Marr</t>
  </si>
  <si>
    <t>A Pale Blue Dot</t>
  </si>
  <si>
    <t>Agnostic Liberal, Science and Tech enthusiast, news junkie, proud geek, PC Gamer and overenthusiastic Retweeter! Generally optimistic. Dreams of being a writer.</t>
  </si>
  <si>
    <t>Rejoin(ed) the World</t>
  </si>
  <si>
    <t>We are leaving the EU! Tweets about return of the UK to being an independent self-governing nation, trading with the world. #IVotedLeave #BrexitVote #EURef</t>
  </si>
  <si>
    <t>Débísí</t>
  </si>
  <si>
    <t>This bucks the recent trend | Japan's Abe hails landslide victory in snap election @CNNI https://t.co/59iGia1Mmd</t>
  </si>
  <si>
    <t>Agriculture | Environment | Golf enthusiast. Works for @CIAT_. Member of the @MamoPanel. Views are mine; Retweets≠endorsements</t>
  </si>
  <si>
    <t>Godfrey Miduri</t>
  </si>
  <si>
    <t>Nyali, Kenya</t>
  </si>
  <si>
    <t>Roberto Re</t>
  </si>
  <si>
    <t>SIRENETbrk</t>
  </si>
  <si>
    <t>Milano +45.465556°, +9.190000°</t>
  </si>
  <si>
    <t>Ich bin ein Mailänder,independent analytical thinker.Fulltime student of News RT=FYI #MIlano #engineer #networker ½ROBot #TweetMI #TheBrightSide #Empatia</t>
  </si>
  <si>
    <t>Weird Identification</t>
  </si>
  <si>
    <t>In the dark</t>
  </si>
  <si>
    <t>Confession for exist. Diehard Minnesota sports supporting. RT ≒ 'On This Day'</t>
  </si>
  <si>
    <t>Corey Angiolelli</t>
  </si>
  <si>
    <t>"The Latest: Trump Congratulates Japan's Abe on Election Win" by THE ASSOCIATED PRESS via NYT https://t.co/5ieVXwWgTo</t>
  </si>
  <si>
    <t>Thorndale</t>
  </si>
  <si>
    <t>I'm not in the public eye of Vegas but I'm sure you have seen me before. I promise to stimulate your mind on a platonic level as well as make you laugh.</t>
  </si>
  <si>
    <t>Dūcō</t>
  </si>
  <si>
    <t>Dūcō is an on-demand marketplace where businesses connect with world-class geopolitical, tech and security experts.</t>
  </si>
  <si>
    <t>♥ Kiteh Kawasaki™</t>
  </si>
  <si>
    <t>RT @NHKWORLD_News: LDP gains big victory in Japan's general election #nhk_world_news https://t.co/gVkWCcOojW</t>
  </si>
  <si>
    <t>子猫太夫 Worldwide USA-JP X18+ Also Follow On @KitehKawasaki</t>
  </si>
  <si>
    <t>JP Pornstar | Nevada Hooker https://t.co/ab1ED3yDG4 https://t.co/UbJRZELqpn https://t.co/oFjOt8tAOc https://t.co/R17GDr37DO</t>
  </si>
  <si>
    <t>Priyadarshi Mukesh</t>
  </si>
  <si>
    <t>Pursuing M-Tech,Music Lover!!!</t>
  </si>
  <si>
    <t>TrumpFirehose</t>
  </si>
  <si>
    <t>The Latest: Trump congratulates Japan's Abe on election win https://t.co/BqlaMapG2T</t>
  </si>
  <si>
    <t>TWEETING EVERY SINGLE. PIECE. OF. TRUMP. NEWS.</t>
  </si>
  <si>
    <t>sandeep singh</t>
  </si>
  <si>
    <t>a common man, person who think feel and work with heart. believe in nation first.</t>
  </si>
  <si>
    <t>Shreya khare🇮🇳</t>
  </si>
  <si>
    <t>PROUD INDIAN 🇮🇳</t>
  </si>
  <si>
    <t>Artur Lozano-Méndez</t>
  </si>
  <si>
    <t>Abe claims victory as powerful endorsement, may seek re-election next month | The Japan Times https://t.co/WA6Z8A7cxv</t>
  </si>
  <si>
    <t>Barcelona</t>
  </si>
  <si>
    <t>PhD in Intercultural Studies (East Asia specialization). Lecturer at Universitat Autònoma de Barcelona. Interests: cultural studies and Japanese society.</t>
  </si>
  <si>
    <t>Mahipal dendor</t>
  </si>
  <si>
    <t>パエリア</t>
  </si>
  <si>
    <t>消費税廃止</t>
  </si>
  <si>
    <t>Japan Society</t>
  </si>
  <si>
    <t>All things Japan esp. news, art, movies, performances, talks, tastings, workshops, family fun, language lessons and more!</t>
  </si>
  <si>
    <t>ANSHUMAN DUBEY</t>
  </si>
  <si>
    <t>BHOPAL,MADHYA PRADESH</t>
  </si>
  <si>
    <t>भारत माता की जय M.B.A,Kisan (Trainee),Proud 2 be followed by Hnr.Sri Giriraj SinghJi; #IAFS;Sri Sameep Shastriji;</t>
  </si>
  <si>
    <t>Rob &amp; Claire 🇬🇧</t>
  </si>
  <si>
    <t>Hampshire, UK</t>
  </si>
  <si>
    <t>Tories • Ex-Vote Leave Constituency Coordinator</t>
  </si>
  <si>
    <t>Akash konar</t>
  </si>
  <si>
    <t>Bengal,INDIA</t>
  </si>
  <si>
    <t>I am a student.Views are personal</t>
  </si>
  <si>
    <t>Anil Sharma</t>
  </si>
  <si>
    <t>Love to live and support Hinduism और अपने हिन्दू होने पर गर्व है। चमचा या उल्लू के बनिस्पत भक्त कहलाना पसंद है</t>
  </si>
  <si>
    <t>🔯BARUN SARKAR🔯</t>
  </si>
  <si>
    <t>Dhenkanal, India</t>
  </si>
  <si>
    <t>समय के साथ चलो। हर रोज़ अपने और दुसरोसें, ओ छोटे हों यह बड़े उनसे कुछ सिखनेका प्रयास ज़रूरी है । सर्वधा: सरल जीबन और उच्य बिचार चिन्ताधारायों कि साथ आगे बढ़ें।</t>
  </si>
  <si>
    <t>Ivan R.F.</t>
  </si>
  <si>
    <t>Doctor en Comunicación Audiovisual y Publicidad por UCM. Especialidad Animación. Ex-Coordinador Inforadio, colaborador en @fuhimia @OsuNippon y Proyecto Nihon</t>
  </si>
  <si>
    <t>Manishekhar</t>
  </si>
  <si>
    <t>Sitamarhi, Bihar, India</t>
  </si>
  <si>
    <t>SAP Technical consultant, I may not replay back during working days (Mon-Fri) working hours (8AM to 6PM). Please excuse me for that.</t>
  </si>
  <si>
    <t>protestworld</t>
  </si>
  <si>
    <t>[Japan] Japan's Abe to push pacifist constitution ''reform'' after strong election win | Reuters via r/worldanarch…… https://t.co/6fMt27vIgV</t>
  </si>
  <si>
    <t>Arun kumar Yadav</t>
  </si>
  <si>
    <t>मोदी भक्त पर अंध भक्ति नहीं करता। गलत को गलत और सही को सही कहने की हिम्मत रखता हूं। followed by @piyushgoyaloffc</t>
  </si>
  <si>
    <t>HanishKVC</t>
  </si>
  <si>
    <t>Bhaarata (India)</t>
  </si>
  <si>
    <t>Save Nature, Save Earth. Systems Architect. Trying 2 Understand the REAL Bhaarata</t>
  </si>
  <si>
    <t>Rishabh Tiwari</t>
  </si>
  <si>
    <t>Thinker || Active || Nation First || Lost Glory of BharatVarsha || Prsnl Views || RT's aren't endorsements || Engineering || Malaviyan ||</t>
  </si>
  <si>
    <t>RJ</t>
  </si>
  <si>
    <t>The Indic Dharmic Lens at Karigar's Corner...to honor Eastern (Hindu/Buddhist) wisdom with fellow seekers, &amp; open discussion &amp; debate with others.</t>
  </si>
  <si>
    <t>shashidharan</t>
  </si>
  <si>
    <t>Dipen Hadvani🇮🇳</t>
  </si>
  <si>
    <t>bjp political activists...... big fan @narendramodi sir new India Young India.🇮🇳</t>
  </si>
  <si>
    <t>Antonio Moscatello</t>
  </si>
  <si>
    <t>Japan's general election in four charts- Nikkei Asian Review https://t.co/DPUW0yg9g2</t>
  </si>
  <si>
    <t>giornalista askanews</t>
  </si>
  <si>
    <t>OpenGL Technology</t>
  </si>
  <si>
    <t>Information Service Provider81</t>
  </si>
  <si>
    <t>OpenGL is used to interact with a graphics processing unit to achieve hardware-accelerated rendering Graphics. Tweets are sponsored via https://t.co/lB80QVd1N4</t>
  </si>
  <si>
    <t>SACHIN KUMAR DUBEY</t>
  </si>
  <si>
    <t>https://t.co/In7vBKd4qh in Information Technology</t>
  </si>
  <si>
    <t>Merel</t>
  </si>
  <si>
    <t>Nederland</t>
  </si>
  <si>
    <t>Student: #History &amp; #German with major in #teaching &amp; minor in Archivistiek / Archival studies ~ Tweets about a lot of stuff in: NL/EN/DE - Fan of sarcasm ;)</t>
  </si>
  <si>
    <t>ＮＡＲＥＮＤＲＡ  ＭＯＤＩ 🌷</t>
  </si>
  <si>
    <t xml:space="preserve"> i̲̅n̲̅d̲̅i̲̅a̲̅ 🇮🇳</t>
  </si>
  <si>
    <t>| Bɪɢ Fᴀɴ Oғ @narendramodi | #Nᴀᴛɪᴏɴ_Fɪʀsᴛ | #RᴀᴍBʜᴀᴋᴛ | Pʀᴏᴜᴅ Oғ #Hɪɴᴅᴜᴛᴠᴀ Aɴᴅ #RSS | 100%f̲̅o̲̅l̲̅l̲̅o̲̅w̲̅b̲̅a̲̅c̲̅k̲̅ |#Mʏ_Tᴡᴇᴇᴛs_Iɴ_m̲̅e̲̅d̲̅i̲̅a̲̅</t>
  </si>
  <si>
    <t>Ravi r gurjar</t>
  </si>
  <si>
    <t>chembur , mumbai</t>
  </si>
  <si>
    <t>मेरी फितरत में नहीं अपना गम बयां करना ,अगर तेरे वजूद का हिस्सा हूँ तो महसूस कर तकलीफ मेरी..</t>
  </si>
  <si>
    <t>Akash Singh</t>
  </si>
  <si>
    <t>Dhandapani</t>
  </si>
  <si>
    <t>Patriotic Indian. Love my country, culture and values. RTs are not endorsement</t>
  </si>
  <si>
    <t>sumesh</t>
  </si>
  <si>
    <t>Ahana Khan</t>
  </si>
  <si>
    <t>TheRealBabushka</t>
  </si>
  <si>
    <t>Anglosphere</t>
  </si>
  <si>
    <t>Dulce bellum inexpertis</t>
  </si>
  <si>
    <t>BINOY MEHTA</t>
  </si>
  <si>
    <t>ॐ, सत्य सर्वोपरि ! जीव ही शिव ! समष्टि शिव, युग साक्षी, काल साक्षी स्वयं साक्षी -महादेव !! आध्यात्मवाद अर्थात स्व आत्म पुर्व स्तिथि, शिशु अबोध निर्मल अकाम !!</t>
  </si>
  <si>
    <t>Sumit Kumar Das</t>
  </si>
  <si>
    <t>College Cordinutar Bjym Sepahijala</t>
  </si>
  <si>
    <t>NewsClad</t>
  </si>
  <si>
    <t>The Latest: Trump congratulates Japan's Abe on election win CLICK BELOW FOR FULL STORY... https://t.co/RuaHauefSC</t>
  </si>
  <si>
    <t>Breaking News Comes First #follow4follow #parodyfollowtrain #InstantFollowBack #OpenFollow #AutoFollowBack #followback #followforfollow #like4follow</t>
  </si>
  <si>
    <t>none at all</t>
  </si>
  <si>
    <t>Patriot न जानामि दानं न च ध्यानयोगं न जानामि तन्त्रं न च स्तोत्रमन्त्रम् । न जानामि पूजां न च न्यासयोगं गतिस्त्वं गतिस्त्वं त्वमेका भवानि ॥</t>
  </si>
  <si>
    <t>Gaurav Goyal</t>
  </si>
  <si>
    <t>faridabad</t>
  </si>
  <si>
    <t>SAH</t>
  </si>
  <si>
    <t>Passionate gardener,enjoys peace and tranquility. Opinions all my own.</t>
  </si>
  <si>
    <t>Anupa V Thapliyal</t>
  </si>
  <si>
    <t>Yoga and my nation</t>
  </si>
  <si>
    <t>Dvorakはしもと@仮想通貨女子</t>
  </si>
  <si>
    <t>ガジェット好きUnity，Blender，絵を勉強中の無職/HHKB/Kinesis/Dvorak/Oculus Rift/3D Printer/VR/AR/Google Glass/Pebble/iOS/OpenCV/RasPi/Arduino/HoloLens/Bitcoin/Monacoin/アイカツ！</t>
  </si>
  <si>
    <t>Kalpana Bhardwaj</t>
  </si>
  <si>
    <t>Pataudi House, New Delhi</t>
  </si>
  <si>
    <t>shashistones@gmail.c</t>
  </si>
  <si>
    <t>News Cricketers and Commentators Government and Politics</t>
  </si>
  <si>
    <t>narendran</t>
  </si>
  <si>
    <t>Charles W Quarrels</t>
  </si>
  <si>
    <t>RT NAR: Japan's general election in four charts https://t.co/sRJlRM02lk https://t.co/e2YitHfQPT</t>
  </si>
  <si>
    <t>RT Reuters: Japan's Abe to push pacifist constitution reform after strong election win https://t.co/iZQftGG62F https://t.co/FokzXDpRVP</t>
  </si>
  <si>
    <t>Dr S Himesh</t>
  </si>
  <si>
    <t>India ಕರುನಾಡು Karnataka</t>
  </si>
  <si>
    <t>Scientist सत्यमेव जयते (Truth Alone Triumphs) #Climate #Environment #Hindu #Nonviolence #Philosophy #Spirituality #Humanity एकभारत श्रेष्ठभारत.</t>
  </si>
  <si>
    <t>Artis Pabriks</t>
  </si>
  <si>
    <t>Eiropas Parlamenta deputāts, Member of the European Parliament, former Minister of Foreign Affairs and former Minister of Defence</t>
  </si>
  <si>
    <t>Sue</t>
  </si>
  <si>
    <t>Use your voice for kindness, your ears for compassion, your hands for charity, your mind for truth, and your heart for love.</t>
  </si>
  <si>
    <t>Krish Sriram</t>
  </si>
  <si>
    <t>12.907712,80.152718</t>
  </si>
  <si>
    <t>Malang 🇵🇰</t>
  </si>
  <si>
    <t>Taxila, Pakistan</t>
  </si>
  <si>
    <t>#Proud to Be #Pakistani...! #Proud to Be #Muslim...! The Art of Knowing is Knowing what to Ignore.! #Rumi</t>
  </si>
  <si>
    <t>Praveen Vijayakumar</t>
  </si>
  <si>
    <t>Mysore</t>
  </si>
  <si>
    <t>In search of eternal happiness... ಕನ್ನಡಿಗ</t>
  </si>
  <si>
    <t>Osmansimsek</t>
  </si>
  <si>
    <t>Tampa, FL</t>
  </si>
  <si>
    <t>@ciyayres</t>
  </si>
  <si>
    <t>Mayur Vihar Phase 1,New Delhi</t>
  </si>
  <si>
    <t>Student of Politics | IT Analyst | Hinduism is in Soul | Fortunate to born in Incredible India 🇮🇳</t>
  </si>
  <si>
    <t>Teddy Mcnabb</t>
  </si>
  <si>
    <t>North Korea blasts Japan for using election to 'pave groundwork' for invasion | The Japan Times https://t.co/YUoMUMZYF6</t>
  </si>
  <si>
    <t>Northampton</t>
  </si>
  <si>
    <t>Diplomat :) free thinking, non-party, despise Marxists , Socialists,Islamists any breed of terrorist Timor Omnis Abesto</t>
  </si>
  <si>
    <t>Jew Ricans</t>
  </si>
  <si>
    <t>The Latest: Trump congratulates Japan's Abe on election win https://t.co/7q7VpgKuWW #AP #TheResistance</t>
  </si>
  <si>
    <t>Bringing you real news to make informed decisions in a time where the most powerful country on earth is now a Banana Republic.</t>
  </si>
  <si>
    <t>Deepu Thakur Ajay Pr</t>
  </si>
  <si>
    <t>इटावा, उत्तर प्रदेश</t>
  </si>
  <si>
    <t>जय श्री राम । ,जय जय श्री राम । युवा सेवक इटावा उत्तर प्रदेश</t>
  </si>
  <si>
    <t>Niranjan Pathak</t>
  </si>
  <si>
    <t>भारत का एक सामान्य नागरिक। ईश्वर मे आस्था। सत्य की विजय मे विश्वास। अच्छाई की प्रशंसा। चाटुकारिता से दूर। RT को विचारों का समर्थन ना समझे।</t>
  </si>
  <si>
    <t>Kishore Kumar</t>
  </si>
  <si>
    <t>Proud Hindu Nationalist. Hate Congress &amp; AAP party. Hate terrorist apologists. Hate Presstitutes. Love Modi. Idealize Subramanian Swami &amp; Rajeev Malhotra.</t>
  </si>
  <si>
    <t>d3n1k1</t>
  </si>
  <si>
    <t>研究学園都市・陸の孤島</t>
  </si>
  <si>
    <t>ITF. / esys13 ⇒ iit17 / M1 / LOVE ⇒ 銀髪 妹 ロリ ばぶみ ママ 姉 / なうぷれエロゲ ⇒ 面影 桜ひとひら / 今季アニメ ⇒ まほよめ いもさえ うまるR ブレS / その他 ⇒ アズレン(佐世保) あいミス etc.</t>
  </si>
  <si>
    <t>Subhash Jha</t>
  </si>
  <si>
    <t>Tweets are my personal opinion, and doesn't endorse the opinion of my organization to which i am affiliated..</t>
  </si>
  <si>
    <t>P P Saha</t>
  </si>
  <si>
    <t>just a man searching 4 his destination.....</t>
  </si>
  <si>
    <t>Joe FreedomLover🇺🇸</t>
  </si>
  <si>
    <t>The Latest: Trump congratulates Japan's Abe on election win - ABC News https://t.co/FXDbwtEEl4</t>
  </si>
  <si>
    <t>Conservativeland, Orange Co CA</t>
  </si>
  <si>
    <t>Trump/Pence Save USA: #MAGA; Defeat ISIS; Stop Socialism/Leftism; Sovereignty; Strong Military; Constitutionalist; #2A; Law &amp; Order; Jesus; Home of the Brave</t>
  </si>
  <si>
    <t>Ashish Jaiswal</t>
  </si>
  <si>
    <t>Canada Zone</t>
  </si>
  <si>
    <t>The Latest: Trump congratulates Japan's Abe on election win https://t.co/gh3P6gH2TJ #news</t>
  </si>
  <si>
    <t>Canada Daily News Update</t>
  </si>
  <si>
    <t>निखिल जैन ( स्वामी )</t>
  </si>
  <si>
    <t>🕉Twit on politics &amp; current affair / love modiji &amp; big fan of trump/ love Hinduism &amp; Hindustan/ Hate Islamic terrorism / RSS/ Member of BJP &amp; Team Modi 🕉</t>
  </si>
  <si>
    <t>mySA Politics</t>
  </si>
  <si>
    <t>The Latest: Trump congratulates Japan's Abe on election win https://t.co/If3nABZwn2</t>
  </si>
  <si>
    <t>San Antonio, Texas</t>
  </si>
  <si>
    <t>Complete coverage of the political scene in San Antonio and Texas from @mySA.</t>
  </si>
  <si>
    <t>V.GOPALAKRISHNAN,</t>
  </si>
  <si>
    <t>TRIVANDRUM,KERALA STATE,INDIA</t>
  </si>
  <si>
    <t>Swayamsevak, since 1970. A post graduate in Economics, Pub.Admn., History &amp; Pol. Science, follower of Hindu Dharma.</t>
  </si>
  <si>
    <t>Marcelo</t>
  </si>
  <si>
    <t>"The Latest: Trump Congratulates Japan's Abe on Election Win" bonkers</t>
  </si>
  <si>
    <t>Dallas Mavericks</t>
  </si>
  <si>
    <t>Vande Bharati</t>
  </si>
  <si>
    <t>Satyam Dharmah Chaitaani maa Maahaasishuh. May not Truth &amp; Dharma leave me. RTs do not mean endorsements.</t>
  </si>
  <si>
    <t>Musaki</t>
  </si>
  <si>
    <t>ray n.</t>
  </si>
  <si>
    <t>@_Pinback Here's some more insight re: the election and Japan's political climate. https://t.co/eO83W8Nz7I</t>
  </si>
  <si>
    <t>Lord of Waffle House. Degenerate male. Icon by @YsAttorney. Read my comic! @chickentracts https://t.co/IVd2Y8DMWz</t>
  </si>
  <si>
    <t>Rashmi Dixit</t>
  </si>
  <si>
    <t>India first</t>
  </si>
  <si>
    <t>The Latest: Trump congratulates Japan's Abe on election win https://t.co/3IiIa3RBw9</t>
  </si>
  <si>
    <t>कमलेश मिश्रा</t>
  </si>
  <si>
    <t>वाराणसी,भारत</t>
  </si>
  <si>
    <t>नैनं छिन्दन्ति शस्त्राणि नैनं दहति पावकः | न चैनं क्लेदयन्त्यापो न शोषयति मारुतः ||</t>
  </si>
  <si>
    <t>महाRaz_🚩</t>
  </si>
  <si>
    <t>ॐ</t>
  </si>
  <si>
    <t>||ॐ||Shivaholic||ॐ|| मेरे ट्वीट 👉 💟 में</t>
  </si>
  <si>
    <t>たっかー🎌</t>
  </si>
  <si>
    <t>尖阁群岛是冲绳日本国的领土</t>
  </si>
  <si>
    <t>故郷沖縄を中国に売り飛ばす売沖奴・売国奴の反日連中に我慢なりません。 沖縄左翼の一掃を無くしては島と国の栄無し！ 無言フォロー失礼致します。 RT多めですがよろしくお願い致します。 反共産社民支那朝鮮🚫</t>
  </si>
  <si>
    <t>Japan Election Vindicates Shinzo Abe as His Party Wins Big - New York Times https://t.co/mHVl0DyYxb</t>
  </si>
  <si>
    <t>Rishav R Suvarna</t>
  </si>
  <si>
    <t>Never forget, Never forgive proud hindhu</t>
  </si>
  <si>
    <t>Azania Post</t>
  </si>
  <si>
    <t>Japan's ruling camp wins two-thirds majority in lower house election amid opposition splitting-up https://t.co/GA7A3WCSTw</t>
  </si>
  <si>
    <t>Online Newswire</t>
  </si>
  <si>
    <t>Political Pundit</t>
  </si>
  <si>
    <t>https://t.co/0p7xtUd7nd | #USPolitics | The Latest: Trump Congratulates Japan's Abe on Election Win U.S. News &amp; W… https://t.co/AW8xNUqqGd</t>
  </si>
  <si>
    <t>#PoliticalNews source for information about #Washington &amp; #Politics.</t>
  </si>
  <si>
    <t>Nam Nguyen</t>
  </si>
  <si>
    <t>Japan Election Victory Gives Abe Mandate For Reform https://t.co/MuzJI3V3dQ</t>
  </si>
  <si>
    <t>Saigon</t>
  </si>
  <si>
    <t>Ardent fan of Vietnam</t>
  </si>
  <si>
    <t>Anant jain</t>
  </si>
  <si>
    <t>Delhi India</t>
  </si>
  <si>
    <t>#22 #Engineer #Scorpion</t>
  </si>
  <si>
    <t>Hide_Punx_Osaka</t>
  </si>
  <si>
    <t>Murata beats N'Dam, LDP marks a landslide victory in the election, whilst the typhoon submerges the whole land. This is groovy Japan.</t>
  </si>
  <si>
    <t>Osaka City FC aka Cerezo Osaka</t>
  </si>
  <si>
    <t>パンク / Oi / ハードコア / サッカー / セレッソ大阪 / 日本 / ボクシング / 英国 / 麦酒 / Glasgow Celtic / Manchester United / 大阪弁とイギリス英語で呟きます。</t>
  </si>
  <si>
    <t>Ruben Turtulici</t>
  </si>
  <si>
    <t>RT @McnabbTeddy: North Korea blasts Japan for using election to 'pave groundwork' for invasion | The Japan Times https://t.co/YUoMUMZYF6</t>
  </si>
  <si>
    <t>Maracaibo, Venezuela</t>
  </si>
  <si>
    <t>Book Translator. Into Education, Philosophy, Linguistics and Psychology. Human Rights Activist. Pres. of @fundamostvzla #DDHH #Venezuela</t>
  </si>
  <si>
    <t>bram  wibowo</t>
  </si>
  <si>
    <t>Heart</t>
  </si>
  <si>
    <t>Life is beautiful. Be grateful.</t>
  </si>
  <si>
    <t>What Shinzo Abe’s election win will mean for China-Japan relations https://t.co/pOopFD8egg</t>
  </si>
  <si>
    <t>ChandraSekhar Vinjam</t>
  </si>
  <si>
    <t>beetle Wilson</t>
  </si>
  <si>
    <t>Pankaj Chandak</t>
  </si>
  <si>
    <t>Hindustan</t>
  </si>
  <si>
    <t>Alumnus of NIT Durgapur &amp; IMI New Delhi, Nationalist to the CORE - EK BHARAT SHRESHTHA BHARAT. RTs not necessarily Endorsement</t>
  </si>
  <si>
    <t>Brighton</t>
  </si>
  <si>
    <t>An ordinary citizen who cherishes art and literature. An anthill of the Savannah grasslands.</t>
  </si>
  <si>
    <t>Solsolsol</t>
  </si>
  <si>
    <t>saurav rajput</t>
  </si>
  <si>
    <t>I'm mad for rss..i want to be rss worker.. not interested in politics...followed by @piyushGoyaloffc</t>
  </si>
  <si>
    <t>Jeremy Song</t>
  </si>
  <si>
    <t>San Francisco, singapore</t>
  </si>
  <si>
    <t>Je vous souhaite bonne chance. 🍀 tomorrow will be better ~~~</t>
  </si>
  <si>
    <t>Deepak Sawhney</t>
  </si>
  <si>
    <t>Adonis Johnson</t>
  </si>
  <si>
    <t>💀🔫</t>
  </si>
  <si>
    <t>140 words less to describe myself.</t>
  </si>
  <si>
    <t>Toddler Treat</t>
  </si>
  <si>
    <t>Primary Minister Shinzo Abe’s ruling coalition retained its two-thirds parliamentary vast… https://t.co/bK4DgTCvGI</t>
  </si>
  <si>
    <t>Las Vegas, Nevada</t>
  </si>
  <si>
    <t>Marketsview</t>
  </si>
  <si>
    <t>The Latest: Trump congratulates Japan's Abe on election win https://t.co/7H5bruNSL9</t>
  </si>
  <si>
    <t>Georgetown MSFS</t>
  </si>
  <si>
    <t>Snap election in Japan; Prime Minister Shinzo Abe wins big https://t.co/lZu58i05Rr</t>
  </si>
  <si>
    <t>A professional Masters preparing people for creative careers in the challenging world of international affairs.</t>
  </si>
  <si>
    <t>Ken Gtwo</t>
  </si>
  <si>
    <t>North Korea fears Japan "invasion" after Shinzo Abe's victory https://t.co/HdMFCZHo13</t>
  </si>
  <si>
    <t>Seattle, Washington, USA</t>
  </si>
  <si>
    <t>CBD Biz Co. Director - 日本 - 関東1989-95, 2002-14. Let's watch Rome burn together. I DO NOT follow back bots, spammers, or clickbait posters.</t>
  </si>
  <si>
    <t>キラ</t>
  </si>
  <si>
    <t>sandeep salaria</t>
  </si>
  <si>
    <t>Knowledge is what feeds my soul.</t>
  </si>
  <si>
    <t>Kyoma</t>
  </si>
  <si>
    <t>Shinzo Abe scores major victory in Japanese election and pledges to reform pacifist constitution https://t.co/H7T1SFvKuG</t>
  </si>
  <si>
    <t>Marche, Italy</t>
  </si>
  <si>
    <t>Michele Paoloni, 29 years old // I'm a barman and I like to drink Bourbon whiskey // Steelers forever // F•R•I•E•N•D•S ❤️ // Otaku and Japan lover</t>
  </si>
  <si>
    <t>O.T.Ranjith</t>
  </si>
  <si>
    <t>"The Latest: Trump Congratulates Japan's Abe on Election Win" by THE ASSOCIATED PRESS via NYT https://t.co/TRmTsw7XDc</t>
  </si>
  <si>
    <t>Ajay kumar N</t>
  </si>
  <si>
    <t>Chingola, Zambia</t>
  </si>
  <si>
    <t>JapanVisitor</t>
  </si>
  <si>
    <t>What now for Japan after Abe's landslide election victory? https://t.co/t5jCMmB68W</t>
  </si>
  <si>
    <t>Nagoya</t>
  </si>
  <si>
    <t>Orients You to life in Japan: Tokyo, Kyoto, Nagoya - onsen, manga, photography, culture &amp; much more.</t>
  </si>
  <si>
    <t>Kohei Kurihara</t>
  </si>
  <si>
    <t>Shinzo# Abe Wins By A Landslide https://t.co/rae4k0kFIi #tech #politics #Japan #data #election https://t.co/DZkKkSr6wu</t>
  </si>
  <si>
    <t>Founder / Co-founder &amp; CMO @Mangaconnect. Look for cross-border Partner, "Crowdships": https://t.co/RC9uAXfmZp @PUBLIQNetwork, GBA blockchain Tokyo Chapter</t>
  </si>
  <si>
    <t>General News</t>
  </si>
  <si>
    <t>Japan&amp;amp;apos;s Shinzo Abe Conjures Stunning Election Victory in a Boost for Donald Trump #Generalnews https://t.co/WcLulTbxBo</t>
  </si>
  <si>
    <t>Find your latest news with just one click. Don't miss out on anything happening in the world .check http://t.co/KxrSaWpuqZ</t>
  </si>
  <si>
    <t xml:space="preserve">Bonds Diva </t>
  </si>
  <si>
    <t>RT @InvestDiva: $USDJPY pair opened Monday’s Asian session with a jump to 113.86 as Japan’s Prime Minister Shinzo Abe won. #forex https://…</t>
  </si>
  <si>
    <t>I am interested in investing and trading bonds. #InvestDiva</t>
  </si>
  <si>
    <t>The Latest: Trump congratulates Japan's Abe on election win: 12:10 p.m. President Donald Trump is congratulating…</t>
  </si>
  <si>
    <t>Hardik Patel</t>
  </si>
  <si>
    <t>Gandhinagar Gujarat India</t>
  </si>
  <si>
    <t>https://t.co/GsfXKPHLOx…</t>
  </si>
  <si>
    <t>Millennium Post</t>
  </si>
  <si>
    <t>Typhoon leaves five dead after lashing Japan on election day https://t.co/NHQbB2q8bG</t>
  </si>
  <si>
    <t>Hocalwire</t>
  </si>
  <si>
    <t>No Half Truths|Facebook: https://t.co/09dXkl5is6|</t>
  </si>
  <si>
    <t>RT @InvestDiva: $Litecoin price has broken below the daily Ichimoku cloud. #cryptocurrency #forex https://t.co/2kIwKTDE2N https://t.co/Xu0X…</t>
  </si>
  <si>
    <t>RT @InvestDiva: #LTC Dips Below Key Support Level Versus #BTC, #USD, #EUR https://t.co/2kIwKTDE2N #LTCUSD #Litecoin #cryptocurrency https:…</t>
  </si>
  <si>
    <t>Sudip chakraborty</t>
  </si>
  <si>
    <t>Proud Indian | Coal Capital Of India | Project Mechanical Engineer @bluestarindia1 | live life 2 die civilized✌ #Young Wild &amp; Free</t>
  </si>
  <si>
    <t>Suresh</t>
  </si>
  <si>
    <t>Hyderabad, Telangana, India.</t>
  </si>
  <si>
    <t>My interests: Indian history History of religions Indian religions places Indian politics World politics Cricket Modi Rohit sharma Chakri(music Director) Arnab</t>
  </si>
  <si>
    <t>RT @InvestDiva: $USDJPY Jumps Up on Japan Election Results. Reversal Ahead? https://t.co/2kIwKTDE2N #Forex #USDJPY #JPY #JapanElection http…</t>
  </si>
  <si>
    <t>ぐっち</t>
  </si>
  <si>
    <t>Trump needs Japan’s Abe to win the election to help counter North Korea and China | Opinion https://t.co/XGmitN1nmF</t>
  </si>
  <si>
    <t>Houston→Toyosu</t>
  </si>
  <si>
    <t>商社で社畜やってる元ヲタク。Heaven helpes those who help themselves/dunhill/Oasis/Tennis</t>
  </si>
  <si>
    <t>Rajeev ‏Rawat</t>
  </si>
  <si>
    <t>कलयुग की इस धरा पर जो प्रभु का दूत है, हारना जिसने सीखा नहीं वही राजपूत है.</t>
  </si>
  <si>
    <t>Sarvaiya Tushar</t>
  </si>
  <si>
    <t>Kazuya ONAKA / 大中 一彌</t>
  </si>
  <si>
    <t>Tokyo Japon / 日本東京</t>
  </si>
  <si>
    <t>Doyen de la Faculté de la Communication Interculturelle, Université Hôsei. Philosophie &amp; Science Po. 法政大学教員。政治学、政治思想（近現代フランスを中心に）。https://t.co/YEH7iLbiUo</t>
  </si>
  <si>
    <t>Brian Oyomba</t>
  </si>
  <si>
    <t>sanjay chopra</t>
  </si>
  <si>
    <t>SSRC Abe Fellowship</t>
  </si>
  <si>
    <t>Our 2015 AFJ Fellow on Japan election results https://t.co/TQtskhpIB9</t>
  </si>
  <si>
    <t>New York, Tokyo</t>
  </si>
  <si>
    <t>Abe Fellowship Program of @SSRC_org. Tweeting on many things Japan.</t>
  </si>
  <si>
    <t>Musa Madzanza</t>
  </si>
  <si>
    <t>Consistent +rational + relaxed + calm + observant = accountant=Musa</t>
  </si>
  <si>
    <t xml:space="preserve">Businesses Diva </t>
  </si>
  <si>
    <t>Women can be amazing in businesses! I'm on my way to learn. Are you? #InvestDiva</t>
  </si>
  <si>
    <t>Abhishekkumarsinha</t>
  </si>
  <si>
    <t>Bihar Sharif, India</t>
  </si>
  <si>
    <t>😃😃ThE DevIL BoY😃😃</t>
  </si>
  <si>
    <t>Natvar Singh Panvar</t>
  </si>
  <si>
    <t>Sports News, TV and Scores Sports Cricketers and Commentators News Business and Financial News TV Personalities TV</t>
  </si>
  <si>
    <t>Political observer, HR professional,MBA graduate, ISTD Diploma in T&amp;D. Bharat Mata ki Jai</t>
  </si>
  <si>
    <t>Sunil Singh</t>
  </si>
  <si>
    <t>---- केवल भक्त नहीं अंधभक्त ---- हिंदी,हिन्दू,हिन्दुस्तान, बस यही पहचान !</t>
  </si>
  <si>
    <t>Donald Ray Massee</t>
  </si>
  <si>
    <t>Japan’s Abe Cements Power With Strong Election Win https://t.co/rsfQO7YF7B</t>
  </si>
  <si>
    <t>physician married to an RN, conservative, leans libertarian, on the Trump train, limited government, limited taxes, support military and law enforcement</t>
  </si>
  <si>
    <t>Sarvpreet Singh</t>
  </si>
  <si>
    <t>किसी का खाते नहीं, किसी को खिलाते नही, किसी के बाप से डरते नहीं ।</t>
  </si>
  <si>
    <t>Dhirendra</t>
  </si>
  <si>
    <t>UP, India</t>
  </si>
  <si>
    <t>Indian Civilion</t>
  </si>
  <si>
    <t>Sandeep Kumar</t>
  </si>
  <si>
    <t>Namit Thakur</t>
  </si>
  <si>
    <t>United Arab Emirates</t>
  </si>
  <si>
    <t>#rajput_kshatriya</t>
  </si>
  <si>
    <t>Sachin Goel</t>
  </si>
  <si>
    <t>समुद्रवसने देवी पर्वतस्तनमंडले। विष्णुपत्नि नमस्तुभ्यं पादस्पर्श क्षमस्व मे।। MA in Political Science , Sitar Player</t>
  </si>
  <si>
    <t>クリーブ枚丘</t>
  </si>
  <si>
    <t>Ahmed Ibrahim Nur</t>
  </si>
  <si>
    <t>News History Business &amp; Finance General News Science &amp; Technology Holidays Animals Trending Amazing Travel Fun Football Television Music Sports Sports Music</t>
  </si>
  <si>
    <t>Make America</t>
  </si>
  <si>
    <t>"The Latest: Trump Congratulates Japan's Abe on Election Win" #MakeAmericaGroanAgain https://t.co/CvXKpZ7nFi https://t.co/9uNBXH9lS0</t>
  </si>
  <si>
    <t>Stick it to Donald Trump with a hat that spoofs his ridiculous slogan. #MakeAmericaGroanAgain</t>
  </si>
  <si>
    <t>Geethaputhra</t>
  </si>
  <si>
    <t>Cochin, India</t>
  </si>
  <si>
    <t>आ नो भद्राः क्रतवो यन्तु विश्वतः</t>
  </si>
  <si>
    <t>tasha charles</t>
  </si>
  <si>
    <t>Trinidad</t>
  </si>
  <si>
    <t>I'm just a simple friendly person :-)))</t>
  </si>
  <si>
    <t>Yogesh Mishra</t>
  </si>
  <si>
    <t>Chuhiri Shahdol</t>
  </si>
  <si>
    <t>प्रदेश का़र्यसमिति सदस्य बीजेपी आई टी सेल एवं शोसल मीडिया,वेबसाईट प्रबंधन विभाग ,सम्भाग शहडोल भोपाल (म.प्र.)</t>
  </si>
  <si>
    <t>shital manga</t>
  </si>
  <si>
    <t>Only believes in God!</t>
  </si>
  <si>
    <t>GoPagal</t>
  </si>
  <si>
    <t>Humour lover!!</t>
  </si>
  <si>
    <t>Currencies Diva</t>
  </si>
  <si>
    <t>haru 🐬</t>
  </si>
  <si>
    <t>🇯🇵JAPAN / 日本</t>
  </si>
  <si>
    <t>सपना चौधरी 🇮🇳</t>
  </si>
  <si>
    <t>Dancer/Singer/Stage_Performer/Artist/Human and a Proud Haryanvi Retweet, Follow, Like and support #NamoFan #HinduNationalist</t>
  </si>
  <si>
    <t>subhakanta biswal</t>
  </si>
  <si>
    <t>odisha</t>
  </si>
  <si>
    <t>CSIS Korea Chair</t>
  </si>
  <si>
    <t>After election win, Abe prioritizes #North Korea &amp; aging Japan @mariyamaguchi @AP https://t.co/i3aexLXB4u</t>
  </si>
  <si>
    <t>@CSIS Korea Chair is an independent platform from which to advance major policy issues of common importance to the Korean &amp; American people. RTs ≠ endorsements.</t>
  </si>
  <si>
    <t>Bhagirath choudhary</t>
  </si>
  <si>
    <t>करता हूँ भारत माता से गुजारिश कि तेरी भक्ति के सिवा कोई बंदगी न मिले, हर जनम मिले हिन्दुस्तान की पावन धरा पर या फिर कभी जिन्दगी न मिले. fan @narendramodi ji</t>
  </si>
  <si>
    <t>MadSPace</t>
  </si>
  <si>
    <t>After Election Win, Abe Prioritizes North Korea, Aging Japan https://t.co/J0Ev5ViLAk</t>
  </si>
  <si>
    <t>MadSpaceNews</t>
  </si>
  <si>
    <t>MadSPace - Conservative, Alternative, Controversial and Conspiracy News</t>
  </si>
  <si>
    <t>Santosh Behura</t>
  </si>
  <si>
    <t>NatureFatherNationMother, ResponsibilityFirstRightNext,Bindaas</t>
  </si>
  <si>
    <t>Gayatri Mishra</t>
  </si>
  <si>
    <t>Gujarat Vadodara</t>
  </si>
  <si>
    <t>Donald Trump is...</t>
  </si>
  <si>
    <t>RT @kotaknaren: The Latest: Trump congratulates Japan's Abe on election win: 12:10 p.m. President Donald Trump is congratulating…</t>
  </si>
  <si>
    <t>Donald Trump is..</t>
  </si>
  <si>
    <t>Retweeting what people think of President @realDonaldTrump</t>
  </si>
  <si>
    <t>Kevin Pandya</t>
  </si>
  <si>
    <t>Thamna, India</t>
  </si>
  <si>
    <t>Future Engineer😎 Proud Indian🇮🇳 Insta :- _kevinpandya_ 😋 Snap :- kevin_pandya 😉 #follow4follow✌</t>
  </si>
  <si>
    <t>Neelendra Nath</t>
  </si>
  <si>
    <t>I am rich with stories - #History #Policy #Politics #Religion #StartUp. Introducing #Innovation at @InnovitasCo #Travel : 38 countries so far @travelwithneel</t>
  </si>
  <si>
    <t>サンタ</t>
  </si>
  <si>
    <t xml:space="preserve">葉山の海のそば   Japan </t>
  </si>
  <si>
    <t>Consulducer/Writer/ときどき小説 Instagram https://t.co/qC1CyGH1A6 #秘密結社老犬倶楽部天国支部 #baystars #イマソラ</t>
  </si>
  <si>
    <t>Japan's Shinzo Abe Conjures Stunning Election Victory in a Boost for Donald Trump https://t.co/YQwpHzUwnh</t>
  </si>
  <si>
    <t>Only interested in the news as seen by various interest groups &amp; sources, and adding an occasional comment.</t>
  </si>
  <si>
    <t>kichio</t>
  </si>
  <si>
    <t>好きなもの ⇒ UKロック（特にManic Street Preachers, Radiohead) /映画/チャペック兄弟/J.ティプトリーJr./手塚治虫作品</t>
  </si>
  <si>
    <t>Sid Dharth K</t>
  </si>
  <si>
    <t>Philanthropist ~ Egalitarian ~ Globetrotter ~ Adventurous ~ Altruist ~ Free Thinker ~ Extrovert ~ Maverick ~ Narcissist ~ Sport Buff ~ Blogger ~ Nature Lover</t>
  </si>
  <si>
    <t>Susil Kumar Behera</t>
  </si>
  <si>
    <t>I like sea beach .</t>
  </si>
  <si>
    <t>Productive Moms</t>
  </si>
  <si>
    <t>Mom of two. Online investor.</t>
  </si>
  <si>
    <t>"The Latest: Trump Congratulates Japan's Abe on Election Win" by THE ASSOCIATED PRESS via NYT https://t.co/y1wIRmWqhz</t>
  </si>
  <si>
    <t>Sumit Pathak</t>
  </si>
  <si>
    <t>What Japan's snap election results mean for US-Japan relations https://t.co/wG5lyAHuc1</t>
  </si>
  <si>
    <t>Henry K. B.</t>
  </si>
  <si>
    <t>-</t>
  </si>
  <si>
    <t>Cricket lover|Worship @imVkohli|A batsman who can bowl a bit and a bowler who can bat a bit.|Love F1|Support @ScuderiaFerrari.</t>
  </si>
  <si>
    <t>motokiyo</t>
  </si>
  <si>
    <t>RT @CSIS: What Japan's snap election results mean for US-Japan relations https://t.co/wG5lyAHuc1</t>
  </si>
  <si>
    <t>Osaka Japan</t>
  </si>
  <si>
    <t>中身は、本物のおっさんです。信on休止中、音楽、とくに猫、動物全般、風景、花、ＦＭ８０２などに興味があります。最近は政治、ＲＴおおめ、共感＝無言フォローで、失礼しております。よろしくです。 無言フォローも大歓迎です。</t>
  </si>
  <si>
    <t>How Japan leader Shinzo Abe's election gamble paid off https://t.co/AWdxCGcIog https://t.co/CG120FrNeO #fb #sitifatimah #malaysia</t>
  </si>
  <si>
    <t>Sanath Sonu</t>
  </si>
  <si>
    <t>Nationalist, Proud Hindu.. Jai Hind.. VandeMaataram..🇮🇳</t>
  </si>
  <si>
    <t>IFES' Election Guide</t>
  </si>
  <si>
    <t>#Japan's Liberal Democratic Party won a majority in Sunday's Lower House election https://t.co/MqQbY7yLJF</t>
  </si>
  <si>
    <t>Washington, DC, USA</t>
  </si>
  <si>
    <t>Tracking election dates, news, and results worldwide. Visit @IFES1987 for more democracy news. RT/MT &amp; Follows are not endorsements.</t>
  </si>
  <si>
    <t>Marilyn Taylor</t>
  </si>
  <si>
    <t>Stay at home mom with kids in college. A lot o time to kill and looking for new hobbies!</t>
  </si>
  <si>
    <t>RTA-Trust (India)</t>
  </si>
  <si>
    <t>Founder &amp; President of RTA-Right To Alive Trust</t>
  </si>
  <si>
    <t>Maha Manian</t>
  </si>
  <si>
    <t>Chennai, INDIA</t>
  </si>
  <si>
    <t>¦ भारत माता की जय ¦ A proud Hindu and a Nationalist. I believe in Ekam Sath, Vipraah bahudhaa vadhanthi.</t>
  </si>
  <si>
    <t>RT @bpolitics: Here are the biggest issues at stake in Japan's snap election, from the economy to North Korea https://t.co/hiSL2jOev8 https…</t>
  </si>
  <si>
    <t>Shubham Chaturvedi</t>
  </si>
  <si>
    <t>Shahjajanpur (U.P.)</t>
  </si>
  <si>
    <t>I AM what u see me to be...</t>
  </si>
  <si>
    <t>CSIS: What Japan's snap election results mean for US-Japan relations https://t.co/iXCsoD3mBe</t>
  </si>
  <si>
    <t>Amarnath CK</t>
  </si>
  <si>
    <t>billy snow</t>
  </si>
  <si>
    <t>Japan's Shinzo Abe Conjures Stunning Election Victory in a Boost for Donald Trump https://t.co/tlkYi62Yud https://t.co/nps1GnDypN</t>
  </si>
  <si>
    <t>painting</t>
  </si>
  <si>
    <t>AJAY KUMAR YADAV</t>
  </si>
  <si>
    <t>Teacher,Social Thinker</t>
  </si>
  <si>
    <t>Gene H Gregor</t>
  </si>
  <si>
    <t>Staunch Tory, Thatcherite, Anti all things Left. Detester of Labour &amp; Corbyn, Thankful to the DUP. Abolish The vile BBC!! &amp; I back Boris for Leader!</t>
  </si>
  <si>
    <t>Mayavadin</t>
  </si>
  <si>
    <t>Chola Country</t>
  </si>
  <si>
    <t>Growing wiser by the day, one grey hair at a time...</t>
  </si>
  <si>
    <t>Newsweek</t>
  </si>
  <si>
    <t>North Korea fears Japan "invasion" after Shinzo Abe's victory https://t.co/lyLzuIIihX https://t.co/kYujVoLTBn</t>
  </si>
  <si>
    <t>Stay relevant. News and analysis on politics, science, technology, and culture.</t>
  </si>
  <si>
    <t>Nicole Sales</t>
  </si>
  <si>
    <t>Stay-at-home-soon-to-be mom!</t>
  </si>
  <si>
    <t>Eugene Petrusha</t>
  </si>
  <si>
    <t>MA in Econ &amp; Finance from Kyiv School of Economics. Interested in all things investment. Focus on Ukraine and emerging markets.</t>
  </si>
  <si>
    <t>Vic S</t>
  </si>
  <si>
    <t>Ganesh Singh Jodha</t>
  </si>
  <si>
    <t>Pratt Knott</t>
  </si>
  <si>
    <t>RT @Newsweek: North Korea fears Japan "invasion" after Shinzo Abe's victory https://t.co/lyLzuIIihX https://t.co/kYujVoLTBn</t>
  </si>
  <si>
    <t>Bear Flag Republic</t>
  </si>
  <si>
    <t>With the good and the nice and the warmth and the nice. Pass the biscuits, Pappy. Proud Whig. Suzy Quatro fan.</t>
  </si>
  <si>
    <t>丸に蔓柏</t>
  </si>
  <si>
    <t>日本國 東京都</t>
  </si>
  <si>
    <t>生まれも育ちも東京ですが、故郷を想う日本唱歌を聴くと涙が出るのは何故だろう。無言フォローお詫び致します。</t>
  </si>
  <si>
    <t>Andrew Asher</t>
  </si>
  <si>
    <t>Washington | Orlando</t>
  </si>
  <si>
    <t>Attorney</t>
  </si>
  <si>
    <t>Dharmendra Sankhala</t>
  </si>
  <si>
    <t>Forex Honey</t>
  </si>
  <si>
    <t>Jasmin Lucci</t>
  </si>
  <si>
    <t>Cambridge,MA</t>
  </si>
  <si>
    <t>Cambridge, MA based Realtor dedicated to the community &amp; to helping people find their way home.</t>
  </si>
  <si>
    <t>Japan's ruling LDP expected to win majority in lower house election, voter turnout down https://t.co/h8Ciuy1eLx https://t.co/zfM8BhVO9r</t>
  </si>
  <si>
    <t>chikerer</t>
  </si>
  <si>
    <t>“Yesterday is history, tomorrow is a mystery, today is a gift.” 今日も一日がんばんべー</t>
  </si>
  <si>
    <t xml:space="preserve">Bangalooru </t>
  </si>
  <si>
    <t>Interior designer believes in H3 Honesty Hardwork Hope SARVE JANO SUKHINO BHAVATHU</t>
  </si>
  <si>
    <t>Rajiv BJP</t>
  </si>
  <si>
    <t>Chandigarh (Bharat)</t>
  </si>
  <si>
    <t>State Co-convener - IT Cell (BJP Chandigarh - for past 7 years) BJP Social Media // Member - National Intellectual Forum // Entrepreneur // Modi भक्त Sanghi #ॐ#</t>
  </si>
  <si>
    <t>prithviraj</t>
  </si>
  <si>
    <t>Rational Policy</t>
  </si>
  <si>
    <t>You should care about the #election that just happened in #Japan. Why? Find out: https://t.co/XrG7crFTYd https://t.co/zL9nPcDyg9</t>
  </si>
  <si>
    <t>Www.mental. In</t>
  </si>
  <si>
    <t>siddhpur,Dwarka,Gujrat, India</t>
  </si>
  <si>
    <t>Mrs.B.K PARMAR I do not know me</t>
  </si>
  <si>
    <t>Madrassuper</t>
  </si>
  <si>
    <t>I am here to tweet for benefit of Bharat, it's culture, stopping cruelty to animals as they're being deprived of their rightful living.Likes and RTs r 4 sharing</t>
  </si>
  <si>
    <t>Nahashon_Sheezy</t>
  </si>
  <si>
    <t>NaiRobi</t>
  </si>
  <si>
    <t>Certified medical practitioner/social activist /media strategist/Mkenya Halisi</t>
  </si>
  <si>
    <t>raj kumar</t>
  </si>
  <si>
    <t>birth at prayag, uttar pradesh, bharat</t>
  </si>
  <si>
    <t>Swati</t>
  </si>
  <si>
    <t>Student, avid reader &amp; proud Indian.</t>
  </si>
  <si>
    <t>Trump Congratulates Abe on Election Victory https://t.co/eIwTgXUk9C</t>
  </si>
  <si>
    <t>Harsh Panchal</t>
  </si>
  <si>
    <t>🔰BE YOU🔰 👉 GENUINE RETWEETS</t>
  </si>
  <si>
    <t>Chits_sea</t>
  </si>
  <si>
    <t>i know what i am.. i know exactly what i want ..if u make me an evil... thats okay.... cricket lover...😘born to express not to impress🙋</t>
  </si>
  <si>
    <t>Sid Dalvi</t>
  </si>
  <si>
    <t>Earth🌏</t>
  </si>
  <si>
    <t>💎Pica pica94💎👌</t>
  </si>
  <si>
    <t>@1shawnster Japan kept Abe as Prime Minister in the election over the weekend.</t>
  </si>
  <si>
    <t>gemology, jewelry, ghosts/hauntings, cryptozoology, rock hounding, metalwork.</t>
  </si>
  <si>
    <t>North Korea fears Japan "invasion" after Shinzo Abe's victory https://t.co/2zUpSMp55B https://t.co/0N3SVsUrl6 — Newsweek (Newsweek) Octo…</t>
  </si>
  <si>
    <t>Future Japan PRESS</t>
  </si>
  <si>
    <t>After election win, Japan PM takes aim at North Korea https://t.co/Y2iGNQHCIz</t>
  </si>
  <si>
    <t>on The Web</t>
  </si>
  <si>
    <t>I'm a investor, future producer, Web Jornalist. 今、日本の置かれている状況が、そしてこの地球の状況が、危機的であることを認識して、新たな世界の在り方を模索している。 真正保守。</t>
  </si>
  <si>
    <t>Pal Khamesra</t>
  </si>
  <si>
    <t>Proactive, visionary, motivator, smart-worker, partyholic. I am the CEO!</t>
  </si>
  <si>
    <t>Suraj belose</t>
  </si>
  <si>
    <t>Karjat, India</t>
  </si>
  <si>
    <t>Love books,cricket &amp; Politics...</t>
  </si>
  <si>
    <t>उत्तिष्ठ भारत</t>
  </si>
  <si>
    <t>अहिंसा परमो धर्मः धर्म हिंसा तथैव च: l (अहिंसा सबसे बड़ा धर्म है और धर्म रक्षार्थ हिंसा भी उसी प्रकार श्रेष्ठ है) जय भारत</t>
  </si>
  <si>
    <t>Becky</t>
  </si>
  <si>
    <t>RT @Reuters: Dollar/yen hits three-month high after Japan ruling party's election win https://t.co/w1oDL4ZlDI https://t.co/fdCrT9Q2eU</t>
  </si>
  <si>
    <t>CA.</t>
  </si>
  <si>
    <t>I don't know guat da fak I'm doing</t>
  </si>
  <si>
    <t>Vaibhav Kabra</t>
  </si>
  <si>
    <t>殿 (エキセントリック少年ボウイ)</t>
  </si>
  <si>
    <t>Twitter府Twitter市Twitter区に居るよ</t>
  </si>
  <si>
    <t>尊敬する人/本郷猛・結城丈二/キン肉スグル・アタル・ロビン・拉麺男/前田太尊/空条承太郎/剣桃太郎/両津勘吉/デューク東郷/佐倉魔美/川口浩 好きなモン/お笑いラメーン野球ボクシングJCアニメFFクワガタGLAYオカルト昭ライダ 哀しいかな無名有力有名無力なTwitt！アホ集団の社会に届かない声を届くよう闘う人が好き</t>
  </si>
  <si>
    <t>Riyadh AL Rifai</t>
  </si>
  <si>
    <t>Benghazi , Libya.</t>
  </si>
  <si>
    <t>Anirudh Kumar Pandey</t>
  </si>
  <si>
    <t>This is the official twitter account of Mr. Anirudh Kumar Pandey .</t>
  </si>
  <si>
    <t>Anir</t>
  </si>
  <si>
    <t>I ask myself that, why I asked myself ?</t>
  </si>
  <si>
    <t>Sk Sain</t>
  </si>
  <si>
    <t>सरदारशहर, भारत</t>
  </si>
  <si>
    <t>AaKash 🇮🇳</t>
  </si>
  <si>
    <t>#NationFirst Nature lover #IAmNewIndia Blessed to be Followed by @Gupta_Vijender @omMathur_bjp @piyushgoyaloffc @EknathkhadseBJP &amp;other leaders Tweets in likes</t>
  </si>
  <si>
    <t>Amit Kumar</t>
  </si>
  <si>
    <t>You have to grow from the inside out. None can teach you, none can make you spiritual. There is no other teacher but your own soul. -Swami Vivekananda</t>
  </si>
  <si>
    <t>libya news today</t>
  </si>
  <si>
    <t>New post (Japan's Abe to push pacifist constitution reform after strong election win) has been published on li ... - https://t.co/OCV1QJs3T4</t>
  </si>
  <si>
    <t>Thelibyanewstoday</t>
  </si>
  <si>
    <t>Tripoli</t>
  </si>
  <si>
    <t>Welcome to libya news today.</t>
  </si>
  <si>
    <t>S_Galimberti</t>
  </si>
  <si>
    <t>Shinzo Abe’s ruling coalition retains two-thirds majority in parliament after big #japanelection win… https://t.co/Uh4pc5yWv7</t>
  </si>
  <si>
    <t>Non accontentarti dell’orizzonte. Cerca l’infinito.</t>
  </si>
  <si>
    <t>New India</t>
  </si>
  <si>
    <t>Jai Jawan💂 Jai Kishan👳....🚩Hindu Nationalist🚩....Here Only To Support NaMo - 2⃣0⃣1⃣9⃣ MEIN PHIR SE MODI SARKAR :)</t>
  </si>
  <si>
    <t>Rajesh Sharma</t>
  </si>
  <si>
    <t>India, Rajasthan, Jaipur</t>
  </si>
  <si>
    <t>Human by Birth, Hindu by Culture, Entrepreneurs by Profession. Traveler, 4x4 lover.</t>
  </si>
  <si>
    <t>NARASIMHA K L</t>
  </si>
  <si>
    <t>BANGALORE</t>
  </si>
  <si>
    <t xml:space="preserve">Electrical Engineer, Retired from THE HINDU printing press. RETWEETS, LIKES AND LINKS ARE NOT ENDORSEMENTS </t>
  </si>
  <si>
    <t>Amor Shabbi عمر شابي</t>
  </si>
  <si>
    <t>Constantine, Algeria.</t>
  </si>
  <si>
    <t>Journalist.Reporting on Sahel &amp; MENA. Phone: +(213) 663 580 030. Email: omar.chabbi@gmail.com</t>
  </si>
  <si>
    <t>sanjay verma</t>
  </si>
  <si>
    <t>Basti, India</t>
  </si>
  <si>
    <t>Officer Marketing At Shriram Bioseed Genetics(A Division of Dcm Shriram Ltd</t>
  </si>
  <si>
    <t>Preeti Sharma</t>
  </si>
  <si>
    <t>FX Goddess</t>
  </si>
  <si>
    <t>Mom of 2, love to make my own money by trading FX from home #SAHM #WAHM</t>
  </si>
  <si>
    <t>RT @S_Galimberti: Shinzo Abe’s ruling coalition retains two-thirds majority in parliament after big #japanelection win https://t.co/X8qsn2…</t>
  </si>
  <si>
    <t>Valladolid, Castilla y León</t>
  </si>
  <si>
    <t>Un italo-suizo en España. Hostelero. Enamorado de mi mujer Verónica. Socialista. Política, buenos vinos y buena comida. Viajes, libros, cine y amigos.</t>
  </si>
  <si>
    <t>Marcel Caron</t>
  </si>
  <si>
    <t>Adesh Jain</t>
  </si>
  <si>
    <t>Congratulations to Hon'ble PM @AbeShinzo ji on winning #JapanPM Election ...May Almighty lightens up Japan with more heights of development</t>
  </si>
  <si>
    <t>Assam, India</t>
  </si>
  <si>
    <t>Verified Account</t>
  </si>
  <si>
    <t>Sridhar Paladugu</t>
  </si>
  <si>
    <t>Driven by Truth | Live and Let Live | Follower of Sanathana Dharma</t>
  </si>
  <si>
    <t>Japan Election Victory Gives Abe Mandate For Reform https://t.co/KZ6ORR0rrq</t>
  </si>
  <si>
    <t>Vishal</t>
  </si>
  <si>
    <t>Nationalist, Modi BHAKT.</t>
  </si>
  <si>
    <t>Anusheel Anand Roy</t>
  </si>
  <si>
    <t>Petroleum Engineer | M&amp;A (Energy) Analyst | Agnostic | Centrist | Identifying which quest to follow and in meanwhile experimenting with ephemeral joys.</t>
  </si>
  <si>
    <t>Sahitya Amrish</t>
  </si>
  <si>
    <t>Лариса Комарова</t>
  </si>
  <si>
    <t>Japan's Shinzo Abe Conjures Stunning Election Victory in a Boost for Donald Trump https://t.co/yXTeLs8GIz https://t.co/cH14gjSqZ7</t>
  </si>
  <si>
    <t>Doris Finch</t>
  </si>
  <si>
    <t>Democrat, Loving Grandmother/Mother, FSU Alum, Community Activist.</t>
  </si>
  <si>
    <t>कुंवर अजयप्रताप सिंह</t>
  </si>
  <si>
    <t>RT @priyaakulkarni2: Shinzo Abe gains big victory in Japan election https://t.co/WovoesGx9X</t>
  </si>
  <si>
    <t>Blessed to be followed by PM @narendramodi ji, @amitshah ji &amp; other Cabinet Ministers #Nationlist Active Member BJP, RSS #Hindu #Rajput #CA_Finalist #जय_बालाजी</t>
  </si>
  <si>
    <t>nagaraj</t>
  </si>
  <si>
    <t>Nitin Vigg 📚🖊</t>
  </si>
  <si>
    <t>Socialistic Ideology|Free thinker&amp;Peace lover|Wanderer|Love travelling|Work| Calesthenics|Fashion|Photography!! Tweets are my own,RT's ain't endorsements.</t>
  </si>
  <si>
    <t>sanjay mishra</t>
  </si>
  <si>
    <t>Alan Cummings</t>
  </si>
  <si>
    <t>Sunderland, UK</t>
  </si>
  <si>
    <t>16 years teaching in college + 8 years workbased teaching is enough for anyone. Time to do something more useful for UK Ltd - promote Linux Mint simples!</t>
  </si>
  <si>
    <t>👻Eric Patton🐉</t>
  </si>
  <si>
    <t>DFW</t>
  </si>
  <si>
    <t>ＡＳＣＥＮＤＥＤ ＮＥＯＬＩＢＥＲＡＬ Markets - Applied Intuition - GeoPol</t>
  </si>
  <si>
    <t>Aravinda S</t>
  </si>
  <si>
    <t>Shiv Singh Ranawat</t>
  </si>
  <si>
    <t>🇮🇳छात्र हित 🚩 🇮🇳राष्ट्र हित 🚩🇮🇳 छात्र हित आैर समाज सेवा सर्वोपरि 🇮🇳 जय हिंद 🇮🇳</t>
  </si>
  <si>
    <t>Yogendra Singh</t>
  </si>
  <si>
    <t>Civil Servant IDSE; Ministry of Defence, Military Engineer Services; IIT Roorkee; Kota; Football is religion;Tweets are personal; RTs not endorsement</t>
  </si>
  <si>
    <t>Zacharia OleMunyakei</t>
  </si>
  <si>
    <t>Papua New Guinea</t>
  </si>
  <si>
    <t>Community Volunteer, advisor &amp; promoter of Food Security , Making A Living ( MAL ) &amp; supporter of corrective surgery in children .</t>
  </si>
  <si>
    <t>Sonu Singhal</t>
  </si>
  <si>
    <t>Tilak Nagar, Jaipur</t>
  </si>
  <si>
    <t>A banker by profession Hindu by religion die heart nationalist patriotic foodie aspiring to come in legal looking some adventures</t>
  </si>
  <si>
    <t>vibgyorss</t>
  </si>
  <si>
    <t>Passionate journalist, traveller on the lookout for all types of writing jobs.</t>
  </si>
  <si>
    <t>Forex Princess</t>
  </si>
  <si>
    <t>Pàsha ☦ 🐷</t>
  </si>
  <si>
    <t>Pedemontana Veneta</t>
  </si>
  <si>
    <t>Veneto is not Italy. Arachesostufo</t>
  </si>
  <si>
    <t>Raaj Kumar Singh</t>
  </si>
  <si>
    <t>Udhampur, Jammu And Kashmir</t>
  </si>
  <si>
    <t>Krishna Kumar Shukla</t>
  </si>
  <si>
    <t>Barabanki,UP,INDIA</t>
  </si>
  <si>
    <t>Union bank of India</t>
  </si>
  <si>
    <t>Vikrant K Chandan</t>
  </si>
  <si>
    <t>Tweets are personal. Retweets not endorsement.</t>
  </si>
  <si>
    <t>गोपाल राष्ट्रवादी</t>
  </si>
  <si>
    <t>देश के शिक्षित वर्ग ही देश को गुमराह कर रहें हैं! इसका मतलब शिक्षा में ही खामियाँ मौजूद है! उसे दूर करने का सँकल्प लें! 🙏🙏</t>
  </si>
  <si>
    <t>F.I.L.I.P</t>
  </si>
  <si>
    <t>RT @kuriharan: Shinzo# Abe Wins By A Landslide https://t.co/rae4k0kFIi #tech #politics #Japan #data #election https://t.co/DZkKkSr6wu</t>
  </si>
  <si>
    <t>Regno Unito/italia</t>
  </si>
  <si>
    <t>https://t.co/xwU4lxby3g… #francmolica @realDonaldTrump @justinbieber https://t.co/Ts22YWOJHQ https://t.co/EQpSydLRTf</t>
  </si>
  <si>
    <t>Coupons Discounts</t>
  </si>
  <si>
    <t>A landslide election success for Japan Primary Minister Shinzo Abe delivered the yen lower… https://t.co/tzvrKuWLNY</t>
  </si>
  <si>
    <t>vkjajoria🌹</t>
  </si>
  <si>
    <t>A nationalist. Country first, Region Religion thereafter. Hate pseudo secular. RTs are for perusal and opinion of others not to endorse every views.</t>
  </si>
  <si>
    <t>CCCF</t>
  </si>
  <si>
    <t>RT @FamilyDayGTA: Japan: PM Abe vows to make education, childcare a priority over fiscal reforms after election win https://t.co/8BYZdXSD1R</t>
  </si>
  <si>
    <t>We are the Canadian Child Care Federation. Our organization is about the value of children, affordable child care for families and early childhood education.</t>
  </si>
  <si>
    <t>Landslide victory in recent snap election puts PM Abe on track to become Japan’s longest standing premier… https://t.co/FaFbAoImlC</t>
  </si>
  <si>
    <t>Forex Diva</t>
  </si>
  <si>
    <t>Gopal</t>
  </si>
  <si>
    <t>I am a Nationalist</t>
  </si>
  <si>
    <t>☯</t>
  </si>
  <si>
    <t>Nairobi | KE</t>
  </si>
  <si>
    <t>An ounce of perception, a pound of obscure.</t>
  </si>
  <si>
    <t>Arvee</t>
  </si>
  <si>
    <t>Greater Vancouver</t>
  </si>
  <si>
    <t>Lifelong learner; loves to connect with others to communicate her message.</t>
  </si>
  <si>
    <t>Global citizen</t>
  </si>
  <si>
    <t>Vikas Sharma</t>
  </si>
  <si>
    <t xml:space="preserve">Uttrakhand </t>
  </si>
  <si>
    <t>Haresh Rathod</t>
  </si>
  <si>
    <t>Daniel A. Russell</t>
  </si>
  <si>
    <t>Chelmsford, Essex, UK</t>
  </si>
  <si>
    <t>'All the soul of man is resolution, which in valiant men falters never, until their last breath.'' - Ian Smith, Prime Minister of Rhodesia from 1964 to 1979.</t>
  </si>
  <si>
    <t>World News PLOW</t>
  </si>
  <si>
    <t>Japan's ruling coalition retains a supermajority in snap election https://t.co/F0XFpKNHMZ +1 WorldBot #worldnews #news</t>
  </si>
  <si>
    <t xml:space="preserve">Internet </t>
  </si>
  <si>
    <t>A new #worldnews community with less noise &amp; junk on @plowio. Follow to join our open beta!</t>
  </si>
  <si>
    <t>Rohit Mishra</t>
  </si>
  <si>
    <t>Computer Engg, Blogger by Passion , Narendra Modi Bhakt and I am Proud of that</t>
  </si>
  <si>
    <t>iShares</t>
  </si>
  <si>
    <t>The era of Abenomics continues: Let's take a look at what that means for the markets and Japanese stocks… https://t.co/CJUxTqqdiw</t>
  </si>
  <si>
    <t>Percolate</t>
  </si>
  <si>
    <t>Essential building blocks for the heart of your portfolio. iShares: Inspired to build. Official US account; important information https://t.co/Nsb2FHj0TE</t>
  </si>
  <si>
    <t>Renville Brown</t>
  </si>
  <si>
    <t>⚡ Japan leader's big election gamble pays off https://t.co/7jBwq8rtLF</t>
  </si>
  <si>
    <t>I believe in equality justice &amp; fairness. I value your opinion even if u disagree with me. Only ask u not to be abusive! Rts not necessarily an endorsement.</t>
  </si>
  <si>
    <t>John Michaels</t>
  </si>
  <si>
    <t>North Korea fears Japan "invasion" after Shinzo Abe's victory https://t.co/JNMKwpTRKF</t>
  </si>
  <si>
    <t>Denver, Colorado</t>
  </si>
  <si>
    <t>I provide daily world news, and sharp sarcastic commentary that shapes our world and free's my mind. #AmericaMike Tweets the World.</t>
  </si>
  <si>
    <t>Behgjet Pacolli</t>
  </si>
  <si>
    <t>Congratulations to @AbeShinzo on his election success. I look fwd to further enhance the bilateral cooper w/ #Japan. 🇯🇵is a key donor in 🇽🇰.</t>
  </si>
  <si>
    <t>Kosovo</t>
  </si>
  <si>
    <t>Deputy Prime Minister &amp; Minister of Foreign Affairs of the Republic of Kosovo🇽🇰. Former President of Kosovo. A father, husband and entrepreneur.</t>
  </si>
  <si>
    <t>Tanya😲speak my mind</t>
  </si>
  <si>
    <t>Sunshine State</t>
  </si>
  <si>
    <t>DEM patriot multiracial #Resist Opinions my own, Facts = truth, ? until I understand, RT part of debate #FollowBackResistance ❤👊 #StrongerTogether #MeToo</t>
  </si>
  <si>
    <t>Shankar Lal</t>
  </si>
  <si>
    <t>ControversyINC</t>
  </si>
  <si>
    <t>Japan's Abe on track for landslide victory, exit polls show https://t.co/Oqv7VjpfL3 https://t.co/oOBfjs9Wpy https://t.co/pjyNED1Qjg</t>
  </si>
  <si>
    <t>Meet Edgar</t>
  </si>
  <si>
    <t>Time Warrior</t>
  </si>
  <si>
    <t>Japan's Abe on track for landslide victory, exit polls show https://t.co/Ew8UT4cPl2 https://t.co/zSKj0LVsBk https://t.co/bonlrt9Iz0</t>
  </si>
  <si>
    <t>Chicago, IL EARTH</t>
  </si>
  <si>
    <t>http://t.co/lGN51U7SEf This Twitter Account will provide you with a feed to my Facebook Pages, deviantART, ReverbNation, YouTube and more!</t>
  </si>
  <si>
    <t>GWTrachtenbergSchool</t>
  </si>
  <si>
    <t>Japan's Shinzo Abe wins big in snap election, which means stark N. Korean policy implications. #worldat1 @USATODAY https://t.co/wMD51Zlxu8</t>
  </si>
  <si>
    <t>Public policy and public administration education in the heart of Washington, D.C. Doing good and doing it well.</t>
  </si>
  <si>
    <t>Steven Bleistein</t>
  </si>
  <si>
    <t>"For investors, Abe offers stability — and a silver lining to #Japan’s corporate scandals" https://t.co/LoalpbOfoc quoted in this via @CNBC</t>
  </si>
  <si>
    <t>Expert in rapid growth and organizational change in Japan. I advise Japan's top CEOs to affect change in their organizations. Japanese profile: @sbleisteinja</t>
  </si>
  <si>
    <t>janggolan</t>
  </si>
  <si>
    <t>RT @World_News_Plow: Japan's ruling coalition retains a supermajority in snap election https://t.co/F0XFpKNHMZ +1 WorldBot #worldnews #news</t>
  </si>
  <si>
    <t>Kanwar</t>
  </si>
  <si>
    <t>@muralidg @sanjukta @ahijit @CNET Yes it's like quoting economist for Japan election results and @rohinisghET for u… https://t.co/7OQvrOejxT</t>
  </si>
  <si>
    <t>Communication professional, Social Media learner!!!</t>
  </si>
  <si>
    <t>World news</t>
  </si>
  <si>
    <t>おひや</t>
  </si>
  <si>
    <t>メディアに騙されたくない。情報を集める手段のうちの１つです。</t>
  </si>
  <si>
    <t>My blooming life</t>
  </si>
  <si>
    <t>Colorado</t>
  </si>
  <si>
    <t>Just a poorboy trying to survive.</t>
  </si>
  <si>
    <t>Ej Last</t>
  </si>
  <si>
    <t>RT @divyachowdhury: #ShinzoAbe keeps 2/3 "super majority"; To push reform of #Japan's pacifist constitution after #election win https://t.c…</t>
  </si>
  <si>
    <t>Phoenix, AZ</t>
  </si>
  <si>
    <t>Learning.</t>
  </si>
  <si>
    <t>Jonathan Luckhurst</t>
  </si>
  <si>
    <t>#Abe’s win is important for #China-#Japan relations. Despite security differences, their economic ties are crucial https://t.co/GT0oUky5Qz</t>
  </si>
  <si>
    <t>Professor Uni. of Guadalajara. Author: G20 Since the Global Crisis (2016); &amp; The Shifting Global Economic Architecture (2017) (both Palgrave Macmillan)</t>
  </si>
  <si>
    <t>Easter Ciombaine</t>
  </si>
  <si>
    <t>Nbi, Kenya</t>
  </si>
  <si>
    <t>Out to discover Africa, I believe I have no idea of what we are all about despite the many years of schooling in Africa. I am talking about our African Culture!</t>
  </si>
  <si>
    <t>Viru</t>
  </si>
  <si>
    <t>Dharm paaji on twitter</t>
  </si>
  <si>
    <t>Uri van As</t>
  </si>
  <si>
    <t>| Columnist https://t.co/kCemgECQKK | Schrijft stukken die worden (voor)gelezen in rechtszalen, Den Haag en redactielokalen | 🇳🇱 🇮🇱 🇺🇸 |🍴🍷 | 🎼 | 📽️ | ✍️ | 📖 |</t>
  </si>
  <si>
    <t>Their News</t>
  </si>
  <si>
    <t>Newly re-elected Japanese Prime Minister promises free preschool for every child #5for5 https://t.co/wur3brbUC5</t>
  </si>
  <si>
    <t>Your source for news on global education issues, child rights and early childhood development - brought to you by @theirworld and the A World at School movement</t>
  </si>
  <si>
    <t>Theirworld</t>
  </si>
  <si>
    <t>Newly re-elected Japanese Prime Minister promises free preschool for every child #5for5 https://t.co/mFKhIjafzn</t>
  </si>
  <si>
    <t>UK charity, working globally</t>
  </si>
  <si>
    <t>A brighter future for every child with #5for5, #RewritingTheCode and #SafeSchools. Every child deserves the opportunity to fulfil their potential.</t>
  </si>
  <si>
    <t>iluvindia</t>
  </si>
  <si>
    <t>Priya Kulkarni</t>
  </si>
  <si>
    <t>NRI🗽 Libertarian. Video Editor &amp; Analyst Die_Hard_Fan of @narendramodi &amp; @PiyushGoyal Crazy Abt Space,technology, AI, Photography. Followed by @PiyushGoyalOffc</t>
  </si>
  <si>
    <t>Brett Stevens</t>
  </si>
  <si>
    <t>What now for Japan after Abe's landslide election victory? https://t.co/NwLWNgB44Y #tcot #nrx #altright</t>
  </si>
  <si>
    <t>Politics: Realist</t>
  </si>
  <si>
    <t>David Eaton</t>
  </si>
  <si>
    <t>RT @ILCUK: North Korea and ageing Japan main priorities for PM Abe after big election win https://t.co/qsfzm8bTKG</t>
  </si>
  <si>
    <t>Policy and Public Affairs Manager at @ILCUK. Labour. Chadsian. Lover of lazy Sundays. All views my own.</t>
  </si>
  <si>
    <t>Sandeep Chowdhury</t>
  </si>
  <si>
    <t>मैं शून्य हूँ....मुझे पीछे ही रखना..; मेरा फ़र्ज सिर्फ आपकी कीमत बढ़ाना है...।</t>
  </si>
  <si>
    <t>Satish Chaturvedi</t>
  </si>
  <si>
    <t>Phenice McCall</t>
  </si>
  <si>
    <t>はらたか</t>
  </si>
  <si>
    <t>３人の娘の母です。震災後、ＴＶ・新聞の報道が変だなと思い始めました。</t>
  </si>
  <si>
    <t>#world #news Japan's Abe vows to put education spending before budget balance https://t.co/GUjymF6Ddm @hyperrts… https://t.co/O3448TORHx</t>
  </si>
  <si>
    <t>Raja Yadav</t>
  </si>
  <si>
    <t>Lt Dharmvir</t>
  </si>
  <si>
    <t>RT @ssharma68: BBC News - Japan's snap election explained https://t.co/yCfxqCceBu</t>
  </si>
  <si>
    <t xml:space="preserve">Dharuhera, India @S_MahajanLS </t>
  </si>
  <si>
    <t>Ideology @narendramodi_in @byadavbjp @mepratap @upadhyaysbjp @aniljaindr @khadseraksha @tsrawatbjp @MangteC @cmohry @gssjodhpur @ShainaNC @Pankajamunde</t>
  </si>
  <si>
    <t>Ken Thompson</t>
  </si>
  <si>
    <t>Japan gears up to reestablish its military dominance. A much more militarized world is looming on the horizon. https://t.co/9TuKBm9wyC</t>
  </si>
  <si>
    <t>American, Democrat (aka The Resistance), Progressive Thinker, MBA Candidate, Lover of the Environment, Inspired Future Public Servant, Musician, and Health Nut</t>
  </si>
  <si>
    <t>Bisakha</t>
  </si>
  <si>
    <t>Once a hack always a hack. Media and worldwatcher</t>
  </si>
  <si>
    <t>Ritesh</t>
  </si>
  <si>
    <t>Md. Ibrahim Hossain</t>
  </si>
  <si>
    <t>Japan’s ruling coalition retains a supermajority in snap election https://t.co/Se0bDHK0Zt Facebook https://t.co/r8MR0DZToW Google+ …</t>
  </si>
  <si>
    <t>I am a #DigitalMarketer, #OnlineMarketer, #InternetMarketer, #SEO, #Facebook, #Twitter, #YouTube, #Linkedin, #Google+, #Instagram, #Pinterest expert</t>
  </si>
  <si>
    <t>Neeraj</t>
  </si>
  <si>
    <t>North Korea Fears Japan 'Invasion' as Abe's Victory Paves the Way for Changes to Pacifist Constitution - https://t.co/zwnlrMor4F</t>
  </si>
  <si>
    <t>Software Design and Microsoft Dynamics CRM Consultant</t>
  </si>
  <si>
    <t>DEEPAK PUROHIT</t>
  </si>
  <si>
    <t>Jodhpur, Rajasthan, India</t>
  </si>
  <si>
    <t>मैं कट्टर हु मैं धर्मनिष्ठ हु #Believethat साज़िशे लाखो बनती है मेरी हस्ती मिटाने की बस दुआँए मेरी माँ की उन्हेँ मुक्कमल नही होने देती @purohitdeep89</t>
  </si>
  <si>
    <t>JAI SRI RAM 🇮🇳 Indian 🇮🇳 गद्दारो की छाती पर फिर चोट करूँगा 2019 में भी मोदी को ही वोट करूँगा!</t>
  </si>
  <si>
    <t>Vikram Bishnoi</t>
  </si>
  <si>
    <t>Mangesh G. Kavale</t>
  </si>
  <si>
    <t>Typhoon leaves five dead after lashing Japan on election day https://t.co/KJUJqaJgYr via @TOIWorld</t>
  </si>
  <si>
    <t>Alibag,Maharashtra, India</t>
  </si>
  <si>
    <t>Market Guru</t>
  </si>
  <si>
    <t xml:space="preserve">Yahin kahin </t>
  </si>
  <si>
    <t>Life is too short to be serious... Tweets are my intellectual property.... Never ever ever ever consider RTs as Endorsements ;)</t>
  </si>
  <si>
    <t>Donald Pradhan</t>
  </si>
  <si>
    <t>RT @timesofindia: #JUSTIN | Japan's Abe vows to 'deal firmly' with North Korea after election win, reports AFP</t>
  </si>
  <si>
    <t>Sandor, Mumbai</t>
  </si>
  <si>
    <t>NGOs and Social Good Government and Politics News Government &amp; Public Utilities</t>
  </si>
  <si>
    <t>Sanjana Mishra</t>
  </si>
  <si>
    <t>इतनी मोहब्बत से क्यूँ निहार रहे हैं हमे,😍सोच लो,खुद के भी नहीं रह पाओगे आप,</t>
  </si>
  <si>
    <t>After election win, Abe prioritizes North Korea, aging Japan https://t.co/T7NXEWJOSG</t>
  </si>
  <si>
    <t>Amy</t>
  </si>
  <si>
    <t>Japanese prime minister coasts to election win - POLITICO https://t.co/A88F3iynMo</t>
  </si>
  <si>
    <t>EARTH ☮</t>
  </si>
  <si>
    <t>REGISTER TO VOTE NOW•FLIP THE HOUSE TO DEMS•NOV 6, 2018 •VOLUNTEER•DONATE•MAKE A DIFFERENCE••❌LISTS•ADS •PORN•Assholes</t>
  </si>
  <si>
    <t>ロケットマン委員長</t>
  </si>
  <si>
    <t>あの世</t>
  </si>
  <si>
    <t>趣味☆ロケット飛ばす 特技☆ロケット開発 ミサイル開発 好きなもの☆自分 嫌いなもの☆トランプ大統領 。可愛い僕チンをよろしくね🚀</t>
  </si>
  <si>
    <t>Paul Renato</t>
  </si>
  <si>
    <t>#Matehuala #SLP #México</t>
  </si>
  <si>
    <t>Lawyer @UASLP_mx &amp; #LLM Master in Business Law @UMontreal | Economic Development Director | #Attorney at Law https://t.co/rfdbIvp48O</t>
  </si>
  <si>
    <t>Ujawal Kumar</t>
  </si>
  <si>
    <t>Nisha</t>
  </si>
  <si>
    <t>Just like that ;)</t>
  </si>
  <si>
    <t>Magda Rae</t>
  </si>
  <si>
    <t>Live to laugh; live to share; live to appreciate and live to Love. #livingalife #onelife #prayerforlove #prayerforpeace #lovewins</t>
  </si>
  <si>
    <t>jayanth desai</t>
  </si>
  <si>
    <t>ಯಾದವನಗರಿ/ಯಾದಗಿರಿ</t>
  </si>
  <si>
    <t>Certified Field trainer NSQF/Automobile Engineer/Hindu/ಕನ್ನಡಿಗ /Freelance writer/Story writer, respect at #RSS #BJP #Vajpayee</t>
  </si>
  <si>
    <t>BriceRosen</t>
  </si>
  <si>
    <t>RT @drmassee: Japan’s Abe Cements Power With Strong Election Win https://t.co/rsfQO7YF7B</t>
  </si>
  <si>
    <t>Austin, TX</t>
  </si>
  <si>
    <t>Armed Nana of 4 with conservative DNA. Love my God, my family, my country. Thank you Lord for President TRUMP.</t>
  </si>
  <si>
    <t>www.meerut.com</t>
  </si>
  <si>
    <t>After election win, Abe prioritizes North Korea, aging Japan - https://t.co/kWNNwwPkyJ TOKYO: Fresh off a decisive election victory, Japa...</t>
  </si>
  <si>
    <t>meerutdotcom</t>
  </si>
  <si>
    <t>J.K 20019🐳</t>
  </si>
  <si>
    <t>D.M😁😁</t>
  </si>
  <si>
    <t>@Narendramodi जीआदर्श हैं उम्मीद है भारत विश्वगुरु बनेगा,व्यस्त समय निकाल कर देशके खिलाफनोंट,बंदी कोGSTको टारगेट करनें वालों को जवाब दें सकूँ प्लीज फालो करें💯</t>
  </si>
  <si>
    <t>Anudeep</t>
  </si>
  <si>
    <t>Stewart Tipping</t>
  </si>
  <si>
    <t>Abhimanyu</t>
  </si>
  <si>
    <t>Dharmesh  Bhavsar</t>
  </si>
  <si>
    <t>Member of Itsm team Bjp Ellisbridge Vidhansabha</t>
  </si>
  <si>
    <t>Divyang Solanki</t>
  </si>
  <si>
    <t xml:space="preserve"> vadodara,Gujarat, India</t>
  </si>
  <si>
    <t>Bhartiya janta party OBC morcha mahamantri ward 17 Vadodara mahanagar, president of yuva shakti trust sanghthan , BJP ITSM member Vadodara</t>
  </si>
  <si>
    <t>Pauline Ward</t>
  </si>
  <si>
    <t>east northants</t>
  </si>
  <si>
    <t>little bit older lady, man u supporter and england fc married.like to walk dog and swim to keep fit</t>
  </si>
  <si>
    <t>JOSTARYOUTUBE45</t>
  </si>
  <si>
    <t>https://t.co/eHOPKVnwhj 【 #DonaldTrump election】 I talked about the disadvantages of Japan and the future #トランプ #トランプ当選 #Trump #U #EDM</t>
  </si>
  <si>
    <t>音楽 エンタメ</t>
  </si>
  <si>
    <t>matrix</t>
  </si>
  <si>
    <t>Japan / Japon http://t.co/LpSX0asz ex.editor ∞affection：cinema art literature travel music ballet architecture design philosophy photograph mythology politics</t>
  </si>
  <si>
    <t>Teacher Wanjiku™</t>
  </si>
  <si>
    <t>RT @theirworld: Newly re-elected Japanese Prime Minister promises free preschool for every child #5for5 https://t.co/mFKhIjafzn</t>
  </si>
  <si>
    <t>artist, creative, comedian by choice, business woman, wife, mother I am a woman of all trades. diooooo</t>
  </si>
  <si>
    <t>Disha Singh ®™</t>
  </si>
  <si>
    <t>हिन्दू,हिन्दी,हिन्दुस्तान से प्यार करती हूँ। इनमे से एक भी हो तो टच करे... माफ़ करे मैंने शादी कर ली हैं,मुछे प्रभावित करने की कोशिस न करे ...</t>
  </si>
  <si>
    <t>Toronto Bonner</t>
  </si>
  <si>
    <t>I added a video to a @YouTube playlist https://t.co/7sn4QpUmvh Japan's stocks on record winning streak after Abe's election victory</t>
  </si>
  <si>
    <t>Kaushik j</t>
  </si>
  <si>
    <t>AMIT DHAKAD</t>
  </si>
  <si>
    <t>Harshdip  Bhatt</t>
  </si>
  <si>
    <t>After election win, Abe prioritizes North Korea, aging Japan</t>
  </si>
  <si>
    <t>शैलेन्द्र विक्रम सिह</t>
  </si>
  <si>
    <t>???</t>
  </si>
  <si>
    <t>stosh ceaser cueta</t>
  </si>
  <si>
    <t>Siaya, Kenya</t>
  </si>
  <si>
    <t>⚽⚽ⓕⓞⓞⓣⓑⓐⓛⓛ ⓘⓢ ⓑⓐⓔ⚽⚽ ❤❤hazard, morata, kante❤❤... CHELLSEA💖💖💖</t>
  </si>
  <si>
    <t>shubh@m Singh</t>
  </si>
  <si>
    <t>#Bhakton_Ka_Baap</t>
  </si>
  <si>
    <t>KUL DEEPAK SHRIVASTA</t>
  </si>
  <si>
    <t>K.D.T. SHRIVASTAVA</t>
  </si>
  <si>
    <t>Australia Trends</t>
  </si>
  <si>
    <t>Japan's Shinzo Abe headed to impressive election win: projections https://t.co/x5Or1xVK98 https://t.co/OqIoGCRrry</t>
  </si>
  <si>
    <t>Trending Australia news as collected by Trendolizer</t>
  </si>
  <si>
    <t>J K Sethi</t>
  </si>
  <si>
    <t>Kristine D'Ambrosio</t>
  </si>
  <si>
    <t>🙏🇺🇸👠</t>
  </si>
  <si>
    <t>og</t>
  </si>
  <si>
    <t>Eldoret</t>
  </si>
  <si>
    <t>I can't judge you</t>
  </si>
  <si>
    <t>50°C</t>
  </si>
  <si>
    <t>यत्र तत्र सर्वत्र</t>
  </si>
  <si>
    <t>I Love India and Bharat Mata Ki Jai</t>
  </si>
  <si>
    <t>Joe Rich</t>
  </si>
  <si>
    <t>Father, husband, barrister, Stansted Conservative Councillor -2015, Parliamentary Candidate, Stoke-on-Trent South #GE2015, Brexit campaigner</t>
  </si>
  <si>
    <t>Amritchauhan</t>
  </si>
  <si>
    <t>sankaran Sivaraman</t>
  </si>
  <si>
    <t>Chennai,India</t>
  </si>
  <si>
    <t>Forex market forecast strategic trading techniques are developed and presented in my website: http://t.co/kLguB8Gjae</t>
  </si>
  <si>
    <t>@anooppnd6745 @narendramodi @AbeShinzo Dearfriend @AbeShinzo,general election triumph, I would like to sincerely co… https://t.co/j1Yi0aPrPg</t>
  </si>
  <si>
    <t>Tia Ayu Sulistyana</t>
  </si>
  <si>
    <t>Salatiga-Yogyakarta</t>
  </si>
  <si>
    <t>International Relations of UMY '14 | Fa inna ma'al usri yusraa, inna ma'al usri yusra.</t>
  </si>
  <si>
    <t>Varun Kumar Kataria</t>
  </si>
  <si>
    <t>BEING HAPPY IS A CHOICE &amp; NOT THE CHANCE...</t>
  </si>
  <si>
    <t>Brajendra Pal</t>
  </si>
  <si>
    <t>जय भारत जय मोदी जय श्री राम</t>
  </si>
  <si>
    <t>sanhita choudhury</t>
  </si>
  <si>
    <t>Follow the saying of Vivekananda Service to mankind is service to God</t>
  </si>
  <si>
    <t>PANKAJ VERMA</t>
  </si>
  <si>
    <t>Mission 2019...</t>
  </si>
  <si>
    <t>Avi M Sharma BJYM</t>
  </si>
  <si>
    <t>उदयपुर, भारत</t>
  </si>
  <si>
    <t>जिला सदस्य, IT Cell, BJYM, डूँगरपुर (राजस्थान)</t>
  </si>
  <si>
    <t>mark safranski</t>
  </si>
  <si>
    <t>Greater Chicago area</t>
  </si>
  <si>
    <t>Trying to discern the connections....</t>
  </si>
  <si>
    <t>Narendra Modi PM</t>
  </si>
  <si>
    <t xml:space="preserve"> भारत </t>
  </si>
  <si>
    <t>Official account of Fans PM Modi. 15th Prime Minister of India.</t>
  </si>
  <si>
    <t>Jeevesh Prasoon</t>
  </si>
  <si>
    <t>हिन्दू और एक भारतीय होने पे गर्व | तन्त्रांश अभियन्ता</t>
  </si>
  <si>
    <t>Pavan Chaudhari</t>
  </si>
  <si>
    <t>Asleen Range</t>
  </si>
  <si>
    <t>deepvalbuyer</t>
  </si>
  <si>
    <t>Founder, The Stock Catalyst Report, former partner multi -billion $ hedge fund, 20 yrs HF exp. - contrarian, under the radar ideas</t>
  </si>
  <si>
    <t>Japan's ruling coalition retains a supermajority in snap election https://t.co/DQqXoIVzYU</t>
  </si>
  <si>
    <t>Munna Singh</t>
  </si>
  <si>
    <t>Chapra , bihar</t>
  </si>
  <si>
    <t>Bjp activist</t>
  </si>
  <si>
    <t>Vishal Bhardwaj</t>
  </si>
  <si>
    <t>Elizabeth Seger</t>
  </si>
  <si>
    <t>Shinzo Abe vows to seek consensus on Japan Constitution after election win https://t.co/ZpnUlMENAT</t>
  </si>
  <si>
    <t>संदीप</t>
  </si>
  <si>
    <t>बाजु वाली गली</t>
  </si>
  <si>
    <t>Bio Nahi Maths Liya tha Maths</t>
  </si>
  <si>
    <t>viv</t>
  </si>
  <si>
    <t>buckinghamshire</t>
  </si>
  <si>
    <t>Amaresh kumar shukla</t>
  </si>
  <si>
    <t>Basil Bruschetta</t>
  </si>
  <si>
    <t>Vulpes vulpes</t>
  </si>
  <si>
    <t>Parody. PARODY. PARODY! PARODY!! That clear enough, Twitter?</t>
  </si>
  <si>
    <t>RT @SanjuSi3: @anooppnd6745 @narendramodi @AbeShinzo Dearfriend @AbeShinzo,general election triumph, I would like to sincerely congratulate…</t>
  </si>
  <si>
    <t>Dr. Nimesh Gupta</t>
  </si>
  <si>
    <t>life is drama, v r characters, parents r director and God is producer.</t>
  </si>
  <si>
    <t>D.U.Dinesh</t>
  </si>
  <si>
    <t>Advocate practicing civil law</t>
  </si>
  <si>
    <t>Wahid Azaoui</t>
  </si>
  <si>
    <t>Marseille, France</t>
  </si>
  <si>
    <t>Prashant Jha</t>
  </si>
  <si>
    <t>INDIAN🇮🇳🇮🇳🇮🇳 Software Engineer ,Freelancer. Stay Classy Pet lover Nature love 😍 Spread Love n Peace 💞💞💖 Traveller Chasing the star 🌟 🌟 Instagram-prashantjha003</t>
  </si>
  <si>
    <t>Piyush Raj Tripathi</t>
  </si>
  <si>
    <t>कट्टर भाजपाई</t>
  </si>
  <si>
    <t>Rashmi Chaturvedi</t>
  </si>
  <si>
    <t>Editor, BJP Samvad Patra, P. M. Patra &amp; Kamal News.</t>
  </si>
  <si>
    <t>Jupu Yusuf Nyanje</t>
  </si>
  <si>
    <t>God's child|Patriot|Sexual and Reproductive Health [SRH] enthusiast|ProChoice|Youth activism|Experience seeker|Mobilizer.</t>
  </si>
  <si>
    <t>MADAN</t>
  </si>
  <si>
    <t>Vishal Shah ®</t>
  </si>
  <si>
    <t>After election win, Abe prioritizes North Korea, aging Japan https://t.co/Dn4qMSzFci</t>
  </si>
  <si>
    <t>Digital Marketing Specialist, Search Engine Optimizer, Social Media Strategist, Fan page Specialist, Web Developer, Music Lover</t>
  </si>
  <si>
    <t>Shinzo Abe vows to seek consensus on Japan Constitution after election win https://t.co/i4vHX0yMAn</t>
  </si>
  <si>
    <t>ɥʇıɹɐz</t>
  </si>
  <si>
    <t>95</t>
  </si>
  <si>
    <t>野本耕作</t>
  </si>
  <si>
    <t>木偶之坊主人。散歩と音楽を聴くのが好きです。ライフワークは存在論。 音楽ブログ⇒https://t.co/78sLV1K9ZJ なんでもブログ⇒https://t.co/Mi0YutOivh 市民活動は4/5引退しています。</t>
  </si>
  <si>
    <t>India's Big Debate</t>
  </si>
  <si>
    <t>RT @livemint: Shinzo Abe vows to seek consensus on Japan Constitution after election win https://t.co/i4vHX0yMAn</t>
  </si>
  <si>
    <t>Welcome All who would like to debate on Important Issues concerning India. Follow us with your concern &amp; We will fight 4 Your Right! Jai Hind! #indiasbigdebate</t>
  </si>
  <si>
    <t>kundan Singh</t>
  </si>
  <si>
    <t>Computer Engineering student</t>
  </si>
  <si>
    <t>RT @CSIS: Analysis: Why Japan’s Prime Minister called a snap election a year ahead of schedule https://t.co/iIdbskPaZ8</t>
  </si>
  <si>
    <t>RT @CSIS: Analysis: Are Japan’s political winds shifting? https://t.co/iIdbsl6LQG</t>
  </si>
  <si>
    <t>Ramesh Dwivedi Tanuj</t>
  </si>
  <si>
    <t>Sultanpur, India</t>
  </si>
  <si>
    <t>Sports Politicians and Pol Parties Comedy and Humour</t>
  </si>
  <si>
    <t>Anton La Guardia</t>
  </si>
  <si>
    <t>Japan’s ruling coalition retains a supermajority in snap election https://t.co/LS3dIfGPXj</t>
  </si>
  <si>
    <t>Deputy Foreign Editor at The Economist. Formerly Middle East &amp; Africa Editor, and Charlemagne columnist. RT≠endorsement.</t>
  </si>
  <si>
    <t>Dharmesh Patel</t>
  </si>
  <si>
    <t>SudsHubli</t>
  </si>
  <si>
    <t>Some of my favorite songs are too cool to be included in a playlist.</t>
  </si>
  <si>
    <t>Hunter</t>
  </si>
  <si>
    <t>Glasgow</t>
  </si>
  <si>
    <t>SP SHARMA</t>
  </si>
  <si>
    <t>High Court Jodhpur</t>
  </si>
  <si>
    <t>Ex-Air Warrior &amp; High Court Lawyer. To provide justice to poor, is my vision. No room for corruption in my life. Seculars to stay away.</t>
  </si>
  <si>
    <t>Shinzo Abe vows to seek consensus on Japan Constitution after election win</t>
  </si>
  <si>
    <t>ジョン幸之助</t>
  </si>
  <si>
    <t>東京生まれだぴょーん！</t>
  </si>
  <si>
    <t>Arsh Turna</t>
  </si>
  <si>
    <t>Gaderpur India</t>
  </si>
  <si>
    <t>gadarpur,india</t>
  </si>
  <si>
    <t>Ritzz</t>
  </si>
  <si>
    <t>Just here for all short of information.</t>
  </si>
  <si>
    <t>Vinita Chambore</t>
  </si>
  <si>
    <t>Rafael Nadal, gymnastics and Liverpool FC fan. Likes Adam Levine, Charlie Puth, Dua Lipa and Benedict Cumberbatch as Sherlock. Tries to dare greatly.</t>
  </si>
  <si>
    <t>佐藤</t>
  </si>
  <si>
    <t>CLSA's Smith Says Japanese Stocks Are Cheap Nicholas Smith, equity strategist at CLSA Japan https://t.co/aktm1WVDx8</t>
  </si>
  <si>
    <t>iOS</t>
  </si>
  <si>
    <t>Nagoya Japan</t>
  </si>
  <si>
    <t>A grasshopper-dog dreaming Investors in a rice field. Now studying from Twitter and training on the Market.</t>
  </si>
  <si>
    <t>SAMEER 🇮🇳</t>
  </si>
  <si>
    <t>Samastipur, Bihar (INDIA)</t>
  </si>
  <si>
    <t>A Simple Person/ My Nation Is My Pride/ Narendra Modi is My Inspiration/ Bhartiya Janata Party(BJP)/ एक भारत श्रेष्ठ भारत</t>
  </si>
  <si>
    <t>Hitendra Sisodia</t>
  </si>
  <si>
    <t>Chetan Patel</t>
  </si>
  <si>
    <t>Düsseldorf, Germany</t>
  </si>
  <si>
    <t>Murangira</t>
  </si>
  <si>
    <t>RT @theirnews: Newly re-elected Japanese Prime Minister promises free preschool for every child #5for5 https://t.co/wur3brbUC5</t>
  </si>
  <si>
    <t xml:space="preserve">Pearl of Africa </t>
  </si>
  <si>
    <t>Africa | Data Science | Human Security | People | Culture | Saved by Grace</t>
  </si>
  <si>
    <t>#NorthKorea Fears Japan 'Invasion' as Abe's Victory Paves the Way for Changes to Pacifist Constitution - Newsweek… https://t.co/rqeHmDsYqO</t>
  </si>
  <si>
    <t>Dileep Patel</t>
  </si>
  <si>
    <t>दमोह, भारत</t>
  </si>
  <si>
    <t>ASHWIN</t>
  </si>
  <si>
    <t>Self employed</t>
  </si>
  <si>
    <t>Nikhil kale</t>
  </si>
  <si>
    <t>Proud Indian.</t>
  </si>
  <si>
    <t>Anjani</t>
  </si>
  <si>
    <t>एक सवयंसेवक</t>
  </si>
  <si>
    <t>Gabby Ogbechie</t>
  </si>
  <si>
    <t>Japan PM Shinzo Abe pledges pressure on North Korea after big election win https://t.co/PYo2DKUQrd</t>
  </si>
  <si>
    <t>Lagos</t>
  </si>
  <si>
    <t>Author, Pastor, Development and Valuation Surveyor, CEO LandAssets Consult Ltd., Publisher, http://t.co/TY4r1nyMmg, http://t.co/Gn6DATRgiH</t>
  </si>
  <si>
    <t>FamousPixs</t>
  </si>
  <si>
    <t>Eugene</t>
  </si>
  <si>
    <t>He who Jah bless,no man curse.. #TheArsenal... #ControversialTweep,#Prouddad</t>
  </si>
  <si>
    <t>Kamaljit singh</t>
  </si>
  <si>
    <t>I have scars! For I aim for the stars. #author #poet #philanthropist</t>
  </si>
  <si>
    <t>Intellectual Indian</t>
  </si>
  <si>
    <t>PT</t>
  </si>
  <si>
    <t>SAQI_KAUSAR</t>
  </si>
  <si>
    <t>BUSINESS DAILY - Japan's stocks on record winning streak after Abe's election victory https://t.co/WxJkRqfjhm https://t.co/UimdEHI7WF</t>
  </si>
  <si>
    <t>Homie</t>
  </si>
  <si>
    <t>Nakuru, Kenya</t>
  </si>
  <si>
    <t>A little refined. Not so accomplished. ✌ @ManUtd Fanatic ⚽ 💪</t>
  </si>
  <si>
    <t>Chris Adam</t>
  </si>
  <si>
    <t>Japan's Abe to push pacifist constitution reform after strong election win https://t.co/LRDTYI2wAd</t>
  </si>
  <si>
    <t>twtnewsen</t>
  </si>
  <si>
    <t>LosAngeles, CA</t>
  </si>
  <si>
    <t>Network Engineer with over 10 years of experience with VMware, Cisco, and Microsoft technology.</t>
  </si>
  <si>
    <t>TheOneAndOnlyOne</t>
  </si>
  <si>
    <t>Hates hypocrisy &amp; Bias| Likes debate | Political Observer | retweet or following not indicative of either endorsement or opposition to the same</t>
  </si>
  <si>
    <t>HYDERABAD SALAAM</t>
  </si>
  <si>
    <t>POLITICAL ORGANIZATION</t>
  </si>
  <si>
    <t>Raju Rokhade</t>
  </si>
  <si>
    <t>Harihar, India</t>
  </si>
  <si>
    <t>President B J P HARIHAR CITY</t>
  </si>
  <si>
    <t>chundabad</t>
  </si>
  <si>
    <t>Aimée Arnold</t>
  </si>
  <si>
    <t>Japan: PM Abe to Challenge Pacifist Constitution After Election Victory https://t.co/nK5xHcSUdT via @democracynow</t>
  </si>
  <si>
    <t>Lavi kverma</t>
  </si>
  <si>
    <t>Chemistry lecturer जननी-जन्मभूमिश्च स्वर्गादपि गरीयसी Nation first</t>
  </si>
  <si>
    <t>Ellen Woodsworth</t>
  </si>
  <si>
    <t>Japan: PM Abe to Challenge Pacifist Constitution After Election Victory https://t.co/FfhqSPmZhT via @democracynow</t>
  </si>
  <si>
    <t>International speaker, writer, organizer, activist, former Vancouver City Councillor, Founder &amp; Co Chair Women Transforming Cities</t>
  </si>
  <si>
    <t>chaithrakumar</t>
  </si>
  <si>
    <t>Japan's Abe Cements Power With Strong Election Win https://t.co/ONco8jPKXi</t>
  </si>
  <si>
    <t>MWISE.</t>
  </si>
  <si>
    <t>Tweets can only be associated with Mwise!.. CERTIFIED ARSENAL FAN.</t>
  </si>
  <si>
    <t>Timothy Aikman</t>
  </si>
  <si>
    <t>What now for Japan after Abe's landslide election victory? https://t.co/nO8OOg2qc7</t>
  </si>
  <si>
    <t>Edinburgh, Scotland</t>
  </si>
  <si>
    <t>I am a photographer who believes that a great image encourages a story to be told. https://t.co/LtnM2mnFKM</t>
  </si>
  <si>
    <t>UR_Sam</t>
  </si>
  <si>
    <t>Punjab, India</t>
  </si>
  <si>
    <t>Biggest Fan-Bollywood,Hollywood &amp; Tollywood Entertainer-👌😃 Entry-24_June_2017 FashionBlogger-👓👔 Favoritesports-⚽🎱🎾🏂🎳 GymLover-💪👊 GamesLover-🎮🎰🎲🎯</t>
  </si>
  <si>
    <t>Ashish Lohia</t>
  </si>
  <si>
    <t>मन का हो तो अच्छा , न हो तो और अच्छा !!!!</t>
  </si>
  <si>
    <t>Japan's ruling coalition retains a supermajority in snap election - https://t.co/84k7HkdqIQ, , #World-News https://t.co/D1XQOjKVl1</t>
  </si>
  <si>
    <t>Nitin यादव</t>
  </si>
  <si>
    <t>I am working many social services group I am mechanical engineer....</t>
  </si>
  <si>
    <t>sheikismail</t>
  </si>
  <si>
    <t>Shinzo Abe’s Japan election win lifts world stocks, dollar https://t.co/kY69F71RsO</t>
  </si>
  <si>
    <t>simple, friendly,</t>
  </si>
  <si>
    <t>Pavan BV</t>
  </si>
  <si>
    <t>Proud Nationalist</t>
  </si>
  <si>
    <t>Doctor ,Proud Nationalist ,Patriot...For me always always India first...Namo supporter</t>
  </si>
  <si>
    <t>Shinzo Abe vows to seek consensus on Japan Constitution after election win https://t.co/JmXvpWMwTc</t>
  </si>
  <si>
    <t xml:space="preserve">HINDUSTAN </t>
  </si>
  <si>
    <t>#IndiaFirst #IndianArmy #JaiHind</t>
  </si>
  <si>
    <t>The Osint Journal</t>
  </si>
  <si>
    <t>Top story: Japan Election Victory Gives Abe Mandate For Reform | The Diplomat https://t.co/gR9d9eNeOD, see more https://t.co/XA7n9nONNC</t>
  </si>
  <si>
    <t>Information based on Open Sources, OSINT, on major issues related to global security,terrorism, counter-terrorism, intelligence gathering and analysis</t>
  </si>
  <si>
    <t>NandiBandit🇰🇪</t>
  </si>
  <si>
    <t>#TEAMWENGERKNOWS</t>
  </si>
  <si>
    <t>Ainkareswar Pillai</t>
  </si>
  <si>
    <t>Nagercoil / Uzhhorod</t>
  </si>
  <si>
    <t>ManUtd | Federer | CSK | Politics.</t>
  </si>
  <si>
    <t>Sharmistasarkar</t>
  </si>
  <si>
    <t>♚ɾαյεεѵ ςίηɡհ🇮🇳</t>
  </si>
  <si>
    <t>सर्वे भवन्तु सुखिनः सर्वे सन्तु निरामया। सर्वे भद्राणि पश्यन्तु मा कश्चित् दुःखभाग् भवेत्।। सभी सुखी होवें,सभी रोगमुक्त रहें, सभी मंगलमय घटनाओं के साक्षी बनें💕</t>
  </si>
  <si>
    <t>Vipul Meghe</t>
  </si>
  <si>
    <t>Wardha, India</t>
  </si>
  <si>
    <t>Audit Officer at Disha Microfinance ltd.</t>
  </si>
  <si>
    <t>Friends Of Trump UK</t>
  </si>
  <si>
    <t>Bexley, London</t>
  </si>
  <si>
    <t>Donald J.Trump is the very definition of the American success story championing a strong modern British-American Partnership #MakeAmericaGreatAgain</t>
  </si>
  <si>
    <t>Saurabh Jain</t>
  </si>
  <si>
    <t>New post: "Japan's Abe Cements Power With Strong Election Win" https://t.co/ONco8jPKXi</t>
  </si>
  <si>
    <t>Nitesh Panchal BJP</t>
  </si>
  <si>
    <t>IT - Social Media Co-Incharge Naroda Ward &amp; IT - Social Media Karyakarta Naroda Vidhansabha Mantri Baxipanch Morcho Naroda Ward</t>
  </si>
  <si>
    <t>KELOLAND News</t>
  </si>
  <si>
    <t>President Donald Trump is congratulating Japanese Prime Minister Shinzo Abe on his election win. https://t.co/SNCxkgt26l</t>
  </si>
  <si>
    <t>Sioux Falls</t>
  </si>
  <si>
    <t>KELO-TV: News updates from http://t.co/ZT3Kfra0bh</t>
  </si>
  <si>
    <t>yeauchq</t>
  </si>
  <si>
    <t>contre les discriminations, s'indigne des idees inhumaines enrachinees dans ce pays. 日本国憲法</t>
  </si>
  <si>
    <t>…(?)</t>
  </si>
  <si>
    <t>RT @CharlesMuhammad: #Gold hits 2-week low as PM Abe wins in #Japan election to keep easy-money policy, lifts #dollar https://t.co/gMI1CQ5R…</t>
  </si>
  <si>
    <t>霊犀・際・賽・零細https://t.co/tqGi8hVZt6 https://t.co/SZs9GLNFOv https://t.co/i0BlWyDjzO</t>
  </si>
  <si>
    <t>VOA Student Union</t>
  </si>
  <si>
    <t>#Japanese #PM Extends #Power in Snap #Election #southeastasia #democratic #japan https://t.co/0HTBMVvnbY https://t.co/g9fjgG04cU</t>
  </si>
  <si>
    <t>Helping international students navigate higher ed in the U.S.</t>
  </si>
  <si>
    <t>🔱🇮🇳पिनाकीन🇮🇳🔱</t>
  </si>
  <si>
    <t>baben,bardoli,Gujarat</t>
  </si>
  <si>
    <t>★EXTREME HINDU ★ NAMO FOR PM- 2029 ★J&amp;K IS INDIAN TERRITORY ☆ non judgemental ☆ straight ☆honest dnt follow if you dnt do dm it shows ur lack of faith</t>
  </si>
  <si>
    <t>Ann Ford</t>
  </si>
  <si>
    <t>Retired Educator JK-8</t>
  </si>
  <si>
    <t>terurium</t>
  </si>
  <si>
    <t>ญี่ปุ่น</t>
  </si>
  <si>
    <t>新聞整理記者を脱藩してwebサービス周辺。元四ッ谷の哲学徒&amp;3DCG@デジハリ。タイ語ちょっと話したり書けたりするよ。PythonとJavaScriptを使うよ。統計・機械学習・地図が主な守備範囲。高校数学ほとんど未履修。私のツイートはフィクションであり、実際の勤務先、人物、団体とは関係ありません。</t>
  </si>
  <si>
    <t>Mitra Prakash Rajput</t>
  </si>
  <si>
    <t>Bhasker Mukherjee</t>
  </si>
  <si>
    <t>Jennifer Kwon</t>
  </si>
  <si>
    <t>all around</t>
  </si>
  <si>
    <t>words, stories and places</t>
  </si>
  <si>
    <t>Shashank Pandey</t>
  </si>
  <si>
    <t xml:space="preserve">New delhi </t>
  </si>
  <si>
    <t>#पहचान मेरी--बाग़ी_बलिया (UP),#ॐ 🚩#दी.यू. का छात्र, #देशभक्त, #भुखमरी के ख़ात्मे के लिए प्रयासरत NGO संचालक, @givemeal_hfn । @socialwork_nf</t>
  </si>
  <si>
    <t>Ashish Pal</t>
  </si>
  <si>
    <t>Kurla West, Mumbai</t>
  </si>
  <si>
    <t>Suraj Pandey</t>
  </si>
  <si>
    <t>I</t>
  </si>
  <si>
    <t>harsh</t>
  </si>
  <si>
    <t>patna</t>
  </si>
  <si>
    <t>interested in philosophy, yoga, spirituality, socialism and politics. Totally against casteism, drowry system,and congress.....</t>
  </si>
  <si>
    <t>ilkay Gülsün</t>
  </si>
  <si>
    <t>Astral traveller| Sports addicted| Listener| Hiker</t>
  </si>
  <si>
    <t>Захар Дашук</t>
  </si>
  <si>
    <t>#forex (Dollar/yen reached a three-month high after Japan's ruling party will win the ...) has been published on -… https://t.co/b5UWoebKP7</t>
  </si>
  <si>
    <t>dasdasfgdfg</t>
  </si>
  <si>
    <t>Санкт-Петербург, Россия</t>
  </si>
  <si>
    <t>Я думаю, крольчиха обычно даже не успевает сказать, что у нее болит голова.</t>
  </si>
  <si>
    <t>Krishna Kulkarni</t>
  </si>
  <si>
    <t>Smriti Irani Fan || Progressive || PM Modi Fan || Uniform Civil Code || Karyakarta @BJP4India</t>
  </si>
  <si>
    <t>Mary Frances Bennett</t>
  </si>
  <si>
    <t>Vijay Bhonsale</t>
  </si>
  <si>
    <t>Co-Convener of I.T.S.M. &amp; Website Management Department, @BJP4Naranpura,(#ITSMGandhinagarLoksabha); #Singer ; #Marketing.</t>
  </si>
  <si>
    <t>Narendra Patil</t>
  </si>
  <si>
    <t>mechanical engineering student still confused why i choose engineering,love d #Indian #Army , #Indian #Army Aspirant... follow me i ll follow back</t>
  </si>
  <si>
    <t>Japan’s ruling coalition retains a supermajority in snap election https://t.co/k1rpZxa2JL</t>
  </si>
  <si>
    <t>pooja</t>
  </si>
  <si>
    <t>Tweets are personal &amp; copy, but only truth.</t>
  </si>
  <si>
    <t>RT @USAGOLD: #Gold hits two-week low as Abe election victory lifts dollar https://t.co/nCAeHozdsP Japan's ultra-loose monetary policy to st…</t>
  </si>
  <si>
    <t>Tabtter Free</t>
  </si>
  <si>
    <t>NewsClipr</t>
  </si>
  <si>
    <t>#Japan’s Abe to push pacifist constitution reform after strong election win. https://t.co/mqLot5Qubk</t>
  </si>
  <si>
    <t>I'm a globalist from Colombia.</t>
  </si>
  <si>
    <t>I read newspapers from everywhere so you don't have to. No corner of the world is unimportant.</t>
  </si>
  <si>
    <t>Atul Rao</t>
  </si>
  <si>
    <t>Bangalore, Karnataka</t>
  </si>
  <si>
    <t>NaMo //Diehard NaMo fan\\ retweets are endorsements, only when I want them to be.</t>
  </si>
  <si>
    <t>Blue Suede Haze</t>
  </si>
  <si>
    <t>Polls open in Japan's snap general election @CNN https://t.co/ejBqOX2crC</t>
  </si>
  <si>
    <t>Spokane, WA</t>
  </si>
  <si>
    <t>🎬🎮 #Twitch Affiliate - #CGN Partner - Variety Gamer -👽SciFi Freak - Poetry Lover https://t.co/hcbDW4kgU2</t>
  </si>
  <si>
    <t>Day Dreamer, Kick Ass attitude, negative thinker, thoda drinker &amp; Chanakya fanatic lover</t>
  </si>
  <si>
    <t>Economy World</t>
  </si>
  <si>
    <t>Japan’s ruling coalition retains a supermajority in snap election https://t.co/ndVjHtHzvO</t>
  </si>
  <si>
    <t>DestroyTwitter</t>
  </si>
  <si>
    <t>All the news about #economy and #jobs, realtime on this account. Follow us!</t>
  </si>
  <si>
    <t>OurKid</t>
  </si>
  <si>
    <t>CityInTheSun☼USAmerica ®-Kid™</t>
  </si>
  <si>
    <t>But I say unto you which hear, Love your enemies, do good to them which hate you, https://t.co/MyGMh4UTHe</t>
  </si>
  <si>
    <t>The Real V</t>
  </si>
  <si>
    <t>GRACM</t>
  </si>
  <si>
    <t>#JapanElection Vindicates #ShinzoAbe as His Party Wins Big https://t.co/iDgqV6WYAm</t>
  </si>
  <si>
    <t>Brussel, België</t>
  </si>
  <si>
    <t>Official Account - Exec Training in Global Risk Analysis &amp; Crisis Management @VECO_Brussels. Tweets on #Risk, #CrisisManagement, #Politics. RTs ≠ endorsements</t>
  </si>
  <si>
    <t>U.S. welcomes #Abe's victory in #Japan election, but cautious about militaristic change to Constitution https://t.co/kyWtb5qMl0</t>
  </si>
  <si>
    <t>anodyne</t>
  </si>
  <si>
    <t>RT @nytimes: Election Risk Pays Off for Shinzo Abe of Japan as Party Appears to Win Big https://t.co/TZkLOwJ9Lu</t>
  </si>
  <si>
    <t>Abhilash</t>
  </si>
  <si>
    <t>positive</t>
  </si>
  <si>
    <t>#Brexiteer and #Unionist. Huge respect for Sir Nige, President Trump and love Boris. RT not necessarily endorsement, just continuing the conversation.</t>
  </si>
  <si>
    <t>Susheelendra</t>
  </si>
  <si>
    <t>Dream of rebuilding Bharat as Vishwa Guru under the able &amp; strong leadership of Modi ji. RT ≠ Endorsement. Blocked by @MamataOfficial &amp; @quizderek</t>
  </si>
  <si>
    <t>jasssraj Grewal</t>
  </si>
  <si>
    <t xml:space="preserve">BEING A  SWYAMSEVAK </t>
  </si>
  <si>
    <t>ll राष्ट्र प्रथम, भारत​ जोड़ो संकल्प से सिद्धि ll BUSINESSMAN, CEO, CMD, HMG GROUP OF COMPANIES, LUDHIANA, (PB) राष्ट्रीय स्वयंसेवक संघ @RSSorg, https://t.co/kPgKmn08iY INDIA</t>
  </si>
  <si>
    <t>Himanshu Kumar</t>
  </si>
  <si>
    <t>HK</t>
  </si>
  <si>
    <t>NOT TO WORRY</t>
  </si>
  <si>
    <t>Tridip patowary</t>
  </si>
  <si>
    <t>Rebecca Rodrigues</t>
  </si>
  <si>
    <t>This is the official account of Rebecca Rodrigues (Ruby) Social Worker❤ For any help email me vivianfernandes286@gmail.com</t>
  </si>
  <si>
    <t>हीरामन Tiwari</t>
  </si>
  <si>
    <t>जन्मभूमिः स्वर्गादपि गरीयसी</t>
  </si>
  <si>
    <t>JNU Faculty; a Balliol; form'ly, Heinrich Zimmer Prof of Ind Phil&amp;Intellectual History, Heidelberg; EURIAS Sr Fellow &amp; Sr Fellow IIAS Jerusalem [Views personal]</t>
  </si>
  <si>
    <t>Beaches Lovers</t>
  </si>
  <si>
    <t>Toronto, Ontario, Canada</t>
  </si>
  <si>
    <t>Welcome to Beaches Lovers, in #Toronto #Ontario #Canada. (#BeachesLovers #FanPage)</t>
  </si>
  <si>
    <t>Andy O'Brien</t>
  </si>
  <si>
    <t>Kent, England</t>
  </si>
  <si>
    <t>Believe in #Britain. EU has been downfall of #UK. Love #Europe, anti EU Proud #Brexiteer @MadeinBritainGB @OnlyBuyBritish @Jefferson_MFG #UKmfg #GBmfg</t>
  </si>
  <si>
    <t>Joining hands with 1.25 Billion Indians to grow India with the amazing vision of best ever PM Modi. PM Modi fan club</t>
  </si>
  <si>
    <t>Naunihal</t>
  </si>
  <si>
    <t>Beverly Hills, CA</t>
  </si>
  <si>
    <t>Passionate to create history,to bring out potential in team ,to devlope leaders,I believe in god ,nothing is impossible,fastest growing salon chain strands CEO</t>
  </si>
  <si>
    <t>Ganesh kumar {गणेश)</t>
  </si>
  <si>
    <t>Fatehpur, India</t>
  </si>
  <si>
    <t>गणेश कुमार शर्मा खुड़ी फतेहपुर khudi(fatehpur) Facebook sharmaganesh140@gamil.com Instagram ganesh_sharm Google+ ganesh sharma @kganesh828ag</t>
  </si>
  <si>
    <t>Bhagwant Singh</t>
  </si>
  <si>
    <t>Jim Henry</t>
  </si>
  <si>
    <t xml:space="preserve">Florida </t>
  </si>
  <si>
    <t>BAZINGA is a word used to help break the tension of a serious conversation.</t>
  </si>
  <si>
    <t>MANVENDRA SINGH</t>
  </si>
  <si>
    <t>After election win, Abe prioritizes North Korea, aging Japan: https://t.co/qaRa3zIH7W - Yahoo News - Latest News &amp; Headlines #Latest</t>
  </si>
  <si>
    <t>Overseas Vote</t>
  </si>
  <si>
    <t>RT @VotingGuy: Japan election: Osaka polling station opens 20 minutes late because official overslept💤🛌 https://t.co/9vH6qCTqLf</t>
  </si>
  <si>
    <t>The Overseas Vote Initiative facilitates participation of U.S. overeas and military voters. An effort of the nonpartisan US Vote Foundation.</t>
  </si>
  <si>
    <t>Trump calls Abe to congratulate him on his election victory https://t.co/DkEQpEsUWN https://t.co/d4NT9xXJSJ</t>
  </si>
  <si>
    <t xml:space="preserve">Tansu Açmalı </t>
  </si>
  <si>
    <t>RT @bpolitics: Trump calls Abe to congratulate him on his election victory https://t.co/DkEQpEsUWN https://t.co/d4NT9xXJSJ</t>
  </si>
  <si>
    <t>BANABIR SINHA</t>
  </si>
  <si>
    <t>Assam</t>
  </si>
  <si>
    <t>Teacher in Dalurbond LP school, and worker of BJP. I luv my India. jai hind</t>
  </si>
  <si>
    <t>@Dev_Fadnavis @AbeShinzo Heartiest greetings to my dear friend @AbeShinzo on his big election win. Look forward to… https://t.co/Rc51mIElpZ</t>
  </si>
  <si>
    <t>Praveenbp</t>
  </si>
  <si>
    <t>Bengaluru Bharathavarsha</t>
  </si>
  <si>
    <t>dependent on former,slave to god, parasite for family,thief of nature,hates politics, breathe polluted air,drinks pollute water eats gmo foods,watches fake news</t>
  </si>
  <si>
    <t>Satya Mehta</t>
  </si>
  <si>
    <t>Nakhatrana, India</t>
  </si>
  <si>
    <t>Teacher</t>
  </si>
  <si>
    <t>LAVKUSH</t>
  </si>
  <si>
    <t>agnostic,nastik,hate religious bigotry</t>
  </si>
  <si>
    <t>Saurabh Joshi</t>
  </si>
  <si>
    <t>Winning big : Japan’s ruling coalition retains a supermajority in snap election https://t.co/2wpCVgctnj via @TheEconomist</t>
  </si>
  <si>
    <t>Editor, @StratPost &amp; @DelhiDurbar. Sciency. Lapsed lawyer. Fascinated by flight. Lucky. Not normally a nice guy. Tweets are mine. Retweets are somebody else's.</t>
  </si>
  <si>
    <t>Manish BABA</t>
  </si>
  <si>
    <t>Indore   India</t>
  </si>
  <si>
    <t>Marketing by choice .... Nation First... My Role Model is PM Modi... भारत माता की जय</t>
  </si>
  <si>
    <t>santosh bhat</t>
  </si>
  <si>
    <t>Proud Indian ... Jabra Fan of SRK ,Virat... Tweets personal..</t>
  </si>
  <si>
    <t>Yola Verona</t>
  </si>
  <si>
    <t>Bekasi - Bangkok - Baltimore</t>
  </si>
  <si>
    <t>I am in the black, dropout from college, but survive with a small business, oh life is bigger than I thought. I follow back, please ask</t>
  </si>
  <si>
    <t>Sandeep K S</t>
  </si>
  <si>
    <t>Krishan Partap Singh</t>
  </si>
  <si>
    <t>RT @SaurabhJoshi: Winning big : Japan’s ruling coalition retains a supermajority in snap election https://t.co/2wpCVgctnj via @TheEconomist</t>
  </si>
  <si>
    <t>Lutyens' Delhi</t>
  </si>
  <si>
    <t>Krishan Partap Singh, author of the Raisina Series, a trilogy of political novels: Young Turks, Delhi Durbar, The War Ministry. Next up: Nehru--A Novel</t>
  </si>
  <si>
    <t>sachin bhardwaj</t>
  </si>
  <si>
    <t>Software Engineer, Indian, Nationalist</t>
  </si>
  <si>
    <t>RANA TABASSUM</t>
  </si>
  <si>
    <t>Japan Election Vindicates Shinzo Abe as His Party Wins Big https://t.co/onvhYcAfRU</t>
  </si>
  <si>
    <t xml:space="preserve"> 77000 Melun - FRANCE</t>
  </si>
  <si>
    <t>JOURNALISTE EX.Assistant editor Catholic Naqib Lahore Pakistan Self Employement SARL MARC PARIS FRANCE- RAISING PUBLIC CONSCIOUNESS AND FOR PROMOTING VALUES</t>
  </si>
  <si>
    <t>DHEERAJ SHARMA</t>
  </si>
  <si>
    <t>Agra, India</t>
  </si>
  <si>
    <t>TryiTan</t>
  </si>
  <si>
    <t>Globally there is a push to rewrite the constitutions | Japan's Abe to push pacifist constitution reform https://t.co/xwLmPdQeNi</t>
  </si>
  <si>
    <t>Analyzing the gap between social, political and economic world events.</t>
  </si>
  <si>
    <t>Randhir Borkar</t>
  </si>
  <si>
    <t>journalism is passion ! loves economics, politics &amp; philosophy ! &amp; aware in all social sciences ! but presently, in 4(4-1) yrs imprisonment of engineering !!</t>
  </si>
  <si>
    <t>Darren Sissons</t>
  </si>
  <si>
    <t>NKorea issues likely to alter Japan's post WWII military status. #Rising #Tensions. Abe's big Japanese election win. https://t.co/uty1TEa3DB</t>
  </si>
  <si>
    <t>Global Equities &amp; Tech Investor (Developed &amp; Emerging Markets), Kiwi &amp; All Blacks Supporter. Re - tweets not an endorsement. Email: dsissons@clrim.com</t>
  </si>
  <si>
    <t>Ajay Deep Chouhan 🐦</t>
  </si>
  <si>
    <t>RT @IndiaTodayFLASH: Heartiest greetings to @AbeShinzo on his big election win. Looking forward to strengthen India-Japan relations, tweets…</t>
  </si>
  <si>
    <t>Journalist &amp; State Bureau Head at Hotline Monthly News Magazine . I wanna #RightToWrite , Mob.- 7870124924 , 7633854852 , http://ajaydeepchouhan.blogspot.comn</t>
  </si>
  <si>
    <t>Pranav Kumar Chandra</t>
  </si>
  <si>
    <t>सात्विक तिवारी</t>
  </si>
  <si>
    <t>माता माता की जय , भारत माता की जय ।।। जय हिन्द । वन्देमातरम ।।। वन्देमातरम</t>
  </si>
  <si>
    <t>The Economist</t>
  </si>
  <si>
    <t>Japan’s ruling coalition retains a supermajority in snap election https://t.co/FEFKDCSTfc</t>
  </si>
  <si>
    <t>News and analysis with a global perspective. Subscribe here: https://t.co/owztJzwlmm</t>
  </si>
  <si>
    <t>Rajesh Ghosh</t>
  </si>
  <si>
    <t>www.facebook.com/rajes025</t>
  </si>
  <si>
    <t>Additional Joint Secretary OSD(IT) ¤ Secretary of NaMo Group ¤ Technocrat of Digital &amp; Social Media ¤ Political Strategist and Adviser ¤</t>
  </si>
  <si>
    <t>candangacasique</t>
  </si>
  <si>
    <t>TheEconomist: Japan’s ruling coalition retains a supermajority in snap election https://t.co/lDXGO0fwKU Japan’s ruling coalition retains …</t>
  </si>
  <si>
    <t>Mérida, Venezuela</t>
  </si>
  <si>
    <t>#Economy #Finance and #politics. #Economía #Finanzas y #Política #Mérida #Caracas #Venezuela</t>
  </si>
  <si>
    <t>RT TheEconomist "Japan’s ruling coalition retains a supermajority in snap election https://t.co/S8XSdiG3KE"</t>
  </si>
  <si>
    <t>Dr S Kumar</t>
  </si>
  <si>
    <t>Heartiest greetings to Dear Sir @AbeShinzo on his big election win. Look forward to further strengthen India-Japan relations with him.</t>
  </si>
  <si>
    <t>|Motivatior| |Friend| |Nationalist| |Indian| |State President of Bihar @Hinduektasangh.|</t>
  </si>
  <si>
    <t>♈Aries♈The "Ram"</t>
  </si>
  <si>
    <t>RT @TheEconomist: Japan’s ruling coalition retains a supermajority in snap election https://t.co/FEFKDCSTfc</t>
  </si>
  <si>
    <t>Future Superpower..INDIA.</t>
  </si>
  <si>
    <t>♈Aries♈Male,Ruler-MARS/Elem-FIRE/Mod-CARDINAL,F1,Astrology/Numerology,"POLITICS", "BJP",Space,Def,Strat.Affairs,Economy,Stocks,Travel,Wildlife,Fashion/Lifestyle</t>
  </si>
  <si>
    <t>TheEconomist Deduped</t>
  </si>
  <si>
    <t>De-duped Economist</t>
  </si>
  <si>
    <t>ट्वीट खुलासा  ®™🇳</t>
  </si>
  <si>
    <t xml:space="preserve">Allahabad Uttar Pradesh </t>
  </si>
  <si>
    <t>estelle</t>
  </si>
  <si>
    <t>As if my flat mates just thought the snap election in Japan was when they vote on snapchat 😭😭😭😂😂😂</t>
  </si>
  <si>
    <t>सुनीता भौजी</t>
  </si>
  <si>
    <t>पति की बाँहो में</t>
  </si>
  <si>
    <t>मेरा पति दिल्ली का cheep मिनिस्टर हे, भृष्ट हे तो क्या हुआ ईमानदार पार्टी से हे #parody RT not endorsement</t>
  </si>
  <si>
    <t>Saurav 'Modi'Fied</t>
  </si>
  <si>
    <t xml:space="preserve">Faridabad हिन्दूस्थान </t>
  </si>
  <si>
    <t>अहिंसा परमो धर्मः धर्म हिंसा तथीव च!! staunch follower of @narendramodi Proud हिन्दू RTs not endorsement वसुधैव कुटुम्बकम!! वन्दे गौ मातरम्!!</t>
  </si>
  <si>
    <t>Currencies: Japanese yen slumps after Abe election victory - Japan’s currency falls as traders anticipate a fur... https://t.co/oVXjtrJt7Y</t>
  </si>
  <si>
    <t>Mohit kumar dwivedi</t>
  </si>
  <si>
    <t>I am always believe in myself.</t>
  </si>
  <si>
    <t>libertynews</t>
  </si>
  <si>
    <t>AllLibertyNews2</t>
  </si>
  <si>
    <t>Vineet Bajpayee</t>
  </si>
  <si>
    <t>BJP Pune City Social Media Team</t>
  </si>
  <si>
    <t>Sara Gomez Arancibia</t>
  </si>
  <si>
    <t>Partager les nouvelles de cette petite planète terre! Share the news of this small planet earth!</t>
  </si>
  <si>
    <t>James</t>
  </si>
  <si>
    <t xml:space="preserve">London/Sussex </t>
  </si>
  <si>
    <t>19, politics undergrad</t>
  </si>
  <si>
    <t>Bart, not Barth</t>
  </si>
  <si>
    <t>In a time of universal deceit, telling the truth becomes a revolutionary act. George Orwell</t>
  </si>
  <si>
    <t>TheEconomist: Japan’s ruling coalition retains a supermajority in snap election https://t.co/GpcytqVVPB</t>
  </si>
  <si>
    <t>Hindu Raj Rajput</t>
  </si>
  <si>
    <t>Jasol Rajasthan, India</t>
  </si>
  <si>
    <t>नगर कार्यकारिणी सदस्य ABVP जैसलमेर राजपूत करणी सेना सदस्य विश्व हिन्दु षरिषद राष्ट्रीय स्वयंसेवक संघ @hindurajrajput</t>
  </si>
  <si>
    <t>Go to our website for full view: Japan’s ruling coalition retains a supermajority in snap election https://t.co/8U0c6jSpPR</t>
  </si>
  <si>
    <t>TamilMediumGuy🇮🇳</t>
  </si>
  <si>
    <t>A Science Enthusiast. RTs not an Endorsement.</t>
  </si>
  <si>
    <t>L.L.L.</t>
  </si>
  <si>
    <t>Shivakumar Rajendran</t>
  </si>
  <si>
    <t>Celebrating Life - Grateful to @SriSri</t>
  </si>
  <si>
    <t>#loopylawless #altitudeattitude #35000ftsonicboom #lovingdemocracy #freedomnotrepression #equalrightsunequalwrongs #ageofaquarius</t>
  </si>
  <si>
    <t>Parimal M. Rohit</t>
  </si>
  <si>
    <t>Journalist. Editor, The Log Newspaper. Annenberg Fellow, RK Mellon Fellow. Top beats: maritime, environment. UCLA &amp; U of San Fran. Alum. Opinions = my own.</t>
  </si>
  <si>
    <t>Blue Squad</t>
  </si>
  <si>
    <t>Shrinivas Kulkarni</t>
  </si>
  <si>
    <t>hyderabad,India</t>
  </si>
  <si>
    <t>Olivia Marie</t>
  </si>
  <si>
    <t>Cincinnati</t>
  </si>
  <si>
    <t>Oli♑a</t>
  </si>
  <si>
    <t>Vikas</t>
  </si>
  <si>
    <t>भारत माता की जय , A Proud Hindu and a nationalist, BJP supporter, Modi Supporter</t>
  </si>
  <si>
    <t>Ricardo Jimenez</t>
  </si>
  <si>
    <t>Japan’s ruling coalition retains a supermajority in snap election https://t.co/Q0e1FXY2ca</t>
  </si>
  <si>
    <t>Burgues de finanzas amante de los desayunos en el Cardenal, miercoles de Au Pied y viernes de Capri. Sudamericano por adopción, capitalista por elección.</t>
  </si>
  <si>
    <t>Joyce Aluda</t>
  </si>
  <si>
    <t>KIM GILL</t>
  </si>
  <si>
    <t>KrinvantoVishwamArym</t>
  </si>
  <si>
    <t>Agripreneur, Loves &amp; Lives Research, Eternal Learner, Rashtrawadi, APOLITICAL Tweets r personal. JAI HIND.</t>
  </si>
  <si>
    <t>Sitesh Srivastava</t>
  </si>
  <si>
    <t>India South Africa Japan UK</t>
  </si>
  <si>
    <t>Think-Collaborator, emphasis on soft skills. IT Professional, Artist, Entrepreneurial, Radio Presenter, Media agnostic. Views personal https://t.co/HeCyrQDcbI</t>
  </si>
  <si>
    <t>Naveen rampal</t>
  </si>
  <si>
    <t>粗撃手</t>
  </si>
  <si>
    <t>日本国　東京　Tokyo　Japan</t>
  </si>
  <si>
    <t>軍事、メーデー！クラスタの末席に座るしがない社会人 巷で言うミリタリクラスタらしい</t>
  </si>
  <si>
    <t>Tradition</t>
  </si>
  <si>
    <t>Japan's Abe to push pacifist constitution reform after strong election win https://t.co/7e5UGAQyXv</t>
  </si>
  <si>
    <t>129 Summit Ave, Summit, NJ</t>
  </si>
  <si>
    <t>Tradition owns quality stocks and diversifying, low correlated assets to grow, preserve, and lower risks. See risk disclaimer. Retweets don't equal endorsement.</t>
  </si>
  <si>
    <t>Aadiiiiiiii</t>
  </si>
  <si>
    <t>Jaipur-ite, IT professional in Matrix group , Na-mo supporter !!!</t>
  </si>
  <si>
    <t>Economist Once</t>
  </si>
  <si>
    <t>Twitter bot retweeting news stories just once. Full source and other feeds available on GitHub page. Not affiliated with The Economist.</t>
  </si>
  <si>
    <t>Amit Jena</t>
  </si>
  <si>
    <t>ଭାରତବର୍ଷ</t>
  </si>
  <si>
    <t>ସମ୍ଭବାମୀ ଯୁଗେ ଯୁଗେ</t>
  </si>
  <si>
    <t>Dr William Allchorn</t>
  </si>
  <si>
    <t>Japan’s ruling coalition retains a supermajority in snap election https://t.co/q8IYZ4ZFVx</t>
  </si>
  <si>
    <t>Postdoc Alum @POLISatLeeds, researching political, policing, and policy response to the UK far right. Also, Research Associate at CFAPS: https://t.co/AaitNm6PuW</t>
  </si>
  <si>
    <t>James Jay Carafano</t>
  </si>
  <si>
    <t xml:space="preserve">Washington, DC </t>
  </si>
  <si>
    <t>Trying to prevent World War III one tweet at a time</t>
  </si>
  <si>
    <t>vimal</t>
  </si>
  <si>
    <t>ഞാൻ ആരാണ് ? മനുഷ്യൻ മഹാ ജ്ഞാനത്തിൻ്റെ കൈലാസം കേറിയപ്പോഴും അവന്റെ ഉള്ളിൽ ഉത്തരം കിട്ടാത്ത ചോദ്യം.. ബുദ്ധനും,ശങ്കരനും തേടിയതും ഇതേ ചോദ്യത്തിന് ഉത്തരം .........</t>
  </si>
  <si>
    <t>Adarsh Kumar</t>
  </si>
  <si>
    <t>アフリカマン/HFを観ろ</t>
  </si>
  <si>
    <t>夜見島 羽生蛇村 常世</t>
  </si>
  <si>
    <t>ここはツイッターランド、各々の心象が顕われる場所 型月/軍事クソニワカ/能登麻美子が好き</t>
  </si>
  <si>
    <t>Trump calls Abe to congratulate him on his election victory https://t.co/7yDbsMXoRW https://t.co/ut8StUe9yK</t>
  </si>
  <si>
    <t>JamesRoy</t>
  </si>
  <si>
    <t>TheEconomist: Japan’s ruling coalition retains a supermajority in snap election https://t.co/ZAN3TZfxYO</t>
  </si>
  <si>
    <t xml:space="preserve">Redcar, Cleveland, NE England </t>
  </si>
  <si>
    <t>#education #learning #Brazil its #language, its #food #travel Work @OpenUniversity #leadership #edtech Believe @MhairiCalveyAct will win an #Oscar 1 day</t>
  </si>
  <si>
    <t>Nick Guarino</t>
  </si>
  <si>
    <t>Japanese Prime Minister Abe heads to impressive election winTOKYO (AP) — Japan’s ruling coalition appeared headed.. https://t.co/Wh4oQT4IK6</t>
  </si>
  <si>
    <t>Tall Tweets</t>
  </si>
  <si>
    <t>Wealth building and survival strategies for small investor</t>
  </si>
  <si>
    <t>business: Trump calls Abe to congratulate him on his election victory https://t.co/B45P3UoL7a https://t.co/aHqsYxnvLY</t>
  </si>
  <si>
    <t>Pinkal</t>
  </si>
  <si>
    <t>Spiritof76</t>
  </si>
  <si>
    <t>Sujeet Mishrajee</t>
  </si>
  <si>
    <t>कुछ खास जादू नही है मेरे पास बस बातें दिल से करता हूँ भारतीय।🇮🇳</t>
  </si>
  <si>
    <t>RT business "Trump calls Abe to congratulate him on his election victory https://t.co/yvRfBoSDZ8 https://t.co/S8HgCew1ym"</t>
  </si>
  <si>
    <t>OnlineClass Lords</t>
  </si>
  <si>
    <t>RT TheEconomist "Japan’s ruling coalition retains a supermajority in snap election https://t.co/5cugJGWYQE"</t>
  </si>
  <si>
    <t>Plan your online learning with Online Class Lords Follow us and never miss a course and score better grades</t>
  </si>
  <si>
    <t>yogi</t>
  </si>
  <si>
    <t>proud to be INDIAN.!if u take care of nature,nature will take care of u!</t>
  </si>
  <si>
    <t>RT @business: Trump calls Abe to congratulate him on his election victory https://t.co/7yDbsMXoRW https://t.co/ut8StUe9yK</t>
  </si>
  <si>
    <t>Poch</t>
  </si>
  <si>
    <t>third</t>
  </si>
  <si>
    <t>never ako nagkalat doon, men</t>
  </si>
  <si>
    <t>Ramaswamy Iyer</t>
  </si>
  <si>
    <t>Thiruananthapuram, Kerala</t>
  </si>
  <si>
    <t>paritrāṇāya sādhūnāḿ vināśāya ca duṣkṛtām dharma-saḿsthāpanārthāya sambhavāmi yuge yuge</t>
  </si>
  <si>
    <t>Ashutosh Sharma</t>
  </si>
  <si>
    <t>Haridwar</t>
  </si>
  <si>
    <t>business: Trump calls Abe to congratulate him on his election victory https://t.co/ajvKLMtT69 … https://t.co/On7ae9ZXHh</t>
  </si>
  <si>
    <t>Daddy Owino</t>
  </si>
  <si>
    <t>Canaan  Kenya</t>
  </si>
  <si>
    <t>Daddy still hopeful.Canaan as usual @tibiim</t>
  </si>
  <si>
    <t>Sudha Nambudiri</t>
  </si>
  <si>
    <t>After election win, Abe prioritizes North Korea, aging Japan https://t.co/D3FXSmnZDj</t>
  </si>
  <si>
    <t>Kochi, Kerala</t>
  </si>
  <si>
    <t>Journalist with Times of India. Writes on health, climate change, environment and child issues. Views expressed are personal. RTs are not endorsements​.</t>
  </si>
  <si>
    <t>Amir Farooqui</t>
  </si>
  <si>
    <t>What now for Japan after Abe's landslide election victory? https://t.co/mOjNHNkWFM</t>
  </si>
  <si>
    <t>Tweets my own. RTs not endorsements.</t>
  </si>
  <si>
    <t>kbc</t>
  </si>
  <si>
    <t>Japan’s ruling coalition retains a supermajority in snap election https://t.co/h65wLGuEE4</t>
  </si>
  <si>
    <t>BlackRock</t>
  </si>
  <si>
    <t>RT @iShares: The era of Abenomics continues: Let's take a look at what that means for the markets and Japanese stocks https://t.co/owDkjNpv…</t>
  </si>
  <si>
    <t>Official US BlackRock® Twitter. Follow us for timely perspectives on the markets. Important disclosures: http://t.co/w4BWZ2DPhK</t>
  </si>
  <si>
    <t>Nino Sukhiashvili</t>
  </si>
  <si>
    <t>Ilkmade Politics</t>
  </si>
  <si>
    <t>Ilkmade is an article sharing platform. This account is managed by our Politics Team, highlighting analysis by social scientists, researchers &amp; practitioners.</t>
  </si>
  <si>
    <t>Fehreen96</t>
  </si>
  <si>
    <t>Sameer</t>
  </si>
  <si>
    <t>BJP personifies EVIL like NAZIS. It ought to be annihilated, vanquished, neutralised, obliterated. No respite for our civilisation unless it is decimated.</t>
  </si>
  <si>
    <t>Avinash Kumar Singh</t>
  </si>
  <si>
    <t>Elshad fr Azerbaijan</t>
  </si>
  <si>
    <t>Azerbaijan,Mingechevir</t>
  </si>
  <si>
    <t>Azərbaijan. Жестянщик маляр по автомобилям , high school economic and management</t>
  </si>
  <si>
    <t>thehawaiiguy</t>
  </si>
  <si>
    <t>Abe to push reform of Japan's pacifist constitution after election win https://t.co/5Gzt4IvAcn</t>
  </si>
  <si>
    <t>Honolulu</t>
  </si>
  <si>
    <t>Aнгел Атанасов</t>
  </si>
  <si>
    <t>Горе да ги имаме срцата</t>
  </si>
  <si>
    <t>Marco A. Navarro L.</t>
  </si>
  <si>
    <t>Arteaga, Coahuila de Zaragoza</t>
  </si>
  <si>
    <t>Sacerdote Católico, teólogo y comunicador especialista en el Diálogo Intercultural.</t>
  </si>
  <si>
    <t>John Robert</t>
  </si>
  <si>
    <t>Adventist || Electrical Engineer|| Manchester United || #MUFC</t>
  </si>
  <si>
    <t>Susan Jordan</t>
  </si>
  <si>
    <t>What now for Japan after Abe's landslide election victory? https://t.co/HStcrTmzxJ</t>
  </si>
  <si>
    <t>Devizes, England</t>
  </si>
  <si>
    <t>Works for the NHS. Geek. Likes history, politics, Palestine, cats, music, TV, films, ballet, wine, photography, computers, science, astronomy, opera and books</t>
  </si>
  <si>
    <t>Kevin Deveaux</t>
  </si>
  <si>
    <t>Japan Ranks Low in Female Lawmakers. An Election Won’t Change That. https://t.co/0OiKRV7agt @demo_crazy #parliament</t>
  </si>
  <si>
    <t>Halifax, Canada</t>
  </si>
  <si>
    <t>Adviser to Parliaments and Political Parties; former Nova Scotia politician; Lawyer</t>
  </si>
  <si>
    <t>Rahul Khare</t>
  </si>
  <si>
    <t>A professional ERP Mentor and Trainer having more than a decade of experience in solution and implementation of ERP software for Process Manufacturing industry.</t>
  </si>
  <si>
    <t>sadhana</t>
  </si>
  <si>
    <t>IntellectualHindu</t>
  </si>
  <si>
    <t>Kim Scott hopkins</t>
  </si>
  <si>
    <t>louisiana</t>
  </si>
  <si>
    <t>I love FIFA and CoD and many more and the person I love is Lauren3. The brothers; Callum, Brandon, Nigel, Adam and many more xD</t>
  </si>
  <si>
    <t>business: Trump calls Abe to congratulate him on his election victory https://t.co/DOs31WoM2E https://t.co/YZ3Syhvjq9</t>
  </si>
  <si>
    <t>K.K.Sinha</t>
  </si>
  <si>
    <t>Lovely</t>
  </si>
  <si>
    <t>My views &amp; tweets are personal.films link tweets ,advertising,is job related work.i work for https://t.co/VyS7pm7cz4 &amp; https://t.co/hAvtO7Sawg as marketing agent.</t>
  </si>
  <si>
    <t>Happy Da</t>
  </si>
  <si>
    <t>Civil Engineer</t>
  </si>
  <si>
    <t>Naveen Singh</t>
  </si>
  <si>
    <t>Nationalist : INDIA First Always Businessman &amp; Social worker</t>
  </si>
  <si>
    <t>sandesh</t>
  </si>
  <si>
    <t>Karnataka india</t>
  </si>
  <si>
    <t>No One Person Can't Reach The Top Without Daring IF GIRL STANDING ALONE BESIDE US IT IS NOT OPPORTUNITY IT IS OUR RESPONSIBILITY DON'T KILL FEMALE FETUS</t>
  </si>
  <si>
    <t>Asiba</t>
  </si>
  <si>
    <t>Jose Sueiro</t>
  </si>
  <si>
    <t>washington dc</t>
  </si>
  <si>
    <t>http://t.co/BR7jQ9Ar; Politics, life &amp; culture in DC chronicling how Latino &amp; immigrant communities grow &amp; become integrated in an international urban center.</t>
  </si>
  <si>
    <t>masahiro noguchi</t>
  </si>
  <si>
    <t>Musashino-shi 吉祥寺</t>
  </si>
  <si>
    <t>Politics 政治（学）; Intellectual History 思想史; Germany ドイツ関連; Beer 麦酒; Spicy Food 辛いもの; Max Weber ウェーバー; Seminar 野口ゼミ etc.</t>
  </si>
  <si>
    <t>la vida es bella</t>
  </si>
  <si>
    <t>Caracas, venezuela</t>
  </si>
  <si>
    <t>Deseo, por ende existo</t>
  </si>
  <si>
    <t>KalvinFX</t>
  </si>
  <si>
    <t>FX Trader</t>
  </si>
  <si>
    <t>eloquentdaily-bot</t>
  </si>
  <si>
    <t>#TheEconomist Japan’s ruling coalition retains a supermajority in snap eating contest https://t.co/qARyKffVva</t>
  </si>
  <si>
    <t>eloquentdaily_bot</t>
  </si>
  <si>
    <t>Fake news.</t>
  </si>
  <si>
    <t>Biswajit Chakraborty</t>
  </si>
  <si>
    <t>अखंड भारत</t>
  </si>
  <si>
    <t>Nationalist 🚩 | Geopolitics | Undistorted Indian History | RTs are not endorsements | Hate libtards &amp; sickulars | জয় ঠাকুর রামকৃষ্ণ</t>
  </si>
  <si>
    <t>Buzzfree.tk</t>
  </si>
  <si>
    <t>Shinzo Abe vows to seek consensus on Japan Constitution after election win https://t.co/o3yuqUb6v9 https://t.co/ow8v9l3Kz0 #trending #soc…</t>
  </si>
  <si>
    <t>Gwalior, Madhya pradesh</t>
  </si>
  <si>
    <t>Buzz Free News Your Online News Updater.</t>
  </si>
  <si>
    <t>Dr Vysakh Balan</t>
  </si>
  <si>
    <t>vatakara,calicut</t>
  </si>
  <si>
    <t>A doctor by profession.Nationalist,Social activist,Nature lover,cricketer.....</t>
  </si>
  <si>
    <t>kishore</t>
  </si>
  <si>
    <t>Kb</t>
  </si>
  <si>
    <t>Trump calls Abe to congratulate him on his election victory https://t.co/PN9xEMD59b https://t.co/tT2uKMTahW</t>
  </si>
  <si>
    <t>Chish Rutto</t>
  </si>
  <si>
    <t>Eldoret, Kenya</t>
  </si>
  <si>
    <t>Rajesh Thakur</t>
  </si>
  <si>
    <t>Berry Loveday</t>
  </si>
  <si>
    <t>North East UK</t>
  </si>
  <si>
    <t>art photography PEACE and future generations...</t>
  </si>
  <si>
    <t>pritam tiwari</t>
  </si>
  <si>
    <t>Francesco Conigliaro</t>
  </si>
  <si>
    <t>Subhendu Deb</t>
  </si>
  <si>
    <t>Silchar</t>
  </si>
  <si>
    <t>Simple, Bold, Patriot, Religious and NaMo Bhakt.</t>
  </si>
  <si>
    <t>ROHIT</t>
  </si>
  <si>
    <t>Love must grow in world.Sow seeds of love. if i hurt u in anyways either thru my words or deeds,plz accept my apology and kindly let me know to correct myself.</t>
  </si>
  <si>
    <t>Sandeep Karkera</t>
  </si>
  <si>
    <t>निखिल रंजन</t>
  </si>
  <si>
    <t>वंदे मातरम</t>
  </si>
  <si>
    <t>Rain</t>
  </si>
  <si>
    <t>nairobi,kenya</t>
  </si>
  <si>
    <t>average in an xtraordinary way always rmbr every finish line is the beginnin of a new race n more important why go through life unnoticed?</t>
  </si>
  <si>
    <t>Ajay Shetty</t>
  </si>
  <si>
    <t xml:space="preserve">Bengaluru </t>
  </si>
  <si>
    <t>OM NAMAH SHIVAYA</t>
  </si>
  <si>
    <t>Nalini Barot</t>
  </si>
  <si>
    <t>宵</t>
  </si>
  <si>
    <t>ほぼRT用 たまに愚痴 万年体調不良</t>
  </si>
  <si>
    <t>Akane Otani</t>
  </si>
  <si>
    <t>What's on tap for stock investors this week: nearly 200 earnings reports from S&amp;P 500 companies, plus GDP on Friday. https://t.co/dl3Y6i9Ez2</t>
  </si>
  <si>
    <t>NYC (via Ithaca + Singapore)</t>
  </si>
  <si>
    <t>@WSJ stock market reporter. Terrier enthusiast. Previously covered higher education @bw. Write me: akane.otani@wsj.com</t>
  </si>
  <si>
    <t>Trump calls Abe to congratulate him on his election victory https://t.co/XyvQMp4qXe https://t.co/XWWaMmPOCC</t>
  </si>
  <si>
    <t>ozawa</t>
  </si>
  <si>
    <t>RT @gjmorley: Prime Minister Abe poised to win Japan's general election https://t.co/uEGrF9XdFT @FRANCE24</t>
  </si>
  <si>
    <t>Mirage News</t>
  </si>
  <si>
    <t>After #Election win, Abe prioritizes North Korea, #Aging #Japan - https://t.co/9dBFgaMtFP #NorthKorea https://t.co/k1RoeTAgPw</t>
  </si>
  <si>
    <t>Mirage News Posts</t>
  </si>
  <si>
    <t>RT @gjmorley: BBC News - Japan goes to the polls in snap election https://t.co/yx4lo89zky</t>
  </si>
  <si>
    <t>Utsav</t>
  </si>
  <si>
    <t>Actor</t>
  </si>
  <si>
    <t>Neil Spark</t>
  </si>
  <si>
    <t>RT @soazaimee: Japan: PM Abe to Challenge Pacifist Constitution After Election Victory https://t.co/nK5xHcSUdT via @democracynow</t>
  </si>
  <si>
    <t>Hobart, Tasmania, Australia</t>
  </si>
  <si>
    <t>Novelist talking about #Weimar Republic, #relationships &amp; #HumanRights that are in my #WWII #thriller with a difference. Your free copy https://t.co/q8aAFrbPJn</t>
  </si>
  <si>
    <t>ALKESH SINGH</t>
  </si>
  <si>
    <t>धिक् जीवन को जो पता ही आया विरोध, वह एक और मन रहा राम का जो न थका, आराधन का दृढ़ आराधन से दो उत्तर, होगी जय - होगी जय, हे पुरुषोत्तम नवीन !!!</t>
  </si>
  <si>
    <t>ICAN and Hibakusha to foreign press: N-ban issue should be discussed in election https://t.co/nyOgBB4d4u</t>
  </si>
  <si>
    <t>Allen Ellis</t>
  </si>
  <si>
    <t>After election win, Abe prioritizes North Korea, aging Japan (from @AP) https://t.co/DCsl6hFPld</t>
  </si>
  <si>
    <t>alexandria,va</t>
  </si>
  <si>
    <t>Retired Navy Master Chief AO</t>
  </si>
  <si>
    <t>Кнут Гамсун</t>
  </si>
  <si>
    <t>Gautam Shah</t>
  </si>
  <si>
    <t>अहमदगढ़, भारत</t>
  </si>
  <si>
    <t>Government and Politics News Entertainment Breaking News</t>
  </si>
  <si>
    <t>A Banker by profession. Proud Indian, Travel Scholar, Speaker, Problem Solver,believe in turning ideas into reality, RT's neither agreement nor endorsement.</t>
  </si>
  <si>
    <t>Trump calls Abe to congratulate him on his election victory https://t.co/ZSUutpEqYm https://t.co/uvfDVYbyFX</t>
  </si>
  <si>
    <t>Shivram</t>
  </si>
  <si>
    <t>Just Breeze Thru Ur Life ! Thanks to Sanatan Kriya, Dhyan Foundation &amp; Yogi Ashwini Ji !!</t>
  </si>
  <si>
    <t>X-Skell Coder</t>
  </si>
  <si>
    <t>An observant,cheerful fellow with a zeal for science; wields an artisans touch. Explore curiosities accelerating our desire for insight ~Show me thy'n reason~</t>
  </si>
  <si>
    <t>Arj Singh</t>
  </si>
  <si>
    <t>Trump calls Abe to congratulate him on his election victory https://t.co/bn9wYUAcuS https://t.co/TGnJWHVZ12</t>
  </si>
  <si>
    <t>Amarjeet 🇮🇳</t>
  </si>
  <si>
    <t xml:space="preserve">Bharat 🇮🇳 </t>
  </si>
  <si>
    <t>PROUD INDIAN💪💪 Be who you were created to be and you will set the world on fire.Tweets r personal views and Retweets r not an endorsements. #IndiaFirst</t>
  </si>
  <si>
    <t>Arthur Anderson</t>
  </si>
  <si>
    <t xml:space="preserve">#KE </t>
  </si>
  <si>
    <t>Accountant/Credit Pro,Director (ke-tenitech).b-ball (Spurs).Passionate about my pursuits.Reserved,love writing, reading biz/thrillers,soccer (MUFC)</t>
  </si>
  <si>
    <t>Re-elected Japanese PM vows hard line on North Korea - CBC.ca https://t.co/erlwwXAJ60</t>
  </si>
  <si>
    <t>AVullamparthi#HDL</t>
  </si>
  <si>
    <t>Madison Heights, VA</t>
  </si>
  <si>
    <t>コロッケっ子@白鳥沢</t>
  </si>
  <si>
    <t>白鳥沢学園高校女子学生寮</t>
  </si>
  <si>
    <t>大学生。Tumblrで役割演技者。鬱病。飯・HQ・MHA。主にドイツ語と英語で呟く。日本語おｋ。RT多い。時々歌う：https://t.co/Adfsxyi9gs・https://t.co/SmNekVj5MU アイコン→ @cdvdgh 様 ヘダー→ @thgml938 様（使用許可あり）</t>
  </si>
  <si>
    <t>maxene</t>
  </si>
  <si>
    <t>ranjanadixit</t>
  </si>
  <si>
    <t>Marietta, GA</t>
  </si>
  <si>
    <t>Japan’s ruling coalition retains a supermajority in snap election https://t.co/olES8eeu91</t>
  </si>
  <si>
    <t>Carlos_Yoshio</t>
  </si>
  <si>
    <t>✝️ 🇧🇷 O Brasil acima de tudo,Deus acima de todos 🇧🇷</t>
  </si>
  <si>
    <t>Stephen Baines</t>
  </si>
  <si>
    <t>Stevenage</t>
  </si>
  <si>
    <t>Humanist, Secularist, Oenophile</t>
  </si>
  <si>
    <t>Gin [#re: sister]</t>
  </si>
  <si>
    <t>Dover, NH</t>
  </si>
  <si>
    <t>Download the mystery, Severed, A Novel, now $2.99 on Amazon.</t>
  </si>
  <si>
    <t>Cornelius Achira KE</t>
  </si>
  <si>
    <t>Genuine/self centered/God fearing/auditor/Administrator and above all future oriented @BloggerKE @Quotetex #JOFamily</t>
  </si>
  <si>
    <t>EssentiallyFinancial</t>
  </si>
  <si>
    <t>Japan Q&amp;A: why Abe’s victory cheers investors - Shinzo Abe’s third election victory by no means solves Japan’s ... https://t.co/nKEQZGrUky</t>
  </si>
  <si>
    <t>Pinner, Middlesex, UK</t>
  </si>
  <si>
    <t>On journeys, we plan our route from A to B. That’s what financial planning is. Finding a route &amp; knowing what to do if something unforeseen throws us off course</t>
  </si>
  <si>
    <t>Bill Neblock</t>
  </si>
  <si>
    <t>#US #stock indexes wobbled near the flatline after finishing at a trifecta of records last week. #finance #news https://t.co/4pbuj9qLBf</t>
  </si>
  <si>
    <t>@ResolutionMedia Chief Financial Officer.</t>
  </si>
  <si>
    <t>Rishu Raj 💦</t>
  </si>
  <si>
    <t>North Avenue New Delhi India</t>
  </si>
  <si>
    <t>student| interactions with politicians #politics @narendramodi is my idol |#BJP supporter| please follow me back 100% | Pleasure to followed by @PiyushGoyalOffc</t>
  </si>
  <si>
    <t>Alternate Skiffy</t>
  </si>
  <si>
    <t>Winning big : Japan’s ruling coalition retains a supermajority in snap election https://t.co/Dze39KEapj via @TheEconomist</t>
  </si>
  <si>
    <t>Crimea, Russia</t>
  </si>
  <si>
    <t>Subversive anthropologist</t>
  </si>
  <si>
    <t>jaimeotero_: Trump calls Abe to congratulate him on his election victory https://t.co/j1ZJ21QMld https://t.co/qbXSVZELUY RT</t>
  </si>
  <si>
    <t>Daily Water Cooler</t>
  </si>
  <si>
    <t>Dodgers vs. Astros in World Series Shinzo Abe wins support in Japan election https://t.co/sFO4lcNn4U https://t.co/elmf9VWZO4</t>
  </si>
  <si>
    <t>Curated news and viral content for you every weekday morning, summarized into bite-sized portions. Can also be witty and amusing at times. Editor: @p_ngu</t>
  </si>
  <si>
    <t>Pixeler</t>
  </si>
  <si>
    <t>Information Service Provider20</t>
  </si>
  <si>
    <t>We promote retweets and articles about graphical modeling and video games. #animation #b3d #unity3d #games. Tweets are sponsored by https://t.co/lB80QVd1N4</t>
  </si>
  <si>
    <t>Latest news from Japan Times - #japan #banzaijapan #japantimes Lawsuits filed to nullify Lower House election https://t.co/502aIis4O7</t>
  </si>
  <si>
    <t>Hindu Rashtra</t>
  </si>
  <si>
    <t>NEW DELHI , INDIA</t>
  </si>
  <si>
    <t>#RSS by blood.#Sikh by nature.staunchHindu..#Santana is permanent rest all personality driven faith of time machine.Jai Sri Krsna.Jai SIYA Ram.Ek Onkaar Satnaam</t>
  </si>
  <si>
    <t>Wesley Archuleta</t>
  </si>
  <si>
    <t>Castroville, TX</t>
  </si>
  <si>
    <t>disabled veteran, father and husband, TAMU-CC dad, PATRIOT!</t>
  </si>
  <si>
    <t>Vimal raj</t>
  </si>
  <si>
    <t>help the peolples when they are in problem....always be helper</t>
  </si>
  <si>
    <t>Andrew Vezey</t>
  </si>
  <si>
    <t>Colorado Springs, CO</t>
  </si>
  <si>
    <t>Christian, husband, father, musician, statistician. Interested in the happenings on the world stage.</t>
  </si>
  <si>
    <t>After election win, Abe prioritizes North Korea, aging Japan https://t.co/NvaqFwlMtH</t>
  </si>
  <si>
    <t>Palam Vihar, Gurgaon</t>
  </si>
  <si>
    <t>I am Who I am today because of the choices I made yesterday.</t>
  </si>
  <si>
    <t>Rajiv Bakshi</t>
  </si>
  <si>
    <t>Rajguru Nagar, Ludhiana</t>
  </si>
  <si>
    <t>Me Retired Banker with 35 years experience . My first Book on short stories Journey from Guwahati to Machhiwara from Notion Press ₹ 200 Rajivbakshi52@gmail.com</t>
  </si>
  <si>
    <t>News</t>
  </si>
  <si>
    <t>TopNews: Shinzo Abe vows to seek consensus on Japan Constitution after election win - Livemint https://t.co/6x5M6vPOyJ</t>
  </si>
  <si>
    <t>Subhash Jindal</t>
  </si>
  <si>
    <t>rohini delhi 85</t>
  </si>
  <si>
    <t>Ultra Nationalist. Fan @NarendraModi @AmitShah @SureshChavhanke #BharatMataKiJai #VandeMataram</t>
  </si>
  <si>
    <t>Coraline Farías</t>
  </si>
  <si>
    <t>indexes wobbled near the flatline after finishing at a trifecta of records last week. #finance #news https://t.co/tH7w9PNNAZ</t>
  </si>
  <si>
    <t>Sacchidanand</t>
  </si>
  <si>
    <t>Nitin Gunjal</t>
  </si>
  <si>
    <t>Vashi, Navi Mumbai</t>
  </si>
  <si>
    <t>First meet then think because sentence not give the perfect information about mans nature.</t>
  </si>
  <si>
    <t>Christine Pierce</t>
  </si>
  <si>
    <t>Pro-Brexit and Conservative - and optimistic about the opportunities both bring to the UK. RTs ≠ Endorsement.</t>
  </si>
  <si>
    <t>business: Trump calls Abe to congratulate him on his election victory https://t.co/C7hjxBxZk0 https://t.co/sfx1QudzUJ</t>
  </si>
  <si>
    <t>Long Beach Weather</t>
  </si>
  <si>
    <t>#weather news: Typhoon leaves five dead after lashing Japan on election day https://t.co/lKPuuHUX1X https://t.co/4IwtUVCrZe</t>
  </si>
  <si>
    <t>Long Beach, NSW, Australia</t>
  </si>
  <si>
    <t>Automated weather tweets from an amateur weather station in Long Beach, NSW Australia. Not for official use, never rely on internet weather, look outside!</t>
  </si>
  <si>
    <t>MP RAJ (यादव)</t>
  </si>
  <si>
    <t>RT @aparanjape: Shinzo Abe sweeps to resounding victory in Japan election https://t.co/x5vor5CWc0</t>
  </si>
  <si>
    <t>I m in Patna</t>
  </si>
  <si>
    <t>Okolie Ifeyinwa</t>
  </si>
  <si>
    <t>Accountant || Auditor || Aspiring Financial Analyst || Daughter of Zion || God's very own.....</t>
  </si>
  <si>
    <t>Breaking News India</t>
  </si>
  <si>
    <t>Shinzo Abe vows to seek consensus on Japan Constitution after election win - Livemint https://t.co/P9VyWld0my #India #News</t>
  </si>
  <si>
    <t>Bringing you the latest, breaking news from all over India</t>
  </si>
  <si>
    <t xml:space="preserve">vibhav mehta </t>
  </si>
  <si>
    <t>Prakash</t>
  </si>
  <si>
    <t>Electrical Engineer|$imple|||proud INDIAN…</t>
  </si>
  <si>
    <t>canadian_stix</t>
  </si>
  <si>
    <t>The sword of justice has no scabbard</t>
  </si>
  <si>
    <t>Alessandro Braglia</t>
  </si>
  <si>
    <t>33 anni,Modena. Lavoro in ambito bancario. Contro le cessioni di sovranità non democratiche. Mi impegno x non far spostare nostro debito fuori dalla LexMonetae.</t>
  </si>
  <si>
    <t>Olympic Info</t>
  </si>
  <si>
    <t>https://t.co/iuBKYDc7S4 #OlympicGames #Tokyo2020 [https://t.co/jK2NHUJEc0]The election victory by Japan’s ruling coalition of the Liberal …</t>
  </si>
  <si>
    <t>Introducing news and products about Olympic games.</t>
  </si>
  <si>
    <t>Jihad Vanquisher</t>
  </si>
  <si>
    <t>RT @AstrologistIndi: Many Congratulations 🎉 🎉 🎉 to Honourable PM @AbeShinzo of Japan for winning election with majority &amp; being longest se…</t>
  </si>
  <si>
    <t>China urges Japan’s peaceful development after Abe’s election win https://t.co/zAXAnZgKQO</t>
  </si>
  <si>
    <t>manish kumar</t>
  </si>
  <si>
    <t>Frank Curzio</t>
  </si>
  <si>
    <t>Founder of Curzio Research and Host of the Wall Street Unplugged Podcast</t>
  </si>
  <si>
    <t>After election win, Abe prioritizes North Korea, aging Japan (from @AP) https://t.co/oBRFmUBFRq</t>
  </si>
  <si>
    <t>Vijayaganesh S</t>
  </si>
  <si>
    <t>Panruti, India</t>
  </si>
  <si>
    <t>IT Techie ಬೆಂಗಳೂರು Capgeminan தமிழன்டா और भारतीय है। In God we Trust</t>
  </si>
  <si>
    <t>Anton Hilft</t>
  </si>
  <si>
    <t>Japan election: Abe hails massive win, but what now for the country’s pacifist constitution? https://t.co/0QcyNQocci</t>
  </si>
  <si>
    <t>http://t.co/MuN1RHEaBX</t>
  </si>
  <si>
    <t>Dee Gabriella</t>
  </si>
  <si>
    <t>Pawleys Island, SC</t>
  </si>
  <si>
    <t>graduate of Upsala College and masters from Rutgers University. Born in Illinois and raised in W. Long Branch, NJ Background in Community Education.</t>
  </si>
  <si>
    <t>Keval Desai</t>
  </si>
  <si>
    <t>Karnavati</t>
  </si>
  <si>
    <t>Incharge of khokra ward IT &amp; Social media BJP_Youth (Khokhra)</t>
  </si>
  <si>
    <t>umashankar dwivedi</t>
  </si>
  <si>
    <t>@narendramodi @AbeShinzo @AbeShinzo election win japan very glad relations India.</t>
  </si>
  <si>
    <t>Naugarh, India</t>
  </si>
  <si>
    <t>news /HINDI Thought</t>
  </si>
  <si>
    <t>Shyam Dhanotiya</t>
  </si>
  <si>
    <t xml:space="preserve">Mandsaur, Nagpur, India, </t>
  </si>
  <si>
    <t>@persistentsys, DiE heart fan of @narendramodi ji, For me, yoga is not just a workout – it’s about working on yourself. Fan of @WhoSunilGrover Love Maangta hai</t>
  </si>
  <si>
    <t>Pavlo Kylyuk</t>
  </si>
  <si>
    <t>#Trump Congratulates Abe on Election Victory https://t.co/J43V9rWmi6 https://t.co/28Raeje9C7</t>
  </si>
  <si>
    <t>I am a journalist. My interest is #Trump. A collection of #interviews by Donald #Trump on my channel in Youtube</t>
  </si>
  <si>
    <t>Mukesh Kapoor</t>
  </si>
  <si>
    <t>67 yrs of age, Hobbies are computer, reading, politics, music etc.</t>
  </si>
  <si>
    <t>Abhijeet Singh</t>
  </si>
  <si>
    <t>Usability Consultant, Evaluator, Designer, Corporate Trainer. Great Design at Core</t>
  </si>
  <si>
    <t>June</t>
  </si>
  <si>
    <t>Karoli Baba</t>
  </si>
  <si>
    <t>https://t.co/g2OSFCDc5n is a thought, an idea! , Is an extension, which is a clear confrontation of Digital World, the advancement of technology</t>
  </si>
  <si>
    <t>tori ✨</t>
  </si>
  <si>
    <t>RT @emitchhh_: As if my flat mates just thought the snap election in Japan was when they vote on snapchat 😭😭😭😂😂😂</t>
  </si>
  <si>
    <t>TuuBol News Opinion</t>
  </si>
  <si>
    <t>Shinzo Abe vows to seek consensus on Japan Constitution after election win - Livemint https://t.co/ZIML6ifOmi #IndiaNews</t>
  </si>
  <si>
    <t>http://t.co/ahiVprVIFf Technology | Business | Politics | Web | Sports | Motivation | Blogging | News</t>
  </si>
  <si>
    <t>Ｐｉｐｅｒ</t>
  </si>
  <si>
    <t>@IBJIYONGI Turnout was apparently better than the last election! “Simply put, this was the self-destruction of the… https://t.co/q2VCZnrSSy</t>
  </si>
  <si>
    <t>Kamloops, British Columbia</t>
  </si>
  <si>
    <t>CS @thompsonriversu #computationalmodelling #software #viz #aging #society #datascience #transdisciplinary #intersectionality #punkroots ＃多言語</t>
  </si>
  <si>
    <t>Er Sumer Agarwal</t>
  </si>
  <si>
    <t>Lucknow UP INDIA</t>
  </si>
  <si>
    <t>INDIA FIRST,PM MODI-TRUE Leader. UNIFORM CIVIL CODE.Honest,Dedicated Professional Engineer,MS(University of Michigan,USA)BE(IIT-Roorkee)SUPPORT KASHMIRI PANDITS</t>
  </si>
  <si>
    <t>अभिनव भारत 🇮🇳🇮🇳</t>
  </si>
  <si>
    <t>राम राज्य</t>
  </si>
  <si>
    <t>आरम्भ है प्रचंड,बोले मस्तकों के झुंड,आज ज़ंग की घडी़ की तुम गुहार दो... वंदे मातरम..जय हिंद🇮🇳 Followed by Honourable @PiyushGoyalOffc Likes💖 #RT🔃 #DM=🚫</t>
  </si>
  <si>
    <t>North Korea fears Japan "invasion" after Shinzo Abe's victory. #realnews #livenews #breakingnews #latestnews #news… https://t.co/n1FnofVAXF</t>
  </si>
  <si>
    <t>adarsh acharya</t>
  </si>
  <si>
    <t>Mike Babulic</t>
  </si>
  <si>
    <t>Saurabh Garg</t>
  </si>
  <si>
    <t>Narwana, India</t>
  </si>
  <si>
    <t>Mechanical Engineer, Proud Hindu, भारत को दुनिया का सर्वश्रेष्ठ देश बनते हुए देखना चाहता हूँ। Views are personal. RTs don't mean endorsements</t>
  </si>
  <si>
    <t>Vinod Prakash Dhar</t>
  </si>
  <si>
    <t>भारत का रहने वाला हुं, भारत की बात सुनता हुं व सुनाता हुं। आज़ाद व भगत सिंह सर्वप्रीय। अटल जी व मोदी जी सर्वमान्य। Retweets are not an edorsement.</t>
  </si>
  <si>
    <t>Shinzo Abe vows to seek consensus on Japan Constitution after election win - Livemint https://t.co/QW1pGMSa7G</t>
  </si>
  <si>
    <t>Lek Benjamas</t>
  </si>
  <si>
    <t>TG 😝💥</t>
  </si>
  <si>
    <t>Video: Super Typhoon to Disrupt Japan’s Election Weekend https://t.co/DA1V0VFqYq</t>
  </si>
  <si>
    <t>Average Citizen,that luv's to watch Trey Gowdy work!I Dont own any content!🇺🇸🍀🥂NO LISTS.💥BHO ExecutiveOrder13603=SLAVERY💥🖕44 &amp; THE FAKE BITCH HE RODE IN ON‼️</t>
  </si>
  <si>
    <t>Ritva Semi</t>
  </si>
  <si>
    <t>Varhaiskasvatuksen ja kehitysyhteistyöpolitiikan asiantuntija joka työskentelee OAJ:ssä.</t>
  </si>
  <si>
    <t>Ashutosh Yadav</t>
  </si>
  <si>
    <t>https://t.co/nHFzDQ4AqY is a thought, an idea! , Is an extension, which is a clear confrontation of Digital World, the advancement of human technology 🙂</t>
  </si>
  <si>
    <t>Emma Lewis</t>
  </si>
  <si>
    <t>Japan Election Vindicates Shinzo Abe as His Party Wins Big https://t.co/XPFQkhULGj</t>
  </si>
  <si>
    <t>Kingston, Jamaica</t>
  </si>
  <si>
    <t>29 years in Jamaica. Blogger. Writer. Earth lover. Advocate. Argumentative Gooner. RT's NOT necessarily endorsements!</t>
  </si>
  <si>
    <t>Sourabh Shrivastava</t>
  </si>
  <si>
    <t>#Dad #Scientist #Author #ProudHindu followed by @PiyushGoyalOffc</t>
  </si>
  <si>
    <t>Shinzo Abe vows to seek consensus on Japan Constitution after election win - Livemint https://t.co/QxmHki3MWf</t>
  </si>
  <si>
    <t>Girish Prabhune</t>
  </si>
  <si>
    <t>Kharghar, Navi Mumbai</t>
  </si>
  <si>
    <t>PCWP</t>
  </si>
  <si>
    <t>Japan Ranks Low in Female Lawmakers. An Election Won’t Change That. https://t.co/jJnB1CBeeJ</t>
  </si>
  <si>
    <t>Pittsburgh, PA</t>
  </si>
  <si>
    <t>The Pennsylvania Center for Women and Politics at Chatham University is a non-partisan center devoted to fostering women's public leadership. RT ≠ endorsement</t>
  </si>
  <si>
    <t>Sandeep rachepalli</t>
  </si>
  <si>
    <t>Abhishek Jain</t>
  </si>
  <si>
    <t>Hate anti nationals. 'भारत माता की जय'.</t>
  </si>
  <si>
    <t>Sei Ko Kai</t>
  </si>
  <si>
    <t>"One (election result) is the lack of progress for women’s political representation. Male domination of politics... https://t.co/PqpMSfBotU</t>
  </si>
  <si>
    <t>We are connected to the Anglican Communion using principles of Scriptures, tradition, reason &amp; experience to make sense of our faith.</t>
  </si>
  <si>
    <t>paolo ignazio marong</t>
  </si>
  <si>
    <t>libero professionista,analista sereno navigatore nel mondo che cambia per cercare rotte nuove ed insolite Degusta il tempo Sa di non sapere co-founder @tobe_srl</t>
  </si>
  <si>
    <t>orangecolyଘ(੭´꒳​`)੭✧</t>
  </si>
  <si>
    <t>love movies, music, nature places / meditation, past life / Duolingo, Instagram, Pinterest / photography, art / I love Japan♡</t>
  </si>
  <si>
    <t>Meg..</t>
  </si>
  <si>
    <t>God Fearing simple person.I love my motherland and respect all those who love my country INDIA.</t>
  </si>
  <si>
    <t>shyamal debneth</t>
  </si>
  <si>
    <t>Kaushlendra Singh</t>
  </si>
  <si>
    <t>Pratik</t>
  </si>
  <si>
    <t>Viju Panicker</t>
  </si>
  <si>
    <t>Hindu nationalist ! Hates anti nationals and religious conversion of Hindus. RT are 2 spread awareness &amp; are not endorsement!</t>
  </si>
  <si>
    <t>Kirk Spano</t>
  </si>
  <si>
    <t>RT @MarkitEconomics: Week ahead: #China party congress. #UK inflation, employment and wages data. #US housing data. #Japan election. https:…</t>
  </si>
  <si>
    <t>#Founder https://t.co/uvEzG0FD15 investment letter. #RT my @SeekingAlpha for follow. Also @MarketWatch #slowgrowthforever #crashof2020 #stocks</t>
  </si>
  <si>
    <t>newS@ire</t>
  </si>
  <si>
    <t>Shinzo Abe vows to seek consensus on Japan Constitution after election win https://t.co/MDxhamzhiQ</t>
  </si>
  <si>
    <t>newsatire</t>
  </si>
  <si>
    <t>News at ire, News satire; Will tweet breaking news</t>
  </si>
  <si>
    <t>The Crusader</t>
  </si>
  <si>
    <t>Am a politicaIly incorrect affirmative liberal.I actually believe in calling a spade a spade. If u dont like what I say, then,well, u are free to go 2 paradise!</t>
  </si>
  <si>
    <t>Emanuela Antolini</t>
  </si>
  <si>
    <t>Unfortunately I do not agree, otherwise I would work for the emperor free of charge, this I do not like,... https://t.co/XRtnhVVISu</t>
  </si>
  <si>
    <t>We are also documented a long time before 1989,also came out of Capital by appointment,others.For more than 17 years on the Internet,no one works for prevention</t>
  </si>
  <si>
    <t>Pastor A.B. Harris</t>
  </si>
  <si>
    <t>RT @i24NEWS_EN: Abe sweeps to big win in Japan snap election https://t.co/R4sahXjfBW https://t.co/D4QhEQZiHI</t>
  </si>
  <si>
    <t>be reconciled to God 2Cor5:20</t>
  </si>
  <si>
    <t>While prostrate in prayer; God said: stand up on your feet; Tell people My Son is coming soon.</t>
  </si>
  <si>
    <t>Ashuthosh Babu</t>
  </si>
  <si>
    <t>Crypto Trader Pro</t>
  </si>
  <si>
    <t>$EURUSD USD/JPY Jumps Up on Japan Election Results | LTC Dips https://t.co/31AyXMSLqW ► via https://t.co/90qPNfIaJd</t>
  </si>
  <si>
    <t>Automated Trading US mkts ⤵</t>
  </si>
  <si>
    <t>➡ https://t.co/aWS9Q6xu7t the most liquid bitcoin $BTC exchange in the world $BTCUSD $LTCBTC $ETHUSD $ZECUSD $XMRUSD $DSHUSD $XRPUSD $NEOBTC $EOSBTC</t>
  </si>
  <si>
    <t>$USDJPY USD/JPY Jumps Up on Japan Election Results | LTC Dips → via https://t.co/K00F7fwtRe</t>
  </si>
  <si>
    <t>S Somvanshi</t>
  </si>
  <si>
    <t>अहिंसा परमो धर्मः धर्म हिंसा तथैव च:| Work in world's one of largest Bank</t>
  </si>
  <si>
    <t>Tsisaga Jumba</t>
  </si>
  <si>
    <t>Kisii</t>
  </si>
  <si>
    <t>Your preferred electrical technician.</t>
  </si>
  <si>
    <t>Truman Blood Drive!</t>
  </si>
  <si>
    <t>Truman State; Kirksville, MO</t>
  </si>
  <si>
    <t>Official Twitter for Alpha Phi Omega Epsilon's Blood Drive at Truman State University!</t>
  </si>
  <si>
    <t>Japan’s ruling coalition retains a supermajority in snap election https://t.co/gIET5DLgya</t>
  </si>
  <si>
    <t>Mamata Nathan</t>
  </si>
  <si>
    <t>USD/JPY Jumps Up on Japan Election Results | LTC Dips https://t.co/bQBK79bimk #forex #usdjpy #fx #news</t>
  </si>
  <si>
    <t>Peggy Fajkiel</t>
  </si>
  <si>
    <t>Dhanusat</t>
  </si>
  <si>
    <t>Superscape Landscape</t>
  </si>
  <si>
    <t>Japan's Abe announces snap election amid worries over North Korea https://t.co/z8ChKsrfrG</t>
  </si>
  <si>
    <t>Falmouth,Ma</t>
  </si>
  <si>
    <t>KS Yadav</t>
  </si>
  <si>
    <t>Advocate by profession dealing in constitutional and service matters in the High court at Jodhpur. 'बिना राष्ट्रधर्म राजनीति आधारहीन और लक्ष्यहीन'</t>
  </si>
  <si>
    <t>Tariq</t>
  </si>
  <si>
    <t>Winning big : Japan’s ruling coalition retains a supermajority in snap election https://t.co/e3jRzbOLpf via @TheEconomist</t>
  </si>
  <si>
    <t>Teach me...</t>
  </si>
  <si>
    <t>Kotomi</t>
  </si>
  <si>
    <t>50 Park Investments</t>
  </si>
  <si>
    <t>Forbes Contributor &amp; CEO https://t.co/Fuss1G7fKv Want Someone New To Manage Your Portfolio? Let's Talk. Schedule An Appointment:https://t.co/kahmlbnutI</t>
  </si>
  <si>
    <t>UnCommon Millionaire</t>
  </si>
  <si>
    <t>Yen Falls, Japan Stocks Advance on Abe Victory: Markets Wrap,A landslide election victory for Japan Prime... https://t.co/Lkj8hAovLg</t>
  </si>
  <si>
    <t>Florida</t>
  </si>
  <si>
    <t>雑言あかうんと</t>
  </si>
  <si>
    <t>東京23区内</t>
  </si>
  <si>
    <t>反日な人が嫌い。偏りの報道も嫌い。「NO RACISM」と言う人ほど「 RACISM」だと思う今日この頃。アベニクシーな人とは話が合いません。前後の言葉も理解せず私はこんな人たち側と騒ぐ人とも話が合いません。テレビに洗脳されちゃう無知な人とも話が合いません。無言フォローすみません。RT多目。フォローありがとうございます</t>
  </si>
  <si>
    <t>Dexter</t>
  </si>
  <si>
    <t>Umang Jayswal</t>
  </si>
  <si>
    <t>Human Resources Management (HR ) International Business Operations &amp; Management</t>
  </si>
  <si>
    <t>Josh Clark</t>
  </si>
  <si>
    <t>Japan's election results show women making little progress despite Abe's landslide victory | The Japan Times https://t.co/lAGt5M8KiM</t>
  </si>
  <si>
    <t>music and life. my view from ABQ</t>
  </si>
  <si>
    <t>Puri, India</t>
  </si>
  <si>
    <t>WHO IS WON 2019 ?? AB KI BAR _________SARKAR??</t>
  </si>
  <si>
    <t>SONORA FM98 SURABAYA</t>
  </si>
  <si>
    <t>Darmo Permai Utara  74-80 Sby</t>
  </si>
  <si>
    <t>083830000980 - Streaming: Sby: https://t.co/Lfm31Q2t6f - https://t.co/wxhz0kGSZ1 - https://t.co/cBhDuLpHrf - Jkt: https://t.co/tKLMMV4vjB - Facebook: https://t.co/ykD49i2eBV - Youtube: https://t.co/HbaCYdI0em</t>
  </si>
  <si>
    <t>Japan PM Shinzo Abe pledges pressure on North Korea after big election win https://t.co/SSsvqs1elF https://t.co/DwkbFz8zZ1</t>
  </si>
  <si>
    <t>@thepropertygazette</t>
  </si>
  <si>
    <t>Japan PM Shinzo Abe pledges pressure on North Korea after big election win https://t.co/axnzcTp12N https://t.co/uXi5NbCnsO</t>
  </si>
  <si>
    <t>raghvendra rai</t>
  </si>
  <si>
    <t>gorakhpur</t>
  </si>
  <si>
    <t>छद्म वंशवादी शेखूलर!!!</t>
  </si>
  <si>
    <t>KrishnaBaalu</t>
  </si>
  <si>
    <t>Hyderabad, Bangalore India</t>
  </si>
  <si>
    <t>Columnist, poet, Activist-My tweets r nothing but truth #Modiji following me 5yrs HR 4 #Hindus Right Thoughts,Nationalism,No perfidy RT's not favor🇮🇳</t>
  </si>
  <si>
    <t>Dilip Chauhan</t>
  </si>
  <si>
    <t>Ramesh Menon</t>
  </si>
  <si>
    <t>Cochin, india</t>
  </si>
  <si>
    <t>entrepreneur with interests in shipping and hospitality.own and run.a speciality Indian restaurant Dal Roti in Cochin, India. Amateur photographer, art lover</t>
  </si>
  <si>
    <t>GOPAL CHANDRA PAUL</t>
  </si>
  <si>
    <t>Varanasi, Uttar Pradesh, India</t>
  </si>
  <si>
    <t>I am a teacher. Working in Indian School Muscat.</t>
  </si>
  <si>
    <t>Abe to push reform of Japan's pacifist constitution after election win | https://t.co/kszLSeMb7s | #Iran</t>
  </si>
  <si>
    <t>After election win, Abe prioritizes North Korea, aging Japan - Times of India https://t.co/nypDj3NYVK https://t.co/18bDhFfNch</t>
  </si>
  <si>
    <t>Dr Manish Sharma</t>
  </si>
  <si>
    <t>Eye Surgeon (ophthalmology doctor) with special interest in corneal transplantation.Sports enthusiast,Singer &amp; Compere . Promoting eye donation through music.</t>
  </si>
  <si>
    <t>Amchi Mumbai</t>
  </si>
  <si>
    <t>Tweets are personal views. Not a bhakt, but a normal citizen.</t>
  </si>
  <si>
    <t>demandbetter</t>
  </si>
  <si>
    <t>RT @flwrpwr1969: Japanese prime minister coasts to election win - POLITICO https://t.co/A88F3iynMo</t>
  </si>
  <si>
    <t>Almost Heaven, West Virginia</t>
  </si>
  <si>
    <t>Retired Paramedic, HRC supporter, pragmatic democrat.</t>
  </si>
  <si>
    <t>Making UK GreatAgain</t>
  </si>
  <si>
    <t>Newcastle Upon Tyne, England</t>
  </si>
  <si>
    <t>Brexit in the UK Trump in the US Victor Alban Hungary This century is turning out just fine &amp; now AFD &amp; Austria too time to take back control of our lands.</t>
  </si>
  <si>
    <t>APF Canada</t>
  </si>
  <si>
    <t>Vancouver, BC, Canada</t>
  </si>
  <si>
    <t>The Asia Pacific Foundation of Canada is an independent, not-for-profit think-tank on Canada's relations with Asia, providing up-to-date news &amp; analysis</t>
  </si>
  <si>
    <t>Ketan Vora</t>
  </si>
  <si>
    <t>RT / Folllow ≠ Endorsements</t>
  </si>
  <si>
    <t>Rajesh Kumar Dwivedi</t>
  </si>
  <si>
    <t>Ashutosh Kumar</t>
  </si>
  <si>
    <t>Remy Mauduit</t>
  </si>
  <si>
    <t>Japan’s ruling coalition retains a supermajority in snap election https://t.co/bmN14RxiDO</t>
  </si>
  <si>
    <t>TERRORISM &amp; COUNTER-TERRORISM, INTERNATIONAL SECuRITY, PUBLISHING</t>
  </si>
  <si>
    <t>Pankaj Tiwari</t>
  </si>
  <si>
    <t>Abe to push reform of Japan's pacifist constitution after election win https://t.co/LsXBxfcZRk</t>
  </si>
  <si>
    <t>The Jealous Relative</t>
  </si>
  <si>
    <t>Chandigarh,India.</t>
  </si>
  <si>
    <t>Okay types</t>
  </si>
  <si>
    <t>Shashank Bhardwaj</t>
  </si>
  <si>
    <t>Darshak Solanki</t>
  </si>
  <si>
    <t>Network Specialist || I am MODIfier || E&amp;TC engineer. || Puneri || Gujarati || Hindu || Proud Indian. || Instagram : darshaksolanki0 ||</t>
  </si>
  <si>
    <t>Akshay Gurjar Akshu</t>
  </si>
  <si>
    <t>Jhansi, India</t>
  </si>
  <si>
    <t>Unique personality☺️</t>
  </si>
  <si>
    <t>Art of Glass</t>
  </si>
  <si>
    <t>Colchester, England</t>
  </si>
  <si>
    <t>Totally unique works of art created from curiosities, old + new</t>
  </si>
  <si>
    <t>Holy Demon</t>
  </si>
  <si>
    <t>Karma Matters..love to be anonymous</t>
  </si>
  <si>
    <t>Saurav Sharma Lalla</t>
  </si>
  <si>
    <t>Maihar</t>
  </si>
  <si>
    <t>Politician. State Secretary Youth Congress I.T. $ Social Media Cell. Maihar- Distt-Satna (M.P.) contact $ whatsapp no.9806701248</t>
  </si>
  <si>
    <t>Sharon Charboneau</t>
  </si>
  <si>
    <t>Sunshine Coast, British Columbia</t>
  </si>
  <si>
    <t>Enjoying retirement on Sunshine Coast of BC🙃</t>
  </si>
  <si>
    <t>Ich</t>
  </si>
  <si>
    <t>Saxony, Germany</t>
  </si>
  <si>
    <t>male</t>
  </si>
  <si>
    <t>AKSHAY MEHTA</t>
  </si>
  <si>
    <t>RAIGAD MANGAON</t>
  </si>
  <si>
    <t>India in USA</t>
  </si>
  <si>
    <t>Official Embassy of India in Washington, DC Twitter!.#Passport Issue @IndiaPassportDC #Visa @IndiaVisaDC #OCI @IndiaOCIDC FB https://t.co/MBSG97dKrZ</t>
  </si>
  <si>
    <t>VijaySinghRaghuvansi</t>
  </si>
  <si>
    <t>Sultanpur  India</t>
  </si>
  <si>
    <t>I am post graduate in Agricultural Extension from A. A. I, Naini Allahabad University.I like social work.I wish to see the last man smiling &amp; prosperous.</t>
  </si>
  <si>
    <t>New post: Shinzo Abe’s Japan election win lifts world stocks, dollar https://t.co/axGIIuCY4x</t>
  </si>
  <si>
    <t>Porter  J  Leaman</t>
  </si>
  <si>
    <t>Winning big : Japan’s ruling coalition retains a supermajority in snap election https://t.co/nSKDtcAQFa via @TheEconomist</t>
  </si>
  <si>
    <t>Titusville Pa 16354</t>
  </si>
  <si>
    <t>birendra chaudhary</t>
  </si>
  <si>
    <t>News Editor @TimesNow, Views Personal</t>
  </si>
  <si>
    <t>James D Smith</t>
  </si>
  <si>
    <t>Cosmopolitan.</t>
  </si>
  <si>
    <t>Shamik patel</t>
  </si>
  <si>
    <t>Makgale Gwangwa</t>
  </si>
  <si>
    <t>Shinzo Abe gains big victory in Japan election https://t.co/fSYArY3Y6q</t>
  </si>
  <si>
    <t>Letty  Quinn 🍁🎼🎶</t>
  </si>
  <si>
    <t>INTOLERANT ADITYA</t>
  </si>
  <si>
    <t>STAUNCH RSS AND MODI SUPPORTER. RETWEETS ARE ENDORSEMENTS. ASPIRING CA. COMPLETED MASTERS</t>
  </si>
  <si>
    <t>Himanshu Shukla🍃</t>
  </si>
  <si>
    <t>नहीं सेह पाता तो बिख़र जाता हूँ , मगर हूं हुनर मन्द थोड़ा निखर जाता हूँ। 🍃</t>
  </si>
  <si>
    <t>Pawan Dande</t>
  </si>
  <si>
    <t>proud Indian, wanna serve nation even though am unsure how. Hope its true that intelligent people are full of doubts, while stupid ones are full of confidence.</t>
  </si>
  <si>
    <t>BCCN</t>
  </si>
  <si>
    <t>Henderson, NV</t>
  </si>
  <si>
    <t>News Updates</t>
  </si>
  <si>
    <t>#news Shinzo Abe’s Japan election win lifts world stocks, dollar https://t.co/Xv7iiOzSbh</t>
  </si>
  <si>
    <t>Indian News and latest updates</t>
  </si>
  <si>
    <t>Sivadasan Nair</t>
  </si>
  <si>
    <t>Lecturer in Commerce from Devaswom Board College, Kerala. Currently doing Government Service in US.</t>
  </si>
  <si>
    <t>ブルーハワイ炊き込みごはん</t>
  </si>
  <si>
    <t>極右の国粋主義者です＞＜ 共産主義の存在そのものを認めません＞＜ TV・芸能界・ソーシャルゲームには完全に興味がありません＞＜</t>
  </si>
  <si>
    <t>किशोर धौलपुर</t>
  </si>
  <si>
    <t>Dhaulpur, India</t>
  </si>
  <si>
    <t>#Rss #modified #सबका_साथ_सबका_विकास social media activist.</t>
  </si>
  <si>
    <t>Kamal Hossain</t>
  </si>
  <si>
    <t>edwin omondi</t>
  </si>
  <si>
    <t>super open minded, aggregator of news and father of many</t>
  </si>
  <si>
    <t>Vinay Radhakrishnan</t>
  </si>
  <si>
    <t>Proud INDIAN 🇮🇳 / Proud Hindu / Right Winger / Software Engineer / Supporter of Shri Narendra Modi / Member of BJP</t>
  </si>
  <si>
    <t>"https://t.co/QOKBMkhNIw"Abe to push reform of Japan's pacifist constitution after election win #Ειδήσεις #News #N… https://t.co/xS4Rn9783W</t>
  </si>
  <si>
    <t>No more 'secular' and 'tolerant'. These terms have been hijacked by corrupt with blood money. Every time they stole money, an INDIAN died somewhere.</t>
  </si>
  <si>
    <t>A.A.C</t>
  </si>
  <si>
    <t>💻 Science specialist || Keep looking ||</t>
  </si>
  <si>
    <t>Aurora</t>
  </si>
  <si>
    <t>After election win, Abe prioritizes North Korea, aging Japan #Aurora https://t.co/KwXdUtwAnY</t>
  </si>
  <si>
    <t>Find your latest news about Aurora with just one click. Don't miss out on anything happening in your region!</t>
  </si>
  <si>
    <t>Manoj Sharma</t>
  </si>
  <si>
    <t>Navnath Shinde</t>
  </si>
  <si>
    <t>Professionally Cost Accountant | My Ideal is Sir @narendramodi ji &amp; Sir @myogiadityanath ji | Activist Followed by @PiyushGoyalOffc</t>
  </si>
  <si>
    <t>Gaurav pandey</t>
  </si>
  <si>
    <t>What does Shinzo Abe&amp;apos;s election win mean for Japan? https://t.co/O5GjS2erRG https://t.co/lRoA0D4Bll</t>
  </si>
  <si>
    <t>INTELLIGENT INDIA</t>
  </si>
  <si>
    <t>#BreakingNews Japan's Abe to push pacifist constitution reform after strong election win</t>
  </si>
  <si>
    <t>ii_newsdesk</t>
  </si>
  <si>
    <t>#intelligentindia</t>
  </si>
  <si>
    <t>naveen arya</t>
  </si>
  <si>
    <t>कृणवन्तो विश्वमार्यम् वेदों की ओर लौटे धार्मीक ,राजनैतिक,समाजिक तथ्यो की सात्यता को जानने केलिये सत्यार्थ प्रकाश अवश्य पढे</t>
  </si>
  <si>
    <t>VIKAS MATHKARI BJP</t>
  </si>
  <si>
    <t>Pune, Maharashtra.India.</t>
  </si>
  <si>
    <t>RSS/ABVP/BJP/1989/PMC 20'Ys/X'Prez BJP PUNE /Prof in BMCC/M.Com.MA.Ph.D.Sub /WALKING/Blood Don 90 /Reading /CLIMBING/Oratory / METRO / +91 9689931910.</t>
  </si>
  <si>
    <t>Abe to push reform of Japan's pacifist constitution after election win https://t.co/vL2rXYCk4h</t>
  </si>
  <si>
    <t>Consider These</t>
  </si>
  <si>
    <t>A mature debate about constitutional reform is exactly what Japan needs right now. It’s extremely important, but... https://t.co/YDeIiTidzL</t>
  </si>
  <si>
    <t>Consider These - Τα Υπ' Όψιν. Multimedia news and information with Greek Chicago journalists Elena Spilioti and George Zorbas. Ελενα Σπηλιώτη-Γιώργος Ζορμπάς.</t>
  </si>
  <si>
    <t>Deenu Gupta</t>
  </si>
  <si>
    <t>Chennai,India 🇮🇳</t>
  </si>
  <si>
    <t>Introvert🚶| Melomaniac ❤🎶| Eat..Sleep..Regret..Repeat 🍽🛌😔🔄| Don't follow me because I don't even know where I'm going 🙏|Instagram &amp;Snapchat: @deenugupta3</t>
  </si>
  <si>
    <t>Abe to push reform of Japan's pacifist constitution after election win https://t.co/BoPQjCrLYq</t>
  </si>
  <si>
    <t>Bhavik Maniar</t>
  </si>
  <si>
    <t>BHAVNAGAR(GUJRAT)</t>
  </si>
  <si>
    <t>(State Convener, Youth BJP Guj.) (Surastrs zone Co.Incharge, IT &amp; Social Media Guj.BJP) (RKS Member, Government Ayurved Hospital BVN.)</t>
  </si>
  <si>
    <t>tyler057</t>
  </si>
  <si>
    <t>Election results. #JapanElection https://t.co/rk2ilNHPtu #日本 #選挙結果</t>
  </si>
  <si>
    <t>Executive Director of the Vancouver International Centre for Contemporary Asian Art @centrea</t>
  </si>
  <si>
    <t>Вероника</t>
  </si>
  <si>
    <t>Barcelona, Catalunya</t>
  </si>
  <si>
    <t>Tanay Krishna</t>
  </si>
  <si>
    <t>More</t>
  </si>
  <si>
    <t>#ShinzoAbe : #constitutionalreform and #US support after his re-election .@ABCMundial https://t.co/8lyRBeOSmo #Japan #Trump #NorthKorea</t>
  </si>
  <si>
    <t>Cap Fed.- Argentina</t>
  </si>
  <si>
    <t>Periodista/ Journalist Política, espectáculos &amp; música. Se el cambio que quieres ver en el mundo. @moreira_enzo #Instagram more_enzo https://t.co/4LFynO8vPP</t>
  </si>
  <si>
    <t>Nicola Doyle</t>
  </si>
  <si>
    <t xml:space="preserve">Johannesburg </t>
  </si>
  <si>
    <t>Feminist, social justice advocate, lover of coffee, books, and cats (classic). Machel-Mandela Fellow @BrenthurstF</t>
  </si>
  <si>
    <t>NV Murti</t>
  </si>
  <si>
    <t>Make Bharat a better place.</t>
  </si>
  <si>
    <t>After election win, Abe prioritizes #NorthKorea, aging #Japan https://t.co/ofIe1M87wv</t>
  </si>
  <si>
    <t>TMS-TrueSourceMedia</t>
  </si>
  <si>
    <t>Shinzo Abe vows to seek consensus on Japan Constitution after election win https://t.co/I3Zbm6CEJd</t>
  </si>
  <si>
    <t>Digital e-news paper.</t>
  </si>
  <si>
    <t>What does Shinzo Abe's election win mean for Japan? https://t.co/91xOZzZPAv #breakingnews #news</t>
  </si>
  <si>
    <t>Massachusetts4Trump</t>
  </si>
  <si>
    <t>Massachusetts</t>
  </si>
  <si>
    <t>Patience is more than a virtue!</t>
  </si>
  <si>
    <t>Ryuta Futami</t>
  </si>
  <si>
    <t>MD, MHA, MSF(finance.) /healthcare management, medical devices, biotech, investment, startups, VCs, cars, arts, retro games, techs, and gourmet. /</t>
  </si>
  <si>
    <t>Raam</t>
  </si>
  <si>
    <t>proud to be an Indian, nation frist</t>
  </si>
  <si>
    <t>Rajeev K Kapoorr</t>
  </si>
  <si>
    <t>RT @NewIndianXpress: Abe dissolved the lower house less than a month ago, forcing the snap election. https://t.co/AZ6tiXcMtI</t>
  </si>
  <si>
    <t>Chembur, Mumbai</t>
  </si>
  <si>
    <t>Truth Always Reigns!! {{Retweets ≠ Jest/Humor/Dig or Endorsement, it can be plain appreciation too, at times}}</t>
  </si>
  <si>
    <t>योगी 🚩</t>
  </si>
  <si>
    <t>#RashtriyaSwayamSevak #IamNewIndia 👁🐝Ⓜ️ER #Mystic #Techie believes in #TransformingIndia . Followed by Shri Pradhan Sevak @NarendraModi Ji</t>
  </si>
  <si>
    <t>youth4bjp</t>
  </si>
  <si>
    <t>Young professionals inspired with what BJP stands for came together and gave birth to spark named- Youth4BJP</t>
  </si>
  <si>
    <t>THE INDIPENDENT - What does Shinzo Abe's election win mean for Japan? https://t.co/JGovBFfLJZ #PaginaNuova #Press</t>
  </si>
  <si>
    <t>RT @pacollibehgjet: Congratulations to @AbeShinzo on his election success. I look fwd to further enhance the bilateral cooper w/ #Japan. 🇯🇵…</t>
  </si>
  <si>
    <t>Narender Modi</t>
  </si>
  <si>
    <t>Spreads the messages of Indian statesman and 14th Prime Minister of India Shri Narender Modi</t>
  </si>
  <si>
    <t>What does Shinzo Abe's election win mean for Japan? https://t.co/ct45fY90Xx #WorldNews #News https://t.co/3dQCEZn83i</t>
  </si>
  <si>
    <t>What does Shinzo Abe's election win mean for Japan? https://t.co/y12HIfHyho #NewslyTweet</t>
  </si>
  <si>
    <t>Dharma</t>
  </si>
  <si>
    <t>I'm Dharmic. Hindu Nationalist.</t>
  </si>
  <si>
    <t>རབ་བརྟན་བཀྲིས་</t>
  </si>
  <si>
    <t>Antwerp, Belgium</t>
  </si>
  <si>
    <t>Hii.,, hello I me myself Tashi and I was born in Central Asia with grown up in southern east Asia but I live in Belgium since 2012.</t>
  </si>
  <si>
    <t>Hindustani</t>
  </si>
  <si>
    <t>Wealocity</t>
  </si>
  <si>
    <t>Wealth Management</t>
  </si>
  <si>
    <t>Shivang Joshi</t>
  </si>
  <si>
    <t>Religion wale column me Bold aur Capital me INDIAN likhte he...Proud Indian. Chartered Accountant.</t>
  </si>
  <si>
    <t>THE CHICKEN FARMER</t>
  </si>
  <si>
    <t>Balozi wa Kitengela</t>
  </si>
  <si>
    <t>🐓#Agribusiness254 (day old KARI and KUROILER chicks@ksh 1⃣0⃣0⃣and BROILERS@ksh4⃣0⃣0⃣)|Accountant by profession|Lecturer|dennmutua@gmail.com 📞0720912977🇰🇪</t>
  </si>
  <si>
    <t>🐅 Rajput 🔪🔫🚩</t>
  </si>
  <si>
    <t>🚩BHARAT MERA Desh h🚩</t>
  </si>
  <si>
    <t>Shiv Thakur</t>
  </si>
  <si>
    <t>Y</t>
  </si>
  <si>
    <t>Need うどん so much</t>
  </si>
  <si>
    <t>What does Shinzo Abe's election win mean for Japan? https://t.co/jYLa4hGaF6</t>
  </si>
  <si>
    <t>RT Anon_Eu "What does Shinzo Abe's election win mean for Japan? https://t.co/3cCOtDj6zD #WorldNews #News https://t.co/gqXK6gFIXW"</t>
  </si>
  <si>
    <t>Juana</t>
  </si>
  <si>
    <t>RT @Independent: What does Shinzo Abe's election win mean for Japan? https://t.co/jYLa4hGaF6</t>
  </si>
  <si>
    <t>"Abe to push reform of Japan's pacifist constitution after election win" - Reuters https://t.co/jjjoEpDnlY</t>
  </si>
  <si>
    <t>Parikshit Korekar</t>
  </si>
  <si>
    <t>Atheist,Straightedge,MODIfied.</t>
  </si>
  <si>
    <t>Digital Journalist</t>
  </si>
  <si>
    <t>Journalist</t>
  </si>
  <si>
    <t>Swaleh</t>
  </si>
  <si>
    <t>https://t.co/6s6vzVoz9A. Renewable Energy.</t>
  </si>
  <si>
    <t>Robin Robin</t>
  </si>
  <si>
    <t>Jesus, Freedom, USA! Please, no lists.</t>
  </si>
  <si>
    <t>What does Shinzo Abe's election win mean for Japan? https://t.co/2enh4BszFK</t>
  </si>
  <si>
    <t>burattino</t>
  </si>
  <si>
    <t>RT not necess. endorsement</t>
  </si>
  <si>
    <t>Per gli Stati Uniti d'Europa! Contro le sciocchezze di populisti, demagoghi ed euroscettici di tutte le risme.</t>
  </si>
  <si>
    <t>BHARGAV</t>
  </si>
  <si>
    <t>AHMEDABAD</t>
  </si>
  <si>
    <t>IT &amp; SM MEMBER OF ISANPUR WARD AHMEDABAD</t>
  </si>
  <si>
    <t>Ajay Dubey</t>
  </si>
  <si>
    <t>New Delhi, India (भारत )</t>
  </si>
  <si>
    <t>Entrepreneur । Blogger । Investor. तय करें और जुट जायें, हिचकिचाने वालो ने आज तक इस दुनिया में कोई बड़ा या अच्छा काम नहीं किया है । HS Trade &amp; Investments.</t>
  </si>
  <si>
    <t>JEFF</t>
  </si>
  <si>
    <t>Vega Challawar</t>
  </si>
  <si>
    <t>Trained in Ophthalmology Currently fulltime mother Not comfortable looking up at the sky, trying 2 remain grounded, still finding my roots… ♥≠like RT≠endorsemnt</t>
  </si>
  <si>
    <t>Feyza Basar Gulersen</t>
  </si>
  <si>
    <t>What does Shinzo Abe's election win mean for Japan? https://t.co/yVA7av1ztB</t>
  </si>
  <si>
    <t>Istanbul</t>
  </si>
  <si>
    <t>President of Club Alpbach Turkey/ Assistant Professor /Lawyer feyzabasar@avrupaforumu.org.tr</t>
  </si>
  <si>
    <t>Kristi "Jessica"</t>
  </si>
  <si>
    <t>Abused &amp; Forgotten in Connecticut</t>
  </si>
  <si>
    <t>Disabled, Citizen Journalist, Not Even Close to Perfect, Center Right, Veteran Loving Patriot and Christian. #1A - New Site Soon!</t>
  </si>
  <si>
    <t>Jürgen F. Wacker</t>
  </si>
  <si>
    <t>What does Shinzo Abe's election win mean for Japan? https://t.co/ixvCZulArH</t>
  </si>
  <si>
    <t>Mexiko Stadt</t>
  </si>
  <si>
    <t>My hobbys: Photographer, GoPro, make Videos, worldwide News, Beach Boys, Travel, Animals, Nature, Soccer, Sports and Politics. English...Español...Deutsch</t>
  </si>
  <si>
    <t>BlackRobb</t>
  </si>
  <si>
    <t>LIVE A LIVE LESS ORDINARY🇮🇳🇮 🇳 Aim Higher Dream Bigger JAI HIND 🇮🇳🇮 🇳</t>
  </si>
  <si>
    <t>Christine.</t>
  </si>
  <si>
    <t>Why are you trying so hard to fit in when you were born to stand out? - Ian Wallace</t>
  </si>
  <si>
    <t>Doctor Who</t>
  </si>
  <si>
    <t>Me - I'm the Doctor. You - Doctor Who? Me - You got it. Future husband to Freema Agyeman</t>
  </si>
  <si>
    <t>SitaravammaputrSamba</t>
  </si>
  <si>
    <t>Bhagya Nagaram</t>
  </si>
  <si>
    <t>Patriotic Indian. Proud Hindu. Interested in Politics,Economy,Stock analysis. Supporter of AP.Want 2 know more about mevisit my blog https://t.co/KVkQQyDVDU</t>
  </si>
  <si>
    <t>"Japan's Abe to push pacifist constitution reform after strong election win" - Reuters https://t.co/GkNzwfz8wF</t>
  </si>
  <si>
    <t>TheLastRefuge</t>
  </si>
  <si>
    <t>The Last Refuge is a rag tag bunch of misfits that do not align with political specificity. We share information, seek known truths and discuss.</t>
  </si>
  <si>
    <t>Christian Turner</t>
  </si>
  <si>
    <t>UK Deputy National Security Adviser @cabinetofficeuk @number10gov @foreignoffice #digitaldiplomacy</t>
  </si>
  <si>
    <t>I am a Common Sense Conservative I Support President Trump 100% No Lists Please! Retweets are not necessarily Endorsements.#MAGA</t>
  </si>
  <si>
    <t>What does Shinzo Abe's election win mean for Japan? https://t.co/oRTsJ18rxi Independent</t>
  </si>
  <si>
    <t>Bobbi Dalton</t>
  </si>
  <si>
    <t>Draper, UT</t>
  </si>
  <si>
    <t>"The Force Awakens" President Trump and V. P. Pence "Make America Great Again!"</t>
  </si>
  <si>
    <t>Pak Momineens</t>
  </si>
  <si>
    <t>@Globe of Hussainiat 4Humanity</t>
  </si>
  <si>
    <t>Scholar*Writer*Poet*Humanitarian*Socialist* Shia Lives Matters*Shia Genocide*News Events Alerts*Shia Muslims communities worldwide*Religious &amp; Domestic Freedom*</t>
  </si>
  <si>
    <t>India Maria</t>
  </si>
  <si>
    <t>TRUMP AMERICAN, TRUMP Republican, Flyover Hayseed TRUMP TEXAN</t>
  </si>
  <si>
    <t>Clintone Ochieng G™</t>
  </si>
  <si>
    <t>Strong believer in criticism!</t>
  </si>
  <si>
    <t>★安倍川もち★</t>
  </si>
  <si>
    <t>安倍ちゃん大好き。 安倍ちゃんの ※※ 変態信者 ※※ ♡安倍ちゃんの小さなお口は天使♡</t>
  </si>
  <si>
    <t>Krishna Prasad</t>
  </si>
  <si>
    <t>Just human</t>
  </si>
  <si>
    <t>humbleness kindness considerative https://t.co/bEWvtx99nd.…</t>
  </si>
  <si>
    <t>अरुण कुमार पाण्डेय</t>
  </si>
  <si>
    <t>कानपुर-लखनऊ-इलाहबाद</t>
  </si>
  <si>
    <t>बचपन से संघ कार्यकर्त्ता-मुख्य शिक्षक, कट्टर राष्ट्रवाद-हिंदुत्व समर्थक, संघ के विद्यालय-महाविद्यालय से पूरी शिक्षा, भारत के प्राचीन गौरव की वापसी इसी जन्म में</t>
  </si>
  <si>
    <t>#PROUDTOBEANINDIAN</t>
  </si>
  <si>
    <t>Birbhum (W.B) , #Hindustan🇮🇳</t>
  </si>
  <si>
    <t>❤❤ I 🇮🇳 ME 🇮🇳 MYSELF ❤❤ ★ Painter, Humanitarian ★ Proud to be blocked by @MamataOfficial</t>
  </si>
  <si>
    <t>Shinzo Abe vows to seek consensus on Japan Constitution after election win - Livemint https://t.co/eHembuxE8r #topstories</t>
  </si>
  <si>
    <t>Jade de la Fuente</t>
  </si>
  <si>
    <t>N.S.Slathia</t>
  </si>
  <si>
    <t>Where Ever Humanity Exists</t>
  </si>
  <si>
    <t>Engineer Saab....well atleast some are still saying so. USA/UK/AFRICA .Hamari aan baan shaan aur Hindustan ki jaan..Modi ji.</t>
  </si>
  <si>
    <t>Meg</t>
  </si>
  <si>
    <t>Greenwich, Connecticut</t>
  </si>
  <si>
    <t>I am outgoing, intelligent, ambitious &amp; content professional businesswoman. I made my LLC helping kids by working industriously &amp; doggedly for 20+yrs. VEGAN</t>
  </si>
  <si>
    <t>Nick Wamalwa Omondi</t>
  </si>
  <si>
    <t>HealthCare IT Technician . Tech Enthusiast. 360 Degrees Photographer</t>
  </si>
  <si>
    <t>जय श्री राधे</t>
  </si>
  <si>
    <t>What does Shinzo Abe's election win mean for Japan? https://t.co/13qgcTglox</t>
  </si>
  <si>
    <t>Rohini,Delhi, ,India.</t>
  </si>
  <si>
    <t>Shivam G</t>
  </si>
  <si>
    <t>Japan's Shinzo Abe Conjures Stunning Election Victory in a Boost for Donald Trump https://t.co/jYRpJfIq0b https://t.co/16al8Nc6m1</t>
  </si>
  <si>
    <t>Excellence is not a skill. It is an attitude.</t>
  </si>
  <si>
    <t>ChristopherRayOliver</t>
  </si>
  <si>
    <t>South Puget Sound</t>
  </si>
  <si>
    <t>#StopLabelingAndBe ⓢⓔⓔⓚ ⓣⓡⓤⓣⓗ ⓣⓞ ⓖⓐⓘⓝ ⓤⓝⓓⓔⓡⓢⓣⓐⓝⓓⓘⓝⓖ #AlternativeEnergy #LegalizeCannabis #SinglePayerHealthcare #Equality ⓔⓛⓔⓒⓣⓞⓡⓐⓣⓔ ⓦⓐⓝⓣⓢ ⓣⓡⓤⓣⓗ #OurRevolution</t>
  </si>
  <si>
    <t>Mukesh Dubey</t>
  </si>
  <si>
    <t>NishantD1</t>
  </si>
  <si>
    <t>You can take an Indian out of India but not India out of an Indian. Dream of a Corruption Free India. Tweets are personal and RTs are not an endorsement</t>
  </si>
  <si>
    <t>John David Reece</t>
  </si>
  <si>
    <t>RT @kaGk7ApEsn6tu3I: @johndavidreece6 Thank you david, Yesterday there was a democratic election in Japan but I lost. Today I was very nerv…</t>
  </si>
  <si>
    <t>Ashford, England</t>
  </si>
  <si>
    <t>Earth sign plant and nature loving beach walking fossil and ancient artifacts collector keen photographer and short film maker,slave to my cat.</t>
  </si>
  <si>
    <t>Emily Tamkin</t>
  </si>
  <si>
    <t>Abe won his snap election big-ly. Does that mean he can do the same with Trump in Tokyo next month? @ForeignPolicy https://t.co/JGobM8Xq1S</t>
  </si>
  <si>
    <t>Writing on diplomacy/embassies for @ForeignPolicy, but tweets are mine. Studied Russia &amp; CEE @Columbia, @Fulbrightprgrm, &amp; @REESOxford. Petty bourgeoisie.</t>
  </si>
  <si>
    <t>Azusa🌹光🇹🇼</t>
  </si>
  <si>
    <t>Asian kid in the emo band. Former Webbslinger turned Trumpist. #EmoRight, Nationalist, Conservative. From Taiwan but assimilated, something lost today.</t>
  </si>
  <si>
    <t>akhil gupta</t>
  </si>
  <si>
    <t>मैं आशुतोष</t>
  </si>
  <si>
    <t>An avid reader of no-non-sense at free time! a hardcore professional and an independent political thinker. my views my rationale!</t>
  </si>
  <si>
    <t>Foreign Policy</t>
  </si>
  <si>
    <t>RT @emilyctamkin: Abe won his snap election big-ly. Does that mean he can do the same with Trump in Tokyo next month? @ForeignPolicy https…</t>
  </si>
  <si>
    <t>The magazine for global politics, economics, and ideas. Follow our staff: https://t.co/8hcvq6i4MO</t>
  </si>
  <si>
    <t>Gio</t>
  </si>
  <si>
    <t>Origin, Religion, Gender, Age, Disability &amp; Sexual Orientation doesn't matter. To be or not to be an idiot counts! ✊️✊🏻✊🏼✊🏽✊🏾✊🏿#RésistanceUnited ☮️</t>
  </si>
  <si>
    <t>Jayant Chaudhary</t>
  </si>
  <si>
    <t>Memorizing details of a moment so beautiful you know it will haunt you for lifetimes.</t>
  </si>
  <si>
    <t>अभिषेक मिश्रा</t>
  </si>
  <si>
    <t>ॐ sound of world. शिव ही पूर्ण है rss/bjp supporter by choice. proud सनातनी nation first. salvation is hard...</t>
  </si>
  <si>
    <t>North Korea fears Japan "invasion" after Shinzo Abe's victory https://t.co/kQQLN0voUq #worldnews #news #breakingnews</t>
  </si>
  <si>
    <t>Abe, Fresh Off Election Victory, Now Gets to Host #Trump https://t.co/h2J47W95Jo #Worldnews #News https://t.co/N6DgxguyLc</t>
  </si>
  <si>
    <t>99percentnews</t>
  </si>
  <si>
    <t>Abe, Fresh Off Election Victory, Now Gets to Host #Trump https://t.co/0QI2m0GLoi #News https://t.co/jOWXuLtwnD</t>
  </si>
  <si>
    <t>Just 99 % News</t>
  </si>
  <si>
    <t>bilal mansoor</t>
  </si>
  <si>
    <t>Director S.R.K Group of Industries, S.V.President(Y.P), S.V.Chairman Entrepreneurship-FPCCI, S.Advisor Youth Affair DMC-CDGK ,S.V.P Pakistan Academic Consortium</t>
  </si>
  <si>
    <t>Abe, Fresh Off Election Victory, Now Gets to Host Trump https://t.co/ejOjecyaMx https://t.co/PRL4t6M8Gs</t>
  </si>
  <si>
    <t>ComeyIsACriminal</t>
  </si>
  <si>
    <t>love animals, music, books, art, politics, Lake Erie, Cleveland browns football, ohio state football, comedy&amp;laughter, &amp; DONALD J TRUMP</t>
  </si>
  <si>
    <t>Baahubali Pragnik</t>
  </si>
  <si>
    <t>Building and executing ideas for next generation!</t>
  </si>
  <si>
    <t>Benjamin Haddad</t>
  </si>
  <si>
    <t>Washington DC - Paris</t>
  </si>
  <si>
    <t>Fellow @HudsonInstitute, Europe, transatlantic • Cheese eating never surrender monkey • Jupiterian</t>
  </si>
  <si>
    <t>Anuraj.R🇮🇳</t>
  </si>
  <si>
    <t>Kerala</t>
  </si>
  <si>
    <t>proud to be an INDIAN. proud to be working under Modiji's regime for the better INDIA🇮🇳🇮🇳🇮🇳</t>
  </si>
  <si>
    <t>VIKRAM CHOUDHARY</t>
  </si>
  <si>
    <t xml:space="preserve">तुम्हारे दिल के आसपास </t>
  </si>
  <si>
    <t>🙏Sweetness Unlimited Believe in myself🙏</t>
  </si>
  <si>
    <t>RT Anon_Eu "Abe, Fresh Off Election Victory, Now Gets to Host #Trump https://t.co/xcbnUaGNOU #Worldnews #News https://t.co/B4qBJvoErc"</t>
  </si>
  <si>
    <t>David</t>
  </si>
  <si>
    <t>MANOJ KUMAR TIWARI</t>
  </si>
  <si>
    <t>Chandivali, Mumbai</t>
  </si>
  <si>
    <t>#NationFirst....#PartyNext....#SelfLast.... Mumbai MahaMantri - Bharatiya Janata Yuva Morcha #VandeMatram #GarvSeKahoHumHinduHai</t>
  </si>
  <si>
    <t>Ronald Kok</t>
  </si>
  <si>
    <t>RT @Valuespectrum: Nikkei #stocks hits new highs on Japan election</t>
  </si>
  <si>
    <t>Value investor, entrrepreneur, goal keeper @Kampong. Continously trying to improve the financial world with https://t.co/m3wqN1wzRP</t>
  </si>
  <si>
    <t>BCOS TV</t>
  </si>
  <si>
    <t>Trump Congratulates Japan’s Prime Minister On Election Victory https://t.co/3rNMmdMaGc</t>
  </si>
  <si>
    <t>BCOS Website Content</t>
  </si>
  <si>
    <t>WatsupEurope</t>
  </si>
  <si>
    <t>#Europe: Will Japan’s Abe change constitution after re-election? https://t.co/qSQBFFwzob</t>
  </si>
  <si>
    <t>watsupeurope</t>
  </si>
  <si>
    <t>Europe's Latest News &amp; Entertainment. All Video. Follow For Instant News Updates @watsupeurope. FB: https://t.co/UeZIdec3H9</t>
  </si>
  <si>
    <t>Luke T.</t>
  </si>
  <si>
    <t>Sciences Po and LSE Dual Masters Candidate—International Public Management</t>
  </si>
  <si>
    <t>MarketingForJustice</t>
  </si>
  <si>
    <t>"Trump calls Abe to congratulate him on his election victory https://t.co/mMg9CaHLLJ https://t.co/AS6lpI55F2"https://t.co/gXOCCUHLcH</t>
  </si>
  <si>
    <t>For when what you're passionate about needs justice Account managed by @heardandrew</t>
  </si>
  <si>
    <t>iDEFY</t>
  </si>
  <si>
    <t>Abe, Fresh Off Election Victory, Now Gets to Host Trump: https://t.co/STCCzPgoBU</t>
  </si>
  <si>
    <t>Providing Global NATSEC+INFOSEC+OSINT News &amp; Info. Provoking thought. Tweets do not necessarily = endorsement or = iDefy POV's.</t>
  </si>
  <si>
    <t>CNN Philippines</t>
  </si>
  <si>
    <t>Japan's Shinzo Abe hails landslide victory in snap election https://t.co/UGMr9mryQy</t>
  </si>
  <si>
    <t>We tell the story of the Filipino.</t>
  </si>
  <si>
    <t>shashikant</t>
  </si>
  <si>
    <t>The difference between stupidity( read AAP &amp; congress) and genius is that genius has its limits.RT's not endorsement</t>
  </si>
  <si>
    <t>I love india</t>
  </si>
  <si>
    <t>RT cnnphilippines "Japan's Shinzo Abe hails landslide victory in snap election https://t.co/Zvts6Bb00d"</t>
  </si>
  <si>
    <t>Jay Krishna Tripathi</t>
  </si>
  <si>
    <t>Basti uttar pradesh india</t>
  </si>
  <si>
    <t>Bjp Uttar Pradesh India</t>
  </si>
  <si>
    <t>Shiva Iyer</t>
  </si>
  <si>
    <t>john davies</t>
  </si>
  <si>
    <t>Paris | London</t>
  </si>
  <si>
    <t>Devoted to life's greatest blessing, son, mentor, artist, author, investor, athlete. Life is a vessel to filled and drunk whole. Renegade.</t>
  </si>
  <si>
    <t>Chad</t>
  </si>
  <si>
    <t>Normanton, England</t>
  </si>
  <si>
    <t>Andrew Pelling</t>
  </si>
  <si>
    <t>Western commentators exaggerate mandate for change post Japan election. 11 seats lost by LDP/Komeito and only just above key 2/3rds of seats</t>
  </si>
  <si>
    <t>Croydon</t>
  </si>
  <si>
    <t>william Ekisa</t>
  </si>
  <si>
    <t>Marketer/ Commercial &amp; Photo Model/Politically Sober Brand Supervisor Kenya Rémy Cointreau. Rémy Martin Fine Champagne Cognac</t>
  </si>
  <si>
    <t>ぱにゃ</t>
  </si>
  <si>
    <t>福岡</t>
  </si>
  <si>
    <t>ゆるゆる社会人。気になるネタについてゆる～く呟いてみたり、ぼやいたり、そんな感じでいきたい所存。日韓断交希望</t>
  </si>
  <si>
    <t>Japan's Shinzo Abe Conjures Stunning Election Victory in a Boost for Donald Trump | https://t.co/uf0xjbS8zH | #Iran</t>
  </si>
  <si>
    <t>Zero Men</t>
  </si>
  <si>
    <t>I want freedom</t>
  </si>
  <si>
    <t>I Have a Dream</t>
  </si>
  <si>
    <t>Vivek shukla</t>
  </si>
  <si>
    <t>VANDE MAATRAM(follow Back)</t>
  </si>
  <si>
    <t>Blessed&amp;honoured to be followed by @piyushgoyaloffc .Banker,Current Affairs,MUMBAIKAR,Foodie,intellctulism, unapologetic,NATION FIRST Hindustan.JAI SHRI RAM.</t>
  </si>
  <si>
    <t>Lou</t>
  </si>
  <si>
    <t>Where God wants me to be</t>
  </si>
  <si>
    <t>Observer</t>
  </si>
  <si>
    <t>Auto Blog Global</t>
  </si>
  <si>
    <t>Japan’s ruling coalition retains a supermajority in snap election https://t.co/Xp4ol5fmvD</t>
  </si>
  <si>
    <t>What does Shinzo Abe's election win mean for Japan? https://t.co/tzM2Dnlzqn</t>
  </si>
  <si>
    <t>Alexander Nerdski</t>
  </si>
  <si>
    <t>Shambhala, Earth-Moon L5</t>
  </si>
  <si>
    <t>I admit it. I am addicted to Twitter. Twelve steps is too many for me. Does someone have a 5 step program? Something in 140 characters?</t>
  </si>
  <si>
    <t>Ai</t>
  </si>
  <si>
    <t>RT @cnnphilippines: Japan's Shinzo Abe hails landslide victory in snap election https://t.co/UGMr9mryQy</t>
  </si>
  <si>
    <t>Kim Soohyun/Park Hyungsik❤Park Boyoung</t>
  </si>
  <si>
    <t>Dennis Futoryan</t>
  </si>
  <si>
    <t>Prime Minister Shinzo Abe's party claimed sweeping victory in a snap election on Sunday, with media tallies... https://t.co/ukGLSv6d40</t>
  </si>
  <si>
    <t>“I know simply that the sky will last longer than I.” — Albert Camus. I wonder about everything and anything.</t>
  </si>
  <si>
    <t>Satrajit Mukherjee</t>
  </si>
  <si>
    <t>32nd NDA; MBA; STUDIES IN ECOLOGY, HR, NATIONAL&amp;INTERNATIONAL AFFAIRS; Sports fan; Write poems&amp; short stories; LOVE TO TALK TO PEOPLE; Supposed to be humouous!</t>
  </si>
  <si>
    <t>tejas rajyaguru</t>
  </si>
  <si>
    <t>Tapiwa Mundawarara</t>
  </si>
  <si>
    <t>Raidar Gist</t>
  </si>
  <si>
    <t>What does Shinzo Abe's election win mean for Japan? Read More - https://t.co/tDDBD657Tf https://t.co/8MrwKQ7PF5</t>
  </si>
  <si>
    <t>Raida Gist</t>
  </si>
  <si>
    <t>Info Gist Network</t>
  </si>
  <si>
    <t>Chandrasekhar Shenoy</t>
  </si>
  <si>
    <t>uetake ritsu（脱原発に一票）</t>
  </si>
  <si>
    <t>【好きなもの／支持するもの：脱原発、平和、自由、音楽、映画】 【嫌いなもの／支持しないもの：利権構造、原発新設・再稼働、TPP/ACTA、憲法改悪】オリンピック招致より真の安全を。東京在住。</t>
  </si>
  <si>
    <t>sadhuvaad</t>
  </si>
  <si>
    <t>i m myself with no pretentions इमारत तो झूठ की बनती है, सच की तो नींव ही काफी है..</t>
  </si>
  <si>
    <t>Joyce Shiffrin</t>
  </si>
  <si>
    <t>What now for Japan after Abe's landslide election victory? https://t.co/0rhZo95mmO</t>
  </si>
  <si>
    <t>Pramod Kumar</t>
  </si>
  <si>
    <t>Abhishek Saxena</t>
  </si>
  <si>
    <t>Lakhimpur, India</t>
  </si>
  <si>
    <t>Crazy Boy 😄😂😜</t>
  </si>
  <si>
    <t>Drew Jaehnig</t>
  </si>
  <si>
    <t>Abe, Fresh Off Election Victory, Now Gets to Host Trump https://t.co/x7cIiNnr43</t>
  </si>
  <si>
    <t>Employee with DISA's Operations Center</t>
  </si>
  <si>
    <t>🇮🇳Jai Bharadwaj</t>
  </si>
  <si>
    <t>Will not remain quite when we see our motherland insulted ..we will defend our Nation as per your words you speak , like to attack the Nation</t>
  </si>
  <si>
    <t>Arpit</t>
  </si>
  <si>
    <t>Pensive. Eclectic. Foreign Policy &amp; Etymology Enthusiast. I write code for a living.</t>
  </si>
  <si>
    <t>Varun Vijay</t>
  </si>
  <si>
    <t>Software Engineer Patriot Philosopher Political-Analyst Historian Counselor Spiritual-Guru Polymath. RTs not endorsements.</t>
  </si>
  <si>
    <t>grandted 212.</t>
  </si>
  <si>
    <t>What does Shinzo Abe's election win mean for Japan? https://t.co/53iepKl4ng</t>
  </si>
  <si>
    <t>Derrick Walker @ the end. grandted 212 YouTube producer https://t.co/BdDiOr6jrx</t>
  </si>
  <si>
    <t>Albert R.T</t>
  </si>
  <si>
    <t>Patient...</t>
  </si>
  <si>
    <t>Abe Placed to Lead Japan Through 2021 After Big Election Win https://t.co/efXJKKosGa via @bpolitics(Another TERM of WAR in ASIA OCEANIA.)</t>
  </si>
  <si>
    <t>BOYWONDERELROYJETSON</t>
  </si>
  <si>
    <t>@Inventionland @Viral_SMS @thesaddleguy1 @ElroyWonder @BOYWONERELROY1 @BOYWONDERELROY1 @BOYWONDERELROYJ #India @NYSE @UNDP #IndiaTemples @IndianStarrtups</t>
  </si>
  <si>
    <t>NTK Network</t>
  </si>
  <si>
    <t>After a major election victory, the Japanese Prime Minister hopes to dramatically increase Japanese defense efforts. https://t.co/UecfQs3ukg</t>
  </si>
  <si>
    <t>NTK Network has the political, business, and world news that you need to know as it happens and without the liberal bias.</t>
  </si>
  <si>
    <t>Rajeev Rana</t>
  </si>
  <si>
    <t>Winsome  Martin</t>
  </si>
  <si>
    <t>Japan Election Victory Gives Abe Mandate For Reform - https://t.co/H35f6jbBDi via https://t.co/pWHEJTyuwf</t>
  </si>
  <si>
    <t>comprotaxbrooklyn@gmail</t>
  </si>
  <si>
    <t>Professional Tax Service @ Compro Tax New York City area</t>
  </si>
  <si>
    <t>Japan’s Abe to push pacifist Constitution reform after big election win.. https://t.co/WEJnyMw5r1</t>
  </si>
  <si>
    <t>Jane</t>
  </si>
  <si>
    <t>Typhoon leaves two dead after lashing Japan on election day.. https://t.co/OhOt3x9PGR</t>
  </si>
  <si>
    <t>🎃</t>
  </si>
  <si>
    <t>NJ⇄NY</t>
  </si>
  <si>
    <t>Work for EastMeetEast, Ex-Twitter, 河野十行, 大学中退→雪山→自動車工場→派遣社員→正社員→フリーランス→Twitter→NY, #個人の意見です</t>
  </si>
  <si>
    <t>Abe, Fresh Off Election Victory, Now Gets to Host Trump https://t.co/CBt3oPekIu https://t.co/CRUvWilRVV</t>
  </si>
  <si>
    <t>After election win, Abe prioritizes North Korea, aging Japan https://t.co/yj9vELIsA3</t>
  </si>
  <si>
    <t>Technology, Innovation, Startups, Circular Economy. Working as a Junior Risk Analyst in the Financial Services.</t>
  </si>
  <si>
    <t>Vaibhav Mittal 🇮🇳</t>
  </si>
  <si>
    <t>Social Worker | Investor | Entrepreneur</t>
  </si>
  <si>
    <t>Anikha</t>
  </si>
  <si>
    <t>苺畑カカシ</t>
  </si>
  <si>
    <t>アメリカ</t>
  </si>
  <si>
    <t>『苺畑より』ブログを書いてます。ずっとアメリカの極右翼だと思っていたのですが、最近は体制派右翼にも幻滅してます。</t>
  </si>
  <si>
    <t>manishv</t>
  </si>
  <si>
    <t>Actor and director of my Life</t>
  </si>
  <si>
    <t>India in Chicago</t>
  </si>
  <si>
    <t>Welcome to the official twitter account of the Consulate General of India in Chicago, USA</t>
  </si>
  <si>
    <t>rick</t>
  </si>
  <si>
    <t>Japan's Shinzo Abe hails landslide victory in snap election https://t.co/p1XlgRPtRb — CNN Philippines (cnnphilippines) October 23, 2017</t>
  </si>
  <si>
    <t>The Lion of Judah</t>
  </si>
  <si>
    <t>Jordan Trimble</t>
  </si>
  <si>
    <t>CEO &amp; President of Skyharbour Resources Ltd. (TSX-V: SYH)</t>
  </si>
  <si>
    <t>George Miyakawa</t>
  </si>
  <si>
    <t>Abe retains supermajority in Japan’s election, may push to amend constitution https://t.co/qhJPwu0PE4</t>
  </si>
  <si>
    <t>東京都狛江市</t>
  </si>
  <si>
    <t>over70の暇人です。bebop jazzとsaxを趣味としております。加齢とともにますます怒りっぽくなり、早起きと早寝になりました。夜は８時にネルトダウンです。福祉関係NPOのお仕事してます。原発大反対です。</t>
  </si>
  <si>
    <t>sujit s kundar</t>
  </si>
  <si>
    <t>Electronic Hobbyists. Arduino and Raspberry Pi enthusiast. RT's for fun only.</t>
  </si>
  <si>
    <t>RT @globalissuesweb: Abe, Fresh Off Election Victory, Now Gets to Host Trump https://t.co/CBt3oPekIu https://t.co/CRUvWilRVV</t>
  </si>
  <si>
    <t>Urvish Trivedi</t>
  </si>
  <si>
    <t>Utho suno prachi se ugate suraj ki awaj apana desh banega sari duniya ka sartaj</t>
  </si>
  <si>
    <t>Liniera</t>
  </si>
  <si>
    <t>N.E. Ohio</t>
  </si>
  <si>
    <t>We build Technology Partnerships for Companies</t>
  </si>
  <si>
    <t>Step one: Win your snap election. Step two: Have a tete-a-tete with Trump in Tokyo. https://t.co/EjbwOeY44b https://t.co/oc2RXind8T</t>
  </si>
  <si>
    <t>The Proton Man</t>
  </si>
  <si>
    <t>Book, The Proton Man: @JustinTrudeau by @Poet_Moglica. 2014. It's an #epic #poem which glorifies #Canada The official page. #TheProtonManJustinTrudeau #CanLit</t>
  </si>
  <si>
    <t>Tio Indra Satria</t>
  </si>
  <si>
    <t>RT @ForeignPolicy: Step one: Win your snap election. Step two: Have a tete-a-tete with Trump in Tokyo. https://t.co/EjbwOeY44b https://t.…</t>
  </si>
  <si>
    <t>Balikpapan - Malang - Malaysia</t>
  </si>
  <si>
    <t>Penikmat Pengamat Teknologi Smartphone</t>
  </si>
  <si>
    <t>sifebook investment</t>
  </si>
  <si>
    <t>Mr. Abosife I am the first person to set up a network on facebook and twitter entitled sifebook covering all the countries of the world</t>
  </si>
  <si>
    <t>Jiger Patel</t>
  </si>
  <si>
    <t>Hotelier by profession. Working to fulfill a great desire to leave a dent in the future of India.</t>
  </si>
  <si>
    <t>Phil Merry</t>
  </si>
  <si>
    <t xml:space="preserve">Wirral </t>
  </si>
  <si>
    <t>One Nation Tory, LGBT. Former Local Government Candidate. Seasoned Campaigner. Led a regional campaign for @ConservativesIN</t>
  </si>
  <si>
    <t>自転車が好きです。</t>
  </si>
  <si>
    <t>「希望もなく絶望もなく私は毎日少しずつ書きます。」アイザック・ディネーセン</t>
  </si>
  <si>
    <t>Umesh Mishra</t>
  </si>
  <si>
    <t>President, Pvt ITI Welfare Association UP</t>
  </si>
  <si>
    <t>Michael Albert I</t>
  </si>
  <si>
    <t>King of Canada M.S.C. Tweets represent Government of Canada from the Twitter Web Host. Our COURTSHIP is legal.</t>
  </si>
  <si>
    <t>Mauro Orrù</t>
  </si>
  <si>
    <t>Journalist • Made in Italy • UK affectionate, Россия lover and 中国 devotee • Own views</t>
  </si>
  <si>
    <t>PRASHANT DAUNDKAR</t>
  </si>
  <si>
    <t>Ranjangaon Ganapati</t>
  </si>
  <si>
    <t>John Parnell</t>
  </si>
  <si>
    <t>Wolvo-born French and History student @unisouthampton</t>
  </si>
  <si>
    <t>Suraj Gupta</t>
  </si>
  <si>
    <t>Kolkata , India</t>
  </si>
  <si>
    <t>Civil servant, some knowledge of Economics, this much to say: have had enough of socialism, pro-justice, Nationalist, IITK Alum, Calcuttan</t>
  </si>
  <si>
    <t>Batuz pisces</t>
  </si>
  <si>
    <t>Kericho, Kenya</t>
  </si>
  <si>
    <t>Bios</t>
  </si>
  <si>
    <t>998th_lordcommander</t>
  </si>
  <si>
    <t>In Boat, Narrow sea.</t>
  </si>
  <si>
    <t>Mechanical Engineer, Anti-communist &amp; Foodie. Sarvejana Sukhinobhavanthu...!!</t>
  </si>
  <si>
    <t>Sarah Brown</t>
  </si>
  <si>
    <t>mum, campaigner, writer, 21st Century podcaster, President @Theirworld, Chair, @gbceducation Believe we can make the impossible probable with education for all.</t>
  </si>
  <si>
    <t>Liz Gunderson⚖🗽🇺🇸</t>
  </si>
  <si>
    <t>🗽 We should never forget that in 2017 a woman was killed on US soil while fighting Nazi's. 🇺🇸 🕯Trump &amp; @GOP are responsible for her death 🕯</t>
  </si>
  <si>
    <t>Ed Baldwin</t>
  </si>
  <si>
    <t>West Oxon &amp; Manchester</t>
  </si>
  <si>
    <t>22, going on 70. "Alright for a Tory". Rambles on about booze, food, music, sports, and politics; sometimes in that order. Occasionally hilarious.</t>
  </si>
  <si>
    <t>S B Lewis</t>
  </si>
  <si>
    <t>Japan’s Election Warning to China https://t.co/1aBsSmJgtO</t>
  </si>
  <si>
    <t>Essex, New York 12936</t>
  </si>
  <si>
    <t>https://t.co/awqSXNmlTS, https://t.co/W4QMs4duk9 The Year They Sold Wall Street, Tim Carrington-Economy Is Still at the Brink, SB Lewis &amp; WD Cohan OpEd</t>
  </si>
  <si>
    <t>Mukesh  Shah</t>
  </si>
  <si>
    <t>Nationalist. Nation comes first.. RTs are not endorsements.</t>
  </si>
  <si>
    <t>Pratik Raj IN</t>
  </si>
  <si>
    <t>#KATTAR HINDU#BIG MODI AND YOGI SUPPORTER#LOVE MY INDIAN ARMY# PROUD TO BE INDAN#DEEP INTREST IN POLITICS#JAI HIND#BHARAT MATA KI JAI#JAI JAWAN JAI KISAAN.</t>
  </si>
  <si>
    <t>Nadex</t>
  </si>
  <si>
    <t>.@Jmpfaff says given the events of the past week in Japan (election, typhoon) #JPY has reason to drop this week.… https://t.co/5EkuGRS45g</t>
  </si>
  <si>
    <t>Chicago IL</t>
  </si>
  <si>
    <t>Nadex is the leading US regulated exchange in North America offering limited-risk binary option and spread trading on a wide variety of global markets.</t>
  </si>
  <si>
    <t>Alexandros Koronakis</t>
  </si>
  <si>
    <t>Japan’s Abe celebrates ‘super majority’ election win https://t.co/9kz7M1dKTc #News via @New_Europe https://t.co/DGpMncQjmN</t>
  </si>
  <si>
    <t>Editor in Chief of @New_Europe, Vice President of @AEJBelgium, Member of the Board of @BrusselsPressCl. Into media, politics, tech, photography, running, pugs.</t>
  </si>
  <si>
    <t>les</t>
  </si>
  <si>
    <t>hull</t>
  </si>
  <si>
    <t>Father of 4, Trucker, ex RCT, Kentish man living in Yorkshire. Supporter of all our services and anyone who thinks about other ppl needs.</t>
  </si>
  <si>
    <t>Latticework Wlth Mng</t>
  </si>
  <si>
    <t>Nikkei hits new highs after Japan election https://t.co/p9jnWjfheQ</t>
  </si>
  <si>
    <t>Milwaukee, WI USA</t>
  </si>
  <si>
    <t>Investment consulting firm partnering with financial planners, #CFPs and independent #RIAs. Challenging the status quo in the industry. #latticeworkwealth</t>
  </si>
  <si>
    <t>Adrian Sung</t>
  </si>
  <si>
    <t>Alice bobra</t>
  </si>
  <si>
    <t>A very concerned citizen of the world who is a mom, an environmental scientist and who realizes how fragile democracy is. News junkie!</t>
  </si>
  <si>
    <t>Siddhartha Rao</t>
  </si>
  <si>
    <t>I ,Me &amp; MYselF ♥♥</t>
  </si>
  <si>
    <t>1 News Net</t>
  </si>
  <si>
    <t>Will Japan's Abe change constitution after re-election? - https://t.co/f92tofUoB4 https://t.co/tW150mYuoq</t>
  </si>
  <si>
    <t>1NewsNet</t>
  </si>
  <si>
    <t>1 NEWS NET News Videos Music VIdeos</t>
  </si>
  <si>
    <t>MandarV</t>
  </si>
  <si>
    <t>Hindus Have Been Tolerant for too long..Look around in the Global KURUKSHETRA..Now or NEVER</t>
  </si>
  <si>
    <t>Bobby Sharma</t>
  </si>
  <si>
    <t>Managing Partner @bdevilholdings + @elecsportsgroup. Formerly @IMG, @NBA, @Cravath, @DukeLaw, @DukeU. Opinions mine, RT ≠ endorsements.</t>
  </si>
  <si>
    <t>SUYASH</t>
  </si>
  <si>
    <t>A curious learner.</t>
  </si>
  <si>
    <t>Japan's Shinzo Abe Conjures Stunning Election Victory in a Boost for Donald Trump https://t.co/82XDXsI1yx</t>
  </si>
  <si>
    <t>Chintan Shah</t>
  </si>
  <si>
    <t>Intelligence is artificial. Data Scientist. What's the probability of me getting a Knighthood? @nclalumni</t>
  </si>
  <si>
    <t>ॐ सत्य वचन ॐ</t>
  </si>
  <si>
    <t>भारत माता की जय। I'm down 2earth, sober natured guy. Emotional yet practical. #Nationalist 👍 GOOD THINGS DOES NOT ELATES ME &amp; BAD THINGS DOES NOT DEFLATES ME!</t>
  </si>
  <si>
    <t>Deepak Bhunje</t>
  </si>
  <si>
    <t xml:space="preserve"> Mumbai </t>
  </si>
  <si>
    <t>Ambadnya (अंबज्ञ). Engineer.</t>
  </si>
  <si>
    <t>राष्ट्रवादी अरुण</t>
  </si>
  <si>
    <t>मेरे आदर्श श्री @narendramodi मुझे फॉलो कर रहे है</t>
  </si>
  <si>
    <t>Abe Pledges Diplomatic Coordination on #NorthKorea #japan #PM #Democratic #Nuclear #pact https://t.co/aRKnuWw6RI https://t.co/WGcLaFsxPY</t>
  </si>
  <si>
    <t>Eden's Serpent</t>
  </si>
  <si>
    <t>"https://t.co/QOKBMkhNIw"Japan's Shinzo Abe Conjures Stunning Election Victory in a Boost for Donald Trump #Ειδήσε… https://t.co/Hd9iA8pJjp</t>
  </si>
  <si>
    <t>Prime Minister Shinzo Abe of Japan announces the country will "invest boldly in the next generation" https://t.co/mFKhIiSEaN #5for5</t>
  </si>
  <si>
    <t>Prime Minister Shinzo Abe of Japan announces the country will "invest boldly in the next generation" https://t.co/wur3bqUjKx #5for5</t>
  </si>
  <si>
    <t>Japan's Shinzo Abe Conjures Stunning Election Victory in a Boost for Donald Trump https://t.co/FWiqo9aCFQ via Yahoo!</t>
  </si>
  <si>
    <t>Iliyan Yurukov-Poet</t>
  </si>
  <si>
    <t>https://t.co/fbxJjXnFKe https://t.co/mX2oearuFw https://t.co/N2RAu9NHFh I am Producer,physician,philosopher and publicist,political philosophy,Poets for Israel</t>
  </si>
  <si>
    <t>Hemant S Pant</t>
  </si>
  <si>
    <t>Amritsar-PB02 - Doiwala UK07</t>
  </si>
  <si>
    <t>Ambarsariya😎 (Retweeter) Swayamsewak #Jai_Hind</t>
  </si>
  <si>
    <t>Top Stories</t>
  </si>
  <si>
    <t>What does Shinzo Abe's election win mean for Japan? - The Independent https://t.co/R7dIbnntGt</t>
  </si>
  <si>
    <t>South-East Asia</t>
  </si>
  <si>
    <t>Providing Top Stories from South-East Asia and World</t>
  </si>
  <si>
    <t>Manoj Thapliyal</t>
  </si>
  <si>
    <t>19.140606,72.824535</t>
  </si>
  <si>
    <t>Sailor by Profession, and Loves Music, Movies, Shayari, Social Media...Nothing more than a man who cared enough to try...</t>
  </si>
  <si>
    <t>#Japan voters list #NorthKorea threat among reasons for choosing who to vote for in #JapanElection https://t.co/jZX5me6Ib2</t>
  </si>
  <si>
    <t>Japan's Shinzo Abe Conjures Stunning Election Victory in a Boost for Donald Trump https://t.co/rrNQHnA7A5</t>
  </si>
  <si>
    <t>chetan</t>
  </si>
  <si>
    <t>Indian | engineer | Here coz FB is too mainstream | retweets not endorsement | tweets personal opinion</t>
  </si>
  <si>
    <t>Crestgist•com</t>
  </si>
  <si>
    <t>Trump Calls Japan’s Abe, Congratulates Him On Election Victory https://t.co/BhS1dQ7KNp</t>
  </si>
  <si>
    <t>Follow the No1 Information Website. Stay glued and receive latest updates on news, gossips, entertainment, sports, vacancies, fashion, celebrity life-style, etc</t>
  </si>
  <si>
    <t>KPMedia Network</t>
  </si>
  <si>
    <t>Trump Calls Japan’s Abe, Congratulates Him On Election Victory https://t.co/FvRVf5b4vk</t>
  </si>
  <si>
    <t>PLEASE FOLLOW BACK - Get the latest news about: Nigerian politics, sport, your favourite celebrities, interviews, articles, and many more.</t>
  </si>
  <si>
    <t>The Independent: What does Shinzo Abe’s election win mean for Japan? https://t.co/kvTwxmOJbE… https://t.co/ILtVBgJiia</t>
  </si>
  <si>
    <t>Kindly follow back</t>
  </si>
  <si>
    <t>Trump Calls Japan’s Abe, Congratulates Him On Election Victory https://t.co/EEuyAcwg17</t>
  </si>
  <si>
    <t>I'm a graduate of OAU, Ile-Ife. I am a public relations practitioner and I have passion for teaching, public speaking and making friends. Add me on BBM-2B4356CC</t>
  </si>
  <si>
    <t>SpreadHedger</t>
  </si>
  <si>
    <t>Ftrader</t>
  </si>
  <si>
    <t>MayE</t>
  </si>
  <si>
    <t>I don't fake fame, I shape it 👌</t>
  </si>
  <si>
    <t>Pawan Kumar Tiwari</t>
  </si>
  <si>
    <t>Sidhi, Madhya Pradesh</t>
  </si>
  <si>
    <t>पूर्व जिलाध्यक्ष भाजपा सोशल मीडिया एवं बेव प्रबंधन विभाग जिला सीधी म.प्र. एवं अभिनेता गायक</t>
  </si>
  <si>
    <t>Financial News 24/7</t>
  </si>
  <si>
    <t>Suntory's CEO on Japan Election, Sales Tax, Inflation https://t.co/kgmMEeEqO6 via @YouTube https://t.co/Pa5xS8Ij9j</t>
  </si>
  <si>
    <t>TOP FINANCIAL NEWS STORIES FROM All OVER THE WORLD IN A VIDEO FORMAT' WATCH ALL THE LATEST FINANCIAL VIDEOS TODAY. https://t.co/JAODxBpqsX</t>
  </si>
  <si>
    <t>MAGAnonymous</t>
  </si>
  <si>
    <t>Northern Tia Juana, USA</t>
  </si>
  <si>
    <t>#MAGA....that’s all...no promotions, no crowdfunding scams..NO “5d Chess” BS just a supporter of our Great President Trump...🇺🇸🇺🇸🇺🇸</t>
  </si>
  <si>
    <t>Mentellectual</t>
  </si>
  <si>
    <t>Free thinking is the absolute monopoly of commies and left leaning Anglo-Saxon mentellectuals ! how dare you question my coterie of sycophancy !</t>
  </si>
  <si>
    <t>राकेश सिंह</t>
  </si>
  <si>
    <t xml:space="preserve">Mumbai </t>
  </si>
  <si>
    <t>हर हर मोदी घर घर मोदी</t>
  </si>
  <si>
    <t>SANJAY TIWARI</t>
  </si>
  <si>
    <t>Pankaj Wadhawan</t>
  </si>
  <si>
    <t>Swayamsewak.Member , National Membership Project. Convenor, Residents Welfare Cell, BJP, Delhi State, Chairman: AICOSMIA ( Import Export Policy Committee),</t>
  </si>
  <si>
    <t>Peter Stewart</t>
  </si>
  <si>
    <t>London or the Alps</t>
  </si>
  <si>
    <t>Digital marketing in financial services. Skiing, languages, the beautiful game &amp; the odd other interest. All play | No work</t>
  </si>
  <si>
    <t>Japan&amp;apos;s Shinzo Abe Conjures Stunning Election Victory in a Boost for Donald Trump https://t.co/vLDWBGI7bB</t>
  </si>
  <si>
    <t>vpr</t>
  </si>
  <si>
    <t>Kshatriya,Staunch Nationalist, linux, aws,Modi fan,Bangalorean,foodie, BJP</t>
  </si>
  <si>
    <t>Sumathi</t>
  </si>
  <si>
    <t>On twitter to gain right perspective.</t>
  </si>
  <si>
    <t>Nadeem Khan</t>
  </si>
  <si>
    <t>Jake Adelstein/中本哲史</t>
  </si>
  <si>
    <t>Final Japan election poll results! Liberal Democratic Party wins mandate for death by overwork, unpaid overtime, m…… https://t.co/uCQlQE1NL2</t>
  </si>
  <si>
    <t>Usually Tokyo</t>
  </si>
  <si>
    <t>Investigative journalist, Zen Buddhist Priest, Paladin. "Trouble is my business." 調査報道記者・禅僧 @dailybeast 等</t>
  </si>
  <si>
    <t>GSFS - Georgetown</t>
  </si>
  <si>
    <t>RT @asianstudiesgu: Prof @SheilaSmithCFR quoted in "#Japan Election Vindicates #ShinzoAbe as His Party Wins Big" | New York Times https://t…</t>
  </si>
  <si>
    <t>The Edmund A. Walsh School of Foreign Service, founded in 1919, is a premier school of international affairs offering 8 master's degrees.</t>
  </si>
  <si>
    <t>Mike_Bennett</t>
  </si>
  <si>
    <t>Winning big : Japan’s ruling coalition retains a supermajority in snap election https://t.co/pv9Xxde0cW via @TheEconomist</t>
  </si>
  <si>
    <t>Allen, Texas</t>
  </si>
  <si>
    <t>Bible believer. News watcher. Life, Hope &amp; Truth website, Discern magazine, blogs, etc. Editorial content manager for Church of God, a Worldwide Association.</t>
  </si>
  <si>
    <t>INFO CELL</t>
  </si>
  <si>
    <t>Shinzo Abe secures strong mandate in Japan's general election https://t.co/DinG93ZHZE</t>
  </si>
  <si>
    <t>Daily news about everyday life. Branding and Enriching Lives. The World 20 minutes into the future.</t>
  </si>
  <si>
    <t>Άσπα Τσίνα</t>
  </si>
  <si>
    <t>RT @jakeadelstein: Final Japan election poll results! Liberal Democratic Party wins mandate for death by overwork, unpaid overtime, m… http…</t>
  </si>
  <si>
    <t>Milano</t>
  </si>
  <si>
    <t>Mono no aware. O πλανήτης είναι ένα μεγάλο μπουρδέλο, και εγώ από τα στάδια θρήνου έχω φτάσει στην κατάσταση ζεν. Πράσινη θαλάσσια χελώνα στα πολυνησιακά ζώδια.</t>
  </si>
  <si>
    <t>Dec</t>
  </si>
  <si>
    <t>Amit Malik</t>
  </si>
  <si>
    <t>Proud Member of @BJP4India; Ex, President Delhi University Students Union (DUSU); RT ≠ Endorsements. #IAmNewIndia</t>
  </si>
  <si>
    <t>Gaia</t>
  </si>
  <si>
    <t xml:space="preserve">Damascus Syria </t>
  </si>
  <si>
    <t>lost in a breath-taking chaos Interested in non-existing reality/dream</t>
  </si>
  <si>
    <t>BHARAT R PRAJAPATI</t>
  </si>
  <si>
    <t>mamber of bjym ahmedabad gujarat.</t>
  </si>
  <si>
    <t>Juan Manuel Solana M</t>
  </si>
  <si>
    <t>Economista interesado en el mundo.</t>
  </si>
  <si>
    <t>BHAGAT SINGH</t>
  </si>
  <si>
    <t>Jai Shree Ram</t>
  </si>
  <si>
    <t>M Onduko</t>
  </si>
  <si>
    <t>ICT specialist #Lives a day at a time#</t>
  </si>
  <si>
    <t>Galgalo</t>
  </si>
  <si>
    <t>Saviour</t>
  </si>
  <si>
    <t>Rajeev dixit</t>
  </si>
  <si>
    <t>World Statesmen</t>
  </si>
  <si>
    <t>http://t.co/YV9xrjZmkE site updates and related world news. Visit today and find out what's happening in your world!</t>
  </si>
  <si>
    <t>@mariuskarma</t>
  </si>
  <si>
    <t>Duisburg, Deutschland</t>
  </si>
  <si>
    <t>Technology improve the world! Use efficiently #Cloud #MachineLearning #BigData #AI #Analytics #Business Intelligence #Raspberry_PI #Python #Ether</t>
  </si>
  <si>
    <t>DL</t>
  </si>
  <si>
    <t>Japan: PM Abe to Challenge Pacifist Constitution After Election Victory https://t.co/Rc0rmvx8zb via @democracynow</t>
  </si>
  <si>
    <t>ARIZONA, USA</t>
  </si>
  <si>
    <t>in mourning for victims of gun violence,mother earth,civil rights,retirement, #uniteblue</t>
  </si>
  <si>
    <t>achaccoさんは乳製品王国なう</t>
  </si>
  <si>
    <t>アオテアロア♪（新西兰）</t>
  </si>
  <si>
    <t>ベトナムは心の故郷。元、老人ホームの介護士。植物ヲタ。園芸はもちろん、アニメ、漫画、映画、芸術、バイク、手芸、自然科学、料理など幅広く色々好き。クックパッド見てね↓ #肉球新党 犬猫どっちも派。 #脱原発 #NoNukes #反戦 #NoWar フォローorリフォローご自由に。</t>
  </si>
  <si>
    <t>Japan's Shinzo Abe Conjures Stunning Election Victory in a Boost for Donald Trump https://t.co/lxm14qvHq7 #news</t>
  </si>
  <si>
    <t>♊️</t>
  </si>
  <si>
    <t xml:space="preserve">somewhere lost in a forest </t>
  </si>
  <si>
    <t>low eyes &amp; good vibes / environmentalism / #SaveThePlanet / future Oceanographer &amp; shark conservationist / let's go somewhere</t>
  </si>
  <si>
    <t>Redking</t>
  </si>
  <si>
    <t>RT @CatTheUndying: Shinzo Abe &lt;3 https://t.co/WmM2zsk7t3</t>
  </si>
  <si>
    <t>I am just a British guy from England, who have a thing about politics and Alternate History.</t>
  </si>
  <si>
    <t>Fortune</t>
  </si>
  <si>
    <t>The election win of Japanese Prime Minister Shinzo Abe Puts the Nikkei on track for a record rise https://t.co/8UgYSCXxJk</t>
  </si>
  <si>
    <t>FORTUNE's official Twitter feed. Here's what we're hearing, seeing, reading and writing. Visit us at http://t.co/EZnUYxNm</t>
  </si>
  <si>
    <t>Japan's Shinzo Abe Conjures Stunning Election Victory in a Boost for Donald Trump https://t.co/RCbEgdW8zN</t>
  </si>
  <si>
    <t>The election win of Japanese Prime Minister Shinzo Abe Puts the Nikkei on track for a record rise https://t.co/16vUDdd8nP — Fortune (Fort…</t>
  </si>
  <si>
    <t>RT @FortuneMagazine: The election win of Japanese Prime Minister Shinzo Abe Puts the Nikkei on track for a record rise https://t.co/8UgYSCX…</t>
  </si>
  <si>
    <t>Jakarta, Indonesia</t>
  </si>
  <si>
    <t>Fresh News, technology, All News since Jan23rd 2012.</t>
  </si>
  <si>
    <t>NAVY CAPITAL</t>
  </si>
  <si>
    <t>#NavyCapital : The election win of Japanese Prime Minister Shinzo Abe Puts the Nikkei on track for a record rise https://t.co/DNyJhJC09Y</t>
  </si>
  <si>
    <t>Official handle of Navy Capital. we expertise in investment banking, Investment Management, Research &amp; Advisory, Wealth Management with Roboust Risk Management</t>
  </si>
  <si>
    <t>Pulse Ghana</t>
  </si>
  <si>
    <t>In Japan: Typhoon leaves two dead after lashing on election day https://t.co/UANRyIEV4s https://t.co/fc6MgqO0HX</t>
  </si>
  <si>
    <t>East Legon, Accra, Ghana.</t>
  </si>
  <si>
    <t>https://t.co/4Hr2YueSD3 is Ghana's new media publisher. 24/7 live news &amp; videos in Politics, Business, Entertainment, Sports, Lifestyle, Celebrities &amp; more!</t>
  </si>
  <si>
    <t>Mena-Lee Ciara, VA</t>
  </si>
  <si>
    <t>RT FortuneMagazine "The election win of Japanese Prime Minister Shinzo Abe Puts the Nikkei on track for a record r… https://t.co/byVex7mZTy"</t>
  </si>
  <si>
    <t>We strive to provide the administrative services that occupy precious time, the time that can be used to focus on business development and success.</t>
  </si>
  <si>
    <t>Vivek Mittal</t>
  </si>
  <si>
    <t>#Maruti gave an opportunity of 100 rupee (open to high) trade after japan election results...</t>
  </si>
  <si>
    <t>views are personal</t>
  </si>
  <si>
    <t>PoliticsoftheWorld</t>
  </si>
  <si>
    <t>What does Shinzo Abe's election win mean for Japan? - https://t.co/1x6HNIl087</t>
  </si>
  <si>
    <t>A site with links,posts,comments,etc,for people interested in what's happening in the world and what we can change about it.</t>
  </si>
  <si>
    <t>BornBlazed</t>
  </si>
  <si>
    <t>Love to Grow hidden in the TreeTops. Solar,Cannabis,Blockchain Activist. #followback Accepting BTC Donations VIA QR Code Below.</t>
  </si>
  <si>
    <t>#Japan’s 2017 Snap Election: The More That Changes.… | Ellis S. Krauss #JapanElection https://t.co/GYodDruxW7</t>
  </si>
  <si>
    <t>Shallvi Raj</t>
  </si>
  <si>
    <t>China Policy Inst</t>
  </si>
  <si>
    <t>RT @Nottingham_IAPS: #Japan’s 2017 Snap Election: The More That Changes.… | Ellis S. Krauss #JapanElection https://t.co/GYodDruxW7</t>
  </si>
  <si>
    <t>The China Policy Institute (CPI) is a research institute at the @UniofNottingham || @ChinaSoccerObs || CPI: Analysis || CPI Director @jonlsullivan.</t>
  </si>
  <si>
    <t>pankaj kochar</t>
  </si>
  <si>
    <t xml:space="preserve">नई दिल्ली, भारत। </t>
  </si>
  <si>
    <t>Ex-Secretary DUSU; RT's Nt Endorsements.</t>
  </si>
  <si>
    <t>Progressive Citizen</t>
  </si>
  <si>
    <t>Kejri Mukt Delhi</t>
  </si>
  <si>
    <t>#IndiaFirst, Multi polar world, Progress &amp; Development is the key, #Modinomics, #Yoga4Life, Blessed 2 be Followed by @KpMaurya1 Ji, #Follow4FollowBack?</t>
  </si>
  <si>
    <t>RT @dannyrrussel: I discuss Japanese election results w/@business. Voters sought safe haven in uncertain geopolitical, economic times https…</t>
  </si>
  <si>
    <t>Rohan Kukreja</t>
  </si>
  <si>
    <t>Apparel Manufacturing &amp; Exports, NYU Graduate, New Delhi</t>
  </si>
  <si>
    <t>@Elaudier</t>
  </si>
  <si>
    <t>Venezia-Beijing-Sydney</t>
  </si>
  <si>
    <t>Sinologist. Senior Chinese Analyst @NATOFoundation #NATO &amp; 北京, 中华人民共和国 https://t.co/L2vrC69Z2X Editor in Chief at Segmento Magazine Australia for Europe &amp; China.</t>
  </si>
  <si>
    <t>栗田和典</t>
  </si>
  <si>
    <t>埼玉 羽生市</t>
  </si>
  <si>
    <t>日本蹴球Jリーグ浦和レッドダイヤモンズ応援。中学高校時卓球部所属。崇教真光、感謝ス直心の下座。特撮アニメ視聴。保守、古事記、神道。求職中。二歳下十歳下の妹二人保育士。彼女欲しい。https://t.co/0r0FGSZwHn 妖怪ウォッチぷにぷにfb5l79on パワサカ542-619-6</t>
  </si>
  <si>
    <t>Ms Odelle Ballard</t>
  </si>
  <si>
    <t>#NoForeignnoproblem #UnapologeticallyAfrican</t>
  </si>
  <si>
    <t>れべっ茶 🍵 ベッキー</t>
  </si>
  <si>
    <t>イーストロンドン</t>
  </si>
  <si>
    <t>イギリス人・23歳・ロンドン郊外出身・ケンブリッジ大学卒・平成30年京大院入学・アホ・勉強好き・茶好き・関西弁・語学・旅行・食い道楽・日韓仏土中学習中</t>
  </si>
  <si>
    <t>EnglistA</t>
  </si>
  <si>
    <t>North Korea Fears Japan 'Invasion' as Abe's Victory Paves the Way for Changes to Pacifist Con...… https://t.co/hyF9w6FGeY</t>
  </si>
  <si>
    <t>東京都 渋谷区</t>
  </si>
  <si>
    <t>英語が話せるとちょっとハッピー。 EnglistA（イングリスタ）は、あなたの英語力アップを手助けする情報メディアです。 オンライン英会話・海外留学・海外旅行・海外で働く・海外で暮らす・英語勉強法</t>
  </si>
  <si>
    <t>OKロシア, ОК РОССИЯ</t>
  </si>
  <si>
    <t>As a result LDP (JP.自民党) gained big victory in Japan's general election. It’s time to talk about a peace treaty bet… https://t.co/Mu908gUmwF</t>
  </si>
  <si>
    <t>日本横浜,Йокогама Японии, Yokohama</t>
  </si>
  <si>
    <t>I am Japanese. I will introduce Japan to you. Я японец. Я познакомлю вас с Японией. Приезжайте в Японию! Мой сайт для заказа. 我日本人。我介绍给您日本。请过来到日本。日本情報発信中。</t>
  </si>
  <si>
    <t>Av Aleksandr</t>
  </si>
  <si>
    <t>Japan election: Abe’s landslide is a victory for militant nationalism in the Trump era - Africa, Asia and Australia https://t.co/MWQ7S0wBzk</t>
  </si>
  <si>
    <t>Jerusalem</t>
  </si>
  <si>
    <t>Archpriest at the Rum Orthodox Patriarchate of -Jerusalem in charge of Israeli society כהן-דת בפטריארכיה יוונית אורתודוכסית שבירושלים - קהילות בחברה ישראלית</t>
  </si>
  <si>
    <t>NavyCane</t>
  </si>
  <si>
    <t>Maryland</t>
  </si>
  <si>
    <t>Officer in the U.S. Navy and lifelong Miami Hurricane fan!</t>
  </si>
  <si>
    <t>Stephanie Johnston</t>
  </si>
  <si>
    <t>After winning yesterday's snap parliamentary elections, Japan PM Abe says he won't delay the tax hike unless a big… https://t.co/KV1ZuGcHzd</t>
  </si>
  <si>
    <t>Taxlandia</t>
  </si>
  <si>
    <t>Canadian, ex-fashion editor, Tax Analysts international reporter. Also tweets about animals. Say hi at stephanie.johnston@taxanalysts.org. RTs not endorsements</t>
  </si>
  <si>
    <t>rohit tripathi</t>
  </si>
  <si>
    <t>Uttar pradesh</t>
  </si>
  <si>
    <t>#swayamsevak....# the entrepreneur... Karykarta . Bhartiya janta party (BJP)</t>
  </si>
  <si>
    <t>ऋत्विक सिन्हा</t>
  </si>
  <si>
    <t>Ailean Beaton</t>
  </si>
  <si>
    <t>Columbia, MO</t>
  </si>
  <si>
    <t>Reporter @KBIA | Assistant producer @globaljourn. Edinburgh/Isle of Skye/Missouri. Previous- https://t.co/C1b9it57Y7</t>
  </si>
  <si>
    <t>Mallory Tompsett</t>
  </si>
  <si>
    <t>San Antonio, TX</t>
  </si>
  <si>
    <t>From the Starbucks Capitol of the World to the Home of the Alamo, here's hoping for a great future!</t>
  </si>
  <si>
    <t>Andreas Billock</t>
  </si>
  <si>
    <t>Åmål, Sweden</t>
  </si>
  <si>
    <t>Tax lawyer, sports, interested in politics, finance, international relations and history. Svensk politik.</t>
  </si>
  <si>
    <t>Angry Daenjangnyuh</t>
  </si>
  <si>
    <t>秋元豚箱推しヽ(*´∀｀)ノアイドル好きすぎるヽ(*´∀｀)ノ아이돌 된장녀 考えない事は死ぬのと同じだ！(●´・ω・)(●´_ _)ﾍﾟｺ</t>
  </si>
  <si>
    <t>Courtney Manning</t>
  </si>
  <si>
    <t>@Mizzou Convergence Journalism '18. Assistant Producer at @GlobalJourn. Former intern at @IndexCensorship and @WMA. I'd rather be in the mountains 🏔🌲</t>
  </si>
  <si>
    <t>Concerned Indian</t>
  </si>
  <si>
    <t>Daily Global Record</t>
  </si>
  <si>
    <t>A girl casts her father's ballot for the Japanese national election at a ... on https://t.co/4bNqS6Ooof #WorldNews… https://t.co/5Bxk6rEzvx</t>
  </si>
  <si>
    <t>The Daily Global Record</t>
  </si>
  <si>
    <t>Breaking news and features from the DGR. 🌐</t>
  </si>
  <si>
    <t>VanessaGertrude</t>
  </si>
  <si>
    <t>seattle, WA</t>
  </si>
  <si>
    <t>she is a tangled mess and in the middle</t>
  </si>
  <si>
    <t>Ami</t>
  </si>
  <si>
    <t>Yair Wolff</t>
  </si>
  <si>
    <t>PK Ramakrishnan</t>
  </si>
  <si>
    <t>Global Pharma / Medical Device Strategic and Operational Marketing Leader</t>
  </si>
  <si>
    <t>Monsieur GANDHI</t>
  </si>
  <si>
    <t>A Lazy Pseudo Agronomy Engineer now | Fully Faltu | Now in Pardesh for extra gyaan | But coming back soon | Crazy Brainsick | Extreme Vella | Desi Indian |</t>
  </si>
  <si>
    <t>Will Japan’s Abe change constitution after re-election? https://t.co/uF4awguiQJ https://t.co/wLz2FDKuiv</t>
  </si>
  <si>
    <t>Prahaar</t>
  </si>
  <si>
    <t>Loves India in all its manifestations.</t>
  </si>
  <si>
    <t>Rob Kovacev</t>
  </si>
  <si>
    <t>RT @SoongJohnston: After winning yesterday's snap parliamentary elections, Japan PM Abe says he won't delay the tax hike unless a big shock…</t>
  </si>
  <si>
    <t>Tax Partner at Steptoe &amp; Johnson LLP. Ex-DOJ Senior Litigation Counsel. Tax controversy/litigation &amp; innovation tax incentives. #tax #robottax Views are my own.</t>
  </si>
  <si>
    <t>God's Nephew</t>
  </si>
  <si>
    <t>Mayagüez, Puerto Rico</t>
  </si>
  <si>
    <t>Peñolano | Boricua de Pura Sepa | Proud #802 #SangreVerde | Entre cervezas y cigarrillos también se aprende | I allways want coffee | Recicle, Reuse, Reduce</t>
  </si>
  <si>
    <t>Остап Богданович</t>
  </si>
  <si>
    <t>Ajith kumar p</t>
  </si>
  <si>
    <t>Sharjah, United Arab Emirates</t>
  </si>
  <si>
    <t>Puck</t>
  </si>
  <si>
    <t>Midsummer</t>
  </si>
  <si>
    <t>Shrewd and knavish sprite and merry wanderer of the night. Bringing fun and wisdom from Midsummer Night to illuminate the confounded world of politics</t>
  </si>
  <si>
    <t>Rod Paez Davison</t>
  </si>
  <si>
    <t>Ecuador | New York | London</t>
  </si>
  <si>
    <t>Sustainable Development . Resilience Environmental solutions . Clean Energy Investment Adviser . UN-REDD</t>
  </si>
  <si>
    <t>PRACHEE ADHIKARI</t>
  </si>
  <si>
    <t>HYDERABAD,SOUTH INDIA</t>
  </si>
  <si>
    <t>Social activist.actress. Supporter ABVP...BJP......HINDU COMMUNITY.national brand ambassador Hindu Mahasabha,Hindu Sansad and EKAL Vidhyalay Samiti Uttrakhand</t>
  </si>
  <si>
    <t>Ryan C.</t>
  </si>
  <si>
    <t>Minneapolis, Minnesota</t>
  </si>
  <si>
    <t>Movie and comic critic for @dailygrindhouse, @sequart, @graphicpolicy, https://t.co/cktKCuES0X , https://t.co/VSllzUSoIn</t>
  </si>
  <si>
    <t>JT</t>
  </si>
  <si>
    <t>Biswajit Padhy</t>
  </si>
  <si>
    <t>AIDAN WALSH</t>
  </si>
  <si>
    <t>Typhoon bears down on Japan, will hinder voting in election：The Asahi Shimbun https://t.co/a1Yexamrkz</t>
  </si>
  <si>
    <t>Southampton,UK/Montreal,Quebec</t>
  </si>
  <si>
    <t>😎🙏Respect is everything 🙏😎</t>
  </si>
  <si>
    <t>Aditya Magotra</t>
  </si>
  <si>
    <t>Jammu And Kashmir, India</t>
  </si>
  <si>
    <t>When u really want something, the universe always conspires in ur favor. Software Developer, Cricket, Football, @ManUtd and @EASPORTSFIFA.</t>
  </si>
  <si>
    <t>2b 🦁</t>
  </si>
  <si>
    <t>Japan Election Vindicates Shinzo Abe as His Party Wins Big https://t.co/InghhajqdY</t>
  </si>
  <si>
    <t>Américas</t>
  </si>
  <si>
    <t>Tena stelin 🌍 ; willingness of heart &amp; potent dedication, fulfills the demand of this 'iration'. #CHANNEL4RADIO #LEVELUP #STAYWOKE #savedsinner #yorkist #getfit</t>
  </si>
  <si>
    <t>푸른곰</t>
  </si>
  <si>
    <t>ICYMI: Election Risk Pays Off for Shinzo Abe of Japan as His Party Appears to Win Big – The New York Times https://t.co/xOjRFB04q3</t>
  </si>
  <si>
    <t>South Korea</t>
  </si>
  <si>
    <t>IT블로거. 맥, 윈도우, iOS, 안드로이드 사용중. MCP. 고양이와 커피, 하겐다즈 좋아하는 잡식성 오타쿠. 국제 뉴스나 IT 소식/트렌드, 애니, 서브컬처, 일상 위주 트윗. 모든 팔로우/RT/링크/좋아요가 찬동/추천의 의미는 아니며 멘션등에 전부는 대답 못드림을 양해 바랍니다.</t>
  </si>
  <si>
    <t>Townhall Review</t>
  </si>
  <si>
    <t>Japanese PM Shinzo #Abe’s big win in Sunday’s election bolsters his push to revise the #pacifist constitution.… https://t.co/XVMuU7hZNc</t>
  </si>
  <si>
    <t>CoSchedule</t>
  </si>
  <si>
    <t>Townhall Review brings together political commentary and analysis from leading conservative talk-radio hosts you can trust.</t>
  </si>
  <si>
    <t>#I_StandByMyCountry</t>
  </si>
  <si>
    <t>CIVIL ENGINEER &amp; PGDIJ (BVB, MUMBAI). RTs and Favorites not necessarily endorsement(s).</t>
  </si>
  <si>
    <t>gopalkpuri</t>
  </si>
  <si>
    <t>After election win, Abe prioritizes North Korea, aging Japan https://t.co/l7aXRaNtoL via @TOIWorld</t>
  </si>
  <si>
    <t>Japan’s Election Warning to #China https://t.co/buGEIjaQGg https://t.co/wtoj6QmNbC</t>
  </si>
  <si>
    <t>Antonio Gutierrez</t>
  </si>
  <si>
    <t>Bond Report: Short-end Treasury yields lower as investors weigh Spanish tensions, Japan election. Trading in... https://t.co/bejrVoIawe</t>
  </si>
  <si>
    <t>BNTouch</t>
  </si>
  <si>
    <t>James Wanchik</t>
  </si>
  <si>
    <t>Robert Battey</t>
  </si>
  <si>
    <t>Teacher, School administrator, Colleague. #lifelonglearningisfun</t>
  </si>
  <si>
    <t>Rubicon Report</t>
  </si>
  <si>
    <t>No discussion tying Abe's victory with economic plan or monetary easing in Japan. It's not what the election was about. Understand it right.</t>
  </si>
  <si>
    <t>Mr Slot</t>
  </si>
  <si>
    <t>Abe Election Win May Improve Odds of Casinos for Japan: https://t.co/qCju8QenAp Japanese Prime Minister Shinzo A… https://t.co/xt5ZeGdYf8</t>
  </si>
  <si>
    <t>Gambling and gaming news, views, tips and tricks. Please, always gamble responsibly. Never gamble anything you can't afford to lose.</t>
  </si>
  <si>
    <t>Japan's Shinzo Abe Conjures Stunning Election Victory in a Boost for Donald Trump https://t.co/YbxKeLjF1m #information</t>
  </si>
  <si>
    <t>Shawn Holmgren</t>
  </si>
  <si>
    <t>Japan's ruling camp wins two-thirds majority in lower house election amid opposition splitting-up https://t.co/liIV0U8fcd</t>
  </si>
  <si>
    <t>ऋषि Gupta 🇮🇳</t>
  </si>
  <si>
    <t>on fb @MyHeartBeats09 like👇</t>
  </si>
  <si>
    <t>भारतीय । मेरे tweets पढ़के अगर आपको हँसी आये तो दोस्तो से शेयर करो।👍 अगर गुस्सा आये तो दुश्मनो से😉 ताकि जैसे आपका समय और डाटा बर्बाद हुआ वैसे उनका भी हो!😝😁</t>
  </si>
  <si>
    <t>Sachin Bhangale</t>
  </si>
  <si>
    <t>Jägarchefen</t>
  </si>
  <si>
    <t>Nowhere to hide' - North Korean missiles spur anxiety in Japan fishing town | Reuters | https://t.co/zdtHwKIg7A</t>
  </si>
  <si>
    <t>Politiskt obunden med fokus på händelseutvecklingar i vårt närområde som kan påverka Sverige.</t>
  </si>
  <si>
    <t>Arielle</t>
  </si>
  <si>
    <t>@YourPalZ I was in Japan during the election and I could not ESCAPE IT I THOUGHT</t>
  </si>
  <si>
    <t>Aspiration: potato</t>
  </si>
  <si>
    <t>Indian are powerful and firm. We'll be prosperous and continue hard work. We'll crush all evils and represent whole world🇮🇳</t>
  </si>
  <si>
    <t>Indian Advocate</t>
  </si>
  <si>
    <t>Japan's leader just won a resounding election victory, but he's still unpopular https://t.co/oMuJkL8Sfh</t>
  </si>
  <si>
    <t>くれあーる 🎗</t>
  </si>
  <si>
    <t>今年は、平成29年🇯🇵皇紀2677年、西暦2017年です。 I ❤️JAPAN。皇居と神社と麻生太郎と安倍晋三と具沢山味噌汁が好き。中川昭一は永遠。神道。デフレ脱却のために大胆な金融緩和大切。市場原理主義者を除く自民党を支持。小池百合子 ？🤦‍♀️支持してません🙅 東京出身</t>
  </si>
  <si>
    <t>vijay singh</t>
  </si>
  <si>
    <t>Risesmans</t>
  </si>
  <si>
    <t>Dhiraj Singh</t>
  </si>
  <si>
    <t>किसी दुसरे के जीवन के साथ पूर्ण रूप से जीने से बेहतर है की हम अपने स्वयं के भाग्य के अनुसार अपूर्ण जियें।</t>
  </si>
  <si>
    <t>Swarnima Singh</t>
  </si>
  <si>
    <t>Law student 👨‍🎓 from #Jaunpur #lucknow_university</t>
  </si>
  <si>
    <t>Devnarayan</t>
  </si>
  <si>
    <t>Larensh Kumar</t>
  </si>
  <si>
    <t>Piyu warse</t>
  </si>
  <si>
    <t>SriRam Krishna</t>
  </si>
  <si>
    <t>Sanatan Dharma follower | Pure Vegetarian | Database by profession | Modi Ji follower |Tweets /replies personal | Interest explore world | Mountains especially</t>
  </si>
  <si>
    <t>Hari Awasthi</t>
  </si>
  <si>
    <t>रोये बगैर तो प्याज भी नहीं कटती जनाब, ये तो जिन्दगी है, कैसे कट जाए।।</t>
  </si>
  <si>
    <t>Vikrant</t>
  </si>
  <si>
    <t>#jamia_millia_islamia_alumni</t>
  </si>
  <si>
    <t>abhinandan</t>
  </si>
  <si>
    <t>Happy soul,a devotee of HH Sri Sri Ravi shankar</t>
  </si>
  <si>
    <t>Ankit</t>
  </si>
  <si>
    <t>#News junkie #lawyer #HighCourt #Lucknow</t>
  </si>
  <si>
    <t>Ameer Khan</t>
  </si>
  <si>
    <t>Alicia Martin</t>
  </si>
  <si>
    <t>Sales &amp; Marketing Manager| Past: GMIC | HQ RS | Views are My Own | RTs aren't Endorsement | Father | Translator | COMM Guru</t>
  </si>
  <si>
    <t>Nasir</t>
  </si>
  <si>
    <t>Prasanjit</t>
  </si>
  <si>
    <t>I do a thing called what I want✌</t>
  </si>
  <si>
    <t>Naveen</t>
  </si>
  <si>
    <t>A Simple Common Man.....</t>
  </si>
  <si>
    <t>sunil singh</t>
  </si>
  <si>
    <t>Jaunpur, India</t>
  </si>
  <si>
    <t>Every person is special in this universe. Lord Krishna is with me...and i love all beautiful</t>
  </si>
  <si>
    <t>अर्पिता चतुर्वेदी</t>
  </si>
  <si>
    <t>Amethi, India</t>
  </si>
  <si>
    <t>Social Worker owner as Self Business.</t>
  </si>
  <si>
    <t>विवेकानंद तिवारी</t>
  </si>
  <si>
    <t>eccentric! foodie! politics, mountains, movies, chai and dosa! adventure freak! traveller! love waterfalls, jungles, wildlife,</t>
  </si>
  <si>
    <t>Kritika</t>
  </si>
  <si>
    <t>#Lawyer, #alumini_Seth_MRJaipuria, #alumina_University_of_Lucknow, #High_court, #Lucknow</t>
  </si>
  <si>
    <t>Prabhakar Bhat</t>
  </si>
  <si>
    <t>Neelang Dave</t>
  </si>
  <si>
    <t>AppsMaker•📜Astrologer•✍️Poet•बाल स्वयंसेवक Self Certified Strategist,Conspiracy Theorist</t>
  </si>
  <si>
    <t>India 🇮🇳 #traveler #foodie मेरा भारत महान देशभक्त हूँ देशभक्ति सर्वोपरि!!</t>
  </si>
  <si>
    <t>China urges Japan’s peaceful development after Abe’s election win https://t.co/gz54YF8xC1 #breakingnews</t>
  </si>
  <si>
    <t>Hammond faces budget 'Ambush', Javid says 'borrow to build' &amp; Abe wins Japan election Watch our Headlines Roundup:… https://t.co/EEVeYeFAzT</t>
  </si>
  <si>
    <t>Ps Ggopalakrishnan</t>
  </si>
  <si>
    <t>💕Modified Aparnitam</t>
  </si>
  <si>
    <t>https://www.facebook.com/aparn</t>
  </si>
  <si>
    <t>RTs r not endorsements. Followed by @piyushgoyaloffc. Proud Hindu. NaMo Bhakt Foul lang blocked, Congies/Commies/AAPtards stay away. No DM pl. tweets in ♥</t>
  </si>
  <si>
    <t>PineBridge</t>
  </si>
  <si>
    <t>An electoral landslide empowers Japan's Shinzo Abe and his economic policies. https://t.co/UnHc1xo8bf #japan #shinzoabe</t>
  </si>
  <si>
    <t>PineBridge Investments is a global asset manager with US$85.5 billion in assets under management as of 30 June 2017</t>
  </si>
  <si>
    <t>Andrea Aquaro</t>
  </si>
  <si>
    <t>Money Manager At https://t.co/wELIZHIUCa | Financial Chart Analyst | Urban Adventurer | Traveler And Photographer | I Love My Dog Pepper | rainmarket@yahoo.it</t>
  </si>
  <si>
    <t>Gregory McCray</t>
  </si>
  <si>
    <t>After election win, Abe prioritizes North Korea, aging Japan (from @AP) https://t.co/oAgdh5XiBi</t>
  </si>
  <si>
    <t>We are all connected! We must stand together! Wake UpAmerica, time is precious and short! #UniteBlue #NeverMyPresident #iDontDoBigots</t>
  </si>
  <si>
    <t>Mgenge</t>
  </si>
  <si>
    <t xml:space="preserve">Free State </t>
  </si>
  <si>
    <t>dreams of better days</t>
  </si>
  <si>
    <t>Ajay</t>
  </si>
  <si>
    <t>I was a born Liberal, hypocrisy of pseudo seculars has made me a communal Hindu!</t>
  </si>
  <si>
    <t>Shinzo Abe, Japan's prime minister, will probably remain four more years at the country’s helm https://t.co/zom9nIsuI3</t>
  </si>
  <si>
    <t>RT @TheEconomist: Shinzo Abe, Japan's prime minister, will probably remain four more years at the country’s helm https://t.co/zom9nIsuI3</t>
  </si>
  <si>
    <t>RT TheEconomist "Shinzo Abe, Japan's prime minister, will probably remain four more years at the country’s helm https://t.co/dU1Rx7m1KT"</t>
  </si>
  <si>
    <t>Larry Legend</t>
  </si>
  <si>
    <t>Strongly Pro-Israel # Resist #JWOKE</t>
  </si>
  <si>
    <t>Deanna</t>
  </si>
  <si>
    <t>Southern California</t>
  </si>
  <si>
    <t>US Marine (Once a Marine, always a Marine), licensed realtor, Interested in social issues, women's rights, environment, investing and classical and rock music.</t>
  </si>
  <si>
    <t>Nyovest_</t>
  </si>
  <si>
    <t>South Africa</t>
  </si>
  <si>
    <t>🔶 LIFE BEFORE SOCIAL MEDIA WAS.. https://t.co/fpcKiwp4Y8</t>
  </si>
  <si>
    <t>MuliMench</t>
  </si>
  <si>
    <t>Your future doctor; Child of God ; First things fast; Manchester United #GGMU; Carper of the diem!</t>
  </si>
  <si>
    <t>Grzegorz Jakubowski</t>
  </si>
  <si>
    <t>Warszawa</t>
  </si>
  <si>
    <t>Redaktor naczelny @InterpressPAI | Szef działu śledczego @GazetaFinansowa | g.jakubowski@interpresspai.pl | g.jakubowski@gazetafinansowa.pl</t>
  </si>
  <si>
    <t>TheEconomist: Shinzo Abe, Japan's prime minister, will probably remain four more years at the country’s helm https://t.co/tSCxChCYkn</t>
  </si>
  <si>
    <t>TheEconomist: Shinzo Abe, Japan's prime minister, will probably remain four more years at the country’s helm https://t.co/fUi6YKMR8y</t>
  </si>
  <si>
    <t>NBR</t>
  </si>
  <si>
    <t>Abe lays out priorities, incl NKorea, aging population, tax hike &amp; Abenomics, following election win, @STcom reports https://t.co/dl6k0wQr0D</t>
  </si>
  <si>
    <t>Seattle &amp; Washington, DC</t>
  </si>
  <si>
    <t>The National Bureau of Asian Research (NBR) is a nonpartisan think tank committed to informing US-Asia policy.</t>
  </si>
  <si>
    <t>Witcher</t>
  </si>
  <si>
    <t>People should always pray and not give up!!!!! #Motivation</t>
  </si>
  <si>
    <t>Go to our website for full view: Shinzo Abe, Japan's prime minister, will probably remain four more years at the c… https://t.co/sMZfQqXugS</t>
  </si>
  <si>
    <t>AndersonMdwayi</t>
  </si>
  <si>
    <t>Mthatha, South Africa</t>
  </si>
  <si>
    <t>Together moving South Africa forward through Radical Economic Transformation..Amaaaaaaaaandla! ngawoMzantsi Africa</t>
  </si>
  <si>
    <t>CEADEchile</t>
  </si>
  <si>
    <t>Japanese stocks rise as dollar climbs against the yen after Abe election win https://t.co/RhUwvsGUvf</t>
  </si>
  <si>
    <t>Chile</t>
  </si>
  <si>
    <t>Empresas CEADE Consultores y CEADE Capacitación que presta servicios de consultorías en gestión de empresas y en capacitación a la gran minería</t>
  </si>
  <si>
    <t>exhiliaration</t>
  </si>
  <si>
    <t>Luca Pintavalle</t>
  </si>
  <si>
    <t>Como, Sutera (CL) - Italy</t>
  </si>
  <si>
    <t>Sound &amp; Computer Engineer addicted to Classical Music, Photographer, ImageProcessing, Videomaker, Rally, MotoGP, F1, Travel IG: @LucaPintavalle</t>
  </si>
  <si>
    <t>Janusz Piechociński</t>
  </si>
  <si>
    <t>janusz@piechocinski.pl, https://t.co/E64acCVJ3j</t>
  </si>
  <si>
    <t>野戦情報隊</t>
  </si>
  <si>
    <t>Shinzo Abe, Japan's prime minister, will probably remain four more years at the country’s helm https://t.co/jtLHwih7Rh</t>
  </si>
  <si>
    <t>Japan&amp;apos;s Shinzo Abe Conjures Stunning Election Victory in a Boost for Donald Trump https://t.co/VDHvQmp55q</t>
  </si>
  <si>
    <t>Ndayambaje Diane</t>
  </si>
  <si>
    <t>Aitor Liébana</t>
  </si>
  <si>
    <t>Barcelona, España</t>
  </si>
  <si>
    <t>FX Specialist @Kantox. BBA graduate at UPF. Curious about many topics. Views expressed here are my own.</t>
  </si>
  <si>
    <t>Natalie Mauchline</t>
  </si>
  <si>
    <t>Arkansas, USA</t>
  </si>
  <si>
    <t>Graduate student studying Politics and International Relations at @UArkansas. Originally from Edinburgh, Scotland.</t>
  </si>
  <si>
    <t>Mezome</t>
  </si>
  <si>
    <t>Snap election could pay off for Japan's Abe #election #could #japan https://t.co/3U67btA3WQ https://t.co/qUL6XhAdG4</t>
  </si>
  <si>
    <t>Capturing the power of social media for the benefit of our clients</t>
  </si>
  <si>
    <t>TheEconomist: Shinzo Abe, Japan's prime minister, will probably remain four more years at the country’s helm https://t.co/IT1JOfaOaH</t>
  </si>
  <si>
    <t>Riju S</t>
  </si>
  <si>
    <t>https://t.co/32xffxNbnV</t>
  </si>
  <si>
    <t>Dr. Amit Desai</t>
  </si>
  <si>
    <t>Buena Park, California, USA</t>
  </si>
  <si>
    <t>Fiscally conservative, socially moderate. Nationalism is secularism. Service to humanity is service to God.</t>
  </si>
  <si>
    <t>Shinzo Abe, Japan's prime minister, will probably remain four more years at the country’s helm https://t.co/aIpbUiGB7B</t>
  </si>
  <si>
    <t>Trends Zone</t>
  </si>
  <si>
    <t>Snap election could pay off for Japan's Abe #election #could #japan https://t.co/GsGI91cPDr https://t.co/hjz9n9L0b4</t>
  </si>
  <si>
    <t>Find out what stories are trending near you right now https://t.co/0Sm491y954</t>
  </si>
  <si>
    <t>Shinzo Abe, Japan's prime minister, will probably remain four more years at the country’s helm https://t.co/AIWqgcB1hm</t>
  </si>
  <si>
    <t>T~Maney</t>
  </si>
  <si>
    <t>nairobi kenya</t>
  </si>
  <si>
    <t>Optimist||MUFC today &amp; Forever</t>
  </si>
  <si>
    <t>TheEconomist: Shinzo Abe, Japan's prime minister, will probably remain four more years at the country’s helm https://t.co/bZyrXvW3lT Shin…</t>
  </si>
  <si>
    <t>Otto Mansilla</t>
  </si>
  <si>
    <t>México</t>
  </si>
  <si>
    <t>Mexicano | 24 | Entrepreneur | Grupo GAOM | Librepensador.</t>
  </si>
  <si>
    <t>Ajay Gupta</t>
  </si>
  <si>
    <t>कानपुर, भारत</t>
  </si>
  <si>
    <t>When my brother whith me</t>
  </si>
  <si>
    <t>Trump Congratulates Japan’s Prime Minister, Shinzo Abe On Election Victory https://t.co/As7SLwf3IL</t>
  </si>
  <si>
    <t>Trump Congratulates Japan’s Prime Minister, Shinzo Abe On Election Victory https://t.co/fNPNuIAog7</t>
  </si>
  <si>
    <t>The Real Truth</t>
  </si>
  <si>
    <t>World News Desk: "After Election Win, Shinzo Abe Prioritizes North Korea and Aging Japan" https://t.co/9zvG1yLtJe https://t.co/kQKqWJYUAz</t>
  </si>
  <si>
    <t>WisdomTree Canada</t>
  </si>
  <si>
    <t>Our Head of Japan, Jesper Koll, discusses Abe’s election win via @Reuters https://t.co/QcJUoqcgoo</t>
  </si>
  <si>
    <t>At WisdomTree we do things differently. Follow us for innovative insights, ETF education and more. Important disclosure: https://t.co/PlbPSHmWFw</t>
  </si>
  <si>
    <t>Lava</t>
  </si>
  <si>
    <t>Joe Green</t>
  </si>
  <si>
    <t>Writer for Tech Wire Asia. Runner, cyclist, Corbynista, olympic-standard fruit eater.</t>
  </si>
  <si>
    <t>Michael Zaladonis</t>
  </si>
  <si>
    <t>Running With Devil</t>
  </si>
  <si>
    <t>Lehigh Valley, NJ/PA</t>
  </si>
  <si>
    <t>Founder of @imagoApps and Vascular Technologist - obsessions: medicine | app development | singularity | cycling | adventure | travel | fitness | hiking | AI</t>
  </si>
  <si>
    <t>Japan's Shinzo Abe Conjures Stunning Election Victory in a Boost for Donald Trump https://t.co/FWiqo9sdxo via Yahoo!</t>
  </si>
  <si>
    <t>Monika Hoff</t>
  </si>
  <si>
    <t>Köln, Deutschland</t>
  </si>
  <si>
    <t>Journalistin for ever</t>
  </si>
  <si>
    <t>Jason Kemp</t>
  </si>
  <si>
    <t>What now for Japan after Abe's landslide election victory? https://t.co/TyfTn8yxbY</t>
  </si>
  <si>
    <t>Auckland.</t>
  </si>
  <si>
    <t>Online marketing + WordPress. Blogger. One daughter TEDx helper &amp; new media new ventures idealist. WordCamp NZ helper. Rainmaker, changemaker, global</t>
  </si>
  <si>
    <t>Jim Carlson</t>
  </si>
  <si>
    <t>Cookie</t>
  </si>
  <si>
    <t>The American South</t>
  </si>
  <si>
    <t>Got married after college. I don't regret starting a family instead of grad school. Proud Deplorable</t>
  </si>
  <si>
    <t>Japan's Shinzo Abe Conjures Stunning Election Victory in a Boost for Donald Trump https://t.co/rrNQHnRIrD</t>
  </si>
  <si>
    <t>Senior Engr Taofeeq</t>
  </si>
  <si>
    <t>Osun</t>
  </si>
  <si>
    <t>I'm a guy wt ful detaminatn,caring,lving,sincere n wt a big heart..Easy 2 go up wt n soft minded...if u wnt 2 knw mre abt me u cn wrte me...</t>
  </si>
  <si>
    <t>_Sturmkrahe_</t>
  </si>
  <si>
    <t>The Sea of Stories</t>
  </si>
  <si>
    <t>Allways in the moon, sometimes in the hell. #Booklover #Critter #Is it Thursday yet? 📚 ☕️</t>
  </si>
  <si>
    <t>Manuel</t>
  </si>
  <si>
    <t>Tres Cantos, España</t>
  </si>
  <si>
    <t>Alicantino por tierras madrileñas</t>
  </si>
  <si>
    <t>RT TheEconomist "Shinzo Abe, Japan's prime minister, will probably remain four more years at the country’s helm https://t.co/NTKQV51eeh"</t>
  </si>
  <si>
    <t>edwin omari</t>
  </si>
  <si>
    <t>jayaparakash jp</t>
  </si>
  <si>
    <t>muscat</t>
  </si>
  <si>
    <t>Director of Ajaan Realtors India pvt Ltd. Proffessionaly an Architect. By life a swayam sevak. working for vishwa santi- Lokaa Samantha sukhino bhavantu</t>
  </si>
  <si>
    <t>I advocate peaceful non-violence. We are a nation that believes in the rule of law. We can talk civilly, use courts, or legislation, to advance our choices.</t>
  </si>
  <si>
    <t>Japan's Shinzo Abe Conjures Stunning Election Victory in a Boost for Donald Trump https://t.co/5SefPCs4Fz</t>
  </si>
  <si>
    <t>Stars and Stripes</t>
  </si>
  <si>
    <t>Japan's leader pledged to tackle the military threat from North Korea and an aging and shrinking population. https://t.co/iCL17qym5T</t>
  </si>
  <si>
    <t>Washington D.C.</t>
  </si>
  <si>
    <t>Stars and Stripes is a daily newspaper published for the U.S. military, DOD civilians, contractors and their families.</t>
  </si>
  <si>
    <t>Stocks slip to start the week https://t.co/zdpPuZTb6X via @akaneotani @GoldRiva</t>
  </si>
  <si>
    <t>Chandigarh Escorts</t>
  </si>
  <si>
    <t>RT @ThatFJ: Powerful typhoon drenches Japan, tens of thousands advised to evacuate https://t.co/6osET7300I via Reuters</t>
  </si>
  <si>
    <t>Overall, #Chandigarh #Escort services of Chandigarh are extremely soothing and relaxing. https://t.co/taU1gAuXxF</t>
  </si>
  <si>
    <t>SFC🇺🇸Warrior#Lee</t>
  </si>
  <si>
    <t>RT @starsandstripes: Japan's leader pledged to tackle the military threat from North Korea and an aging and shrinking population. https://t…</t>
  </si>
  <si>
    <t>✝️ Conservative #2A #ProLife ♿️Vet SFC 101st Abn Div Desert Storm It was an honor and privilege to serve my country and would do it again if I could. 💥Army💥</t>
  </si>
  <si>
    <t>WSJmarkets: Stocks slip to start the week https://t.co/1vyN9kHLLv via akaneotani GoldRiva</t>
  </si>
  <si>
    <t>Japan's Shinzo Abe Conjures Stunning Election Victory in a Boost for Donald Trump https://t.co/RCbEgedJrl</t>
  </si>
  <si>
    <t>Economics Highlights</t>
  </si>
  <si>
    <t>RT @TheOsintJournal: Top story: Japan Election Victory Gives Abe Mandate For Reform | The Diplomat https://t.co/gR9d9eNeOD, see more https:…</t>
  </si>
  <si>
    <t>Updates, analysis and research in economics/finance/business.</t>
  </si>
  <si>
    <t>Mrs. miafabienne</t>
  </si>
  <si>
    <t>🇯🇵🎮XBOX → Xbox360 → Xbox One user. 効果音フェチ🎧結婚して愛知県民になりました🤗 旦那さんはこちら ＠AsteriaNW https://t.co/DZIeVJwiEr</t>
  </si>
  <si>
    <t>Stocks slip to start the week https://t.co/fPmqTeQYHQ via akaneotani GoldRiva #$loan #firsttimebusinessloan #veteransmallbusinessloan</t>
  </si>
  <si>
    <t>Tarkeshwar Tiwari</t>
  </si>
  <si>
    <t>نشرة القاهرة‎</t>
  </si>
  <si>
    <t>30°3'29N, 31°13'44E</t>
  </si>
  <si>
    <t>Egypt after the 2011 uprising. With a focus towards human rights, diplomacy, and the development of MENA's creative industries. Regularly updated by @sarahbadr.</t>
  </si>
  <si>
    <t>Irfan Siddiqui</t>
  </si>
  <si>
    <t>Columnist at Daily Jang, The News, Akhbar-E-Jahan, Special Correspondent Geo News, Analyst, Author with expertise on Japan</t>
  </si>
  <si>
    <t>ABHIJEET JHA</t>
  </si>
  <si>
    <t>भाजपा कार्यकर्ता</t>
  </si>
  <si>
    <t>Stocks slip to start the week https://t.co/vj5FN5XrDv via akaneotani GoldRiva</t>
  </si>
  <si>
    <t>WSJmarkets: Stocks slip to start the week https://t.co/PKc5OlCBoF via akaneotani GoldRiva</t>
  </si>
  <si>
    <t>Badkarma</t>
  </si>
  <si>
    <t>Ahmed Hussein</t>
  </si>
  <si>
    <t>All Sports Entertainment Football Government &amp; Politics Government &amp; Politics Government Entertainment International Entertainment International Politics</t>
  </si>
  <si>
    <t>azucena</t>
  </si>
  <si>
    <t>HelmetHair</t>
  </si>
  <si>
    <t>American Patriot &amp; Army Mom. I support the 1st &amp; 2nd Ammendments &amp; am against all hate groups. Socialism is one step closer to communism! God bless the USA</t>
  </si>
  <si>
    <t>Frans Köster</t>
  </si>
  <si>
    <t>#Abe, post-election, faces a new problem. The PM's economic bet on U.S. president #Trump is backfiring. #TPP https://t.co/rZYIjD6elE</t>
  </si>
  <si>
    <t>The Hague (NL) / Brussels (B)</t>
  </si>
  <si>
    <t>Liberal in heart and soul. Trade Policy, Biotechnology, Veg oils, Mediterranean food and chocolate. Views are my own. RTs do not imply endorsement.</t>
  </si>
  <si>
    <t>INTER ALIA</t>
  </si>
  <si>
    <t>Election Risk Pays Off for Shinzo Abe of Japan as His Party Appears to Win Big - The New York Times https://t.co/2QMtChRE5h</t>
  </si>
  <si>
    <t>International politics. UN news. Outer Space developments. Russia today. I am also a learning photographer. All originally posted photos are my work.</t>
  </si>
  <si>
    <t>David ShoelessJoe🇺🇸</t>
  </si>
  <si>
    <t>donaldjtrump.com</t>
  </si>
  <si>
    <t>Love Baseball, Go tribe Go Cavs, Have my own business, Nobody like the man in Black Johnny Cash, Helping Trump Make America Great Again! Treeper</t>
  </si>
  <si>
    <t>Kerry Mervyn</t>
  </si>
  <si>
    <t>Nairobi,kenya</t>
  </si>
  <si>
    <t>Just Kerry.. KushNation.. Sapiosexual..!!</t>
  </si>
  <si>
    <t>Rosangela Santos</t>
  </si>
  <si>
    <t>Nordestina,Leonina,Democrata,Cinéfila, Cozinheira...Estudante de Inglês e apaixonada por Direito e pela Literatura do meu País chamado BR@SIL;</t>
  </si>
  <si>
    <t>chetan raj chauhan</t>
  </si>
  <si>
    <t>WTKR News 3</t>
  </si>
  <si>
    <t>Japan's Shinzo Abe hails landslide victory in snap election https://t.co/60sMM68CJ0 https://t.co/rRJmVF3BXq</t>
  </si>
  <si>
    <t>Hampton Roads, Virginia</t>
  </si>
  <si>
    <t>Visit us online: https://t.co/O7Be1q7QDa. Like us on Facebook: https://t.co/eQkKUQdE0K. Follow us on Instagram: https://t.co/uonHdcjouf.</t>
  </si>
  <si>
    <t>Jai Hind</t>
  </si>
  <si>
    <t xml:space="preserve">planet </t>
  </si>
  <si>
    <t>SARE JAHAN SE ACHCHHE, MODI JI HAMARE INDIA FIRST=MODI JI FIRST Followed by @PiyushGoyalOffc</t>
  </si>
  <si>
    <t>Shinzo Abe scores major victory for ruling coalition in Japan election https://t.co/XlV2BEEEV0</t>
  </si>
  <si>
    <t>What does Shinzo Abe's election win mean for Japan? https://t.co/InuuMI0I2x</t>
  </si>
  <si>
    <t>Hemant Patel</t>
  </si>
  <si>
    <t>Zulfiqar Motor CoLtd</t>
  </si>
  <si>
    <t>Japan Election 2017: Dollar/Yen Hits 3 Months High as Ruling Party Wins More Details at https://t.co/azWIXMFIzs</t>
  </si>
  <si>
    <t>Zulfiqar Motors</t>
  </si>
  <si>
    <t>Koshigaya-shi, Saitama, Japan</t>
  </si>
  <si>
    <t>Zulfiqar Motors Co., Ltd is the leading Japanese Used Cars Exporter. Updated stock list with all types of Used Cars. Be the part of Japan Auto Auction.</t>
  </si>
  <si>
    <t>MohammadYaaseenEdoo</t>
  </si>
  <si>
    <t>Queen's Young Leader | Associate Fellow @TheRCSLondon | Global Youth Ambassador @theirnews | Disability Activist @LeonardCheshire |Member @GPcwd @UNICEF</t>
  </si>
  <si>
    <t>A. Vidal</t>
  </si>
  <si>
    <t>More mess in Asia? Japan's #Abe to push pacifist constitution reform after strong election win https://t.co/HTRk7EADm8</t>
  </si>
  <si>
    <t>Somewhere in Scandinavia</t>
  </si>
  <si>
    <t>Development &amp; sustainability issues, cultural diversity &amp; communication art and culture are my passions. Dialogue, human rights &amp; peace, my vision of the world</t>
  </si>
  <si>
    <t>imichel</t>
  </si>
  <si>
    <t>Vision National News</t>
  </si>
  <si>
    <t>Japan’s PM Buoyed By Election Win https://t.co/ZhLKmAtMyR</t>
  </si>
  <si>
    <t>Vision National News (formerly UCB News) is Australia's Christian Worldview News Service.</t>
  </si>
  <si>
    <t>KARAN KUMAR</t>
  </si>
  <si>
    <t>🇮🇳 Harish 🇮🇳</t>
  </si>
  <si>
    <t>Ajmer,Ahmadabad,Ajmer (India)</t>
  </si>
  <si>
    <t>I will WIN 🇮🇳Not immediately , But Definitely 🇮🇳 Love 💝 Modi &amp; his Determination 4 a New &amp; Beautiful 🇮🇳INDIA 🇮🇳</t>
  </si>
  <si>
    <t>Trump Congratulates Japan’s Prime Minister, Shinzo Abe On Election Victory https://t.co/xHBp4dRfWM</t>
  </si>
  <si>
    <t>Trump Congratulates Japan’s Prime Minister, Shinzo Abe On Election Victory https://t.co/mwzfLYM7ay</t>
  </si>
  <si>
    <t>TUUMAZAN</t>
  </si>
  <si>
    <t>Japan's Shinzo Abe Conjures Stunning Election Victory in a Boost for Donald Trump https://t.co/CyLSCrEfuB https://t.co/ZVQ5WN3LRE</t>
  </si>
  <si>
    <t>PokerOne.info</t>
  </si>
  <si>
    <t>PokerOne News: Abe Election Win May Improve Odds of Casinos for Japan https://t.co/nm4bjXdpUw</t>
  </si>
  <si>
    <t>PokerOne</t>
  </si>
  <si>
    <t>News #Network, #Reviews and #Bonuses from the Best #Casinos, #Lotteries, #Sports Scores, Flash games and Pc Game Reviews. Follow Your Passion!</t>
  </si>
  <si>
    <t>_Jazzy</t>
  </si>
  <si>
    <t>Somewhere in the world😌</t>
  </si>
  <si>
    <t>Self-made.If I changed I became a better version of myself💯</t>
  </si>
  <si>
    <t>Ankit Khera</t>
  </si>
  <si>
    <t>Dilli</t>
  </si>
  <si>
    <t>Firm believer in Sanatan Dharma . I mock people who believe in Aasmani Kitab(The Book of Hate).My ancestors ruled Pakistan till 1846.</t>
  </si>
  <si>
    <t>PokerOne News: Abe Election Win May Improve Odds of Casinos for Japan https://t.co/nm4bjXdpUw https://t.co/XvIkr3U70V</t>
  </si>
  <si>
    <t>RT @WashTimes: Japanese Prime Minister Shinzo Abe gains election mandate as President Trump prepares to visit Asia. https://t.co/d3Cps0oz6E…</t>
  </si>
  <si>
    <t>Priya Mishra</t>
  </si>
  <si>
    <t>After election win, Abe prioritizes North Korea, aging Japan https://t.co/IAMrSwTZla https://t.co/C88kphcCKD</t>
  </si>
  <si>
    <t>Life is all about ups &amp; downs</t>
  </si>
  <si>
    <t>r stephens</t>
  </si>
  <si>
    <t>Karthik</t>
  </si>
  <si>
    <t>jagdish pathak</t>
  </si>
  <si>
    <t>Hal Newnan</t>
  </si>
  <si>
    <t>School Board Trustee and Sierra Club Activist</t>
  </si>
  <si>
    <t>Samuel T. Alhassan</t>
  </si>
  <si>
    <t>GOD First || Entrepreneur || Investor || Innovator || Technology || Success || Wealth || Law Soon || Fitness || Football Fanatic || #FCBarcelona</t>
  </si>
  <si>
    <t>TODAY</t>
  </si>
  <si>
    <t>Donald Trump congratulates Japan’s Shinzo Abe on election victory https://t.co/TBpZ3dHgep</t>
  </si>
  <si>
    <t>Latest news, trends, photos and videos from around Nigeria and world.</t>
  </si>
  <si>
    <t>Nigeria Newsdesk</t>
  </si>
  <si>
    <t>Donald Trump congratulates Japan’s Shinzo Abe on election victory https://t.co/OgEZSnUWHS via @todayng</t>
  </si>
  <si>
    <t>Breaking news and current events from around Nigeria and abroad.</t>
  </si>
  <si>
    <t>Sandeep Mahule ᴳˢᴹ</t>
  </si>
  <si>
    <t>भाई हम नमो नमो से आगे कुछ नहीं सोचते पप्पू-कजरी के चमचो को नो एंट्री गलती से भी आये तो थप्पड़-लात-जूते से स्वागत करते है @narendramodi जी का आशीर्वाद मिला 🙏#ETF</t>
  </si>
  <si>
    <t>Velvedeirs Blog</t>
  </si>
  <si>
    <t>RT @NigeriaNewsdesk: Donald Trump congratulates Japan’s Shinzo Abe on election victory https://t.co/OgEZSnUWHS via @todayng</t>
  </si>
  <si>
    <t>A blog to connect the youth. Let's talk Politics, Sex &amp; Relationships, Sports, TV, Music &amp; Entertainment. send your emails to velvedeirsblog@gmail.com</t>
  </si>
  <si>
    <t>Tax Information</t>
  </si>
  <si>
    <t>everything you need to know about global taxation. RT tax events, stories and breaking News.</t>
  </si>
  <si>
    <t>RT @todayng: Donald Trump congratulates Japan’s Shinzo Abe on election victory https://t.co/TBpZ3dHgep</t>
  </si>
  <si>
    <t>V &amp; F</t>
  </si>
  <si>
    <t xml:space="preserve">Nigeria </t>
  </si>
  <si>
    <t>V &amp; F News • News, Entertainment, Music, Sports, TV • inquiries to vandfnews@gmail.com</t>
  </si>
  <si>
    <t>Calendula4Trump</t>
  </si>
  <si>
    <t>Great Journey on Trump Train</t>
  </si>
  <si>
    <t>Stand with President Donald J. Trump #MAGACoalition 🇺🇸 https://t.co/lZGcxtnJiM @RealMagaPac 🌟 May the Lord hear thee in the day of tribulation</t>
  </si>
  <si>
    <t>Bond Report: Treasury yields hold ground as investors await Trump’s nominee for Fed boss https://t.co/LDD9M372XM</t>
  </si>
  <si>
    <t>Donald Trump congratulates Japan’s Shinzo Abe on election victory https://t.co/VisJnd60uf via todayng</t>
  </si>
  <si>
    <t>MarketWatch: "Bond Report: Treasury yields hold ground as investors await Trump’s nominee for Fed boss" https://t.co/q6o3QtHxaz #finance #…</t>
  </si>
  <si>
    <t>Renae Lucas-Hall 📖</t>
  </si>
  <si>
    <t>♥ஜ۩ஜ♥</t>
  </si>
  <si>
    <t>Writer of Japan-related fiction &amp; non-fiction ✿ Bestselling author of Tokyo Hearts &amp; Tokyo Tales ✿ はじめまして! レネィと申します ✿ 小説家 ✿ 作家https://t.co/087YJNBksQ</t>
  </si>
  <si>
    <t>Somjeeta</t>
  </si>
  <si>
    <t>二代目喜多川万太郎 (CV:結城比呂)</t>
  </si>
  <si>
    <t>登山はじめました♪まだまだ初心者だけどたくさん登るぞぉー😉✌ 水線突破が信条です🤗</t>
  </si>
  <si>
    <t>Benson Joshua</t>
  </si>
  <si>
    <t>Environmental Health And Safety Professional With keen interest in Media Technology ,Environment and Public Health Safety</t>
  </si>
  <si>
    <t>Bee Bello</t>
  </si>
  <si>
    <t>NigeriaNewsdesk: Donald Trump congratulates Japan’s Shinzo Abe on election victory https://t.co/F6QL14s7UG via todayng</t>
  </si>
  <si>
    <t xml:space="preserve">Kano Nigeria </t>
  </si>
  <si>
    <t>Instagram*snapchat:Bbello2015. Civil Engineer</t>
  </si>
  <si>
    <t>たかひろ</t>
  </si>
  <si>
    <t>転売屋。転竜会会長。スプラトゥーン2やってます。</t>
  </si>
  <si>
    <t>ORANGE CURTAIN</t>
  </si>
  <si>
    <t>Alameda CA</t>
  </si>
  <si>
    <t>UC Berkeley BA. Author. Disabled Activist. LGBTQ Advocate. BLM Ally. Bi Single Mom. AT&amp;T retired. CMT. Microsoft Certified. BERNIE WOULD HAVE WON!! 🌟Say Hi!</t>
  </si>
  <si>
    <t>Afuzi Lotanna</t>
  </si>
  <si>
    <t>Cool-headed &amp; Easy-going #CFC #TrueBlue</t>
  </si>
  <si>
    <t>Adebayo Segun Emmy</t>
  </si>
  <si>
    <t>Cool,calm and calculative.</t>
  </si>
  <si>
    <t>Bhavani Shankar</t>
  </si>
  <si>
    <t>Kalasa, India</t>
  </si>
  <si>
    <t>Hindu Nationalist. Indian in the USA.</t>
  </si>
  <si>
    <t>Ras_al_Mudakun</t>
  </si>
  <si>
    <t>Good analysis Japan Election: https://t.co/KjjbNdPWJC</t>
  </si>
  <si>
    <t>Dover Beach ON Canada</t>
  </si>
  <si>
    <t>Follows Japanese policy, politics, society; writes TLDR essays on Japanese Contemporary Visual Culture. Fans out on #Genshiken. Mktng follows &amp; lists blocked</t>
  </si>
  <si>
    <t>North Korea Fears Japan 'Invasion' as Abe's Victory Paves the Way for Changes to Pacifist Constitution https://t.co/wOI4b4b7AZ</t>
  </si>
  <si>
    <t>Trumpsupporter</t>
  </si>
  <si>
    <t>American and I Love my Country! "In GOD We Trust"!</t>
  </si>
  <si>
    <t>Bond Report: Treasury yields hold ground as investors await Trump’s nominee for Fed boss https://t.co/Jqsx6Z3rQl https://t.co/ljyan1akIM -…</t>
  </si>
  <si>
    <t>Bond Report: Treasury yields hold ground as investors await Trump’s nominee for Fed boss https://t.co/KNLKFZshiI Treasurys saw muted tradi…</t>
  </si>
  <si>
    <t>Mister Green</t>
  </si>
  <si>
    <t>Nomad</t>
  </si>
  <si>
    <t>newslocker_analyst</t>
  </si>
  <si>
    <t>Japan&amp;amp;apos;s Shinzo Abe Conjures Stunning Election Victory in a Boost for Donald Trump #Analyst https://t.co/6cUHk9VVcU</t>
  </si>
  <si>
    <t>Stay on top of the latest Analyst news. Be up to date in your profession or interest. check http://t.co/gRqKAO6BaT</t>
  </si>
  <si>
    <t>North Korea Fears Japan 'Invasion' as Abe's Victory Paves the Way for Changes to Pacifist Constitution https://t.co/GPQb6s2hdy</t>
  </si>
  <si>
    <t>Abubakar Bin Aliyu</t>
  </si>
  <si>
    <t>Adamawa, Nigeria</t>
  </si>
  <si>
    <t>Father, Husband, Teacher, Youth Empowerment Advocate, Grassrootstitian, ICTist, Global Villager.</t>
  </si>
  <si>
    <t>Retweeted Nigeria Newsdesk (@NigeriaNewsdesk): Donald Trump congratulates Japan’s Shinzo Abe on election victory... https://t.co/kFWO3y13QP</t>
  </si>
  <si>
    <t>North Korea Fears Japan 'Invasion' as Abe's Victory Paves the Way for Changes to Pacifist Constitution https://t.co/YJCin1ClkY</t>
  </si>
  <si>
    <t>Tracey wilson</t>
  </si>
  <si>
    <t>Opinionated , Scottish , passionate , detest the right wing. Blond , fearsome and determined to rid the world of fascism !</t>
  </si>
  <si>
    <t>Japan’s ruling coalition retains a supermajority in snap election https://t.co/EMfvLGx9v3 https://t.co/V59xopw67q</t>
  </si>
  <si>
    <t>Steve Froehlich</t>
  </si>
  <si>
    <t>RT @nyiint: North Korea Fears Japan 'Invasion' as Abe's Victory Paves the Way for Changes to Pacifist Constitution https://t.co/GPQb6s2hdy</t>
  </si>
  <si>
    <t>Rosas</t>
  </si>
  <si>
    <t>What now for Japan after Abe's landslide election victory? https://t.co/PE04JO9rGr</t>
  </si>
  <si>
    <t>Créteil, Ile-de-France</t>
  </si>
  <si>
    <t>A la Literatura y a la Comunicación Social les dedico mis horas de estudio.</t>
  </si>
  <si>
    <t>Elizabeth Toni</t>
  </si>
  <si>
    <t>Leicester Square, London</t>
  </si>
  <si>
    <t>Capturadora broadcasting Starclips from London</t>
  </si>
  <si>
    <t>Jeremy Farrar</t>
  </si>
  <si>
    <t>Director of the Wellcome Trust (@WellcomeTrust).</t>
  </si>
  <si>
    <t>Sachin Lakra</t>
  </si>
  <si>
    <t>जाटलैंड</t>
  </si>
  <si>
    <t>Proud Citizen of India ॐ 🇮🇳 #sachinlacoste #f4f instagram/sachinlacoste snapchat/sachinlacoste youtube/sachinlacoste #हरीॐ🐊</t>
  </si>
  <si>
    <t>Japan's Election Warning to China | #China #RTGWorld</t>
  </si>
  <si>
    <t>Claudia Patricia</t>
  </si>
  <si>
    <t>Activist, Researcher, Indignada</t>
  </si>
  <si>
    <t>雲助</t>
  </si>
  <si>
    <t>日本 🗾🚚 愛知〜関東〜東北〜関西</t>
  </si>
  <si>
    <t>レスクイーン、飛行機、アメ車、糖質ダイエット🚲🇵🇭philippines🇵🇭🛩️🌏</t>
  </si>
  <si>
    <t>Samuel Carver</t>
  </si>
  <si>
    <t>Going to do better than Shigeru Yoshida at this rate. https://t.co/5o5WzaZl33</t>
  </si>
  <si>
    <t>The Accident Man. Lover of #thrillernovels, #guns #ChelseaFC #geopolitics and #PersonOfInterest. still prefer #Android...for now</t>
  </si>
  <si>
    <t>North Korea Fears Japan 'Invasion' as Abe's Victory Paves the Way for Changes to Pacifist Constitution https://t.co/uPfY8UbXIb</t>
  </si>
  <si>
    <t>Y_Mukai</t>
  </si>
  <si>
    <t>Every year in #Japan the lawyers group appeals to invalidate after the election.</t>
  </si>
  <si>
    <t>日本 関東地方</t>
  </si>
  <si>
    <t>Hello!My name is Y_Mukai。I'm a Japanese。Welcome to my page♪I want have many friends all of the world.I am sending infomation of Japan on Twitter.</t>
  </si>
  <si>
    <t>M. Ramirez🇺🇸</t>
  </si>
  <si>
    <t>Independent, Non PC - Non-nonsense, Against ILLEGAL immigration, globalism, socialism!Proud American Venezuelan Citizen🇺🇸🇻🇪Nobody is above the law! MAGA🇺🇸</t>
  </si>
  <si>
    <t>お悩み相談＠相互フォロー</t>
  </si>
  <si>
    <t>Japan Election Vindicates Shinzo Abe as His Party Wins Big - New York Times https://t.co/xWI98F2WtI https://t.co/0oyL3CgHJJ</t>
  </si>
  <si>
    <t>奈良 奈良市</t>
  </si>
  <si>
    <t>日本全国お悩み相談・お悩み解決。 家庭・職場・育児・恋愛・学校・身体・友人関係。。 様々な悩み相談プラットフォーム構築を目指します。</t>
  </si>
  <si>
    <t>John McCain</t>
  </si>
  <si>
    <t>Congratulations to Japanese PM Shinzo Abe &amp; the LDP on their election victory. #Japan remains an indispensable ally to the United States.</t>
  </si>
  <si>
    <t>Phoenix, AZ / Washington, DC</t>
  </si>
  <si>
    <t>U.S. Senator John McCain (R-AZ), Chairman of Senate Armed Services Committee</t>
  </si>
  <si>
    <t>Congressional Tweets</t>
  </si>
  <si>
    <t>RT @SenJohnMcCain: Congratulations to Japanese PM Shinzo Abe &amp; the LDP on their election victory. #Japan remains an indispensable ally to t…</t>
  </si>
  <si>
    <t>CongressRTBot</t>
  </si>
  <si>
    <t>Retweeting members of congress</t>
  </si>
  <si>
    <t>all100Senators</t>
  </si>
  <si>
    <t>Collecting and retweeting tweets by all members of the US Senate. Archived at: https://t.co/rMtoBj8Fez</t>
  </si>
  <si>
    <t>Χάρων</t>
  </si>
  <si>
    <t>Private profile. Related to: https://t.co/dW7aR34B2M, https://t.co/r2FnGX4S8O RT doesn't mean support of T</t>
  </si>
  <si>
    <t>JOSE BAHAMONDE</t>
  </si>
  <si>
    <t>Quito - Ecuador</t>
  </si>
  <si>
    <t>Михаил Бенгин</t>
  </si>
  <si>
    <t>Ben Anderson</t>
  </si>
  <si>
    <t>Duke football season ticket holder.. For better or for worse, that pretty much tells you everything about me.</t>
  </si>
  <si>
    <t>Chris Kieser</t>
  </si>
  <si>
    <t>South Bend, IN</t>
  </si>
  <si>
    <t>Notre Dame '10/'13</t>
  </si>
  <si>
    <t>SC Nanci 4 Trump🇺🇸</t>
  </si>
  <si>
    <t>#draintheswamp no lists I will block.yuge trump supporter. widow. #draintheswamp🇺🇸</t>
  </si>
  <si>
    <t>Jason Collie Hill</t>
  </si>
  <si>
    <t>Showman Artist Sportsman Enviromentalist</t>
  </si>
  <si>
    <t>Scott Buckner</t>
  </si>
  <si>
    <t>Tucson, AZ</t>
  </si>
  <si>
    <t>#Humanitarian/ I stand with #Israel/#Addiction/Digital Activist for @GOP/#Recovery/#MentalHealth/#Mentor/ Family Advocate for @pimaarizona #MAGA 🇮🇱🇺🇸</t>
  </si>
  <si>
    <t>Rita Nance Palomo</t>
  </si>
  <si>
    <t>Florissant, MO</t>
  </si>
  <si>
    <t>Lisa</t>
  </si>
  <si>
    <t>Loving heart, healing hands, emotionally honest, strong language. Progressive as fuck. Never give up! Never surrender! #Resist #TheResistance</t>
  </si>
  <si>
    <t>U.S Veteran &amp; Love</t>
  </si>
  <si>
    <t>Nothing to hide Nothing to Fear Don't know about them they not me. If you Fear what you Love rethink what your loving.</t>
  </si>
  <si>
    <t>Andrew Shiels</t>
  </si>
  <si>
    <t>Kindness is free. Irish writer, composer and disappointed observer of contemporary politics.</t>
  </si>
  <si>
    <t>Willy</t>
  </si>
  <si>
    <t>We fought &amp; won throughout the 60's &amp; 70's. Guess it's time again! Seems like every 50 years a revolution is required. #impeachtrump #imprisontrump</t>
  </si>
  <si>
    <t>Lynn</t>
  </si>
  <si>
    <t>Average, non-wealthy (seriously, no money), mature, liberal woman. Furious about what is being done to our fine country. #TheResistance #Resist</t>
  </si>
  <si>
    <t>bishop dean</t>
  </si>
  <si>
    <t>Agent Layo</t>
  </si>
  <si>
    <t>Agent that will break the law just to uphold the law..so Be careful... #teamliverpool #teamAlpha #teampisces #teambasketball</t>
  </si>
  <si>
    <t>Strange Times</t>
  </si>
  <si>
    <t>ÜT: 41.869156,-71.520342</t>
  </si>
  <si>
    <t>Fact Checker, interested in current events &amp; politics, NE Pats fan,dog lover, posting news articles, tired of Russians, Fake Christians &amp; hypocrites!</t>
  </si>
  <si>
    <t>Jblk</t>
  </si>
  <si>
    <t>Marketing genius, a writer, teacher, wife, mother and a great friend. Dreams transpire to reality when you have desire, know-how and actions!</t>
  </si>
  <si>
    <t>MaGs</t>
  </si>
  <si>
    <t>Linux_Tool Developer, Programmer, Pentester, Script Kiddee,</t>
  </si>
  <si>
    <t>페코</t>
  </si>
  <si>
    <t>プランゼットは自殺だ</t>
  </si>
  <si>
    <t>당신은 고통받기 위해 태어난 사람</t>
  </si>
  <si>
    <t>Janet Heinsler</t>
  </si>
  <si>
    <t>RMA</t>
  </si>
  <si>
    <t>Common sense advocate with political commentary. Premier League, La Liga, Bundesliga, Ligue 1 and Serie A &amp; Formula 1.</t>
  </si>
  <si>
    <t>rcarr</t>
  </si>
  <si>
    <t>Greater New Orleans Area</t>
  </si>
  <si>
    <t>#Democrat living down on the bayou waiting for #Louisiana to turn Blue again. #UniteBlue The life you save will be your own. No lists. #resist</t>
  </si>
  <si>
    <t>Short T</t>
  </si>
  <si>
    <t>I can't imagine why this is relevant. But, I was a smartass, once. OK, maybe more than once. Is that a deal breaker?</t>
  </si>
  <si>
    <t>tzanidauer</t>
  </si>
  <si>
    <t>Union electrician local 728, logical leftist liberal and all around truthseeker.AF Veteran. Like a nascar driver,I can only go left!</t>
  </si>
  <si>
    <t>#Blame Game Again</t>
  </si>
  <si>
    <t>nothing but the truth #MAGA #Trump Train #POTUS #AmericaStrong#NRA Christian conservative,#Nascar</t>
  </si>
  <si>
    <t>Areopagitica</t>
  </si>
  <si>
    <t>#Resistance</t>
  </si>
  <si>
    <t>Kathy Zinn</t>
  </si>
  <si>
    <t>Phoenix</t>
  </si>
  <si>
    <t>Stephanie Renee</t>
  </si>
  <si>
    <t>Fighting to get Donald out of the Presidency. Give facts, get nasty, &amp; attempt some humor. Married, love God, my dog Bitzie, &amp; Fitness. #TheResistance #PIMPOTUS</t>
  </si>
  <si>
    <t>Lisa Amaral</t>
  </si>
  <si>
    <t>Born and raised in DC now living in FL! I am a Mom, Wife, Sister, Daughter, Realtor at Clear Point Realty, Kid Actor's Mom, Spiritual Seeker of Peace &amp; Love!</t>
  </si>
  <si>
    <t>joan sommers</t>
  </si>
  <si>
    <t>News. senior, wife, grandma, Yenta, and Mom... loves the theater and New York and Denver</t>
  </si>
  <si>
    <t>Mutineer 🐘</t>
  </si>
  <si>
    <t>Kansas City, MO</t>
  </si>
  <si>
    <t>My diary in Spanglish. From a rich port. Self- taught.</t>
  </si>
  <si>
    <t>codepress</t>
  </si>
  <si>
    <t>Machine lover</t>
  </si>
  <si>
    <t>Nancy S lopez</t>
  </si>
  <si>
    <t>Worcester ma</t>
  </si>
  <si>
    <t>live life to its fullest!! 😊😊😊</t>
  </si>
  <si>
    <t>Chakri</t>
  </si>
  <si>
    <t>Cristi Wolfram</t>
  </si>
  <si>
    <t>Stay at home mom, Beachbody Coach, fitness fanatic</t>
  </si>
  <si>
    <t>Lynne Colcombe</t>
  </si>
  <si>
    <t>Sylvia Greier</t>
  </si>
  <si>
    <t>a beautiful island in BC</t>
  </si>
  <si>
    <t>healthcare aide 4 seniors, political junkie, concerned citizen of the world, democratic socialist, NDP, Fair trade, No pipelines, loves animals more than people</t>
  </si>
  <si>
    <t>Jaspreet Singh Matta</t>
  </si>
  <si>
    <t>Co-Convener Sikh Cell @BJP4Delhi | Former Executive Councillor DUSU | Former JtSec @ABVPDelhi | Alumni SGTBkhalsa College DU | Tweets r Personal.</t>
  </si>
  <si>
    <t>josemiguel</t>
  </si>
  <si>
    <t>Anchorage, Alaska</t>
  </si>
  <si>
    <t>Father, uncle, grandfather, professional civil engineer, environmental &amp; engineering consultant, educator, mentor, shining a bright blue light in a sea of red</t>
  </si>
  <si>
    <t>Kiki Falalala</t>
  </si>
  <si>
    <t>Wife, mom &amp; nana...passionate Political Science /History major and Navy Brat!! Pre-Existing &amp; Resisting!!! Granddaughter of Ragnar Loðbrok.🇮🇸🇬🇧</t>
  </si>
  <si>
    <t>Julia V Lawson</t>
  </si>
  <si>
    <t>Red State</t>
  </si>
  <si>
    <t>Politics US News World News Government &amp; Politics #Election2016</t>
  </si>
  <si>
    <t>Susan Stamp</t>
  </si>
  <si>
    <t>Connecticut</t>
  </si>
  <si>
    <t>Marine https://t.co/XLJqySEN5l Football,my cats &amp; dog,Glambert. Cake decorator Married, 2 kids, 3 grandchildren. I won't apologize 4 my sarcasm or disliking 45.</t>
  </si>
  <si>
    <t>PT_US_Congress</t>
  </si>
  <si>
    <t>PT_US_Congress [Broadcaster]</t>
  </si>
  <si>
    <t>The voice of a nation! A ParroTweet mirror of the United States Congress (104 actively serving, verified Twitter members).</t>
  </si>
  <si>
    <t>Felixgumana</t>
  </si>
  <si>
    <t>Cmaiola</t>
  </si>
  <si>
    <t>Koi pond lover, humanitarian, Dog lover, empath, loner, strength in #'s. Spiritual Advisor</t>
  </si>
  <si>
    <t>A. E.  Bojorquez</t>
  </si>
  <si>
    <t>Deanna McGowan</t>
  </si>
  <si>
    <t>Japan: PM Abe to Challenge Pacifist Constitution After Election Victory https://t.co/K8e9806RpN via @democracynow</t>
  </si>
  <si>
    <t>Vacaville, CA</t>
  </si>
  <si>
    <t>Progressive stance on economic polices extended to all; green renewable energy-stop corporate polluting of water, air and soil. Moment of now awareness.</t>
  </si>
  <si>
    <t>Malinda Michelle lee</t>
  </si>
  <si>
    <t>Future Paralegal and Lobbyist with 2 Masters. one in Nonprofit Mangement from UHD and Public Administration. Passionate about helping others!</t>
  </si>
  <si>
    <t>After election win, Abe prioritizes North Korea, aging Japan https://t.co/feyu2G5YZ4 https://t.co/nviYKDplbc</t>
  </si>
  <si>
    <t>JoeTrudeau</t>
  </si>
  <si>
    <t>Joe Trudeau aka me, Never #Trump.</t>
  </si>
  <si>
    <t>TrumpIsDeranged</t>
  </si>
  <si>
    <t>Portland, OR</t>
  </si>
  <si>
    <t>I watch 3 soaps, YR, BnB, and GH. Favs r Chick, Philly, Brill and Killon ..... Hey hey, ho ho, Donald Trump has got to go!! #TheResistance</t>
  </si>
  <si>
    <t>no</t>
  </si>
  <si>
    <t>#Japan #ShinzoAbe | #KoreanPeninsula JJ_Xenakis: Big Election Win for Japan’s Shinzo Abe May Mean End of Pacifism https://t.co/cSBQSkaUDf</t>
  </si>
  <si>
    <t>GRAY</t>
  </si>
  <si>
    <t xml:space="preserve"> Tropical SE Palm Beach Co FL</t>
  </si>
  <si>
    <t>I champion Healthy, Functioning Ecosystems: Water&amp;Land:NEVER MORE AT RISK.As are ALL species who depend upon them. #Resist!</t>
  </si>
  <si>
    <t>🎃 Boojamin Leon 🎃</t>
  </si>
  <si>
    <t>Supports #Israel, a Free #Kurdistan, and a #FreeIran. Has Neoconservative Tendencies. #Atheist #AltCenter #StopEnslavingSaudiWomen</t>
  </si>
  <si>
    <t>P. Gabriel Olivares</t>
  </si>
  <si>
    <t>Colonia, Alemania</t>
  </si>
  <si>
    <t>🇩🇪🇪🇸🏳️‍🌈🇮🇨Momentos de analizar y contar lo q sucede en Germany. Observando la política. I want to start a Revolution.Are you with me? Las Palmas de GC</t>
  </si>
  <si>
    <t>MD Wiblitzhouser</t>
  </si>
  <si>
    <t>Advocate for #gunsense #Resistance</t>
  </si>
  <si>
    <t>Victoria Venegas</t>
  </si>
  <si>
    <t>Missing Tripod, Inc.</t>
  </si>
  <si>
    <t>Live Entertainment Digital Video Production</t>
  </si>
  <si>
    <t>Elizabeth</t>
  </si>
  <si>
    <t>Designer, Animal lover, Classic film devotee, I'm Pro Humanity, a Futurist And Dreamer....</t>
  </si>
  <si>
    <t>Игорь Броварской</t>
  </si>
  <si>
    <t>Народная Республика Бровары</t>
  </si>
  <si>
    <t>Devarshi Joshi</t>
  </si>
  <si>
    <t>Nazdi Mimo</t>
  </si>
  <si>
    <t>there is only one me,who is replaced by myself 😉😎😏</t>
  </si>
  <si>
    <t>Amarnath Kumar</t>
  </si>
  <si>
    <t>john beechy</t>
  </si>
  <si>
    <t>Re-elected PM vows to tackle Japan's twin crises https://t.co/5pdgGsA2k4</t>
  </si>
  <si>
    <t>Toronto, On. Canada</t>
  </si>
  <si>
    <t>A.Pappas</t>
  </si>
  <si>
    <t>Father, Grandfather, Citizen, Patriot, Concerned American, #resist #impeach #TheResistance</t>
  </si>
  <si>
    <t>musician</t>
  </si>
  <si>
    <t>Finance Follow</t>
  </si>
  <si>
    <t>Japan PM's ruling bloc scores big election win https://t.co/DfiNBfUDaw Japanese Prime Minister Shinzo Abe’s</t>
  </si>
  <si>
    <t>Everything about Finance to Follow http://t.co/8wdPNlbugr</t>
  </si>
  <si>
    <t>Nate Taylor</t>
  </si>
  <si>
    <t>A born again Christian .... A Constitutional Conservative with a love for this great country. Liberty and freedom will always be worth fighting for.</t>
  </si>
  <si>
    <t>Bond Report: Treasury yields hold ground as investors await Trump’s nominee for Fed boss https://t.co/LDcXXp9UIF via @bllshbrsh</t>
  </si>
  <si>
    <t>Wolfgangpauli</t>
  </si>
  <si>
    <t>Japan election: the investing implications https://t.co/YVZLg5tXCr #invest https://t.co/613drdSraJ</t>
  </si>
  <si>
    <t>Individual investor who has worked in business for 30 years. A follower of Jack Bogle and the index way of investing. Father and husband of over 30 years.</t>
  </si>
  <si>
    <t>Ann Street</t>
  </si>
  <si>
    <t>Black Diamond, WA</t>
  </si>
  <si>
    <t>I'm fiesty, funny, cool, and caring. I did Hospice and loved it! I want Dumb Donald to disappear! I'm going to miss Barack big time!</t>
  </si>
  <si>
    <t>Raghidahaddad</t>
  </si>
  <si>
    <t xml:space="preserve"> New York</t>
  </si>
  <si>
    <t>international Public Relations Consultant. Embrace the Universe! Don't complain, Register &amp; Vote! Get involved! Be informed and be kind.</t>
  </si>
  <si>
    <t>Sudsie M schmidt</t>
  </si>
  <si>
    <t>opinionated ="knowledgeable ". you couldn't silence me then or now. how that working for u?😘 no lists and I block all Nazis</t>
  </si>
  <si>
    <t>Elizabeth Yuan</t>
  </si>
  <si>
    <t>RT @akaneotani: What's on tap for stock investors this week: nearly 200 earnings reports from S&amp;P 500 companies, plus GDP on Friday. https:…</t>
  </si>
  <si>
    <t>Interactive news writer @WSJ; contributing editor @inthefray; formerly @CNN (TV and digital) in ATL, HK; Dayton, Ohio, native; once distributed a movie</t>
  </si>
  <si>
    <t>Sharon Mattingly</t>
  </si>
  <si>
    <t>Reston, VA</t>
  </si>
  <si>
    <t>Nancy Skartveit</t>
  </si>
  <si>
    <t>Montana, USA</t>
  </si>
  <si>
    <t>StockBot</t>
  </si>
  <si>
    <t>Bond Report: Treasury yields hold ground as investors await Trump’s nominee for Fed boss https://t.co/jM8Burh6jU</t>
  </si>
  <si>
    <t>Stockbot Stock Information System. (I'm not a robot! I'm not! I'm not!)</t>
  </si>
  <si>
    <t>Valerie Ann</t>
  </si>
  <si>
    <t>Chris Walton</t>
  </si>
  <si>
    <t>Milwaukee, WI</t>
  </si>
  <si>
    <t>Political Director for MKE County Dems Fmr. Southeast Regional for the DPW. #GoPackGo💚💛🏈💛💚 #YoungPolitico #20something🚶🏾🌈 #MSUAlumni🎓🐶🐾</t>
  </si>
  <si>
    <t>James Slate 🇺🇸</t>
  </si>
  <si>
    <t>Empire of Liberty</t>
  </si>
  <si>
    <t>An Neoconservative Who Believes in Free Enterprise,Limited Government,Individual Freedom,Federalism and a Foreign Policy of Spreading American Ideals</t>
  </si>
  <si>
    <t>Syed Mahmood</t>
  </si>
  <si>
    <t>Congratulations to Shinzo Abe on election victory. #Japan remains great ally to UK.</t>
  </si>
  <si>
    <t>Business, International Trade &amp; Development. Director of Global Success Partnership. British.</t>
  </si>
  <si>
    <t>Maureen McIntyre</t>
  </si>
  <si>
    <t>I am an angry 53 yr old woman who is sick and tired of being taken advantage of! Let us bitch together oh yeah...Against EVERYTHING Trump! #Resist</t>
  </si>
  <si>
    <t>JOHN OROURKE</t>
  </si>
  <si>
    <t>Mack 🇺🇸</t>
  </si>
  <si>
    <t>@realdonaldtrump Proud to be apart of the Trump Presidency 🇺🇸#TrumpPence🇺🇸🍀Bill O’R🍀 “The light only shines through the people who have cracked.” Mickey</t>
  </si>
  <si>
    <t>QuakerRabbi</t>
  </si>
  <si>
    <t>🇬🇧UK in Japan🇯🇵</t>
  </si>
  <si>
    <t>Official tweets from British Embassy Tokyo. 駐日英国大使館の公式Twitterです。Please also follow: @PaulMaddenUK | @fcotravel | @ForeignOffice | #foreignaffairs</t>
  </si>
  <si>
    <t>MsSsHussain</t>
  </si>
  <si>
    <t>1 world ♥️♥️</t>
  </si>
  <si>
    <t>Forever Sports Lover! Arts, Poetry, Literature, Research, Business, MEd. BA Honors Psychology, BEd. H/S Social Sciences &amp; English, Mentor. Committed To Love™</t>
  </si>
  <si>
    <t>Paula Baker</t>
  </si>
  <si>
    <t>Shreveport</t>
  </si>
  <si>
    <t>Voux Finance</t>
  </si>
  <si>
    <t>Japan election: the investing implications - https://t.co/FavxMVPmOS #Finance</t>
  </si>
  <si>
    <t>Franklin Lee</t>
  </si>
  <si>
    <t>Against all things Trump and the Republican Party Agenda, for The Constitution and equal treatment under the law. Married, Progressive, BBA Logistics</t>
  </si>
  <si>
    <t>Laurence Daziano</t>
  </si>
  <si>
    <t>Economist, writer, columnist, speaker @SciencesPo @Fondapol @SNCF</t>
  </si>
  <si>
    <t>Japan's Shinzo Abe Conjures Stunning Election Victory in a Boost for Donald Trump https://t.co/5SefPCJG49</t>
  </si>
  <si>
    <t>John Nilsson-Wright</t>
  </si>
  <si>
    <t>What does Shinzo Abe's election win mean for Japan? https://t.co/M0sIF4jTtU</t>
  </si>
  <si>
    <t>Paris, Cambridge &amp; London</t>
  </si>
  <si>
    <t>Senior Lecturer, Japanese Politics and Int'l Relations, Cambridge; Senior Research Fellow for Northeast Asia, Chatham House &amp; nomadic husband of @LucyWilliamson</t>
  </si>
  <si>
    <t>Maria Barros</t>
  </si>
  <si>
    <t>Pierre C.</t>
  </si>
  <si>
    <t>Japan’s ruling coalition retains a supermajority in snap election https://t.co/oZNvF69mPn</t>
  </si>
  <si>
    <t>La vie en rose : don't worry - be happy! :) If u think u can save the World, please give it a try😊. Surprenant ce qu'un seul individu peut faire..Imagine👪✌</t>
  </si>
  <si>
    <t>Bruce Bader</t>
  </si>
  <si>
    <t>Long Island, New York</t>
  </si>
  <si>
    <t>looseboots</t>
  </si>
  <si>
    <t>Wales, United Kingdom</t>
  </si>
  <si>
    <t>Hi I'm Ruth 👾 Line Dance Instructor 💃 @ Self Employed 💃 DM me for class info #Hashtagger 🦋</t>
  </si>
  <si>
    <t>D Block</t>
  </si>
  <si>
    <t>pitt</t>
  </si>
  <si>
    <t>Uncompromising Excellence</t>
  </si>
  <si>
    <t>Pradeep Chandran</t>
  </si>
  <si>
    <t>Mother India. 🙏🙏🇮🇳🇮🇳🇮🇳</t>
  </si>
  <si>
    <t>Marcy Renfrow</t>
  </si>
  <si>
    <t>Ian Shipley</t>
  </si>
  <si>
    <t>Joe Coz</t>
  </si>
  <si>
    <t>spxindex​.​com</t>
  </si>
  <si>
    <t>Stocks Slip to Start the Week on Disappointing Earnings https://t.co/GPw84V4tzA $SPX</t>
  </si>
  <si>
    <t>^GSPC, INX, $SPX</t>
  </si>
  <si>
    <t>S&amp;P 500 index. In perspective. By @wonkmonk_. 📈 $SPX #SP500 https://t.co/qaXGzC45Hx</t>
  </si>
  <si>
    <t>Douglas Hindman</t>
  </si>
  <si>
    <t>RT @WSJmarkets: Stocks slip to start the week https://t.co/zdpPuZTb6X via @akaneotani @GoldRiva</t>
  </si>
  <si>
    <t>Jackson, MS</t>
  </si>
  <si>
    <t>Douglas Hindman is the president of Hindman Resources and the owner and principal of Gulf Relay, LLC.</t>
  </si>
  <si>
    <t>Jay Allen</t>
  </si>
  <si>
    <t>masao</t>
  </si>
  <si>
    <t>2010年9月より毎晩…電磁波兵器照射被害を受けている｡ネットで掘り下げて調べる程に東アジア諸国の話題に遭遇する。電磁波照射被害者のためフォローは慎重にしてください｡注）不審なフォロワー対策実施中…</t>
  </si>
  <si>
    <t>Elaina McCartney</t>
  </si>
  <si>
    <t>Photographer, human</t>
  </si>
  <si>
    <t>wir sind das Volk</t>
  </si>
  <si>
    <t>Mary Kay Goettsch</t>
  </si>
  <si>
    <t>Rio Pinar, FL</t>
  </si>
  <si>
    <t>Retired Chief Nursing Officer, Registered Independent, Feminist, voted for HRC. Mother and Grandmother. Detests Trump.</t>
  </si>
  <si>
    <t>Judith Harper</t>
  </si>
  <si>
    <t>#Takeaknee</t>
  </si>
  <si>
    <t>East Asia Group</t>
  </si>
  <si>
    <t>Japan's Abe to push pacifist constitution reform after strong election win https://t.co/ds27XMxCZU @Reuters</t>
  </si>
  <si>
    <t>#EastAsia #Business #Economy #Geopolitics #PoliticalRisk #Strategy #FDI #Investment #Trade #MandA #China #Japan #Korea #HongKong #Taiwan #Philippines</t>
  </si>
  <si>
    <t>Carrie T</t>
  </si>
  <si>
    <t>EA GRP</t>
  </si>
  <si>
    <t>RT @EastAsiaGroup: Japan's Abe to push pacifist constitution reform after strong election win https://t.co/ds27XMxCZU @Reuters</t>
  </si>
  <si>
    <t>East Asian affairs and strategic advisory firm tweeting on #business, #cultural, #economic, #political and #social matters in #EastAsia.</t>
  </si>
  <si>
    <t>Joy Roehnert</t>
  </si>
  <si>
    <t>Orlando, FL</t>
  </si>
  <si>
    <t>Christian, Ex-GOP 35 years 'til Christie threw NJ under the bus, Wife,Mom &amp; GrandMom of the cutest, happiest baby,ex-AF Nurse/Penn Nurse</t>
  </si>
  <si>
    <t>Allegra VH Green</t>
  </si>
  <si>
    <t>Stamford, CT</t>
  </si>
  <si>
    <t>Allegra VH Green likes sports travel and music.</t>
  </si>
  <si>
    <t>Beth Parton</t>
  </si>
  <si>
    <t>College Counselor, Love to dance, Love music. Dislike antagonism, life is short, Live it daily. Cat Lover🐾🐾! I enjoy a glass of wine with my friends.</t>
  </si>
  <si>
    <t>rini</t>
  </si>
  <si>
    <t xml:space="preserve">Top of the tower </t>
  </si>
  <si>
    <t>Diplomat, Indian Foreign Service (IFS), Currently serving as the Deputy Chief of Mission, Embassy of India,Berlin. Views are personal. RT is not endorsement.</t>
  </si>
  <si>
    <t>Roberto Pretell</t>
  </si>
  <si>
    <t>Perú</t>
  </si>
  <si>
    <t>Interesado en los desastres (política) y la atención hospitalaria. Mirar los hechos desde otra perspectiva, con sentido común y enfoque económico.</t>
  </si>
  <si>
    <t>ss44</t>
  </si>
  <si>
    <t>Karla Cordero Rojas</t>
  </si>
  <si>
    <t>Costa Rica</t>
  </si>
  <si>
    <t>| Profesora de Estudios Sociales | Estudiante de Periodismo | Corista (Voz Mezzosoprano Lírica) | Filántropa | Melómana | Hija | Hermana | Tía | Mujer</t>
  </si>
  <si>
    <t>herbcalendar</t>
  </si>
  <si>
    <t>JHE</t>
  </si>
  <si>
    <t>CatDski</t>
  </si>
  <si>
    <t>San Francisco Bay Area</t>
  </si>
  <si>
    <t>Small Biz Owner, Love Dogs &amp; All Animals &amp; Earth, Praying for our Country 🇺🇸&amp; All Military including Intel Community, #Resist #ButShePersisted</t>
  </si>
  <si>
    <t>Sherri Wilkie</t>
  </si>
  <si>
    <t>abbie</t>
  </si>
  <si>
    <t>perception</t>
  </si>
  <si>
    <t>mortality</t>
  </si>
  <si>
    <t>Liza Marie</t>
  </si>
  <si>
    <t>Fairfield, CA</t>
  </si>
  <si>
    <t>Family: USAF dad, US Army grandpa, US Navy grandpa, US Marine bro &amp; bro in law. Dedicated along with my family to fight terrorists both foreign and domestic.</t>
  </si>
  <si>
    <t>Plaid Japan</t>
  </si>
  <si>
    <t>The attitude of Abe toward North Korean may be one of the main reason why he won the election. https://t.co/JvO0pdVnPv</t>
  </si>
  <si>
    <t>The Plaid Avenger's updates on news from Japan.</t>
  </si>
  <si>
    <t>Penny Lane</t>
  </si>
  <si>
    <t>Não existe diálogo com fascista.</t>
  </si>
  <si>
    <t>Michael Damico</t>
  </si>
  <si>
    <t>Chester, Virginia</t>
  </si>
  <si>
    <t>30 year retired Army Sergeant Major 2 War Vet, retired Civil Servant</t>
  </si>
  <si>
    <t>Bond Report: Treasury yields hold ground as investors await Trump’s nominee for Fed boss https://t.co/f269G5ZCz2</t>
  </si>
  <si>
    <t>Merri Younce</t>
  </si>
  <si>
    <t>Blocked by General John F Kelly Unabashed social liberal and atheist. Despise all things Orange #TheResistance #trumprussia #ImpeachTrump Trumpanzees blocked!</t>
  </si>
  <si>
    <t>Alison Coon</t>
  </si>
  <si>
    <t>Linda Slay</t>
  </si>
  <si>
    <t>Retired, and...loving Life</t>
  </si>
  <si>
    <t>Mike the Saint</t>
  </si>
  <si>
    <t>Liberal Socialistic Democrat; Father; Artist; Retired and ready to move to Canada - If you're offended by foul language, don't follow #TheResistance #Resist</t>
  </si>
  <si>
    <t>Japan News</t>
  </si>
  <si>
    <t>Ruling bloc to focus on constitution reform after election win - Japan Today https://t.co/RGIpJlrLMF</t>
  </si>
  <si>
    <t>Lawsuits filed to nullify election outcome over vote disparity - Japan Today https://t.co/o3s389FyEI</t>
  </si>
  <si>
    <t>IoD New Zealand</t>
  </si>
  <si>
    <t>Is Japan's Sunday snap election good for investors? https://t.co/ZOv0lL6AIj</t>
  </si>
  <si>
    <t>Wellington, New Zealand</t>
  </si>
  <si>
    <t>Working to raise the standard of governance and guide New Zealand businesses to greater success. Official account of the Institute of Directors in New Zealand.</t>
  </si>
  <si>
    <t>Toby Todd</t>
  </si>
  <si>
    <t>RT @Social_Media_b5: Bond Report: Treasury yields hold ground as investors await Trump’s nominee for Fed boss https://t.co/f269G5ZCz2</t>
  </si>
  <si>
    <t>Cibolo, TX</t>
  </si>
  <si>
    <t>Retired Green Beret, PH Recip, Viet Vet, Son is Combat Vet. Chargers, Pads, SDSU fan,1 year cancer survivor. Took me awhile but I'm on the Trump Train now!!</t>
  </si>
  <si>
    <t>Janardhana Shenoy</t>
  </si>
  <si>
    <t>Udupi, Karnataka</t>
  </si>
  <si>
    <t>Hanuman Group of Concerns and Hide out Restaurants.</t>
  </si>
  <si>
    <t>Japan's Abe to push pacifist constitution reform after strong election win https://t.co/87jRsN3mTz</t>
  </si>
  <si>
    <t>兵頭正俊</t>
  </si>
  <si>
    <t>自宅</t>
  </si>
  <si>
    <t>著作は『猶予の四日間』など。現在、メルマガ『兵頭正俊の優しさ出前』(有料・月水金) http://t.co/tRHDP1k2 と、『兵頭正俊の知らなきゃ滅ぶニュースの真相』(無料・ほぼ週刊)ＰＣ http://t.co/XuplEQnV 携帯 http://t.co/NsghHZz6 を発行。</t>
  </si>
  <si>
    <t>Jan.3 ♑</t>
  </si>
  <si>
    <t>Tameka R.</t>
  </si>
  <si>
    <t>Tim</t>
  </si>
  <si>
    <t xml:space="preserve"> Hudson Valley NY </t>
  </si>
  <si>
    <t>Arts &amp; Culture Design &amp; Architecture News History Politics #FBR. hark now hear the sailors cry let our souls and spirits fly as we sail into the mystic</t>
  </si>
  <si>
    <t>Cloud SDN</t>
  </si>
  <si>
    <t>Japan Election Vindicates Shinzo Abe as His Party Wins Big - https://t.co/aH5XfG336G #SDN #IaaS</t>
  </si>
  <si>
    <t>Twitter iphone7 App</t>
  </si>
  <si>
    <t>Regensburg</t>
  </si>
  <si>
    <t>Software define Network, IaaS</t>
  </si>
  <si>
    <t>Sandie Kelly</t>
  </si>
  <si>
    <t>"Courage is rightly esteemed first of human qualities because it has been said, it is the quality which guarantees all other." W.C.</t>
  </si>
  <si>
    <t>Waka Hasegawa</t>
  </si>
  <si>
    <t>RT @nytimes: Japan has one of the worst records in the world for electing women. Polls on Sunday are unlikely to change that. https://t.co/…</t>
  </si>
  <si>
    <t>Pianist, Co-Artistic Director of @BIPDF, piano teacher, ロンドン在住ピアニスト/音楽祭監督／My piano duo- @DuoPiano4Hands</t>
  </si>
  <si>
    <t>My Comfor</t>
  </si>
  <si>
    <t>#Typhoon leaves five dead after lashing #Japan on election day https://t.co/eRuwQzaNe6</t>
  </si>
  <si>
    <t>deutscher Sprachraum</t>
  </si>
  <si>
    <t>Das News- und HR/Job/M&amp;A-Portal mit ausgesuchtem Infotainment sowie SmartSearch-Kontakt- und Kommunikations-Support unter geschützter Identität der Parteien</t>
  </si>
  <si>
    <t>菅家博昭</t>
  </si>
  <si>
    <t>福島県昭和村、会津若松市、国内営業https://www.instagram.com/hiroakikanke/</t>
  </si>
  <si>
    <t>ツイッターの記事（過去ツイート）は数日で削除し更新しています。kankeは♂。福島県奥会津。昭和村大岐。専業農家、地域文化を探るライフワーク。</t>
  </si>
  <si>
    <t>rohini_shah</t>
  </si>
  <si>
    <t>💙for my country, followed by @narendramodi @AmitShah @sushilkedia @PiyushGoyalOffc @SanghaviHarsh @VinodChavdaBJP @TajinderBagga @VijayGoelBJP @VinitGoenka</t>
  </si>
  <si>
    <t>Juan Pablo Benavente</t>
  </si>
  <si>
    <t>Santiago, Chile</t>
  </si>
  <si>
    <t>Católico y conservador. Anticomunista, y opositor a todas las formas que ha adoptado el socialismo. Pinochetista. #VotaKast2 #MAGA</t>
  </si>
  <si>
    <t>NaMo Namah</t>
  </si>
  <si>
    <t>Kazushi N. | 長山一石</t>
  </si>
  <si>
    <t>What now for Japan after Abe's landslide election victory? https://t.co/KgwHT9vWBK</t>
  </si>
  <si>
    <t>Bay Area</t>
  </si>
  <si>
    <t>Kazushi Nagayama: Senior Ninja @Google. Doshisha &amp; LSE graduate. Dilettante. Anthropology, philosophy, data. All my views are belong to me. S+50ローラー/ジェット/ラピブラ</t>
  </si>
  <si>
    <t>🇺🇸🌿🕊🌿🌍</t>
  </si>
  <si>
    <t>making things complicated is simple. making things simple is complicated! The Blue/Green Owl ❤</t>
  </si>
  <si>
    <t>l.m.f.13</t>
  </si>
  <si>
    <t>Libby</t>
  </si>
  <si>
    <t>Lafayette, IN</t>
  </si>
  <si>
    <t>egamiday</t>
  </si>
  <si>
    <t>International Research Center for Japanese Studies (librarian) / 国際日本文化研究センター・図書館</t>
  </si>
  <si>
    <t>rose slater✡</t>
  </si>
  <si>
    <t>Carona del Mar, CA</t>
  </si>
  <si>
    <t>Thankful for all I have! Love my Crazy Family! Love the Pacific Ocean! SDSU Grad. #RESISTANCE djt is a HORROR! #ImpeachTrump</t>
  </si>
  <si>
    <t>mara zare</t>
  </si>
  <si>
    <t>wbisken_a</t>
  </si>
  <si>
    <t>蓬莱の左側辺・尾張西部</t>
  </si>
  <si>
    <t>腐系。子蟻(男女各１、成人済)。二次創作。表現規制。映画・古建築物（中古のビル＆屋上）・本＆古本・日本酒・wine・whiskey・干し芋・ヘタレオヤジ・内藤ルネ。</t>
  </si>
  <si>
    <t>Ashok Singh 🇮🇳</t>
  </si>
  <si>
    <t>Where I'M meant to be ..</t>
  </si>
  <si>
    <t>Man of Action at mission 350plus 2019,BJP member, News,Politics,Die-hard Fan of @narendramodi ,@PutinRF_Eng RSS,VHP,🚩honored to be followed by PM</t>
  </si>
  <si>
    <t>SIRS</t>
  </si>
  <si>
    <t>Dunedin City, New Zealand</t>
  </si>
  <si>
    <t>South Island Royalist Society promotes the retention of the Kiwi monarchy and we have concluded that CANZUK can help with this endeavour.</t>
  </si>
  <si>
    <t>南海先生</t>
  </si>
  <si>
    <t>After election win, Abe prioritizes North Korea, aging Japan (from @AP) https://t.co/BESj8TB9hk</t>
  </si>
  <si>
    <t>Chance,Challenge,Change ‼️RT of world news. 自分にも人にも甘い、天邪鬼です。</t>
  </si>
  <si>
    <t>Michiko*</t>
  </si>
  <si>
    <t>Live today. Thank you.</t>
  </si>
  <si>
    <t>summer 2013</t>
  </si>
  <si>
    <t>New Smyrna Beach, FL</t>
  </si>
  <si>
    <t>Excited to have Donald J Trump as our 45th President of the USA! wife, mother, lover of God, family, my country, the beach, NASCAR &amp; car #48!</t>
  </si>
  <si>
    <t>Marie Boyd</t>
  </si>
  <si>
    <t>J-TWISTAnonymous</t>
  </si>
  <si>
    <t>RT @Reuters: Powerful typhoon drenches Japan, soaks voters as they trudge to polls https://t.co/NxQM3dfPUe https://t.co/JpwZ2JTQh7</t>
  </si>
  <si>
    <t xml:space="preserve">Trafficante Cigar City </t>
  </si>
  <si>
    <t>Peace cannot be kept by force. It can only be achieved by understanding. Those who do not understand true pain cannot understand true peace #OpKKK #OpSerenaShim</t>
  </si>
  <si>
    <t>Peter S. Kahrmann</t>
  </si>
  <si>
    <t>Human rights activist, writer, writes the Kahrmann Blog.</t>
  </si>
  <si>
    <t>Manly Stuff</t>
  </si>
  <si>
    <t>James Cunningham</t>
  </si>
  <si>
    <t>Lover not a fighter ❤️😘</t>
  </si>
  <si>
    <t>オレの日本語はアフリカン</t>
  </si>
  <si>
    <t>Fucking FACEBOOK !! Time machine has not been developed, to go to yesterday! #facebook #election #JAPAN https://t.co/gn1S1VIKda</t>
  </si>
  <si>
    <t>北海道から実体験に基づくネタをメインに、ブログ「 オレの日本語はアフリカン 」 を書いている優しい人です。 → https://t.co/pPf2je2M19 ちなみに、生粋の日本人ですよ（笑）</t>
  </si>
  <si>
    <t>Liberal Hawk</t>
  </si>
  <si>
    <t>An idealist without illusions. A liberal mugged by reality. 🦉🦅🗽🇺🇸</t>
  </si>
  <si>
    <t>Heather Young</t>
  </si>
  <si>
    <t>I believe in the human race. Just discouraged that doesn't currently include the POTUS &amp; co.</t>
  </si>
  <si>
    <t>Resking</t>
  </si>
  <si>
    <t>Teacher, guitar player, Husky fan.</t>
  </si>
  <si>
    <t>Bengal Cat</t>
  </si>
  <si>
    <t>Cheryl kim</t>
  </si>
  <si>
    <t>Satan</t>
  </si>
  <si>
    <t>United States of Hell</t>
  </si>
  <si>
    <t>Dip Dip Potato Chip</t>
  </si>
  <si>
    <t>dgosse</t>
  </si>
  <si>
    <t>Proud Catholic. Conservative. loves to cook, especially Peruvian cuisine. Supporter of Marco Rubio! Loves dogs, especially German shepherds!</t>
  </si>
  <si>
    <t>Bruhannale</t>
  </si>
  <si>
    <t>@RichAmericanDoc @TheEconomist The economist always bet on failed leaders to win election. This has been disproved… https://t.co/O84pXzLaI8</t>
  </si>
  <si>
    <t xml:space="preserve">Southern Power Grid </t>
  </si>
  <si>
    <t>卐 SEO 卐 Winfluencer 卐 Not That Urban 卐 Swastika is Rad for Stability 卐 Serial Pollster 卐 ( ͡º ͜ʖ ͡º) 卐</t>
  </si>
  <si>
    <t>Anonymous</t>
  </si>
  <si>
    <t>Multiple anons reporting Anonymous intel, world news, resistance/occupy movements, opinions, and global operations to the public. 🏴</t>
  </si>
  <si>
    <t>euronews</t>
  </si>
  <si>
    <t>Japan election: Abe hails massive win, but what now for the country's pacifist constitution? https://t.co/ceBpieYal6 https://t.co/nXtsFSgDTh</t>
  </si>
  <si>
    <t>Most watched news channel in Europe. We tweet in 12 languages. Choose yours: https://t.co/DYM9KkhB0s You can DM us to contact the newsroom</t>
  </si>
  <si>
    <t>1TN2018🌐🕇🇪🇺😱🎃</t>
  </si>
  <si>
    <t>RT @euronews: Japan election: Abe hails massive win, but what now for the country's pacifist constitution? https://t.co/ceBpieYal6 https://…</t>
  </si>
  <si>
    <t>For good and truthful news, follow me.</t>
  </si>
  <si>
    <t>NeeVA</t>
  </si>
  <si>
    <t>DMV</t>
  </si>
  <si>
    <t>Veteran. Inclusive. likes &amp; RT sharing info. I vote 🇺🇸 interests 1st! BoSox, Patriots, Celtics, Bruins! Gives infinite # of second chances. PMP</t>
  </si>
  <si>
    <t>Aydın Adam</t>
  </si>
  <si>
    <t>South Florida</t>
  </si>
  <si>
    <t>Live, love, laugh. Poet, thinker, observer, loving this ride we call life. Aydin = long-haired; enlightened. Adam = Man. International Man of Mystery 🇪🇺🇭🇹</t>
  </si>
  <si>
    <t>💲😍YaBoiRoBo😍💲</t>
  </si>
  <si>
    <t>👇🏼👇🏼❗️ClickLink❗️👇🏼👇🏼</t>
  </si>
  <si>
    <t>19 yrs old, NewYouTuber🎥, Social Media Influencer #MorePLessN🗣Positive Vibes💯 ⭐️🗣ClickThatLink 💥👇🏼👇🏼CheckOutMyChannel 💸❗️🔙🆙👉🏼@RoBo2Times👈🏻❗️💸</t>
  </si>
  <si>
    <t>RT euronews "Japan election: Abe hails massive win, but what now for the country's pacifist constitution? … https://t.co/IuK88dJqux"</t>
  </si>
  <si>
    <t>Mercados con MarcoFX</t>
  </si>
  <si>
    <t>Senior Global Account Manager at AVATRADE Portugal / Contactame: m.dacosta@avatrade.com Mercados con Marco Da Costa 'Tu mejor aliado' Trader &amp; Markets Analyst</t>
  </si>
  <si>
    <t>Kiyoshi Hara</t>
  </si>
  <si>
    <t>Japan's election results show women making little progress despite Abe's landslide victory (10/23 JapanTimes) https://t.co/jzJdGq9J1j</t>
  </si>
  <si>
    <t>インタラクティブ・メディア, Web制作, HTML, CSS, JavaScript, Apple, iPhone Apps, #DDJ などについてはあまりつぶやきません。#jishin_e でスルー力を試しましょう。夜な夜な52ヘルツの周波数で歌ってます。</t>
  </si>
  <si>
    <t>Mary Minniear</t>
  </si>
  <si>
    <t>Naomi Canton</t>
  </si>
  <si>
    <t>London Journalist who covers Indian/Asian affairs. Writes for Times of India, also published in https://t.co/7MKO8MrDhL, WSJ, The Times. etc. Prev HT.</t>
  </si>
  <si>
    <t>はっさくのひと。</t>
  </si>
  <si>
    <t>器はおちょこ一杯分だし、金箔より薄っぺらな人生だし、井戸の外に出ても中しか見てないし、長いものには巻かれるし、お金と可愛い女の子に弱いし、元々馬鹿だったかもしれないけどメンドくさいから馬鹿のふりしてたらバカになっちゃったし、見かけ倒しだし、</t>
  </si>
  <si>
    <t>What now for Japan after Abe's landslide election victory? (10/23 Guardian) https://t.co/xQwp7Ei3OX</t>
  </si>
  <si>
    <t>Andrew Mundell</t>
  </si>
  <si>
    <t>I'm a Unionist and Royalist, and Investor. Love Wildlife Politics Skype Name Andym0911 Oh and im disabled. I don't always agree with what I RT</t>
  </si>
  <si>
    <t>Marili Cancio</t>
  </si>
  <si>
    <t>Proud American sworn to defend US Constitution #Florida #TV #Radio #Brazil #Cuba #Venezuela #Education #Politics #MAGA #LetsKeepWorking #IA1A Español Português</t>
  </si>
  <si>
    <t>Metamorphosis👽</t>
  </si>
  <si>
    <t>I'm aliiiive</t>
  </si>
  <si>
    <t>Ashutosh S.</t>
  </si>
  <si>
    <t>Arrah, India</t>
  </si>
  <si>
    <t>जो दृढ राखै धर्म को, तिहीं राखै करतार</t>
  </si>
  <si>
    <t>Japan's Abe to push pacifist constitution reform after strong election win https://t.co/PVfJAi0JUF #cyberattacks</t>
  </si>
  <si>
    <t>おこちゃん</t>
  </si>
  <si>
    <t>हिंद के सच्चे शूरवीर</t>
  </si>
  <si>
    <t xml:space="preserve">हिंदू राष्ट्र भारत </t>
  </si>
  <si>
    <t>Vagabond</t>
  </si>
  <si>
    <t>ミナセン(みんなで選挙)あいづ</t>
  </si>
  <si>
    <t>福島県会津地方</t>
  </si>
  <si>
    <t>選挙で変える。選挙でつながる。 『ミナセンあいづ』は福島県会津地方の｢市民選対勝手連」ネットワークです。幅広い市民や団体が、やわらかながらしっかりとつながれる場を目指します。※投稿、RT、フォローなどはアカウント管理人の個人的判断でさせていただいてます。</t>
  </si>
  <si>
    <t>Arukimak</t>
  </si>
  <si>
    <t>日本国某所</t>
  </si>
  <si>
    <t>こんにちわ！！！！</t>
  </si>
  <si>
    <t>Ruling bloc to focus on constitution reform after election win https://t.co/vN8iGSH9HJ #usedcar #japan</t>
  </si>
  <si>
    <t>Lawsuits filed to nullify election outcome over vote disparity https://t.co/NnPWVheOLz #usedcar #japan</t>
  </si>
  <si>
    <t>ChuChuOPi</t>
  </si>
  <si>
    <t>RT @martfack: Abe’s coalition heading for another landslide victory in Japan election: already have 240 seats vs opposition’s 83. https://…</t>
  </si>
  <si>
    <t>Tokyo Japan in NATURAL SPIRIT</t>
  </si>
  <si>
    <t>【ＴＨＥ ＮＡＴＵＲＡＬ ＮＡＶＩＧＡＴＯＲ】──ちゅちゅおぴ通信（ロング・ツイート・トーク・ラジオ）【Talk Radio Long Tweet @ChuChuOPico】ReNews Post (Japanese edition) : Edited by @ChuChuOPico × R TED TALK</t>
  </si>
  <si>
    <t>Anthony Clark Arend</t>
  </si>
  <si>
    <t>Senior Associate Dean &amp; Professor, Walsh School of Foreign Service at GeorgetownUniversity, @GUPolitics Faculty Liaison</t>
  </si>
  <si>
    <t>US World Press</t>
  </si>
  <si>
    <t>Japan's Abe Cements Power With Strong Election Win #WorldNews</t>
  </si>
  <si>
    <t>ABC News 4</t>
  </si>
  <si>
    <t>くにこう</t>
  </si>
  <si>
    <t>絶滅危惧種とも言われてる産婦人科で働いてるよ。 時間が無くて、フォロー数増やすと見切れないので、 余程じゃないとフォロー出来ないけど、ご了承を(汗)。</t>
  </si>
  <si>
    <t>eqtr8er</t>
  </si>
  <si>
    <t>equities/futures trader/real estate #TheResistance #StrongerTogether #NoFacistUSA I retweet alot and tweet an occasional expletive to express my outrage.</t>
  </si>
  <si>
    <t>Japan's Shinzo Abe Conjures Stunning Election Victory in a Boost for Donald Trump | https://t.co/uf0xjbAxb7 | #Iran</t>
  </si>
  <si>
    <t>James Thompson</t>
  </si>
  <si>
    <t>Wildomar California</t>
  </si>
  <si>
    <t>Laker fan since 1962, SF Giants/SF49ers/Sooner fan since 1968. Retired US Postal Service Mgr, US Vietnam Era Disabled Navy Veteran.</t>
  </si>
  <si>
    <t>Dougie</t>
  </si>
  <si>
    <t>Bay Area, CA</t>
  </si>
  <si>
    <t>A deplorable conservative. #Legalimmigrant #Veteran #Catholic #Alllivesmatter #Bluelivesmatter #MAGA</t>
  </si>
  <si>
    <t>いずも ひゅうが@お茶の間に届けよう</t>
  </si>
  <si>
    <t>西多摩飛行場周辺</t>
  </si>
  <si>
    <t>ホ〜ラ見ろオジさんのいうこときかないから。なっ？オジさんの言うことは大体正しいんだよ。オジさんの80％は正しさでできていま〜〜す♪</t>
  </si>
  <si>
    <t>Flint, MI</t>
  </si>
  <si>
    <t>I study I learn for my self if you believe everything you hear they have you hook line and sinker I grew up the hard way my mom and dad were share cropers</t>
  </si>
  <si>
    <t>Info Security</t>
  </si>
  <si>
    <t>RT @EggmanOrWalrus: Japan's Abe to push pacifist constitution reform after strong election win https://t.co/PVfJAi0JUF #cyberattacks</t>
  </si>
  <si>
    <t>ifnotseceurity</t>
  </si>
  <si>
    <t>Info Security Latest News</t>
  </si>
  <si>
    <t>Security Testing</t>
  </si>
  <si>
    <t>helloworld-b</t>
  </si>
  <si>
    <t>News Hub! Get the latest Security News &amp; Updates!</t>
  </si>
  <si>
    <t>Security News</t>
  </si>
  <si>
    <t>allisfortestingosas</t>
  </si>
  <si>
    <t>Information Security News</t>
  </si>
  <si>
    <t>thisthreadfolks</t>
  </si>
  <si>
    <t>Tweets just my views.Retweets not necessarily endorsements.Loves fair discussion.Strangers with unmatched interests will be blocked without hesitation.</t>
  </si>
  <si>
    <t>"https://t.co/QOKBMk0cjW"Japan's Shinzo Abe Conjures Stunning Election Victory in a Boost for Donald Trump #Ειδήσε… https://t.co/Hd9iA8HkaX</t>
  </si>
  <si>
    <t>ゆみぃ</t>
  </si>
  <si>
    <t>Nancy JC</t>
  </si>
  <si>
    <t>Veteran</t>
  </si>
  <si>
    <t>Vlora Çitaku</t>
  </si>
  <si>
    <t>Ambassador of Kosovo to USA. A daughter,sister, auntie,proud godmother,a friend.And,of course the most loyal FC Barcelona fan.Re-tweets not always endorsement</t>
  </si>
  <si>
    <t>Nervous J</t>
  </si>
  <si>
    <t>@ChocolaRei From the look of it, Abe's party did a lot of work getting out and getting people to vote. Koike wasn't… https://t.co/wlmXRgEFgd</t>
  </si>
  <si>
    <t>Stuck in my house. I do everything, but video games and music, mostly. Game dev. Bad speedrunner. Wannabe-social commentator. 私の日本語はまだ未熟です</t>
  </si>
  <si>
    <t>peacock</t>
  </si>
  <si>
    <t>Business real estate politics</t>
  </si>
  <si>
    <t>Alice-Sofia Savitsky</t>
  </si>
  <si>
    <t>https://t.co/6Fbm3SVY72 @Japan is back:began road to becoming main power@ Pacific region.1st-Nkorea: no more missiles@ Japan sky!Good luck!</t>
  </si>
  <si>
    <t>Christian. American. Independent. Website “Christian’s Mind&amp;the World”: https://t.co/yleCZgqJUq Hobby: https://t.co/s5njK4TxKu</t>
  </si>
  <si>
    <t>Man Krip</t>
  </si>
  <si>
    <t>Japan's Abe to push pacifist constitution reform after strong election win https://t.co/hZWSl7uveY</t>
  </si>
  <si>
    <t>Soul Food</t>
  </si>
  <si>
    <t>Japan's leader just won a resounding election victory, but he's still unpopular https://t.co/mi0e10p0Iw</t>
  </si>
  <si>
    <t>SparklingColors</t>
  </si>
  <si>
    <t>Eat well and be happy</t>
  </si>
  <si>
    <t>Bitch Pls..</t>
  </si>
  <si>
    <t>Honolulu, HI</t>
  </si>
  <si>
    <t>Timepass= Fucking with hypocrites, pseudo seculars &amp; presstitutes. CANNABIS FANATIC. I know my strains and my keif.</t>
  </si>
  <si>
    <t>North Korea blasts Japan for using election to 'pave groundwork' for invasion | The Japan Times https://t.co/IyGtAvBgMg</t>
  </si>
  <si>
    <t>Bond Report: Treasury yields hold ground as investors await Trump’s nominee for Fed boss https://t.co/vzlsN3G3SS via @bllshbrsh</t>
  </si>
  <si>
    <t>にゃんにゃん＠ゴロゴロ</t>
  </si>
  <si>
    <t>Kushal Agrawal</t>
  </si>
  <si>
    <t>Bharatiya, Student Activist, Mumbai University.</t>
  </si>
  <si>
    <t>बिन्दु व्यास</t>
  </si>
  <si>
    <t>Professor of #IBECOM. Educating self and students to be #BAWSE, #PALS, to get Back to Basic #BtB, feels that many things get #lostintranslation</t>
  </si>
  <si>
    <t>Arvind</t>
  </si>
  <si>
    <t>I believe that universe is one family. I hate ideologies of hatred - those who hate people on the basis of religion, caste, race, color, sex or nationality.</t>
  </si>
  <si>
    <t>ryu hyo bong</t>
  </si>
  <si>
    <t>Seoul, South Korea</t>
  </si>
  <si>
    <t>CEO at noridan Inc. We Play, Imagine and Create. Rediscovery the value changes our lives. Connecting Youth,Community and the World through the Arts &amp; Culture.</t>
  </si>
  <si>
    <t>(((Jim 🥐 Prall)))</t>
  </si>
  <si>
    <t>Toronto, Canada</t>
  </si>
  <si>
    <t>Ines Emera</t>
  </si>
  <si>
    <t>Congratulations to His excellency Minister Shinzo Abe san https://t.co/0fDM6FrciM</t>
  </si>
  <si>
    <t>Daughter of the Almighty God,Techy geek and Inna.</t>
  </si>
  <si>
    <t>John Teets</t>
  </si>
  <si>
    <t>Maulik Doshi</t>
  </si>
  <si>
    <t xml:space="preserve">Calgary, Canada. </t>
  </si>
  <si>
    <t>Grand-son of a Freedom fighter, Musician,sportsperson,Extrovert,Engineer, Traveler,Spiritual,Mountaineer, Wildlife lover,shayar,supply chain for living&amp; bhakt</t>
  </si>
  <si>
    <t>Ruling bloc to focus on constitution reform after election win - https://t.co/pxoRKVcfgY Prime Minister Shinzo Abe, buoyed by a huge elec...</t>
  </si>
  <si>
    <t>Jonas Ortiz Lopez</t>
  </si>
  <si>
    <t>Cayey</t>
  </si>
  <si>
    <t>Christian, Real Estate Broker and Entrepenuer.</t>
  </si>
  <si>
    <t>じぱんぐ@写真は靖国の桜</t>
  </si>
  <si>
    <t>原発賛成/たぶん保守派/日本は日本人の為の国-悪さをする外国人や売国奴は出てけ/生まれ育った日本を誇りに思うのが普通/無言フォロー歓迎、※関係ないアカ,極端過ぎる人,一般？はフォロバ無し/遅めです</t>
  </si>
  <si>
    <t>Lawsuits filed to nullify election outcome over vote disparity - https://t.co/MXZaJ1QomW Two groups of lawyers are filing a series of law...</t>
  </si>
  <si>
    <t>Japan’s Election: ‘TINA’ to Abe - https://t.co/OfJPpjUu45 #Finance</t>
  </si>
  <si>
    <t>Diana Scott</t>
  </si>
  <si>
    <t>TPP Live Updates</t>
  </si>
  <si>
    <t>RT @franskoster070: #Abe, post-election, faces a new problem. The PM's economic bet on U.S. president #Trump is backfiring. #TPP https://t.…</t>
  </si>
  <si>
    <t>All updates on #TPP agreement in the news. Stay fully informed on its progress towards entry into force ... or its demise!</t>
  </si>
  <si>
    <t>USA Press Today</t>
  </si>
  <si>
    <t>TRT World</t>
  </si>
  <si>
    <t>Shinzo Abe’s expected election win will make him Japan's longest-serving prime minister https://t.co/BlT0UJnB8e</t>
  </si>
  <si>
    <t>Where news inspires change. Features, opinion, video, and in-depth coverage. Follow @TRTWorldNow for breaking news and live updates.</t>
  </si>
  <si>
    <t>CasinoOrg</t>
  </si>
  <si>
    <t>#ShinzoAbe Election Win May Improve Odds of #Casinos for #Japan https://t.co/GLHsvn2fsM https://t.co/Ni0cxEthHy</t>
  </si>
  <si>
    <t>The world's premier guide for online gambling enthusiasts. Visit our facebook page https://t.co/YWJUmbjw9U and our website:</t>
  </si>
  <si>
    <t>Sam Shaw</t>
  </si>
  <si>
    <t>Phil Shepherd 🇬🇧</t>
  </si>
  <si>
    <t>Reading, England</t>
  </si>
  <si>
    <t>Tryna be a 📸 guy RT/AH/FH/SP7/ 🐓💚💛🌲 ~ Keep moving forward ~ House Stark 🐺 https://t.co/RjTRcPlhH6 d u b b e r n a u g h t Son of Franku</t>
  </si>
  <si>
    <t>Japan's Abe to push pacifist constitution reform after strong election win.. https://t.co/Xvsn06XP5G</t>
  </si>
  <si>
    <t>Chase Weston Tobin</t>
  </si>
  <si>
    <t>TOKYO (Reuters) - Prime Minister Shinzo Abe, buoyed by a huge election win for lawmakers who favor revising... https://t.co/qNk3igPlGS</t>
  </si>
  <si>
    <t>SGT, USMC VET. @MilMuscleInc ATHLETE. @SLR_Nutrition Ambassador. DISCOUNT CODE: ⚡️SUPERHEROESAREREAL ⚡️ Motivational Speaker (LINK BELOW)</t>
  </si>
  <si>
    <t>let's handle mexico</t>
  </si>
  <si>
    <t>What Japan’s Election Outcome Means for the US, East Asia https://t.co/XlUa2xvtuJ</t>
  </si>
  <si>
    <t>Centre. Ala</t>
  </si>
  <si>
    <t>I'm a 35yr old was a #PowerLineMan Since I was 19 till 3yrs ago back gave out now I'm a tweetkr geekier sometime ☝all night retweeter http://t.co/U1TxHqKuiU</t>
  </si>
  <si>
    <t>Jude</t>
  </si>
  <si>
    <t>Abe gets go-ahead on economy, prompting unease over constitution- Nikkei Asian Review https://t.co/Z3l13vam0y</t>
  </si>
  <si>
    <t xml:space="preserve">New Zealand  paper.li/JUDENZ </t>
  </si>
  <si>
    <t>I value Honesty, Hard Work, Integrity. I hold the military in the highest regard along with my unwavering Admiration &amp; Respect for the United States. #Patriot</t>
  </si>
  <si>
    <t>rosa</t>
  </si>
  <si>
    <t>{ RP }</t>
  </si>
  <si>
    <t>okay so i'm a little dumb.</t>
  </si>
  <si>
    <t>Western Free Press</t>
  </si>
  <si>
    <t>What Japan’s Election Outcome Means for the US, East Asia https://t.co/d5yYumy5qh</t>
  </si>
  <si>
    <t xml:space="preserve">Arizona </t>
  </si>
  <si>
    <t>To preserve the permanent principles of Western Civilization - Straight News ⇋ Strong Opinion. WFR Network is streaming 24/7 at https://t.co/RhNaBNk6cy</t>
  </si>
  <si>
    <t>Japan's Abe to push pacifist constitution reform after strong election win.. https://t.co/ykLwp2jQyo</t>
  </si>
  <si>
    <t>dun be annoying</t>
  </si>
  <si>
    <t>+666</t>
  </si>
  <si>
    <t>At ebb tide I wrote a line upon the sand, gave it all my heart and soul. At flood tide I returned to read what I had inscribed and found my ignorance.</t>
  </si>
  <si>
    <t>Jason Pfaff</t>
  </si>
  <si>
    <t>RT @Nadex: .@Jmpfaff says given the events of the past week in Japan (election, typhoon) #JPY has reason to drop this week. https://t.co/cI…</t>
  </si>
  <si>
    <t>The District</t>
  </si>
  <si>
    <t>Forecasts, strategic foresight, innovation</t>
  </si>
  <si>
    <t>Tom Carlon</t>
  </si>
  <si>
    <t>RT @BBCWorld: Japan goes to the polls in snap election https://t.co/eKc9jQD0Ae</t>
  </si>
  <si>
    <t>jane doe</t>
  </si>
  <si>
    <t>Passionate with many voices, wounded healer. Believer and skeptic. Poet and artist. My personal content is copyrighted. 🌱</t>
  </si>
  <si>
    <t>Jade Dragon</t>
  </si>
  <si>
    <t>Regular person</t>
  </si>
  <si>
    <t>WGMurph</t>
  </si>
  <si>
    <t>Former political agnostic, current freedom fighter, slayer of Orange Skinned Buffoonery #TheResistance</t>
  </si>
  <si>
    <t>Ayushman Singh</t>
  </si>
  <si>
    <t>Boycott The NFL</t>
  </si>
  <si>
    <t>#Heritage: What Japan’s Election Outcome Means for the US, East Asia https://t.co/B6AFthjdWo #TCOT</t>
  </si>
  <si>
    <t>CyberSpace</t>
  </si>
  <si>
    <t>USMCR Air Delivery. Slightly to the right of Genghis Khan. Proudly blocked by Sharpton's National Extortion Network @Rosie, @splcenter &amp; @LenaDunham</t>
  </si>
  <si>
    <t>Jerry (PEIFENG LI)</t>
  </si>
  <si>
    <t>Japan's Abe hails landslide victory in snap election @CNN https://t.co/mX8B1MdmLZ #jlabnews</t>
  </si>
  <si>
    <t>Filmmaker</t>
  </si>
  <si>
    <t>メディア社会学への招待、法政大学社会学部</t>
  </si>
  <si>
    <t>〒194-0298町田市相原町4342法政大学社会学部</t>
  </si>
  <si>
    <t>法政大学社会学部メディア社会学科、学科入門科目「メディア社会学への招待」です。 関連情報等を可能な範囲で提供します。 学部は＠SOC_HOSEI_U、多摩キャンパスは@HOSEI_tama、関連アカウントは各リストでどうぞ。プロフィール等から所属（らしい）でフォローします。お返事、リプライ等はできるときだけです。</t>
  </si>
  <si>
    <t>Nagesh Singh</t>
  </si>
  <si>
    <t>Consul General of India for Southeastern United States</t>
  </si>
  <si>
    <t>Abe claims victory as powerful endorsement, may seek re-election next month | The Japan Times https://t.co/2C79QqCRW9</t>
  </si>
  <si>
    <t>中林　香</t>
  </si>
  <si>
    <t>東京都荒川区</t>
  </si>
  <si>
    <t>元フォーミュラカーレースドライバー Former formula car race driver （プロフィール詳細：https://t.co/Y0PO4Ck0o1） 現役引退後はチャイルドシート指導員、安全運転実技指導員として安全運転指導を行う。2010年3月 青山学院大学心理学科卒。</t>
  </si>
  <si>
    <t>Deplorable SGT Rich</t>
  </si>
  <si>
    <t>RT @yojudenz: Abe gets go-ahead on economy, prompting unease over constitution- Nikkei Asian Review https://t.co/Z3l13vam0y</t>
  </si>
  <si>
    <t>Liberty, NC</t>
  </si>
  <si>
    <t>USA MP 1973-76,1979-1985 active and reserve. Member NRA Retired and living in rural NC. #MAGA #GodBlessAmerica</t>
  </si>
  <si>
    <t>☆Ophidian Pilot☆</t>
  </si>
  <si>
    <t>What Japan’s Election Outcome Means for the US, East Asia https://t.co/fRqThoUxcQ via @DailySignal</t>
  </si>
  <si>
    <t>Fangs with an Attitude</t>
  </si>
  <si>
    <t>Combat #Veteran #NRA #Israel #TCOT #PJNET μολὼν λαβέ Hiss in this pit at your own risk</t>
  </si>
  <si>
    <t>Cary</t>
  </si>
  <si>
    <t>#HERITAGE What Japan’s Election Outcome Means for the US, East Asia https://t.co/JpDSUhXznX</t>
  </si>
  <si>
    <t>Libertarian Who, Believes in Life, Liberty &amp; Pursuit of Happiness, w\Responsibility for ones actions. ΜΟΛΩΝ ΛΑΒΕ constitution is our guide to live fair life!</t>
  </si>
  <si>
    <t>Rob Johnson</t>
  </si>
  <si>
    <t>New York/New Jersey</t>
  </si>
  <si>
    <t>#IAPEStrongerUnited Candidate for IAPE president. https://t.co/1TNqzI6Jbu FB: robjohnsoniape. Email: robjohnsonIAPE@gmail.com. (609) 375-8376.</t>
  </si>
  <si>
    <t>PaPaShArMFbI</t>
  </si>
  <si>
    <t>After election win, Abe prioritizes North Korea, aging Japan https://t.co/q7N4RlU8iS</t>
  </si>
  <si>
    <t>Cosmic representative , Mystic Humanism, Musician, Artist, Science, Nature ,wildlife Enthusiast.Time Traveler.</t>
  </si>
  <si>
    <t>Edgar Sánchez Toro</t>
  </si>
  <si>
    <t>Geographer and proud father passionate by nature, family, technology, community, languages and friends. Community volunteer @vcsbc @naccnt</t>
  </si>
  <si>
    <t>Annoyed BS Detector</t>
  </si>
  <si>
    <t>What Japan’s Election Outcome Means for the US, East Asia https://t.co/WhHlN97sz4 #tcot #teaparty</t>
  </si>
  <si>
    <t>The Anti-Anti-Trump Right</t>
  </si>
  <si>
    <t>Constitutional Conservative. Libs &amp; RINOs go away. It's all of you destroying the society &amp; conservatives must no longer appease you! #tcot #teaparty #pjnet</t>
  </si>
  <si>
    <t>Conservatives of Fl.</t>
  </si>
  <si>
    <t>What Japan’s Election Outcome Means for the US, East Asia https://t.co/7f4rPCG3pa #feedly</t>
  </si>
  <si>
    <t>The Conservative Party will rectify the consistent failures and corruption of the current two-party system. #ConservativeValuesMatter #tcot #ccot #tcot1</t>
  </si>
  <si>
    <t>Conservative Party</t>
  </si>
  <si>
    <t>What Japan’s Election Outcome Means for the US, East Asia https://t.co/AvUdvAxwdg #feedly</t>
  </si>
  <si>
    <t>Our mission is to re-establish the limits &amp; boundaries of Govt. as framed by the FoundingFathers #ConservativeValuesMatter #ConservativePartyUSA</t>
  </si>
  <si>
    <t>Blaine Bershad</t>
  </si>
  <si>
    <t>architect, charmed 2nd act, critical thinker, bee keeper, vegetarian, farmer: Think of those coming next: ALL human constructs eventually fail. Embrace Change.</t>
  </si>
  <si>
    <t>Keith Westbrook</t>
  </si>
  <si>
    <t>What Japan’s Election Outcome Means for the US, East Asia https://t.co/73scRFC9ig #feedly</t>
  </si>
  <si>
    <t>Gainesville, Florida</t>
  </si>
  <si>
    <t>I am here to punch liberal progressive socialists in the mouth with the truth! I will never stop, back down or quit! #ConservativeValuesMatter #tcot #ccot</t>
  </si>
  <si>
    <t>BASIL</t>
  </si>
  <si>
    <t>Tokyo,Japan/Oxford,UK 在住</t>
  </si>
  <si>
    <t>ツイ2010.1.27〜 元地方議員（無所属3期）家族（夫ドイツ人、小5・中等4・大学生）、ロンドンの反原発グループJANUKメンバー、スカウティング、UNWomen、自殺防止（いのちの電話相談員認定証所持）、お弁当、短時間正規職員、開設7日以内フォロワー15以下アカウントからのリプ・メンション自動ブロックツール使用中</t>
  </si>
  <si>
    <t>India in Atlanta</t>
  </si>
  <si>
    <t>Atlanta</t>
  </si>
  <si>
    <t>Welcome to the Twitter page of Consulate General of India in Atlanta.</t>
  </si>
  <si>
    <t>irony</t>
  </si>
  <si>
    <t>I want to be in there.</t>
  </si>
  <si>
    <t>Dance costume＆ radiation problems, love, happiness.</t>
  </si>
  <si>
    <t>H.O.N.</t>
  </si>
  <si>
    <t>RT @trtworld: Shinzo Abe’s expected election win will make him Japan's longest-serving prime minister https://t.co/BlT0UJnB8e</t>
  </si>
  <si>
    <t>Europe | Middle East | Africa</t>
  </si>
  <si>
    <t>Cool, calm and collected.</t>
  </si>
  <si>
    <t>Coco</t>
  </si>
  <si>
    <t>After election win, Japan PM takes aim at North Korea https://t.co/0zzWxtpYQ9</t>
  </si>
  <si>
    <t>@mini_dove</t>
  </si>
  <si>
    <t>TRUST NO ONE.</t>
  </si>
  <si>
    <t>bhaskar kumar</t>
  </si>
  <si>
    <t>Passionate and nationalist to the core. Non-religious and I hate double standard media and I m here to expose them.</t>
  </si>
  <si>
    <t>Newsography</t>
  </si>
  <si>
    <t>North Korea blasts Japan for using election to 'pave groundwork' for invasion https://t.co/hTQAHnyOWX #breakingnews #internationalrelations</t>
  </si>
  <si>
    <t>VISUALIZED! International Relations, Foreign Policy, &amp; Military Intelligence Research Tool. New! FREE!</t>
  </si>
  <si>
    <t>Troy Blackwell jr.</t>
  </si>
  <si>
    <t>NYC | DC</t>
  </si>
  <si>
    <t>Proud @ObamaWhiteHouse Alum via comms for @HillaryClinton, PB for @NYCCouncil, Edu Cmmtte @PRparadeNYC. Digital Strategist. Borinqueño 🇵🇷. Views are mine.</t>
  </si>
  <si>
    <t>global news</t>
  </si>
  <si>
    <t>What Japan’s Election Outcome Means for the US, East Asia https://t.co/ifaCOysGvO</t>
  </si>
  <si>
    <t>Cherry Coffee Lounge</t>
  </si>
  <si>
    <t>Cafe und Lounge mit netter Atmosphäre. Café lounge in a nice atmosphere. Coffee, teas and organic dishes. Berlin, München, London. PS: + Golden Retriever Carlos</t>
  </si>
  <si>
    <t>Doreen Devaney</t>
  </si>
  <si>
    <t>Woodgreen秋色に染まる</t>
  </si>
  <si>
    <t>Japan🇯🇵garden🌺trains🚃cat🐈UK🇬🇧 ジムで筋肉を育てているよ☺️</t>
  </si>
  <si>
    <t>atheist, vegetarian, against - religious scripture teaching to kids, for - ban on killing animals, rule of law, celebrate history and culture of hindustan</t>
  </si>
  <si>
    <t>Evelyn Kissinger</t>
  </si>
  <si>
    <t>uncle sam</t>
  </si>
  <si>
    <t>Watford, East</t>
  </si>
  <si>
    <t>Strongest possible devoted Hindu</t>
  </si>
  <si>
    <t>あいじゃん</t>
  </si>
  <si>
    <t>Paris-Leipzig-Tokyo</t>
  </si>
  <si>
    <t>映画と料理と服と食べる旅が好き。パリで和食教えつつ、年の半分はライプツィヒにいます。パリでお弁当の配達してます。詳しくはwebへ👇</t>
  </si>
  <si>
    <t>鈴木かずえ</t>
  </si>
  <si>
    <t>LOVE民主主義 立憲主義 個性の優れる方面に於いて各々やむなき表現をなせ🌈</t>
  </si>
  <si>
    <t>はぶ茶</t>
  </si>
  <si>
    <t>阿呆屋本舗</t>
  </si>
  <si>
    <t>花期花会 私は私の心と共謀する</t>
  </si>
  <si>
    <t>John Kelley</t>
  </si>
  <si>
    <t>Japan Election Vindicates Shinzo Abe as His Party Wins Big via @NYTimes https://t.co/u1brgj7jat</t>
  </si>
  <si>
    <t>Followings, retweets, and postings from news sources are neither indications of agreement nor endorsements.</t>
  </si>
  <si>
    <t>shizuko_okita</t>
  </si>
  <si>
    <t>ついっぷる for iPhone</t>
  </si>
  <si>
    <t>神奈川</t>
  </si>
  <si>
    <t>秋田県大仙市（旧大曲市）出身。 趣味は手芸全般。ちまちまと、しかし根詰めて、縫ったり編んだりするのが大好き。</t>
  </si>
  <si>
    <t>kathryn Lannom</t>
  </si>
  <si>
    <t>constitutionalist, retired hr professional, grandmom, freedom lover</t>
  </si>
  <si>
    <t>Pandit Dinesh Pathak</t>
  </si>
  <si>
    <t xml:space="preserve">USA ,Princeton </t>
  </si>
  <si>
    <t>ज्योतिषाचार्य,मोदी भक्त, priest political observer nationalist ,कट्टर हिंदू, सनातन धर्मall tweets r my personal view RT not endorsement</t>
  </si>
  <si>
    <t>321Brownbear</t>
  </si>
  <si>
    <t>A man constantly watching present Taiwan and Hong Kong. Also studying French and Mandarin. Classical Guitarist, also HR/HM Lover!</t>
  </si>
  <si>
    <t>indy aliconsina</t>
  </si>
  <si>
    <t>kirakira</t>
  </si>
  <si>
    <t>千葉市</t>
  </si>
  <si>
    <t>歌人、物書き、インタビュア（３００人ほどの職人、アーティスト、文化人を）。３・１１はスカイツリーの真下にいて、帰宅困難者、以降散歩を自重気味。フォローはゆっくり目。通い猫だった野猫の保護者に。いいね、RTは必ずしも賛成を意味しません。</t>
  </si>
  <si>
    <t>春夏秋冬</t>
  </si>
  <si>
    <t>ツィート数少ない方、差別発言を繰返す方は不可。原発廃止・TPP阻止、毎日意思表示！驕った 経営者、企業の商品は買わない、店は利用しない！人は唯一無二なるもの・ 偶然ではなく・すべてはちょうど・人の思いがつくる by 煩悩凡夫</t>
  </si>
  <si>
    <t>Rajaram M</t>
  </si>
  <si>
    <t>Avid Follower of Defence and Strategic Affairs, Insurance Expert, Entreprenuer</t>
  </si>
  <si>
    <t>Constitutional Drunk</t>
  </si>
  <si>
    <t>What Japan’s #Election Outcome Means for the #US, East Asia - https://t.co/6RudIpuiA0</t>
  </si>
  <si>
    <t>Repostingmachine</t>
  </si>
  <si>
    <t>USSANews.com</t>
  </si>
  <si>
    <t>Founder of the Tea Party's Front Page. NRA, USN. Old school, not PC. Followed by @DocThompsonShow &amp; @ETTalkShow. ΜΟΛΩΝ ΛΑΒΕ! (John 15:13.) https://t.co/6KcuJhU6nP</t>
  </si>
  <si>
    <t>RT @newsography1: North Korea blasts Japan for using election to 'pave groundwork' for invasion https://t.co/hTQAHnyOWX #breakingnews #inte…</t>
  </si>
  <si>
    <t>Spencer Rathus</t>
  </si>
  <si>
    <t>はるかっか🌼中に人が…こんな🌼</t>
  </si>
  <si>
    <t xml:space="preserve"> アイマス</t>
  </si>
  <si>
    <t>☆リベラル☆護憲派☆今回の自公維はナチス化の兆候があるそうです☆そして小池新党「希望の党」は最右翼‼️日本国憲法をリセットします‼️皆さん気をつけましょう☆☆ @gaba88010812は悪質な嫌がらせ行為をするネトウヨなので御注意⚠️</t>
  </si>
  <si>
    <t>氷室隆</t>
  </si>
  <si>
    <t>環境技術のライター。主人を持たぬ非営利ジャーナリストがわがくにに生まれることを信じている。</t>
  </si>
  <si>
    <t>Nancy Roman</t>
  </si>
  <si>
    <t>松球</t>
  </si>
  <si>
    <t>Antifa Baller,Love Streetball,Hate Racism favorite baller:M21(UD),ta-bo(UD),nobuchika,takato(平塚)shu(s.h.u.)政治的なRT多いです。『何かを始めるのに遅すぎることはない』『終わったんなら始めればいい』</t>
  </si>
  <si>
    <t>くらげ</t>
  </si>
  <si>
    <t>NGO心援隊事務局として、東北・関東の子ども達を放射能から守る活動をしています。 活動のこと、日々のことなどなど、つぶやいています。 猫とイルカとビターチョコとロックが好き。ライブ&amp;フェス熱再発。平和で農的な暮らし希望。自称トランスジェンダー。</t>
  </si>
  <si>
    <t>pramod shrivastava</t>
  </si>
  <si>
    <t>Chanakyapuri, New Delhi</t>
  </si>
  <si>
    <t>All things are possible by faith; nothing is impossible by United world.Founder of Reform India to promote India More than 30 years Entrepreneur&amp;: journalist;</t>
  </si>
  <si>
    <t>RT @themainichi: Voter turnout in Japan general election at 54%, 2nd-lowest since WWII #JapanVotes #JapanElection https://t.co/C3fX8gW9q0 h…</t>
  </si>
  <si>
    <t>つるおかじゅんこ</t>
  </si>
  <si>
    <t>Paris/Naha</t>
  </si>
  <si>
    <t>自由党を応援。トレードしながら欧州巡り。ビオラ弾き</t>
  </si>
  <si>
    <t>Neil Warner</t>
  </si>
  <si>
    <t>RT @mit_obe: There's a negative correlation between voter turnout and the number of seats for Japan's governing coalition https://t.co/7OCz…</t>
  </si>
  <si>
    <t>@YESocialists Vice-President and TCD postgrad researching economic policy in UK Labour, 1979-97. Views my own &amp; quite possibly wrong</t>
  </si>
  <si>
    <t>ken</t>
  </si>
  <si>
    <t>Japan to walk away from country’s 70-year pacifist stance as threat from North Korea increases. Rising sun again? https://t.co/tfIyxuMWPF</t>
  </si>
  <si>
    <t>Engineer &amp; MIL Veteran, fiecely Aussie, politeness important. My politics are not left or right. If fake news will call you on it. if you follow i will too</t>
  </si>
  <si>
    <t>Chike-Okoye Ifeanyi</t>
  </si>
  <si>
    <t>Abuja</t>
  </si>
  <si>
    <t>Gale Robinson</t>
  </si>
  <si>
    <t>RT @ophidianpilot: What Japan’s Election Outcome Means for the US, East Asia https://t.co/fRqThoUxcQ via @DailySignal</t>
  </si>
  <si>
    <t>NO LISTS I WILL BLOCK. DJ #Trump supporter all the way. #Deplorables, #DrainTheSwamp, #NRA, #MAGA, #Patriot Conservative and Christian.</t>
  </si>
  <si>
    <t>Lee Martin 🏳️‍🌈</t>
  </si>
  <si>
    <t>Linwood, Scotland</t>
  </si>
  <si>
    <t>LGBT rights advocate. SNP Member. Executive Member for Mental Health at @WelfareScotland. Support #Paisley2021</t>
  </si>
  <si>
    <t>NORTHERN LIGHTS</t>
  </si>
  <si>
    <t>Motoko Rich</t>
  </si>
  <si>
    <t>Japan doesn't conform to west's left-right dichotomy. Ex: Abe prioritizes education &amp; childcare over balanced budget https://t.co/oblG7spDgH</t>
  </si>
  <si>
    <t>リッチ 素子 NYT Tokyo buro chief covering Japan &amp; Koreas. Mom, wife, book &amp; binge TV fiend. Secure msg @ peerio motokorichnyt https://t.co/gCOMIIWHfs</t>
  </si>
  <si>
    <t>indie</t>
  </si>
  <si>
    <t>Foodie, Newshound, Opinion Maker</t>
  </si>
  <si>
    <t>Japan's Shinzo Abe Conjures Stunning Election Victory in a Boost for Donald Trump https://t.co/oLYfZDGX3y https://t.co/fViQ99zgiZ</t>
  </si>
  <si>
    <t>DwTrick Mainly Focus On Free 3G Internet, Free Recharge, Tech World, How To Guide, Adroid, iOS, Windows Tricks and much more....</t>
  </si>
  <si>
    <t>Deplorable Report</t>
  </si>
  <si>
    <t>#DailySignal - What Japan’s Election Outcome Means for the US, East Asia https://t.co/srteF5Joyz</t>
  </si>
  <si>
    <t>Stay informed and get the latest Washington coverage, Presidential politics, agendas, campaign stories, and policies that shape the United States.</t>
  </si>
  <si>
    <t>Japan&amp;amp;#39;s Abe to push pacifist constitution reform after strong election win #Generalnews https://t.co/NaCKFabzZ3</t>
  </si>
  <si>
    <t>Belle Weather</t>
  </si>
  <si>
    <t>RT @motokorich: Japan doesn't conform to west's left-right dichotomy. Ex: Abe prioritizes education &amp; childcare over balanced budget https:…</t>
  </si>
  <si>
    <t>This is about right and wrong. This is about human decency. This is about protecting our country from scoundrels, thieves, and Russians.</t>
  </si>
  <si>
    <t>cbc_diff</t>
  </si>
  <si>
    <t>Japan heads to polls in snap election - World - CBC News https://t.co/JFiBQa4Yef ➜ https://t.co/BxrwHTYWdh https://t.co/2LxVBYx3Nl</t>
  </si>
  <si>
    <t>Tweeting edits to the CBC. Avatar by Leah Vandenberg https://t.co/WtEaTOQERs</t>
  </si>
  <si>
    <t>Joe Gray</t>
  </si>
  <si>
    <t>Shifting Asia Power | https://t.co/NcqF6MRunU</t>
  </si>
  <si>
    <t>Malden</t>
  </si>
  <si>
    <t>Noelle</t>
  </si>
  <si>
    <t>@AmericanUAlum, Fordham Law '20, focus on gendered violence, using domestic &amp; intl law to fight it. RT/Fav don't =endorsements. love travel, music, my dogs!</t>
  </si>
  <si>
    <t>Mark Juelich</t>
  </si>
  <si>
    <t>What Japan’s Election Outcome Means for the US, East Asia https://t.co/ShJuXHlmMq https://t.co/fddOECa2QX</t>
  </si>
  <si>
    <t>Minneapolis, MN</t>
  </si>
  <si>
    <t>Christ Follower, Fiscally Conservative, Proud Supporter of US Armed Forces, #SOT #Military</t>
  </si>
  <si>
    <t>Israel News Links</t>
  </si>
  <si>
    <t>What Japan’s Election Outcome Means for the US, East Asia https://t.co/CD4x4OsZ15 via @DailySignal https://t.co/BdjwpRfmjx</t>
  </si>
  <si>
    <t>Christian, lover of Israel, patriotic American, nature lover in awe of God's handiwork.</t>
  </si>
  <si>
    <t>Retired AF Chief</t>
  </si>
  <si>
    <t>RT @CPARTYUSA: What Japan’s Election Outcome Means for the US, East Asia https://t.co/AvUdvAxwdg #feedly</t>
  </si>
  <si>
    <t>Cane Ridge, TN</t>
  </si>
  <si>
    <t>#Liberty Counsel Right Wing Extremist, #TeaParty #Patriots, Smith &amp; Wesson Club 1852. #Conservative #PATRIOTS4AMERICA #WAAR #PJNET #ORPUW #ΜΟΛΩΝ ΛΑΒΕ #LNYHBT</t>
  </si>
  <si>
    <t>Cranston, RI</t>
  </si>
  <si>
    <t>gail</t>
  </si>
  <si>
    <t>にこぽん</t>
  </si>
  <si>
    <t>Ｎ国</t>
  </si>
  <si>
    <t>やさぐれ珍道中</t>
  </si>
  <si>
    <t>Rhodri</t>
  </si>
  <si>
    <t>Cardiff/Kyoto</t>
  </si>
  <si>
    <t>Designer/Programmer at Dakko Dakko Ltd. Tweeting mostly video games, often Japan, sometimes politics. 日本語読める。Follow @DakkoDakko for our games.</t>
  </si>
  <si>
    <t>Bob Bigelow</t>
  </si>
  <si>
    <t>Athens, Ga</t>
  </si>
  <si>
    <t>Still haven't found what I'm looking for... #followback</t>
  </si>
  <si>
    <t>USA News Today</t>
  </si>
  <si>
    <t>usa News Today</t>
  </si>
  <si>
    <t>吉井恵司 |||≡||| ざわざわする。</t>
  </si>
  <si>
    <t>千葉 千</t>
  </si>
  <si>
    <t>Macca/I lovあe Fab Four/ Transactional Analysis</t>
  </si>
  <si>
    <t>What now for Japan after Abe's landslide election victory? #Generalnews https://t.co/rHfllTcrXl</t>
  </si>
  <si>
    <t>RT @markjuelich: What Japan’s Election Outcome Means for the US, East Asia https://t.co/ShJuXHlmMq https://t.co/fddOECa2QX</t>
  </si>
  <si>
    <t>Shinzo Abe secures strong mandate in Japan's general election #Generalnews https://t.co/j7umxWmN9S</t>
  </si>
  <si>
    <t>Guerilla News</t>
  </si>
  <si>
    <t>RT @breaking411: #BREAKING: Typhoon causes chaos in Japan on election day - Typhoon Lan is not making it easy for the Japanese e... https:/…</t>
  </si>
  <si>
    <t>Washington, United States</t>
  </si>
  <si>
    <t>News and information that doesn't hit the MSM. Former police officer, firefighter, 911 Supervisor, Bailbondsman, Fugitve Recovery Agent and Private Investigator</t>
  </si>
  <si>
    <t>Woken, Blynken &amp; Nod</t>
  </si>
  <si>
    <t>North Shore, Boston</t>
  </si>
  <si>
    <t>Journalist &amp; Policy Wonk. Special Educator, Psychometrist &amp; SPED Advocate. MTA Education Policy &amp; Practice Committee, Strategic Action Plan Task Force.</t>
  </si>
  <si>
    <t>Longhorn Ironworks</t>
  </si>
  <si>
    <t>What Japan’s Election Outcome Means for the US, East Asia https://t.co/cK7nS7Vtor https://t.co/WhBHYYRG2A</t>
  </si>
  <si>
    <t>Dallas, Texas</t>
  </si>
  <si>
    <t>Firearms, ammo and silencers. Dallas Class 03 FFL.</t>
  </si>
  <si>
    <t>Xandro Marcos</t>
  </si>
  <si>
    <t>I bet Theresa May wishes she had the kind of election the LDP and Shinzo Abe just had in Japan haha</t>
  </si>
  <si>
    <t>Manila x London</t>
  </si>
  <si>
    <t>The evil twin</t>
  </si>
  <si>
    <t>Rob W</t>
  </si>
  <si>
    <t>RTing news: politics, sci/tech, pop culture. Devil's Advocate, moderate, radical 1A defender. Time/NPR main sources. Check Likes 4 thought-provoking links</t>
  </si>
  <si>
    <t>Eisho H</t>
  </si>
  <si>
    <t>Student. Very bad PC and English skills. tweeting mostly on news and environment.sometimes other issues like school safety.</t>
  </si>
  <si>
    <t>North Korea's take on Japan's election: government is paving "the groundwork for reinvasion of the Korean peninsula" https://t.co/Svkm7OPQl9</t>
  </si>
  <si>
    <t>Sangram Dhar</t>
  </si>
  <si>
    <t>Seva Param Dharm</t>
  </si>
  <si>
    <t>Patrick Chovanec</t>
  </si>
  <si>
    <t>RT @motokorich: North Korea's take on Japan's election: government is paving "the groundwork for reinvasion of the Korean peninsula" https:…</t>
  </si>
  <si>
    <t>Managing Director, Chief Strategist at Silvercrest Asset Management, Adjunct Professor at Columbia SIPA, former biz prof at Tsinghua University in Beijing</t>
  </si>
  <si>
    <t>Japan Airlines News</t>
  </si>
  <si>
    <t>Powerful typhoon set to make landfall on Japan's main island - Kyodo News Plus : https://t.co/HIJwONvxcf</t>
  </si>
  <si>
    <t>JAL</t>
  </si>
  <si>
    <t>An *unofficial* source of news from Japan Airlines. Our blog is at @flightorg and you'll find our aviation podcast at @FlightPodcast.</t>
  </si>
  <si>
    <t>Ankit Panda</t>
  </si>
  <si>
    <t>keybase.io/ankitpanda</t>
  </si>
  <si>
    <t>Senior Editor @Diplomat_APAC in NYC. Thinking/writing/speaking on global security, politics, and economics. Via @WilsonSchool. Views mine &amp; RT≠❤️=⭐.</t>
  </si>
  <si>
    <t>Miri ミリブロガー T F O</t>
  </si>
  <si>
    <t>Japan kagawa</t>
  </si>
  <si>
    <t>i love fashion beauty natural charity ! I'm Japanese fashion blogger 💛日本人女性🙆離婚→現在独身💃STOP悪質行為🌙 蠍座 🦂嫌がらせは苦手🚱 不正アクセス禁止🈲</t>
  </si>
  <si>
    <t>rustie⊿</t>
  </si>
  <si>
    <t>Three articles that I think analyze the Japan election well;</t>
  </si>
  <si>
    <t>a rusted van⊿</t>
  </si>
  <si>
    <t>ikta asca mai2 nns 773 myan 373⊿</t>
  </si>
  <si>
    <t>Yasu Matsuda</t>
  </si>
  <si>
    <t>Good morning! I'm glad Liberal Democratic Party won this election. https://t.co/oA768RjlvI</t>
  </si>
  <si>
    <t>Kobe Japan</t>
  </si>
  <si>
    <t>President of Kobe Precious Pearl &amp; Co., Ltd. Japanese Akoya cultured pearls manufacturers &amp; exporters. I was in New York from 1987 to 1991.G.I.A. Gemologist</t>
  </si>
  <si>
    <t>KelleyJ</t>
  </si>
  <si>
    <t>Happy mama 🇺🇸</t>
  </si>
  <si>
    <t>Zheluo Cai</t>
  </si>
  <si>
    <t>Japan’s Abe cements hold on power with election win https://t.co/Y3lcDqE31R via @WSJ</t>
  </si>
  <si>
    <t>A life-long learner. Fascinated with the beauty of creation. Longing for peace and justice in this world.</t>
  </si>
  <si>
    <t>横田充洋</t>
  </si>
  <si>
    <t>千葉・水源地を大切に</t>
  </si>
  <si>
    <t>フリーエンジニア。出来たものをいじるほうが好き。web:amy.hi-ho/miskij。イラストのアイコンは@crown_sugar さん作です。ログは http://t.co/iAuUxCVx をどうぞ。銀の弾丸はないので地道に #地震が来る前に #脱原発 しましょう。</t>
  </si>
  <si>
    <t>What does Shinzo Abe&amp;amp;apos;s election win mean for Japan? #WorldNews https://t.co/Ifvgrpfxb6</t>
  </si>
  <si>
    <t>Japan&amp;amp;apos;s Shinzo Abe Conjures Stunning Election Victory in a Boost for Donald Trump #AnimalsNews https://t.co/RqDAGyWmhX</t>
  </si>
  <si>
    <t>ChristopherHatton</t>
  </si>
  <si>
    <t>Interested in my country and politics. Also writing, real estate, music. Have written songs, short stories, genetic Genealogy articles and children's stories.</t>
  </si>
  <si>
    <t>How Yuriko Koike and the Party of Hope Lost Japan's Snap Election | Foreign Affairs https://t.co/0P5K65IXY6</t>
  </si>
  <si>
    <t>⌛️car👽l  muse⌛️</t>
  </si>
  <si>
    <t>atlanta</t>
  </si>
  <si>
    <t>❦thinker/spiritual/newsie/foodie/loner❦ RTs are RTs &amp; sometimes my Fa❤️orites ≠ my favorites ❦ note timestamps! ❦ #Resist #FightSupremacy #MeToo</t>
  </si>
  <si>
    <t>Yukio Edano: Japan's opposition leader to watch- Nikkei Asian Review https://t.co/haWpxbrj5s</t>
  </si>
  <si>
    <t>Pinaki Poddar</t>
  </si>
  <si>
    <t>Jersey City, NJ</t>
  </si>
  <si>
    <t>Arun Kumar singh</t>
  </si>
  <si>
    <t>Toronto,Canada</t>
  </si>
  <si>
    <t>I am a professional engineer and have worked +30 years in many types of Power Plant.Now I want to work only for others.</t>
  </si>
  <si>
    <t>ICRT News</t>
  </si>
  <si>
    <t>President Tsai Ing-wen has sent a congratulatory message to Japan's Prime Minister Shinzo Abe on his victory in Sunday's election.</t>
  </si>
  <si>
    <t>Burli Newsroom System</t>
  </si>
  <si>
    <t>Taipei, Taiwan</t>
  </si>
  <si>
    <t>Taiwan news and headlines from the news team at ICRT, Taiwan's only English radio station. Follow @ICRT100 for station tweets.</t>
  </si>
  <si>
    <t>ゴロー</t>
  </si>
  <si>
    <t>よろしくお願いします～♪</t>
  </si>
  <si>
    <t>We The Outraged!</t>
  </si>
  <si>
    <t>What Japan's Election Outcome Means for the US, East Asia: From a distant American viewpoint, the Japanese ele.. https://t.co/65xqDHeaXa</t>
  </si>
  <si>
    <t>A Once-Great Nation</t>
  </si>
  <si>
    <t>Defending the principles that made this nation great. Upholding the light of liberty, justice and truth! #Conservative #TeaParty #TCOT</t>
  </si>
  <si>
    <t>Dhirendra Singh</t>
  </si>
  <si>
    <t>Chartered Accountant (Liberalism is a mental disorder - Dr. Michael Weiner)</t>
  </si>
  <si>
    <t>The_News_DIVA🎀</t>
  </si>
  <si>
    <t>Abe, Fresh Off Election Victory, Now Gets to Host Trump A resounding win at the polls doesn’t...… https://t.co/iDvJwXXmwE</t>
  </si>
  <si>
    <t>Croton-on-Hudson, NY</t>
  </si>
  <si>
    <t>From #NYC 🗽! #NewsJunkie/curator, extrovert. Smiles a lot and cats adore me. ♏️ 💯 #GOLD #IFB 💯 🇺🇸 🇫🇷 🇬🇧 Member of #TheResistance ✊</t>
  </si>
  <si>
    <t>ふらん</t>
  </si>
  <si>
    <t>杉並区→愛知県</t>
  </si>
  <si>
    <t>アイコンは2011.3.11.夜8時の山手線。2013.7.23.愛知に移住しました。食べ物の安全性と子どもの未来が気になります。ゴスペラーズ・料理・昼寝が好き。※メモ代わりRT多。♡ゴスについてはこちらで話します→@framboise_ura</t>
  </si>
  <si>
    <t>GoStartGrow</t>
  </si>
  <si>
    <t>GrowSocialApp</t>
  </si>
  <si>
    <t>Stuttgart, Baden-Württemberg</t>
  </si>
  <si>
    <t>I will teach you how to make real #Money #Online #Growth Hack Account @MatBoehmichen - I share insights of my journey as #Entrepreneur</t>
  </si>
  <si>
    <t>Maisel's Weisse</t>
  </si>
  <si>
    <t>CMA その他雑多な思いつき、ML等の没ネタ→twitter ギャンブル、インチキ投資、関連のフォロワーは一方的にスパム報告します。Member of Wagner Geselschaft Japan, Tokyo/ HN is from my most fav bier of Bayreuth as Festgast</t>
  </si>
  <si>
    <t>yura</t>
  </si>
  <si>
    <t>お酒好き、歌が好き、和歌、小説、漫画が好きな中年です。しばしば陰鬱。体力も無し。グダグダ酒飲みアカウント。フェミニズムに親和性が高いですが、論争は苦手です。</t>
  </si>
  <si>
    <t>Rahul Tiwari</t>
  </si>
  <si>
    <t>ks</t>
  </si>
  <si>
    <t>Jason Staiert</t>
  </si>
  <si>
    <t>North Korea and 3 other things to expect following Japan's PM Shinzo Abe's landslide victory… https://t.co/ejQ1kjIqvm</t>
  </si>
  <si>
    <t>hwingo</t>
  </si>
  <si>
    <t>Winning big : #Japan’s ruling coalition retains a supermajority in snap election https://t.co/iPbtsDgeKZ via @TheEconomist #ShinzoAbe</t>
  </si>
  <si>
    <t>#cybersecurity #smartgrid #IoT #privacy #infosec #riskmanagement #SmartCity #EdTech #AI #gbl (posts = personal views; RTs ≠ endorsement)</t>
  </si>
  <si>
    <t>Maryann Oxley</t>
  </si>
  <si>
    <t>#MAGA. Trump supporter. lover of country love of our Lord</t>
  </si>
  <si>
    <t>Shinzo Abe’s Japan election win lifts world stocks, dollar https://t.co/HlhKBxaSw3</t>
  </si>
  <si>
    <t>RT @NorthKorea_Newz: Japan’s Election Warning to #China https://t.co/buGEIjaQGg https://t.co/wtoj6QmNbC</t>
  </si>
  <si>
    <t>4 More Years</t>
  </si>
  <si>
    <t>What Japan’s Election Outcome Means for the US, East Asia https://t.co/fyqN3r43bN #tcot</t>
  </si>
  <si>
    <t>Alaska</t>
  </si>
  <si>
    <t>The Lord's Been Good to Me</t>
  </si>
  <si>
    <t>Neith</t>
  </si>
  <si>
    <t>North Korea fears Japan "invasion" after Shinzo Abe's victory https://t.co/oRWIEOcF0Q</t>
  </si>
  <si>
    <t>In my nightmare</t>
  </si>
  <si>
    <t>Don't be alone. Go to the bar and be really alone with great music. It's better.</t>
  </si>
  <si>
    <t>Patricia</t>
  </si>
  <si>
    <t>RT @AsCorrespondent: North Korea and 3 other things to expect following Japan's PM Shinzo Abe's landslide victory https://t.co/zSt9lfXJiR #…</t>
  </si>
  <si>
    <t>Doctors treat but God heals</t>
  </si>
  <si>
    <t>BC Preparedness</t>
  </si>
  <si>
    <t>West Coast  | North America</t>
  </si>
  <si>
    <t>Preparedness🌐#Twitter Community | Currently on #NorthKorea Pacific Nuclear #Missile Watch | #earthquake | Information Hub for 24/7 updates |</t>
  </si>
  <si>
    <t>GR Japan</t>
  </si>
  <si>
    <t>Jakob Edberg, GR Japan President &amp; CEO, was quoted in Nikkei Asian Review on the young generation being... https://t.co/tgpGGYaMHv</t>
  </si>
  <si>
    <t>The official Twitter feed of GR Japan K.K. to announce events, news and more. GR Japan株式会社の公式ツイッター。イベントやニュースをお知らせします。</t>
  </si>
  <si>
    <t>K Lowgren</t>
  </si>
  <si>
    <t>Author/Screenwriter. Won Gold Remi Award for Corrupt @ WorldFest Houston Internt'l Film Festival 2014. Trying to sell bk &amp; screen rights</t>
  </si>
  <si>
    <t>Japan's Election Warning to China https://t.co/p6Vks8SblB</t>
  </si>
  <si>
    <t>Michael Moran</t>
  </si>
  <si>
    <t>Abe to push reform of Japan's pacifist constitution after election win https://t.co/vnlLHrvrYv</t>
  </si>
  <si>
    <t>Native - born, U.S. citizen; U.S. Navy Veteran ( Honorable ); 6' 1, 230 lbs., Red hair, Hazel Eyes; Irish / Lithuanian / Scottish; Born in Boston, MA.</t>
  </si>
  <si>
    <t>ΕΘΟΣ</t>
  </si>
  <si>
    <t>東京都中央区東日本橋</t>
  </si>
  <si>
    <t>東京在住の会社員。都会の遊民。アニメ好き。歴史好き。クラシック音楽好き。特技:衝動買い、大人買い。RTは備忘録的役割もあり、自身の見解意見とは限りません。 https://t.co/G4LLQYsqv7</t>
  </si>
  <si>
    <t>North Korea Fears Japan 'Invasion' as Abe's Victory Paves the Way for Changes to Pacifist Constitution - Newsweek… https://t.co/PfGWrtMSRM</t>
  </si>
  <si>
    <t>Krushan Joshi</t>
  </si>
  <si>
    <t>music is life t@bl@........BJP Supporter modi ji is great.Music Artist, comedy artist, foodie lover, reading books, travel Mafia,interested in political issues.</t>
  </si>
  <si>
    <t>Bond Report: Treasury yields hold ground as investors await Trump’s nominee for Fed boss https://t.co/feAsNd5wLe via @bllshbrsh</t>
  </si>
  <si>
    <t>Tim Chan</t>
  </si>
  <si>
    <t>Proud #Liberal 🇨🇦, #Feminist and #GoHabsGo fan. Retweets are not endorsements unless I say so... #Canada150 #TeamTrudeau #LPC #RealChange #GoHabsGo</t>
  </si>
  <si>
    <t>Joana Dallarte</t>
  </si>
  <si>
    <t>Metro Manila, Philippines</t>
  </si>
  <si>
    <t>HAPPINESS IS NOT A DESTINATION....IT'S A JOURNEY THAT IS MADE SPECIAL BY THE PEOPLE THAT WE MEET ALONG THE WAY. I m me! Simple and Happy!</t>
  </si>
  <si>
    <t>偽イタリア人</t>
  </si>
  <si>
    <t>RT @xxstallonexxx: Shinzo Abe secures strong mandate in Japan's general election https://t.co/EazDIsVEzP</t>
  </si>
  <si>
    <t>君ん家の屋根裏に棲んでたりして(怖っ)</t>
  </si>
  <si>
    <t>CDTVを御覧の皆さま今晩は。 素敵な曲貼り以外は、下らない事を軸にツイートをするアカウントなのですが、時事ツイート多めになっています。 莫迦故に、自己RTをバカみたいにするので、RT非表示設定をお願い致します。</t>
  </si>
  <si>
    <t>サエラ</t>
  </si>
  <si>
    <t>LOVE＆PEACE</t>
  </si>
  <si>
    <t>Adam Walsh</t>
  </si>
  <si>
    <t>Journalist with @CBCNL. On loan to NHK in Tokyo. 2015 @AsiaPacificFdn media fellow. The f btw is for Francis. adam.walsh@cbc.ca</t>
  </si>
  <si>
    <t>Tom Ramos</t>
  </si>
  <si>
    <t>Carpenter</t>
  </si>
  <si>
    <t>Dot.Tube TLD</t>
  </si>
  <si>
    <t>After election win, Abe prioritizes North Korea, aging Japan https://t.co/SStnOFYyTB</t>
  </si>
  <si>
    <t>DotTube (.TUBE) generic TopLevel Domain (gTLD) name Register domain names at http://t.co/TXiQDUkIWo Tube is registered trademark of Latin American Telecom LLC</t>
  </si>
  <si>
    <t>Robin Horton</t>
  </si>
  <si>
    <t>cherrybomber</t>
  </si>
  <si>
    <t>【Japan- Allegations of General Election Fraud on Dec.16.2012 https://t.co/koJQOzxEXp https://t.co/9edwaEJUgF】#nowplaying #wikileaks #africa</t>
  </si>
  <si>
    <t>http://t.co/lgCM7TTRSn</t>
  </si>
  <si>
    <t>Stocks slip to start the week https://t.co/jPVJPoCiS8 via @akaneotani @GoldRiva</t>
  </si>
  <si>
    <t>Gilbert MAHE</t>
  </si>
  <si>
    <t>RT @WSJmarkets: Stocks slip to start the week https://t.co/jPVJPoCiS8 via @akaneotani @GoldRiva</t>
  </si>
  <si>
    <t>FRANCE (44500)</t>
  </si>
  <si>
    <t>Google+: https://t.co/y1xyiL7Ufi Business &amp; Economics - 48 Lists - WOOD &amp; Maisons en Bois @FranceMob Email : knockonwood@hotmail.fr Tél.: 06.70.83.32.58</t>
  </si>
  <si>
    <t>Stocks slip to start the week https://t.co/3KsP64wNLc via akaneotani GoldRiva</t>
  </si>
  <si>
    <t>generalbillmattey</t>
  </si>
  <si>
    <t>享/KYO</t>
  </si>
  <si>
    <t>i'm living inうつくしま福島！</t>
  </si>
  <si>
    <t>20110311後の福島にて急遽twitter開始野郎。音楽/LIVE、酒特に日本酒、イキモノやムシが好物。たまに社会派。基本独り言呟きっぱなし。RT=興味津々関心感心感嘆付箋自己備忘録。</t>
  </si>
  <si>
    <t>Stocks slip to start the week https://t.co/UbftfpNOYU via akaneotani GoldRiva #$loan #firsttimebusinessloan #veteransmallbusinessloan</t>
  </si>
  <si>
    <t>VetEric Manuel Ortiz</t>
  </si>
  <si>
    <t>Far Rockaway Beach, NY 11691</t>
  </si>
  <si>
    <t>((( Vet Eric Manuel Ortiz ))) Says, please, Support a Disable Social Media Vetrepreneur to encourage success, inspiration, financial independence &amp; empowerment.</t>
  </si>
  <si>
    <t>Jon Letman</t>
  </si>
  <si>
    <t xml:space="preserve">Central Pacific </t>
  </si>
  <si>
    <t>Hawaii-based independent journalist/editor/photographer, covering politics, people and the environment in the Asia-Pacific region.</t>
  </si>
  <si>
    <t>Spaceman Spiff</t>
  </si>
  <si>
    <t>Queens, NY</t>
  </si>
  <si>
    <t>Computer Science Engineer and a proud HINDU. I do not care about being Politically Correct. Big fan of Calvin &amp; Hobbes. Hate commies. RT is not an endorsement.</t>
  </si>
  <si>
    <t>WSJmarkets: Stocks slip to start the week https://t.co/T2hrHRddff via akaneotani GoldRiva</t>
  </si>
  <si>
    <t>Rudius Capital</t>
  </si>
  <si>
    <t>#BLOG Japan’s Election: ‘TINA’ to Abe -#PIMCOBlog https://t.co/W88SJ0ESjv</t>
  </si>
  <si>
    <t>Read. Research. Invest - Get all the information to plan your investment strategy</t>
  </si>
  <si>
    <t>Hanna Carlson</t>
  </si>
  <si>
    <t>Storyteller, Moment Chaser, Road-tripper, World Wanderer</t>
  </si>
  <si>
    <t>(주)오렌지디지트코리아</t>
  </si>
  <si>
    <t>A big victory by Shinzo Abe’s Liberal Democratic Party-led coalition in Japan’s snap election is casting a cloud over relations between S...</t>
  </si>
  <si>
    <t>BIGSpacer.com</t>
  </si>
  <si>
    <t>가산동, 서울</t>
  </si>
  <si>
    <t>Build You Story! (주)오렌지디지트가 전자출판을 도와드립니다. EPUB3 인터랙티브 그래픽을 활용한 쌍방향 이북의 시대가 열립니다. 또한 빅스페이서 데이터분석랩에서는 다양한 데이터를 자동으로 소셜 미디어에 송출하는 서비스를 운영하고 있습니다.</t>
  </si>
  <si>
    <t>WSJmarkets: Stocks slip to start the week https://t.co/nXQmDkxAeF via akaneotani GoldRiva</t>
  </si>
  <si>
    <t>田島博之 MN597821468228</t>
  </si>
  <si>
    <t>茹で蛙の楽園</t>
  </si>
  <si>
    <t>我思う、ゆえに我あり／我欲す、夢の録画機／一切即是遊 遊即是一切／響／Ｉ≠Ｈ／晴れ、ときどきＤＩＯ／化石賞を送ったことばは『歴史は繰り返す』／特技は夢を操ること／心中するなら相手はピアノ／山本太郎を応援☆／ 30代のうちに読んでおきたかった本は、「男が30代でやめるべき習慣~賢者たちの一流の教え」／平成二九年十月二日</t>
  </si>
  <si>
    <t>kyu-kam-baa-naん</t>
  </si>
  <si>
    <t>tweechaPrime</t>
  </si>
  <si>
    <t>この世界の片隅に3月のライオンさんだばあごーしゃーろっく刀（浦＆むつそね※固定）</t>
  </si>
  <si>
    <t>2011秋太陽にほえろ82にのっくあうつ。前期もすこちずつ・・ロケ地探したり血迷ってヒゲ研究したり旅サラダでさわいだり。☆ほえろ86&amp;Part2 ☆2013あま廃2014アギ廃 零式は未。。お気楽剣士はふりーESのラッコラッコ。。2015.12.6ふりー沼★まこhrこてい… さんだばあご…しゃろく…松…（：ν：）成人</t>
  </si>
  <si>
    <t>Japan’s ruling coalition retains a supermajority in snap election https://t.co/oHkXj3BrS8</t>
  </si>
  <si>
    <t>守山玲司</t>
  </si>
  <si>
    <t>兵庫県</t>
  </si>
  <si>
    <t>主成分は音楽と映画と本。差別と不寛容を拒否する。原発いらない。差別いらない。「問題は言葉の響きの中になど存在しない。それを使う人間の意識の在り方にあるのだ」（中島らも）</t>
  </si>
  <si>
    <t>ニュースに物申す！！</t>
  </si>
  <si>
    <t>ニュースを見ると、おかしな事がたくさんある。おかしい事は、おかしいと言おう。政治家、経営者、マスコミ、おかしな行動・言動には、喝をいれよう！</t>
  </si>
  <si>
    <t>Aurora World View</t>
  </si>
  <si>
    <t>After election win, #Abe prioritizes #NorthKorea, aging #Japan https://t.co/QGHjfuP30L #NKorea https://t.co/dOTqe4nud0</t>
  </si>
  <si>
    <t>Aurora, Colorado</t>
  </si>
  <si>
    <t>One newspaper can call itself the beacon for Colorado’s third-largest city: The Aurora Sentinel: A view of the nation and world from here.</t>
  </si>
  <si>
    <t>中吉川河川水道事務所🎃淀川水系👻</t>
  </si>
  <si>
    <t>あにめりか合衆国🐇航空卯宙局菟道鉱物水理基地</t>
  </si>
  <si>
    <t>#TyphoonSAOLA #宝石の国💎#VioletEvergarden💌#リズと青い鳥🐦#anime_eupho🎵 #UTDAOE🎼#RWBY🐓#花とゆめ🌸#precure🍮@smlnewswsasia @smlanimeinfo ｱﾆﾒ聖地巡礼本垢：@smlanimetanbou</t>
  </si>
  <si>
    <t>Anthony Fensom</t>
  </si>
  <si>
    <t>Communication consultant/writer. Former #Tokyo expat. Football fan. Posts on Australia/Japan (probably) lost in translation ;-) #PR tweets at @FensomComms</t>
  </si>
  <si>
    <t>Japan's Abe to push pacifist constitution reform after strong election win | https://t.co/fJ8IAqCrQo | #Iran</t>
  </si>
  <si>
    <t>Welcome to the Dark Ages</t>
  </si>
  <si>
    <t>Wyononia Carter</t>
  </si>
  <si>
    <t>Japan&amp;apos;s Shinzo Abe Conjures Stunning Election Victory in a Boost for Donald Trump https://t.co/9MguohKAR2</t>
  </si>
  <si>
    <t>Japan's Abe to push pacifist constitution reform after strong election win https://t.co/PGTKQldE2D</t>
  </si>
  <si>
    <t>✪ ティーナ48◢ ✪</t>
  </si>
  <si>
    <t>Somewhere in SEA</t>
  </si>
  <si>
    <t>Volleyball ADMU💙DLSU💚UST💛 🏐 ●GoT/Gossip Girl/Riverdale● 『WEIRD』 TWEETS ANYTHING 《Aiming to be a Director/ PAS Student 》 48/46g/someKPOP</t>
  </si>
  <si>
    <t>Japan's Abe to push pacifist constitution reform after strong election win https://t.co/NmKZzN7Wld</t>
  </si>
  <si>
    <t>Clora Faith Howard</t>
  </si>
  <si>
    <t xml:space="preserve">Paintsville ky </t>
  </si>
  <si>
    <t>“I was once weak, I was always afraid, I hidden my tears, but I kept on going, I kept on believing, I followed my heart, I found my courage, and I realised if I</t>
  </si>
  <si>
    <t>CfeBooks</t>
  </si>
  <si>
    <t>Japan's Shinzo Abe Conjures Stunning Election Victory in a Boost for Donald Trump https://t.co/WgKHYDgfBB</t>
  </si>
  <si>
    <t>Lucyelberg</t>
  </si>
  <si>
    <t xml:space="preserve">Brooklyn crown heigths </t>
  </si>
  <si>
    <t>thanks twitter for showing ❤️ hearts 💕 life I am HEAD @Facebook @Instagram @whatsapp @oculus I am most powerful women I want my LAWSUIT lawyer</t>
  </si>
  <si>
    <t>Skerkro</t>
  </si>
  <si>
    <t>I am a Skerkro hanging around all year! Friend of crows and all creatures great and small!</t>
  </si>
  <si>
    <t>The CEO Magazine</t>
  </si>
  <si>
    <t>#Japan ready to reassert itself as a military force. #shinzoabe #election #tokyo #northkorea #kimjongun https://t.co/NT0oAnsPKK</t>
  </si>
  <si>
    <t>Makati City</t>
  </si>
  <si>
    <t>Inspiring the business world.</t>
  </si>
  <si>
    <t>#Japan ready to reassert itself as a military force. #shinzoabe #election #tokyo #northkorea #kimjongun https://t.co/dWZHn7M5tS</t>
  </si>
  <si>
    <t>A monthly magazine dedicated to inspiring the business world. #CEOinspire | Subscribe now at https://t.co/DEk007j5Vc</t>
  </si>
  <si>
    <t>"https://t.co/QOKBMkhNIw"Japan's Abe to push pacifist constitution reform after strong election win #Ειδήσεις #New… https://t.co/Qg93t7Trsu</t>
  </si>
  <si>
    <t>Japan's Abe to push pacifist constitution reform after strong election win https://t.co/KJVtWST4lj</t>
  </si>
  <si>
    <t>Japan's Abe to push pacifist constitution reform after strong election win https://t.co/WZ8tMGtQel #news</t>
  </si>
  <si>
    <t>D Keeler</t>
  </si>
  <si>
    <t>Calgary Alberta Canada</t>
  </si>
  <si>
    <t>Moderate concerned that humanity is not doing what's in it's best long term interest. Exercise critical thinking. Promote humility &amp; caring for others.</t>
  </si>
  <si>
    <t>Sickcular Libtard</t>
  </si>
  <si>
    <t>यत्र तत्र सर्वत्र !!</t>
  </si>
  <si>
    <t>Pseudo-Secular,Socialist,Marxist,Communist,Maoist, Liberal agenda driven Intellectual PROPA-GANDU. Pro all 'isms' except HINDUISM;Logic,Facts &amp; Data stay AWAY.</t>
  </si>
  <si>
    <t>Japan's Abe to push pacifist constitution reform after strong election win https://t.co/oOCvTZNUl8</t>
  </si>
  <si>
    <t>R K SHARMA hKHANDURI</t>
  </si>
  <si>
    <t>Dilshad Garden, New Delhi</t>
  </si>
  <si>
    <t>Government and Politics Politicians and Pol Parties Government &amp; Public Utilities Business &amp; CEOs Women &amp; NGOs NGOs and Social Good Entertainment</t>
  </si>
  <si>
    <t>Colin Townson</t>
  </si>
  <si>
    <t>Re-elected PM vows to tackle Japan's twin crises https://t.co/f71f6p8i04</t>
  </si>
  <si>
    <t>National Security Program, Canadian Forces College. Foreign Service Officer, GAC | Views expressed are my own. Retweets are not endorsements. @banffforum</t>
  </si>
  <si>
    <t>The Economist, Once</t>
  </si>
  <si>
    <t>Japan’s ruling coalition retains a supermajority in snap election https://t.co/ybDXBROisR https://t.co/Etg5gjF5IT</t>
  </si>
  <si>
    <t>miro bey</t>
  </si>
  <si>
    <t>Aydınların Aydınlatamadığı Halkı Soytarılar Aldatır. ANA HESAP - @bey_miro</t>
  </si>
  <si>
    <t>Japan's Abe to push pacifist constitution reform after strong election win https://t.co/m4iv9Z7nd2 via Yahoo!</t>
  </si>
  <si>
    <t>中道つもり</t>
  </si>
  <si>
    <t>Will PM Abe Get People's Support for Constitutional Revision? | JAPAN Forward https://t.co/HdTWvtywSo</t>
  </si>
  <si>
    <t>大阪民国の何処か</t>
  </si>
  <si>
    <t>降り懸かる火の粉は拂はねばならぬ。放置（約一月）［bot・ RT・YTb］強制リムする場合があります。鍵・無Icon・Line垢はFbしていません。メールは不使用、私宛はTLにどうぞ。 多投稿に付F自粛中⁉️</t>
  </si>
  <si>
    <t>RgCh</t>
  </si>
  <si>
    <t>RT @EconomistOnce: Japan’s ruling coalition retains a supermajority in snap election https://t.co/ybDXBROisR https://t.co/Etg5gjF5IT</t>
  </si>
  <si>
    <t>España, Alemania, Europa.</t>
  </si>
  <si>
    <t>«It's a principle innate and co-natural to every man to have an insatiable inclination to the truth, and to seek for it as for hid treasure» Aikenhead, 1697.</t>
  </si>
  <si>
    <t>Japan's Abe to push pacifist constitution reform after strong election win https://t.co/7fVDqPOCsE</t>
  </si>
  <si>
    <t>Tokyo Trader</t>
  </si>
  <si>
    <t>RT @OxfordEconomics: Japan PM Abe and his coalition to retain super-majority after election. For the economy - continued loose policy: http…</t>
  </si>
  <si>
    <t>All Markets, Macro &amp; Technicals. Former Rates &amp; Credit trader at DZ/HVB/UCG</t>
  </si>
  <si>
    <t>QJCCI</t>
  </si>
  <si>
    <t>The Queensland Japan Chamber of Commerce and Industry (QJCCI) is committed to improving trade, investment and bilateral ties between Queensland and Japan.</t>
  </si>
  <si>
    <t>Keep Resisting 🛐</t>
  </si>
  <si>
    <t>Time to end horrific #DogMeatTrade! #hres401 Proud Democrat. Traitor Trump is #NotMyPresident #TheResistance #TrumpRussia #Resist #ImpeachTrump</t>
  </si>
  <si>
    <t>GAURAV</t>
  </si>
  <si>
    <t>This is Official Twitter Account of Gaurav Sharma..... Proud INDIAN, Punjabi n Dilliwala from heart n blood.....BHARAT MATA KI JAI..🙏🙏🙏</t>
  </si>
  <si>
    <t>Marketnomics</t>
  </si>
  <si>
    <t>Japan election: the investing implications https://t.co/zAvhJIQHEI #investing #trading #market #economy #finance</t>
  </si>
  <si>
    <t>Marketnomics is a blog that aggregates market and economic insights by fund managers, traders, strategists, analysts, and economists (Part of DVNET).</t>
  </si>
  <si>
    <t>frank ebele</t>
  </si>
  <si>
    <t>Japan's Abe to push pacifist constitution reform after strong election win https://t.co/AugEycpj3n</t>
  </si>
  <si>
    <t>#money #bitcoin #forex #homebusiness #marketing #videogames</t>
  </si>
  <si>
    <t>The Star</t>
  </si>
  <si>
    <t>Typhoon leaves five dead after lashing Japan on election day https://t.co/VGPEAd9NOg https://t.co/7AAVOJBwXG</t>
  </si>
  <si>
    <t>TwitterRSSTSOLAgent</t>
  </si>
  <si>
    <t>Kuala Lumpur, Malaysia</t>
  </si>
  <si>
    <t>News updates from Malaysia's top English-language daily and website</t>
  </si>
  <si>
    <t>Madhav</t>
  </si>
  <si>
    <t>Tamil Nadu . India</t>
  </si>
  <si>
    <t>Patriotic Indian-Travel professional &amp; Consultant-Always India First- Call a Spade a Spade.RTs not endorsements .Honourable PM @narendramodi ji follows me</t>
  </si>
  <si>
    <t>(((Danny Boy)))</t>
  </si>
  <si>
    <t>Yorkshire, United Kingdom</t>
  </si>
  <si>
    <t>Tory, Unionist &amp; monarchist | Zionist | History, politics &amp; ecology | Cartophile &amp; vexillophile | Cricket &amp; rugby fan. 🇬🇧 🇺🇸 🇮🇱 🇳🇿 🇨🇦 🇦🇺</t>
  </si>
  <si>
    <t>Azizi Othman</t>
  </si>
  <si>
    <t>Typhoon leaves five dead after lashing Japan on election day https://t.co/qzD9hj0fVe https://t.co/FbnWOy9VFQ</t>
  </si>
  <si>
    <t>Official Twitter® | RT (×) endorsement | I'm just here for the memes, to be honest | send me nudes!</t>
  </si>
  <si>
    <t>Market Org</t>
  </si>
  <si>
    <t>Japan election: the investing implications https://t.co/jHlObsnvMe #market #stocks #bonds #futures #forex</t>
  </si>
  <si>
    <t>Organized market news and research via DVNET (https://t.co/T5ALsE3HAu, https://t.co/PDL98Z8zeo, https://t.co/QzJoVQ1Bhk, https://t.co/e7O17cXmvS, and more)</t>
  </si>
  <si>
    <t>@liisabobisa I quote: "the far right victory in Japan’s #election". Unless you mean that the far-right thinks of this victory as their own ?</t>
  </si>
  <si>
    <t>Will Abe change Japan's pacifist constitution?: After election win for his party and coalition partner, the PM…… https://t.co/Lzzovnm2rE</t>
  </si>
  <si>
    <t>Michael Thomas Cucek</t>
  </si>
  <si>
    <t>#Japan #Election2017 The Nikkei Asian Review has just posted my glass-half-empty take on the results of Sunday's el… https://t.co/mKfeoGAF4D</t>
  </si>
  <si>
    <t>Adjunct Professor, Temple University Japan; Adjunct Professor Waseda University; Advisor, Langley Esquire</t>
  </si>
  <si>
    <t>🌎 Richard Alexander</t>
  </si>
  <si>
    <t>Scientist &amp; entrepreneur. Father of 2 kids. Advocating: -Advancement of liberal democracy -Anti-Trump resistance -Kindness &amp; compassion RTs &amp;❤ = Attention!</t>
  </si>
  <si>
    <t>Sofhi J.</t>
  </si>
  <si>
    <t>RT @staronline: Typhoon leaves five dead after lashing Japan on election day https://t.co/VGPEAd9NOg https://t.co/7AAVOJBwXG</t>
  </si>
  <si>
    <t>北京</t>
  </si>
  <si>
    <t>Husband | Father of five | Thinker #standforsomething</t>
  </si>
  <si>
    <t>Margo Young</t>
  </si>
  <si>
    <t>After Election Win, Shinzo Abe Prioritizes North Korea and Aging Japan https://t.co/3CaTKqYDXX</t>
  </si>
  <si>
    <t>Orangeville/Caledon/Dufferin</t>
  </si>
  <si>
    <t>Margo Young,owner of Orangeville business GENESIS SPACE CREATIONS DECORATING &amp; DESIGN creates unique livingspaces.Residential,commercial,marine.</t>
  </si>
  <si>
    <t>Ultrascan HUMINT</t>
  </si>
  <si>
    <t>Will Abe change Japan's pacifist constitution?: After election win for his party and coalition… https://t.co/UUPLyJW6Oh #terrorism #security</t>
  </si>
  <si>
    <t>Liaison Reliable Primary #HUMINT Sources - Money Laundering - Organized Crime and the Nexus Terrorism - #security #terrorism</t>
  </si>
  <si>
    <t>Daniel Yilung Huang</t>
  </si>
  <si>
    <t>RT @ICRTNews: President Tsai Ing-wen has sent a congratulatory message to Japan's Prime Minister Shinzo Abe on his victory in Sunday's elec…</t>
  </si>
  <si>
    <t>DC</t>
  </si>
  <si>
    <t>Snr. Officer, Press Div., TECRO. basketball, food lover. Tweets r my own. RTs ≠ endorsements.</t>
  </si>
  <si>
    <t>Thu Pham</t>
  </si>
  <si>
    <t>RT @PMCroninCNAS: Japan's Abe cements hold on power with election win https://t.co/HGdOGdQ7SI Making Japan's armed forces Constitutional hi…</t>
  </si>
  <si>
    <t>Biagio Angrisani</t>
  </si>
  <si>
    <t>Japan... Farewell, pacifist Constitution But, well, times change, my friends Abe secures strong mandate in Japan… https://t.co/T4FATRH4vt</t>
  </si>
  <si>
    <t>Autore di romanzi storici. Giornalista CdS-S. Libero docente. Studente. Author of historical novels. Journalist. Teacher. Student.</t>
  </si>
  <si>
    <t>mizukilari</t>
  </si>
  <si>
    <t>✨seimei kikyo⭐️/ 🎻🎶</t>
  </si>
  <si>
    <t>よりみち(憲法97条消すな！）</t>
  </si>
  <si>
    <t>PIMCO</t>
  </si>
  <si>
    <t>Abe scores big re-election win in Japan. What does it mean for #markets? https://t.co/QgV62pbgTq https://t.co/mZQ5Se7NTR</t>
  </si>
  <si>
    <t>Spredfast app</t>
  </si>
  <si>
    <t>Newport Beach, California</t>
  </si>
  <si>
    <t>Follow PIMCO for expert analysis of economies and markets and innovative investment solutions. Disclosures: https://t.co/wdEL65Sq5Y</t>
  </si>
  <si>
    <t>CBC News</t>
  </si>
  <si>
    <t>Re-elected Japanese PM vows hard line on North Korea https://t.co/qPrYlqjC1f https://t.co/cjmxAmSPFO</t>
  </si>
  <si>
    <t>Canadian breaking news and analysis from CBCNews.ca, TV and radio.</t>
  </si>
  <si>
    <t>RT @CBCNews: Re-elected Japanese PM vows hard line on North Korea https://t.co/qPrYlqjC1f https://t.co/cjmxAmSPFO</t>
  </si>
  <si>
    <t>Joseph L. Reid 羅瑞哲</t>
  </si>
  <si>
    <t>RT @MichaelTCucek: #Japan #Election2017 The Nikkei Asian Review has just posted my glass-half-empty take on the results of Sunday's electio…</t>
  </si>
  <si>
    <t>Researching masculinity in Republican era literature. MPhil Chinese Studies @Cambridge_Uni. // 研究近代東亞文學中的男性。好講政治、文化、技術。 愛丁堡大學本科生、劍橋大學研究生。</t>
  </si>
  <si>
    <t>Darth Sloshed</t>
  </si>
  <si>
    <t>1. I will only follow you back if you're some nerd in Canada. 2. This account is super cheeky with its RT’s. 3. Boring BR 2049 Threads Ahoy.</t>
  </si>
  <si>
    <t>AnniessaSweetmolly</t>
  </si>
  <si>
    <t>As long as I do no harm to others, really don't care if someone doesn't like me. I wasn't put on this earth to entertain anyone.</t>
  </si>
  <si>
    <t>The Star Mobile Team</t>
  </si>
  <si>
    <t>Typhoon leaves five dead after lashing Japan on election day https://t.co/kj49sZy81b https://t.co/4YjLp71sJJ</t>
  </si>
  <si>
    <t>TwitterRSSAgent</t>
  </si>
  <si>
    <t>ChinaNews</t>
  </si>
  <si>
    <t>SmartTypesBot</t>
  </si>
  <si>
    <t>We surface trending news from China insiders - made w/ love by @SmartTypes</t>
  </si>
  <si>
    <t>Brazil News</t>
  </si>
  <si>
    <t>RT @PIMCO: Abe scores big re-election win in Japan. What does it mean for #markets? https://t.co/QgV62pbgTq https://t.co/mZQ5Se7NTR</t>
  </si>
  <si>
    <t>Português, Español and English. Rio de Janeiro, Brasil. Retweet ≠ endorsement. Contra a corrupção de esquerda, direita ou centro</t>
  </si>
  <si>
    <t>Nikhil</t>
  </si>
  <si>
    <t>Iconically Moronic</t>
  </si>
  <si>
    <t>Ravi Shankar</t>
  </si>
  <si>
    <t>जिज्ञासु यायावर प्रवासी</t>
  </si>
  <si>
    <t>Benny Avni</t>
  </si>
  <si>
    <t>.@NYPostOpinion Japan’s election results are good news for America and the struggle to keep North Korea in check https://t.co/m2tj9JjB8l</t>
  </si>
  <si>
    <t>NewYork, NY</t>
  </si>
  <si>
    <t>New York Post, The Daily Beast. formerly Newsweek. Once New York Sun, always New York Sun</t>
  </si>
  <si>
    <t>Akansha Ray</t>
  </si>
  <si>
    <t>Materialistic things don't impress me, souls do. passionate about yoga. Life is a beautiful mess. Moody af.</t>
  </si>
  <si>
    <t>♡O-mi-alma♡</t>
  </si>
  <si>
    <t>RT @Biagio960: Japan... Farewell, pacifist Constitution But, well, times change, my friends Abe secures strong mandate in Japan's genera…</t>
  </si>
  <si>
    <t>ALbania Tiene mi alma♡</t>
  </si>
  <si>
    <t>#engagement my love my fiancee❗it's my personal life everything will b share. Check out @TheMedicalVids’s Tweet: https://t.co/WZR8tBSYNE…</t>
  </si>
  <si>
    <t>RT @ggnewsus: Japan's Abe to push pacifist constitution reform after strong election win https://t.co/KJVtWST4lj</t>
  </si>
  <si>
    <t>チャラ純平</t>
  </si>
  <si>
    <t>神奈川県三浦半島</t>
  </si>
  <si>
    <t>自由と平和と公正を求め、侵略戦争と密約政治に反対するオヤジ。</t>
  </si>
  <si>
    <t>Emmanuel Akpabio</t>
  </si>
  <si>
    <t>- . .- .-..</t>
  </si>
  <si>
    <t>-.- -. --- .-- / - .... -.-- ... . .-.. ..-. / .- ...- --- .. -.. / . -..- - .-. . -- . ...</t>
  </si>
  <si>
    <t>Asia-Pacific Journal</t>
  </si>
  <si>
    <t>NEW: Backstory to Abe’s Snap Election – the Secrets of the “Missing” Japan SDF Activity Logs… https://t.co/Q7MpI8l8xR</t>
  </si>
  <si>
    <t>In-depth critical analysis of the forces shaping the Asia-Pacific region &amp; the world. RTs, follows, mentions, listing, etc. are not endorsements.</t>
  </si>
  <si>
    <t>Japan's Abe vows to put education spending before budget balance | Article [AMP] | Reuters https://t.co/ht7RsQthfY</t>
  </si>
  <si>
    <t>PANUN KASHMIR</t>
  </si>
  <si>
    <t>Exiled from kashmir my homeland,Now a refugee in home country for last 27 years. Mera Bharat Maahan. Vice Chairman . PANUN KASHMIR.</t>
  </si>
  <si>
    <t>kelvin c</t>
  </si>
  <si>
    <t>Just sharing towards getting a better life daily😇👿👹👺🤢👽😾👨‍🏭🎅👩‍🚒🤳👶👨‍🚒🕴️🙎‍♂️🙆</t>
  </si>
  <si>
    <t>らもん</t>
  </si>
  <si>
    <t>富山県</t>
  </si>
  <si>
    <t>長男が拾ってきた猫が中心の我が家。原発、戦争、小さな幸せを大切に感じて一所懸命に生きている人を不幸にする事は絶対に反対。肉球新党党員🙆 勝手にリツイート、フォロー申し訳ありません。でも応援したいのです。</t>
  </si>
  <si>
    <t>Bellz Webster</t>
  </si>
  <si>
    <t>Animal lover.</t>
  </si>
  <si>
    <t>Alpha Tribune</t>
  </si>
  <si>
    <t>Japan election: the investing implications https://t.co/sM1WK4tUZZ #market #economy</t>
  </si>
  <si>
    <t>Metro Detroit, MI, USA</t>
  </si>
  <si>
    <t>Tweeting on economics, markets, technical analysis, stocks, indexes, commodities, currencies, asset management, and risk management, 24/7 (via DVNET). ⚡</t>
  </si>
  <si>
    <t>Kumar Sheb</t>
  </si>
  <si>
    <t>Martin Koelling</t>
  </si>
  <si>
    <t>The youth as force of the revolution is past: Japan's risk-averse youth lean heavily conservative, Nikkei poll. https://t.co/KRbIIPcs1Y</t>
  </si>
  <si>
    <t>Martin Koelling (in German: Kölling), East Asia Correspondent with Handelsblatt, topics: technology, politics and economics of Japan, Korea and China.</t>
  </si>
  <si>
    <t>Suma Pathapati</t>
  </si>
  <si>
    <t>Faculty of @ArtOfLiving, QCI &amp; SSY Yoga Teacher. IT Infra Project Manager. Cooking, Baking, Gardening, Intellectual stuff and Meditation are my interests.</t>
  </si>
  <si>
    <t>Dr.P.Kanagasabapathi</t>
  </si>
  <si>
    <t>Professor involved in India-centric studies; Author/ Writer; Spokesperson, BJP, Tamil Nadu</t>
  </si>
  <si>
    <t>zmq007</t>
  </si>
  <si>
    <t>愛國愛黨愛人民 人民才是國家的王The people are the king of the state.</t>
  </si>
  <si>
    <t>Japan’s Election: ‘TINA’ to Abe https://t.co/ovbCAwRkgx #market #stocks #bonds #futures #forex</t>
  </si>
  <si>
    <t>RT @ultrascanhumint: Will Abe change Japan's pacifist constitution?: After election win for his party and coalition… https://t.co/UUPLyJW6O…</t>
  </si>
  <si>
    <t>Montreal Cane</t>
  </si>
  <si>
    <t>Miami-Montreal</t>
  </si>
  <si>
    <t>University of Miami Alumnus, President of CAD communications</t>
  </si>
  <si>
    <t>SeriousTom</t>
  </si>
  <si>
    <t>■平和憲法に基づく民主国家日本の発展・繁栄 ■適切な財政金融政策と再分配政策に基づく国民経済の活性化 ■日米地位協定改定に基づく国家主権の確立 ■国家主権を更に損なうTPP復活絶対阻止</t>
  </si>
  <si>
    <t>Martin Lavender</t>
  </si>
  <si>
    <t>codsall,staffordshire</t>
  </si>
  <si>
    <t>like walking, riding my bike, taking photo's &amp; history. also like to be a comedian.</t>
  </si>
  <si>
    <t>MS</t>
  </si>
  <si>
    <t>RTs not endorsement.</t>
  </si>
  <si>
    <t>LLOYD WALLACE</t>
  </si>
  <si>
    <t>((RG))</t>
  </si>
  <si>
    <t>Be the change you wish to see in the world - Gandhi. FEMINIST; pragmatic IDEALIST; #IAmAnImmigrant; GLOBAL CITIZEN.</t>
  </si>
  <si>
    <t>Munaf Mughal</t>
  </si>
  <si>
    <t>Re-elected Japanese PM vows hard line on North Korea https://t.co/bb0gkZ9qcU https://t.co/FOHFSfasi5</t>
  </si>
  <si>
    <t>#AJ-ENG: Will Abe change Japan's pacifist constitution?: After election win for his party… https://t.co/AdY0Y0mEoK</t>
  </si>
  <si>
    <t>WorldWideWeb</t>
  </si>
  <si>
    <t>This Newsagregator is still under Deveolpment - more Infos visit our blog!</t>
  </si>
  <si>
    <t>ved dwivedi</t>
  </si>
  <si>
    <t>जननी जन्मभूमिश्- च स्वर्गादपि- गरीयसी #छलना थी, तब भी मेरा उसमें विश्वास घना था उस माया की छाया में कुछ सच्चा स्वयं बना था।</t>
  </si>
  <si>
    <t>Amaresh Rath</t>
  </si>
  <si>
    <t>King Kharabela's Kalinga</t>
  </si>
  <si>
    <t>India first, धर्मो रक्षति रक्षितः</t>
  </si>
  <si>
    <t>Japan Guide</t>
  </si>
  <si>
    <t>Japan's Abe hails landslide victory in snap election @CNNI https://t.co/ZUUV6RgcdT</t>
  </si>
  <si>
    <t>I'm a certified Japan Tour Guide. Whenever you need in Japan or you have a plan to visit Japan, I offer you reasonable price to guide you.</t>
  </si>
  <si>
    <t>Japan’s Election: ‘TINA’ to Abe https://t.co/kT9Qj8Wlle #investing #trading #market #economy #finance</t>
  </si>
  <si>
    <t>Michael Dick</t>
  </si>
  <si>
    <t>Thunder Bay, Ontario</t>
  </si>
  <si>
    <t>Proud CBC Journalist with stops in #yfc, #yyz, #yeg, #yhz, #hnd, and #yqt --- Executive Producer - @cbctbay --- Tweets are my own.</t>
  </si>
  <si>
    <t>Ram Kumar Mahto</t>
  </si>
  <si>
    <t>Samastipur, India</t>
  </si>
  <si>
    <t>PIMCO: Abe scores big re-election win in Japan. What does it mean for #markets? https://t.co/n5LFJBcWtx https://t.co/kXoytF9w81</t>
  </si>
  <si>
    <t>विभा अग्निहोत्री</t>
  </si>
  <si>
    <t>राष्ट्र हितं मम् करणीयं /भ्रष्टाचार मुक्त भारत एक सपना एक मुहिम (राष्ट्र सेविका समिती,R.S.S )कानपुर महानगर यू पी</t>
  </si>
  <si>
    <t>Mazin Al Bukhari</t>
  </si>
  <si>
    <t>Makkah Al Mukarrama, Kingdom of Saudi Arabia</t>
  </si>
  <si>
    <t>The Traveler...</t>
  </si>
  <si>
    <t>Nancie McCormick</t>
  </si>
  <si>
    <t>Abe to push reform of Japan's pacifist constitution after election win https://t.co/95G3SieNI9 Japanese Prime Minister Shinzo Abe’s</t>
  </si>
  <si>
    <t>YU HAO YU</t>
  </si>
  <si>
    <t>Japan election: Shinzo Abe's economy faces huge challenges https://t.co/WaZa4fub6u 來自 @CNNMoney</t>
  </si>
  <si>
    <t>newsAnglr World</t>
  </si>
  <si>
    <t>What does #Shinzo #Abe&amp;apos;s election win mean for Japan? https://t.co/UWaHehd8YQ https://t.co/0PnybTv0gw</t>
  </si>
  <si>
    <t>Newsanglr bot World</t>
  </si>
  <si>
    <t>Tracks all major world related news sources in the world and tweets the most important world topics of the moment</t>
  </si>
  <si>
    <t>Abe to push reform of Japan's pacifist constitution after election win https://t.co/kDHme30aGM Japanese Prime Minister Shinzo Abe’s</t>
  </si>
  <si>
    <t>Garth Godsman</t>
  </si>
  <si>
    <t>Gay conservative, climate and health sceptic, dreamer after lost worlds</t>
  </si>
  <si>
    <t>Edom Kassaye</t>
  </si>
  <si>
    <t>#Japan PM Abe succeed a snap election, what about revising nations constitution? tune @globaljourn this Thursday https://t.co/H8SV8LRqkA</t>
  </si>
  <si>
    <t>የማርያም መንገድ</t>
  </si>
  <si>
    <t>Assistant Producer @globaljourn Now coding. . .</t>
  </si>
  <si>
    <t>#AJ-ENG: Will Abe change Japan's pacifist constitution?: After election win for his party… https://t.co/Mmmk95h0sH</t>
  </si>
  <si>
    <t>World Wide Web</t>
  </si>
  <si>
    <t>We Tweet @TheBrkNews From World Wide. #Business #Entertainment #Sports #Politics #Live #Videos #Headlines #News !</t>
  </si>
  <si>
    <t>Japan PM’s ruling bloc scores big election win https://t.co/8cFmY2Ihmv</t>
  </si>
  <si>
    <t>Panzer Leader</t>
  </si>
  <si>
    <t>Japan Election Victory Gives Abe Mandate For Reform @Diplomat_APAC https://t.co/4dTDW6oIbX</t>
  </si>
  <si>
    <t xml:space="preserve"> Los Angeles California USA</t>
  </si>
  <si>
    <t>Husband, Father, Catholic School Teacher, Professional Soldier, Career Military Officer, Pilot In Command, Student of History and Politics, Lover of Life.</t>
  </si>
  <si>
    <t>Japan PM’s ruling bloc scores big election win https://t.co/Y4GALhsMOa</t>
  </si>
  <si>
    <t>♠DanArewA</t>
  </si>
  <si>
    <t>Will Abe change Japan's pacifist constitution?: After election win for his party and… https://t.co/emB4ulNbKh</t>
  </si>
  <si>
    <t>Kaduna</t>
  </si>
  <si>
    <t>Is this the part where everyone writes all sort of bullshit?? Nah Thanks...</t>
  </si>
  <si>
    <t>Henri Rousseau</t>
  </si>
  <si>
    <t>ROUEN (76)FRANCE</t>
  </si>
  <si>
    <t>impliqué et social.ici FORUM libre,tolérant et respectueux,Aide aux arts et causes.Invite aussi les artistes et ceux et celles qui s'impliquent.</t>
  </si>
  <si>
    <t>ShareBoss.in</t>
  </si>
  <si>
    <t>Shinzo Abe vows to seek consensus on Japan Constitution after election win.. https://t.co/kHawIu0fxy</t>
  </si>
  <si>
    <t>ShareBoss</t>
  </si>
  <si>
    <t>Search less. Research more! ShareBoss.in your gateway for stock research.</t>
  </si>
  <si>
    <t>Ashton Consulting</t>
  </si>
  <si>
    <t>Japan's risk-averse youth lean heavily conservative by @NAR https://t.co/r33i95cGck</t>
  </si>
  <si>
    <t>Minato-ku, Tokyo</t>
  </si>
  <si>
    <t>Japan’s leading independent corporate communications agency.</t>
  </si>
  <si>
    <t>zen</t>
  </si>
  <si>
    <t>東京 品川区</t>
  </si>
  <si>
    <t>dreamin'</t>
  </si>
  <si>
    <t>🍫🍿🍭🍮🍨🍡🍘🍬🍪🍣🍛🍙🍕🍔🧀🍯🌮🥙🍦🗽</t>
  </si>
  <si>
    <t>Trevor Grayeb</t>
  </si>
  <si>
    <t>Cambridge, MA</t>
  </si>
  <si>
    <t>HLS '19. Bad at Twitter.</t>
  </si>
  <si>
    <t>Arizona</t>
  </si>
  <si>
    <t>Voted for @POTUS @RealDonaldTrump and he's one of the greatest Presidents in History that I'll ever vote for!! #MAGA #POTUS #Trump</t>
  </si>
  <si>
    <t>RT @worldanglr: What does #Shinzo #Abe&amp;apos;s election win mean for Japan? https://t.co/UWaHehd8YQ https://t.co/0PnybTv0gw</t>
  </si>
  <si>
    <t>Joy Nott</t>
  </si>
  <si>
    <t>President and CEO of Canadian Association of Importers and Exporters (I.E.Canada). Tweets are my personal views. Retweets do not equal endorsements.</t>
  </si>
  <si>
    <t>redoladore</t>
  </si>
  <si>
    <t>RT @JapanFocus: NEW: Backstory to Abe’s Snap Election – the Secrets of the “Missing” Japan SDF Activity Logs https://t.co/q5AYdS32Nw Cc: @R…</t>
  </si>
  <si>
    <t>性別:どっちでもなくてもいいよね #まつろわず #NoBases #脱基地列島</t>
  </si>
  <si>
    <t>Japan's Abe hails landslide victory in snap election @CNNI https://t.co/ZUUV6QYBml</t>
  </si>
  <si>
    <t>Abe Vows to Seek Consensus on Constitution After Election Win https://t.co/wrrIUnPKAY via @business</t>
  </si>
  <si>
    <t>Eddie Ameh Snr</t>
  </si>
  <si>
    <t>International Journalist. Graduate, Carleton University Journalism School.</t>
  </si>
  <si>
    <t>Don Julian</t>
  </si>
  <si>
    <t>Japan's Abe to push for military expansion after election win https://t.co/kGwgcpb8WW #Japan</t>
  </si>
  <si>
    <t>Africa</t>
  </si>
  <si>
    <t>M.Sc Microbiology (Public health), Sports lover, Blogger, Activist, Anti terrorist, Globe watcher, #Nigerian.</t>
  </si>
  <si>
    <t>OFBJP MI USA</t>
  </si>
  <si>
    <t>Official twitter account of Overseas Friends of BJP Michigan, USA</t>
  </si>
  <si>
    <t>USDJPY ↑ • Japan's Abe wins gen.election stronger than exp • suggests BoJ remains QQE • 92% prob FED to hike 25bp Dec</t>
  </si>
  <si>
    <t>Ryan Kotrch</t>
  </si>
  <si>
    <t>Intern for Del. Helsel (R) 91st District. Political Commentator #VCU19. VCU Teachers Assistant. Political Science Major. Future Teacher. Pharmacy Technician</t>
  </si>
  <si>
    <t>Abe Vows to Seek Consensus on Constitution After Election Win https://t.co/qPjDuo889E</t>
  </si>
  <si>
    <t>NJ77</t>
  </si>
  <si>
    <t>Loves : Technology, F1, Beer, Cats! Hates: Economic Global Meltdowns &amp; Wars! Interested in: Green Tech., Enterpreneur-stuff!</t>
  </si>
  <si>
    <t>石野 雅之</t>
  </si>
  <si>
    <t>都内中心</t>
  </si>
  <si>
    <t>（ネトウヨによると）売れないRockミュージシャン／Against Racism ／差別反対東京アクション</t>
  </si>
  <si>
    <t>Shinzo Abe vows to seek consensus on Japan Constitution after election win https://t.co/l4GQRfXeIf https://t.co/ZEkyg3WPxr</t>
  </si>
  <si>
    <t>After election win, Abe prioritizes North Korea, aging Japan.. https://t.co/7sBG5PVRGJ</t>
  </si>
  <si>
    <t>Harshit Dwivedi</t>
  </si>
  <si>
    <t>Born for #WRESTLING and India!!</t>
  </si>
  <si>
    <t>kishn choudhary</t>
  </si>
  <si>
    <t>nosar</t>
  </si>
  <si>
    <t>student's leader</t>
  </si>
  <si>
    <t>3NovicesAfrica</t>
  </si>
  <si>
    <t>#3Novices : Will Abe change Japan's pacifist constitution? https://t.co/TVqyjKXKuN October 24, 2017 at 05:06AM After election win for hi…</t>
  </si>
  <si>
    <t>Official :The First Online Media Updater Founder Meghashyam, Vaishnavi, Bharath</t>
  </si>
  <si>
    <t>yukamama</t>
  </si>
  <si>
    <t>Shinzo Abe secures strong mandate in Japan's general election https://t.co/zHsFrNSsHx</t>
  </si>
  <si>
    <t>new york</t>
  </si>
  <si>
    <t>We are ONE. Peace on Earth.</t>
  </si>
  <si>
    <t>Bond Report: Treasury yields hold ground as investors await Trump’s nominee for Fed boss https://t.co/QH2DsLCJnE via @bllshbrsh</t>
  </si>
  <si>
    <t>ぐれお</t>
  </si>
  <si>
    <t>RTメインです。たまに喋るけどね。政治経済系RT過多につき注意。</t>
  </si>
  <si>
    <t>ThaTha Nagendra</t>
  </si>
  <si>
    <t>Jon Sukarangsan</t>
  </si>
  <si>
    <t>Digital, Brand Strategy, Fashion. Sometimes artist. Consultant. Group Program Director @CriticalMass</t>
  </si>
  <si>
    <t>The Courier-Mail</t>
  </si>
  <si>
    <t>Imminent threat.' Japan set to end 70-year pacifist stance as the threat from North Korea increases… https://t.co/wnB7tdfKZm</t>
  </si>
  <si>
    <t>Queensland, Australia</t>
  </si>
  <si>
    <t>Queensland's number one news source. Proudly Maroon. Subscribe https://t.co/t3KgkplPEi; Newsletter https://t.co/KyIhLkpZ10</t>
  </si>
  <si>
    <t>New post: Japan’s Nikkei hits new highs after Abe wins election https://t.co/mYWi101a5I</t>
  </si>
  <si>
    <t>ManuelaSaenz</t>
  </si>
  <si>
    <t>Japan’s Abe cements hold on power with election win https://t.co/B1e1cfTL2l via @WSJ</t>
  </si>
  <si>
    <t>USA/Vzlan! C survivor #MAGA For democracy NO Liberalism/socialism! Tweets in English/Spanish.Christian, Conservative TRUMP WON so DEAL WITH IT! Not a REPUBLICAN</t>
  </si>
  <si>
    <t>Abe Placed to Lead Japan Through 2021 After Big Election Win https://t.co/y5AbTWaXLX via @bpolitics</t>
  </si>
  <si>
    <t>Anand</t>
  </si>
  <si>
    <t>किसी के अमीर होने से मैं ग़रीब नहीं हो जाता किसी के पढ़े लिखे होने से मैं अनपढ़ नहीं हो जाता। ट्वीट व्यक्तिगत विचार। कतिपय दिल पर न लें।</t>
  </si>
  <si>
    <t>Abe Placed to Lead Japan Through 2021 After Big Election Win https://t.co/C9yDNTOLwk</t>
  </si>
  <si>
    <t>Kae</t>
  </si>
  <si>
    <t>Aminul Hoque</t>
  </si>
  <si>
    <t>RT @couriermail: 'Imminent threat.' Japan set to end 70-year pacifist stance as the threat from North Korea increases https://t.co/4X9v8GX1…</t>
  </si>
  <si>
    <t>イロハモミジ</t>
  </si>
  <si>
    <t>Nikkei posted record winning streak after Abe's election win https://t.co/azmZFNpOMX via @BW</t>
  </si>
  <si>
    <t>Abe's coalition retains two-thirds majority in Japan election- Nikkei Asian Review https://t.co/Dt4bEUd3HP</t>
  </si>
  <si>
    <t>Abe's coalition retains two-thirds majority in Japan election- Nikkei Asian Review https://t.co/bAYtVTstOs</t>
  </si>
  <si>
    <t>nautanki king</t>
  </si>
  <si>
    <t>ときわちゃん</t>
  </si>
  <si>
    <t>Niiza, Saitama</t>
  </si>
  <si>
    <t>黒木メイサ至上主義</t>
  </si>
  <si>
    <t>NOMonsanto</t>
  </si>
  <si>
    <t>Japan: PM Abe to Challenge Pacifist Constitution After Election Victory https://t.co/wEyCwhaT0M via @democracynow</t>
  </si>
  <si>
    <t>Not interested in MLMs or online selling. Not interested in porn or naked pics of anyone.Just into politics PROGRESSIVE ATHEIST</t>
  </si>
  <si>
    <t>Mickie</t>
  </si>
  <si>
    <t>May the force be with you.</t>
  </si>
  <si>
    <t>11月8日が楽しみだ！！！！！</t>
  </si>
  <si>
    <t>ダメな大人です。めっちゃ金がないです！！</t>
  </si>
  <si>
    <t>Reggie Danger 🎃</t>
  </si>
  <si>
    <t>&gt;Japan had an election &amp;gt;*we* have to do something about this YOU'RE NOT EVEN JAPANESE. TAKE AN ENTIRE SEAT. WHIT… https://t.co/x6z2lydVRG</t>
  </si>
  <si>
    <t>THE C△B△L</t>
  </si>
  <si>
    <t>Vidya and politics. Tinfoil and dank memes! Unpaid Kremlin agent. #SethRich #NoWarWithSyria 🇸🇾🇺🇸</t>
  </si>
  <si>
    <t>Shinzo Abe, the "comeback kid" of Japanese politics- Nikkei Asian Review https://t.co/jBOz5jVZZJ</t>
  </si>
  <si>
    <t>Shinzo Abe, the "comeback kid" of Japanese politics- Nikkei Asian Review https://t.co/mzdsrSfFky</t>
  </si>
  <si>
    <t>Shinzo Abe vows to seek consensus on Japan Constitution after election win https://t.co/LmZewRAmKr</t>
  </si>
  <si>
    <t>⚰booted off molly</t>
  </si>
  <si>
    <t>Taliban</t>
  </si>
  <si>
    <t>🏴 yall suck glizzy inna club https://t.co/UQrGTd7mQG</t>
  </si>
  <si>
    <t>Japan Q&amp;A: why Abe’s victory cheers investors - Shinzo Abe’s third election victory by no means solves Japan’s ... https://t.co/2FMvcIioD2</t>
  </si>
  <si>
    <t>Seven things to know about Japan's lower house elections- Nikkei Asian Review https://t.co/r4LvgeKiww</t>
  </si>
  <si>
    <t>Seven things to know about Japan's lower house elections- Nikkei Asian Review https://t.co/FpUyehLMvd</t>
  </si>
  <si>
    <t>Nikolai Riazantsev</t>
  </si>
  <si>
    <t>Yasufumi Saito</t>
  </si>
  <si>
    <t>Developer Journalist @WSJ in Asia https://t.co/ShaOt1ZRhD | DataVis &amp; Interactive &amp; Storytelling | Views are my own | Mostly English, and sometimes Japanese</t>
  </si>
  <si>
    <t>Kishan</t>
  </si>
  <si>
    <t>Devalapura 583129</t>
  </si>
  <si>
    <t>Sports Music Government and Politics Government &amp; Public Utilities Politicians and Pol Parties</t>
  </si>
  <si>
    <t>Peter Smith</t>
  </si>
  <si>
    <t>Engagement Director @EastAsiaGroup #Geopolitics #PoliticalRisk #Strategy #BusinessDev #Investment #Trade #MandA #MacroResearch #MarketResearch 🇺🇸🇨🇳🇯🇵🇰🇷🇹🇼🇵🇭🇻🇳</t>
  </si>
  <si>
    <t>With a landslide win, Shinzo Abe could be ready to rewrite Japan's pacifist constitution https://t.co/91RglRk1J8</t>
  </si>
  <si>
    <t>SAVE THE EARTH</t>
  </si>
  <si>
    <t>Will Abe change Japan's pacifist constitution?: After election win for his party and… https://t.co/UrXHgHFYl8 #news</t>
  </si>
  <si>
    <t>This tweets are collected from Ecology Activism sites. The time for saving the planet is NOW. Re-Tweet, name us, recommend us, help spreading the word.</t>
  </si>
  <si>
    <t>FTI SC Asia</t>
  </si>
  <si>
    <t>#Abe to push reform of Japan's pacifist constitution after #ElectionWin @LeikaKihara @ReutersBiz… https://t.co/zuyJ63WhI7</t>
  </si>
  <si>
    <t>The Asia Strategic Communications (SC) segment at FTI Consulting harnesses the power of communications to solve critical business problems. #fticonsulting</t>
  </si>
  <si>
    <t>Takashi Tsuda</t>
  </si>
  <si>
    <t>Consultant @EastAsiaGroup #Geopolitics #PoliticalRisk #Economics #BusinessDev #Investment #Trade #MandD #MacroResearch</t>
  </si>
  <si>
    <t>Japan's Abe to push pacifist constitution reform after strong election win https://t.co/ahkjTL30uA</t>
  </si>
  <si>
    <t>Security</t>
  </si>
  <si>
    <t>Japan&amp;amp;apos;s Shinzo Abe Conjures Stunning Election Victory in a Boost for Donald Trump #SecurityNews https://t.co/oVWwekkIOa</t>
  </si>
  <si>
    <t>Stay on top of the latest political news. Be up to date in your profession or interest. check http://t.co/B5J9oGruCW</t>
  </si>
  <si>
    <t>Dean Butler</t>
  </si>
  <si>
    <t>Abe's coalition retains two-thirds majority in Japan election- Nikkei Asian Review https://t.co/cblV00ImgX</t>
  </si>
  <si>
    <t>A deplorable. Meandering through life with no obvious purpose and no obvious destination.</t>
  </si>
  <si>
    <t>Henrique Altemani</t>
  </si>
  <si>
    <t>Giving Up Hope How Yuriko Koike Lost Japan's Snap Election https://t.co/Xu58hGbq9M via @ForeignAffairs</t>
  </si>
  <si>
    <t>International Relations, Professor</t>
  </si>
  <si>
    <t>Japan's leader just won a resounding election victory, but he's still unpopular https://t.co/EwUQ2QlceL</t>
  </si>
  <si>
    <t>Japan's leader just won a resounding election victory, but he's still unpopular https://t.co/EwUQ2Q3Bnd</t>
  </si>
  <si>
    <t>MANISH MANCHANDA</t>
  </si>
  <si>
    <t>jind haryana</t>
  </si>
  <si>
    <t>MEMBER DISTRICT EXECUTIVE BJP JIND.</t>
  </si>
  <si>
    <t>Roxanne Fitzgerald</t>
  </si>
  <si>
    <t>Oshawa</t>
  </si>
  <si>
    <t>Proud mother, childcare teacher..... with uplifting pictures &amp; stories, interesting info - the positive side of everyday.</t>
  </si>
  <si>
    <t>M Harrison</t>
  </si>
  <si>
    <t>Here And Now</t>
  </si>
  <si>
    <t>**** KEEP CALM AND CARRY ON ***** #Mindfulness #Animals #Climate #Art #Politics No DM! I usually #FollowBack</t>
  </si>
  <si>
    <t>HRK</t>
  </si>
  <si>
    <t>反ファシズム。安倍辞めろ共謀団。ドラム隊。反原連。</t>
  </si>
  <si>
    <t>Alok Gupta</t>
  </si>
  <si>
    <t>Bharatpur, India</t>
  </si>
  <si>
    <t>bharatpur rajasthan india 26.11.1975 , ( I love my india )</t>
  </si>
  <si>
    <t>Mrs. N❤️ LOVE</t>
  </si>
  <si>
    <t>143V, The Street</t>
  </si>
  <si>
    <t>K- Drama addict. 2PM. GOT7. DAY6 #WHPH #THINKABOUTYOU #JUN_K #MrNOLOVE</t>
  </si>
  <si>
    <t>Pangsb</t>
  </si>
  <si>
    <t>@staronline @The_Japan_News It's strange why d election cannot wait till d typhoon is over.The present result doesn… https://t.co/nKM5vtHtgO</t>
  </si>
  <si>
    <t>Aditya Nair</t>
  </si>
  <si>
    <t>Retweets may or may not be endorsements; why do you care? 😈</t>
  </si>
  <si>
    <t>Vishnu Pathak</t>
  </si>
  <si>
    <t>Vishnu Pathak MD, VARR Healthcare Pvt. Ltd. (Pharma company)</t>
  </si>
  <si>
    <t>Dreamer</t>
  </si>
  <si>
    <t>Kedah, Malaysia</t>
  </si>
  <si>
    <t>🍓☕🍳🍔🍟🍝🍕🍗🍤🍣🍣🍎🍏🌈🌚🌚🌊 are bae... :')</t>
  </si>
  <si>
    <t>நாகராஜன் 🇮🇳</t>
  </si>
  <si>
    <t>என் தோற்றம் மாறலாம் , ஆனால் என் குணம் மாறாது !! Trying to follow Dhonism !!</t>
  </si>
  <si>
    <t>Tahar</t>
  </si>
  <si>
    <t>Commenting on the MENA region &amp; political Islam. Tweets aren't a reflection of my views &amp; RTs aren't endorsements</t>
  </si>
  <si>
    <t>Ajay kumar</t>
  </si>
  <si>
    <t>Jung Bahadur Kirpal</t>
  </si>
  <si>
    <t>Trendler News</t>
  </si>
  <si>
    <t>Japan Election Vindicates Shinzo Abe as His Party Wins Big https://t.co/V14pOVOtPZ</t>
  </si>
  <si>
    <t>Trendler searches the world for the most interesting stories in News, Sports, Politics, Business, Entertainment, Technology, Lifestyle and Food.</t>
  </si>
  <si>
    <t>Eric Ladny</t>
  </si>
  <si>
    <t>@mit_obe election in Japan. Show is 7-10am EST and the segment would last 15-20 minutes. Please send DM. Thank you! -Eric</t>
  </si>
  <si>
    <t>Radio Producer for #FaultLines with @GarlandNixon &amp; @stranahan | PSU '11 | Professional Poker Player: 2008-16 | RT ≠ Endorsement | Email: LADNY@Protonmail.com</t>
  </si>
  <si>
    <t>Fred</t>
  </si>
  <si>
    <t>Namen</t>
  </si>
  <si>
    <t>John Dauer</t>
  </si>
  <si>
    <t>CPO at Londonderry, LLC</t>
  </si>
  <si>
    <t>Japan’s Election: ‘TINA’ to Abe https://t.co/LmZGpoqWN0 #market #economy</t>
  </si>
  <si>
    <t>Xianglan</t>
  </si>
  <si>
    <t>名古屋</t>
  </si>
  <si>
    <t>FX株を少額でやってます。日本人のための政党を支持します。＾＾画像は日本美人？</t>
  </si>
  <si>
    <t>Shubham Debadwar🇮🇳</t>
  </si>
  <si>
    <t>Latur, Maharashtra, India</t>
  </si>
  <si>
    <t>Proud to be Indian.🇮🇳 Civil Engineering student.🏗 Die hard fan of Virat Kohli.😎 🕉🕉🕉 !Don't compare yourself to anyone. Be unique.😎 Love to watch Test 🏏</t>
  </si>
  <si>
    <t>Daniel</t>
  </si>
  <si>
    <t>((( Able Dart )))</t>
  </si>
  <si>
    <t>Thought broadcasting on affairs in the Indo-Pacific. RTs not necessarily endorsed; snark not necessarily filtered. https://t.co/O5G3JrDDql</t>
  </si>
  <si>
    <t>Pushpendra shukla</t>
  </si>
  <si>
    <t>Robertsganj, India</t>
  </si>
  <si>
    <t>ヤマトタケル</t>
  </si>
  <si>
    <t>2199BFIをちんまりやってます。</t>
  </si>
  <si>
    <t>はま江戸</t>
  </si>
  <si>
    <t>神奈川県横須賀市</t>
  </si>
  <si>
    <t>基本モノノフです。 直江兼続をこよなく愛し城郭巡りが大好きで 粉引と香木に興味を持ち始めた中年親父っす。 浦和サポで虎ファンでもあります。 リツイート&amp;お気に入り登録する際は ついでにフォローもして頂けると嬉しいっす！O(≧∇≦)o</t>
  </si>
  <si>
    <t>Harish Srivastava</t>
  </si>
  <si>
    <t xml:space="preserve">Vishnupuram Gorakhpur </t>
  </si>
  <si>
    <t>Christian Dussault</t>
  </si>
  <si>
    <t>Shinzo Abe secures strong mandate in Japan's general election https://t.co/wB42piL3tO</t>
  </si>
  <si>
    <t>PARIS, MTL, NEW-YORK, LONDON</t>
  </si>
  <si>
    <t>OPINIONS, NOUVELLES, SANS CENSURE. OPINIONS, NEWS, UNCENSORED. OPINIONES , NOTICIAS, SIN CENSURA.</t>
  </si>
  <si>
    <t>tuzzi</t>
  </si>
  <si>
    <t>Rocketnews</t>
  </si>
  <si>
    <t>Japan&amp;#39;s Shinzo Abe Conjures Stunning Election Victory in a Boost for Donald Trump | The Japanese prime ... |… https://t.co/CRgrWLIsG0</t>
  </si>
  <si>
    <t>RocketNewsPosts</t>
  </si>
  <si>
    <t>Rocketnews is an aggregator of the top online news articles and stories from around the globe.</t>
  </si>
  <si>
    <t>SnootrdbythMenagerie</t>
  </si>
  <si>
    <t>Plucking at the coverlet.</t>
  </si>
  <si>
    <t>All things Wodehouse are good and right. The face belongs to the nonpareil Edward Duke.</t>
  </si>
  <si>
    <t>高村武義</t>
  </si>
  <si>
    <t>表現規制反対運動では古参になります。青林工藝舎『アックス』の「第12回マンガ評論新人賞」にて、『マンガ包囲網 ―政官業民一体で推進される表現規制の多重構造』という論文で奨励賞を受賞させていただきました。</t>
  </si>
  <si>
    <t>500C💲🎸体調不良🐙もっと寝たい</t>
  </si>
  <si>
    <t>Wawa, Ontario</t>
  </si>
  <si>
    <t>まとめやブログ等に当方のツイート転載の際にはお知らせ下さい。支持政党ありません。諸々対応できない時は鍵にします。❤️(いいね)は殆どの場合、後で参照する為の付箋（会話の場合「読みました」「ありがとう」等の挨拶に替えて❤️を使用する事も有）痩せる必要があります。</t>
  </si>
  <si>
    <t>moekomini</t>
  </si>
  <si>
    <t>神奈川県</t>
  </si>
  <si>
    <t>Resist</t>
  </si>
  <si>
    <t>ペトルーシュカ</t>
  </si>
  <si>
    <t>もう手遅れかも？そんなことない！民主主義が、やっと始まったかも！</t>
  </si>
  <si>
    <t>JRM</t>
  </si>
  <si>
    <t>Sports fan, avid reader and gardener, animal and art lover, environmentalist. Registered Independent.</t>
  </si>
  <si>
    <t>Democrats for 100%RE</t>
  </si>
  <si>
    <t>Typhoon kills at least two in Japan, prompts call for thousands to evacuate https://t.co/jzHnaPsYTK</t>
  </si>
  <si>
    <t>Democrats for 100% Renewable Energy/Democratic Majority 2018/ Climate Emergency #Democrats #ClimateJustice #1o5C #greenjobs #MedicareForAll #TheResistance</t>
  </si>
  <si>
    <t>Muskaan</t>
  </si>
  <si>
    <t>Manu</t>
  </si>
  <si>
    <t>HONORABLE PRIME MINISTER SHRI @narendramodi SIR OF INDIA HAS #WISHED YOU RESPECTED G ABOUT OR RELATED TO ELECTION OF JAPAN!!! SO DID REALLY</t>
  </si>
  <si>
    <t>GOD has never made me fr twitter,AS I AM ''TRULY UNPREDICTABLE!!!!!</t>
  </si>
  <si>
    <t>N氏</t>
  </si>
  <si>
    <t>feather for iOS</t>
  </si>
  <si>
    <t>128ttlの彼方</t>
  </si>
  <si>
    <t>今も昔も脊髄反射RT太郎</t>
  </si>
  <si>
    <t>Mori</t>
  </si>
  <si>
    <t>Tokyo-杉並ディープサウス</t>
  </si>
  <si>
    <t>日に三度カレーを食べます。</t>
  </si>
  <si>
    <t>Becca Tauscher</t>
  </si>
  <si>
    <t>RT @TrendlerNews: Japan Election Vindicates Shinzo Abe as His Party Wins Big https://t.co/V14pOVOtPZ</t>
  </si>
  <si>
    <t>Brooklyn</t>
  </si>
  <si>
    <t>Living the dream in the big city with the most amazing friends a girl could ask for | 20 | Actor | Model | NYC | NYCDA</t>
  </si>
  <si>
    <t>takuyami</t>
  </si>
  <si>
    <t>東京の大学院で勉強していた「元」大学院生です。最近まで寝てました。</t>
  </si>
  <si>
    <t>iwao makino</t>
  </si>
  <si>
    <t>東京都文京区/豊島区</t>
  </si>
  <si>
    <t>*マイラーとかの類ではありません。 HPC(High Performance Computing)業界の製品・流通情報発信および雑談。残りは食べ物、車か飛行機、ホテルネタ。ワークステーション・サーバ向けCPU、メモリ、GPU、インタコネクトの希望型番、数量、納期、ターゲット価格DMに見積対応します。</t>
  </si>
  <si>
    <t>Rincon International</t>
  </si>
  <si>
    <t>(Japan election: Shinzo Abe's economy faces huge challenges) - https://t.co/k6uIjyyh8I https://t.co/E70ADYdhpj</t>
  </si>
  <si>
    <t>Intl News</t>
  </si>
  <si>
    <t>News headlines from around the world!</t>
  </si>
  <si>
    <t>(Polls open in Japan's snap general election - CNN Video) - https://t.co/gGQtpO8SFT</t>
  </si>
  <si>
    <t>(Japan's Abe hails landslide victory in snap election) - https://t.co/Asn678bkO6</t>
  </si>
  <si>
    <t>M.A.G@ Last Hope</t>
  </si>
  <si>
    <t>国・政府・行政・公共機関・社会問題・ニュース・サブカル・書籍・映画・同人関係・あらゆる2次元関係の表現擁護派（もうこれ以上あらゆる表現の規制条例・法規制しないで欲しいし、もういい加減各規制派は表現に干渉しないでそっとして置いて欲しい）。</t>
  </si>
  <si>
    <t>Balgansuren Batsukh</t>
  </si>
  <si>
    <t>Ulaanbaatar, Mongolia</t>
  </si>
  <si>
    <t>Information Communications Technology industry since 1994, FreeBSD/OpenBSD power user</t>
  </si>
  <si>
    <t>mstensionless</t>
  </si>
  <si>
    <t>榧世   Kayase</t>
  </si>
  <si>
    <t>tweecha for android</t>
  </si>
  <si>
    <t>ほんと 安土町しかない。</t>
  </si>
  <si>
    <t>Ph’nglui mglw’nafh Cthulhu R’lyeh wgah’nagl fhtagn. 活字中毒。無益無害。無差別多趣味。 ＠日本あーあ党 #Adir #IAF</t>
  </si>
  <si>
    <t>タダーヲ</t>
  </si>
  <si>
    <t>雑誌『TRASH-UP』『映画秘宝』、ムック『別冊映画秘宝90年代狂い咲きVシネマ地獄』『映画秘宝EXにっぽんの刑事スーパーファイル』『映画秘宝EX日本不良映画年代記』などで執筆 mail : tdo_powersあっとhttps://t.co/PrrEr0MbTX</t>
  </si>
  <si>
    <t>Tanbir</t>
  </si>
  <si>
    <t>RT's do not imply endorsement</t>
  </si>
  <si>
    <t>ALL MY TWEETS ARE MY PERSONAL VIEWS AND OPINIONS</t>
  </si>
  <si>
    <t>Vinod Kumar Srivasta</t>
  </si>
  <si>
    <t>ＴＡＫＡＣＯＰＯ</t>
  </si>
  <si>
    <t>憲法改正で日本をとりもどすべく、微力ながら頑張りたい。 Japan should change the constitution to become a normal country. Comfort women and Nanking Massacre are totally fabricated by China.</t>
  </si>
  <si>
    <t>Hitten Thakkar</t>
  </si>
  <si>
    <t>prabhat</t>
  </si>
  <si>
    <t>sambalpur,rourkela</t>
  </si>
  <si>
    <t>jai ho</t>
  </si>
  <si>
    <t>T</t>
  </si>
  <si>
    <t>Anil Kumar Raj</t>
  </si>
  <si>
    <t>Heartiest greetings to Mr. @AbeShinzo Ji on his big election win. Look forward to further strengthen India-Japan relations with him.</t>
  </si>
  <si>
    <t>The Official Twitter Account Is Senior Youth Leader Mr. @ianilraj01 (Mamber Of C.C.D.B.)… Gen.Sacratory Of Lok Janshakti Party India…</t>
  </si>
  <si>
    <t>Rajnish Sood</t>
  </si>
  <si>
    <t>Nationalist by Heart..!! No political inclination now after 3 Yrs of @narendramodi..!! Will speak against every wrong doings..!! RT not endorsement</t>
  </si>
  <si>
    <t>Cori</t>
  </si>
  <si>
    <t>Japan election: Shinzo Abe set for record tenure https://t.co/aRsosHSrFk</t>
  </si>
  <si>
    <t>Looking for inspiration as a biophysicist.</t>
  </si>
  <si>
    <t>Creators_Lounge</t>
  </si>
  <si>
    <t>The goal of Creators' Lounge is to build a strong, united and productive community of local and international artists, creatives and arts lovers in Toronto.</t>
  </si>
  <si>
    <t>Precious Metals Intl</t>
  </si>
  <si>
    <t>Gold prices dip to two-week low on outcome of Japan's election. https://t.co/XQTehkAGD9 #BullionPMI #Gold #Japan… https://t.co/9M5MLh6vlp</t>
  </si>
  <si>
    <t>Islas Caimán</t>
  </si>
  <si>
    <t>Precious Metals International, Ltd. is a leading wholesale provider of physical precious metals bullion products including gold, silver, platinum and palladium.</t>
  </si>
  <si>
    <t>aaron bauer</t>
  </si>
  <si>
    <t>Shinzo Abe is the big winner in the #Japan legislative election, at the expense of #Tokyo governor Koike: https://t.co/59eeOYEhqu #Tokyo2020</t>
  </si>
  <si>
    <t>Atlanta based Olympics reporter for @aroundtherings. #RBNY stuff for @SNYtv. One time, I was there when the mets increased payroll. aaron.bauer4@gmail.com</t>
  </si>
  <si>
    <t>Around the Rings</t>
  </si>
  <si>
    <t>Shinzo Abe is the big winner in the #Japan legislative election, at the expense of #Tokyo governor Koike: https://t.co/8e5tlghhov #Tokyo2020</t>
  </si>
  <si>
    <t>WORLDWIDE</t>
  </si>
  <si>
    <t>Leading the WORLD with the latest Olympic news: Rio 2016, IOC, PyeongChang 2018, Federations, NOCs, Olympic Business, Doping, Scandals, more...</t>
  </si>
  <si>
    <t>ririas</t>
  </si>
  <si>
    <t>日本の伝統、文化を大切に守りたい。坂東玉三郎・浅田真央・モーツァルトカーペンターズ・サラブライトマン・IL DIVO・波戸崎 操 （フルート）のファンです。2012.4.8生まれ キジトラ ここ姫 溺愛中…。J-NSC会員。 虎ノ門ニュース（#虎8）応援しています。</t>
  </si>
  <si>
    <t>I AM ABSOLUTELY AND #ABSOLUTELY VERY VERY VERY VERY #HAPPY AS YESS AS YESS SO WELL i had idea aboue election of JAPAN!!! PLUS AS if i was(am</t>
  </si>
  <si>
    <t>Peter Konnecke</t>
  </si>
  <si>
    <t>RT AroundTheRings "Shinzo Abe is the big winner in the #Japan legislative election, at the expense of #Tokyo governor Koike: …</t>
  </si>
  <si>
    <t>Sydney</t>
  </si>
  <si>
    <t>These are my own thoughts, and Tweets with Retweets of those in the Public Domain. Not necessarily. endorsed by employer, clients, the IOC or IPC or any OCOG.</t>
  </si>
  <si>
    <t>Japanese PM Extends Power in Snap Election https://t.co/1FzwZZNdce</t>
  </si>
  <si>
    <t>Japan's ruling LDP wins majority in lower house election amid opposition splitting-up https://t.co/vGLb8SGSPW</t>
  </si>
  <si>
    <t>Rogue WH Dog Walker</t>
  </si>
  <si>
    <t>RT @mybodyGG: &gt;Japan had an election &amp;gt;*we* have to do something about this YOU'RE NOT EVEN JAPANESE. TAKE AN ENTIRE SEAT. WHITTU PIGGU G…</t>
  </si>
  <si>
    <t>Saskatoon, Saskatchewan Canada</t>
  </si>
  <si>
    <t>fuck if i know.</t>
  </si>
  <si>
    <t>i mean as NORMALLY WAS #NEUTRAL BUT YESS SOME WHERE IF WAS #WANTING THE WIN OF ANY HON LEADER IN DIS JAPAN ELECTION,THEN OF U AND U RES ONLY</t>
  </si>
  <si>
    <t>GSS</t>
  </si>
  <si>
    <t>Wataru Tenga</t>
  </si>
  <si>
    <t>In the 2009 Japan lower house election, the DPJ lost seats needlessly by failing to field enough candidates on its proportional list. &lt;1/2&gt;</t>
  </si>
  <si>
    <t>Musashino-shi, Tokyo, Japan</t>
  </si>
  <si>
    <t>Tokyo-based naturalized Japanese Dutch guy from Michigan translating in energy and environment field</t>
  </si>
  <si>
    <t>What Japan’s Election Outcome Means for the US, East Asia https://t.co/W4wPE5mPl4</t>
  </si>
  <si>
    <t>Shrikrishna Gautam</t>
  </si>
  <si>
    <t>Singrauli (M.P.) India</t>
  </si>
  <si>
    <t>Mech. Engr. , Alumnus D.E.I. Agra and follower of Madan Mohan Malviya Mission. I share my views in the favour of Higher Education &amp; development of Nation</t>
  </si>
  <si>
    <t>Toshio Mizuno</t>
  </si>
  <si>
    <t>エディトリアル・デザイナー。2017年11月中旬でリタイア予定。抗がん剤服用中。リフォローはめったにしません。昆虫や爬虫類等の画像や動画をリツイートします。苦手な方はご注意ください。</t>
  </si>
  <si>
    <t>chiriac octavian mar</t>
  </si>
  <si>
    <t>canada, quebec</t>
  </si>
  <si>
    <t>I Created The State Jesus Christ. Is done. Is mine than, and nothing cans disagree. thestatejesuschrist on facebook. What about you?</t>
  </si>
  <si>
    <t>Toyonori Kato Tom</t>
  </si>
  <si>
    <t>Yokohama/Toronto</t>
  </si>
  <si>
    <t>Creators' Lounge Inc. - Founder・CEO / Japan Expo Canada Inc. - Executive Director</t>
  </si>
  <si>
    <t>Abe, Fresh Off Election Victory, Now Gets to Host Trump - Foreign Policy (blog) https://t.co/hPoEk8ye23</t>
  </si>
  <si>
    <t>China Xinhua News</t>
  </si>
  <si>
    <t>Abe's push to amend Japan's constitution not foregone conclusion despite ruling bloc's election win: experts… https://t.co/Odzmn9Z850</t>
  </si>
  <si>
    <t>Headquartered in Beijing, PRC</t>
  </si>
  <si>
    <t>China Insight, Global View. Xinhua News Agency is the first port of call for the latest China and world news. https://t.co/U0WI8N4Fll https://t.co/IHLImeWM1V</t>
  </si>
  <si>
    <t>eremitainvicolo</t>
  </si>
  <si>
    <t>おりっぷ</t>
  </si>
  <si>
    <t>小売労働者。小林秀雄、中井久夫、木村敏、河合隼雄、桶谷秀昭、竹内好、北一輝、武藤章、 白川静、柳田國男、宮崎市定、角田房子、柄谷行人、関川夏央、綱淵謙錠、等々読んできました。</t>
  </si>
  <si>
    <t>Giriraj Purohit</t>
  </si>
  <si>
    <t>Mark Munro</t>
  </si>
  <si>
    <t>Guelph, Ontario</t>
  </si>
  <si>
    <t>Let go of the handrails, find your balance and stand on your own, but never be afraid to accept the wisdom of those around you.</t>
  </si>
  <si>
    <t>....OR YOUR RES BIRTH DAY!! MUCH MORE AS i dont want to #share!! BUT NO DOUBT AS JAPAN ELECTION TOO WAS SO WELL IN MY MIND! SO YESS AS AT LE</t>
  </si>
  <si>
    <t>XHNews: Abe's push to amend Japan's constitution not foregone conclusion despite ruling bloc's election win: exper… https://t.co/kCLfzUFxzq</t>
  </si>
  <si>
    <t>Abe to push reform of Japan's pacifist constitution after election win https://t.co/CXkUGUniZM</t>
  </si>
  <si>
    <t>Abe to push reform of Japan's pacifist constitution after election win https://t.co/SIXyJlh8R6</t>
  </si>
  <si>
    <t>Abe to push reform of Japan's pacifist constitution after election win https://t.co/3kHUeibzWF</t>
  </si>
  <si>
    <t>novi</t>
  </si>
  <si>
    <t>横浜を名乗るどこか</t>
  </si>
  <si>
    <t>電子音とマヨネーズ（タルタルソース含む）とコーラで構成されている</t>
  </si>
  <si>
    <t>Roger</t>
  </si>
  <si>
    <t>Cleveland</t>
  </si>
  <si>
    <t>Trading Manager.</t>
  </si>
  <si>
    <t>Political HEDGE 🇺🇸</t>
  </si>
  <si>
    <t>MUST READ!║Japan votes in early election as Abe seeks a record 4th term https://t.co/hfkslDaVIM 10/22/2017</t>
  </si>
  <si>
    <t>HApolitics</t>
  </si>
  <si>
    <t>Hedge Shares Articles Through Conservative Optics. 🇺🇸</t>
  </si>
  <si>
    <t>Ivan Sartov</t>
  </si>
  <si>
    <t>RT @XHNews: Abe's push to amend Japan's constitution not foregone conclusion despite ruling bloc's election win: experts https://t.co/mReV4…</t>
  </si>
  <si>
    <t>JEKIE</t>
  </si>
  <si>
    <t>Republic of Belarus</t>
  </si>
  <si>
    <t>Abe's push to amend Japan's constitution not foregone conclusion despite ruling bloc's election win: experts… https://t.co/VRfXGfIXMp</t>
  </si>
  <si>
    <t>Abe's push to amend Japan's constitution not foregone conclusion despite ruling bloc's election win: experts… https://t.co/tzI9KB9f8u</t>
  </si>
  <si>
    <t>#ProtectWithPen Dr.K</t>
  </si>
  <si>
    <t>ॐ संस्कृत,सँस्कार स्वस्थ शरीर,स्वस्थ विचार ! स्वदेशी,राष्ट्र सर्प्रथम ! मोदी जी से प्रेरित ! #Surgeon #ProtectWithPen #Gousanjivini #स्वच्छभारत #RallyForRivers</t>
  </si>
  <si>
    <t>Rajan Anand</t>
  </si>
  <si>
    <t>Pete Chefalo</t>
  </si>
  <si>
    <t>Once you have tasted flight you will walk the earth with your eyes turned skywards, for there you have been and there you will long to return. Leonardo daVinci</t>
  </si>
  <si>
    <t>Robin MacNab</t>
  </si>
  <si>
    <t>RT @ColinFTownson: Re-elected PM vows to tackle Japan's twin crises https://t.co/f71f6p8i04</t>
  </si>
  <si>
    <t>Waterloo Region, Canada</t>
  </si>
  <si>
    <t>Canadian Foreign Service Officer 1971 - 2015. RTs of news on international affairs, technology and other subjects. Bio at http://t.co/JOdsztPL90</t>
  </si>
  <si>
    <t>amrullah_junior</t>
  </si>
  <si>
    <t>@daar el qolam| LM-Faculty of economics-management|like to watch movies and soccers|contact :221F5108|manchester city lovers ||jakarta - Indonesia</t>
  </si>
  <si>
    <t>Lala Rimando</t>
  </si>
  <si>
    <t>While voters in countries like the Philippines and US sought change, the young Japanese voted for status quo. https://t.co/jjrjuJ9GAX</t>
  </si>
  <si>
    <t>Business journalist. Working on Philippine conglomerates book. @Rappler consultant. Passionate abt political economy, governance, sustainability. Yoga, pilates.</t>
  </si>
  <si>
    <t>Mark-Gun</t>
  </si>
  <si>
    <t>♥✞HOLY✞♥TRINITY</t>
  </si>
  <si>
    <t>Nederland, TX</t>
  </si>
  <si>
    <t>#SS8 @RJ_WORD FAN MICROBIOLOGY IS MY PROFESSION. I love @parishilton @Shakira liked my tweet 4/20/17 LOVE'S GOD PENTAGRAM PLEIADES VATICAN PRAY AMEN RA</t>
  </si>
  <si>
    <t>Tokyo Daily News</t>
  </si>
  <si>
    <t>Typhoon leaves two dead after lashing Japan on election day - Business Recorder (press release) (blog) -… https://t.co/Zv9SNzQwjB</t>
  </si>
  <si>
    <t>tokyo daily news</t>
  </si>
  <si>
    <t>We supply English News to the world on News , Business , Technology , Food , Travel and interview etc</t>
  </si>
  <si>
    <t>takuzo1213</t>
  </si>
  <si>
    <t>写真鑑賞と水芸みたいなのがお仕事。医療を含む科学、車、登山などに興味があります。 いいねはメモ代わりで、必ずしも同意を意味しません。突然失敬なメンションを飛ばすことがありますが、仕様ですのでご容赦を。</t>
  </si>
  <si>
    <t>Vicky 🇮🇳</t>
  </si>
  <si>
    <t>100% follow back, Importing SS Scraps, Ferro Alloys Trading ,Distributing Mutual Funds.Trader &amp; Long term investor in #NSE by nature.RTs are not endorsement.</t>
  </si>
  <si>
    <t>Examining Religion</t>
  </si>
  <si>
    <t>Taking a critical look at the sacred texts of Christianity and Islam, and examining the influence of religious dogma on politics and society.</t>
  </si>
  <si>
    <t>Jamie B)</t>
  </si>
  <si>
    <t>The 7th Circle of Heckie</t>
  </si>
  <si>
    <t>My names Jamie. and I'm cooler than a snowman in the tropics.</t>
  </si>
  <si>
    <t>Japan Election Vindicates Shinzo Abe as His Party Wins Big https://t.co/pbHdlAJlTA</t>
  </si>
  <si>
    <t>Japan Election Vindicates Shinzo Abe as His Party Wins Big https://t.co/JwK54x8ZZn</t>
  </si>
  <si>
    <t>Sandy  Lowe</t>
  </si>
  <si>
    <t>Independence, MO</t>
  </si>
  <si>
    <t>I am wife mother and grandmother .</t>
  </si>
  <si>
    <t>BUT AS WHY NOT RES G!!! AS JAPAN ELECTION TOO SOMEWHERE WAS IN MY MIND AND THATS WHAT YESS i had postponed about sharing those preditions od</t>
  </si>
  <si>
    <t>vlady поліщук</t>
  </si>
  <si>
    <t>kyivpost.com; en.censor.net.ua</t>
  </si>
  <si>
    <t>https://t.co/ye6CNQRb4H; https://t.co/ARHShguKHx</t>
  </si>
  <si>
    <t>Jojo Prescott</t>
  </si>
  <si>
    <t>Congratulation Mr. Abe! https://t.co/bAKldocml6</t>
  </si>
  <si>
    <t>North Borneo</t>
  </si>
  <si>
    <t>Freelance Graphic &amp; Web design. An IT geek, a rebellious mind, a social activist, a political outsider and a free thinker.</t>
  </si>
  <si>
    <t>Marina Medina</t>
  </si>
  <si>
    <t>Winning big : Japan’s ruling coalition retains a supermajority in snap election https://t.co/OvfOWFYaRg via @TheEconomist</t>
  </si>
  <si>
    <t>Dr. Sujit kumar jha</t>
  </si>
  <si>
    <t>मिथिलांचल , Bihar</t>
  </si>
  <si>
    <t>Assistant professor, Department of Commerce. PhD in (FDI in real estate sector in India). शौक : सच्ची राजनीति सिखना। गन्दी राजनीति का दायरे में विरोध।</t>
  </si>
  <si>
    <t>Mike Lee</t>
  </si>
  <si>
    <t>IT/IS Professional, Buddhist, Singer/songwriter,Mac/PC/iOS/Retro Techie &amp; Blogger. My youtube: https://t.co/mtRLkkeiJn</t>
  </si>
  <si>
    <t>Allen Beerman</t>
  </si>
  <si>
    <t>ohio</t>
  </si>
  <si>
    <t>We're a group that is dedicated to wildlife conservation, hunting, archery and the true meaning of the outdoors. https://t.co/jFKbBdwwXf</t>
  </si>
  <si>
    <t>jordan pope</t>
  </si>
  <si>
    <t>nc</t>
  </si>
  <si>
    <t>follow @jordanapope bc this account wont let me tweet )):</t>
  </si>
  <si>
    <t>緑なお化け@十中八九ksリプマン</t>
  </si>
  <si>
    <t>フレコ：0044-3487-6810</t>
  </si>
  <si>
    <t>偏った思考を持つダメ人間で変人、広い範囲を浅く拾って歩く。フォローやリプライは時の運。磁気と光と物質に興味。放置ブラゲしながら小説読んで、ハンターとポケモンマスター挙句の果てには提督を兼業。最近はHSやったりシャドバにも若干の興味。衒学的であるために好き嫌いの別れるアカウント用法用量を守って正しくお使いください。</t>
  </si>
  <si>
    <t>New opposition party gets less that 10% of the seats https://t.co/Qb65tgRaXK #Japan #Parliament</t>
  </si>
  <si>
    <t>Nodono Engish Class</t>
  </si>
  <si>
    <t>‘Jack Bauer’ takes on ‘Macron’ in Japan’s colourful election https://t.co/lXqbR9Hq0O</t>
  </si>
  <si>
    <t>茨城 筑西市</t>
  </si>
  <si>
    <t>『 参 加 者 募 集 』 ベーシック英会話レッスンクラス (月1回) 場所：茨城県県西生涯学習センター内 〒308‐0843 茨城県筑西市野殿1371番地 とっても明るいガーリー先生と英会話を通じて楽しい時間を共有しませんか? スケジュール：10月28日、11月25日、 12月9日 いづれもSat 6pm-8pm</t>
  </si>
  <si>
    <t>I'm IBM</t>
  </si>
  <si>
    <t>After election win for his party and coalition partner, the PM signaled a push towards… https://t.co/ofvbJjqtIY</t>
  </si>
  <si>
    <t>☀love my family ♥I discus ideas ,Paradise to my right and Hell to my left ☺</t>
  </si>
  <si>
    <t>Arkadiy Mashikhin</t>
  </si>
  <si>
    <t>Mica Soellner</t>
  </si>
  <si>
    <t>Political Reporter at @CoMissourian | words in @Independent @NovaraMedia @theipaper @spikedonline and featured on @BBCAsianNetwork radio</t>
  </si>
  <si>
    <t>BeSunHappy 🇺🇸</t>
  </si>
  <si>
    <t>#Resist tyranny, fight for #Democracy "if you're not outraged, you're not paying attention." Heather Heyer last words on FB #Chatlottesville</t>
  </si>
  <si>
    <t>JUAN CARLOS NAVA NAV</t>
  </si>
  <si>
    <t>The Winners and Losers of Japan's Landslide Election https://t.co/pfYi844lFA</t>
  </si>
  <si>
    <t>MEXICO CITY</t>
  </si>
  <si>
    <t>FORMER TELEVISA ECO &amp; CNN INTERNATIONAL ECONOMY COMMENTATOR WHO LIKES ECONOMIC REALISM, DON'T YOU? (Conferences, Private Talks -AT&amp;T 55-59090618)</t>
  </si>
  <si>
    <t>CBRHS Dance Marathon</t>
  </si>
  <si>
    <t>Corner Brook, Newfoundland</t>
  </si>
  <si>
    <t>Canada's first East Coast Dance Marathon is back again on March 27th, 2015 raising funds #FTK at Janeway Children's Hospital!</t>
  </si>
  <si>
    <t>CCTV_CORE🔧</t>
  </si>
  <si>
    <t>RT @CNN: Japan's Abe on track for landslide victory, exit polls show https://t.co/uPzPRPKxfp https://t.co/Bx2Y65vueu</t>
  </si>
  <si>
    <t>PAP, HAITI</t>
  </si>
  <si>
    <t>Radio Wave Director📡| Technician of CCTV📟 📩BOOKING ME : jeanwilson7@cctv.com</t>
  </si>
  <si>
    <t>RT @politicalHEDGE: MUST READ!║Japan votes in early election as Abe seeks a record 4th term https://t.co/hfkslDaVIM 10/22/2017</t>
  </si>
  <si>
    <t>pilot, 2nd amendment supporter, WORLD politics observer, writer, I laugh out loud when I see a Basset Hound run, and I frown at disrespect of our flag!**NO LIST</t>
  </si>
  <si>
    <t>Nationalist,NaMo Bhkt- RT are not endorsement</t>
  </si>
  <si>
    <t>Makaloo Vishwakarma</t>
  </si>
  <si>
    <t>Saki</t>
  </si>
  <si>
    <t>Japan is doing good. that's what I thought after the general election. Even if media's try to mess up, we stand up. they can't control us.</t>
  </si>
  <si>
    <t>にほん/Japan</t>
  </si>
  <si>
    <t>Saki. /periscope ❤️https://t.co/q8SR2ycBae / blogger, KIMONO lover👘 Insta : justajapanesegirl contact : 📩justajapanesegirl@gmail.com</t>
  </si>
  <si>
    <t>Yoko</t>
  </si>
  <si>
    <t>ほぼリツイート🍅</t>
  </si>
  <si>
    <t>Josie Klemaier</t>
  </si>
  <si>
    <t>USA, Minnesota</t>
  </si>
  <si>
    <t>Reporter covering Golden, Evergreen, Conifer and Morrison areas for @YourHub at @DenverPost, page designer, @First_Drafts beer blogger, foothills resident.</t>
  </si>
  <si>
    <t>InvestSpoony</t>
  </si>
  <si>
    <t>Japan election: the investing implications https://t.co/yVNee5WjAG #investspoony#blackrock#</t>
  </si>
  <si>
    <t>Fair 4 All</t>
  </si>
  <si>
    <t>Advocate for people with disabilities</t>
  </si>
  <si>
    <t>Neeraj S</t>
  </si>
  <si>
    <t>If 1 marries only young daughter of a corrupt millionaire, ths is nt help 2 humanity, is only worst form of opportunism, greediness n support 2 corruption.....</t>
  </si>
  <si>
    <t>Rossin Fine Art</t>
  </si>
  <si>
    <t>World class European artist.Extraordinary masterpieces in portraiture, sculpture and contemporary art.Impressive portfolio of dignitaries, celebrities, execs</t>
  </si>
  <si>
    <t>Ing_worldcloseup</t>
  </si>
  <si>
    <t>Bangkok</t>
  </si>
  <si>
    <t>World News reporter at World's close-up, Freelance correspondent @TTGASIA, Freelance fixer</t>
  </si>
  <si>
    <t>MRichardson</t>
  </si>
  <si>
    <t>Michigan US</t>
  </si>
  <si>
    <t>graphic production artist</t>
  </si>
  <si>
    <t>Patrice Boivin</t>
  </si>
  <si>
    <t>Japan's Abe to push pacifist constitution reform after strong election win https://t.co/oMt1VCE4Nh</t>
  </si>
  <si>
    <t>Captain Rahul</t>
  </si>
  <si>
    <t>Civil Line Allahabad (India)</t>
  </si>
  <si>
    <t>i want to have abetter start everywhere because ...i thing starting point for a better world is the belief that it's possible............</t>
  </si>
  <si>
    <t>Phil De Carolis</t>
  </si>
  <si>
    <t>Southern California, U.S.</t>
  </si>
  <si>
    <t>Follow @PhilDeCarolis for real-time liberty based news. Also visit https://t.co/frqMkrxwmz and https://t.co/ex6x87rhv5</t>
  </si>
  <si>
    <t>Nextgencali</t>
  </si>
  <si>
    <t>US Constitution-Nature of Consciousness Arts-Science &amp; Culture News Design &amp; Architecture Lifestyle Science Political News Sports Space Soccer</t>
  </si>
  <si>
    <t>佐助</t>
  </si>
  <si>
    <t>真ん中がどこにあるのかを意識するのって大事。独善的な人間、思考がアンチ〇〇やアンチ反〇〇な人間は嫌い。「日本に生まれて良かった」と素直に思う</t>
  </si>
  <si>
    <t>John Snowe</t>
  </si>
  <si>
    <t>RT @SNoerper: Abe to push reform of Japan's pacifist constitution after election win https://t.co/7vQjWEh5ca</t>
  </si>
  <si>
    <t>L.A. Native. Overtly Political. Impassioned progressive, and champion for change.</t>
  </si>
  <si>
    <t>Canada in Japan</t>
  </si>
  <si>
    <t>Embassy of Canada to Japan - Français: @AmbCanJapon / 日本語: @CanadaNihon - http://t.co/pc5bCwITYL</t>
  </si>
  <si>
    <t>i cant talk about dis japan election!! BUT YESS AS I BECAME CASUAL IN USA ELECTIOIN WHEN CLINTON MA'M WAS MY 1ST CHOICE AND UNTIL OCTOBER26</t>
  </si>
  <si>
    <t>✨KATEEEE✨</t>
  </si>
  <si>
    <t>✨@selenagomez how's y(our) nigga?✨</t>
  </si>
  <si>
    <t>sahil singh</t>
  </si>
  <si>
    <t>Andrea Cattaneo</t>
  </si>
  <si>
    <t>Como, Lecco. Lombardia</t>
  </si>
  <si>
    <t>Andrea Cattaneo. Lettura, musica, politica, sport i maggiori interessi. Montagna la grande passione.</t>
  </si>
  <si>
    <t>Mtu wa Power</t>
  </si>
  <si>
    <t>News Analysis: Abe's push to amend Japan's constitution not foregone conclusion despite ruling bloc's election win https://t.co/boygAbKu0m</t>
  </si>
  <si>
    <t>Energy engineer | Development Energy Consultants|</t>
  </si>
  <si>
    <t>Pawan Kumar Rai</t>
  </si>
  <si>
    <t>पवन कुमार राय</t>
  </si>
  <si>
    <t>Arjun Aju</t>
  </si>
  <si>
    <t>DroMadTik Jr</t>
  </si>
  <si>
    <t>Oh siDe CaliForniA</t>
  </si>
  <si>
    <t>Young Black an Dangerous ;-) I luv music money family food and females. follow me on IG see how I live on the Side of the Ocean @Dromadtik</t>
  </si>
  <si>
    <t>勝手に憲法チーム</t>
  </si>
  <si>
    <t>憲法を中心に、核、基地、ジェンダーのイシューについて、国内外の関連記事を発信しています。</t>
  </si>
  <si>
    <t>Lauren Bateman</t>
  </si>
  <si>
    <t>Boston</t>
  </si>
  <si>
    <t>Exploding into the Boston music scene with her debut Pop/Rock album, I’ve Been Waiting.</t>
  </si>
  <si>
    <t>Margaret Perry</t>
  </si>
  <si>
    <t>Kentucky</t>
  </si>
  <si>
    <t>Living for myself and my family, doing what makes me happy and always striving to do and be better #team PISCES</t>
  </si>
  <si>
    <t>donsw</t>
  </si>
  <si>
    <t>Director of Engineering .</t>
  </si>
  <si>
    <t>nobuyuki matsumoto</t>
  </si>
  <si>
    <t>Japan's Shinzo Abe hails landslide victory in snap election(https://t.co/FrUEfzhWeb) via @cnn_co_jp</t>
  </si>
  <si>
    <t>CNN iOS Application</t>
  </si>
  <si>
    <t>Shubham Pandey</t>
  </si>
  <si>
    <t>Allahabad,Uttar Pardesh India.</t>
  </si>
  <si>
    <t>writer, teacher</t>
  </si>
  <si>
    <t>Star-Advertiser</t>
  </si>
  <si>
    <t>After election win, Abe prioritizes North Korea, aging Japan https://t.co/15rpqk75Bx https://t.co/QcQsrJ86Gu</t>
  </si>
  <si>
    <t>The Pulse of Paradise. Breaking news and information from Hawaii's largest news organization.</t>
  </si>
  <si>
    <t>FROM SUPER DEEP HEART,SUPER DUPER CONGRATULATIONS TO JAPAN'S HON PRIME MINISTER SHRI @AbeShinzo SIR FOR WINING IN ELECTION OF 2017 OF JAPAN!</t>
  </si>
  <si>
    <t>David Takaki</t>
  </si>
  <si>
    <t>After election win, Abe prioritizes North Korea, aging Japan via @staradvertiser https://t.co/XczkwxGR1L</t>
  </si>
  <si>
    <t>Hawaii</t>
  </si>
  <si>
    <t>Foreign Policy, International Relations, Speaking Truth 2 Power</t>
  </si>
  <si>
    <t>Prahalad choudhary</t>
  </si>
  <si>
    <t>jinqianbaizitr</t>
  </si>
  <si>
    <t>Lemur Kan Ki</t>
  </si>
  <si>
    <t xml:space="preserve">Kumarikandam </t>
  </si>
  <si>
    <t>Currently full time Lemurian fighting Aariyan imposition. My Tweets/RTs/Quoted tweets shouldn't be taken seriously or as endorsement.</t>
  </si>
  <si>
    <t>Hawaii Informer</t>
  </si>
  <si>
    <t>After election win, Abe prioritizes North Korea, aging Japan https://t.co/x11aHcN67Z https://t.co/XoGKbTj9Zx</t>
  </si>
  <si>
    <t>Local Hawaii News and USA updates from A - Z, that's what you get from us.</t>
  </si>
  <si>
    <t>rajesh johar</t>
  </si>
  <si>
    <t>Susmit Bharadwaj</t>
  </si>
  <si>
    <t>After election win, Abe prioritizes North Korea, aging Japan https://t.co/m0Imj7RgQY</t>
  </si>
  <si>
    <t>Born in the winter of '76, MBA, Love to teach, Indian, Photography is passion, Def Leppard, Scorpions, ZZ Top, Bon Jovi. Coins and music. RTs not endorsements.</t>
  </si>
  <si>
    <t>I WISH SUPER CONGRATULATIONS TO PRIME MINISTER @AbeShinzo G OF JAPAN,1ST LADY MA'M OF JAPAN FOR WIN IN PARLIAMENT ELECTION OF JAPAN IN 2017!</t>
  </si>
  <si>
    <t>花满楼2001</t>
  </si>
  <si>
    <t>Vikash Baliyan</t>
  </si>
  <si>
    <t>Meerut</t>
  </si>
  <si>
    <t>M.P.T.(F.N.R.)(M.A.I.P.) Motivational Indian 🇮🇳......</t>
  </si>
  <si>
    <t>のをあある</t>
  </si>
  <si>
    <t>自宅を仕事場にWebsite制作・編集業務に携わっています。情報収集とひとりごとメイン。ミュートorリムーブご遠慮なく～。</t>
  </si>
  <si>
    <t>JumaanWaheed</t>
  </si>
  <si>
    <t>Typhoon leaves five dead after lashing Japan on election day – ASEAN/East Asia https://t.co/9GYHaAjvWb #AsiaNews</t>
  </si>
  <si>
    <t>A Husband, a father, a brother, an uncle and a son. The responsibilities are endless dho! hehe #Male #Maldives</t>
  </si>
  <si>
    <t>Modi in World</t>
  </si>
  <si>
    <t>I WISH EXTREME CONGRATULATIONS TO PRIME MINISTER @AbeShinzo SIR OF JAPAN,HON 1ST MADY M'M OF JAPAN,YOUR KIDS FOR 2017 ELECTION WIN IN JAPAN!</t>
  </si>
  <si>
    <t>Masahiro Miki</t>
  </si>
  <si>
    <t>Tokyo, Honolulu, Dallas, TX</t>
  </si>
  <si>
    <t>Loving sailing/country songs. Roppongi Men's Chorus Club. Keen on high-technology. ex-TI, Microsoft, Merck executive. Sophia Univ.&amp; Univ. of Arizona Alum</t>
  </si>
  <si>
    <t>Who?</t>
  </si>
  <si>
    <t>gugulu japan</t>
  </si>
  <si>
    <t>Good morning. The typhoon and the House of Representatives election has passed away in Japan.</t>
  </si>
  <si>
    <t>hi</t>
  </si>
  <si>
    <t>hananmogy</t>
  </si>
  <si>
    <t>Liusha Latheef</t>
  </si>
  <si>
    <t>Typhoon leaves five dead after lashing Japan on election day – ASEAN/East Asia https://t.co/JKIxufW6gP #News #EducateUrself</t>
  </si>
  <si>
    <t>The best of life is when u realize u still have not begun ur life. Life in #Maldives is wonderful if u look at all of it =)</t>
  </si>
  <si>
    <t>Tetsuro Kobayashi</t>
  </si>
  <si>
    <t>My new book chapter just published! Internet Election Campaigns in the United States, Japan, South Korea, and Taiwan https://t.co/H3AW5XdKWU</t>
  </si>
  <si>
    <t>City University of Hong Kong</t>
  </si>
  <si>
    <t>RT @CEOMagazineASIA: #Japan ready to reassert itself as a military force. #shinzoabe #election #tokyo #northkorea #kimjongun https://t.co/N…</t>
  </si>
  <si>
    <t>Jesus Christ is my Lord &amp; Saviour #Christian Husband to @Queendeplorab17 Dad #HVAC tech, #MAGA #TrumpTrain</t>
  </si>
  <si>
    <t>Tony De Vos</t>
  </si>
  <si>
    <t>#RT @XHNews: Abe's push to amend Japan's constitution not foregone conclusion despite ruling bloc's election win: … https://t.co/siaZ2WhAz2</t>
  </si>
  <si>
    <t>Ghent</t>
  </si>
  <si>
    <t>Don't Worry Be Happy I Follow Back #news #breakingnews #worldnews #trading #travel</t>
  </si>
  <si>
    <t>Tob Semaj</t>
  </si>
  <si>
    <t>RT @milou1st: #RT @XHNews: Abe's push to amend Japan's constitution not foregone conclusion despite ruling bloc's election win: … https://t…</t>
  </si>
  <si>
    <t>Tob Smega Kit</t>
  </si>
  <si>
    <t>I sit in front a computer at work and retweet contests all day long. Who doesn't like winning things?</t>
  </si>
  <si>
    <t>TD Singh</t>
  </si>
  <si>
    <t>Interested in governance (Right Wing) and current affairs</t>
  </si>
  <si>
    <t>Amit Pandey⏺</t>
  </si>
  <si>
    <t>I am a simple guy who is enjoying the every moment of life...</t>
  </si>
  <si>
    <t>I WISH #CONGRATS TO PRIME MINISTER @AbeShinzo G OF JAPAN,ALL MEMBERS OF LIBERAL DEMOCRATIC PARTY OF JAPAN FOR THEIR PARTY WIN IN ELECTION!!</t>
  </si>
  <si>
    <t>Rohit Gupta</t>
  </si>
  <si>
    <t>Web and Mobile Developer, @ucsb grad, @iit_bhu grad</t>
  </si>
  <si>
    <t>https://t.co/lPfY8E20eT 【 #DonaldTrump election】 I talked about the disadvantages of Japan and the future #トランプ #トランプ当選 #Trump #U #EDM</t>
  </si>
  <si>
    <t>Harish Pande</t>
  </si>
  <si>
    <t>“I care, therefore I am; I hope, therefore I am; I imagine, therefore I am. I am ethical, therefore I am. I have a purpose, therefore I am!!</t>
  </si>
  <si>
    <t>张一得</t>
  </si>
  <si>
    <t>Wanganui District, New Zealand</t>
  </si>
  <si>
    <t>I live inside Niki's ass, Fisherman, Professional Troublemaker, Anatomy Junkie 💤.</t>
  </si>
  <si>
    <t>Berke Fatma</t>
  </si>
  <si>
    <t>Ankara, Turkey</t>
  </si>
  <si>
    <t>Steven Victor Austi</t>
  </si>
  <si>
    <t>Pittsburg, CA</t>
  </si>
  <si>
    <t>Ashwini Kumar</t>
  </si>
  <si>
    <t>1 st year MBBS at IMS,BHU. passed from RAMKRISHNA MISSION VIDYAPITH, DEOGHAR</t>
  </si>
  <si>
    <t>Kimberly Myers-Schuh</t>
  </si>
  <si>
    <t>Shashi Kumar</t>
  </si>
  <si>
    <t>Works in Coal India limited.</t>
  </si>
  <si>
    <t>Japan’s Abe to push pacifist constitution reform after strong election win https://t.co/374dYVCZKi</t>
  </si>
  <si>
    <t>મંદાર રાનડે</t>
  </si>
  <si>
    <t>political, entrepreneur, avid reader and so active on twitter</t>
  </si>
  <si>
    <t>Typhoon leaves five dead after lashing Japan on election day https://t.co/E52r7SFbni #breakingnews</t>
  </si>
  <si>
    <t>oʞɐsɐ ɐɹnıɯ</t>
  </si>
  <si>
    <t>RT @tkobyashi: My new book chapter just published! Internet Election Campaigns in the United States, Japan, South Korea, and Taiwan https:/…</t>
  </si>
  <si>
    <t>京阪神一円</t>
  </si>
  <si>
    <t>三浦麻子 a.k.a. asarin/社会心理学者/関西学院大学教員/関西生まれのインターネット育ち/ボーントラキチ/各所全力/当意即妙なボケツッコミ愛好/毒舌キャラ/論争嫌い/本質を見抜いてぼすっと言いたい/マキャベリアン/人生直球勝負/意地悪オオカミ激愛/hub/No data, No Life</t>
  </si>
  <si>
    <t>Mukesh Arora</t>
  </si>
  <si>
    <t>Vivek Vihar, New Delhi</t>
  </si>
  <si>
    <t>Arthur Spirling</t>
  </si>
  <si>
    <t>There is no escaping Japanese election coverage nor @amycatalinac quotes... https://t.co/pbpSSpK1xv</t>
  </si>
  <si>
    <t>Associate Prof, @NYUDataScience @NYUpolitics. DGS of one of the greatest programs on the planet. Coordinator #textasdata: https://t.co/2WB7PUHaFZ</t>
  </si>
  <si>
    <t>પ્રયાગ ગાંધી</t>
  </si>
  <si>
    <t>कार्यकर्ता BJP &amp; Modi-Bhakt! If important don't DM - send mail - prayag15@hotmail.com</t>
  </si>
  <si>
    <t>Michael Munger</t>
  </si>
  <si>
    <t>RT @arthur_spirling: There is no escaping Japanese election coverage nor @amycatalinac quotes... https://t.co/pbpSSpK1xv</t>
  </si>
  <si>
    <t>Michael Munger, Director, PPE Program, Duke University. Retweets /= endorsements. Finally, sic semper trollus: I block first, ask second.</t>
  </si>
  <si>
    <t>Robert Glynn</t>
  </si>
  <si>
    <t>Norwood, MA</t>
  </si>
  <si>
    <t>Husband, father of 3 great kids, political junkie. Retweets are not endorsements. Opinions are my own.</t>
  </si>
  <si>
    <t>I MEAN LAST OF ANY COUNTRY!! BUT YESS AT LEAST WITH TAKING NO PRESSURE WHAT BAD WAS IN DIS TO #PREDICT HERE IN DIS JAPAN ELECTION AS WAS doi</t>
  </si>
  <si>
    <t>Shailendra Tiwari</t>
  </si>
  <si>
    <t>Know thy self</t>
  </si>
  <si>
    <t xml:space="preserve"> Er Ompalops</t>
  </si>
  <si>
    <t>SHASHANK B RAI</t>
  </si>
  <si>
    <t>Christchurch City, New Zealand</t>
  </si>
  <si>
    <t>2Dinesh</t>
  </si>
  <si>
    <t>Alex Shams</t>
  </si>
  <si>
    <t>"Japan has one of the worst records in the world for female political representation." https://t.co/C7PU1sjNxE</t>
  </si>
  <si>
    <t>Iranian-American writer and PhD student of Anthropology at @UChicago. Previously based in Palestine. Co-Editor @AjamMC. Frmr editor @MaanNewsAgency.</t>
  </si>
  <si>
    <t>charlieharper</t>
  </si>
  <si>
    <t>An artist who love's to work for women empowerment freedom and world peace .... Achieve equality..... Re-tweets not endorsement.</t>
  </si>
  <si>
    <t>Amy Catalinac</t>
  </si>
  <si>
    <t>Assistant Professor, New York University. Japanese politics scholar. NZer. 冬のソナタ fan. Buy my book! https://t.co/IirBFnWXql</t>
  </si>
  <si>
    <t xml:space="preserve">Kanpur/Kolkata (India) </t>
  </si>
  <si>
    <t>シャンプー</t>
  </si>
  <si>
    <t>いろいろなニュースをリツイートします！ フォロー大歓迎です。よろしくお願い申し上げます。</t>
  </si>
  <si>
    <t>MM19</t>
  </si>
  <si>
    <t>Your beliefs don't make you a better person, your behavior does. ~Sukhraj S. Dhillon *RT/Follow ≠ endorsement...except in silly hashtag games* #MeToo</t>
  </si>
  <si>
    <t>Reetesh Maheshwari</t>
  </si>
  <si>
    <t>Nation First, Rt Not Endorsement.</t>
  </si>
  <si>
    <t>THANK YOU VERY VERY MUCH TO ALL AND ALL OF YOU RESPECTED G FOR LAST BACKKKKK TWEEEEET HERE AT HONORABLE @UN!! AS YESS THE JAPAN ELECTION WOW</t>
  </si>
  <si>
    <t>Rakesh kalyan</t>
  </si>
  <si>
    <t>🙏 Jai shri ram 🙏</t>
  </si>
  <si>
    <t>柴田ありさ(Arisa Shibata)</t>
  </si>
  <si>
    <t>Yamanashi, Japan</t>
  </si>
  <si>
    <t>投資家/東京出身山梨在住/法学/会計学/数学/コンピューター/既婚/不治の神経疾患から奇跡的に快癒後、独立起業し5年/365日自由生活/→自由が欲しいかたは是非LINE@ご登録を！→ID検索 @ arisa.shibata</t>
  </si>
  <si>
    <t>Rudi</t>
  </si>
  <si>
    <t>https://t.co/8huBn0txQ0 Japan election: PM Abe promises to tackle North Korea</t>
  </si>
  <si>
    <t>boxee.local</t>
  </si>
  <si>
    <t>Dobrich</t>
  </si>
  <si>
    <t>FB Developer Node.js and performance enthusiast</t>
  </si>
  <si>
    <t>Retweeted Bloomberg (@business): How Japan leader Shinzo Abe's election gamble paid off https://t.co/OPufIrrMXl... https://t.co/wysTk89xLC</t>
  </si>
  <si>
    <t>Andres Bonomie</t>
  </si>
  <si>
    <t>Abe retains supermajority in Japan’s election, may push to amend constitution https://t.co/NFSGW6P9Mv</t>
  </si>
  <si>
    <t>Trotamundos.....</t>
  </si>
  <si>
    <t>Japan leader's big election gamble pays off https://t.co/wJ6anjQSQ4</t>
  </si>
  <si>
    <t>Vinit Sharma</t>
  </si>
  <si>
    <t>ॐ Student &amp; Proud Swayamsevak ॐ</t>
  </si>
  <si>
    <t>Valerie McLaughlin</t>
  </si>
  <si>
    <t>Burak Can Baser</t>
  </si>
  <si>
    <t>Father/Husband/Businessman/Business management &amp; Economics/ World Traveler/Galatasaray💛❤️..Self help is the best help..!</t>
  </si>
  <si>
    <t>עמנו אל</t>
  </si>
  <si>
    <t>Tagaytay City, Philippines</t>
  </si>
  <si>
    <t>Interested in the NBA.</t>
  </si>
  <si>
    <t>Indramani</t>
  </si>
  <si>
    <t>Rosie Rocket</t>
  </si>
  <si>
    <t>Solar wind and geothermal energy is what we need.</t>
  </si>
  <si>
    <t>BananaRepublicans </t>
  </si>
  <si>
    <t>ONUS is upon decent Republicans to root out the #Corruption, starting with @SenateMajLdr. Also, #STOPGerrymandering Current #GOPUnfitToServe</t>
  </si>
  <si>
    <t>krishnan</t>
  </si>
  <si>
    <t>NAMO fan.Interested in cricket,movies.</t>
  </si>
  <si>
    <t>Jeff Gauvin</t>
  </si>
  <si>
    <t>Điện Biên Phu</t>
  </si>
  <si>
    <t>Political Aficionado &amp; Malfaisant. Art of War Wonk. Red Wine Bon Vivant. Investing, Polls, Econometric Data, Elections. #Impeach🍷🍷</t>
  </si>
  <si>
    <t>कर्मयोगी</t>
  </si>
  <si>
    <t>Koaunrad</t>
  </si>
  <si>
    <t>Vancouver BC</t>
  </si>
  <si>
    <t>now we need an Autism vaccine, so we can continue souping our kids up with gallons of Hippocratic fluid</t>
  </si>
  <si>
    <t>K.J.Ruby</t>
  </si>
  <si>
    <t>Cochin, India.</t>
  </si>
  <si>
    <t>🎃👻 Ibsidious 👻🎃</t>
  </si>
  <si>
    <t xml:space="preserve">just north of the south </t>
  </si>
  <si>
    <t>if you're having a bad day, make sure no one else feels the same way</t>
  </si>
  <si>
    <t>Mohak Goel 🇮🇳</t>
  </si>
  <si>
    <t>Shareswatch.com.au</t>
  </si>
  <si>
    <t>Japan election pushes Nikkei 225 to record 15th consecutive gain - Nikkei Asian Review https://t.co/vYHLa9vamM</t>
  </si>
  <si>
    <t>Australian stock market, economy &amp; commodities market analysis with ASX index &amp; share price charts. Editor @gregatkinson_jp #asx #investing</t>
  </si>
  <si>
    <t>सुल्तान मिर्ज़ा🚩</t>
  </si>
  <si>
    <t>हिन्दी, हिन्दू, हिन्दुस्तान</t>
  </si>
  <si>
    <t>Gloria Minott</t>
  </si>
  <si>
    <t>Journalist, Radio Personality, Parent, Foreign Places &amp; Foods, Lover of Arts, Culture, and Justice.</t>
  </si>
  <si>
    <t>Gaurishanker</t>
  </si>
  <si>
    <t>An Oil &amp; Gas professional...Retweets are not endorsements..</t>
  </si>
  <si>
    <t>NaMo Era</t>
  </si>
  <si>
    <t>Head-HR#NaMoBhakt#HDL#SwamyFan Followed by @bibekdebroy@kirtiazadMP@suhelseth@PandaJay@AkbaruddinIndia@rajeev_mp@tathagata2 RT's NT=2 endorsement</t>
  </si>
  <si>
    <t>SAURABH SINGH RAWAT</t>
  </si>
  <si>
    <t>dehradun, INDIA</t>
  </si>
  <si>
    <t>PROUD INDIAN</t>
  </si>
  <si>
    <t>business: How Japan leader Shinzo Abe's election gamble paid off https://t.co/PIXuCFR6zA https://t.co/G70ROtRQq0 https://t.co/h7xqLDCV7X</t>
  </si>
  <si>
    <t>This is how Shinzo Abe's election gamble paid off https://t.co/c6JSPEuoxi https://t.co/o15Klv8Rp0</t>
  </si>
  <si>
    <t>Michael Canfield</t>
  </si>
  <si>
    <t>Japan’s Abe to push pacifist constitution reform after strong election win - https://t.co/mta3rXdA2u https://t.co/cbwqMEmHxI</t>
  </si>
  <si>
    <t>GLA News</t>
  </si>
  <si>
    <t>#Vet, #Author, #Editor, #GLA.News #JITLA.News at #JITLA.Gold &amp; Developer - JITLA (Just In Time Linked Advertising)</t>
  </si>
  <si>
    <t>yuske namba</t>
  </si>
  <si>
    <t>Irvine, California, USA</t>
  </si>
  <si>
    <t>Mariu Suarez</t>
  </si>
  <si>
    <t>Japan: PM Abe to Challenge Pacifist Constitution After Election Victory https://t.co/qhyyyqGlGw via @democracynow</t>
  </si>
  <si>
    <t>Visionary Surrealist artist and author.</t>
  </si>
  <si>
    <t>LibertyForAll</t>
  </si>
  <si>
    <t xml:space="preserve">Mpika, Zambia </t>
  </si>
  <si>
    <t>Libertarian mwenyaj187@gmail.com</t>
  </si>
  <si>
    <t>Peggy Alexander</t>
  </si>
  <si>
    <t>Eastern North Carolina</t>
  </si>
  <si>
    <t>married, 1 daughter, 4 furry babies...love animals/singing,...acting...kinda got a late start, but better late than never..right?I sure hope</t>
  </si>
  <si>
    <t>बिनोद कुमार सिंह</t>
  </si>
  <si>
    <t>मीरगंज,गोपालगंज (बिहार)</t>
  </si>
  <si>
    <t>जिला अध्यक्ष, भारतीय जनता पार्टी,गोपलगंज (बिहार)</t>
  </si>
  <si>
    <t>Gourav Shirotria</t>
  </si>
  <si>
    <t>Sports Indian Athletes Music Entertainment Government and Politics Simple Person</t>
  </si>
  <si>
    <t>Lisa Tan</t>
  </si>
  <si>
    <t>Japan Ranks Low in Female Lawmakers. An Election Won’t Change That. https://t.co/V5Fu48gSr9</t>
  </si>
  <si>
    <t>Enjoying the way of work in my life; Interested in how tech works in human life and how it affects emotions! Opinions mine</t>
  </si>
  <si>
    <t>RunningAndCycling</t>
  </si>
  <si>
    <t>Fla. U.S.</t>
  </si>
  <si>
    <t>Running and Cycling coach, targeting and improving your speed and technique...</t>
  </si>
  <si>
    <t>Kunwar Toofan Singh</t>
  </si>
  <si>
    <t>India Uatter Pradesh Lucknow</t>
  </si>
  <si>
    <t>जीवन का एक मात्र उद्देश्य ये होना चाहिए कि देश को और समाज को हम अच्छा दे सकतें हैं, जैसे हमें मिली है - आजादी</t>
  </si>
  <si>
    <t>शुभम कुमार तेली</t>
  </si>
  <si>
    <t>बोधगया,(बिहार)भारत🇮🇳</t>
  </si>
  <si>
    <t>| | कोई कहता है धर्म पहले देश बाद में | | कोई कहता है देश पहले धर्म बाद में | | मैं कहता हूँ देश ही पहले देश ही बाद में - एक अस्त्र शास्त्र वाला नौजवान देशभक्त.</t>
  </si>
  <si>
    <t>MacKnowledge</t>
  </si>
  <si>
    <t>RT @bpolitics: This is how Shinzo Abe's election gamble paid off https://t.co/c6JSPEuoxi https://t.co/o15Klv8Rp0</t>
  </si>
  <si>
    <t>I Love The Lord. God, Bless the USA. AMERICA is the most Powerful Nation on The Planet. Land of the Free &amp; HOME of the Brave. Semper Fi. Ooh Rah. USMC. 1973</t>
  </si>
  <si>
    <t>カルピス</t>
  </si>
  <si>
    <t>2017 #Lower #House election/opposition - the #japan news 5:56 , october 24, 2017 the yomiuri shimbunvoters who oppo https://t.co/ZUVWWCQA9U</t>
  </si>
  <si>
    <t>2017 #Lower #House election/opposition - the #japan news 5:56 , october 24, 2017 the yomiuri shimbunvoters who oppo https://t.co/HNtEWOCZXy</t>
  </si>
  <si>
    <t>burongmangga</t>
  </si>
  <si>
    <t>J. Deutsch</t>
  </si>
  <si>
    <t>More fascism on the rise? #Japan: PM Abe to Challenge Pacifist Constitution After Election Victory https://t.co/Y4EnkSoXLX via @democracynow</t>
  </si>
  <si>
    <t>Interlinked threats to Health&amp;Life: Climate, Nuclear, ArmsTrade, Racism, Colonization, Inequality, #SDOH, Extraction, Borders, ForcedMigration, BigAgro.</t>
  </si>
  <si>
    <t>@rjgeller thanks! I googled my own story https://t.co/WSeKs6jaOZ</t>
  </si>
  <si>
    <t>RT @asuka_250: Japan's Abe vows to put education spending before budget balance | Article [AMP] | Reuters https://t.co/ht7RsQthfY</t>
  </si>
  <si>
    <t>元販売代理店勤務10年ぐらい htt独占企業嫌い 進行性ﾐｵｸﾛﾇｽてんかん ２４年3月１０日１０年飼っていた鳥が亡くなりました29ねん2月2日また、小桜インコ 購入 2017年4月進行性ミオクロヌスてんかんに、小脳萎縮判明 難病認定、誤字や物忘れおおいです 過去ログ</t>
  </si>
  <si>
    <t>Vijay vikram singh</t>
  </si>
  <si>
    <t>Looking forward to change politics so as to benefit the needful...</t>
  </si>
  <si>
    <t>JN Kaushik</t>
  </si>
  <si>
    <t>MA (Public Admn) , LL.B , LL.M, Trainer &amp; Assessor (edu) , Cert. Quality Engr, Ex Marine Officer. Hobbies:- Govt &amp; Politics, Music &amp; Literature, Human Rights !</t>
  </si>
  <si>
    <t>Pankaj Thakur</t>
  </si>
  <si>
    <t>Bharat mata ki jai BJP/RSS/NaMo/Fan....</t>
  </si>
  <si>
    <t>Ronnie</t>
  </si>
  <si>
    <t>おかやま</t>
  </si>
  <si>
    <t>絵と歌と数学と宇宙と焼肉好きな変な人</t>
  </si>
  <si>
    <t>Clean&amp;Green</t>
  </si>
  <si>
    <t>Politicians and Pol Parties Government and Politics Business &amp; CEOs</t>
  </si>
  <si>
    <t>Ashok kumar rai</t>
  </si>
  <si>
    <t>Research Scholar, CEG, Anna University</t>
  </si>
  <si>
    <t>Umut Söyler</t>
  </si>
  <si>
    <t>Sinop Turkey</t>
  </si>
  <si>
    <t>たいち</t>
  </si>
  <si>
    <t>長野県⇔キラキラパティスリー</t>
  </si>
  <si>
    <t>準アラサーの工員です。反緊縮の経済左派。美少女戦士と狂おしい音楽が生きる糧です。憧れるロックスターはLACUNA COILのCristina Scabbia。アイドルは水野亜美／セーラーマーキュリーと青木れいか／キュアビューティ。夜になると人が変わるかも。</t>
  </si>
  <si>
    <t>Japan's ruling coalition retains a supermajority in snap election - The Economist https://t.co/weATXu2TrB https://t.co/qvsRMcbyHg</t>
  </si>
  <si>
    <t>fast thinking</t>
  </si>
  <si>
    <t>Dollar higher against the yen and Nikkei primed to jump after Abe's election win https://t.co/2Q8qvFU0Cp</t>
  </si>
  <si>
    <t>RainbowPlanet</t>
  </si>
  <si>
    <t>tips and methods that will improve your thinking</t>
  </si>
  <si>
    <t>91 95115 49761</t>
  </si>
  <si>
    <t>Edano’s CDPJ Wins over Unaffiliated Voters in Japan General Election (News) https://t.co/hWmVaHc5g6</t>
  </si>
  <si>
    <t>Fatburner</t>
  </si>
  <si>
    <t>Health , Happiness , stock markets, proud bhakt, Buddhist, advancing kosen rufu</t>
  </si>
  <si>
    <t>Yukinari Igita</t>
  </si>
  <si>
    <t>カン</t>
  </si>
  <si>
    <t>若い頃は、どちらかと言えば左でしたが… やはり、左の主張はおかしいと 今は、自民党・維新の会の応援団です。最近は、桜井誠さんも支持しています。 自衛隊さんに感謝感謝です、必ず国防軍に❗️ 朝鮮半島は大嫌いですね…</t>
  </si>
  <si>
    <t>WrathofJan</t>
  </si>
  <si>
    <t>Calgary</t>
  </si>
  <si>
    <t>Advocating for: Nortel LTD (disabled) &amp; former employees; CCSVI treatment for MS+; NO GMO; health; democracy and - the truth. Personal views.</t>
  </si>
  <si>
    <t>Yoga Day</t>
  </si>
  <si>
    <t>Mumbra, Navi Mumbai</t>
  </si>
  <si>
    <t>21 June 2017 #YogaDay The Third Yoga Day</t>
  </si>
  <si>
    <t>JuliánOrtegaMartínez</t>
  </si>
  <si>
    <t>Bogotá, D.C., Colombia</t>
  </si>
  <si>
    <t>Cotidianidad repartida entre @AzraelCirilo, @elgatoarturo y ella ❤, escribir, aprender idiomas, editar y traducir. 93 % crítico de medios, 7 % «diseñador».</t>
  </si>
  <si>
    <t>Japan's ruling coalition retains a supermajority in snap election - The Economist ☄ #vrai777 ⛱ $v ℅ Economist $ https://t.co/iipnELoiie</t>
  </si>
  <si>
    <t>30万円</t>
  </si>
  <si>
    <t>大都会岡山</t>
  </si>
  <si>
    <t>うつは甘え、死は救済。 死して屍拾う者無し。 美しき世界は感謝の心から。 油の一滴は血の一滴。 モデル名の「ヴェルシス」は、「頂点」を意味するラテン語「VERTEX」と、それを可能とする「SYSTEM」を組み合わせた造語である。 VERSYS 650はカテゴライズ不可能な唯一無二の存在。（HPより抜粋）</t>
  </si>
  <si>
    <t>Nikita Parashar</t>
  </si>
  <si>
    <t>H R Manager turned MOM!! Love d way m alwz on d RIGHT SIDE! Nationalist and a true follower of Narendra Modiji!</t>
  </si>
  <si>
    <t>TushaT T</t>
  </si>
  <si>
    <t>ManageCues</t>
  </si>
  <si>
    <t>James Smith</t>
  </si>
  <si>
    <t>MaharashtraNavnirman</t>
  </si>
  <si>
    <t>MNS - Political Party of Maharashtra, INDIA. Marathi-Maharashtrian, the real Hindu!</t>
  </si>
  <si>
    <t>Abe’s election super majority puts Japan’s pacifist constitution in his crosshairs again https://t.co/yRqn4dvdqp</t>
  </si>
  <si>
    <t>Dark Knight</t>
  </si>
  <si>
    <t>RT @NAR: The left-wing politician's Constitutional Democratic Party performs better than expected in Japan election. https://t.co/vRGPAduP…</t>
  </si>
  <si>
    <t>一期一会</t>
  </si>
  <si>
    <t>Kosuke Takahashi</t>
  </si>
  <si>
    <t>Gerald Curtis on Japan's election result analysis. He spoke in English. https://t.co/IebZTzG384</t>
  </si>
  <si>
    <t>Journalist. Tokyo correspondent of Jane's Defence. Belonging to Hori Production. Formerly at HuffPost, WSJ, Asahi. Columbia J-School alum. 日本語 @KosukeGoto2013</t>
  </si>
  <si>
    <t>RT @SCMP_News: Abe’s election super majority puts Japan’s pacifist constitution in his crosshairs again https://t.co/yRqn4dvdqp</t>
  </si>
  <si>
    <t>RT @NAR: Find more about a man who led his party to another big win - its 5th straight victory in Japan's elections. https://t.co/21vFbMTz…</t>
  </si>
  <si>
    <t>Chantal</t>
  </si>
  <si>
    <t>• Boston •</t>
  </si>
  <si>
    <t>Proverbs 4:23</t>
  </si>
  <si>
    <t>RT @NAR: NAR poll: Who's staying up in Japan to watch the election results come in?</t>
  </si>
  <si>
    <t>Kadar Khan</t>
  </si>
  <si>
    <t xml:space="preserve">Islamabad </t>
  </si>
  <si>
    <t>Retweet doesn't mean endorsement, like or dislike with post~</t>
  </si>
  <si>
    <t>sifebook US</t>
  </si>
  <si>
    <t>صاحب مدونات جميع صفحات sifebook + عبدالرحمن ابوسيف on facebook &amp; tweeter</t>
  </si>
  <si>
    <t>RT @NAR: Japan election: What does Party of Hope's Koike have on her mind? https://t.co/G9fI6mYFs5 https://t.co/0MYkAYe0Jc</t>
  </si>
  <si>
    <t>LaurinA#nowhiteflagg</t>
  </si>
  <si>
    <t>RT @RinconIntlNews: (Japan's Abe hails landslide victory in snap election) - https://t.co/Asn678bkO6</t>
  </si>
  <si>
    <t>Montréal, 🚂,USA</t>
  </si>
  <si>
    <t>Retraité: No lists or Porn, Proud CDN, voted Harper, Conservative, Bring back CDN pride, Trump fans #MAGA, Love USA.#TRUMP#PATRIOT#CONSERVATIVE</t>
  </si>
  <si>
    <t>Ashish Tripathi</t>
  </si>
  <si>
    <t>नई दिल्ली, Delhi, भारत</t>
  </si>
  <si>
    <t>Strategy Consultant and earlier an Aerospace Engineer. Alum @SmithBusiness. Wide interests in Space, Defence, Econometrics, Quantum Mechanics, #AI and Politics.</t>
  </si>
  <si>
    <t>RT @NAR: Japan election: Nikkei's latest projection shows Abe's coalition wins majority. https://t.co/G9fI6mYFs5 https://t.co/Z655GXqe8D</t>
  </si>
  <si>
    <t>Vishnu</t>
  </si>
  <si>
    <t>Vaivasvat Venkat</t>
  </si>
  <si>
    <t>Working as a Principal Correspondent with TOI , having a keen interest in business, Politics, Social issues and crime reporting......</t>
  </si>
  <si>
    <t>Anubhav Gautam</t>
  </si>
  <si>
    <t>स्वयं सेवक । I believe in spreading peace and Love, followed by @manojsinhabjp , @piyushgoyaloffc @officeofrsp</t>
  </si>
  <si>
    <t>BJP Varanasi</t>
  </si>
  <si>
    <t>भारतीय जनता पार्टी, वाराणसी का आधिकारिक ट्विटर अकाउंट</t>
  </si>
  <si>
    <t>Clara</t>
  </si>
  <si>
    <t>CTA President Congratulates Japanese PM #ShinzoAbe on National Election Win #japan https://t.co/TcGph3RRW0</t>
  </si>
  <si>
    <t>Everywhere Anywhere</t>
  </si>
  <si>
    <t>གངས་སེང་གེ་ support #Tibetan’s national resistance to Chinese military occupation.</t>
  </si>
  <si>
    <t>Muérgana</t>
  </si>
  <si>
    <t xml:space="preserve">nulle part ailleurs </t>
  </si>
  <si>
    <t>olvidando:lvidar</t>
  </si>
  <si>
    <t>Bill Deane</t>
  </si>
  <si>
    <t>Japan’s Election Warning to China https://t.co/Ave7HtwnRB via @WSJOpinion</t>
  </si>
  <si>
    <t>Investigative reporter. Former CBS News assignment editor for thirty years. Author of Smooth Criminal, A One Man American Crime Wave.</t>
  </si>
  <si>
    <t>Heartiest greetings to my dear friend @AbeShinzo on his big election win. Look forward to further strengthen India-Japan relations with him</t>
  </si>
  <si>
    <t>Rajeev Pathak</t>
  </si>
  <si>
    <t>SAP Professional @Jindal Stainless Love Nature, Proud Indian, Techno Savvy.</t>
  </si>
  <si>
    <t>heyisab</t>
  </si>
  <si>
    <t>👉Single 👉Think ambitiously 👉Day dreamer 👉Sidhartha Malhotra 👉Love fashion 👉Next generation boy 👉Hate Alcohol 👉First family than everything</t>
  </si>
  <si>
    <t>Japan's ruling coalition retains a supermajority in snap election - The Economist ☄ #vrai777 ⛱ $v ℅ Economist $ https://t.co/53Q2REASy4</t>
  </si>
  <si>
    <t>rusty</t>
  </si>
  <si>
    <t>Japan doesn't need you whitesplaining on their election. Please stay in your lane sweetie. https://t.co/lSxUpPNPOU</t>
  </si>
  <si>
    <t>Heck</t>
  </si>
  <si>
    <t>trying my best, doing my worst to take a lil break</t>
  </si>
  <si>
    <t>Bhavin</t>
  </si>
  <si>
    <t>Asalali, Daskroi</t>
  </si>
  <si>
    <t>લાલજી મહારાજ</t>
  </si>
  <si>
    <t>"venom" gizor</t>
  </si>
  <si>
    <t>RT @NoncontactPedo: Japan doesn't need you whitesplaining on their election. Please stay in your lane sweetie. https://t.co/lSxUpPNPOU</t>
  </si>
  <si>
    <t>punished good boy</t>
  </si>
  <si>
    <t>bendan789</t>
  </si>
  <si>
    <t>Akhilesh Tiwari</t>
  </si>
  <si>
    <t>Vicky saini</t>
  </si>
  <si>
    <t>Abe’s election super majority puts Japan’s pacifist constitution in his crosshairs again… https://t.co/MxSX6P58sf</t>
  </si>
  <si>
    <t>Mikaeru Pochi_脱原発に一票</t>
  </si>
  <si>
    <t>RT @nktpnd: Smart politics: Abe Calls Snap Election in Japan, Readies $18 Billion Package https://t.co/viudo2HHPH</t>
  </si>
  <si>
    <t>the open source side</t>
  </si>
  <si>
    <t>My dog (avatar) is collecting some record about strategy of the world &amp;Japanese modern history. "λ=(∵`{Gratitude to A.I. translation.</t>
  </si>
  <si>
    <t>George Ridall</t>
  </si>
  <si>
    <t>St. George's Town, Bermuda</t>
  </si>
  <si>
    <t>kiss me hard before you go</t>
  </si>
  <si>
    <t>Manoj Upadhyay</t>
  </si>
  <si>
    <t xml:space="preserve">Ranikhet </t>
  </si>
  <si>
    <t>Light, Cheerful &amp; Smile</t>
  </si>
  <si>
    <t>RT @BackinTokyo: But let's talk about the election. https://t.co/3HxsHKFeDD</t>
  </si>
  <si>
    <t>rilakkuma</t>
  </si>
  <si>
    <t>日本(japan)</t>
  </si>
  <si>
    <t>冩眞と音楽は人生に不可欠！政治関係の呟きが多いです。</t>
  </si>
  <si>
    <t>ねこおぢさん様のファン</t>
  </si>
  <si>
    <t>ねこおぢさん様の勝手にファンをしています。 よろしくお願い申し上げますm(__)m</t>
  </si>
  <si>
    <t>Optimist</t>
  </si>
  <si>
    <t>Loves Humor || News addict || Cares about society &amp; nation || RTs = not endorsements || Views personal.</t>
  </si>
  <si>
    <t>☧ious BIGWHEEL</t>
  </si>
  <si>
    <t>ol bammy</t>
  </si>
  <si>
    <t>Before God I stand repentant, for the Lord knows all my crimes, yet forgives</t>
  </si>
  <si>
    <t>Oliver</t>
  </si>
  <si>
    <t>Ian Carter</t>
  </si>
  <si>
    <t>@RichardMarlesMP @SenatorWong that by the #Auspol time of the 2020 Presidential Election in #USA (if buttons haven'… https://t.co/YWP0rec8Qq</t>
  </si>
  <si>
    <t>Longford, Tasmania</t>
  </si>
  <si>
    <t>Guess the age? I love my 2 cats! Why, when, and who. How and what. Answer now or maybe not...:) Quizzicality, the newest name for our reality.</t>
  </si>
  <si>
    <t>🇺🇸 Stocks down 📉 to Start the Week on Disappointing Earnings https://t.co/soDyAXwgrg YAHOO!</t>
  </si>
  <si>
    <t>マスメディアの偏向報道廃止</t>
  </si>
  <si>
    <t>日本 大阪</t>
  </si>
  <si>
    <t>日本が大好きな一般人です。 ＃反日お断り ＃難民受け入れ反対 外国人参政権反対 ＃入国審査を徹底的 ＃在日生活保護の見直し電波オークション導入</t>
  </si>
  <si>
    <t>Sachin Singhal</t>
  </si>
  <si>
    <t>RT @ResearchVivek: #Maruti gave an opportunity of 100 rupee (open to high) trade after japan election results...</t>
  </si>
  <si>
    <t>Kiran</t>
  </si>
  <si>
    <t>Political psychologist; ethnographer; action researcher. Researching: Leadership triumvirate, social power, and social influence​; ICT4D. RT/Link ≠ endorsement.</t>
  </si>
  <si>
    <t>Fun Boy</t>
  </si>
  <si>
    <t>NaMo is India's best bet and the best PM India ever had or can have. Rab ne bana di MODI. 🤗We are with you NaMo as you make us and our country proud. 🙏.</t>
  </si>
  <si>
    <t>Ravindra Dwivedi⭕</t>
  </si>
  <si>
    <t>Assistant Professor, believe to live in simplycity...</t>
  </si>
  <si>
    <t>Nick Bisley</t>
  </si>
  <si>
    <t>La Trobe University, Australia</t>
  </si>
  <si>
    <t>Exec Director, La Trobe Asia, Professor of International Relations at La Trobe University Editor in Chief Aust Jnl of Intl Affairs, Board Member China Matters</t>
  </si>
  <si>
    <t>Vinay Sharma</t>
  </si>
  <si>
    <t>Government and Politics,Music</t>
  </si>
  <si>
    <t>After election win, Abe prioritizes North Korea, aging Japan https://t.co/wyMRhe0XqL via Yahoo!</t>
  </si>
  <si>
    <t>The Daily Star</t>
  </si>
  <si>
    <t>After election win, Abe prioritizes North Korea, aging Japan https://t.co/JAKxhao4s9</t>
  </si>
  <si>
    <t>Lebanon's leading English-language newspaper brings you breaking news and in-depth analysis on local, Middle East, and international affairs</t>
  </si>
  <si>
    <t>रमण मूर्ति</t>
  </si>
  <si>
    <t>New York, India</t>
  </si>
  <si>
    <t>Thinking great thoughts. Politics. Foreign Affairs, Economics. Science. Technology. Samskritam. Charuvak. RTs are endorsements if they reflect my views. PM NaMo</t>
  </si>
  <si>
    <t>Mahadevan Menon</t>
  </si>
  <si>
    <t>Nationalist to the core, student of Vedanta.Politics of interest.Swayamsevak #noconversion</t>
  </si>
  <si>
    <t>anupsingh</t>
  </si>
  <si>
    <t>twitter junky</t>
  </si>
  <si>
    <t>Michael A Price</t>
  </si>
  <si>
    <t>Follow after requesting, please.</t>
  </si>
  <si>
    <t>nanjundan bhojan</t>
  </si>
  <si>
    <t>nilgiris</t>
  </si>
  <si>
    <t>President Nilgiris District - BJP.</t>
  </si>
  <si>
    <t>Harold</t>
  </si>
  <si>
    <t>@ABC Election in Japan going to start militarizing their country since they can't depend on the US any longer. We'… https://t.co/1htCPfAVDD</t>
  </si>
  <si>
    <t>Fiscal conservative, social liberal &amp; tree 🌲 hugger who believes in clean food, water &amp; air for our survival.</t>
  </si>
  <si>
    <t>After election win, Abe prioritizes North Korea, aging Japan https://t.co/XJNPq9tXzG</t>
  </si>
  <si>
    <t>Paritosh Vyas</t>
  </si>
  <si>
    <t xml:space="preserve">Ahmedabad </t>
  </si>
  <si>
    <t>#TrustBJP Former National Co Convener- @bjpsamvad Cell. https://t.co/OUWRUgi5xi</t>
  </si>
  <si>
    <t>After election win, Abe prioritizes North Korea, aging Japan https://t.co/ns5PNvb8qC</t>
  </si>
  <si>
    <t>RMHS Contemp History</t>
  </si>
  <si>
    <t>Prime Minister Shinzo Abe’s Liberal Democratic Party wins majority in Japan's national election https://t.co/bk77PslgG5</t>
  </si>
  <si>
    <t>South Burlington, VT</t>
  </si>
  <si>
    <t>In Honors Contemporary History, students understand today's world by exploring the recent past.</t>
  </si>
  <si>
    <t>Jag Jiwan Ram</t>
  </si>
  <si>
    <t>No made khabaren no paid khabaren jinhen mai khoj Raha hun</t>
  </si>
  <si>
    <t>After election win, Abe prioritizes North Korea, aging Japan https://t.co/fGEesyRKej</t>
  </si>
  <si>
    <t>Rash</t>
  </si>
  <si>
    <t>Haridwar, India</t>
  </si>
  <si>
    <t>#Screenwriter; #Programmer; #Sportsman</t>
  </si>
  <si>
    <t>avbagur</t>
  </si>
  <si>
    <t>Passionate Soldier of Justice .. RTs not endorsements..</t>
  </si>
  <si>
    <t>After election win, Abe prioritizes North Korea, aging Japan https://t.co/aaB7etx7VP</t>
  </si>
  <si>
    <t>Tessa Yang</t>
  </si>
  <si>
    <t>जय भारत</t>
  </si>
  <si>
    <t>La Canada Flintridge, CA</t>
  </si>
  <si>
    <t>बुरी नजर वाले तेरा मुंह काला डौंगी सेकुलर से नफरत है मुझे । आपियो से सबसे ज्यादा नफ़रत है उन्हें देखते उनके मुँहे पर थूकने का मन करता है । डबल ढोलकी है सब आपिये</t>
  </si>
  <si>
    <t>JCIE</t>
  </si>
  <si>
    <t>Jim Gannon discusses implications of Japan’s election results on CLEARCUT | Abe wins snap election https://t.co/OXteKyRaMp</t>
  </si>
  <si>
    <t>A nonpartisan policy institute, the Japan Center for International Exchange serves as a catalyst for international cooperation. (retweets ≠ endorsements)</t>
  </si>
  <si>
    <t>Naveen Sharma</t>
  </si>
  <si>
    <t>Jaipur India</t>
  </si>
  <si>
    <t>Rationalist, Pro Namo, Believes in Vrahad Bharat.</t>
  </si>
  <si>
    <t>Abe made it over one hurdle. Now he faces the next: @realDonaldTrump. https://t.co/WdGYmz0szS https://t.co/F3UALxm7f2</t>
  </si>
  <si>
    <t>ashu</t>
  </si>
  <si>
    <t>mumbai india</t>
  </si>
  <si>
    <t>vvb</t>
  </si>
  <si>
    <t>seeraar yare</t>
  </si>
  <si>
    <t>RT @ForeignPolicy: Abe made it over one hurdle. Now he faces the next: @realDonaldTrump. https://t.co/WdGYmz0szS https://t.co/F3UALxm7f2</t>
  </si>
  <si>
    <t>Kismayo, Jubbaland, Somalia</t>
  </si>
  <si>
    <t>I am the director of Albaz consultancy &amp; trading company. Our main office in Kismayo, Somalia.</t>
  </si>
  <si>
    <t>Sangram singh</t>
  </si>
  <si>
    <t>chandigarh, india</t>
  </si>
  <si>
    <t>INDIAN🇮🇳</t>
  </si>
  <si>
    <t>JOSTARYOUTUBE38</t>
  </si>
  <si>
    <t>https://t.co/aUGrFrTx9y 2 【 #DonaldTrump election】 I talked about the disadvantages of Japan and the future #トランプ #トランプ当選 #Trump #EDM</t>
  </si>
  <si>
    <t>Dipesh Puri</t>
  </si>
  <si>
    <t>Merchant at work, Saaman Bechta hu!! Bania nahi hu, lekin unse kam bhi nahi hu!!</t>
  </si>
  <si>
    <t>Ajay Agarwal</t>
  </si>
  <si>
    <t>Greg Benson</t>
  </si>
  <si>
    <t xml:space="preserve">Costa Rica, L.A. &amp; S.F. Bay </t>
  </si>
  <si>
    <t>News Junkie | music aficionado | #fighting #수능 | Links &amp; Retweets are not endorsements unless expressed fully | live fast, die hot | 2016.06.06 updated</t>
  </si>
  <si>
    <t>Vishal Gupta</t>
  </si>
  <si>
    <t>North Korea fears Japan "invasion" after Shinzo Abe's victory https://t.co/znyBM8HELA https://t.co/xg8Wo7FK9f</t>
  </si>
  <si>
    <t>Indhira</t>
  </si>
  <si>
    <t>RTs r not endorsements. Like means I am yet to read and understand the implications of the tweet.</t>
  </si>
  <si>
    <t>Vivek Pandey 🇮🇳</t>
  </si>
  <si>
    <t>Lucknow ,Gurgaon</t>
  </si>
  <si>
    <t>My Name is Ram and I am not communal.Bharat Mata Ki Jai. #जयहिन्द #UttarPradesh #RisingUP🏴🇦🇩</t>
  </si>
  <si>
    <t>チンドン屋・ササキタイキ【公式】</t>
  </si>
  <si>
    <t>Setagaya ward</t>
  </si>
  <si>
    <t>11月上旬までクソ忙しい状態です Team Ching-Dong ID 001</t>
  </si>
  <si>
    <t>Zicutake USA Comment</t>
  </si>
  <si>
    <t>[https://t.co/N9JIaTQpu4] After election win, Abe prioritizes North Korea, aging Japan https://t.co/zwuXB2Z5bt</t>
  </si>
  <si>
    <t>All right reserved. | zicutake@live.com</t>
  </si>
  <si>
    <t>RT @Newsweek: North Korea fears Japan "invasion" after Shinzo Abe's victory https://t.co/znyBM8HELA https://t.co/xg8Wo7FK9f</t>
  </si>
  <si>
    <t>音ゲー垢 鹿児島市内で太鼓の達人してます。(ハウス系ドンだー)呟き多目 本垢→@HightakahawkK ドンだーの方々フォローお願いします(^_^)</t>
  </si>
  <si>
    <t>Gomes, A. J.</t>
  </si>
  <si>
    <t>Rio de Janeiro, Brazil</t>
  </si>
  <si>
    <t>Retweets do que está acontecendo no dia no Brasil e no Mundo (ocasionalmente tb anime/manga) ＼(^▽^＠)ノ</t>
  </si>
  <si>
    <t>Naga Ram Choudhary</t>
  </si>
  <si>
    <t>Sanchor, India</t>
  </si>
  <si>
    <t>#राष्ट्रवादी BJP समर्थक # नरेन्द्र मोदी सपोटर #</t>
  </si>
  <si>
    <t>Rich TVX™ China</t>
  </si>
  <si>
    <t>XHNews: Abe's push to amend Japan's constitution not foregone conclusion despite ruling bloc's election win: exper… https://t.co/j8eGNsdBtr</t>
  </si>
  <si>
    <t>Breaking #China 中华人民共和国 news alerts and updates from the @RichTVXChannel™ #RichTVX</t>
  </si>
  <si>
    <t>千里之外</t>
  </si>
  <si>
    <t>Maria D. Garcia</t>
  </si>
  <si>
    <t>Murrells Inlet, SC USA</t>
  </si>
  <si>
    <t>DEDICATED DOCTORS</t>
  </si>
  <si>
    <t>MBBS.DRS.online only</t>
  </si>
  <si>
    <t>24/7-available to serve humanity -immigrants or locals-sms or call/refugees also anywhere in the world 😊</t>
  </si>
  <si>
    <t>Khamis Kagasheki</t>
  </si>
  <si>
    <t>Dar es Salaam, UR of Tanzania</t>
  </si>
  <si>
    <t>Ex-Minister for Natural Resources/Tourism Tanzania &amp;Former Assistant Director General, WIPO, UN.(Retweet &amp; Like aren't endorsement). Proudly Tanzanian.</t>
  </si>
  <si>
    <t>North Korea fears Japan "invasion" after Shinzo Abe's victory https://t.co/bTiMZw97Wy https://t.co/DKZgjpC1OA — Newsweek (Newsweek) Octo…</t>
  </si>
  <si>
    <t>rhinocharge007</t>
  </si>
  <si>
    <t>R.GIRISH</t>
  </si>
  <si>
    <t>Trivandrum.  INDIA</t>
  </si>
  <si>
    <t>I PLEDGE FOR NEW INDIA</t>
  </si>
  <si>
    <t>SNA Japan</t>
  </si>
  <si>
    <t>Election Day Typhoon No. 21 killed a total of seven people across Japan, and injured dozens more.</t>
  </si>
  <si>
    <t>Japan's Progressive News Source. Independence. Dedication. Fearlessness.</t>
  </si>
  <si>
    <t>The Mt. Shasta Trend</t>
  </si>
  <si>
    <t>Mount Shasta, CA</t>
  </si>
  <si>
    <t>Iouri Podladtchikovs tumblr,1 of millions of his https://t.co/mhrq0aazs5 @iouriamazing @bigairdemon @PyeongChangold @pipejackoff @airbornagain</t>
  </si>
  <si>
    <t>ZoominKorea</t>
  </si>
  <si>
    <t>[Analysis by Tim Beal] Abe Shinzo’s victory in the election will only propel Japan down the dead end road of... https://t.co/G67OEKLny6</t>
  </si>
  <si>
    <t>Japan's ruling coalition retains a supermajority in snap election - The Economist https://t.co/jywHrqU23y</t>
  </si>
  <si>
    <t>Eduardo Jiménez</t>
  </si>
  <si>
    <t>Lic. Estudios Latinoamericanos Universidad Nacional Autónoma de México. Pasión y vocación: La educación.</t>
  </si>
  <si>
    <t>Claudia</t>
  </si>
  <si>
    <t>NW AR</t>
  </si>
  <si>
    <t>Life is like a road trip. Enjoy each day, and don’t carry too much baggage ❤ ☮ &amp; #kindness</t>
  </si>
  <si>
    <t>宙vol.2＠うろ覚え酷い中</t>
  </si>
  <si>
    <t>jigtwi</t>
  </si>
  <si>
    <t>政治関係アカウントです。 自由保守です（変更しました） 日本には右も左もない。 愛国か反日だけ。 学はないけど頑張って考えます。 頑張って生きてます。 ドラマ実況垢 @ChuutaCom</t>
  </si>
  <si>
    <t>Sherry Lee Campbell</t>
  </si>
  <si>
    <t>DeLand, Ormond, Daytona Beach</t>
  </si>
  <si>
    <t>Luxemark Realty, Inc. - Volusia Branch - Waterfront &amp; Luxury Property Specialist - Like My Facebook Page ❤️❤️ A retweet an endorsement does not make...</t>
  </si>
  <si>
    <t>KUMAR ABHISHEK</t>
  </si>
  <si>
    <t>my tweets are what i think. ppl may feel it biased but truth is truth</t>
  </si>
  <si>
    <t>abhinav singh</t>
  </si>
  <si>
    <t>Power Engineer</t>
  </si>
  <si>
    <t>Jos Hendriks - IUS</t>
  </si>
  <si>
    <t xml:space="preserve">The Breeding Swan </t>
  </si>
  <si>
    <t>AQUARIUS ZEEHAVEN - TCS Fund - FAMILIA MAXIMA - IUS International University for Sustainability @30miljardnl</t>
  </si>
  <si>
    <t>Alam_🐯</t>
  </si>
  <si>
    <t>Kushinagar, India</t>
  </si>
  <si>
    <t>न मस्जिद को जानते हैं, न शिवालो को जानते हैं, जो भूखे पेट हैं, वो सिर्फ निवालों को जानते है ŔisEÎNG_Pôlitician 😁🤓😄😉</t>
  </si>
  <si>
    <t>Kowsalya M</t>
  </si>
  <si>
    <t xml:space="preserve">Madurai </t>
  </si>
  <si>
    <t>Women Women News Breaking News</t>
  </si>
  <si>
    <t>Japan lacks female representation in Parliament https://t.co/88xIb2yoFT</t>
  </si>
  <si>
    <t>Omkar Raut</t>
  </si>
  <si>
    <t>After election win, Abe prioritizes North Korea, aging Japan https://t.co/3bBZBY0ovw</t>
  </si>
  <si>
    <t>Rakesh Chaudhary</t>
  </si>
  <si>
    <t>Tamluk Purba Medinipur</t>
  </si>
  <si>
    <t>CT Tech. at Ultrasono Diagnostic Centre Tamluk</t>
  </si>
  <si>
    <t>hiteshpatel</t>
  </si>
  <si>
    <t>bhuj- gujarat</t>
  </si>
  <si>
    <t>NATION FIRST ™ Secretory BJYM Kutchh™ MBA VTU University ™ SAB ka sath SAB ka VIKASH™</t>
  </si>
  <si>
    <t>ChandraBhushan Singh</t>
  </si>
  <si>
    <t>Actor Director Bollywood &amp; Indian television</t>
  </si>
  <si>
    <t>Mafcomp</t>
  </si>
  <si>
    <t>Amethyst</t>
  </si>
  <si>
    <t>We choose the leaders by election but only half people vote nowadays in japan.It’s difficult to understand what did government...</t>
  </si>
  <si>
    <t>X</t>
  </si>
  <si>
    <t>Ambernath BJP</t>
  </si>
  <si>
    <t>Ambernath, Maharashtra, India</t>
  </si>
  <si>
    <t>The Official Twitter Account for Ambernath BJP</t>
  </si>
  <si>
    <t>Surendra Patel</t>
  </si>
  <si>
    <t>MBBS @ Dr. S.N. Medical college, Jodhpur</t>
  </si>
  <si>
    <t>SSJINRS</t>
  </si>
  <si>
    <t>Gulshan soni</t>
  </si>
  <si>
    <t>I am biggest fan of the👈 ❤Roman Reigns❤ I like❤singing🌹 Believe that 👈💪</t>
  </si>
  <si>
    <t>Naagesh_tweets</t>
  </si>
  <si>
    <t>Photos: Typhoon Lan lashes Japan on election day, leaves three dead via @htTweets https://t.co/A1sNa9lCA5</t>
  </si>
  <si>
    <t>All things considered by this ordinary citizen of the world; Call a spade a spade; Follow and will follow back; RT no endorsement; Trump Fan;</t>
  </si>
  <si>
    <t>Bean (빈)</t>
  </si>
  <si>
    <t>RT @zoominkorea1: [Analysis by Tim Beal] Abe Shinzo’s victory in the election will only propel Japan down the dead end road of... https://t…</t>
  </si>
  <si>
    <t>i die everyday for my bnha children | infj | IR &amp; EAS | ENG/KOR | header by @kooricoo | icon by @Takane_tan</t>
  </si>
  <si>
    <t>Jim Cunneen</t>
  </si>
  <si>
    <t>Jim Cunneen is Principal w/California Strategies, a bipartisan public affairs firm. Former Assemblyman, high-tech exec, CEO SJSV Chamber of Commerce</t>
  </si>
  <si>
    <t>Ken Joling</t>
  </si>
  <si>
    <t>@paulkrugman And look what a disaster the helicopter approach to easy money in Japan. I mean, look at what happened to Abe in the election.</t>
  </si>
  <si>
    <t>Candy B. Sexy1</t>
  </si>
  <si>
    <t>Candy Land, WI</t>
  </si>
  <si>
    <t>I Luv my Sports &amp; most genres of Music. Moreover, I luv a good laugh.Tryn 2 b a better Queen than I was yesterday. Mantra: Nothing changes, if nothing changes.</t>
  </si>
  <si>
    <t>Harish pagare</t>
  </si>
  <si>
    <t>Executive committee member of bharatiya janata yuva morcha Surat Mahanagar, Ex-president of bjym ward no. 12 surat</t>
  </si>
  <si>
    <t>#BadlaLo🇮🇳</t>
  </si>
  <si>
    <t>Political critic, Patriot, A Proud Hindu Nationalist, Sanghi / Bhakth, Die Hard Modi Fan, Hate Congis/AAPians/Liberals/Seculars/Presstitutes/Commies.</t>
  </si>
  <si>
    <t>ミミ</t>
  </si>
  <si>
    <t>▷日本人としての誇り🇯🇵◁ 好き→ファッションと音楽(R&amp;B,HipHop)と政治、社会、国際に時々日常などを呟きます。通知不具合により、リプ引用に気づかない場合があります🙇‍♀️ヘッダーはSpeed blowさんから(作🎁)</t>
  </si>
  <si>
    <t>No Socks No Life</t>
  </si>
  <si>
    <t>Mexico and USA</t>
  </si>
  <si>
    <t>Un soldado en cada hijo te dio. 🇲🇽 #MexiRight Future Emperador of the third Mexican Empire. Woke on the Mestizo Question. ISTJ #AnimeRight #LumRight</t>
  </si>
  <si>
    <t>Dr.VivekanandMallick</t>
  </si>
  <si>
    <t>@AbeShinzo heartily congratulation on your winning election, your inspiration brotherhood might brought India- Japan to new high</t>
  </si>
  <si>
    <t>Scientist and researcher;Nanotechnology and Biotechnology</t>
  </si>
  <si>
    <t>SANJAY GUPTA</t>
  </si>
  <si>
    <t>LUCKNOW</t>
  </si>
  <si>
    <t>🚩जय श्री राम🚩जय हिंद जय भारत🚩राष्ट्रीय स्वयंसेवक संघ प्रचारक🚩भारतीय जनता पार्टी समर्थक🚩</t>
  </si>
  <si>
    <t>Debito Arudou, Ph.D.</t>
  </si>
  <si>
    <t>October 2017 Lower House Election Briefing: LDP wins big again, routs Japan’s left wing, but some silver linings... https://t.co/pY8afa6xbD</t>
  </si>
  <si>
    <t>Author (Embedded Racism, Handbook for Immigrants to Japan, Japanese Only et al.); columnist (Japan Times); advocate (re racism and human rights in Japan)</t>
  </si>
  <si>
    <t>Nicole d. Scott</t>
  </si>
  <si>
    <t>Gaurang Panandiker</t>
  </si>
  <si>
    <t>Goa</t>
  </si>
  <si>
    <t>Practicing Advocate by Profession-Wannabie Politician by Choice-Nationalist-Unconventional is Cool-I call THE Holiday Destination for All as my Home!!!</t>
  </si>
  <si>
    <t>आर्य शुभम् वर्मा🇮🇳</t>
  </si>
  <si>
    <t xml:space="preserve">अखण्ड भारत </t>
  </si>
  <si>
    <t>Researcher, PPRC | किसान पुत्र । Writer | स्वदेशी समर्थक | Columnist | Blogger | Shaivite Hindu | Founder Azad Gurukul।</t>
  </si>
  <si>
    <t>Vitor Santos</t>
  </si>
  <si>
    <t>VITOR SANTOS é jornalista,escritor, consultor, pesquisador, e autor de vários artigos Facebook https://t.co/TQI9IDjOVi</t>
  </si>
  <si>
    <t>October 2017 Lower House Election Briefing: LDP wins big again, routs Japan’s left wing, but some silver linings https://t.co/z53wQYj13T</t>
  </si>
  <si>
    <t>Linda Lee King</t>
  </si>
  <si>
    <t>I'm an artist! Got to do my own thing! No one is safe from inhumanity, so be f!!king kind! PTSD forever yours. lindaleeking1950@gmail.com</t>
  </si>
  <si>
    <t>Japan's election results: How Abe's coalition achieved 5th straight win in national elections. Read more:… https://t.co/7PEXPwsEpw</t>
  </si>
  <si>
    <t>Peggy</t>
  </si>
  <si>
    <t>Ohio Democrat</t>
  </si>
  <si>
    <t>Fighting for our Democracy</t>
  </si>
  <si>
    <t>Troy Lee-Brown</t>
  </si>
  <si>
    <t>RT @NAR: Japan's election results: How Abe's coalition achieved 5th straight win in national elections. Read more: https://t.co/bTd6yeNQ8F…</t>
  </si>
  <si>
    <t>PhDc Int Rel at Uni Western Australia | MA IR | Works at Bus &amp; Gov Murdoch Uni | Researching Indo-Pacific | Interested in India, Asia Security | Hawthorn Hawks</t>
  </si>
  <si>
    <t>Rajeev tyagi</t>
  </si>
  <si>
    <t>Ghaziabad</t>
  </si>
  <si>
    <t>I am Mechanical Design Engineer, My Nation, My Love, Proud to be Indian. Mr. Narendra Modi My Ideal, Fully support to PM Modi</t>
  </si>
  <si>
    <t>アライグマ/Raccoon</t>
  </si>
  <si>
    <t>Next to North Korea</t>
  </si>
  <si>
    <t>政治経済の情報収集、呟きをこのアカウントに移動しました。 政治経済等の情報収集目的のアカウントです。</t>
  </si>
  <si>
    <t>siji george</t>
  </si>
  <si>
    <t>Punit</t>
  </si>
  <si>
    <t>Stanford SAPARC</t>
  </si>
  <si>
    <t>Abe's big win in Japan a result of an appeal to the electorate's "vague fears," says APARC's Daniel Sneider https://t.co/cri4ui8x7K</t>
  </si>
  <si>
    <t>Stanford University, Global</t>
  </si>
  <si>
    <t>Shorenstein APARC is a unique Stanford University institution focused on the interdisciplinary study of contemporary Asia. RT ≠ endorsement.</t>
  </si>
  <si>
    <t>Vanalich</t>
  </si>
  <si>
    <t>Compliance manager, financial crime investigator, fintech enthusiast, big believer in bright future for blockchain and partnership between banks and fintech</t>
  </si>
  <si>
    <t>R3publicans</t>
  </si>
  <si>
    <t>Japan’s Abe to push for rearmament, war powers after election win https://t.co/BnwEYfOmnf</t>
  </si>
  <si>
    <t>* Restore * Reignite * Reenergize * #R3s working to Restore the Republic</t>
  </si>
  <si>
    <t>SCrosnoe</t>
  </si>
  <si>
    <t>Japan’s Abe to push for rearmament, war powers after election win https://t.co/CjGo3IDf7u</t>
  </si>
  <si>
    <t>Oklahoma</t>
  </si>
  <si>
    <t>* liberty lover * freedom fighter * grassroots activist * communicator of ideas * working to set people free * #R3s #4liberty #OKGrassroots #teaparty #4life</t>
  </si>
  <si>
    <t>Daniel Sneider</t>
  </si>
  <si>
    <t>RT @StanfordSAPARC: Abe's big win in Japan a result of an appeal to the electorate's "vague fears," says APARC's Daniel Sneider https://t.c…</t>
  </si>
  <si>
    <t>Er Dev Raj Pandey</t>
  </si>
  <si>
    <t>Gorakhpur &amp; Lucknow, India</t>
  </si>
  <si>
    <t>Nation first,Hindu,Engineer, Strong Supporter &amp; member of BJP &amp; @Mission__272 in 2019 &amp; Followed by My Prime Minister Shri @narendramodi ji.</t>
  </si>
  <si>
    <t>Greg Atkinson</t>
  </si>
  <si>
    <t>Japan's general election in four charts (NAR) https://t.co/CHCJs7B6UV</t>
  </si>
  <si>
    <t>Fukuoka 福岡  | Japan 日本</t>
  </si>
  <si>
    <t>Engineer, investor, shochu fan. Interests: Technology, science, business, investing, shipping, gardening, Japan &amp; Australia. PC free zone. @ShareswatchOz</t>
  </si>
  <si>
    <t>"How Japan leader Shinzo Abe's election gamble paid off https://t.co/GuXv1JYBhB https://t.co/Vju7VJWA3J"https://t.co/3vzpgTB5p5</t>
  </si>
  <si>
    <t>Jesse McCormick</t>
  </si>
  <si>
    <t>Lands, rights and environment - Director of Policy and Indigenous Relations for @ec_minister. Tweets are mine.</t>
  </si>
  <si>
    <t>雪中行</t>
  </si>
  <si>
    <t>Financial Times</t>
  </si>
  <si>
    <t>Asia equities broadly higher as Japan election boost lingers https://t.co/aABsm2lrXo</t>
  </si>
  <si>
    <t>Headlines from the FT. Follow us on @FT for news stories, features and updates. Our customer service team is @FTcare.</t>
  </si>
  <si>
    <t>fastFT</t>
  </si>
  <si>
    <t>Asia equities broadly higher as Japan election boost lingers https://t.co/GxEYcqvgJy</t>
  </si>
  <si>
    <t>London, NYC, Hong Kong</t>
  </si>
  <si>
    <t>Market-moving news and views 24-hours a day.</t>
  </si>
  <si>
    <t>DiscoverFT</t>
  </si>
  <si>
    <t>Asia equities broadly higher as Japan election boost lingers https://t.co/Chf9YbqOcJ</t>
  </si>
  <si>
    <t>Read a selection of our stories and keep up to date with the latest offers from the FT marketing team. Follow @FT for editorial tweets.</t>
  </si>
  <si>
    <t>Calista D. A. (カリスタ）</t>
  </si>
  <si>
    <t>Living in Space.</t>
  </si>
  <si>
    <t>Japan's election results: How Abe's coalition achieved 5th straight win in the elections. Read more:… https://t.co/IFnQYlbanz</t>
  </si>
  <si>
    <t>xyn9</t>
  </si>
  <si>
    <t>RT @TakahashiKosuke: Gerald Curtis on Japan's election result analysis. He spoke in English. https://t.co/IebZTzG384</t>
  </si>
  <si>
    <t>Twil (Tweet by Mail)</t>
  </si>
  <si>
    <t>ブクログ→https://t.co/PhPJpow2Xo</t>
  </si>
  <si>
    <t>Asia equities broadly higher as Japan election boost lingers https://t.co/wL1l8iB4Cp #BSAFunds #MerchantCashAdvance #BlueStreakAdvances</t>
  </si>
  <si>
    <t>Newsy</t>
  </si>
  <si>
    <t>The lack of female candidates in Japan's election is bad news for Shinzo Abe's goal of empowering women. https://t.co/4Yr66B5rvJ</t>
  </si>
  <si>
    <t>News with the why. https://t.co/mLh1dx0kt1</t>
  </si>
  <si>
    <t>Shyam Kumar Gupta</t>
  </si>
  <si>
    <t>Sec.-49, Noida, GB Nagar-UP</t>
  </si>
  <si>
    <t>Asia equities broadly higher as Japan election boost lingers https://t.co/zD3vVQeYrJ</t>
  </si>
  <si>
    <t>asian reporter</t>
  </si>
  <si>
    <t>spread the true story</t>
  </si>
  <si>
    <t>Binary Options</t>
  </si>
  <si>
    <t>Asia equities broadly higher as Japan election boost lingers https://t.co/UJuqiHp2Gh</t>
  </si>
  <si>
    <t>How I Left My Job to Become a #BinaryOptions #Trader #MakeMoneyFromHome. My secret : IQ Option...The method that's made me rich...</t>
  </si>
  <si>
    <t>EX-SKF</t>
  </si>
  <si>
    <t>RT @NAR: Japan's election results: How Abe's coalition achieved 5th straight win in the elections. Read more: https://t.co/bTd6yeNQ8F http…</t>
  </si>
  <si>
    <t>Used to be a financial blog following Austrian economics, but now taken over by Fukushima nuke accident. 日本語ブログhttp://t.co/2t0e4LpihY</t>
  </si>
  <si>
    <t>Partha Mandayam</t>
  </si>
  <si>
    <t>ÜT: 41.566495,-81.448403</t>
  </si>
  <si>
    <t>Software engineer with 30 years experience</t>
  </si>
  <si>
    <t>Raj Ranjan</t>
  </si>
  <si>
    <t xml:space="preserve">Rae Bareli </t>
  </si>
  <si>
    <t>OptionTrader</t>
  </si>
  <si>
    <t>RT @fastFT: Asia equities broadly higher as Japan election boost lingers https://t.co/GxEYcqvgJy</t>
  </si>
  <si>
    <t>https://t.co/bYjidVbUGT(travel) https://t.co/sN2Zn3GC2I https://t.co/3bmNAt7LDp https://t.co/UyLqAXdfd9 https://t.co/rJikkCRKm4 https://t.co/azi4fWvlvQ https://t.co/KkoSrlPYDz https://t.co/gbcm6NfVDz https://t.co/mTgiShP1Cn https://t.co/B8gee6kAg3 https://t.co/ylJmH83Rqv https://t.co/YX2IcA9rV3 https://t.co/ZN4uajsySK(crypto)</t>
  </si>
  <si>
    <t>Altanchimeg</t>
  </si>
  <si>
    <t>Mongolia</t>
  </si>
  <si>
    <t>Doctor (Ph.D), prof of political science</t>
  </si>
  <si>
    <t>sourabh sachinist</t>
  </si>
  <si>
    <t>Sachhhhhhiiiin Sachhhhiiiiiiiin</t>
  </si>
  <si>
    <t>Ayush Jha</t>
  </si>
  <si>
    <t>True nationalist hoñesty is the best against excess use of freedom of speech</t>
  </si>
  <si>
    <t>RT TopFiveTraders "RT TFTCS "RT BloombergTV "How Japan leader Shinzo Abe's election gamble paid off … https://t.co/vmEWlT475M"""</t>
  </si>
  <si>
    <t>stardust</t>
  </si>
  <si>
    <t>verging...</t>
  </si>
  <si>
    <t>Fearless •Loyal •Personable •Immaculate • Resolute •Amiable •Debonair •Riveting • Positive Insanity •Brilliant Stupidity • Ordered Chaos •A Threat Yet Humble•</t>
  </si>
  <si>
    <t>Rusinga</t>
  </si>
  <si>
    <t>Can't fit in, I'm custom made. Prisoner Of Hope. Fisherman. Me</t>
  </si>
  <si>
    <t>Sven Banal</t>
  </si>
  <si>
    <t>RT @Ana_Banal: Japan's Abe to push pacifist constitution reform after strong election win</t>
  </si>
  <si>
    <t>CS Harikrishnan M</t>
  </si>
  <si>
    <t>ഇരിങ്ങാലക്കുട</t>
  </si>
  <si>
    <t>Company Secretary (CS) at Tenny Jose Ltd | Corporate Law Professional | Proud Indian 🇮🇳 | Keralite 🌴| Practising Hindu 🙏 | Not the Average Mallu</t>
  </si>
  <si>
    <t>Serving only half of this new term would make Shinzo Abe modern Japan’s longest-serving prime minister https://t.co/Np0ocNuxqR</t>
  </si>
  <si>
    <t>Yoshi Does It</t>
  </si>
  <si>
    <t>Asia equities broadly higher as Japan election boost lingers https://t.co/lEMmuaNnwf</t>
  </si>
  <si>
    <t>Where's your yacht?</t>
  </si>
  <si>
    <t>Norton Edwards</t>
  </si>
  <si>
    <t>RT @TheEconomist: Serving only half of this new term would make Shinzo Abe modern Japan’s longest-serving prime minister https://t.co/Np0oc…</t>
  </si>
  <si>
    <t>On the train</t>
  </si>
  <si>
    <t>The most interesting man, in New Jersey</t>
  </si>
  <si>
    <t>Go to our website for full view: Serving only half of this new term would make Shinzo Abe modern Japan’s longest-s… https://t.co/SSTv1kkUZE</t>
  </si>
  <si>
    <t>Gigabyte Magazine</t>
  </si>
  <si>
    <t>Founder of Gigabyte Magazine, Geek,Techie,Social entrepreneur, father and husband.</t>
  </si>
  <si>
    <t>The ZOGGS</t>
  </si>
  <si>
    <t>Be yourself, everyone else is already taken</t>
  </si>
  <si>
    <t>redrider</t>
  </si>
  <si>
    <t>Panama City Beach Florida</t>
  </si>
  <si>
    <t>Nishant Shastry</t>
  </si>
  <si>
    <t>Asia equities broadly higher as Japan election boost lingers https://t.co/aFQN55mTpS</t>
  </si>
  <si>
    <t>Digital Strategist-cum-Historian at PurpleTalk Inc. RTs don't imply endorsement!</t>
  </si>
  <si>
    <t>Tejas Ahir</t>
  </si>
  <si>
    <t>Strongly Believe In One Woman.</t>
  </si>
  <si>
    <t>FT Markets</t>
  </si>
  <si>
    <t>Asia equities broadly higher as Japan election boost lingers https://t.co/wyIUzhNHQM</t>
  </si>
  <si>
    <t>All the market news, analysis and comment from http://t.co/hmfe4hCibT</t>
  </si>
  <si>
    <t>5 Reasons Why Japan’s Upcoming Election Is The Most Exciting In Years https://t.co/IsIpUb0TSv https://t.co/OjrEPliTVa</t>
  </si>
  <si>
    <t>MochiMochi</t>
  </si>
  <si>
    <t>My interest is mainly about Music, Cinema, Ballet dances, Yoga, Animals, &amp; Flowers.</t>
  </si>
  <si>
    <t>#राष्ट्रवादी_बन्ना</t>
  </si>
  <si>
    <t>वीर भोग्या वसुंधरा</t>
  </si>
  <si>
    <t>जय श्री राम हर हर महादेव जिला गौ रक्षा प्रमुख बजरंगदल</t>
  </si>
  <si>
    <t>Corey Gross, Jr.,</t>
  </si>
  <si>
    <t>RT @GwenythWR: #Taiwan President Tsai @iingwen congratulates @AbeShinzo Abe on election victory | #Japan https://t.co/r2IP4fKvMi</t>
  </si>
  <si>
    <t>Die-hard fan of the Stanford Women's Gymnastics Team; Ex-Marine: Chicago Bulls; Chicago Blackhawks; staunch Conservative Democrat</t>
  </si>
  <si>
    <t>Renee Orefice</t>
  </si>
  <si>
    <t>Vice President, Svorinich Companies, Public Affairs, Governmental Relations, Political Consulting, Community Advocate and more</t>
  </si>
  <si>
    <t>fastFT: Asia equities broadly higher as Japan election boost lingers https://t.co/KhcbQKXY88</t>
  </si>
  <si>
    <t>Bonface Nyangla</t>
  </si>
  <si>
    <t>Serving only half of this new term would make @AbeShinzo modern Japan’s longest-serving prime minister https://t.co/m6PIlh8Lsb</t>
  </si>
  <si>
    <t>British Columbia, Canada</t>
  </si>
  <si>
    <t>Views,like any drink I order,all mine. Writing at the intersection of media and politics. Flying under the radar,having the time of my life.</t>
  </si>
  <si>
    <t>Himanshu Tyagi🇮🇳🇮</t>
  </si>
  <si>
    <t>🇮🇳Hindustani🇮🇳🇮Modi Aficionado! Finance Student! Animal lover!!Love travelling! On the way to Pinnacle🚁🚠🛬⛴🛫✈ blessed to be followed by Piyush Goyal sir</t>
  </si>
  <si>
    <t>Santiago Escamilla C</t>
  </si>
  <si>
    <t>Serving only half of this new term would make Shinzo Abe modern Japan’s longest-serving prime minister https://t.co/BsGS8NUPVa</t>
  </si>
  <si>
    <t>Leantros Belisarios</t>
  </si>
  <si>
    <t>Esten polis</t>
  </si>
  <si>
    <t>Le chute dans le temps-Cioran</t>
  </si>
  <si>
    <t>Sushil RaajaAdvocate</t>
  </si>
  <si>
    <t>9212717171 9868124124</t>
  </si>
  <si>
    <t>Japan’s Election Warning to China https://t.co/rFNi4AXLOS via @WSJ</t>
  </si>
  <si>
    <t>SVICIDALBANKER</t>
  </si>
  <si>
    <t>RT @econyoshi: Asia equities broadly higher as Japan election boost lingers https://t.co/lEMmuaNnwf</t>
  </si>
  <si>
    <t>Fastest and most reliable News about Bitcoin and Cryptocurrencies!</t>
  </si>
  <si>
    <t>Bitcoin Cat</t>
  </si>
  <si>
    <t>Feed me 1JXceJoB1oKUWhMeQvpfiqcFZELnCukHF8</t>
  </si>
  <si>
    <t>Manesh Matin</t>
  </si>
  <si>
    <t>Fabrizio Goria</t>
  </si>
  <si>
    <t>Asia equities broadly higher as Japan election boost lingers https://t.co/B11KLTXJzx</t>
  </si>
  <si>
    <t>Finance geek &amp; Fed watcher @Corriere. Also on @ForbesItalia. Co-founder @Alpinismi. Columnist @eastwestEU. SMM @ScuolaGraffer. Mountaineer. Climber. Runner.</t>
  </si>
  <si>
    <t>Unger Academy</t>
  </si>
  <si>
    <t>#trading #news Asia equities broadly higher as Japan election boost lingers https://t.co/FkBeFupnTi</t>
  </si>
  <si>
    <t>Learn Automated #Trading from Four-Time World Champion #Andrea #Unger</t>
  </si>
  <si>
    <t>Stock News (UK)</t>
  </si>
  <si>
    <t>#StockNews Asia equities broadly higher as Japan election boost lingers https://t.co/zrzGsemO5K</t>
  </si>
  <si>
    <t>Get the latest stock news on the markets anytime, all the time.</t>
  </si>
  <si>
    <t>Sports, Racing, Politics, News, Celebrity, XXX</t>
  </si>
  <si>
    <t>ȻhȺosthɇprofɇssor</t>
  </si>
  <si>
    <t>\m/</t>
  </si>
  <si>
    <t>Jay Normandin</t>
  </si>
  <si>
    <t>Jitender Rana</t>
  </si>
  <si>
    <t>TheEconomist: Serving only half of this new term would make Shinzo Abe modern Japan’s longest-serving prime minist… https://t.co/mhRjEzBd8k</t>
  </si>
  <si>
    <t>夏光时评</t>
  </si>
  <si>
    <t>hubei</t>
  </si>
  <si>
    <t>郭文贵，强奸犯</t>
  </si>
  <si>
    <t>Republic PR</t>
  </si>
  <si>
    <t>What the #Japan election means for the world’s No. 3 economy, by @a_d_fensom https://t.co/UxK7ZD3aFh</t>
  </si>
  <si>
    <t>Republic is a strategic #publicrelations firm based in #Brisbane #Qld. We create communications, coverage and connections to drive your business success.</t>
  </si>
  <si>
    <t>पंकज जी</t>
  </si>
  <si>
    <t>स्वयंसेवक ,राष्ट्रीय स्वयंसेवक संघ,दायित्व- सह प्रचार प्रमुख (माधव नगर,नोएडा)।मन समर्पित तन समर्पित और यह जीवन समर्पित।चाहता हु मेरे देश की धरती तुझे कुछ और भी,</t>
  </si>
  <si>
    <t>Cal Consult</t>
  </si>
  <si>
    <t>Zazi Ridge,Lukenya</t>
  </si>
  <si>
    <t>Distinguished Banker (rtd),Neomarxist, writer, avid reader,social commentator.Economist ,Analyst and Trainer. Cal Consult Ltd</t>
  </si>
  <si>
    <t>paul@dodgerman</t>
  </si>
  <si>
    <t>always naked for hot girl#sandgang</t>
  </si>
  <si>
    <t>bensadi farid</t>
  </si>
  <si>
    <t>RT @FinancialTimes: Asia equities broadly higher as Japan election boost lingers https://t.co/aABsm2lrXo</t>
  </si>
  <si>
    <t xml:space="preserve">staouéli alger             </t>
  </si>
  <si>
    <t>DeepuGoyal</t>
  </si>
  <si>
    <t>On the way to service to the nation...@ Jai Hind</t>
  </si>
  <si>
    <t>Serving only half of this new term would make Shinzo Abe modern Japan’s longest-serving prime minister https://t.co/DzmRZbldye</t>
  </si>
  <si>
    <t>Dhruv Bhanushali</t>
  </si>
  <si>
    <t>हमने हर बार गौर कीया है। मेरे जज़्बातों से इस कदर वाकिफ है हम के मेरी कलम मैं इश्क़ भी लिखना चाहुॅ तो इंक़लाब जिंदाबाद लिखा जाता है। जय हिंद। भारतमाता की जय।</t>
  </si>
  <si>
    <t>Oasis</t>
  </si>
  <si>
    <t>#Japan election outcome bodes well for equity market &amp; improving corp gov could play role in unlocking further value https://t.co/8oTP8YdeVc</t>
  </si>
  <si>
    <t>Hong Kong &amp; Austin TX</t>
  </si>
  <si>
    <t>Private investment mgmt firm founded by Seth H. Fischer in 2002, invests in equity &amp; debt markets w/ focus on Asia. Legal disclaimer: https://t.co/t24UN8rlcI</t>
  </si>
  <si>
    <t>TheEconomist: Serving only half of this new term would make Shinzo Abe modern Japan’s longest-serving prime minist… https://t.co/zvhWXJb3xw</t>
  </si>
  <si>
    <t>Jayendra Mishra</t>
  </si>
  <si>
    <t>Sahjanwa, India</t>
  </si>
  <si>
    <t>जयेन्द्र नाथ मिश्र ।। बी.ए. तृतीय वर्ष ।। दीनदयाल उपाध्याय गोरखपुर विश्वविद्यालय गोरखपुर।। उत्तर प्रदेश ।। राष्ट्रीय स्वयंसेवक संघ ।।</t>
  </si>
  <si>
    <t>Shilpi Pathak</t>
  </si>
  <si>
    <t>Storyteller || Analytics Specialist || Ex-Mckinsey || Views personal || Terror-mongers, Abusers will be blocked || Love laughing n making ppl smile😊😀</t>
  </si>
  <si>
    <t>Winston Wells</t>
  </si>
  <si>
    <t>Winning big : Japan’s ruling coalition retains a supermajority in snap election https://t.co/5FaKnfcWL4 via @TheEconomist</t>
  </si>
  <si>
    <t>Illinois College, Jacksonville, IL</t>
  </si>
  <si>
    <t>Findley Family Professor of International Affairs. Stuff about Comp. Politics, IR, Int. Studies, and African Studies. UCLA Ph.D. All opinions mine.</t>
  </si>
  <si>
    <t>India1st BulletTrain</t>
  </si>
  <si>
    <t>TheEconomist: Serving only half of this new term would make Shinzo Abe modern Japan’s longest-serving prime minist… https://t.co/hZ1d6869ud</t>
  </si>
  <si>
    <t>Yoann Coldefy</t>
  </si>
  <si>
    <t>RT @ShingetsuNews: Election Day Typhoon No. 21 killed a total of seven people across Japan, and injured dozens more.</t>
  </si>
  <si>
    <t>原発反対・死刑反対 2008年9月来日、現在東京に住んでいるフランス人のソフトウェア開発技術者。茶道も学んでます！</t>
  </si>
  <si>
    <t>the goat maive 🇮🇹</t>
  </si>
  <si>
    <t>civil rights for all, we shall rise again Resist Trump, love different cultures 🇮🇹🇮🇪🇩🇪🇵🇱 justice for all ✊🏻🌈 no justice no peace ✌️</t>
  </si>
  <si>
    <t>Dr. SHYAM CHATURVEDI</t>
  </si>
  <si>
    <t>Former U.N. Official/ Professor/Friend/ RTs not endorsements.</t>
  </si>
  <si>
    <t>Kate Eads</t>
  </si>
  <si>
    <t>Japan Times (OpEd) – Abe, post-election, faces a new Trump problem https://t.co/5lZ0J9E3qc</t>
  </si>
  <si>
    <t>The Brave Little State</t>
  </si>
  <si>
    <t>Globalist. Mornings, I collate World News and #Resistance info from around the Web. Afternoons, I snark!</t>
  </si>
  <si>
    <t>Sree</t>
  </si>
  <si>
    <t>Indian Australian, Virat Hindu, Nationalist, Love India, Love Australia, RSS Swayamsevak with ABVP background</t>
  </si>
  <si>
    <t>浪涛</t>
  </si>
  <si>
    <t>FinancialTimes: Asia equities broadly higher as Japan election boost lingers https://t.co/iAPjvHjDQK</t>
  </si>
  <si>
    <t>Razer</t>
  </si>
  <si>
    <t>RAZERMACHINE</t>
  </si>
  <si>
    <t>Razer 4 life!!!</t>
  </si>
  <si>
    <t>Raj Choudhary</t>
  </si>
  <si>
    <t>Shri</t>
  </si>
  <si>
    <t>alexandre gobbis</t>
  </si>
  <si>
    <t>Bank Informer</t>
  </si>
  <si>
    <t>Asia equities broadly higher as Japan election boost lingers https://t.co/PXI74HpV6J</t>
  </si>
  <si>
    <t>Bank News and Banking updates - all the Banking and Finance Information you need.</t>
  </si>
  <si>
    <t>Japan Timing</t>
  </si>
  <si>
    <t>Asia equities broadly higher as Japan election boost lingers - Financial Times https://t.co/eVhg6EqU5B</t>
  </si>
  <si>
    <t>It is all about Japan.</t>
  </si>
  <si>
    <t>雪原</t>
  </si>
  <si>
    <t>RT TheEconomist "Serving only half of this new term would make Shinzo Abe modern Japan’s longest-serving prime min… https://t.co/z7GDbHlWqH"</t>
  </si>
  <si>
    <t>RT TheEconomist "Serving only half of this new term would make Shinzo Abe modern Japan’s longest-serving prime min… https://t.co/lgc6xkDIJO"</t>
  </si>
  <si>
    <t>Jyotsana Bajpayee Tr</t>
  </si>
  <si>
    <t>वाराणसी, भारत</t>
  </si>
  <si>
    <t>NYendurance</t>
  </si>
  <si>
    <t>Serving only half of this new term would make Shinzo Abe modern Japan’s longest-serving prime minister https://t.co/UayhSJHpoR</t>
  </si>
  <si>
    <t>shalabh chaturvedi</t>
  </si>
  <si>
    <t>Part tym businessman, student. Full tym seeker of Bhagwanji.. One life love it, live it..</t>
  </si>
  <si>
    <t>PANDIT MUSTAFA</t>
  </si>
  <si>
    <t>Followed by @narendramodi_pm, Journalist &amp; Author of Ishwar Prerna Hamd in Hindi of 10000 Verses 18 Volume based on teachings of Quran. https://t.co/RywCUL739G</t>
  </si>
  <si>
    <t>不動点コンビネータ</t>
  </si>
  <si>
    <t>Pythonia</t>
  </si>
  <si>
    <t>自分のことをプログラマだと思い込んでいる一般人ゲームオタク。持ってるゲーム https://t.co/qlFeoNO9xs Lua教徒過激派。うんこみたいなブログやってます https://t.co/IJ0HMoY30T ツールとかゲームを公開してます。</t>
  </si>
  <si>
    <t>Jarosław Szmyt</t>
  </si>
  <si>
    <t>vinodgundarwala</t>
  </si>
  <si>
    <t>Chartered Accountant http://t.co/htGXH4A52d,FCA, DISA (ICAI)</t>
  </si>
  <si>
    <t>Stock Market Pulse</t>
  </si>
  <si>
    <t>Asia equities broadly higher as Japan election boost lingers https://t.co/nfrN7GcgIK</t>
  </si>
  <si>
    <t>Stock Market Pulse provides information from S&amp;P BSE Sensex, CNX Nifty, commodity &amp; forex market related live charts, stock quotes, stock news, views &amp; outlook.</t>
  </si>
  <si>
    <t>ZacharyJordan  Stern</t>
  </si>
  <si>
    <t>Former Collegiate Athlete and Montana State Alumnus, Production Assistant on Will and Grace at NBC Universal</t>
  </si>
  <si>
    <t>VIJAY</t>
  </si>
  <si>
    <t>A philosopher,nature lover,achiever,dreamer,creator,maker in the end a human being ::(A)</t>
  </si>
  <si>
    <t>小山宗祐</t>
  </si>
  <si>
    <t>埼玉県</t>
  </si>
  <si>
    <t>職業グラフィッカー＆イラストレーター。家庭用ゲームからＰＣゲーム、一般書籍から男性向け女性向けまで広く受付。 ma-teqgml-411885 ｱｯﾄﾏｰｯｸ! dream.jp</t>
  </si>
  <si>
    <t>L-na</t>
  </si>
  <si>
    <t>Finch App for Android</t>
  </si>
  <si>
    <t>Everlasting Love Never-ending Affection</t>
  </si>
  <si>
    <t>CHERAKULA YUGESH</t>
  </si>
  <si>
    <t>Tirupati, Andhra Pradesh</t>
  </si>
  <si>
    <t>PROUD INDIAN, BANKER, SENIOR MANAGER-TECHNICAL, ENGINEER, MASTER OF BUSINESS ADMINISTRATION</t>
  </si>
  <si>
    <t>Ivikash</t>
  </si>
  <si>
    <t>Bhadra</t>
  </si>
  <si>
    <t>Indian Athletes Government and Politics</t>
  </si>
  <si>
    <t>Asger R. Christensen</t>
  </si>
  <si>
    <t>Japan's Abe wins resounding election victory https://t.co/DqG0ZgQ1ji</t>
  </si>
  <si>
    <t>Tokyo Japan/ Hillerod Denmark</t>
  </si>
  <si>
    <t>Experienced journalist, writer, analyst, lecturer and tour leader in Tokyo. Helping Danes understand, experience and cooperate with Japan and Asia in many ways</t>
  </si>
  <si>
    <t>🌞Shailendra🌞</t>
  </si>
  <si>
    <t>Mind wanders so do I</t>
  </si>
  <si>
    <t>Proud that PM🌞 @narendramodi ji🌞 follows me. I tweet on anything under sun. जो मन में आये, बकता हूँ। शरारत है , मस्ती है Some copy+paste. RTs not endorsement</t>
  </si>
  <si>
    <t>blunt67</t>
  </si>
  <si>
    <t>Easy going. 23 yrs military service.</t>
  </si>
  <si>
    <t>Purplegarter</t>
  </si>
  <si>
    <t>Capab/生活矯正中</t>
  </si>
  <si>
    <t>福島 会津若松市</t>
  </si>
  <si>
    <t>「もう一度根っこから考え直そう、もう一度」 無能/社会不適合者</t>
  </si>
  <si>
    <t>Onkar Bangar</t>
  </si>
  <si>
    <t>माटुंगा पूर्व, मुंबई</t>
  </si>
  <si>
    <t>Ex-Fergussonian ....currently in A city Of Dreams-MUMBAI... Politics✌</t>
  </si>
  <si>
    <t>Mostly Ed Holder...</t>
  </si>
  <si>
    <t>Asia equities broadly higher as Japan election boost lingers https://t.co/LjbY6mwVcf https://t.co/LMwDNqIxcu</t>
  </si>
  <si>
    <t>City, LONDON</t>
  </si>
  <si>
    <t>H&amp;C: Chartered Financial Planners. We give Investment, Tax &amp; Pension advice. We love EIS &amp; VCT. Based in the big bad City.</t>
  </si>
  <si>
    <t>How Abe's coalition achieved fifth straight win in the elections. https://t.co/G4VjRRxlui</t>
  </si>
  <si>
    <t>RT @DailyStarLeb: After election win, Abe prioritizes North Korea, aging Japan https://t.co/JAKxhao4s9</t>
  </si>
  <si>
    <t>Vikas Soni</t>
  </si>
  <si>
    <t>Shamli, India</t>
  </si>
  <si>
    <t>हर हर महादेव</t>
  </si>
  <si>
    <t>TaBiCo@国際結婚1年生</t>
  </si>
  <si>
    <t>美味しいものに目がありません。関西在住、30歳。もうすぐUAEへお引越し予定。絶賛転職活動実施中。旦那はんはじょるだにぁん。現在、遠距離新婚生活満喫してます。</t>
  </si>
  <si>
    <t>Saad Abbasi</t>
  </si>
  <si>
    <t>Proud to be Muslim &amp; Pakistani, studying Business Administration, Cricket lover</t>
  </si>
  <si>
    <t>風の電撃（肉球新党「猫の生活が第一」）</t>
  </si>
  <si>
    <t>一自由主義者/ノマドワーカー/RT多/日本国憲法第13条/経世済民/小林多喜二/山本宣治/John Lennon/Bob Marley/Che Guevara “ Hasta la victoria siempre ! ” #肉球新党 #猫の生活が第一</t>
  </si>
  <si>
    <t>What now for Japan after Abe's landslide election victory? https://t.co/7ZMDovHUGj</t>
  </si>
  <si>
    <t>Bittu Sharma</t>
  </si>
  <si>
    <t>After election win, Abe prioritizes North Korea, aging Japan https://t.co/Z188HELeU3 https://t.co/rdwg1ID76G</t>
  </si>
  <si>
    <t>Let the world against u. be wid your heart. chase your dream. STAY CALM, Fitness, Foodie Traveller</t>
  </si>
  <si>
    <t>Michele Dotson</t>
  </si>
  <si>
    <t>“The power of the ballot we need in sheer defense, else what shall save us from a second slavery?” -- W.E.B. DuBois</t>
  </si>
  <si>
    <t>Amit Mohan</t>
  </si>
  <si>
    <t>Husband and father. Politics, health , domestic and foreign policy junkie. Views are my own. Standing up for Pluralistic society and against Trump &amp; KKK.</t>
  </si>
  <si>
    <t>Sutopa Das</t>
  </si>
  <si>
    <t>キンクマ2号♀</t>
  </si>
  <si>
    <t>JAPAN🎌</t>
  </si>
  <si>
    <t>Captain Kevo</t>
  </si>
  <si>
    <t>New Yorker living in Philly</t>
  </si>
  <si>
    <t>NYC is my only true love (Opinions are my own)*</t>
  </si>
  <si>
    <t>wom</t>
  </si>
  <si>
    <t>Cupertino, CA</t>
  </si>
  <si>
    <t>wave of mutilation</t>
  </si>
  <si>
    <t>こうの</t>
  </si>
  <si>
    <t>海の中</t>
  </si>
  <si>
    <t>腐。オタク。雑多主にUS,UK,JPの映画やドラマの話をします。今は疫病神脳。FRご自由に。たまに長文感想とか考察とかでやかましい。 最近見た劇場作品はSINGで、 今一番好きなのはウロボロスコンビと疫病神コンビ。</t>
  </si>
  <si>
    <t>Pravank</t>
  </si>
  <si>
    <t>HAL</t>
  </si>
  <si>
    <t>EYE</t>
  </si>
  <si>
    <t>Prakalp M Rathi</t>
  </si>
  <si>
    <t>망(피클맨)</t>
  </si>
  <si>
    <t>RUMIC | X-MEN | Hugh Jackman</t>
  </si>
  <si>
    <t>뮤턴트복지사회를 위하여</t>
  </si>
  <si>
    <t>프모리☀️🔥</t>
  </si>
  <si>
    <t>새출발을 하세요</t>
  </si>
  <si>
    <t>Kobe Matthew Brown</t>
  </si>
  <si>
    <t>hope to change the world for the best one day. Great passion for history and sleep. Anti Fascist Down with racism. College student</t>
  </si>
  <si>
    <t>RT @SheilaSmithCFR: Japan’s Election Warning to China https://t.co/rFNi4AXLOS via @WSJ</t>
  </si>
  <si>
    <t>Theresa Fallon</t>
  </si>
  <si>
    <t>Director,Centre for Russia Europe Asia Studies(CREAS)NR Snr Fellow @ChicagoCouncil.Geopol,Energy.Prv Beijing,Moscow,London,Paris,Kyoto @ForeignPolicy 20 2follow</t>
  </si>
  <si>
    <t>江夏朋子：脱原発に一票</t>
  </si>
  <si>
    <t>神奈川→鹿児島</t>
  </si>
  <si>
    <t>2012年4月に関東脱出。一児(9才♂)</t>
  </si>
  <si>
    <t>ちびえもん</t>
  </si>
  <si>
    <t>リピッシュ@10/31~🇺🇸</t>
  </si>
  <si>
    <t>熊本↔︎下関↔︎横浜</t>
  </si>
  <si>
    <t>🚗</t>
  </si>
  <si>
    <t>Pawan Kumar Urmaliya</t>
  </si>
  <si>
    <t>Village Badkhera</t>
  </si>
  <si>
    <t>Exploring myself</t>
  </si>
  <si>
    <t>Vickey gupta</t>
  </si>
  <si>
    <t>यादों में ना ढुंढो हमें राधे मन में हम बस जायेंगे तमन्ना हो अगर मिलने की तो हाथ रखो दिल पर हम धड़कनों में मिल जायेंगे। जय श्री श्याम</t>
  </si>
  <si>
    <t>RT @NAR: How Abe's coalition achieved fifth straight win in the elections. https://t.co/G4VjRRxlui</t>
  </si>
  <si>
    <t>(Japan Times) #Kenya president says election re-run must be held as planned this week,.. https://t.co/DJljpCCHIE https://t.co/lx2p52ldWN</t>
  </si>
  <si>
    <t>m___stein</t>
  </si>
  <si>
    <t>Nippon Ishin, which holds sway in Osaka, Japan’s third-largest city. What city is second-largest??? #Economist https://t.co/h1KBkg2Pkk</t>
  </si>
  <si>
    <t>A patent application rejected</t>
  </si>
  <si>
    <t>Sher Bahadur Deuba</t>
  </si>
  <si>
    <t>Heartiest congratulations to Prime Minister of Japan #ShinzoAbe on his landslide election win and best wishes for success.</t>
  </si>
  <si>
    <t>Singhadurbar, Kathmandu Nepal</t>
  </si>
  <si>
    <t>Welcome to the Official Twitter account of the Office of the Prime Minister and Council of Ministers, Government of Nepal.</t>
  </si>
  <si>
    <t>Thoton and the News</t>
  </si>
  <si>
    <t>Tokyo, Paris</t>
  </si>
  <si>
    <t>世界のニュース速報を要約してお届けしています（英中韓仏伊西葡独露語）。国内ニュースは見出しを英訳して発信しています。翻訳は自分一人です。(株)Thoton Global Computingの秋元貴之。Japanese breaking news with English headlines. Tokyo-based</t>
  </si>
  <si>
    <t>shomari hatibu</t>
  </si>
  <si>
    <t>canada</t>
  </si>
  <si>
    <t>Jacks sparrow</t>
  </si>
  <si>
    <t>ahmedabad, india</t>
  </si>
  <si>
    <t>every moment of our life is an experience,enjoy it,learn it,share it,but don't waste it!!</t>
  </si>
  <si>
    <t>Southern Slayers</t>
  </si>
  <si>
    <t>Tn</t>
  </si>
  <si>
    <t>A competitive gaming team. We scrim and compete on gamebattles. SouthernSlayers@gmail.com</t>
  </si>
  <si>
    <t>ModifiedLokeshBhakth</t>
  </si>
  <si>
    <t>RT @PM_Nepal: Heartiest congratulations to Prime Minister of Japan #ShinzoAbe on his landslide election win and best wishes for success.</t>
  </si>
  <si>
    <t>Honored to be a Bhakth/Sanghi, Nationalist, Respects My Military, National Flag, Anthem,VandeMatharam, RSS, A Diehard Fan @narendramodi</t>
  </si>
  <si>
    <t>Pavlov'sdog</t>
  </si>
  <si>
    <t>劇場公開時に「王の男」を観てイ・ジュンギさんのファンになりました。コンギルとイルジメのような対極的にも見えるキャラをどちらも完璧に演じきれる俳優が実際にいるなんて夢にも思いませんでした。役の上だけでなく現実でも波瀾万丈で心配の種も尽きませんが、信じて後について行き甲斐のある人だと思っています。</t>
  </si>
  <si>
    <t>Columnist Opinion</t>
  </si>
  <si>
    <t>Separating fact from opinion in Japan's election, again. | The Knife Media - HuffPost https://t.co/oCqp4pKGTl</t>
  </si>
  <si>
    <t>Latest comments, analysis, op-ed &amp; discussion from readers. Follow @WashPress for political news @TheCoIumnist headlines &amp; @WeeklyJour business news</t>
  </si>
  <si>
    <t>joe trader</t>
  </si>
  <si>
    <t>My American values: equality, tolerance, melting pot. political, economic and religious freedom. pursuit of happiness and justice for all.</t>
  </si>
  <si>
    <t>Press Opinion</t>
  </si>
  <si>
    <t>Separating fact from opinion in Japan's election, again. | The Knife Media - HuffPost https://t.co/Dxeni43H1D</t>
  </si>
  <si>
    <t>Let your voice be heard! For politics @washpress US Senate @presssenate West Wing @presswestwing 45 @washpress45 Local news @press_dc Government @pressgov</t>
  </si>
  <si>
    <t>YASH RAJ SAXENA</t>
  </si>
  <si>
    <t>II राष्ट्रवादी🇮🇳 II Nation First 🇮🇳 II श्री नरेन्द्र मोदी जी का दिल से समर्थक II स्वयंसेवक II Student Activist II ABVPian II</t>
  </si>
  <si>
    <t>Louanne R Cossa</t>
  </si>
  <si>
    <t>KJ🚩🇮🇳🚩</t>
  </si>
  <si>
    <t>Dar-ul-Harb</t>
  </si>
  <si>
    <t>Donna Weeks</t>
  </si>
  <si>
    <t>東京都江東区有明/Brisbane, Aust</t>
  </si>
  <si>
    <t>Australian political scientist T&amp;Ring in Tokyo; psephology, IR /日豪関係、日本政治論、平和学、安全保障/Distractions: books, music, cricket, taichi, MWSE, 野球, 相撲. #project365 &amp;c.</t>
  </si>
  <si>
    <t>Satish Aglave</t>
  </si>
  <si>
    <t>Sangamner, India</t>
  </si>
  <si>
    <t>Shashi Goswami Bjp</t>
  </si>
  <si>
    <t>shashi Goswami Bjp senior leader J&amp;k and ex district.gen.sec.Ramban</t>
  </si>
  <si>
    <t>BeQuiet</t>
  </si>
  <si>
    <t>bequiet</t>
  </si>
  <si>
    <t>Rohit chauhan</t>
  </si>
  <si>
    <t>Delhi , India</t>
  </si>
  <si>
    <t>An Air Force Officer cum Engineer professionally and a proud Indian by heart..</t>
  </si>
  <si>
    <t>Erin McCarthy</t>
  </si>
  <si>
    <t>Philadelphia, PA</t>
  </si>
  <si>
    <t>ask and you'll find out.</t>
  </si>
  <si>
    <t>Ravindra Purohit</t>
  </si>
  <si>
    <t>Jodhpur, Rajasthan</t>
  </si>
  <si>
    <t>Lawyer, 25, Chelsea fan, liberal rightist, Entrepreneur &amp; consultant looking for people with creative ways of doing business in India, Sports enthusiast, foody.</t>
  </si>
  <si>
    <t>Debasish Das</t>
  </si>
  <si>
    <t>RT @debasishdas568: https://t.co/OublxVDslm Japan's Abe to push pacifist constitution reform after strong election win #iartg #asmsg #infn…</t>
  </si>
  <si>
    <t>Margherita, India</t>
  </si>
  <si>
    <t>|Business Proprietor| |MA|Econ| #Environment #Anthropology #Archaeology #WorldAffairs #Neuroscience #Psychology #Literature #Science #Astrophysics #Technology</t>
  </si>
  <si>
    <t>Dharmendra Pradhan</t>
  </si>
  <si>
    <t>Minister of Petroleum &amp; Natural Gas and Skill Development &amp; Entrepreneurship, Government of India. Views personal. RTs not endorsement</t>
  </si>
  <si>
    <t>MiamiBici</t>
  </si>
  <si>
    <t xml:space="preserve">Miami Florida </t>
  </si>
  <si>
    <t>ChiemiKondo</t>
  </si>
  <si>
    <t>Tokyo &amp; …</t>
  </si>
  <si>
    <t>リツイート多めです。時々ぼやいてます。</t>
  </si>
  <si>
    <t>Sagar Mitkary</t>
  </si>
  <si>
    <t>CA. Consultant. Peaceful Warrior. Economics, Defence, Finance, Foreign Policy, Jainism, Politics. Usual caveats apply</t>
  </si>
  <si>
    <t>jambudweepan</t>
  </si>
  <si>
    <t>Does not take life too seriously</t>
  </si>
  <si>
    <t>RAJ MEHTA</t>
  </si>
  <si>
    <t>सत्यमेव जयते</t>
  </si>
  <si>
    <t>Tips Guru</t>
  </si>
  <si>
    <t>Mobile Phone</t>
  </si>
  <si>
    <t>Yesterday I was clever, so I wanted to change the world. Today I am wise, so I am changing myself. RT≠Endorsement…</t>
  </si>
  <si>
    <t>mal</t>
  </si>
  <si>
    <t>関東</t>
  </si>
  <si>
    <t>無宗教無党派。ドキュメンタリ、JAZZ、友川かずき、Tウェイツ。寺山、天童荒太、辺見庸。ワイエス、浜田知明、映画、写真、舞踏。原発・死刑・TPP反対。好きなものは蓮と曼珠沙華とチェロ。好きな映画は「道」｢ベニスに死す｣「旅芸人の記録」、王菲と夏八木勲。冬樹の美を愛す。RT多め。10月から洋書多読チャレンジ中。</t>
  </si>
  <si>
    <t>Linda Dixon</t>
  </si>
  <si>
    <t>Nava Bihani</t>
  </si>
  <si>
    <t>Having multiple responsibility is the best personality</t>
  </si>
  <si>
    <t>This is a FAN account &amp; created with a good Spirit and do not mean to hurt anyone in any way. RT not Endorsement</t>
  </si>
  <si>
    <t>shiva prasad</t>
  </si>
  <si>
    <t>पता नही।</t>
  </si>
  <si>
    <t>Everyone is entitled to his own opinions, but not his own facts* Politically Incorrect* Proud Indian* Egalitarian* Pacifist* Cric Freak* Hala Madrid*</t>
  </si>
  <si>
    <t>Pawan K Sharma</t>
  </si>
  <si>
    <t>Do not dwell in the past, do not dream of the future, concentrate the mind on the present moment.~Buddha</t>
  </si>
  <si>
    <t>Asia Active</t>
  </si>
  <si>
    <t>Infomation Service Provider43</t>
  </si>
  <si>
    <t>Promoting the best articles and retweets about Asia economy. Prosperity and wealth is in your hands. Tweets are sponsored by https://t.co/lB80QVd1N4</t>
  </si>
  <si>
    <t>Phani Raj S K</t>
  </si>
  <si>
    <t>Nationalist Hindu and NaMo admirer.</t>
  </si>
  <si>
    <t>Melon</t>
  </si>
  <si>
    <t>Japan's Abe hails landslide victory in snap election @CNNI https://t.co/qC8wzJcaz3</t>
  </si>
  <si>
    <t>世界中</t>
  </si>
  <si>
    <t>美味しいメロンはいかが？</t>
  </si>
  <si>
    <t>shubham agrawal</t>
  </si>
  <si>
    <t>Arnav Singh</t>
  </si>
  <si>
    <t>युवा भाजपा नेता</t>
  </si>
  <si>
    <t>Indra Dhoj Kshetri</t>
  </si>
  <si>
    <t>#Wanderer</t>
  </si>
  <si>
    <t>#media #society #development #politicalEconomy #Socialmedia #SBCC | Atheist | RTs≠endorsement</t>
  </si>
  <si>
    <t>Rajiv Pandya</t>
  </si>
  <si>
    <t xml:space="preserve">Kuwait </t>
  </si>
  <si>
    <t>News General News Government &amp; Politics Politicians TV Talent Shows Entertainment</t>
  </si>
  <si>
    <t>DK Goswami™🇮🇳</t>
  </si>
  <si>
    <t>Kathua, J&amp;K</t>
  </si>
  <si>
    <t>सिर्फ झोको से टूट जाये वो पत्ते नही हम, आँधियों से कह दो अपनी औकात मे रहे</t>
  </si>
  <si>
    <t>kelvinmagrethmaisa</t>
  </si>
  <si>
    <t>MWANZA |TANZANIA|</t>
  </si>
  <si>
    <t>Hip Hop #KendrickLamar #NikkiMbishi</t>
  </si>
  <si>
    <t>Rakesh Nair</t>
  </si>
  <si>
    <t>An Engineer by profession! A close observer of media politics!</t>
  </si>
  <si>
    <t>Susie Nielsen</t>
  </si>
  <si>
    <t>MODIfying Nation</t>
  </si>
  <si>
    <t>RT narendramodi: Heartiest greetings to my dear friend AbeShinzo on his big election win. Look forward to further strengthen India-Japan re…</t>
  </si>
  <si>
    <t>India. ©- 8249682657</t>
  </si>
  <si>
    <t>We r d team of Professionals working 4 welfare of our citizens. Convenor - Sh @rajutiwary85 .</t>
  </si>
  <si>
    <t>Natrice Rese 🇨🇦</t>
  </si>
  <si>
    <t>Timmins, Ontario</t>
  </si>
  <si>
    <t>retired PSW/caregiver, giving back ❤ #epatient scholar #Stanford #Medx #hcsmca #alzchat #HCLDR #walkingGallery #volunteer #ProjectLove standing w/USA 🇨🇦🇺🇸</t>
  </si>
  <si>
    <t>Aninda Sarkar</t>
  </si>
  <si>
    <t xml:space="preserve">Ahmedabad Kolkata Bhuj Amritsar </t>
  </si>
  <si>
    <t>Proud Indian.. Supporter of @narendramodi &amp; @adgpi is my love.. Iam a thinker learner writer as well.</t>
  </si>
  <si>
    <t>ANKIT SAINI BJP</t>
  </si>
  <si>
    <t>#IAMNEWINDIA ,MODI BHAKT,MANDAL PRESIDENT BJYM,SOCIAL WORKER, MD SURYA JYOTI METAL CRAFTS AND DIRECTOR CHILD HEART DAY BOARDING SCHOOL. TWEETS MY PERSONAL VIEWS</t>
  </si>
  <si>
    <t>Raju JaiN</t>
  </si>
  <si>
    <t>Do NoT StorE DreamS In Ur eyeS, TheY May Roll DowN With TearS, StorE theM In Ur HearT, EacH HearT Beat Will InspirE U to fulfill theM... .</t>
  </si>
  <si>
    <t>PAPPU PRASAD</t>
  </si>
  <si>
    <t>JC</t>
  </si>
  <si>
    <t>RT @Reuters: Dollar/yen hits three-month high after Japan ruling party's election win https://t.co/ybGTlWxc9q https://t.co/PivGLO6zQx</t>
  </si>
  <si>
    <t>Joginder Singh</t>
  </si>
  <si>
    <t>Kattar Hindu</t>
  </si>
  <si>
    <t>astrojog</t>
  </si>
  <si>
    <t>RT @NewsyVideos: The lack of female candidates in Japan's election is bad news for Shinzo Abe's goal of empowering women. https://t.co/4Yr6…</t>
  </si>
  <si>
    <t>Interest in science, planetary stuff, political things and technology</t>
  </si>
  <si>
    <t>金王坂兵衛</t>
  </si>
  <si>
    <t>リツイートは必ずしもなんでもあります。リプ品質維持のためにTLを拝見して晒すことがあります。予め御了承ください。開かれたアジとその敵に興味ありますアジ。</t>
  </si>
  <si>
    <t>Sanjeev mishra</t>
  </si>
  <si>
    <t>MODIfied_Udit</t>
  </si>
  <si>
    <t>* National Executive Member * Social Worker * Media Management</t>
  </si>
  <si>
    <t>Congratulations India best friend @AbeShinzo to grand victory in Japan election. https://t.co/fQoa2we3l7</t>
  </si>
  <si>
    <t>Kalaamandy Acceentee</t>
  </si>
  <si>
    <t>Gaurav NM Sinha</t>
  </si>
  <si>
    <t>kishanganj,Bihar,INDIA</t>
  </si>
  <si>
    <t>“Winners never quit and quitters never win”</t>
  </si>
  <si>
    <t>anirudha das</t>
  </si>
  <si>
    <t>Orissa, India</t>
  </si>
  <si>
    <t>B Tech</t>
  </si>
  <si>
    <t>surendra chouhan bjp</t>
  </si>
  <si>
    <t>vidisha m.p. india</t>
  </si>
  <si>
    <t>I am advocate and social worker;journalist. president - vsvsks mp;dist. beauro- king news Tims; ex. member abvp; Members of state working commeti bjym mp</t>
  </si>
  <si>
    <t>NEOPALADIN1</t>
  </si>
  <si>
    <t>Abe to push military expansion after election win https://t.co/qiRk48JXQc via @newscomauHQ In the past Japan wouldn't have put up with DPRK</t>
  </si>
  <si>
    <t>North Korea News</t>
  </si>
  <si>
    <t>Japan’s Election Warning to China https://t.co/X4uuAtCVdo https://t.co/CGbO4XOh57</t>
  </si>
  <si>
    <t>Live content curated by top North Korea Influencers. (https://t.co/wv0DlBnTl5)</t>
  </si>
  <si>
    <t>さ～</t>
  </si>
  <si>
    <t>とっくに成人済の腐れ女。ジャンルは雑多にいろんなものが好き。RTは多めで無言ﾌｫﾛｰもするのですみません。 国母みつるが好きです。</t>
  </si>
  <si>
    <t>MalaysiaUpdates</t>
  </si>
  <si>
    <t>Typhoon Lan the culprit - Nation - https://t.co/Pg8Cbxu7J6 Lan the culprit - Nation https://t.co/VL1x9KHi3E</t>
  </si>
  <si>
    <t>Petaling Jaya, Selangor</t>
  </si>
  <si>
    <t>Tamra E. Raven</t>
  </si>
  <si>
    <t>The Big River, Missouri</t>
  </si>
  <si>
    <t>Plant ecologist: 10km3x2 ECOPLAY=unique:recognizable: complex:predictable:patterning ECOTONE ECOLOGICALRESTORATION endemic plant species:VEGETATION CONNECTIVITY</t>
  </si>
  <si>
    <t>PoliticalEconomyaxis</t>
  </si>
  <si>
    <t>千代田区</t>
  </si>
  <si>
    <t>よろしくお願いします。主に、#国内 #国外 の #政治 #経済 #科学 #自然 #技術 #社会現象 #気象 など、興味があることや面白いなと感じたことをのんびりつぶやいてます。</t>
  </si>
  <si>
    <t>Sudhanshu Anupam</t>
  </si>
  <si>
    <t>BHU Varanasi</t>
  </si>
  <si>
    <t>{Student ,Banaras Hindu University} {krishna devotee} {Politician by passion,Nationalist &amp; top-class surgeon for formal seculars} followed by @piyushgoyaloffice</t>
  </si>
  <si>
    <t>Batzul Gerelsaikhan</t>
  </si>
  <si>
    <t>Mongolia | Denmark | Hong Kong</t>
  </si>
  <si>
    <t>In real estate &amp; PR, alumna of @Uni_Copenhagen, #2017Forbes #30under30. All tweets are mine. RTs are not endorsements.</t>
  </si>
  <si>
    <t>Bajrangi</t>
  </si>
  <si>
    <t>A Proud Hindu || NATION FIRST||</t>
  </si>
  <si>
    <t>Prashant Deshpande</t>
  </si>
  <si>
    <t>कांदिवली पश्चिम, मुंबई</t>
  </si>
  <si>
    <t>Sports Music News Government and Politics Government and Politics NGOs and Social Good</t>
  </si>
  <si>
    <t>CHANDAN SINHA</t>
  </si>
  <si>
    <t xml:space="preserve">purnea bihar </t>
  </si>
  <si>
    <t>सुनो सबकी करो अपने मन की</t>
  </si>
  <si>
    <t>Leena Sunil Nair</t>
  </si>
  <si>
    <t>News Books &amp; Authors Government and Politics Politicians and Pol Parties</t>
  </si>
  <si>
    <t>솜구름</t>
  </si>
  <si>
    <t>내일의 날씨는 오늘의 구름과 상관없습니다.</t>
  </si>
  <si>
    <t>Mansukh Mandaviya</t>
  </si>
  <si>
    <t>Gandhinagar, Delhi</t>
  </si>
  <si>
    <t>MoS for Road Transport &amp; Highways, Shipping and Chemicals &amp; Fertilisers, Government of India | General Secretary, #BJPGujarat | Office - @OfficeOf_MM</t>
  </si>
  <si>
    <t>saumitra yadav</t>
  </si>
  <si>
    <t>west bengal</t>
  </si>
  <si>
    <t>a person who believes in humanity. The mother religion of all religion is humanity.</t>
  </si>
  <si>
    <t>TruthMedicine❣</t>
  </si>
  <si>
    <t>The Capital, Kuwait</t>
  </si>
  <si>
    <t>✍Optimistic....Love my India❣️!!!!!!✍</t>
  </si>
  <si>
    <t>navi mumbai</t>
  </si>
  <si>
    <t>PRINCE JAIN</t>
  </si>
  <si>
    <t>Mfg:- LED Down Light,Street light,Recess,Surface Light,Industrial light,LED Garden light,Solar LED Street Light,LED Lantern, LED Home Light, O.T.Light</t>
  </si>
  <si>
    <t>krunal panchal</t>
  </si>
  <si>
    <t>Ranip, Ahmadabad City</t>
  </si>
  <si>
    <t>All time Happy ... #music And masti .. #iloveU mom dad.. i love u .Amdavad</t>
  </si>
  <si>
    <t>Mansukh Mandaviya FC</t>
  </si>
  <si>
    <t>Fan Club of @mansukhmandviya MoS for Road Transport &amp; Highways, Shipping, Chemicals &amp; Fertilisers, Govt of India | General Secretary, #BJPGujarat | Ex-MLA Guj</t>
  </si>
  <si>
    <t>Al - Grumpy Old Man</t>
  </si>
  <si>
    <t>What Japan’s Election Outcome Means For The US, East Asia https://t.co/7jVAbmbgVE https://t.co/RDcHBinvQm</t>
  </si>
  <si>
    <t>PA USA</t>
  </si>
  <si>
    <t>Grumpy Old Man</t>
  </si>
  <si>
    <t>＠東京城市東端部</t>
  </si>
  <si>
    <t>東京 江戸川区</t>
  </si>
  <si>
    <t>えどがわくの新住民です。</t>
  </si>
  <si>
    <t>Azzhure</t>
  </si>
  <si>
    <t>Pradeep L Nair</t>
  </si>
  <si>
    <t>Sravan Navate</t>
  </si>
  <si>
    <t>100% Financial Inclusion is the only target we need to achieve in both Andhra Pradesh &amp; Telangana. #NPCI #RuPay</t>
  </si>
  <si>
    <t>Fukushima.exposed</t>
  </si>
  <si>
    <t>The truth about Fukushima is being covered up by the Gov and Media.</t>
  </si>
  <si>
    <t>Queenie Sophie Man</t>
  </si>
  <si>
    <t>#Japan Election Victory Gives Abe Mandate For Reform https://t.co/QMZR2TlF3a</t>
  </si>
  <si>
    <t>Graduate of MA International Journalism @ Brunel University. Research interests: terrorism, democracy, foreign relations.</t>
  </si>
  <si>
    <t>Shreesha SR</t>
  </si>
  <si>
    <t>Ardent Modi Supporter😘✌ Nation First 🇮🇳</t>
  </si>
  <si>
    <t>🇮🇳 Vaibhav Jain</t>
  </si>
  <si>
    <t>Co-Founder &amp; CEO, @tweetkaizentech. Techie by ❤ like 2 learn abt new technologies. Strng believer in Open source technologies as a fuel 4 future innovation.</t>
  </si>
  <si>
    <t>Raju Rajure</t>
  </si>
  <si>
    <t>Bidar</t>
  </si>
  <si>
    <t>Be Good Do Good... God always with us...</t>
  </si>
  <si>
    <t>Mayu Yoshida</t>
  </si>
  <si>
    <t>Reuters TV Presenter/Correspondent. All the buzz from Tokyo - Views my own ロイター通信東京支局テレビ特派員&amp;アンカー via KyodoNews, NHK World</t>
  </si>
  <si>
    <t>Claudio Mrtnez.</t>
  </si>
  <si>
    <t>Andalucia - solo hay UNA ...</t>
  </si>
  <si>
    <t>Esperando la Madrugá ... Sevilla - Sanlúcar de Barrameda.</t>
  </si>
  <si>
    <t>Banaffles_22</t>
  </si>
  <si>
    <t>Hridyesh</t>
  </si>
  <si>
    <t>Vande Matram</t>
  </si>
  <si>
    <t>lisa george</t>
  </si>
  <si>
    <t>"https://t.co/GWx35s4c7P"https://t.co/1y7XPTaMbe Japan election: Abe's coalition projected to keep supermajority#health #fitness</t>
  </si>
  <si>
    <t>Jeffrey James MBE</t>
  </si>
  <si>
    <t>Vale of Glamorgan</t>
  </si>
  <si>
    <t>Chairman and Trustee Rhoose Community Library; President Vale Brass Band: Member Cardiff/Vale St John Council: Governor of Llancarfan and Rhoose Primary Schools</t>
  </si>
  <si>
    <t>Gakaru</t>
  </si>
  <si>
    <t>Belarus'</t>
  </si>
  <si>
    <t>|Neo-classical |IR|</t>
  </si>
  <si>
    <t>राजेश मालवीय</t>
  </si>
  <si>
    <t>Dewas, India</t>
  </si>
  <si>
    <t>Journalists</t>
  </si>
  <si>
    <t>Suresh Chavhanke STV</t>
  </si>
  <si>
    <t>Delhi / Shirdi</t>
  </si>
  <si>
    <t>CMD &amp; Editor-in-Chief @SudarshanNewsTV Host #BindasBol #ChalteChalte #JanSansad TV Shows #JehadiMedia के विरूध्द संघर्ष में साथ दे! निंदको का भी स्वागत है</t>
  </si>
  <si>
    <t>BSIC</t>
  </si>
  <si>
    <t>Asia equities broadly higher as Japan election boost lingers https://t.co/bvKQJnBwl0 https://t.co/agy7Ih6fWW</t>
  </si>
  <si>
    <t>Milan, Italy</t>
  </si>
  <si>
    <t>Bocconi Students Investment Club is the oldest and largest student organization in Bocconi University that promotes a wide variety of finance related activities</t>
  </si>
  <si>
    <t>J. Rogelio</t>
  </si>
  <si>
    <t>Ciudad de México</t>
  </si>
  <si>
    <t>Fixed income &amp; math. Video games (FFXV, FFXIII, TLoZ, NieR:Automata, TLOU), manga/anime ☭</t>
  </si>
  <si>
    <t>Wrangler</t>
  </si>
  <si>
    <t>Rebornization Spoken English Academy</t>
  </si>
  <si>
    <t>john lenaghan</t>
  </si>
  <si>
    <t>Birmingham, United Kingdom</t>
  </si>
  <si>
    <t>ICD-11 is due 2018: so I'm a 53 year old F20.0 [paranoid schizophrenia] on a high dose anti-psychotic with bad hallucinations for poor company.</t>
  </si>
  <si>
    <t>Ronin</t>
  </si>
  <si>
    <t>Nationless Hindu</t>
  </si>
  <si>
    <t>Don't Believe in God. Don't Believe in Humanity. I Hate Everything. I Am Communist. My Tweets Can Hurt Your Sentiments. BeingDevil. AngelsAreDead. FuckTheWorld.</t>
  </si>
  <si>
    <t>Evil Bardock</t>
  </si>
  <si>
    <t>Planet Vegeta/earth</t>
  </si>
  <si>
    <t>Father of Kakarot and Raditz. Saiyan. [DBZRP] [Uncanon] (DM me if you want to add me on steam)</t>
  </si>
  <si>
    <t>Vishal Tyagi</t>
  </si>
  <si>
    <t>MODIfied Indian | Guru Govind Singh Bhakt | Admire Israel | ManCity Fan | Engineer by Luck | Salesman by Choice | Om Namo Bhagwate Vasudevaye Namah|</t>
  </si>
  <si>
    <t>Japan's PM Abe on course for election victory https://t.co/cCc0mIh8aW https://t.co/b8VFPLCodX</t>
  </si>
  <si>
    <t>RT @Cookiemuffen: Japan's PM Abe on course for election victory https://t.co/cCc0mIh8aW https://t.co/b8VFPLCodX</t>
  </si>
  <si>
    <t>Kei</t>
  </si>
  <si>
    <t>RT @SheilaSmithCFR: Yukio Edano: Japan's opposition leader to watch- Nikkei Asian Review https://t.co/AUXQAIY7kS</t>
  </si>
  <si>
    <t>たまさか</t>
  </si>
  <si>
    <t>Fukuoka</t>
  </si>
  <si>
    <t>言葉のレッスンのために／細々と文化の研究中／心はいつもウェールズ...My heart's tonight is far away across the...／方向性模索中</t>
  </si>
  <si>
    <t>はな みず子</t>
  </si>
  <si>
    <t>三軒長屋</t>
  </si>
  <si>
    <t>THE YELLOW MONKEY・CKB・さまぁ〜ず・東野幸治・宮本浩次・立川談春・髙橋大輔・浅田真央・町田樹・山口晃・泉鏡花・椎名林檎・イチロー・御朱印・戦国武将・ハク様・グラムロック・昭和歌謡・シンゴジラ・プレデター・旅猿 ・柴犬 が好き。ダウントニアン。御嶽海、宇良、石浦 頑張れ！</t>
  </si>
  <si>
    <t>Kapil Chhabra</t>
  </si>
  <si>
    <t>Panipat, India</t>
  </si>
  <si>
    <t>बेझिझक मुस्कुराये जो भी गम है, जिंदगी में टेंशन किसको कम है, अच्छा या बुरा तो केवल भ्रम है, जिंदगी का नाम ही कभी ख़ुशी कभी गम है।</t>
  </si>
  <si>
    <t>Uttam Singh</t>
  </si>
  <si>
    <t>🇮🇳🇮🇳🇮🇳🇮🇳🇮🇳🇮🇳🇮🇳</t>
  </si>
  <si>
    <t>RT @France24_en: Why ‘unpopular’ Japanese PM Abe is expected to win Sunday’s polls https://t.co/cvLBuLmdPG https://t.co/YJTixRvwod</t>
  </si>
  <si>
    <t>george gibson</t>
  </si>
  <si>
    <t>Powerful storm leaves 5 dead, 1 missing in Japan https://t.co/IEVRSeKXI4</t>
  </si>
  <si>
    <t>Worthing West Sussex UK</t>
  </si>
  <si>
    <t>in persuit of internet home business opportunities</t>
  </si>
  <si>
    <t>Hikosaemon</t>
  </si>
  <si>
    <t>Edano’s CDPJ Wins over Unaffiliated Voters in Japan General Election (News) https://t.co/WaKdBFKzHv (https://t.co/T8Hy3rfk7x)</t>
  </si>
  <si>
    <t>Tokyo based YouTuber &amp; bilingual news geek 東京在住外国人ブロガーです♪ https://t.co/tWEI7n3zaK http://t.co/Pl2OYGDkD9</t>
  </si>
  <si>
    <t>Gramps</t>
  </si>
  <si>
    <t>Japan election: Shinzo Abe's economy faces huge challenges https://t.co/lZFCd8Xh93 via @CNNMoney "Massive debt pile" .....Bwahahahaha!</t>
  </si>
  <si>
    <t>Ret USN. CVA59, CVA62, DD446, DD945, 33X$60 1967-1969, MSO464, SSBN616, SSBN617, SSN571. Been there, done that; often twice...</t>
  </si>
  <si>
    <t>Sushil Soni</t>
  </si>
  <si>
    <t>Breaking News News News</t>
  </si>
  <si>
    <t>Ravikumar N. S</t>
  </si>
  <si>
    <t>Moilla</t>
  </si>
  <si>
    <t>「命とは何か？ 生きるとは？ 生きるとは、命からの呼びかけに耳を傾けること、雑音の中に生活している時人は案外と楽しく、その中から命からの呼びかけを選り分けて聞く時人は不安を呼び覚まされる」</t>
  </si>
  <si>
    <t>gaurav soni</t>
  </si>
  <si>
    <t>ROLLINS</t>
  </si>
  <si>
    <t>Anna Fifield</t>
  </si>
  <si>
    <t>Japan's PM Abe faces a new Trump problem, writes @WilliamPesek: getting some economic mileage from that bromance… https://t.co/IJQphwZgmN</t>
  </si>
  <si>
    <t>anna.fifield@washpost.com</t>
  </si>
  <si>
    <t>Tokyo bureau chief for the @WashingtonPost, focusing on Japan and the Koreas. 🥝</t>
  </si>
  <si>
    <t>Sandeep Bhandari</t>
  </si>
  <si>
    <t>Kumta, India</t>
  </si>
  <si>
    <t>Shop Keeper</t>
  </si>
  <si>
    <t>James Stanhope</t>
  </si>
  <si>
    <t>RT @annafifield: Japan's PM Abe faces a new Trump problem, writes @WilliamPesek: getting some economic mileage from that bromance https://t…</t>
  </si>
  <si>
    <t>Atlanta, Georgia, USA</t>
  </si>
  <si>
    <t>Following news/commentary about Middle East and U.S. Healthcare. Retweets =/= endorsement.</t>
  </si>
  <si>
    <t>Mohit Yadav,IFS</t>
  </si>
  <si>
    <t>#India #Delhi #Indraprastha</t>
  </si>
  <si>
    <t>#YesICan, #Squash Player, Last Man Standing, Will of Steel Director @MEAIndia Straight talk #India Tweets r personal https://t.co/VgER5b67kL</t>
  </si>
  <si>
    <t>TooMuchHeaven</t>
  </si>
  <si>
    <t>오늘도 여기 글들이 찻잔속의 태풍이 되지 않기를... 자유민주주의 / 시장경제 / 건설적 계획경제 신봉 정부의 억압과 폭력 및 테러 배제 / 지역주의 배제 관심: 한국역사.한국경제.국제정치.세계경제.세계사</t>
  </si>
  <si>
    <t>Khulan Jugder</t>
  </si>
  <si>
    <t>Editor-in-chief Eagle News TV | @Eaglenewssocial | MA Journalism @Birkbecknews | Coffeelover | RT ≠ Endorsement</t>
  </si>
  <si>
    <t>उदय भरद्वाज</t>
  </si>
  <si>
    <t>Proud Indian | Loves Football | Hates Anti-national &amp; Presstitutes</t>
  </si>
  <si>
    <t>shakti sinha</t>
  </si>
  <si>
    <t>RT # endorsement</t>
  </si>
  <si>
    <t>Kamesh Gadia</t>
  </si>
  <si>
    <t>Love to discover, grasp the spiritual message of my country India...not giving up !</t>
  </si>
  <si>
    <t>DiSnapper</t>
  </si>
  <si>
    <t>B-D</t>
  </si>
  <si>
    <t>Atul Ahuja</t>
  </si>
  <si>
    <t xml:space="preserve">Haryana,India </t>
  </si>
  <si>
    <t>Son of a Farmer,Ideology- @bjp4india,Guided by the Mantra of Antyodaya, #IAmNewIndia,#NarendraBhaiForVadaPradhan2019,Admires Honest “LaL” Manohar LaL</t>
  </si>
  <si>
    <t>Soni Sachindrakumar</t>
  </si>
  <si>
    <t>国際個人学研究所</t>
  </si>
  <si>
    <t>Sydney Australia</t>
  </si>
  <si>
    <t>皆御説ごもっともです、もう頭が上がりません、あんたらの建前論にはほとほと呆れました、あの国会の醜態があんたらの本音だという事もはっきりしました。 ♪これで心が晴れました、貴方なしで生きることに決めました♪沖を走る潮の流れ見つめながら、私ぼんやり南半球昼下がり♪</t>
  </si>
  <si>
    <t>Roberto Prusso</t>
  </si>
  <si>
    <t>Mindanao</t>
  </si>
  <si>
    <t>Native of California, U.S.A. Resident of the planet earth. life-long naturalist, environmental advocate, with artistic inclinations!</t>
  </si>
  <si>
    <t>田口　造</t>
  </si>
  <si>
    <t>自然が大好き！システム科学＆生態学研究者。エコ・マネジメント・コンサルタント。脱陰謀論。名前はペンネーム。出版書籍30冊。ウヨとパヨと当方が認定した方は、即ブロックします！先入観に凝り固まった雄的リベラルもちに対して是々非々。無知な屁理屈屋のオッサン大嫌い。勉強しておいで（笑）</t>
  </si>
  <si>
    <t>RAJAT PANT</t>
  </si>
  <si>
    <t>Hariom Bhanwariya</t>
  </si>
  <si>
    <t>sheopur</t>
  </si>
  <si>
    <t>SABKA MANGAL SABKA BHALA</t>
  </si>
  <si>
    <t>ANAND</t>
  </si>
  <si>
    <t>Marketeer by profession, engineer by nature, innovative, self styled &amp; nature lover. love thy country, je déteste #Leftmindset #Pak #China.</t>
  </si>
  <si>
    <t>japanism</t>
  </si>
  <si>
    <t>Permanent foreigners perspective on election barely discussed despite growing presence at about 3% of population in #Japan</t>
  </si>
  <si>
    <t>Tokyo Japan Asia</t>
  </si>
  <si>
    <t>japanite japanesque japanist japanology japanization japantech japanides japanotions japandroids japanica japanimation japanime japandemic japango japanic</t>
  </si>
  <si>
    <t>Democracy Now!</t>
  </si>
  <si>
    <t>Japan: PM Abe to Challenge Pacifist Constitution After Election Victory https://t.co/cuiLMhKWCS #ShinzoAbe https://t.co/8G84uR4ev9</t>
  </si>
  <si>
    <t>Independent, daily global news hour anchored by Amy Goodman &amp; Juan González. Stream M-F 8AM ET https://t.co/qj9euWzTVH. Support independent media—Donate today!</t>
  </si>
  <si>
    <t>RT @DRUDGE_REPORT: Typhoon Fears... https://t.co/jqpBwjMpYp</t>
  </si>
  <si>
    <t>まりーべる</t>
  </si>
  <si>
    <t>好きなもの 本の虫 音楽 声楽 美術 料理 映画 ファッション 建築 ドライブ ……語学</t>
  </si>
  <si>
    <t>BJP Jharsuguda</t>
  </si>
  <si>
    <t>Jharsuguda, India</t>
  </si>
  <si>
    <t>Official Twitter handle of BJP Jharsuguda AC.</t>
  </si>
  <si>
    <t>Vasantgiri Goswami</t>
  </si>
  <si>
    <t>bhuj-kutch</t>
  </si>
  <si>
    <t>જલસા કરો જલસા કરવા દો कच्छ नहीं देखा तो कुछ नहीं देखा</t>
  </si>
  <si>
    <t>JNA</t>
  </si>
  <si>
    <t>RT @democracynow: Japan: PM Abe to Challenge Pacifist Constitution After Election Victory https://t.co/cuiLMhKWCS #ShinzoAbe https://t.co/8…</t>
  </si>
  <si>
    <t>Flushing, Queens, NYC</t>
  </si>
  <si>
    <t>PhD Candidate in Visual &amp; Cultural Studies at @UofR producing research, curatorial, &amp; creative projects at the intersection of personal vision &amp; social justice.</t>
  </si>
  <si>
    <t>Chirag M Shah</t>
  </si>
  <si>
    <t>financial markets professional, investor, law student, socially liberal, politically conservative</t>
  </si>
  <si>
    <t>Yan Dao</t>
  </si>
  <si>
    <t>Pocket.</t>
  </si>
  <si>
    <t>Evil genius</t>
  </si>
  <si>
    <t>Pasco Revolution</t>
  </si>
  <si>
    <t>democracynow: Japan: PM Abe to Challenge Pacifist Constitution After Election Victory https://t.co/4dionBplEZ #Sh… https://t.co/d3eXx7kygM</t>
  </si>
  <si>
    <t>Land O' Lakes, FL</t>
  </si>
  <si>
    <t>Activism supporting social, environmental, &amp; political causes for Pasco County, FL, USA &amp; abroad. https://t.co/GkDt8jYWda</t>
  </si>
  <si>
    <t>Rahul Parmar</t>
  </si>
  <si>
    <t>Indian. cricket analyst. Rahul Dravid. #Bjp_forever</t>
  </si>
  <si>
    <t>Matt Williams</t>
  </si>
  <si>
    <t>Japan's ruling coalition retains a supermajority in snap election - The Economist https://t.co/FLdR34jy88</t>
  </si>
  <si>
    <t>Princeville, HI</t>
  </si>
  <si>
    <t>Linda Ronstadt, Diana Krall, Elvis Costello, David Sanborn, Babyface, I love 'em all. SAPERE AUDE</t>
  </si>
  <si>
    <t>satya shanbhag</t>
  </si>
  <si>
    <t>New Zealand</t>
  </si>
  <si>
    <t>Surgeon, scientist,spiritually nationalist</t>
  </si>
  <si>
    <t>Donald Trump congratulates Japan’s Shinzo Abe on election victory https://t.co/3G4c52N19J</t>
  </si>
  <si>
    <t>Donald Trump congratulates Japan’s Shinzo Abe on election victory https://t.co/DxGm426bss via @todayng</t>
  </si>
  <si>
    <t>jesús riera</t>
  </si>
  <si>
    <t>here</t>
  </si>
  <si>
    <t>i like: good food, sports, finance, politics, dogs🇺🇸🇻🇪🇪🇺 #human</t>
  </si>
  <si>
    <t>noza8ouji</t>
  </si>
  <si>
    <t>Tokyo,三鷹</t>
  </si>
  <si>
    <t>姫路育ちの八王子→2014.3～三鷹住み</t>
  </si>
  <si>
    <t>🇳🇵रबिन कार्की 🇳🇵</t>
  </si>
  <si>
    <t>Daman, palung</t>
  </si>
  <si>
    <t>empty empty empty just empty nothing any more......</t>
  </si>
  <si>
    <t>Vishãl Bhatt</t>
  </si>
  <si>
    <t>Prithvi</t>
  </si>
  <si>
    <t>Advertising Agency, Actor, Model, Executive Producer, Creative Director</t>
  </si>
  <si>
    <t>Donald Trump congratulates Japan’s Shinzo Abe on election victory https://t.co/y8npu9gAQN via todayng</t>
  </si>
  <si>
    <t>Sunilpandey</t>
  </si>
  <si>
    <t>News Breaking News Journalists Government and Politics Politicians and Pol Parties</t>
  </si>
  <si>
    <t>colin2040</t>
  </si>
  <si>
    <t xml:space="preserve">the world </t>
  </si>
  <si>
    <t>am 44 single male from Edinburgh my view are my own no else's if want know more about me just ask me</t>
  </si>
  <si>
    <t>SG</t>
  </si>
  <si>
    <t>Shankar Kafle</t>
  </si>
  <si>
    <t xml:space="preserve">Chabahil Kathmandu </t>
  </si>
  <si>
    <t>म जे बोल्छु सत्य बोल्छु🌏Nepali Congress🌏 Whatever I say is true✊✊👍👍👍👊👊</t>
  </si>
  <si>
    <t>Amitabh Chaudhary</t>
  </si>
  <si>
    <t>अहं ब्रह्मास्मि। NOT THAT LIBERAL...I am not responsible for any offense taken by my tweets and for any feelings caught ..proud Indian , Maithil !</t>
  </si>
  <si>
    <t>Qasim Raza</t>
  </si>
  <si>
    <t>Politics is just a sitcom</t>
  </si>
  <si>
    <t>Harshang Desai BJYM</t>
  </si>
  <si>
    <t>🌐 ભારતીય જનતા પાર્ટી નવસારી જિલ્લા યુવા મોરચા રોજગાર આયામ સંયોજક. 🔵 ભારતીય જનતા પાર્ટી નવસારી તાલુકા ITSM સભ્ય. 🌏 વિધાનસભા-175 નવસારી તાલુકા ITSM કન્વીનર.</t>
  </si>
  <si>
    <t>Asit S Chakraborty</t>
  </si>
  <si>
    <t>Chandan Nagar, India</t>
  </si>
  <si>
    <t>CEO - Shristi Group</t>
  </si>
  <si>
    <t>NigeriaNewsdesk: Donald Trump congratulates Japan’s Shinzo Abe on election victory https://t.co/HYs2qbh20T via todayng</t>
  </si>
  <si>
    <t>Mercede Luzi</t>
  </si>
  <si>
    <t>Op-Ed Contributor: The Death of Liberalism in Japan https://t.co/UMJV1uIxy1 https://t.co/ECTjsAWSCI</t>
  </si>
  <si>
    <t>Navdeep Gurjar</t>
  </si>
  <si>
    <t>Gwalior, Madhya Pradesh, India</t>
  </si>
  <si>
    <t>Nationalist , Hindu Raastra-waadi , student , modi Supporter</t>
  </si>
  <si>
    <t>Ken Kirk (DocReefer)</t>
  </si>
  <si>
    <t>Japan: PM Abe to Challenge Pacifist Constitution After Election Victory https://t.co/KQ8O3NHNVN #ShinzoAbe https://t.co/YB44NAscfh</t>
  </si>
  <si>
    <t>www.facebook.com/doctorreefer/</t>
  </si>
  <si>
    <t>Epileptic Med-Pot/Enviro/Law Activist, Alternative Musician, ABMarijuanaParty Leader, AV Tech, ESL Tutor, Jah minister, ex rock promoter. From Edmonton Canada</t>
  </si>
  <si>
    <t>Nikita Tyagi</t>
  </si>
  <si>
    <t>Japan's Election Warning to China https://t.co/BVFWH0f77m</t>
  </si>
  <si>
    <t>® झोलेवाले बाबा ®</t>
  </si>
  <si>
    <t>जयपुर ,राजस्थान</t>
  </si>
  <si>
    <t>फूल रखिये न रखिये राहो पर 🌺💮🌻🌼🌷💐🌷🌻 लब पे सब के लिए दुआ रखिये #बाबा RT के लिए लाइक्स या @tu_meri_jaan5 में पधारे !!</t>
  </si>
  <si>
    <t>宇宙基地</t>
  </si>
  <si>
    <t>英傑の無限軌道</t>
  </si>
  <si>
    <t>大日本帝国</t>
  </si>
  <si>
    <t>Nintendoswitch欲しい</t>
  </si>
  <si>
    <t>Gabriel Perez</t>
  </si>
  <si>
    <t>Low B - Passive Pickups - P-Bass</t>
  </si>
  <si>
    <t>My Daily Reporter</t>
  </si>
  <si>
    <t>Japan's Election Warning to China https://t.co/bqtGKCisqR</t>
  </si>
  <si>
    <t>Japan's Abe to push pacifist constitution reform after strong election win https://t.co/VvY3obaCuf</t>
  </si>
  <si>
    <t>1 Million People</t>
  </si>
  <si>
    <t>Japanese PM hails landslide victory in snap election https://t.co/5tYBcbeYoI</t>
  </si>
  <si>
    <t>Gremlin Social</t>
  </si>
  <si>
    <t>People Have Done Over 6 Million Dollars In Sales With The EverLesson Marketing System ► https://t.co/yVSTNM86ze</t>
  </si>
  <si>
    <t>🇮🇳🚩MKJ🚩🇮🇳</t>
  </si>
  <si>
    <t>🚩🇮🇳🇮🇳हिंदुस्तान का दीवाना,🙏सच्चाई का साथ डरने की नही बात🙏लिबरल दूर ही रहना🗣जो हिंदुस्तान और श्रीराम का दीवाना हो वही जुड़े वार्ना जलेगी बहुत🇮🇮🇳🚩</t>
  </si>
  <si>
    <t>Preston Quick</t>
  </si>
  <si>
    <t>Olathe</t>
  </si>
  <si>
    <t>Maintaining a satisfactory level of baldness. I'm currently exceeding expectations.</t>
  </si>
  <si>
    <t>Paul Martin Stillman</t>
  </si>
  <si>
    <t>Bucks County, Pennsylvania, US</t>
  </si>
  <si>
    <t>"For every action, there is an equal and opposite reaction."-Newton's Third Law of Motion</t>
  </si>
  <si>
    <t>Ajay Patel</t>
  </si>
  <si>
    <t>Hum Hai Indian</t>
  </si>
  <si>
    <t>Raman soni</t>
  </si>
  <si>
    <t xml:space="preserve">ऐलनाबाद </t>
  </si>
  <si>
    <t>I am social person doing own business at ellenabad</t>
  </si>
  <si>
    <t>Tertulia Digital</t>
  </si>
  <si>
    <t>https://t.co/k4h2jPz0jZ Japan's Election Warning to China https://t.co/G16kZkFugR</t>
  </si>
  <si>
    <t>Curioso por naturaleza, hasta las ultimas consecuencias.</t>
  </si>
  <si>
    <t>Erasmo Dilleshaw</t>
  </si>
  <si>
    <t>Japan's Election Warning to China https://t.co/Sdf69Oi4mF</t>
  </si>
  <si>
    <t>Older than I was and fortunately no wiser. Running back to back marathons on oct 3rd for Unicef</t>
  </si>
  <si>
    <t>preeti beniwal</t>
  </si>
  <si>
    <t>Japan's Abe to push pacifist constitution reform after strong election win https://t.co/aGXB7nk4Bx</t>
  </si>
  <si>
    <t>Angela Johnston</t>
  </si>
  <si>
    <t>Re-elected PM vows to tackle Japan's twin crises https://t.co/qHr3ldZdrn</t>
  </si>
  <si>
    <t>Network Producer for @CBCNews. Currently a Consulting Producer with NHK World in Tokyo. angela.johnston@cbc.ca</t>
  </si>
  <si>
    <t>rakesh semwal</t>
  </si>
  <si>
    <t>Assistant Professor, B.SC(PCM), PGDCA,MBA(Marketing,International Business)</t>
  </si>
  <si>
    <t>Ness Di Angelo</t>
  </si>
  <si>
    <t>With The Ghost King</t>
  </si>
  <si>
    <t>|| New bio in the works lovelies ||</t>
  </si>
  <si>
    <t>A For Arjuna</t>
  </si>
  <si>
    <t>Atlas City</t>
  </si>
  <si>
    <t>DINUS FIB | FOURTEEN | Top Rated Imagination | Gooner | die for what I believe |</t>
  </si>
  <si>
    <t>しゃおやー</t>
  </si>
  <si>
    <t>テレビ関係の仕事してます。主にバラエティーを担当。リアルでは言えない、気になったニュース等ガツガツ突っ込んでいきます。嫌いなものはセロリと批判ばっかしているクソアンチです。深夜出没率高し。</t>
  </si>
  <si>
    <t>Mirav Naik</t>
  </si>
  <si>
    <t>BJYM Gujarat</t>
  </si>
  <si>
    <t>Japan's Abe to push pacifist constitution reform after strong election win https://t.co/P4iWZ3KWol</t>
  </si>
  <si>
    <t>Gaurav Naraniwal🇮🇳</t>
  </si>
  <si>
    <t>Not a blue tick holder but hold something more precious than that...</t>
  </si>
  <si>
    <t>cae the magic (かえざ)</t>
  </si>
  <si>
    <t>福岡市博多区</t>
  </si>
  <si>
    <t>HIPHOP好きで仕方ない Will not be silent We are the 99% 大阪を離れて7年 #橋下イラネ #東京オリンピックイラネ</t>
  </si>
  <si>
    <t>Japan's Abe to push pacifist constitution reform after strong election win https://t.co/TJHrQxtRrj</t>
  </si>
  <si>
    <t>Ananta</t>
  </si>
  <si>
    <t>Engineer/Manager. Love books/movies on history and biographies.</t>
  </si>
  <si>
    <t>What will #Japan's Shinzo Abe do next? we have experts coming up Thursday @globaljourn https://t.co/irRsuR6Pe5 via @TheEconomist</t>
  </si>
  <si>
    <t>Benjamin Hodzic</t>
  </si>
  <si>
    <t>Bosnia and Herzegovina</t>
  </si>
  <si>
    <t>Humanitarna organizacija za pomoc -SVETi Anto -neprofitibilna na bazi humanitarnog rada sa tesko b olesnim OD srca, raka , multipleks skerlozu I druge potrebe</t>
  </si>
  <si>
    <t>Omena Activist</t>
  </si>
  <si>
    <t>*Tottenham *DungaBeach Most Wanted Fisherman</t>
  </si>
  <si>
    <t>Paris Wakana</t>
  </si>
  <si>
    <t>on the web</t>
  </si>
  <si>
    <t>Fashion addictなITガール（not イットガール）。 代官山のセレクトショップ、米国のカジュアル及び、ラグジュアリーブランドのソーシャルメディア担当を経て、現在はラスベガスのHR Techサービスのマーケター。I'm a #fashiontech girl♪</t>
  </si>
  <si>
    <t>Lalitkumar</t>
  </si>
  <si>
    <t>#Japan ready to reassert itself as a military force. #shinzoabe #election #tokyo #northkorea #kimjongun https://t.co/kHyuoiX5Lq</t>
  </si>
  <si>
    <t>Stockholm, Sweden</t>
  </si>
  <si>
    <t>伊勢屋丹治</t>
  </si>
  <si>
    <t>嘘と疑惑しか出てこない現政権にNO。</t>
  </si>
  <si>
    <t>Niraj Lad</t>
  </si>
  <si>
    <t>Congratulations Mr @AbeShinzo Shan for u r win in the election. Love from India. Long live Indo-Japan friendship.</t>
  </si>
  <si>
    <t>Manish Kr Kushwaha</t>
  </si>
  <si>
    <t>😍😎😀Batana Jaruri Nahi😀😎😍</t>
  </si>
  <si>
    <t>浮き雲カフカ</t>
  </si>
  <si>
    <t>めも The Latest: New opposition party struggles in Japan election https://t.co/Y06F0ouXHA</t>
  </si>
  <si>
    <t>エントロピー</t>
  </si>
  <si>
    <t>RT @CEOMagazineEMEA: #Japan ready to reassert itself as a military force. #shinzoabe #election #tokyo #northkorea #kimjongun https://t.co/k…</t>
  </si>
  <si>
    <t>丑島 a.k.a うっしー</t>
  </si>
  <si>
    <t>マテバでよければ。</t>
  </si>
  <si>
    <t>Surinder Singh</t>
  </si>
  <si>
    <t xml:space="preserve">Jammu </t>
  </si>
  <si>
    <t>जब 'इश्क' और क्रान्ति का अंजाम एक ही है तो 'राँझा' बनने से अच्छा है भगतसिंह बन जाओ. #जय_हिन्द</t>
  </si>
  <si>
    <t>Aaron Gerow</t>
  </si>
  <si>
    <t>Japan's risk-averse youth lean heavily conservative- Nikkei Asian Review https://t.co/DyMKEwSBOV</t>
  </si>
  <si>
    <t>Hamden, CT</t>
  </si>
  <si>
    <t>Professor at Yale University. Scholar of Japanese film and media. イエール大学教授、日本映画研究家。</t>
  </si>
  <si>
    <t>Japan's Abe to push pacifist constitution reform after strong election win https://t.co/QjBNMJiZdc</t>
  </si>
  <si>
    <t>Abdul Barri</t>
  </si>
  <si>
    <t>Ex Sunni Muslim. RT is not endorsement !</t>
  </si>
  <si>
    <t>Bharat Iyer</t>
  </si>
  <si>
    <t>Faculty and Director - The Art of Living. Living is my hobby. Service is my work. I like to share learnings, share insights, meditate and sing.</t>
  </si>
  <si>
    <t>Japan&amp;amp;apos;s Shinzo Abe Conjures Stunning Election Victory in a Boost for Donald Trump #Games https://t.co/W54SXxpgAu</t>
  </si>
  <si>
    <t>Japan vows ‘IMMINENT’ action against North Korea after leader’s landslide election victory https://t.co/q4K35b8le5 https://t.co/FTzBXuUhWb</t>
  </si>
  <si>
    <t>Seda Hambarchian</t>
  </si>
  <si>
    <t>Realtor/EPro#Houston,TX Real Estate#Katy,TX Estate#Richmond,TX Real Estate#Sugar Land,TX Real Estate</t>
  </si>
  <si>
    <t>Advocate@binod</t>
  </si>
  <si>
    <t>Advocate</t>
  </si>
  <si>
    <t>Carlos Gonzalez</t>
  </si>
  <si>
    <t xml:space="preserve">Manchester, NH. </t>
  </si>
  <si>
    <t>Hon. Carlos Gonzalez, Selectman &amp; NH State Representative of the city of Manchester, New Hampshire.</t>
  </si>
  <si>
    <t>まっくろ</t>
  </si>
  <si>
    <t>Okinawa</t>
  </si>
  <si>
    <t>沖縄生まれ。つぶやきは仕事などとは一切関係ないことばかりですけど何か。趣味は路上観察・散歩、アマチュア無線、昼寝、漫画含む読書。災害情報にも関心あり。</t>
  </si>
  <si>
    <t>Shinzo Abe’s expected election win will make him Japan's longest-serving prime minister https://t.co/SluT7z8IW7</t>
  </si>
  <si>
    <t>maria</t>
  </si>
  <si>
    <t>韓国と中国の捏造の歴史に終止符を打ち、みんなで頑張っていきましょう。安倍首相を応援しながらも、時々辛口のコメントもします。日本が誇りを取り戻して、強い国になるために、中国、韓国の反日を防ぐ情報交換しましょう。</t>
  </si>
  <si>
    <t>ISDP Japan Center</t>
  </si>
  <si>
    <t>Japan's election results show women making little progress despite Abe's landslide victory | The Japan Times https://t.co/uRJDlmjceL</t>
  </si>
  <si>
    <t>ISDP・ストックホルム日本センター ISDP Stockholm Japan Center, a forum for Japanese Studies in Scandinavia. https://t.co/JodHABgZ5i</t>
  </si>
  <si>
    <t>Kise</t>
  </si>
  <si>
    <t>Blüdhaven</t>
  </si>
  <si>
    <t>@chefwan58 ❤️❤️❤️❤️❤️</t>
  </si>
  <si>
    <t>Jared Taylor</t>
  </si>
  <si>
    <t>Engineering &amp; IT Recruiter. Adventure Seeker. Bow and Arrow Maker. Film Maker. Outdoors man. Craftsman. Artist. Reptile Lover. Gamer. Husband. Father.</t>
  </si>
  <si>
    <t>VIJAY🇮🇳</t>
  </si>
  <si>
    <t>INDIAN. always be in right side. If it favours BJP I don't care.</t>
  </si>
  <si>
    <t>Peth Ndlovu</t>
  </si>
  <si>
    <t>ZW</t>
  </si>
  <si>
    <t>all things Business ⚫Business Guy ⚫ Financials Guy ⚫ cricket &amp; Deep house Guy⚫ I'm the summary of what's left to the word integrity</t>
  </si>
  <si>
    <t>Pishogues</t>
  </si>
  <si>
    <t>ほとんどリツイートです。</t>
  </si>
  <si>
    <t>KungFu Chacha</t>
  </si>
  <si>
    <t>Shaolin Temple</t>
  </si>
  <si>
    <t>Harshit Thaker🕉🇮🇳</t>
  </si>
  <si>
    <t>Morbi, India</t>
  </si>
  <si>
    <t>Electrical Engineer,Traveller,Photographer,Nature lover,Singer,want 2 b Entrepreneur,Work 4 Climate Change,Supports RSS &amp; BJP Proud @narendramodi Supporter</t>
  </si>
  <si>
    <t>Royce Young</t>
  </si>
  <si>
    <t>NBA writer for http://t.co/C2q2SRg3AI , proprietor of http://t.co/YhRRjJ0ECR .</t>
  </si>
  <si>
    <t>DiptiRanjan</t>
  </si>
  <si>
    <t>Bhubaneshwar, Orissa, India</t>
  </si>
  <si>
    <t>Science, Spirituality and Service</t>
  </si>
  <si>
    <t>Zhabaron B.</t>
  </si>
  <si>
    <t>Pearl Harbor, HI</t>
  </si>
  <si>
    <t>From Crockett County/Jackson ✈️✈️✈️ Pearl Harbor, Hawaii. We outchea! #HiLife #USNavy⚓️⚓️ #IDGT</t>
  </si>
  <si>
    <t>james trollकेजरी😝</t>
  </si>
  <si>
    <t>मै राशन कार्ड बना देता हूँ और भ्रष्टाचार हटा देता हूँ👉 मेरा एक ही रोग है दिनभर मोदी मोदी करता हूँ और कांग्रेस से भी मरा लेता हूँ ✌मै एक दिन प्रधानमंत्री बनूंगा</t>
  </si>
  <si>
    <t>BastilleGlobal</t>
  </si>
  <si>
    <t>After election win, Abe prioritizes North Korea, aging Japan https://t.co/oyi5cxsRKU https://t.co/4d9XY506nY</t>
  </si>
  <si>
    <t>BP Global Tweet</t>
  </si>
  <si>
    <t>Dr. DeadHeart🌹</t>
  </si>
  <si>
    <t>RT @liisabobisa: the far right victory in Japan’s #election fuels racism, greenlights hate crimes &amp; denial of imperialism. we need to prote…</t>
  </si>
  <si>
    <t>North Pole, AK</t>
  </si>
  <si>
    <t>cap2 ✝️</t>
  </si>
  <si>
    <t>jaliya senavirathna</t>
  </si>
  <si>
    <t>Japan's Election Warning to China https://t.co/nABIpfz30s</t>
  </si>
  <si>
    <t>ぱりぱりとーきょー</t>
  </si>
  <si>
    <t>首都藩士ほくべー中心世界領</t>
  </si>
  <si>
    <t>ぱりぱりの雑多垢 成人向け 最推し大泉洋 譲渡垢あります ダン戦ゾンビ ヘッダーは推しの皆さんです</t>
  </si>
  <si>
    <t>NIGERIANBUSINESPAGES</t>
  </si>
  <si>
    <t>Lagos Nigeria</t>
  </si>
  <si>
    <t>Nigerian Business Pages aims to provide Multi-sided Platform and Media Enterprise Convergence Services to all Nigerian Businesses throughout the World.</t>
  </si>
  <si>
    <t>Frank Okachan</t>
  </si>
  <si>
    <t>Jim Morgensen</t>
  </si>
  <si>
    <t>Herrin, IL</t>
  </si>
  <si>
    <t>Yadvirr singh</t>
  </si>
  <si>
    <t>Veracious</t>
  </si>
  <si>
    <t>Trump is acting like a Russian mole! trying to discredit all our institutions and sow distrust in our entire system of government! and that is Treason to me!</t>
  </si>
  <si>
    <t>Sunny Rajput</t>
  </si>
  <si>
    <t>Inga B</t>
  </si>
  <si>
    <t>Prahlad Gupta</t>
  </si>
  <si>
    <t>Analyst</t>
  </si>
  <si>
    <t>成史一夫</t>
  </si>
  <si>
    <t>個人垢。リツイートは個人の信条とは関係ありません。米朝の緊張高まる中、#尖閣 諸島が気になります。反日活動家はブロックします。議論をすることはありません。あしからず。</t>
  </si>
  <si>
    <t>JNU Aspirant</t>
  </si>
  <si>
    <t>Abhinav Rai</t>
  </si>
  <si>
    <t>AAPtimistic, IITian ,Love to help the needy ,Teacher by Passion ,Great Lover and keeen watcher of Politics ,Gandhian and Cricket Fan</t>
  </si>
  <si>
    <t>nerissa</t>
  </si>
  <si>
    <t>md</t>
  </si>
  <si>
    <t>Jamnagar, Gujarat, India</t>
  </si>
  <si>
    <t>An engineer , A proud gujrati and bhartiya , Believe in capabilities of bhart as global force , learning about politics and media</t>
  </si>
  <si>
    <t>Kamal Shekhawat</t>
  </si>
  <si>
    <t>Stigmabase | BR</t>
  </si>
  <si>
    <t>São Paulo | Abe, Fresh Off Election Victory, Now Gets to Host Trump: Trump pulled out of the Trans Pacific… https://t.co/oz6t7g2hZt</t>
  </si>
  <si>
    <t>Português</t>
  </si>
  <si>
    <t>Português | Keeping up-to-date on social exclusion worldwide | A Nonprofit initiative</t>
  </si>
  <si>
    <t>Kartik Mishra</t>
  </si>
  <si>
    <t>kartik mishra</t>
  </si>
  <si>
    <t>Harish Agrawal</t>
  </si>
  <si>
    <t xml:space="preserve">Bhopal M P </t>
  </si>
  <si>
    <t>ex-additional director WCD Govt Of M.P.</t>
  </si>
  <si>
    <t>patrick</t>
  </si>
  <si>
    <t>I liked a @YouTube video https://t.co/5GzBowIff5 Japan's PM Shinzo Abe poised to win snap election</t>
  </si>
  <si>
    <t>Omaha, Neb</t>
  </si>
  <si>
    <t>Slave to Whole Foods!</t>
  </si>
  <si>
    <t>The Party of Hope has emerged from Japan's general election with an identity crisis. https://t.co/vPgVaEmgD5</t>
  </si>
  <si>
    <t>Commentary: Abe, post-election, faces a new Trump problem https://t.co/RvmZZePw1l</t>
  </si>
  <si>
    <t>Rajesh Jain</t>
  </si>
  <si>
    <t>i am citizen of india.</t>
  </si>
  <si>
    <t>りんご</t>
  </si>
  <si>
    <t>RT @japantimes: Commentary: Abe, post-election, faces a new Trump problem https://t.co/RvmZZePw1l</t>
  </si>
  <si>
    <t>興味があるのは旅行、語学、映画、そして美容、インテリア、掃除、整理整頓！きれいにすること大好きです。断捨離して、シンプルライフを心がける毎日です♪( ´▽｀)</t>
  </si>
  <si>
    <t>जगदम्बा  दुबे</t>
  </si>
  <si>
    <t>जो देश का नही हो सकता, बह धर्म और समाज का कभी नहीं हो सकता डंरे की चोटपर सच बात है,</t>
  </si>
  <si>
    <t>mohini s meshram</t>
  </si>
  <si>
    <t>Ahmadabad science college, B.Sc micro, 1983. Nagpur, I.T.I.goverment INSTRUCTOR Nation 1St adarsh- swami vivekanand, Modi leader God is present Nature lover</t>
  </si>
  <si>
    <t>हर हर महादेव जय श्री राम जय हिंद वंदे मातरम</t>
  </si>
  <si>
    <t>ZeliaLH 🇮🇳🇯🇵</t>
  </si>
  <si>
    <t>#ShinzoAbe believes the election results gives him the mandate to revise #Japan's 'pacifist' #Constitution https://t.co/lJnLdc90FJ Insanity!</t>
  </si>
  <si>
    <t>Retired UN official. Mumbai NRI now living in Japan. Mentally fully liberal and international.</t>
  </si>
  <si>
    <t>ciel</t>
  </si>
  <si>
    <t>DCP</t>
  </si>
  <si>
    <t>Interest in political Affairs, Right of Center</t>
  </si>
  <si>
    <t>#digitalpay</t>
  </si>
  <si>
    <t>Adv-Digital-Movies-Music-Art-Reading-Photos-Religion-Travel/Culture-Politics-Economy-Fashion-Technology-Gadgets-Food-Cricket-360 Photography</t>
  </si>
  <si>
    <t>Commentary: Abe, post-election, faces a new Trump problem https://t.co/7MmmP3AkUN</t>
  </si>
  <si>
    <t>命どぅ宝！いのちが一番！</t>
  </si>
  <si>
    <t>東京→長野→沖縄</t>
  </si>
  <si>
    <t>世界中が笑顔でいてほしいから。辺野古新基地NO! 原発NO! 再稼働NO! 誰かを犠牲に成り立つ世界にさよならを！</t>
  </si>
  <si>
    <t>日本猫@安倍総理支持！</t>
  </si>
  <si>
    <t>日本をこよなく愛する日本人です。主にＲＴ時々呟きます。品性・礼節にかけるリプを下さるかたは即ブロで対応致しております。討論や議論は苦手なので思想の違う方とは基本会話しません。ご了承ください。安倍晋三総理断固支持！！麻生太郎副総理💛戦争反対！だからこそ憲法改正！！</t>
  </si>
  <si>
    <t>Shalu✍</t>
  </si>
  <si>
    <t>Proud Indian ||Give Respect Take Respect ||For My Tweets Please visit 👉 @shalutaneja451</t>
  </si>
  <si>
    <t>adnan</t>
  </si>
  <si>
    <t>RT @ForeignAffairs: The Party of Hope has emerged from Japan's general election with an identity crisis. https://t.co/vPgVaEmgD5</t>
  </si>
  <si>
    <t>Jeddah, Kingdom of Saudi Arabia</t>
  </si>
  <si>
    <t>كاتب .. له عمود اسبوعي بصحيفة المدينة .. مهتم بالشان العام. Saudi columnist. writes weekly column in al-medina newspaper.</t>
  </si>
  <si>
    <t>（☍д⁰）＜※</t>
  </si>
  <si>
    <t>大阪市</t>
  </si>
  <si>
    <t>ﾍ(ﾟ∀ﾟﾍ) 安倍政権&amp;維新支持の中道右派です。無言フォローお許しください。※リツイートは晒し活用することもあります。</t>
  </si>
  <si>
    <t>Satish Eknath Jadhav</t>
  </si>
  <si>
    <t>RogueLemming</t>
  </si>
  <si>
    <t>Defender of Canada. When you forge hot metal an insight into the why of things becomes clearer &amp; more paramount. #OpSaveThePlanet ... Engaged #lulz</t>
  </si>
  <si>
    <t>Kim wright</t>
  </si>
  <si>
    <t>Dipped in chocolate, bronzed in elegance, enameled with grace, toasted with beauty. My lord, she's a black woman</t>
  </si>
  <si>
    <t>アルフォンス</t>
  </si>
  <si>
    <t>エセサヨク、エセエコロジー、エセ平和主義者、放射脳、お花畑脳、憲法九条脳の方は大嫌いです。でも愛国心のある真の左翼の方は嫌いではありません。安倍総理を断固支持！偏向報道は絶対に許さない！日々日本を守って下さっている自衛隊に心からの感謝を。在日米軍にも敬意を払います。猫大好き、生き物大好き。</t>
  </si>
  <si>
    <t>October 2017 Lower House Election Briefing: LDP wins big again, routs Japan’s left wing, but some silver linings... https://t.co/JPwFwyychV</t>
  </si>
  <si>
    <t>ajay tiwari</t>
  </si>
  <si>
    <t>Sakshi Thakur</t>
  </si>
  <si>
    <t>Cordial Republican addict. I love my life!</t>
  </si>
  <si>
    <t>Waite Koey</t>
  </si>
  <si>
    <t>RT @KenOngiri: @WanjikuRevolt @DavidNdii Japan can call for early elections and do it in a day here hata repeat election hamtaki you want n…</t>
  </si>
  <si>
    <t>Я.Батзаяа</t>
  </si>
  <si>
    <t>Төрийн алба, хувийн хэвшлийн алинд ч хууль, дүрэм, журмаас гадуур мөнгөөр гарын үсгээ худалддаг хүмүүсийг үйлийн үр нь ирэхээр яана даа ... өрөвддөг</t>
  </si>
  <si>
    <t>ravi panchal</t>
  </si>
  <si>
    <t>~ Mechanical Engineer ~ Panchal ~ BJP Dil se</t>
  </si>
  <si>
    <t>darkmatter</t>
  </si>
  <si>
    <t>The universe</t>
  </si>
  <si>
    <t>完璧なる混沌(多様性)に基づく世界平和 I wish World peace based on perfect diversity and justice.</t>
  </si>
  <si>
    <t>Shailesh Tewari</t>
  </si>
  <si>
    <t>Agra ,Uttar Pradesh ,India</t>
  </si>
  <si>
    <t>RTs do not endorse views</t>
  </si>
  <si>
    <t>PRAKUL AGARWAL</t>
  </si>
  <si>
    <t>Abe said he is committed to protect the Japanese people’s prosperity and peace from any contingency. https://t.co/15rpqjPuJZ</t>
  </si>
  <si>
    <t>ankur sharma</t>
  </si>
  <si>
    <t>purulia,West Bengal,India</t>
  </si>
  <si>
    <t>Japan's Election Warning to China https://t.co/1AEIAoX1Ax #wsj #opinion</t>
  </si>
  <si>
    <t>et</t>
  </si>
  <si>
    <t xml:space="preserve">migrante forever </t>
  </si>
  <si>
    <t>Je suis terrun e me ne vanto!!!</t>
  </si>
  <si>
    <t>小桜インコの桃太郎侍</t>
  </si>
  <si>
    <t>日本人に生まれてよかった！日本の国土、海洋、放送電波は日本人の共有財産です❗でも、戦後のテレビ報道、朝日新聞(戦前、戦中も)は反日サヨクの根源だと思います❗日本の四季は世界一！美しい❗ 日本で海外で祖国日本を侮辱し、反日工作を進めてるチャイナ、諸悪の根源チャイナを駆逐したい❗沖縄パヨクはウザイ(＃｀皿´)</t>
  </si>
  <si>
    <t>Dinesh Mishra</t>
  </si>
  <si>
    <t>aka Xochi</t>
  </si>
  <si>
    <t>North Korea thinks Abe’s election win is a prelude to invasion https://t.co/HVyPN9IKRj via @vicenews</t>
  </si>
  <si>
    <t>America has been hijacked by both extremes: selfish and self serving right and the selfish and self serving left . Where am I? I tweet when I'm riled up.</t>
  </si>
  <si>
    <t>Kevin Matara</t>
  </si>
  <si>
    <t>Am so awesome, one day i wanna meet my self and sign my own autograph. #GGMU</t>
  </si>
  <si>
    <t>#PresidentTrump - #Japan #ShinzoAbe POTUS Congratulates Japanese PM Abe on Overwhelming Election Victory… https://t.co/EG9WopIot0 | #tcot</t>
  </si>
  <si>
    <t>Deepak Bisht</t>
  </si>
  <si>
    <t>Nadiad, India</t>
  </si>
  <si>
    <t>Zonal President at Bharatiya Janata Party (BJP), owner and founder of duckblurt university, full support to #vikasvaad #nationalization #ekrastra #unityofindia.</t>
  </si>
  <si>
    <t>Ronyrajputsingh</t>
  </si>
  <si>
    <t xml:space="preserve">delhi </t>
  </si>
  <si>
    <t>mechanical engineer embroidery designer n #manufacturer n #traders of ladies tops kurti shirt n also all embroidery work</t>
  </si>
  <si>
    <t>arthur james lobo</t>
  </si>
  <si>
    <t>After election win, Abe prioritizes North Korea, aging Japan https://t.co/rKfYGmwEKc</t>
  </si>
  <si>
    <t>mangalore karnataka india</t>
  </si>
  <si>
    <t>presidents medal winner lawrence school lovedale 8 course N.D.A. ex indian navy marine captain Director ports and shipping master now work for downtrodden</t>
  </si>
  <si>
    <t>Manash Raj</t>
  </si>
  <si>
    <t>Duggu❤ Music Lover❤ Photography Lover😉📸 Swag❤ Future Dream- IAS Officer😇 Great Fan Of Respected @narendramodi Sir😊❤</t>
  </si>
  <si>
    <t>Giuseppe Amicarelli</t>
  </si>
  <si>
    <t>avvocato - Pescara -- ...non giudico né giudicherò mai essere difetto difendere alcuna opinione con le ragioni, sanza volervi usare o l’autorità o la forza.</t>
  </si>
  <si>
    <t>Papillon Jr</t>
  </si>
  <si>
    <t>Japan's Abe to push pacifist constitution reform after strong election win https://t.co/Fm1C86DxE7</t>
  </si>
  <si>
    <t>papillon-python</t>
  </si>
  <si>
    <t>The truth is out there</t>
  </si>
  <si>
    <t>Deutsche Bank WM: Japan’s election result won’t solve underlying problems https://t.co/V9SVnXqtAn #cio #election #equity #inflation</t>
  </si>
  <si>
    <t>むつ総研</t>
  </si>
  <si>
    <t>supermajority ＝ 圧倒的多数 Winning big : Japan’s ruling coalition retains a supermajority in snap election https://t.co/pcpXo4cFyn</t>
  </si>
  <si>
    <t>英語非常勤講師 / Lecturer of English</t>
  </si>
  <si>
    <t>GATISHIL SURAT</t>
  </si>
  <si>
    <t>Gaurav Prateek</t>
  </si>
  <si>
    <t>See my country as the loving mother who nourishes all her children. Proud to belong to the true cradle of civilization - Hindustan</t>
  </si>
  <si>
    <t>Jeetu Singh</t>
  </si>
  <si>
    <t>Bjp</t>
  </si>
  <si>
    <t>✍🏻Mylène👋🍁</t>
  </si>
  <si>
    <t>Ottawa, ON, Canada</t>
  </si>
  <si>
    <t>Following 100 by rotation♻️at 1 time✦Multi-subject tweeter👋here to laugh☺learn🤔and help👊🏼Yes👑 Queen of blockers + Emoji enthusiast😍Welcome to my world.😇</t>
  </si>
  <si>
    <t>Adam L. Hamsoon</t>
  </si>
  <si>
    <t>Typhoon leaves two dead after lashing Japan on election day - Daily Mirror - Sri Lanka Latest Breaking News and https://t.co/wWM8E3c4Zo</t>
  </si>
  <si>
    <t>Sri Lankan presently living in Qatar.</t>
  </si>
  <si>
    <t>Uttistha Bharata</t>
  </si>
  <si>
    <t>Student of Jyotish,Kriya Sadhana,Homam,spiritual, India First,Arise!Awake! and stop not until the goal is reached-Uthistha Bhharataha! RT's not endorsements</t>
  </si>
  <si>
    <t>Paola Barbagallo</t>
  </si>
  <si>
    <t>messina</t>
  </si>
  <si>
    <t>Insegnante per tutta la vita non per presunzione ma per amore.Il sapere è un bene prezioso.</t>
  </si>
  <si>
    <t>肉丸屋バブ吾郎</t>
  </si>
  <si>
    <t>藤井厳喜さん、武田邦彦先生、坂東忠信さん、ケントギルバートさん、プラシドドミンゴさんが大好きです(*ﾟ▽ﾟ*)💕20代主婦です🏠 虎ノ門ニュース&amp;報道特注ファンサークル作りました⭐️興味のある方メッセージ下さい📩無言フォロー歓迎です✨</t>
  </si>
  <si>
    <t>「gullible」🐨</t>
  </si>
  <si>
    <t>Maybe i am too accustomed to the politics rhetoric lol https://t.co/T5Xbo5XZ7i</t>
  </si>
  <si>
    <t>Taiwan,Silicon Valley,Shanghai</t>
  </si>
  <si>
    <t>[center][1337][br]a female who white knight for men[br]#REKTbyAgirl[/center]</t>
  </si>
  <si>
    <t>Forum Modi</t>
  </si>
  <si>
    <t>Love Economics &amp; politics , Wanna travel the world . Views are personal</t>
  </si>
  <si>
    <t>racket man</t>
  </si>
  <si>
    <t>Tracking the declining state in life in Late Capitalism</t>
  </si>
  <si>
    <t>Ranjit Singh</t>
  </si>
  <si>
    <t>Maithili S. Shukla</t>
  </si>
  <si>
    <t>Japan's Abe to push pacifist constitution reform after strong election win https://t.co/f9GN6aRCom</t>
  </si>
  <si>
    <t>A. Johnson</t>
  </si>
  <si>
    <t>Overly opinionated PhD candidate working in Gender and Cultural Studies. Ask me about my fieldwork. General square who just can't leave anything alone.</t>
  </si>
  <si>
    <t>Lucky Singh</t>
  </si>
  <si>
    <t>Nationalist || Pro - Modi || BJP ll</t>
  </si>
  <si>
    <t>RT @trtworld: Shinzo Abe’s expected election win will make him Japan's longest-serving prime minister https://t.co/SluT7z8IW7</t>
  </si>
  <si>
    <t>เฟิส</t>
  </si>
  <si>
    <t>🇮🇳Divya Saxena🇮🇳</t>
  </si>
  <si>
    <t>Dilli/Dxb/USA/Dxb/Dilli/Dxb</t>
  </si>
  <si>
    <t>Professional,Believes in Human Revolution &amp; Karma i.e.Cause&amp; Effect,Aaptard,Cong&amp;Pseudo Seculars stay away,DieHard Fan of PM @narendramodi Proud Indian &amp; Hindu</t>
  </si>
  <si>
    <t>Prakash Man Singh</t>
  </si>
  <si>
    <t>Congratulations to the PM of Japan #ShinzoAbe for getting the overwhelming response in the recent election. Best wishes for his next tenure.</t>
  </si>
  <si>
    <t>Nepali Congress; Former Deputy Prime Minister of Nepal; Philanthropist; and a Proud Nepali Citizen.</t>
  </si>
  <si>
    <t>Poonam Yadav</t>
  </si>
  <si>
    <t>kuu</t>
  </si>
  <si>
    <t>manish</t>
  </si>
  <si>
    <t>A Nationalist</t>
  </si>
  <si>
    <t>Lorenzo Aguilar</t>
  </si>
  <si>
    <t>Aalia</t>
  </si>
  <si>
    <t>News Government and Politics</t>
  </si>
  <si>
    <t>はなゆー</t>
  </si>
  <si>
    <t>自らに残された最後の心であり、己の愛や情といった感情と決別するための墓. 【ツイッターがサーバーダウンした場合の避難所】 マストドン https://t.co/9cR0Ws7yKB</t>
  </si>
  <si>
    <t>Japanese PM hails landslide victory in snap election https://t.co/kmHbhtTT6w</t>
  </si>
  <si>
    <t>Polls open in Japan's snap general election https://t.co/0Ab37O78Ut</t>
  </si>
  <si>
    <t>Outsider party looks to upstage Japan's Abe https://t.co/BlssPpBOhO</t>
  </si>
  <si>
    <t>P. Pink</t>
  </si>
  <si>
    <t>What does Shinzo Abe's election win mean for Japan? https://t.co/CE0Og0DWXQ</t>
  </si>
  <si>
    <t>Clackmannan in Scotland</t>
  </si>
  <si>
    <t>submit any ideas for the future. We need new ideas for the future if we are going to have a future + TODAYS LATEST RELEVANT NEWS #IFF</t>
  </si>
  <si>
    <t>सतीश बेलवाल</t>
  </si>
  <si>
    <t>Fitch: Japan Election Result to Bolster Policy Implementation https://t.co/LtSOaCVycs</t>
  </si>
  <si>
    <t>dsratnar791@gmail.co</t>
  </si>
  <si>
    <t>Margaret Karen</t>
  </si>
  <si>
    <t>Again, gosh, I miss President Obama. I’ll bet S Korea &amp; Japan miss the intelligent, cool-headed President we had b4 catastrophic election</t>
  </si>
  <si>
    <t>lds, serious about separating opinion from doctrine/ facts. Opinionated seasoned GRITS . My sweetest blessings call me "Mema"</t>
  </si>
  <si>
    <t>にゃろめ</t>
  </si>
  <si>
    <t>蝦夷地　上川管内　カムイの森の山猫</t>
  </si>
  <si>
    <t>ダジャレ好きのねこバス運転手 野党共闘 ※エロ画像お断り// 出来るだけフォロー返します。野球はファイターズ サッカーはコンサドーレ バスケはレバンガ 小沢一郎 田中康夫 石川知裕 小沢党支持 ついでに社共支持 オリーブの樹を植えよう 脱原発から、廃原発へ 大間原発サンルダム建設反対 人種差別者お断り</t>
  </si>
  <si>
    <t>Kaushal Anand</t>
  </si>
  <si>
    <t>Persuing https://t.co/8f2XzhyGBj! Fan of Dhoni! A nature Lover! Love to tweet! A True Lover! Love my country India! Biggest fan of He-man@Dharmendra &amp; @Hema Malini !!!!!</t>
  </si>
  <si>
    <t>Livefree2017</t>
  </si>
  <si>
    <t>Live life live free</t>
  </si>
  <si>
    <t>Kayleen Rachelle</t>
  </si>
  <si>
    <t>Stanton, Michigan</t>
  </si>
  <si>
    <t>Love talking to new people but hate fake asses. If you wanna talk be straight up. I don't got time to play games.</t>
  </si>
  <si>
    <t>jayant kumar singh</t>
  </si>
  <si>
    <t xml:space="preserve">Varanasi </t>
  </si>
  <si>
    <t>भाजपा नेता वाराणसी उत्तर प्रदेश</t>
  </si>
  <si>
    <t>Japan's Abe Cements Power With Strong Election Win https://t.co/JuffAv8fZq</t>
  </si>
  <si>
    <t>Amit kaushal #BMJ</t>
  </si>
  <si>
    <t>अयोध्या, भारत</t>
  </si>
  <si>
    <t>राष्ट्रहित सर्वोपरि !! सनातन हिन्दू !! अयोध्यावासी वैश्य !! राष्ट्रभाषा हिंदी का प्रयोग करता हूँ!! जय हिन्द !! ट्विट ❤ में है</t>
  </si>
  <si>
    <t>Nerv-yoko</t>
  </si>
  <si>
    <t>Coeurs = favoris,pas j'aime !!</t>
  </si>
  <si>
    <t>Français,Tweeter me sert de revue de presse personnelle. La course aux abonnées n'est pas mon leitmotiv et je n'apprécie pas la propagande pro-occidentale</t>
  </si>
  <si>
    <t>विनोद तापड़िया 🇮🇳</t>
  </si>
  <si>
    <t>विकसित भारत के लिये है मोदी सरकार । Honoured to be Followed by PM @narendramodi Ji &amp; @narendramodi_in beside others ! स्वच्छ,स्वस्थ और मस्त रहो ।</t>
  </si>
  <si>
    <t>https://t.co/6u0iU4EDYG 【 #DonaldTrump election】 I talked about the disadvantages of Japan and the future #トランプ #トランプ当選 #EDM #EDMLife</t>
  </si>
  <si>
    <t>Enchanted_Versifier</t>
  </si>
  <si>
    <t>RT @ReutersScience: Powerful typhoon drenches Japan, tens of thousands advised to evacuate https://t.co/lFRx9Y5DD5 https://t.co/jLY8GnTp2E</t>
  </si>
  <si>
    <t>Writer/Reader/Philosopher/Thinker/Biologist/Science Lover You will be Enchanted by my words !</t>
  </si>
  <si>
    <t>Guru Bheem Desai</t>
  </si>
  <si>
    <t>Ranjan Kumar Mahanta</t>
  </si>
  <si>
    <t>Sundargarh, India</t>
  </si>
  <si>
    <t>A Hindustani first,An Engineer. I stand by d view in national interest.Nothing is bigger dn my Motherland.</t>
  </si>
  <si>
    <t>まる</t>
  </si>
  <si>
    <t>桜の花🌸と富士山🗻と動物が大好きです♥ 最近のマスコミの偏向報道に我慢が出来ません😡</t>
  </si>
  <si>
    <t>Piyush Joshi</t>
  </si>
  <si>
    <t>Vallabh Vidyanagar</t>
  </si>
  <si>
    <t>President #Software Solution Developers I #tweet on all subjects. No to blind following/indecent/fanatic RT≠Endorsement #IndiaFirst @narendramodi</t>
  </si>
  <si>
    <t>saurav jain</t>
  </si>
  <si>
    <t>malerkotla</t>
  </si>
  <si>
    <t>Fabian Lisutsa</t>
  </si>
  <si>
    <t>ニジシマ　れの</t>
  </si>
  <si>
    <t>スローペースでイラストをアップ 相撲大好き絵描き 漫画もときどき描きます pixiv.id=1996714</t>
  </si>
  <si>
    <t>Eileen</t>
  </si>
  <si>
    <t>prolifer Catholic Love Jesus proud mom of Iraq war veteran avid supporter of our military avid animal lover addicted to reruns of Monk he is so funny Mr. Monk.</t>
  </si>
  <si>
    <t>Japan's Recent Election Exposed A Persistent Problem For The Country https://t.co/DfYJT697Xc</t>
  </si>
  <si>
    <t>Kaye Fairweather</t>
  </si>
  <si>
    <t>わわめ</t>
  </si>
  <si>
    <t>hokkaido,Japan</t>
  </si>
  <si>
    <t>此処では気になる事をポツポツと。#NoWar #Nonukes #NoRacism #NoHate Love&amp;Peace.Pray for peace.I love art and music.</t>
  </si>
  <si>
    <t>Noor Ullah</t>
  </si>
  <si>
    <t>Pakistan Occupied Kashmir</t>
  </si>
  <si>
    <t>Kashmiri living outside POK since last two Decades | Scholar in Islamic Studies from King Abdullaziz University | HAZRAT IMAM HUSSEIN IBN ALI IS MY IDOL</t>
  </si>
  <si>
    <t>Jai Krishnan 🇮🇳⚔️</t>
  </si>
  <si>
    <t>Chartered Accountant | MBA from University of California| Supports PM Narendra Modi &amp; BJP |PROUD HINDU| BLESSED TO BE FOLLOWED BY MINISTER PIYUSH GOYAL</t>
  </si>
  <si>
    <t>BRIEF-‍Fitch says Japan election result to bolster policy implementation​ https://t.co/kTRVlx4qR9</t>
  </si>
  <si>
    <t>Bhagasa Jat</t>
  </si>
  <si>
    <t>@narendramodi @AbeShinzo @ AbeShinzo General Election Victory I sincerely wish for a celebration I look forward to… https://t.co/7kLrkPyw0m</t>
  </si>
  <si>
    <t>social person student in bsc UG and a simple user of Twitter....born on 5 August 1999... from jodhpur..</t>
  </si>
  <si>
    <t>Samikjthaker</t>
  </si>
  <si>
    <t>ભારત વિશ્વગુરુ બનીને આંતકવાદને દુનિયાના દેશો સાથે મળીને જડમૂળથી કાડી નાખે.</t>
  </si>
  <si>
    <t>Shekhar Mahapatra</t>
  </si>
  <si>
    <t>India, World</t>
  </si>
  <si>
    <t>Lawyer, enthusiast 🤔...... https://t.co/1OKCvR5qK4 #DeferDeter electronic goods consumption dnt buy unnecessary new electronic till nxt 6-12 months</t>
  </si>
  <si>
    <t>Cloud Newsman</t>
  </si>
  <si>
    <t>Japan Election Vindicates Shinzo Abe as His Party Wins Big - https://t.co/2E1NZST4pF #cloudnetwork</t>
  </si>
  <si>
    <t>iphone7 Twitter App</t>
  </si>
  <si>
    <t>Augsburg</t>
  </si>
  <si>
    <t>Cloud News, Cloud Computing, Cloud Storage, Cloud Hosting, Cloud Provider</t>
  </si>
  <si>
    <t>Butler</t>
  </si>
  <si>
    <t>Law graduate. Lazy blogger. Occasionally fierce advocate (in mock courts).</t>
  </si>
  <si>
    <t>Rahul sahu</t>
  </si>
  <si>
    <t>अभद्र भाषा बोलता हूं जिसे न पसन्द हो दूर ही रहे</t>
  </si>
  <si>
    <t>Stan Yee</t>
  </si>
  <si>
    <t>North Korea blasts Japan for using election to 'pave groundwork' for invasion | @japantimes https://t.co/MDHKczSkRL</t>
  </si>
  <si>
    <t>WAS→NYC→HKG ↔TYO→?</t>
  </si>
  <si>
    <t>Google Translate level: expert. Now expressing actual opinions! Food porn: https://t.co/Chut69RgtE</t>
  </si>
  <si>
    <t>Cloud Expert</t>
  </si>
  <si>
    <t>Japan Election Vindicates Shinzo Abe as His Party Wins Big - https://t.co/dicQ4kLnvo #cloudnetwork</t>
  </si>
  <si>
    <t>10 years of experience in the #Cloud - Happy to share the wisdom Personal tweets</t>
  </si>
  <si>
    <t>Raajeish Shah</t>
  </si>
  <si>
    <t>Proud Bhartiya Hindu Nationalist, Pro MODI Led BJP... ZERO Tolerance For Corrupt Congress, AAP TARDS, Pseudo Secular's, Prestitudes, Anti Nationals...</t>
  </si>
  <si>
    <t>Vishal Kakadiya</t>
  </si>
  <si>
    <t>Government &amp; Public Utilities</t>
  </si>
  <si>
    <t>Pata Kha(n)</t>
  </si>
  <si>
    <t>A secular bomb, who isn't banned by the ho'ble SC because I might go AllahuAkbar any beeping time 💥👹</t>
  </si>
  <si>
    <t>Lalit prajapati</t>
  </si>
  <si>
    <t>Padam Thagunna</t>
  </si>
  <si>
    <t>2017 Lower House Election / Abe begins work on 4th Cabinet - The Japan News https://t.co/qPQblsbv2A</t>
  </si>
  <si>
    <t>Central Council Member of Naya Shakti Party Nepal - Ex Coordinator &amp; Current Chairman- International Nepalese Society Japan INS Japan ,</t>
  </si>
  <si>
    <t>UPENDRA M TRIPATHI</t>
  </si>
  <si>
    <t>SkiMasktheCloutGod</t>
  </si>
  <si>
    <t>🥀⚔️ Tip Jar: 3DYRte4iDyGhk4RqVGW35wzPbkVrApjSYg</t>
  </si>
  <si>
    <t>Ravindra Soni</t>
  </si>
  <si>
    <t>Shinzo Abe vows to seek consensus on Japan Constitution after election win https://t.co/CBtcUSoghj https://t.co/ot6ZsTnEoO</t>
  </si>
  <si>
    <t>Over the last twenty four years I have been into media. Alongside I entered into PR industry eight years back.</t>
  </si>
  <si>
    <t>viral</t>
  </si>
  <si>
    <t xml:space="preserve"> Be you Be yourself </t>
  </si>
  <si>
    <t>Aamby Valley City Ltd Lonavala</t>
  </si>
  <si>
    <t>d k singh</t>
  </si>
  <si>
    <t>AGAINST TOTALITARIAN REGIMES AND IDEOLOGY.ORWELL BHAKTHA.</t>
  </si>
  <si>
    <t>Raman Kumar 'Harit'</t>
  </si>
  <si>
    <t>Jhajjar, India</t>
  </si>
  <si>
    <t>Proud Indian , Nation first , नमस्ते सदा वत्सले मातृभूमे ।</t>
  </si>
  <si>
    <t>Edathody K.BHASKARAN</t>
  </si>
  <si>
    <t>Saudi Arabia &amp; Bahrain</t>
  </si>
  <si>
    <t>Patron of BDK-Bah(Blood Donor), Ex-President,World Malayalee Council, Eastern Province, Dammam, Saudi Arabia for 4 yrs; Ex-Vice Chairman of WMC, Middle East Reg</t>
  </si>
  <si>
    <t>2017 Lower House Election / #Edano looks to rally opposition - The Japan News https://t.co/PRBOSuD2Kf #枝野 #立憲民主党 https://t.co/iHOtbSKTOZ</t>
  </si>
  <si>
    <t>Joseph™</t>
  </si>
  <si>
    <t>Japan’s ruling coalition retains a supermajority in snap election. https://t.co/KidFJLw8IV</t>
  </si>
  <si>
    <t>Justice is one of the most important moral and political concepts.</t>
  </si>
  <si>
    <t>Visvya Entertainment</t>
  </si>
  <si>
    <t>#stocks Japan's stocks on record winning streak after Abe's election victory https://t.co/LePWA8GGzE https://t.co/QSSLBertcn</t>
  </si>
  <si>
    <t>Watch Live News Channel,Film Reviews,Film Song,Full Movies,Official Film Trailers, Comedy and Short Film Online. Visit https://t.co/6fc3FtjCEd</t>
  </si>
  <si>
    <t>V🎃te In Midterms👹</t>
  </si>
  <si>
    <t>RT @The_Japan_News: 2017 Lower House Election / #Edano looks to rally opposition - The Japan News https://t.co/PRBOSuD2Kf #枝野 #立憲民主党 https:…</t>
  </si>
  <si>
    <t>Oregon</t>
  </si>
  <si>
    <t>Prefer the America described in the Constitution, you know, the U.S. that's not Russian nor for sale. Some of my fave presidents were patriots. Wait.. (RT ≠ 👍)</t>
  </si>
  <si>
    <t>Fitch Ratings</t>
  </si>
  <si>
    <t>#FitchWire Japan Election Result to Bolster Policy Implementation https://t.co/XIzkmEWiKZ https://t.co/YvI4Bo5WOy</t>
  </si>
  <si>
    <t>London and New York</t>
  </si>
  <si>
    <t>Making the future a little more predictable through independent and prospective credit ratings, commentary and research.</t>
  </si>
  <si>
    <t>Jim Foxall</t>
  </si>
  <si>
    <t>I voted for Brexit, the UK will be great once more. Have faith in Britain.</t>
  </si>
  <si>
    <t>Japan’s Abe is not as popular as you think - an opinion poll found 43% of those surveyed didn't support him.… https://t.co/47SPuGotil</t>
  </si>
  <si>
    <t>Umesh Motwani</t>
  </si>
  <si>
    <t>General Secretary Mumbai North, BJP Sindhi Council.</t>
  </si>
  <si>
    <t>Capt.Dr.S.G Naravane</t>
  </si>
  <si>
    <t>Japan’s Election Warning to China https://t.co/YrJHcR21jG via @WSJOpinion</t>
  </si>
  <si>
    <t>C.H.M.E.S. G C Member; VESIM, G C Member; Member, Railway Board PSC; Vijnan Bharati, Kokan Prant, G C Member; Administrator, Rachana Sansad</t>
  </si>
  <si>
    <t>Fnd</t>
  </si>
  <si>
    <t>ゆ党</t>
  </si>
  <si>
    <t>ｎのフィールド</t>
  </si>
  <si>
    <t>まきますかまきませんか/市場の養分/39歳年収290万円童貞/無職</t>
  </si>
  <si>
    <t>2017 Lower House Election / #Edano looks to rally opposition - The Japan News https://t.co/RTx8e1ckIx #枝野 #立憲民主党 https://t.co/CX8uM8FjzJ</t>
  </si>
  <si>
    <t>Shailendra Patel</t>
  </si>
  <si>
    <t>Niranjan Zanzmera</t>
  </si>
  <si>
    <t>Former Mayor, SURAT -GUJARAT ( INDIA )</t>
  </si>
  <si>
    <t>みつや</t>
  </si>
  <si>
    <t>まず事実をつかめ。 それから思うままに曲解せよ。</t>
  </si>
  <si>
    <t>Vijay Santuka</t>
  </si>
  <si>
    <t>Event Manager, Wedding Planner, Destination Weddings</t>
  </si>
  <si>
    <t>After election win, Abe prioritizes North Korea, aging Japan #Analyst https://t.co/yrDYAyh60T</t>
  </si>
  <si>
    <t>FederalReserveRelay</t>
  </si>
  <si>
    <t>FitchRatings "#FitchWire Japan Election Result to Bolster Policy Implementation https://t.co/0vbvSF48gh https://t.co/lg4Xj171Vt"</t>
  </si>
  <si>
    <t>Luxembourg</t>
  </si>
  <si>
    <t>Lightning quick updates from important officials. Pushed FTaaS. Join the Relay Channel @FedReserveRelay on @Telegram to receive all push notifications</t>
  </si>
  <si>
    <t>Abe to push reform of Japan's pacifist constitution after election win https://t.co/egC5u9TmAs — FOX Business (FoxBusiness) October 24, 2…</t>
  </si>
  <si>
    <t>Kaushal Parikh</t>
  </si>
  <si>
    <t>Amol Sambare</t>
  </si>
  <si>
    <t>Pune,Maharastra,India</t>
  </si>
  <si>
    <t>Senior System Engineer,Emerson</t>
  </si>
  <si>
    <t>ZY NG</t>
  </si>
  <si>
    <t>Japan’s Election Warning to China https://t.co/Ee8qCuq1tX via @WSJOpinion</t>
  </si>
  <si>
    <t>My take on investments, economics, finance, history, politics &amp; current affairs</t>
  </si>
  <si>
    <t>Sanjib Roy</t>
  </si>
  <si>
    <t>Pankkaj Paliwal</t>
  </si>
  <si>
    <t>भारत, भारतीय, भारतीयता, पेशे से इंजीनियर/ प्रोजेक्ट मैनेजर, YouTuber, NaMo Fan !</t>
  </si>
  <si>
    <t>Smth Banal</t>
  </si>
  <si>
    <t>Abe's focus on North Korea after Japan election win</t>
  </si>
  <si>
    <t>Ho Chi Minh, Vietnam</t>
  </si>
  <si>
    <t>だ江＠こんな人たち</t>
  </si>
  <si>
    <t>RT @myRadioIntl: BBC World News: Japan goes to the polls in snap election - Millions are voting in the election, which was calle... https:/…</t>
  </si>
  <si>
    <t>東京/Tokyo, Japan</t>
  </si>
  <si>
    <t>発達障害/双極性障害/歴史/ランニング/音楽/ノルディックウォーキング/東北＆熊本応援/プロテスタント/アベ政治を許さない Autism/bipolar disorder/running/Nordic walking/Japanese history/music/Antifa</t>
  </si>
  <si>
    <t>Shiva Poonia</t>
  </si>
  <si>
    <t>Helen Biggs</t>
  </si>
  <si>
    <t>HelenBiggs4 app</t>
  </si>
  <si>
    <t>Sometimes I've believed as many as six impossible things before breakfast.</t>
  </si>
  <si>
    <t>SivaPrasad</t>
  </si>
  <si>
    <t>Coimbatore, Tamil Nadu</t>
  </si>
  <si>
    <t>Entrepreneur,Urban Farmer,Dreams to See India as Super Power&amp;Worlds Spiritual Capital, Rts r not endorsments!....</t>
  </si>
  <si>
    <t>Roger Raj</t>
  </si>
  <si>
    <t>Frédéric</t>
  </si>
  <si>
    <t>Ile-de-France</t>
  </si>
  <si>
    <t>Agnostique ❌ FN OUT ‼️ ⛔️ MP/DM 📛PAS DE LISTE ⛔️</t>
  </si>
  <si>
    <t>Asahi Shimbun AJW</t>
  </si>
  <si>
    <t>EDITORIAL: #LDP election win no mandate for amending #Constitution：The Asahi Shimbun #Japan #politics https://t.co/GGZ25AcrJj</t>
  </si>
  <si>
    <t>Tokyo's Tsukiji district</t>
  </si>
  <si>
    <t>AJW (Asia &amp; Japan Watch) is a free English news website of the Asahi Shimbun. Your critical guide to what's going on in Japan and the rest of Asia.</t>
  </si>
  <si>
    <t>Sanjay Singh Bisen</t>
  </si>
  <si>
    <t>Private service</t>
  </si>
  <si>
    <t>FXStreet News</t>
  </si>
  <si>
    <t>Fitch: Japanese election has bolstered standing of PM Abe https://t.co/UfRua4GUUy #Japan #RatingAgencies #Politics</t>
  </si>
  <si>
    <t>FXstreet.com</t>
  </si>
  <si>
    <t>24/5 real-time forex news</t>
  </si>
  <si>
    <t>City Of Investment</t>
  </si>
  <si>
    <t>https://t.co/rki7PPm5b5 "Fitch: Japanese election has bolstered standing of PM Abe https://t.co/tdqUjZpgGw #Japan #RatingAgencies #Politics"</t>
  </si>
  <si>
    <t>Make your money grow with https://t.co/roZQkyZSRo Global market leader in Forex Managed Account. https://t.co/G2JrDCtrKw Minimum deposit €1000</t>
  </si>
  <si>
    <t>TradingintheZen</t>
  </si>
  <si>
    <t>Fitch: Japanese election has bolstered standing of PM Abe https://t.co/45u7rIOClu #Japan #RatingAgencies #Politics via FXstreetNews</t>
  </si>
  <si>
    <t>Only Optimal #Trading Psychology and Position Sizing. All about #forex, algo trading, expert advisors and social trading.</t>
  </si>
  <si>
    <t>FXstreetNews "Fitch: Japanese election has bolstered standing of PM Abe https://t.co/bYt05Vh0VT #Japan #RatingAgencies #Politics" #forex #…</t>
  </si>
  <si>
    <t>dnsk</t>
  </si>
  <si>
    <t>Siem Reap Yokohama Tokyo</t>
  </si>
  <si>
    <t>水辺で生きる生き物なのに、中東、中南米、米国とインドのエンタメがまじで大好きなのになぜか🇰🇭シェムリアップ在住 #シェムリアップの盆踊りの協賛金募集中</t>
  </si>
  <si>
    <t>Naresh</t>
  </si>
  <si>
    <t>@narendramodi @AbeShinzo Congratulations for win election in japan</t>
  </si>
  <si>
    <t>George Kurian 🌎</t>
  </si>
  <si>
    <t>Waheguru Ji Ka Khalsa, Waheguru Ji Ki Fateh 'Jo bole so nihaal'. 'sat sri akal'. #TweetsArePersonal #RetweetsNotEndorsements</t>
  </si>
  <si>
    <t>Aditya Tyagi</t>
  </si>
  <si>
    <t>FXCC Forex Trading</t>
  </si>
  <si>
    <t>USD/JPY reached a three month high, as yen initially loses safe haven appeal due to Abe re-election https://t.co/1IiUpoiQ2M</t>
  </si>
  <si>
    <t>Limassol, Cyprus</t>
  </si>
  <si>
    <t>More than a broker on your side! Based in Cyprus; FXCC operates both as an ECN, and an STP. Trade with us and unleash those hidden forex talents ;)</t>
  </si>
  <si>
    <t>Bharat A Patel</t>
  </si>
  <si>
    <t>@narendramodi177 @narendramodi @AbeShinzo We must congratulate to Mr. Abe Shinzo for winning election on Japan. It'… https://t.co/0XhLrVSDBN</t>
  </si>
  <si>
    <t>New Laxmipura, Palanpur, Guj.</t>
  </si>
  <si>
    <t>Business</t>
  </si>
  <si>
    <t>Mahad Dirieh</t>
  </si>
  <si>
    <t>Abe retains supermajority in Japan’s election, may push to amend constitution https://t.co/6R1eSkia8A</t>
  </si>
  <si>
    <t xml:space="preserve">Colorado </t>
  </si>
  <si>
    <t>A community organizer, an academic and professor of Political Science. Former CEO of the American Institute in east Africa.</t>
  </si>
  <si>
    <t>Fx14Au.com</t>
  </si>
  <si>
    <t>Fitch: Japanese election has bolstered standing of PM Abe https://t.co/dFYvJlytKX #Japan #RatingAgencies #Politics</t>
  </si>
  <si>
    <t xml:space="preserve">Melbourne Australia </t>
  </si>
  <si>
    <t>Mayur Jadav</t>
  </si>
  <si>
    <t xml:space="preserve">Bapunagar Ahmedabad </t>
  </si>
  <si>
    <t>I t cell member 49bapungar vidhansabha.. @BJP4Gujarat @BJP4India I big fan @narendramodi</t>
  </si>
  <si>
    <t>Jake Lin</t>
  </si>
  <si>
    <t>LDP election win no mandate for amending Constitution in #Japan. @AJWasahi https://t.co/wSCp4VxWEQ</t>
  </si>
  <si>
    <t>Research Fellow, Institute of Global Studies @TUFS_PR | Labor &amp; Social Movement, Politics in China, Japan &amp; East Asia | Kiwi in Tokyo | RT≠endorsement</t>
  </si>
  <si>
    <t>MUTO BRASIL - N.B.</t>
  </si>
  <si>
    <t>Japan </t>
  </si>
  <si>
    <t>We work to increase awareness of Brazilian`s Artisans and Small Business products in Japan.「MUTO BRASIL」、ブラジルからフェアトレード&amp;クラフトの魅力あるモノを発掘中「Nossa Bossa」</t>
  </si>
  <si>
    <t>Mila Agirre</t>
  </si>
  <si>
    <t>Winning big : Japan’s ruling coalition retains a supermajority in snap election https://t.co/hzKlWVXjjq vía @TheEconomist</t>
  </si>
  <si>
    <t>Bilbao (Basque Country)</t>
  </si>
  <si>
    <t>Basque, lawyer, photographer and passionate about other cultures</t>
  </si>
  <si>
    <t>Marco Aguayo</t>
  </si>
  <si>
    <t>Duggal Saab</t>
  </si>
  <si>
    <t>दुग्गल साहब आज पागल है। ज़िन्दगी का parody हूँ।घोर मोदी भक्त हूँ पर बीजेपी का हमेशा समर्थक नहीं ।घना पागलपन।</t>
  </si>
  <si>
    <t>tr27nov@hotmail.com</t>
  </si>
  <si>
    <t>आर ■ आर ■ Pandey</t>
  </si>
  <si>
    <t xml:space="preserve">kailali, Nepal </t>
  </si>
  <si>
    <t>सगरमाथा को सीखर झै उच्च बीचार राख्ने मान्छे, गंगा को पबित्र पानी चोखो मन भाको मान्छे । लाईक कमेन्ट को लागी पर्खी रहने मान्छे ।धन्यवाद । जय नेपाल ।</t>
  </si>
  <si>
    <t>Des Raj</t>
  </si>
  <si>
    <t>Krishan Lal Gupta</t>
  </si>
  <si>
    <t>संजय त्रिपाठी बीजेपी</t>
  </si>
  <si>
    <t xml:space="preserve">India , Pali Madhyapradesh </t>
  </si>
  <si>
    <t>EX-NATIONAL EXECUTIVE MEMBER BJP COMMUNICATION CELL &amp; STATE MEMBER COM.CELL, EX-STATE PRESIDENT VGYB MP,SANATANI , BJP 4 INDIA,</t>
  </si>
  <si>
    <t>Ryan Halloway</t>
  </si>
  <si>
    <t>What Japan's Election Outcome Means for the US, East Asia https://t.co/SMOfnkGDYc</t>
  </si>
  <si>
    <t>Costa Mesa, CA</t>
  </si>
  <si>
    <t>Constitutional conservative. New member of the #FederalistParty. #LessGovernmentMoreFun</t>
  </si>
  <si>
    <t>GadgetsUK</t>
  </si>
  <si>
    <t>Japan&amp;amp;apos;s Shinzo Abe Conjures Stunning Election Victory in a Boost for Donald Trump #Gadgets https://t.co/z3mfhXGmjA</t>
  </si>
  <si>
    <t>Find your latest Gadgets news with just one click. Don't miss out on anything happening!</t>
  </si>
  <si>
    <t>Mr. Geostrategics</t>
  </si>
  <si>
    <t>After listening to Bharat Karnad, i became a fan of GEOSTRATEGICS &amp; trust me Wars are being fought in AC ROOMS FIRST, then dey r fought on ground</t>
  </si>
  <si>
    <t>Progressives-R-Fools</t>
  </si>
  <si>
    <t>Japan Election: Abe's Convincing Win https://t.co/fkIga2KkUN #Markets #Finance #TCOT</t>
  </si>
  <si>
    <t>#TermLimits #FairTax #Finance News #TeaParty #PJNET #Patriot Focus on money &amp; coming economic collapse. NO LISTS.</t>
  </si>
  <si>
    <t>New post: Japan’s Nikkei hits new highs after Abe wins election https://t.co/tHbyJCVBnM</t>
  </si>
  <si>
    <t>Sue Mattlage</t>
  </si>
  <si>
    <t>Arlington, TX</t>
  </si>
  <si>
    <t>Retired. Fill my time reading, club work, friends and genealogy. Great life!</t>
  </si>
  <si>
    <t>Jennifer Gilbert</t>
  </si>
  <si>
    <t>Death and black metal post-op transsexual aspiring poet. #NotMyPresident #TheResistance</t>
  </si>
  <si>
    <t>Davalyn Corporation</t>
  </si>
  <si>
    <t>Japan Election: Abe's Convincing Win https://t.co/zaXvOckdr4</t>
  </si>
  <si>
    <t>Blackcat🇯🇵安倍総理支持</t>
  </si>
  <si>
    <t>RT @NamasteToIndia: #MondayMotivation Shinzo Abe is on course for a resounding victory in Japan's snap election - has vowed to "deal firml…</t>
  </si>
  <si>
    <t>Canada 🇨🇦</t>
  </si>
  <si>
    <t>(ΦωΦ) モフぬこ・アニメ・バイク♥️★your own Tweetに共感するとこっそり無言フォロー(*´ｪ`*)★ご本人のツイをじっくり読みたいのでRTばかりのアカは敬遠がち…ごめんなさい★安倍政権支持。改憲派。戦後レジーム脱却支持★海外で暗躍する反日工作員を監視中★日本の復活を海の向こうから応援★青山繁晴氏支持★</t>
  </si>
  <si>
    <t>帰ってきたとりあたま</t>
  </si>
  <si>
    <t>Kalim</t>
  </si>
  <si>
    <t>Good</t>
  </si>
  <si>
    <t>Uptick Capital</t>
  </si>
  <si>
    <t>Japan Election: Abe's Convincing Win https://t.co/3o77HcDkOW #StockMarketInsights</t>
  </si>
  <si>
    <t>Financial Services Company</t>
  </si>
  <si>
    <t>Alessandro Libri</t>
  </si>
  <si>
    <t>Japan election: Abe’s landslide is a victory for militant nationalism in the Trump era - Africa, Asia and Australia https://t.co/nW5xbiLCac</t>
  </si>
  <si>
    <t>Ashok</t>
  </si>
  <si>
    <t>Nation first!</t>
  </si>
  <si>
    <t>Soham Patel</t>
  </si>
  <si>
    <t>Daman, India</t>
  </si>
  <si>
    <t>Sarve Bhavantu Sukhinaha Good Vibes Only</t>
  </si>
  <si>
    <t>Paresh Joshi</t>
  </si>
  <si>
    <t>Co-Convener, #BJP Communication/Social Media Cell, Maharashtra. #हिंदवीस्वराज्य संस्थापक श्री #शिवछत्रपती चरणी तत्पर! Views Personal</t>
  </si>
  <si>
    <t>Daily Times</t>
  </si>
  <si>
    <t>#Japan PM Abe to push pacifist constitution reform after strong #election win https://t.co/d86Hr3FXSz</t>
  </si>
  <si>
    <t>The official feed of Daily Times, Pakistan's premier newspaper with top stories, special features &amp; more. @DTOpEd @LifeStyle_DT @DailyTimesSport @dailytbusiness</t>
  </si>
  <si>
    <t>Aman Rawani</t>
  </si>
  <si>
    <t>Ranchi Jharkhand</t>
  </si>
  <si>
    <t>だいちゃん</t>
  </si>
  <si>
    <t>血祭謙之介（NWD）@それ行け！カープ</t>
  </si>
  <si>
    <t>三重県</t>
  </si>
  <si>
    <t>名古屋のローカル・インディー団体、 『名古屋レスリングドリーム（NWD）』 に所属しております。 ついでにブログも、やっておりますf^_^;</t>
  </si>
  <si>
    <t>a nakamur</t>
  </si>
  <si>
    <t>北海道の片隅に居住するただの愛国者です。Twitterにまだまだ不馴れな所もあります！手探りでして、失礼がありましたらご指摘下さい。 こんな年で学生です。 歴史・法律が好きです。エロ等は失礼致します(￣∇￣*)ゞ</t>
  </si>
  <si>
    <t>Veena</t>
  </si>
  <si>
    <t>बैंगलुरु, भारत</t>
  </si>
  <si>
    <t>Nitesh Ranjan</t>
  </si>
  <si>
    <t>Patna, Bihar, India</t>
  </si>
  <si>
    <t>Professional Banker@India</t>
  </si>
  <si>
    <t>Eve</t>
  </si>
  <si>
    <t>UKIP fan; Avid Brexiteer; Anti Halal slaughter, FGM, and Sharia Law. I want my 'kind' country back. No lists.</t>
  </si>
  <si>
    <t>Rob Baker</t>
  </si>
  <si>
    <t>Japanese PM hails landslide victory in snap election https://t.co/ZxrKKme9Ko</t>
  </si>
  <si>
    <t>robbaker</t>
  </si>
  <si>
    <t>Dobbs Ferry, NY</t>
  </si>
  <si>
    <t>passionate about education and new technologies</t>
  </si>
  <si>
    <t>Polls open in Japan's snap general election https://t.co/tB0PDFiLo9</t>
  </si>
  <si>
    <t>Shubham Varshney</t>
  </si>
  <si>
    <t>Hindustani; A Patriot; Hindu; Engineer; Participator in #NewIndia movement started by PM</t>
  </si>
  <si>
    <t>2017 Lower House Election / Abe needs to humbly implement his policies - The Japan News https://t.co/OyhrP9zPCe</t>
  </si>
  <si>
    <t>isabella steger</t>
  </si>
  <si>
    <t>another election in Japan - vote for your favourite animal in @higashiyamapark in Nagoya. it's obviously Shabani th… https://t.co/S1RFd09TGG</t>
  </si>
  <si>
    <t>the 90s</t>
  </si>
  <si>
    <t>writing on Asia @qz, former @WSJ. bff w bantersaurus rex. the milk goes in last. "i cannot speak well enough to be unintelligible." is@qz.com 🇭🇰🇪🇺</t>
  </si>
  <si>
    <t>Dhaval Parmar</t>
  </si>
  <si>
    <t>Godhra, India</t>
  </si>
  <si>
    <t>Dhaval Parmar from Godhra,Gujarat,India. Study at THE NEW ERA HIGH SCHOOL GODHRA,(COMMERCE).</t>
  </si>
  <si>
    <t>Ravi Somani</t>
  </si>
  <si>
    <t>RAM RAM sa</t>
  </si>
  <si>
    <t>Lenora Walter</t>
  </si>
  <si>
    <t>RT @GboruM: Japan's Abe on track for landslide victory: Japanese Prime Minister Shinzo Abe appears on… https://t.co/N36OGTwXur https://t.co…</t>
  </si>
  <si>
    <t>The level of our success is limited only by our imagination and no act of kindness, however small, is ever wasted @AppzVenture</t>
  </si>
  <si>
    <t>Sunil💞Shraddha</t>
  </si>
  <si>
    <t>Dreamer, Lover And The Shraddha Kapoor Fan!! ❤️ Proud Owner Of @ShraddhaKFamily</t>
  </si>
  <si>
    <t>BonyRabbit</t>
  </si>
  <si>
    <t>RT @SMToolsGo: Shinzo Abe just got one step closer to realizing his mandate for Japan. Here’s what it looks like https://t.co/bemvqGISV6</t>
  </si>
  <si>
    <t>Ericssen</t>
  </si>
  <si>
    <t>Winning big : Japan’s ruling coalition retains a supermajority in snap election https://t.co/38Py4IXyM3 via @TheEconomist</t>
  </si>
  <si>
    <t>Political Writer, Journalist and Analyst | American Politics | Indonesian Politics | Electoral Politics | Views personal</t>
  </si>
  <si>
    <t>Satya Mitra</t>
  </si>
  <si>
    <t>An Advocate.</t>
  </si>
  <si>
    <t>john silva</t>
  </si>
  <si>
    <t>What's Affecting my Wallet? Japan’s Abe Has Pulled Off a Landslide—But He’s Not as Popular as You Might Think https://t.co/EFOdEIwfgy</t>
  </si>
  <si>
    <t>Giving Up Hope: How Yuriko Koike Lost Japan's Snap Election https://t.co/NgU5rgRaLa via @ForeignAffairs #Japanelection</t>
  </si>
  <si>
    <t>Mohit Singh</t>
  </si>
  <si>
    <t>"Proud to be an Indian" Let me make the better World. Join me on #Instagram - mohitsingh_107 |News Junkie|Politics|Foreign Affairs |Observer &amp; Analyst/ Tweets</t>
  </si>
  <si>
    <t>Japan’s Abe Has Pulled Off a Landslide—But He’s Not as Popular as You Might Think https://t.co/8nwa9xlQgJ</t>
  </si>
  <si>
    <t>Pavan Namdev</t>
  </si>
  <si>
    <t>novella calligaris</t>
  </si>
  <si>
    <t>RT @AroundTheRings: Shinzo Abe is the big winner in the #Japan legislative election, at the expense of #Tokyo governor Koike: https://t.co/…</t>
  </si>
  <si>
    <t>italia</t>
  </si>
  <si>
    <t>I come from sport,some medals and records at OG and SWC.Today journalist and marketing manager.Follow all sport,sport politics,art, cooking</t>
  </si>
  <si>
    <t>うちら@東京都多摩付近</t>
  </si>
  <si>
    <t>東京のど田舎</t>
  </si>
  <si>
    <t>東京の隅っこに住んでいるのんびりプログラマ。文鳥(かわいい)と戦国バサラ(ネタ的な意味で）とテニスの王子様(もちろんネタ的な意味で）が、そして女の子の萌え話を聞くのが好きです。ちょこちょこ与太話をしていますが、よろしくお願いいたします。</t>
  </si>
  <si>
    <t>Dilip Ku. Mohapatra</t>
  </si>
  <si>
    <t>Bhubaneswar odisha</t>
  </si>
  <si>
    <t>Bloomberg Markets</t>
  </si>
  <si>
    <t>Japan's prime minister isn't as popular as you might think https://t.co/Nlgy3mgqZb https://t.co/7AAnc168Gs</t>
  </si>
  <si>
    <t>Breaking news and analysis on global financial markets</t>
  </si>
  <si>
    <t>Cibeles Capital</t>
  </si>
  <si>
    <t>RT markets "Japan's prime minister isn't as popular as you might think https://t.co/pkVXGA0n75 https://t.co/aDFYIDMeM8"</t>
  </si>
  <si>
    <t>Cibeles Capital is a financial consulting firm based in Mexico. We specialize in developing and implementing bespoke financial solutions for our clients</t>
  </si>
  <si>
    <t>Cryptovaleur</t>
  </si>
  <si>
    <t>RT @FxccForex: USD/JPY reached a three month high, as yen initially loses safe haven appeal due to Abe re-election https://t.co/1IiUpoiQ2M</t>
  </si>
  <si>
    <t>Digital Marketer I am advising my customer specifically on trading solutions #Bitecoin #FOREX #LITECOIN #wallstreet #bourse - #f4f #followback #1ddrive</t>
  </si>
  <si>
    <t>Mario Cavaggioni</t>
  </si>
  <si>
    <t>Japan's prime minister isn't as popular as you might think https://t.co/9qhTsJVNGr</t>
  </si>
  <si>
    <t>PM in HY market. Football and wine fanatic. RT not endorsement</t>
  </si>
  <si>
    <t>Our Japan post-election analysis. Great collab again w/ our teammates in Asia &amp; Europe https://t.co/gHhnlrorXw Thx especially @hannahdormido</t>
  </si>
  <si>
    <t>ナポレオン・ソロ</t>
  </si>
  <si>
    <t>九州</t>
  </si>
  <si>
    <t>ジューシィ・フルーツ・ハーフ、そして奥野敦子様（イリア様）が、大好きです。</t>
  </si>
  <si>
    <t>Japan's prime minister isn't as popular as you might think https://t.co/xAHJMO4ZzR https://t.co/gNys2ERA8E</t>
  </si>
  <si>
    <t>PIPSFINDER.COM</t>
  </si>
  <si>
    <t>#PipCoinCash Boom: Japan's prime minister isn't as popular as you might think https://t.co/1C9iaJIK5V… https://t.co/B7j18pUE8S</t>
  </si>
  <si>
    <t>WORDLWIDE</t>
  </si>
  <si>
    <t>Making PIPS Made EASY Follow us on IG @PipCoinCash</t>
  </si>
  <si>
    <t>Gabe</t>
  </si>
  <si>
    <t>Japan election pushes Nikkei 225 to record 15th consecutive gain- Nikkei Asian Review https://t.co/jtnCxo4fQ6</t>
  </si>
  <si>
    <t>Whatever...</t>
  </si>
  <si>
    <t>News, History, Politics, Sports, Technology, Health from around the world. Anti Islamist, anti regressive left &amp; anti far right. Centrist. No pc bunk.</t>
  </si>
  <si>
    <t>Anthony Barton</t>
  </si>
  <si>
    <t>US Markets Desk @RANsquawk, @MarketWatch Twitter accounts investors need to follow in 2017 list https://t.co/GZ9mknQOjA</t>
  </si>
  <si>
    <t>RAKESH KUMAR ROUT</t>
  </si>
  <si>
    <t>Vostie</t>
  </si>
  <si>
    <t>RT @markets: Japan's prime minister isn't as popular as you might think https://t.co/Nlgy3mgqZb https://t.co/7AAnc168Gs</t>
  </si>
  <si>
    <t>An Entrepreneur,Brand and Market strategist |Media Consultant|Skruise Motors Founder .If it doesn't Challenge ,Its not worth my time</t>
  </si>
  <si>
    <t>BenjaminRobertson李博岳</t>
  </si>
  <si>
    <t>RT @cedricsam: Our Japan post-election analysis. Great collab again w/ our teammates in Asia &amp; Europe https://t.co/gHhnlrorXw Thx especiall…</t>
  </si>
  <si>
    <t>Interested in regulation, trading, exchanges. Opinions expressed are my own</t>
  </si>
  <si>
    <t>RT @seemacnbc: Ahead of Japan's snap election this weekend, the Nikkei has posted 14 straight advances - longest winning streak since 1960.</t>
  </si>
  <si>
    <t>New post (Japan Abe's election win to boost his hand on pro-growth policies: ...) has been published on Tr ... - -… https://t.co/UNxOu8f6uT</t>
  </si>
  <si>
    <t>Forex Signal Fire</t>
  </si>
  <si>
    <t>Futures Trader | Full time Idler | Mildly Sane Forex Guardian</t>
  </si>
  <si>
    <t>"Japan Abe's Election Win to Boost His Hand on Pro-Growth Policies-Fitch" by REUTERS via NYT https://t.co/PdoXS5jZxj</t>
  </si>
  <si>
    <t>Newsofthehour</t>
  </si>
  <si>
    <t>Japan Abe’s election win to boost his hand on pro-growth policies: Fitch https://t.co/xs3lLOWVcW</t>
  </si>
  <si>
    <t>twitternewsofthehour</t>
  </si>
  <si>
    <t>Nottingham, England</t>
  </si>
  <si>
    <t>Latest news as its coming. News from World's best sources.</t>
  </si>
  <si>
    <t>Daily_stir #FreeMilo</t>
  </si>
  <si>
    <t>STOP WATCHING THE MSM! We provide a news feed w/out liberal bias/MSM hoaxing. We sort thru the crap for you. Check out our podcast: https://t.co/MgFHxBppM2 #MAGA</t>
  </si>
  <si>
    <t>MrityunjayTripathi</t>
  </si>
  <si>
    <t>Varanasi भारत at Ahmadabad Guj</t>
  </si>
  <si>
    <t>Followed @PiyushGoyalOffc @TajinderBagga @iPankajShukla @majorpoonia #GOLD Trainer of Microsoft &amp; CISCO product #NaMo #RSS #TFZ #1DDRIVE #GujaratElections2017</t>
  </si>
  <si>
    <t>The Revengerists🌹🌽</t>
  </si>
  <si>
    <t>Vinz Clortho</t>
  </si>
  <si>
    <t>Revengerist Compound</t>
  </si>
  <si>
    <t>We are a consortium of fighters of crime &amp; evil; globetrotting super-powered adventurers, benevolent protectors of all things awesome https://t.co/fIFj1mcFTs</t>
  </si>
  <si>
    <t>Constant Investor</t>
  </si>
  <si>
    <t>Why Australian companies are obsessed with paying dividends, Japan's election and the usual commentary overviews. https://t.co/hH1btE4kcA</t>
  </si>
  <si>
    <t>Twitter Ads Composer</t>
  </si>
  <si>
    <t>The Constant Investor, the innovative new home of Alan Kohler’s investment analysis and economic commentary.</t>
  </si>
  <si>
    <t>Héctor Sánchez C.</t>
  </si>
  <si>
    <t>Japanese Prime Minister set to rewrite country’s constitution. https://t.co/dBtzl0r8gs</t>
  </si>
  <si>
    <t>Isla Vista, CA</t>
  </si>
  <si>
    <t>Associate News Director @KCSB. Bylines in @SBIndpndnt, @tblucsb, @dailynexus. Opinions are unaffiliated &amp; retweets ≠ endorsements.</t>
  </si>
  <si>
    <t>Caleb Cherry🙋</t>
  </si>
  <si>
    <t>Born not to suffer but to serve the nation//blogger//Global media Email;cherucalee@gmail.com IG; calee cherry</t>
  </si>
  <si>
    <t>online biz</t>
  </si>
  <si>
    <t>Japan's prime minister isn't as popular as you might think https://t.co/D7IuUf2S0u https://t.co/BS5C8x7vFB</t>
  </si>
  <si>
    <t>Stuff that interests me.. Crypto activist, social media enthusiast.</t>
  </si>
  <si>
    <t>Global Times</t>
  </si>
  <si>
    <t>Japan’s Abe aims at North Korea after election win https://t.co/h36hBubhAw https://t.co/k9U5nXjSUR</t>
  </si>
  <si>
    <t>Bejing, China</t>
  </si>
  <si>
    <t>China's national English language newspaper, under the People's Daily. Apps: https://t.co/pKmPtcE99D</t>
  </si>
  <si>
    <t>"Japan Abe's Election Win to Boost His Hand on Pro-Growth Policies-Fitch" by REUTERS via NYT https://t.co/q3tK4eOyrd</t>
  </si>
  <si>
    <t>Inam</t>
  </si>
  <si>
    <t>Itanagar, India</t>
  </si>
  <si>
    <t>Random journalist•Retired gardener•Tweets are personal do not reflect views of @Beyonce</t>
  </si>
  <si>
    <t>🎪गुरु कृपा N.Tailor</t>
  </si>
  <si>
    <t>🎪🎪मांता पिता गुरु चरणो में मेरा श्त् श्त् नमन 🎪🎪 🎪🎪🎪🎪ऊँ ऊँ ऊँ ऊँ ऊँ 🎪🎪🎪🎪 🎪गुरु कृपा🎪</t>
  </si>
  <si>
    <t>Финансист</t>
  </si>
  <si>
    <t>Japan’s Abe Has Pulled Off a Landslide—But He’s Not as Popular as You Might Think https://t.co/nw7GdOwVwt</t>
  </si>
  <si>
    <t>SmmBox</t>
  </si>
  <si>
    <t>All money is matter of belief (c) Adam Smith #lifestyle #finance #economics #markets #trading #forex #cryptocurrency #ICO #technologies #news</t>
  </si>
  <si>
    <t>#RE_EVALUATION</t>
  </si>
  <si>
    <t>WHEN A BRAVE MAN TAKES A STAND, THE SPINES OF OTHERS ARE OFTEN STIFFENED| ONCE EDUCATED I'LL FEEL EMPOWERED &amp; ELEVATED| #BBIT</t>
  </si>
  <si>
    <t>PRAFUL CHAVDA</t>
  </si>
  <si>
    <t>Man on mission- to live the best life possible come what may.</t>
  </si>
  <si>
    <t>nah</t>
  </si>
  <si>
    <t>Strong, independent, elevated woman and loving mother. I am fighting for a more evolved and loving planet. We are One!! #Resistance #ImpeachTrumpNow</t>
  </si>
  <si>
    <t>"Japan Abe's Election Win to Boost His Hand on Pro-Growth Policies-Fitch" by REUTERS via NYT https://t.co/ysVWXd1B6e</t>
  </si>
  <si>
    <t>Scott McLean</t>
  </si>
  <si>
    <t>Most bizarre, hyperbolic &amp; uninformed foreign media take on the Japan election yet. Oh my... &gt; https://t.co/b51DFKurCq</t>
  </si>
  <si>
    <t>P.O.J. - West coast Canadian guy currently being held in the far north of Nakano ward in Tokyo. Tweet on Japan, economics, sports, music and everything else</t>
  </si>
  <si>
    <t>"Japan Abe's Election Win to Boost His Hand on Pro-Growth Policies-Fitch" by REUTERS via NYT https://t.co/nPXogfUskS</t>
  </si>
  <si>
    <t>Yash K</t>
  </si>
  <si>
    <t>RT @globaltimesnews: Japan’s Abe aims at North Korea after election win https://t.co/h36hBubhAw https://t.co/k9U5nXjSUR</t>
  </si>
  <si>
    <t>News24</t>
  </si>
  <si>
    <t>Fresh off a massive election victory, Japan PM's focus now on N. Korea's mi #japan #shinzoabe #japanelections… https://t.co/7bIjjAEvnX</t>
  </si>
  <si>
    <t>News24online</t>
  </si>
  <si>
    <t>This is the official twitter handle of News24. Personal views are not endorsed by the channel.</t>
  </si>
  <si>
    <t>Hannah Dormido</t>
  </si>
  <si>
    <t>Data visual journalist at Bloomberg in #HongKong (@BBGVisualData) Full-time journo, part-time mermaid. #QGIS sorceress in training. Views are my own.</t>
  </si>
  <si>
    <t>#News JAPAN ELECTIONS - North Korea accuses Japan PM of preparing to invade Korea after re-election https://t.co/BbkolhX4HT</t>
  </si>
  <si>
    <t>N_BreakingNEWS01</t>
  </si>
  <si>
    <t>NYC, U.S.</t>
  </si>
  <si>
    <t>Breaking news</t>
  </si>
  <si>
    <t>David Ellis</t>
  </si>
  <si>
    <t>Anil Ahuja</t>
  </si>
  <si>
    <t>self employed and self motivator 💯% follow back</t>
  </si>
  <si>
    <t>ForexUp Signals</t>
  </si>
  <si>
    <t>Japan Abe's election win to boost his hand on pro-growth policies: Fitch https://t.co/L5tg92gRJE</t>
  </si>
  <si>
    <t>J B TUBID</t>
  </si>
  <si>
    <t>Chaibasa (Jharkhand)</t>
  </si>
  <si>
    <t>Former IAS. Served as Home Secretary, Cabinet Secretary etc. TAC member. Spokesman, BJP, Jharkhand.. Working for the complete growth of Jharkhand.</t>
  </si>
  <si>
    <t>Mason Ireton</t>
  </si>
  <si>
    <t>Japan Election: Abe's Convincing Win //channels.feeddigest.com/news?id=6211809784</t>
  </si>
  <si>
    <t>himanshu tambe</t>
  </si>
  <si>
    <t>Japan Abe's election win to boost his hand on pro-growth policies: Fitch https://t.co/q2GG1LxRIW INVESTINGcom</t>
  </si>
  <si>
    <t>Naoto Sai</t>
  </si>
  <si>
    <t>Japan's election results show women making little progress despite Abe's landslide victory | The Japan Times https://t.co/PrAwwbb6LL</t>
  </si>
  <si>
    <t>Munich, Bavaria</t>
  </si>
  <si>
    <t>Junior Consultant Japan at ストーリーメーカー (@storymaker). 新潟大学院(専攻は工学・MEMS)卒業後, ドイツ・ミュンヘンに移住. 日常のつぶやきに加え, 学生や子どもたちに向けて情報や思いを伝えていけたらなと考えています. 現在26歳. フォローお待ちしています.</t>
  </si>
  <si>
    <t>cristina lombardi</t>
  </si>
  <si>
    <t>Firenze</t>
  </si>
  <si>
    <t>Sur le plus beau trône du monde, on n’est jamais assis que sur son cul. (M. de Montaigne) RT or link or ❤️ not endorsement.</t>
  </si>
  <si>
    <t>"Japan Abe's Election Win to Boost His Hand on Pro-Growth Policies-Fitch" by REUTERS via NYT … https://t.co/pZNQLAUxvh</t>
  </si>
  <si>
    <t>आशीष कुमार अग्रवाल</t>
  </si>
  <si>
    <t>रामपुर (भारत)</t>
  </si>
  <si>
    <t>भरोसा सुराज्य का, #रामराज्य का Start-upIndia Stand-up India [Only Political, Nothing Personal]</t>
  </si>
  <si>
    <t>Dharmendra Bihari</t>
  </si>
  <si>
    <t>Gentleman of Leisure</t>
  </si>
  <si>
    <t>Tejasvi Rana</t>
  </si>
  <si>
    <t>I'm what I'm.</t>
  </si>
  <si>
    <t>ashish sethi</t>
  </si>
  <si>
    <t>Japan Abe's election win to boost his hand on pro-growth policies: Fitch https://t.co/V0zGQQsO3g</t>
  </si>
  <si>
    <t>Fitch: Japan Election Result to Bolster Policy Implementation https://t.co/B1MEVTF0gx https://t.co/VMeDuCrFtr</t>
  </si>
  <si>
    <t>Krishna rai</t>
  </si>
  <si>
    <t>Krishna Rai भाजपा,वाराणसी((काशी क्षेत्र))प्रदेश कार्यकारिणीं सदस्य राष्ट्रिय त्यागी भूमिहार ब्राम्हण संगठन !!!भारत माता की सदैव जय!!!नमो को नमस्कार है</t>
  </si>
  <si>
    <t>N. Kobayashi</t>
  </si>
  <si>
    <t>Lost In Tokyo</t>
  </si>
  <si>
    <t>情報収集用アカウント。思いつきでツイートする場合もあり。</t>
  </si>
  <si>
    <t>Bastien Jack</t>
  </si>
  <si>
    <t>Is it time to buy Japanese #stock? https://t.co/PwN6b7xq30</t>
  </si>
  <si>
    <t>Bastien Jack - Specialist UK Property Developers. Offering development &amp; property investment opportunities.</t>
  </si>
  <si>
    <t>Vasudev Devnani</t>
  </si>
  <si>
    <t>Ajmer , Rajasthan</t>
  </si>
  <si>
    <t>Official Account - Minister for Education (Primary &amp; Secondary Education Independent Charge) - Goverment of Rajasthan,MLA from Ajmer North, Bhartiya Janta Party</t>
  </si>
  <si>
    <t>Sagar P Shende</t>
  </si>
  <si>
    <t>Saoli,dist chandrapur India</t>
  </si>
  <si>
    <t>The Bharatiya Janata Party तन, मन और पुरी मेहनत लगा देंगे 24*7 भारत और भाजपा के लिए ।</t>
  </si>
  <si>
    <t>★◆|Kibz</t>
  </si>
  <si>
    <t>#JeSuisKenya</t>
  </si>
  <si>
    <t>Japan Abe's Election Win to Boost His Hand on Pro-Growth Policies: Fitch: TOKYO (Reuters… https://t.co/NQR5f447YV</t>
  </si>
  <si>
    <t>Steven Shayman</t>
  </si>
  <si>
    <t>Japan's Abe to push pacifist constitution reform after strong election win https://t.co/ZtsMao6sVE</t>
  </si>
  <si>
    <t>あちこち</t>
  </si>
  <si>
    <t>Journalist w/long-term Japan/Korea/China focus. CubsNatsO'sHNL, tuneage. Be righteous &amp; excellent. Tweets stuff of interest; tweets/RT/MT/follows≠endorsement.</t>
  </si>
  <si>
    <t>News JS Kenya</t>
  </si>
  <si>
    <t>Japan Abe's election win to boost his hand on pro-growth policies: Fitch - Reuters https://t.co/fmnDMNaO0G #News https://t.co/ls0F7d3wOX</t>
  </si>
  <si>
    <t>Kenya edition</t>
  </si>
  <si>
    <t>Argha Sarkar</t>
  </si>
  <si>
    <t>software programmer....</t>
  </si>
  <si>
    <t>Japan Abe's election win to boost his hand on pro-growth policies: Fitch https://t.co/B7XyBIxHjY</t>
  </si>
  <si>
    <t>Jacques</t>
  </si>
  <si>
    <t>Kilyungi</t>
  </si>
  <si>
    <t>Ever smiling guy ,I value numbers ,Love Manchester United ,Love music and like Tennis,Kondoo Economist.</t>
  </si>
  <si>
    <t>prajnaanam brahman</t>
  </si>
  <si>
    <t>Japan Abe's election win to boost his hand on pro-growth policies: Fitch https://t.co/NeZ4p39GiC</t>
  </si>
  <si>
    <t>TYPHOON NEWS: Typhoon Lan: Japan braces itself for monster storm as Okinawa forced to rush election - The Independ… https://t.co/SaRFl1nV9F</t>
  </si>
  <si>
    <t>Japan Abe's election win to boost his hand on pro-growth policies: Fitch https://t.co/eCqahhxJO4</t>
  </si>
  <si>
    <t>Japan Abe’s election win to boost his hand on pro-growth policies: Fitch https://t.co/A5JfHSTfME https://t.co/9bLSNGcdAH</t>
  </si>
  <si>
    <t>content connoisseur</t>
  </si>
  <si>
    <t xml:space="preserve">#orcbrand #HBD </t>
  </si>
  <si>
    <t>content farmer</t>
  </si>
  <si>
    <t>Japan Abe’s election win to boost his hand on pro-growth policies: Fitch https://t.co/DU8BvVdR4S https://t.co/qVV0Krtogp</t>
  </si>
  <si>
    <t>Japan Abe’s election win to boost his hand on pro-growth policies: Fitch https://t.co/phjQU8ThYB https://t.co/D6x6g0ZRoX</t>
  </si>
  <si>
    <t>प्रदीपकुमार तिवारी</t>
  </si>
  <si>
    <t>महाराष्ट्र, भारत.</t>
  </si>
  <si>
    <t>एक सच्चा #हिंदुस्थानी... काश मेरे देश का हर नागरिक सच्चा हिंदुस्थानी बन जाये.!! सिलेक्टिव फॉलो बेक..</t>
  </si>
  <si>
    <t>Japan Abe's election win to boost his hand on pro-growth policies: Fitch https://t.co/H2k9Mn2YEd</t>
  </si>
  <si>
    <t>siddhartha</t>
  </si>
  <si>
    <t>Student of RKM and associated with RKM Belur Math. Every achievement and failure in my life is blessed by Maa Durga .I never take credit or abuse.</t>
  </si>
  <si>
    <t>Andy Sharp</t>
  </si>
  <si>
    <t>A wee graphical story Japan’s prime minister isn't as popular as you might think https://t.co/C7tRIJUnOy via… https://t.co/QP8JaphUUo</t>
  </si>
  <si>
    <t>Political editor for Japan/Koreas at Bloomberg. My views are generally stolen from people smarter than me. asharp5@bloomberg.net 力愛不二</t>
  </si>
  <si>
    <t>Jay bholi</t>
  </si>
  <si>
    <t>गोपीगंज संत रविदास नगर भदही, भ</t>
  </si>
  <si>
    <t>दिवांगRss</t>
  </si>
  <si>
    <t>Pratik Karpe</t>
  </si>
  <si>
    <t>Chartered Accountant, Member -BJP Maharashtra Social Media Cell.Lord Krishna follower by heart. Views are strictly personal.</t>
  </si>
  <si>
    <t>Pride Motors</t>
  </si>
  <si>
    <t>RT @hamsoon: Typhoon leaves two dead after lashing Japan on election day - Daily Mirror - Sri Lanka Latest Breaking News and https://t.co/…</t>
  </si>
  <si>
    <t>Pride Motors Matale Sri Lanka</t>
  </si>
  <si>
    <t>Taku Tamaki</t>
  </si>
  <si>
    <t>RT @sharp_writing: A wee graphical story Japan’s prime minister isn't as popular as you might think https://t.co/C7tRIJUnOy via @bbgvisual…</t>
  </si>
  <si>
    <t>Leicester, England</t>
  </si>
  <si>
    <t>Political Scientist at Loughborough Univ., specializing in International Relations of East Asia &amp; Japanese foreign policy. And soft spot for railways.</t>
  </si>
  <si>
    <t>Spooky Vape Cloud ☁️</t>
  </si>
  <si>
    <t>Dorchester, New Hampshire</t>
  </si>
  <si>
    <t>The oldest, less popular Veasey Bro. At least 10% of my daily tweets are about my bowel movements.</t>
  </si>
  <si>
    <t>Musicphile</t>
  </si>
  <si>
    <t>Twiterous</t>
  </si>
  <si>
    <t>Nairobi | Kenya</t>
  </si>
  <si>
    <t>Born Twice | Kingdom Rap | Melancholic #MiaSanArsenal</t>
  </si>
  <si>
    <t>佐藤克巳</t>
  </si>
  <si>
    <t>Morvjn</t>
  </si>
  <si>
    <t>-.-</t>
  </si>
  <si>
    <t>Janvi 🎪🚩🕉️</t>
  </si>
  <si>
    <t>Act like Summer🌤️walk like rain🌧️🌈 “Took a while to Feng Shui the evil out.” Nation First | Respect Soldiers💪 | @narendramodi NamoFan🙏 🇮🇳वन्देमातरम्🇮🇳</t>
  </si>
  <si>
    <t>James Hardy</t>
  </si>
  <si>
    <t>Interested observer of Japan and East Asian geo-political &amp; security news, analysis and goings-on. Own views, RT≠endorsement etc etc</t>
  </si>
  <si>
    <t>NP #Crack</t>
  </si>
  <si>
    <t xml:space="preserve"> ADI/BPL/PNBE</t>
  </si>
  <si>
    <t>Geek, Very big fan of @AuthorDanBrown @authoramish @ashwinsanghi @greenday @linkinpark, devotee of @akshaykumar &amp; @msdhoni</t>
  </si>
  <si>
    <t>Financial Express</t>
  </si>
  <si>
    <t>#Japan #ShinzoAbe's election win to boost his hand on pro-growth policies: Fitch Ratings https://t.co/WaIVQ0mfiV https://t.co/J3UT7iExEc</t>
  </si>
  <si>
    <t>The Financial Express - A complete up-to-date source for business news, finance news, stock market news, economy and financial news online.</t>
  </si>
  <si>
    <t>M N Arjun</t>
  </si>
  <si>
    <t>@sinzo_abe_0 Congragulations on winning the general election of japan</t>
  </si>
  <si>
    <t>malleshwaram</t>
  </si>
  <si>
    <t>Swapnajeet Das</t>
  </si>
  <si>
    <t>The official twitter account of Swapnajeet Das..#Biggest fan of Modi ji.....</t>
  </si>
  <si>
    <t>Bestinvest</t>
  </si>
  <si>
    <t>After Abe’s victory in Japan’s general election, @jasonhollands discusses the investment outlook at @whatinvestment https://t.co/5E69h1SY50</t>
  </si>
  <si>
    <t>A leading online investment service for investors who make their own decisions on funds, shares, investment trusts &amp; ETFs. We offer a SIPP, ISA &amp; JISA</t>
  </si>
  <si>
    <t>Dedov Alexander</t>
  </si>
  <si>
    <t>&gt;&amp;gt;:##Japan’s &amp;gt;&amp;gt;:##Abe Has &amp;gt;&amp;gt;:##Pulled &amp;gt;&amp;gt;:##Off a &amp;gt;&amp;gt;:##Landslide—But He’s Not as &amp;gt;&amp;gt;:##Popular as You Might Think https://t.co/0Izm5rt6YU</t>
  </si>
  <si>
    <t>Moscow-City</t>
  </si>
  <si>
    <t>PR, CEO, True News, Political, Writer, Content, Music, ☀️</t>
  </si>
  <si>
    <t>SG⏺️</t>
  </si>
  <si>
    <t>Earth | Milky Way</t>
  </si>
  <si>
    <t>Country First | followng Honourable PM Modi Ji &amp; BJP president Amit Shah ji🙏| Jai Hind |Activist| incidentally IT Guy| Photoshopper</t>
  </si>
  <si>
    <t>Navin Joshi</t>
  </si>
  <si>
    <t>Naples, Italy</t>
  </si>
  <si>
    <t>#BeVegetarianBeBeautiful, Atheist, Pacifist, Agnostic, Spiritual Sanatani, Culturally Hindu, Artist, Writer, photographer, Banker, Retweets not endorsements</t>
  </si>
  <si>
    <t>Jason Hollands</t>
  </si>
  <si>
    <t>RT @bestinvest: After Abe’s victory in Japan’s general election, @jasonhollands discusses the investment outlook at @whatinvestment https:…</t>
  </si>
  <si>
    <t>London and Kent</t>
  </si>
  <si>
    <t>MD of wealth manager Tilney &amp; Oxford history graduate. All tweets in personal capacity, not advice. Interests: Investment, Markets, Freedom, Travel</t>
  </si>
  <si>
    <t>Luis Palma Cane</t>
  </si>
  <si>
    <t>Abe Placed to Lead Japan Through 2021 After Big Election Win - Bloomberg https://t.co/VmnMCG6VwW</t>
  </si>
  <si>
    <t>hari mohan Joshi</t>
  </si>
  <si>
    <t>Poetry...</t>
  </si>
  <si>
    <t>Amol Jagdale</t>
  </si>
  <si>
    <t>Japan election: Abe’s landslide is a victory for militant nationalism in the Trump era - https://t.co/k3WZdEcTtR https://t.co/kNJIUhdDn3</t>
  </si>
  <si>
    <t>महत्वपूर्ण ये है कि मैं महत्वपूर्ण हुँ स्वयं में...किसी का दिया हुआ महत्व ,मुझे तुच्छ या उच्च परिभाषित नहीं कर सकता। Nation First | A Proud HINDUSTANI | NAMO 🙏</t>
  </si>
  <si>
    <t>Japan’s Abe Has Pulled Off a Landslide—But He’s Not as Popular as You Might Think https://t.co/5fq0b9rYpK</t>
  </si>
  <si>
    <t>Asia equities broadly higher as Japan election boost lingers https://t.co/QvgZdBSuBX</t>
  </si>
  <si>
    <t>sureh🇰🇪</t>
  </si>
  <si>
    <t>a man has no bio</t>
  </si>
  <si>
    <t>Vipin Maurya</t>
  </si>
  <si>
    <t>UKVoter</t>
  </si>
  <si>
    <t>#Election2015 Japan Abe's election win to boost his hand on pro-growth policies - Fitch https://t.co/I7PqdvQf1R</t>
  </si>
  <si>
    <t>Web activity of the UK 2015 General Election. Just to show them all later how they duped us! Beware! Most Tweets are automatic &amp; not necessarily my own opinion.</t>
  </si>
  <si>
    <t>Jack Davies</t>
  </si>
  <si>
    <t>Japan Election Vindicates Shinzo Abe as His Party Wins Big https://t.co/z9KTJcZyeS</t>
  </si>
  <si>
    <t>Brampton, Ontario</t>
  </si>
  <si>
    <t>Retired police officer.</t>
  </si>
  <si>
    <t>えるる</t>
  </si>
  <si>
    <t>誤字脱字多め。国会実況。 とにかく不平不満を。 自分に対してだったり家族に対してだったり世の中に対してだったり。</t>
  </si>
  <si>
    <t>Malhar Pathak</t>
  </si>
  <si>
    <t>Foodie, lazy, capitalist and aspiring freelancer. RTs are not endorsements.</t>
  </si>
  <si>
    <t>Japan Abe's election win to boost his hand on pro-growth policies: Fitch https://t.co/7lRZSTws0O</t>
  </si>
  <si>
    <t>mimi</t>
  </si>
  <si>
    <t>Ketan Patel, CFA</t>
  </si>
  <si>
    <t>Fund Manager at EdenTree Investment Management - award winning Responsible Investment Manager. All views expressed are my own.</t>
  </si>
  <si>
    <t>Japan PM Shinzo Abe pledges pressure on North Korea after big election win https://t.co/7qsIxnClYi via @GabbyOgbechie1TPGazette</t>
  </si>
  <si>
    <t>🗽Jeffrey Levin 🗽</t>
  </si>
  <si>
    <t>Japan's Abe Has Pulled Off a Landslide—But He's Not as Popular as You Might Think https://t.co/bsj5Kka8vo</t>
  </si>
  <si>
    <t>Marketing Programs Manager, social media, human rights, politics and news junkie, equality. #RESIST #DemForce</t>
  </si>
  <si>
    <t>Edano's CDPJ Wins over Unaffiliated Voters in Japan General Election (News) https://t.co/gGfrov507s</t>
  </si>
  <si>
    <t>Bhautik Bodara</t>
  </si>
  <si>
    <t>James Mayger</t>
  </si>
  <si>
    <t>Japan’s prime minister isn't as popular as you might think https://t.co/ZgHQY7vo2z via @bbgvisualdata https://t.co/WSnngD4Kwy</t>
  </si>
  <si>
    <t>Economy Editor at Bloomberg News in Tokyo. All opinions are my own.</t>
  </si>
  <si>
    <t>swaraj shetty</t>
  </si>
  <si>
    <t>#IAmNewIndia | Inspired by @narendramodi | Followed by @piyushgoyaloffc | Tweets are personal RTs ≠ Endorsement</t>
  </si>
  <si>
    <t>53@</t>
  </si>
  <si>
    <t>Japan PM's focus now on N Korea's military threat and ageing population crisis in country #shinzoabe… https://t.co/oCg8VG3MOU</t>
  </si>
  <si>
    <t>ÓDúláinne ...〽</t>
  </si>
  <si>
    <t>Japan A girl casts her father’s ballot at a polling station during a national election Photograph: Kim Kyung-Hoon https://t.co/ZN3vl7p1p3</t>
  </si>
  <si>
    <t>Ireland</t>
  </si>
  <si>
    <t>Man for all Seasons - sharing views on - Tunes, travel, tourism, trivia, tidbits, technology, trends, theatre, theories, tools, tipples &amp; the Table....</t>
  </si>
  <si>
    <t>Anju Bhatia</t>
  </si>
  <si>
    <t>devotee of HH Sri Sri Ravi Shankar, entrepreneur; hindi music enthusiast; patriotic about Tolerant and Incredible India!</t>
  </si>
  <si>
    <t>Johnny Rober Vilorio</t>
  </si>
  <si>
    <t>Man of Peace ~ Analyzing the life of the international social policy + By conviction I defend the politics of peace of the former U. S. President Barack Obama</t>
  </si>
  <si>
    <t>Unni Krishnan</t>
  </si>
  <si>
    <t>Japan’s prime minister isn't as popular as you might think https://t.co/RjS7U65Ak4 via @bbgvisualdata</t>
  </si>
  <si>
    <t>Delhi Bureau Chief, Bloomberg News. Views are my own. RTs not endorsements.</t>
  </si>
  <si>
    <t>Jessie Legaspi</t>
  </si>
  <si>
    <t>The unapologetic Man</t>
  </si>
  <si>
    <t>struggling for some inner peace</t>
  </si>
  <si>
    <t>hiro miura</t>
  </si>
  <si>
    <t>フリーランス・エディター＆ライター。1994年フリーランスとなり、現在に至る。編集脳。取材的生活者。 blog「本と映画とMusic」 https://t.co/v7kbK5t1u8</t>
  </si>
  <si>
    <t>Will Abe change Japan's pacifist constitution?: After election win for his party and coalition partner, the PM sign… https://t.co/A8f8aYCXkF</t>
  </si>
  <si>
    <t>Sports Cricketers and Commentators Music Hindi Music Government and Politics</t>
  </si>
  <si>
    <t>Subham  Sharma</t>
  </si>
  <si>
    <t>Kharagpur, India</t>
  </si>
  <si>
    <t>Nation first ....😎</t>
  </si>
  <si>
    <t>Amiya Rn. Dujarsingh</t>
  </si>
  <si>
    <t>My tweets are signed like this:/....B</t>
  </si>
  <si>
    <t>Caren</t>
  </si>
  <si>
    <t>RT @jilevin: Japan's Abe Has Pulled Off a Landslide—But He's Not as Popular as You Might Think https://t.co/bsj5Kka8vo</t>
  </si>
  <si>
    <t>My views .... and some of its not really my views but just interesting stuff ... or pretty pictures ... or funnies :) enjoy ...</t>
  </si>
  <si>
    <t>Shikinami / 式波</t>
  </si>
  <si>
    <t>Graduate student based in Tokyo. Japanese Pop Culture enthusiast. Occasional RTs on China, Japan and Korea. I stand for Human Rights. RTs ≠ endorsements</t>
  </si>
  <si>
    <t>park</t>
  </si>
  <si>
    <t>RT @AntBarton89: Fitch: Japan Election Result to Bolster Policy Implementation https://t.co/B1MEVTF0gx https://t.co/VMeDuCrFtr</t>
  </si>
  <si>
    <t>Libor Smolik 🎃</t>
  </si>
  <si>
    <t>Typhoon #Lan makes landfall in #Shizuoka Prefecture of #Japan, causing at least 2 deaths and 10 injuries. Stay safe! https://t.co/cBUuZNQkOC</t>
  </si>
  <si>
    <t>Europe, mostly.</t>
  </si>
  <si>
    <t>I'm moody, conservative and if I've got something to say I'll say it. Rants &amp; raves among the other interests. For all my aviation stuff follow me on @AirSmolik</t>
  </si>
  <si>
    <t>Asia Pacific</t>
  </si>
  <si>
    <t>Imagineering Futurist - It is my job to change the way we live, work &amp; play... That is My Passion. Manned Exploration of Space is My Other.</t>
  </si>
  <si>
    <t>kaushik Ingti</t>
  </si>
  <si>
    <t>Student, Gamer, Wannabe Philanthropist, Lifetime fan of the Arsenal football Club, AC MILAN ..... and TEAM INDIA !!! :)</t>
  </si>
  <si>
    <t>Ajinkya Susham Bande</t>
  </si>
  <si>
    <t>14/11/1992</t>
  </si>
  <si>
    <t>Vikki</t>
  </si>
  <si>
    <t>Japanese PM Shinzo Abe isn't as popular as you might think https://t.co/8XumjocaVy https://t.co/1Cn5ZFtdP1</t>
  </si>
  <si>
    <t>Vijay Kumar</t>
  </si>
  <si>
    <t>Proud Bharatha Mata Putra | Namo Follower | Social Media Expert | Strong Supporter of BJP | Shri Modi Ji is God's Gift.</t>
  </si>
  <si>
    <t>business: Japanese PM Shinzo Abe isn't as popular as you might think https://t.co/JKDSMypsOJ https://t.co/Pyg0g8m4YO</t>
  </si>
  <si>
    <t>Airoumon</t>
  </si>
  <si>
    <t>RT @business: Japanese PM Shinzo Abe isn't as popular as you might think https://t.co/8XumjocaVy https://t.co/1Cn5ZFtdP1</t>
  </si>
  <si>
    <t>iOS-convert. TouchWiz-loyalist. OSX-newbie. Rossoneri. Neutral Good.</t>
  </si>
  <si>
    <t>Japan's Abe remains Trump's best ally against 'unprecedented' North Korea threat: A decisive election win for…… https://t.co/POekBWQiX1</t>
  </si>
  <si>
    <t>Pankaj Narayan</t>
  </si>
  <si>
    <t>Rajkot</t>
  </si>
  <si>
    <t>Nation First | No hi-fi Writeup | Simple to write simple | Easy Life with high Ownership value</t>
  </si>
  <si>
    <t>RT business "Japanese PM Shinzo Abe isn't as popular as you might think https://t.co/PUljbqxeAs https://t.co/W1ay3yWeFL"</t>
  </si>
  <si>
    <t>business: Japanese PM Shinzo Abe isn't as popular as you might think https://t.co/1rn2nvYmx9 … https://t.co/j8qJfBZspe</t>
  </si>
  <si>
    <t>Vladimir Banal</t>
  </si>
  <si>
    <t>Polls open in Japan's snap general election @Twentysix_Banal</t>
  </si>
  <si>
    <t>GaijinPot</t>
  </si>
  <si>
    <t>The latest adventures in the inaka 🦁 https://t.co/wqMAhriTat</t>
  </si>
  <si>
    <t>Official Twitter account for GaijinPot. Your best source for information about working, studying or traveling in Japan.</t>
  </si>
  <si>
    <t>Harris Yo</t>
  </si>
  <si>
    <t>Kuala Lumpur, Jakarta, Seoul</t>
  </si>
  <si>
    <t>The libran that looking for a better place to put his legs</t>
  </si>
  <si>
    <t>Laila Cakes</t>
  </si>
  <si>
    <t xml:space="preserve">kota kinabalu sabah malaysia </t>
  </si>
  <si>
    <t>this my second account twitter laila andiny nurdin..metting with me in my Facebook account laila cakes and andiny nurdin ...sabah Malaysia</t>
  </si>
  <si>
    <t>Deepak ku. Gochhayat</t>
  </si>
  <si>
    <t>BHUBANESWAR</t>
  </si>
  <si>
    <t>CHEMICAL ENGG., STATE SECRETARY, BJYM ODISHA</t>
  </si>
  <si>
    <t>Rachit Gupta</t>
  </si>
  <si>
    <t>Working as a sales manager. Politician by thought and entrepreneur by way of living life. Writer and reading hobby</t>
  </si>
  <si>
    <t>business: Japanese PM Shinzo Abe isn't as popular as you might think https://t.co/mRjg5ySQpR https://t.co/VqHh9ZMCA8</t>
  </si>
  <si>
    <t>Astrid Meurer</t>
  </si>
  <si>
    <t>Preston, Melbourne</t>
  </si>
  <si>
    <t>Love music and love to sing</t>
  </si>
  <si>
    <t>Vitor Hugo Ribeiro</t>
  </si>
  <si>
    <t>Belém, Brasil</t>
  </si>
  <si>
    <t>Paysandu Sport Club 💙 Shalom! ❤ Historiador de futebol, amante de história e artes ⚽🏆🍺 📷: vituhpr 👻: vituhpr facebook: Vitor Hugo Ribeiro</t>
  </si>
  <si>
    <t>々</t>
  </si>
  <si>
    <t>こんにちは。個人的なクラウドメモです。ライクもリツイートも自分の記憶補助のためにします。</t>
  </si>
  <si>
    <t>Ferjo</t>
  </si>
  <si>
    <t>Cusco, Peru</t>
  </si>
  <si>
    <t>Periodista | Apasionado por los viajes y los temas internacionales | Amante de la fotografía | Cabin Crew | Soy ese yo soy | Agradecido de por vida ✈️</t>
  </si>
  <si>
    <t>SWA</t>
  </si>
  <si>
    <t>Fareham, England</t>
  </si>
  <si>
    <t>Southern Wealth Associates are a Chartered Financial Planning and Wealth Management firm based in the south of England.</t>
  </si>
  <si>
    <t>गुर्जर अशोक</t>
  </si>
  <si>
    <t>एक सच्चे हिंदू के लिए बजरंगबली श्री हनुमान जी से उत्तम कोई गुरू ना हुआ है ना ही होगा! गुरूदेव श्री बजरंगबली जी के श्री चरणो में कोटि-कोटि साष्टाँग प्रणाम !</t>
  </si>
  <si>
    <t>Interesting Facts</t>
  </si>
  <si>
    <t>Interesting Facts That blow your mind.</t>
  </si>
  <si>
    <t>Buyerfox furniture</t>
  </si>
  <si>
    <t>https://t.co/FKJEQFWitv online home store for furniture, decor, light, crockery, furnishing, outdoor &amp; more, contact on +91-9016333399 shipping worldwide.</t>
  </si>
  <si>
    <t>Japanese PM Shinzo Abe isn't as popular as you might think https://t.co/N08qEK5r8N https://t.co/3UsjCwViEM</t>
  </si>
  <si>
    <t>Berik Balgabaev</t>
  </si>
  <si>
    <t>everywhere around the world</t>
  </si>
  <si>
    <t>Assistant to the FIDE President, директор представительства ФИДЕ в РФ</t>
  </si>
  <si>
    <t>metta</t>
  </si>
  <si>
    <t>♧아이들에게 핵없는 세상을♧ mum of 2 children #방사능시대_우리가그린내일 #서울방사능안전급식연대 #수개표 #에너지세대교체 ☆맞팔금지☆</t>
  </si>
  <si>
    <t>Min-Jeong Lee 이민정</t>
  </si>
  <si>
    <t>Japan’s prime minister isn't as popular as you might think https://t.co/Xpfw0K7tiQ via @bbgvisualdata</t>
  </si>
  <si>
    <t>Covering the Japanese stock market @business mlee754@bloomberg.net Previously @WSJ Seoul</t>
  </si>
  <si>
    <t>team GHANSHYAMGAUTAM</t>
  </si>
  <si>
    <t>Tonk/Rajasthan/India</t>
  </si>
  <si>
    <t>घनश्याम गौतम युवा नेता । #President Student Union- JR Rajasthan Sanskrit University(2012-13) #Twitt #FB #Insta #Support @iGhanshyamG गांव खुशहाल, देश खुशहाल</t>
  </si>
  <si>
    <t>Japanese PM Shinzo Abe isn't as popular as you might think https://t.co/6AX3a19mou https://t.co/6VTXazYQhh</t>
  </si>
  <si>
    <t>Voste tHe Lannister</t>
  </si>
  <si>
    <t>The Lion may be more powerful but the 🐺 never performed in the circus 🎪.</t>
  </si>
  <si>
    <t>RT @news24tvchannel: Japan PM's focus now on N Korea's military threat and ageing population crisis in country #shinzoabe #japanelections h…</t>
  </si>
  <si>
    <t>Japanese PM Shinzo Abe isn't as popular as you might think https://t.co/H54rYqH0En https://t.co/f4Lzmc6Ln8</t>
  </si>
  <si>
    <t>Siva Sankar Krishnan</t>
  </si>
  <si>
    <t>Thoothukudi, Tamilnadu</t>
  </si>
  <si>
    <t>🙏Swamy Vivekananda, Mahatma Gandhi, APJ Abdul kalam, Atal Bihari Vajpayee Are My Lessons🙏; 💖MS Dhoni, RajiniKanth, Jayam Ravi, Prabhas😍</t>
  </si>
  <si>
    <t>Galleryite</t>
  </si>
  <si>
    <t>ManOf🇯🇵 #IJustLoveMusic, #Movies, #Language, #Economics, #Science</t>
  </si>
  <si>
    <t>Gaida Matisone</t>
  </si>
  <si>
    <t>Japan's has government debt more than twice as big as the national economy https://t.co/pxIFUN3XY9 via @CNNMoney</t>
  </si>
  <si>
    <t>business: Japanese PM Shinzo Abe isn't as popular as you might think https://t.co/9CW6asZyyg https://t.co/1Hlx39bM0E</t>
  </si>
  <si>
    <t>Col Narender singh</t>
  </si>
  <si>
    <t>Delhi INDIA</t>
  </si>
  <si>
    <t>combat veteran, sportsman,dreamer n beliver, Die hard Optimist n belive in taking Risks.</t>
  </si>
  <si>
    <t>Japanese PM hails landslide victory in snap election https://t.co/kmHbhtChHW</t>
  </si>
  <si>
    <t>Outsider party looks to upstage Japan's Abe https://t.co/BlssPpkcTe</t>
  </si>
  <si>
    <t>michael kiria</t>
  </si>
  <si>
    <t>Overconfidence emerges as Abe's biggest risk after opposition sink https://t.co/ayI3vV3EgI</t>
  </si>
  <si>
    <t>Priya Subramaniam</t>
  </si>
  <si>
    <t>DARING TO SPEAK TRUITH S CALLED ABUSE THESE DAYS!!!</t>
  </si>
  <si>
    <t>Abe to push reform of Japan's pacifist constitution after election win https://t.co/UWZsR9ckZN #NLU</t>
  </si>
  <si>
    <t>Mediaheadliners</t>
  </si>
  <si>
    <t>KING LOUIS CHARLES IV I love to be creative and have an open door office policy, you can see my business tactics and creative process all at once</t>
  </si>
  <si>
    <t>Ⓜ.®.Ⓜ Maksultaan™</t>
  </si>
  <si>
    <t>The greatest thing You can ever Do to yourself is Believe in yourself</t>
  </si>
  <si>
    <t>kevin chiriac</t>
  </si>
  <si>
    <t>Outsider party looks to upstage Japan's Abe https://t.co/26Z12zJhIx</t>
  </si>
  <si>
    <t>Mad Wolf</t>
  </si>
  <si>
    <t>Distrito Federal, México</t>
  </si>
  <si>
    <t>Inversionista apasionado. Lic en Finanzas, MBA. Me da asco la palabra Trader! Sin riesgo, no hay gloria!</t>
  </si>
  <si>
    <t>Tracking #ModiAbroad</t>
  </si>
  <si>
    <t>A volunteer-run Twitter account to give real time updates about Prime Minister @narendramodi's foreign policy initiatives. #ModiAbroad</t>
  </si>
  <si>
    <t>Kuldeep</t>
  </si>
  <si>
    <t>Jai Hind Jai Bharat</t>
  </si>
  <si>
    <t>Sunil kr Gupta</t>
  </si>
  <si>
    <t>SKG funny</t>
  </si>
  <si>
    <t>SMS Siddharth Mukund</t>
  </si>
  <si>
    <t>What now for #Japan after Abe's landslide election victory? https://t.co/rSL3tkAo8n #politics</t>
  </si>
  <si>
    <t>Media | Idealist| Equal Righter| Traveller| BizQuizzer| Chatterbox| Apple Lover| Cyclist| Friends 1st| Foodie| Reader| Views Personal</t>
  </si>
  <si>
    <t>Rosalind Mathieson</t>
  </si>
  <si>
    <t>He won in a landslide but these charts show why #Japan’s prime minister isn't as popular as you'd think https://t.co/uqw4EtKmIu #Bpolitics</t>
  </si>
  <si>
    <t>Executive Editor for International Government news at Bloomberg, based in Singapore. Plagues, pestilence and #KimJongUn. Ex @dow and @wsj Views my own</t>
  </si>
  <si>
    <t>ぐりん</t>
  </si>
  <si>
    <t>ダイレクトメッセージにはお答えできません。😔</t>
  </si>
  <si>
    <t>Monkey Viral</t>
  </si>
  <si>
    <t>(Abe to push reform of Japan's pacifist constitution after election win) is now on - https://t.co/jQkbryHcuy</t>
  </si>
  <si>
    <t>MonkeyViral Auto Post</t>
  </si>
  <si>
    <t>Globe &amp; Beyond</t>
  </si>
  <si>
    <t>Helping Businesses Grow Viral All Over The World!</t>
  </si>
  <si>
    <t>harsha</t>
  </si>
  <si>
    <t>storyTeller</t>
  </si>
  <si>
    <t>astra inclinant, sed non obligant. -the stars incline us, they do not bind us✨</t>
  </si>
  <si>
    <t>Jishnu g</t>
  </si>
  <si>
    <t>Kottayam, India</t>
  </si>
  <si>
    <t>Devu A Pai</t>
  </si>
  <si>
    <t>Open Source lover #openstack #kubernetes #docker #SDN, #NFV</t>
  </si>
  <si>
    <t>What does Shinzo Abe's election win mean for Japan? https://t.co/PX7hB3NVF4</t>
  </si>
  <si>
    <t>Shilpi</t>
  </si>
  <si>
    <t>A gynecologist by profession,a thinker,a mother,trying to hav a safe world for my children,intrested in politics,having views of my own .</t>
  </si>
  <si>
    <t>!</t>
  </si>
  <si>
    <t>In possession of a highly polarized mind!</t>
  </si>
  <si>
    <t>ｋｕｒｏｈｉｍｅ</t>
  </si>
  <si>
    <t xml:space="preserve">東日本　</t>
  </si>
  <si>
    <t>お世話になります。フォローもせず覗き読み・いいね・RTしています。うるさいと思います。ご容赦ご寛容に感謝します。原発事故後ＴＶと新聞をやめ皆様の発信にお頼みしています。奇特なフォロワーの方有難うございます。お返しはしないでお気入りに登録読ませて戴きます。石原に潰された大学の人学部出身。地形と人権に関心あり。猫います。</t>
  </si>
  <si>
    <t>xixi</t>
  </si>
  <si>
    <t>Ruth Pollard</t>
  </si>
  <si>
    <t>Great data visualisation here: Japan’s prime minister isn't as popular as you might think https://t.co/uCP886VRGc via @bbgvisualdata</t>
  </si>
  <si>
    <t>Delhi &amp; on the road</t>
  </si>
  <si>
    <t>Covering South Asia for @Bloomberg, formerly @smh ex-Beirut, Cairo, Jerusalem. Fellow @DartCenter Journalism &amp; Trauma. RTs not endorsements, opinions my own</t>
  </si>
  <si>
    <t>londonuk</t>
  </si>
  <si>
    <t>Japan PM Shinzo Abe wins snap election, promises strong &amp;amp;apos;counter-measures&amp;amp;amp #London https://t.co/ZU3mO8EVOT</t>
  </si>
  <si>
    <t>Find your latest news about London with just one click. Don’t miss out on anything happening in your profession .check http://t.co/OcTfqAB6Pu</t>
  </si>
  <si>
    <t>Omosiro axis</t>
  </si>
  <si>
    <t>フォローありがとうございます。 #国内 ・ #国外 の #エンタメ #アニメ #ゲーム #音楽 #ファッション #食べ物 #動物 #自然 など #面白い なと思ったことをつぶやいています。</t>
  </si>
  <si>
    <t>Japanese PM Shinzo Abe isn't as popular as you might think https://t.co/k64JpPfPwW https://t.co/dBTPA5PVov</t>
  </si>
  <si>
    <t>Debasish R Chowdhury</t>
  </si>
  <si>
    <t>RT @RosMathieson: He won in a landslide but these charts show why #Japan’s prime minister isn't as popular as you'd think https://t.co/uqw4…</t>
  </si>
  <si>
    <t>Debasish Roy Chowdhury, Deputy Editor, This Week in Asia, South China Morning Post. Tweets my own, retweets not endorsements</t>
  </si>
  <si>
    <t>Hariram Jat</t>
  </si>
  <si>
    <t xml:space="preserve">मेरा हिन्दुस्तान महान </t>
  </si>
  <si>
    <t>हर हर महादेव Narendramodi ji BJP Birender Singh ji का फैने और @crchaudharymos ji @PiyushGoyalOffc ji @officeOfRSP ji का फोलोबेक प्राप्त भारतीय सेना जिन्दाबाद</t>
  </si>
  <si>
    <t>varun nayak</t>
  </si>
  <si>
    <t>One damn happy DuDe #indian #prodigy #BJP #MoDIbhakth #PATRIOT #VARUNDAVAN #CR7 tweets are opinions and RT depends on the person who tweeted 🔥🙏</t>
  </si>
  <si>
    <t>RT @NAR: Overconfidence emerges as Abe's biggest risk after opposition sink https://t.co/ayI3vV3EgI</t>
  </si>
  <si>
    <t>jaimeotero_: Japanese PM Shinzo Abe isn't as popular as you might think https://t.co/B6V3YDXWlS https://t.co/kQD7nGl6BJ RT</t>
  </si>
  <si>
    <t>Japan's PM is not as popular as his seat majority would suggest. https://t.co/BaOnFLP8OO via @bbgvisualdata… https://t.co/aKUyw3RbUH</t>
  </si>
  <si>
    <t>Bloomberg Graphics</t>
  </si>
  <si>
    <t>Japan's prime minister swept away the opposition, but he isn't as popular as you might think https://t.co/CIqS2wTDtK https://t.co/UqiG8Cq2XP</t>
  </si>
  <si>
    <t>Graphs, maps and data journalism from the Bloomberg Graphics team.</t>
  </si>
  <si>
    <t>Japan's election results: With nobody standing in his way, the biggest threat to Abe might be himself. Read more at… https://t.co/fWSG5yAMSp</t>
  </si>
  <si>
    <t>Jose Reinoso</t>
  </si>
  <si>
    <t>RT @NAR: Japan's election results: With nobody standing in his way, the biggest threat to Abe might be himself. Read more at: https://t.co/…</t>
  </si>
  <si>
    <t>Corresponsal en Asia, con base en Pekín. Correspondent in Asia, based in Beijing.</t>
  </si>
  <si>
    <t>Typhoon drenches Japan on general election day https://t.co/OSsWuhAHok Tens of thousands of people across</t>
  </si>
  <si>
    <t>Japan's Shinzo Abe isn't as popular as you might think https://t.co/dsvSYJyqlK https://t.co/F2K91uWLhh</t>
  </si>
  <si>
    <t>Govind Patidar</t>
  </si>
  <si>
    <t>मध्य प्रदेश, भारत</t>
  </si>
  <si>
    <t>student मोदीभक्त</t>
  </si>
  <si>
    <t>Edwin Hsiao</t>
  </si>
  <si>
    <t>President Tsai congratulates Abe on Japan election result https://t.co/RmR5AIw8MY</t>
  </si>
  <si>
    <t>Taipei</t>
  </si>
  <si>
    <t>Edwin Hsiao is a former Taiwan Today worker.</t>
  </si>
  <si>
    <t>Mukesh Bidiyasar</t>
  </si>
  <si>
    <t>भारतीय सेना का सैनिक हूँ और भारत के लिए अपनी जान देने के लिए हमेशा तैयार हूँ, लेकिन इस देश के गद्दार और गंदे लोगों के लिए सैनिको की जान नहीं है। जय हिंद ।</t>
  </si>
  <si>
    <t>Mahendra singh🇮🇳</t>
  </si>
  <si>
    <t>writing / Teaching / poetry / Wild life photography / You can use a biography to examine political power, but only if you pick the right guy.</t>
  </si>
  <si>
    <t>Rohit Chaturvedi</t>
  </si>
  <si>
    <t>Udaipur</t>
  </si>
  <si>
    <t>DEVENDRA CHAUHAN</t>
  </si>
  <si>
    <t>Auraiya, India</t>
  </si>
  <si>
    <t>Nation is first. I still never find a substitute of work. So for me work is worship. RT no endorsement. EX SECULER</t>
  </si>
  <si>
    <t>Lookingatyou</t>
  </si>
  <si>
    <t>RT's not necessarily endorsing. Like = Save</t>
  </si>
  <si>
    <t>Here's the graphic with a fancy gif! Abe didn't do so well in the PR section of the election… https://t.co/G1AA3NlgGJ</t>
  </si>
  <si>
    <t>Miss Dee Dee 🇰🇪</t>
  </si>
  <si>
    <t>Wakanda</t>
  </si>
  <si>
    <t>Fitness freak | Sophisticated fun | Ambivert | Africana | Womanist</t>
  </si>
  <si>
    <t>横松心平（林心平）</t>
  </si>
  <si>
    <t>北海道札幌市</t>
  </si>
  <si>
    <t>札幌在住の作家。7人の子の父。メールは、shinpei440@gmail.com</t>
  </si>
  <si>
    <t>神林毅彦</t>
  </si>
  <si>
    <t>ジャーナリスト @dpa_intl @csmonitor 法政大学大学院講師、@MeekJournalismでジャーナリズム専攻</t>
  </si>
  <si>
    <t>Evans©</t>
  </si>
  <si>
    <t>WinterFell</t>
  </si>
  <si>
    <t>Storyteller. Dreamer. Chaser of light. Champion of the em dash. Ruined by whimsy. Logophile.</t>
  </si>
  <si>
    <t>Japanese PM Shinzo Abe isn't as popular as you might think https://t.co/dnGG57hz2i https://t.co/ifkGAjldMB</t>
  </si>
  <si>
    <t>Lauro Nogueira </t>
  </si>
  <si>
    <t>RT @BloombergTV: Japanese PM Shinzo Abe isn't as popular as you might think https://t.co/dnGG57hz2i https://t.co/ifkGAjldMB</t>
  </si>
  <si>
    <t>Brazil</t>
  </si>
  <si>
    <t>Mathematician, Engineer, Programmer, Writer, Poet...</t>
  </si>
  <si>
    <t>The Unknown</t>
  </si>
  <si>
    <t>Bangalore - Chennai(New Delhi)</t>
  </si>
  <si>
    <t>I Am A Man With Belief &amp; The Belief Is Me! A Techie With A Sound Mind &amp; Body. An Avid Reader. I Enjoy Music, Movies, Sports, Food &amp; TV. An Arsenal Fan. Telugu!</t>
  </si>
  <si>
    <t>Henry Hoenig</t>
  </si>
  <si>
    <t>RT @hannahdormido: Japan's PM is not as popular as his seat majority would suggest. https://t.co/BaOnFLP8OO via @bbgvisualdata @business @B…</t>
  </si>
  <si>
    <t>Economics editor for Japan, South Korea at Bloomberg. Ex @wsj. Been around. Louisville native. Opinions my own. Retweets not endorsements.</t>
  </si>
  <si>
    <t>Eiichi Takahashi</t>
  </si>
  <si>
    <t>Kitgainer1776</t>
  </si>
  <si>
    <t>#BloombergTV ❧ Japanese PM Shinzo Abe isn't as popular as you might think https://t.co/atFr9LGAQF https://t.co/2XArlfDJ4R</t>
  </si>
  <si>
    <t>Hari Om Batsa</t>
  </si>
  <si>
    <t>Business man</t>
  </si>
  <si>
    <t>abhi</t>
  </si>
  <si>
    <t>ख़ुद में ही लापता हूँ,</t>
  </si>
  <si>
    <t>सुनों👂 जिसके 👸📝लिए लिखता हूँ, जाने वो पढ़ती📃 भी है या नही,😞</t>
  </si>
  <si>
    <t>parikshat kadan</t>
  </si>
  <si>
    <t>Ministry of Foreign Affairs Govt. of India</t>
  </si>
  <si>
    <t>RT @sharp_writing: Here's the graphic with a fancy gif! Abe didn't do so well in the PR section of the election https://t.co/C7tRIJUnOy h…</t>
  </si>
  <si>
    <t>Is Abe’s free day care and kindergarten worth the cost? - https://t.co/kejWtv4Q88 Sunday’s general election is over and Prime Minister Sh...</t>
  </si>
  <si>
    <t>Topgoal Media TV</t>
  </si>
  <si>
    <t>RT @Casino_Org: #ShinzoAbe Election Win May Improve Odds of #Casinos for #Japan https://t.co/GLHsvn2fsM https://t.co/Ni0cxEthHy</t>
  </si>
  <si>
    <t>Topgoal Media B.V. is a dynamical and flexible Multimedia Company and we specialize in egaming, games for the online/offline Casino and Sports-books industry.</t>
  </si>
  <si>
    <t>Sanguine| Loves Finance | @ManCity aficionado| Sarcasm| Jesus</t>
  </si>
  <si>
    <t>Japanese PM Shinzo Abe isn't as popular as you might think https://t.co/dlzegmawKS https://t.co/2n3CxccuLo</t>
  </si>
  <si>
    <t>Winston Kimani</t>
  </si>
  <si>
    <t>God is great. ❤️ Hilda Te quiero mucho.</t>
  </si>
  <si>
    <t>RT BloombergTV "Japanese PM Shinzo Abe isn't as popular as you might think https://t.co/PCrNSEIPPI https://t.co/nPRIo7utQR"</t>
  </si>
  <si>
    <t>RT @bpolitics: Japan's Shinzo Abe isn't as popular as you might think https://t.co/dsvSYJyqlK https://t.co/F2K91uWLhh</t>
  </si>
  <si>
    <t>RT @BloombergAsia: Japanese PM Shinzo Abe isn't as popular as you might think https://t.co/dlzegmawKS https://t.co/2n3CxccuLo</t>
  </si>
  <si>
    <t>Durgesh Tiwary</t>
  </si>
  <si>
    <t>Solo Traveler , Nature Lover ,Staunch Hindu &amp; Patriot , SAP Consultant ~ ढ़ूंढोगे अगर तो ही रास्ते मिलेंगे ! मंजिलों की फ़ितरत हॆ,खुद चलकर नहीं आती!!</t>
  </si>
  <si>
    <t>Travelled World &amp; realized that Nationalism is first step for India' Future.</t>
  </si>
  <si>
    <t>Berlin gegen Krieg</t>
  </si>
  <si>
    <t>North Korea blasts Japan for using election to ‘pave groundwork’ for invasion – About Kishi Nobusuke, the… https://t.co/TinoPfNKmF</t>
  </si>
  <si>
    <t>Künstler, Läden, Cafes, Klubs und politisch Aktive: NIE WIEDER KRIEG</t>
  </si>
  <si>
    <t>Pegasus</t>
  </si>
  <si>
    <t>汚れてしまった世界でどう生きていけばいいのか、途方にくれる現実。 でも子供は守りたい。 被爆から子供を護れ！ 原発と原爆はコインの裏と表だ。２児の父。ＲＴは必ずしも支持を意味するものではありません。</t>
  </si>
  <si>
    <t>Leon Malazogu</t>
  </si>
  <si>
    <t>Ambassador of @kosovoinjapan. Personal tweets. RT ≠ endorsement &amp; usual disclaimers. Alumni of @NDAlumni and @AUBGedu.</t>
  </si>
  <si>
    <t>LemonadeGucci</t>
  </si>
  <si>
    <t>Pambansang Punong Rehiyon, Rep</t>
  </si>
  <si>
    <t>M★WΞ.TΞΔM™ CΞÒ | DrumNBass | DeepHouse | Hospital Records | Espionage</t>
  </si>
  <si>
    <t>Japan’s prime minister isn't as popular as you might think https://t.co/W5FX8VNMgi @bbgvisualdataより</t>
  </si>
  <si>
    <t>Marianna Zanetta</t>
  </si>
  <si>
    <t>RT @GaijinPot: The latest adventures in the inaka 🦁 https://t.co/wqMAhriTat</t>
  </si>
  <si>
    <t>Anthropologist. Founder of #Japan Soul #Traveler, on new paths and unbitten roads to the land of the Raising Sun and its #spiritual treasures.</t>
  </si>
  <si>
    <t>Japanese PM Shinzo Abe isn't as popular as you might think https://t.co/F7RnwQRvVZ https://t.co/jaSDbr93uF #fb #sitifatimah #malaysia</t>
  </si>
  <si>
    <t>The Goodman Report</t>
  </si>
  <si>
    <t>Powerful storm leaves 5 dead, 1 missing in Japan https://t.co/sPnEzxbZOH</t>
  </si>
  <si>
    <t>ANYWHERE I WANT TO BE</t>
  </si>
  <si>
    <t>In accordance with Title 17 U.S.C. Section 107,material here is distributed without profit for research and educational purposes. REAL NEWS HERE.</t>
  </si>
  <si>
    <t>EX- REDTARD</t>
  </si>
  <si>
    <t>Nationalist Journalist...against ... Presstitutes, FIBRALS, Commies देश जले मैं कुछ ना बोलूं...मैं ऐंसा गद्दार नहीं...RTs r nt endorsements..</t>
  </si>
  <si>
    <t>Yily foote</t>
  </si>
  <si>
    <t>Worldcitizen</t>
  </si>
  <si>
    <t>Shao Rong</t>
  </si>
  <si>
    <t>Smolensk, Russia</t>
  </si>
  <si>
    <t>Hindu nationalists #country comes first always and every time. 💯 % follow back..</t>
  </si>
  <si>
    <t>jai</t>
  </si>
  <si>
    <t>Prabakaran</t>
  </si>
  <si>
    <t>RT @akoronakis: Japan’s Abe celebrates ‘super majority’ election win https://t.co/9kz7M1dKTc #News via @New_Europe https://t.co/DGpMncQjmN</t>
  </si>
  <si>
    <t>Socialmedia marketing,tech geek,travel,blogger,foodphotography,ilovemy master. #techie #watchyourself#digitalmarketing, #findsocialmediajob</t>
  </si>
  <si>
    <t>RT TFTCS "RT BloombergTV "Japanese PM Shinzo Abe isn't as popular as you might think https://t.co/v28fqsmELg https://t.co/ZpX4smiz3i""</t>
  </si>
  <si>
    <t>#VOTE2017: Opposition alliance could have won 63 more seats：The Asahi Shimbun #Japan #election #politics https://t.co/ULK97g0XZx</t>
  </si>
  <si>
    <t>सुनील अग्रवाल</t>
  </si>
  <si>
    <t>तुम किसी का अच्छा नही कर सकते मत करो, मगर किसी का बुरा मत करो।मेरा मानना है कर्मफल इसी जीवन में देर सवेर मिलता जरूर है। जो देश और समाज हित में उसका समर्थन</t>
  </si>
  <si>
    <t>Balu Tonpe</t>
  </si>
  <si>
    <t>IAPDefenseForum</t>
  </si>
  <si>
    <t>Japan: 4 things to expect following Shinzo Abe’s landslide victory https://t.co/50cWyTwLCX #IndoAsiaPac</t>
  </si>
  <si>
    <t>Andreas Cseh</t>
  </si>
  <si>
    <t>RT @apbmandate: Deutsche Bank WM: Japan’s election result won’t solve underlying problems https://t.co/V9SVnXqtAn #cio #election #equity #i…</t>
  </si>
  <si>
    <t>Author of Quantum Fading Strategies for Leveraged &amp; Inverse ETFs, ISBN: 978-395489-102 [NYU Stern / HKUST] The Risk Master</t>
  </si>
  <si>
    <t>GMA News TV Intl.</t>
  </si>
  <si>
    <t>Typhoon Lan leaves five dead after lashing Japan on election day | News | GMA News Online https://t.co/LO2RrIlEmX via @gmanews</t>
  </si>
  <si>
    <t>GMA News TV International is the no. 1 and most trusted news source that provides all #KapusoAbroad the latest, most comprehensive and credible news from home.</t>
  </si>
  <si>
    <t>@Schuldensuehner Deutsche Bank WM: Japan’s election result won’t solve underlying problems https://t.co/pN710cYpnt</t>
  </si>
  <si>
    <t>蔚蓝色大海</t>
  </si>
  <si>
    <t>mahdiar.no</t>
  </si>
  <si>
    <t>ordibeheshti,</t>
  </si>
  <si>
    <t>¥M</t>
  </si>
  <si>
    <t>Anti-Social Extrovert | Virgo ♍</t>
  </si>
  <si>
    <t>UtarSystems</t>
  </si>
  <si>
    <t>utarbot3</t>
  </si>
  <si>
    <t>#Cloud and #DevOps managed Services, Dedicated Team, #cybersecurity, #bigdata #machinelearning | Want to talk? - info@utar.co</t>
  </si>
  <si>
    <t>गोविन्द उकाजी#हिन्दु</t>
  </si>
  <si>
    <t>भारत देश के विकास में बाधा गोहत्या , आरक्षण , मुफतखोरी , भरष्टाचार , सब्सीडी #गौ_हत्या_क्यों ? जयहिन्द वन्देमातरम् जय सनातन धर्म</t>
  </si>
  <si>
    <t>RT TFTCS "RT BloombergTV "Japanese PM Shinzo Abe isn't as popular as you might think https://t.co/i962YPuaEG https://t.co/hoPRFRBETz""</t>
  </si>
  <si>
    <t>RT @lfdickey: Catching up on Japan's snap election? Great overview of all related developments here 👇🏻 https://t.co/7TSa8RAEPZ</t>
  </si>
  <si>
    <t>Manoj Garg</t>
  </si>
  <si>
    <t>Entrepreneur having interest in Computers/IT, Psychology, Philosophy, Ethics, Indian and World Politics, #Dharmism. RTs ≠ Endorsement</t>
  </si>
  <si>
    <t>Japan Abe's election win to boost his hand on pro-growth policies: Fitch https://t.co/jRkrkXJCIC</t>
  </si>
  <si>
    <t>Jeremy Passmore</t>
  </si>
  <si>
    <t>@DanieleTurner7 What a lovely girl! And thanks for liking my tweet about Japan's General Election.</t>
  </si>
  <si>
    <t>1971 Degree in Japanese - University of London; 2003 M.A. in International Studies - University of Exeter.</t>
  </si>
  <si>
    <t>Santosh K</t>
  </si>
  <si>
    <t>What is the point of your education if the garbage you throw is eventually gonna picked by an uneducated person ? Same goes for Politics</t>
  </si>
  <si>
    <t>Japan Abe's election win to boost his hand on pro-growth policies: Fitch https://t.co/7I2tCSUC5J</t>
  </si>
  <si>
    <t>Kishore samal</t>
  </si>
  <si>
    <t>Japan Abe's election win to boost his hand on pro-growth policies: Fitch https://t.co/iEps9tRppo</t>
  </si>
  <si>
    <t>Reddy Prasad K A</t>
  </si>
  <si>
    <t>Mulbagal, India</t>
  </si>
  <si>
    <t>Sr. Technical Executive @Nippon Paint India Pvt. Ltd. Modiji Follower, I Love Travelling. I Support BJP. An Hindu Nationalist. Jai Sri Ram. Jai Veer Hanuman.</t>
  </si>
  <si>
    <t>Radhey Rani</t>
  </si>
  <si>
    <t>Japan Abe's election win to boost his hand on pro-growth policies: Fitch https://t.co/i2e9QAg1E9</t>
  </si>
  <si>
    <t>Japan Abe's election win to boost his hand on pro-growth policies: Fitch https://t.co/Zcx6C5cD9Q</t>
  </si>
  <si>
    <t>Jonathan Webb ウェブ</t>
  </si>
  <si>
    <t>Policy Analyst | Ph.D. Student | Keio University | Population &amp; Power | Japan-ROK | Regional Security | 慶應義塾大学 | 博士課程 | 少子高齢化 | 日韓 | 安保 |</t>
  </si>
  <si>
    <t>|| #NewIndia || Followed by Hon'able Sh. @narendramodi &amp; @narendramodi_in || Union Ministers Follow ||</t>
  </si>
  <si>
    <t>Людмила Черкасова</t>
  </si>
  <si>
    <t>Heiko Appel</t>
  </si>
  <si>
    <t>Post-election reform policies are key for Japan, Robert Feldman, MS Senior Advisor in Japan, tells----- CNBC</t>
  </si>
  <si>
    <t>Leslie Gill／ギル・レスリー</t>
  </si>
  <si>
    <t>Tokyo, Japan/東京</t>
  </si>
  <si>
    <t>写真が趣味です。仕事は国際貿易関係. 見かけによらず日本人ではありません。リンクやＲＴは賛意を示すものでない. Working in Tokyo. Photography is my hobby. Retweets are not an endorsement.</t>
  </si>
  <si>
    <t>karshan.ahir</t>
  </si>
  <si>
    <t>Santalpur, Gujarat</t>
  </si>
  <si>
    <t>Vice president youth Bjp patan dist</t>
  </si>
  <si>
    <t>Stem cells and me!!</t>
  </si>
  <si>
    <t>ÜT: -33.792185,151.115606</t>
  </si>
  <si>
    <t>Stem cells is my knowledge! Save your life using your own cells! #powerofstemcells</t>
  </si>
  <si>
    <t>Vijay Singh Bais</t>
  </si>
  <si>
    <t>Mainpuri, India</t>
  </si>
  <si>
    <t>ब्रजक्षेत्र प्रभारी (संवाद) भारतीय जनता पार्टी , स्वयंसेवक</t>
  </si>
  <si>
    <t>Jigs_269</t>
  </si>
  <si>
    <t>Damka, Surat</t>
  </si>
  <si>
    <t>Yuva member at IT social media &amp; Management 155 Olpad Vidhansabha</t>
  </si>
  <si>
    <t>Harshvardhan Gupta</t>
  </si>
  <si>
    <t>Patel sanjay</t>
  </si>
  <si>
    <t>DILIP EKBOTE</t>
  </si>
  <si>
    <t>Mr@vee</t>
  </si>
  <si>
    <t>Andreas Andersen</t>
  </si>
  <si>
    <t>Ex Goldman Sachs Executive Software Engineer - Probably a Smarter Than George Soros Hedge Fund Manager - EU is Fraud Brussels IT Insider</t>
  </si>
  <si>
    <t>Candy Candy #covfefe</t>
  </si>
  <si>
    <t>@JPN_PMO @POTUS @realDonaldTrump @WhiteHouse Congratulations to Prime Minister Abe for winning big in Japan electio… https://t.co/sEB9NzK3g0</t>
  </si>
  <si>
    <t>🇺🇸#MAGA#A1st💖 @realDonaldTrump 🆔#Patriots#Deplorables#Conservatives 👍#1A📢#2A🔫#Freedom🗽#ProVets⚓ 👌#FollowBack⛔#FakeNews🚫#NoPC 🚨#AntiChina#反支#反共#八國聯軍滅支</t>
  </si>
  <si>
    <t>Japan's Abe to push pacifist constitution reform after strong election win https://t.co/XFzzHG6oxs #IndoAsiaPac #Japan #Abe</t>
  </si>
  <si>
    <t>Deccan Abroad</t>
  </si>
  <si>
    <t>Japan PM Abe’s ruling bloc scores big election win https://t.co/25L50Ic3yM https://t.co/jvT7TKTuHl</t>
  </si>
  <si>
    <t>Amrish</t>
  </si>
  <si>
    <t>ジョウスタJOSTAR</t>
  </si>
  <si>
    <t>https://t.co/P9q5ltN7Pc 2 【 #DonaldTrump election】 I talked about the disadvantages of Japan and the future #トランプ #トランプ当選 #Trump #EDM</t>
  </si>
  <si>
    <t>東京都渋谷区</t>
  </si>
  <si>
    <t>アメブロしてます。 official Blog 『GET YORE STAR』 https://t.co/HALPuL06XN</t>
  </si>
  <si>
    <t>David Wagner</t>
  </si>
  <si>
    <t>PM Abe’s mandate is a green light for change.... https://t.co/meSvdsqDJY</t>
  </si>
  <si>
    <t>Tokyo/Denver</t>
  </si>
  <si>
    <t>More than 25 years based in Japan. Published 24 books on business and media communication. Specialize in media, crisis and business strategy.</t>
  </si>
  <si>
    <t>Peter Morgan</t>
  </si>
  <si>
    <t>Japan’s Election Warning to China - WSJ https://t.co/KDP3CW1tJ0</t>
  </si>
  <si>
    <t>SYDNEY</t>
  </si>
  <si>
    <t>Sydney. May the markets be kind.</t>
  </si>
  <si>
    <t>saurabh kishore</t>
  </si>
  <si>
    <t>Robyne Greener ن</t>
  </si>
  <si>
    <t>UK &amp; PORTUGAL</t>
  </si>
  <si>
    <t>Grew up in Africa and lived all over the world, including Saudi Arabia and India. Pro Brexit. Please don't add me to lists.</t>
  </si>
  <si>
    <t>भारतीय रक्षा संवाद</t>
  </si>
  <si>
    <t>✪ Indian-Defence Report ✪ #BreakingNews and Report's on #IndianArmy #IndianAirforce✈ #IndianNavy⚓ #Terrorism #Crime #geopolitics #StrategicAffairs - जय हिंद</t>
  </si>
  <si>
    <t>Patsy Cline</t>
  </si>
  <si>
    <t>Proud Liberal seeking ☮️ justice, fairness &amp; decency ❤️learning|politics|poppies|ANIMALS|laughing #UniteBlue #DemForce #TheResistance #Ω #FBR #PetsResist #RWU</t>
  </si>
  <si>
    <t>Saji Kalappura</t>
  </si>
  <si>
    <t>One who closely observes everything around him; one who holds definite view on social issues; one who is passionate to make social change. Retweet not endorsing</t>
  </si>
  <si>
    <t>André 🐼</t>
  </si>
  <si>
    <t>🏰📷</t>
  </si>
  <si>
    <t>Clm</t>
  </si>
  <si>
    <t>RT @LiborSmolik: Typhoon #Lan makes landfall in #Shizuoka Prefecture of #Japan, causing at least 2 deaths and 10 injuries. Stay safe! https…</t>
  </si>
  <si>
    <t>planète Terre</t>
  </si>
  <si>
    <t>éco-citoyenne, professionnelle dépitée,</t>
  </si>
  <si>
    <t>S.Chakraborty</t>
  </si>
  <si>
    <t>Japan's Abe vows to put education spending before budget balance https://t.co/mGtGqEk7Dl</t>
  </si>
  <si>
    <t>सन्तोष पाण्डेय 🇮🇳</t>
  </si>
  <si>
    <t>हिन्दी➡हिन्दू➡हिन्दुस्तानी🇮🇳</t>
  </si>
  <si>
    <t>🕉 ***जब गद्दारों की टोली में हाहाकार हो तो समझ लो देश का राजा चरित्रवान और प्रतिभा संपन्न है और राष्ट्र प्रगति पथ पर अग्रसर है*** #ट्वीट❤लाईक में</t>
  </si>
  <si>
    <t>Sarang Paradkar</t>
  </si>
  <si>
    <t>Airoli, Navi Mumbai</t>
  </si>
  <si>
    <t>📢 Donald Trump congratulates Japan’s Shinzo Abe on election victory https://t.co/i3EeUc3mdu #KRTpro #Trump @AbeShinzo #Japan</t>
  </si>
  <si>
    <t>Pujita Ganguly</t>
  </si>
  <si>
    <t>Words aren't enough to describe .....Following the path of optimism ....😎😄 Criticisms within limits are always welcome.....sjcian, foodie, bong ☺.... sarcasti</t>
  </si>
  <si>
    <t>陽子</t>
  </si>
  <si>
    <t>日本を愛しています。反日、中朝韓に祖国日本が、侵略されています！反日の手先売国マスゴミ、共産、民進、左翼、創価カルト等々、国賊との戦いでも有ります！決して負ける事の出来ない戦いです! 護国日本の為、微力ながら尽くしていきたいと思っています。</t>
  </si>
  <si>
    <t>FXStreet Reports</t>
  </si>
  <si>
    <t>Japan: Big win for Shinzo Abe at parliamentary election https://t.co/BOsI0kr4MK #USDJPY</t>
  </si>
  <si>
    <t>FXstreet.com Reports</t>
  </si>
  <si>
    <t>24/5 real-time forex research</t>
  </si>
  <si>
    <t>Vinay Kamal Chauhan</t>
  </si>
  <si>
    <t>Noida/Delhi</t>
  </si>
  <si>
    <t>Njoi life..... Njoi Nature.............. :D</t>
  </si>
  <si>
    <t>NISHANT SRIVASTAVA</t>
  </si>
  <si>
    <t>@SriSri Devotee, Faculty at #ArtofLiving, Meditator, #Spiritual Seeker #Oracle E-Business Suite &amp; #ORMB Functional Consultant, IT Pre-Sales Consultant</t>
  </si>
  <si>
    <t>PARVATHI NATHAN</t>
  </si>
  <si>
    <t>East Region, Singapore</t>
  </si>
  <si>
    <t>Research Associate @ Nanyang Technological University. India is my country.. Bharath Mata ki Jai..</t>
  </si>
  <si>
    <t>Anil Kumar Goyal</t>
  </si>
  <si>
    <t>I am an entrepreneur, CTC Tea Manufacturing and marketing consultant and Manufacturer of Tea Processing Machinery and Equipments.</t>
  </si>
  <si>
    <t>Alireza Sohrabi</t>
  </si>
  <si>
    <t>#Japan Abe's election win to boost his hand on pro-growth policies: Fitch https://t.co/2k0MIJyVme #IRAN https://t.co/S6VnIFP9Qx</t>
  </si>
  <si>
    <t>Human Rights</t>
  </si>
  <si>
    <t>Saeid Salehi</t>
  </si>
  <si>
    <t>#Spain #Canada #Australia #Japan Abe's election win to boost his hand on pro-growth policies: Fitch… https://t.co/s9izC3SDlo</t>
  </si>
  <si>
    <t>MohamadGorgi</t>
  </si>
  <si>
    <t>#Stockholm #Damascus #Berlin #Japan Abe's election win to boost his hand on pro-growth policies: Fitch… https://t.co/NZKZCFzNys</t>
  </si>
  <si>
    <t>Human rights</t>
  </si>
  <si>
    <t>Merlyn-Hamer</t>
  </si>
  <si>
    <t>#Dushanbe #Athens #Japan Abe's election win to boost his hand on pro-growth policies: Fitch https://t.co/eE2Mj29HCZ https://t.co/Cng48TL2b2</t>
  </si>
  <si>
    <t>A simple human beeing. Truely trying to help other fellow humans.</t>
  </si>
  <si>
    <t>Reza Safaei</t>
  </si>
  <si>
    <t>#usa #texas #india #Japan Abe's election win to boost his hand on pro-growth policies: Fitch https://t.co/IUtnVwvQRx https://t.co/a9HK2EjKIZ</t>
  </si>
  <si>
    <t>Mohammad Jafari</t>
  </si>
  <si>
    <t>#politics #Irantalks #persian #Japan Abe's election win to boost his hand on pro-growth policies: Fitch… https://t.co/oCm0upvlCl</t>
  </si>
  <si>
    <t>Amir Amin</t>
  </si>
  <si>
    <t>#Baghdad #Dublin #Japan Abe's election win to boost his hand on pro-growth policies: Fitch https://t.co/9RvYp4bBEi https://t.co/rUcpyYCgyZ</t>
  </si>
  <si>
    <t>iraneAzad - FreeIran</t>
  </si>
  <si>
    <t>#Iran #News #Us #Japan Abe's election win to boost his hand on pro-growth policies: Fitch https://t.co/Y6VarPsbFh https://t.co/KgQCQzBAxk</t>
  </si>
  <si>
    <t>FREE IRAN</t>
  </si>
  <si>
    <t>AhmaeAghaei</t>
  </si>
  <si>
    <t>#Kabul #Vienna #Brussels #Japan Abe's election win to boost his hand on pro-growth policies: Fitch… https://t.co/1OAwCoP6ru</t>
  </si>
  <si>
    <t>FLYING FREE IRAN</t>
  </si>
  <si>
    <t>#Syria #Reuters #Japan Abe's election win to boost his hand on pro-growth policies: Fitch https://t.co/kTuL0ByYyz https://t.co/Tn9UQSXJAo</t>
  </si>
  <si>
    <t>Human Rights activities for a Free Iran</t>
  </si>
  <si>
    <t>P.M.O.I</t>
  </si>
  <si>
    <t>#News #Iran #Japan Abe's election win to boost his hand on pro-growth policies: Fitch https://t.co/UdlrDvLahN https://t.co/xP6E39Blfc</t>
  </si>
  <si>
    <t>IRAN</t>
  </si>
  <si>
    <t>The PMOI seeks 2 replace Iran’s religious dictatorship with a secular, pluralistic, democratic government that respects individual freedoms and gender equality.</t>
  </si>
  <si>
    <t>AliAsghareEmadi</t>
  </si>
  <si>
    <t>#Helsinki #Paris #Dushanbe #Japan Abe's election win to boost his hand on pro-growth policies: Fitch… https://t.co/4TU6HVyszE</t>
  </si>
  <si>
    <t>Rostam Dastan</t>
  </si>
  <si>
    <t>#pakistan #uk #Japan #Japan Abe's election win to boost his hand on pro-growth policies: Fitch… https://t.co/ddD4TrZNO7</t>
  </si>
  <si>
    <t>ray jonson</t>
  </si>
  <si>
    <t>#Brussels #Ottawa #Japan Abe's election win to boost his hand on pro-growth policies: Fitch https://t.co/tVfyucmzsZ https://t.co/piqBcV661j</t>
  </si>
  <si>
    <t>Amin Karimy</t>
  </si>
  <si>
    <t>#Copenhagen #Cairo #Japan Abe's election win to boost his hand on pro-growth policies: Fitch https://t.co/pVscZcNUrq https://t.co/ZoizkWIN8D</t>
  </si>
  <si>
    <t>NaserHabashi</t>
  </si>
  <si>
    <t>#Ankara #London #Washington #Japan Abe's election win to boost his hand on pro-growth policies: Fitch… https://t.co/K5FyM3SBvL</t>
  </si>
  <si>
    <t>Kazem Zolomi</t>
  </si>
  <si>
    <t>#Turkey #Yemen #Japan Abe's election win to boost his hand on pro-growth policies: Fitch https://t.co/rGez9zbBk7 https://t.co/3pfg2z4oMB</t>
  </si>
  <si>
    <t>City of London, England</t>
  </si>
  <si>
    <t>Summer-Maguire</t>
  </si>
  <si>
    <t>#Egypt #France #Italy #Japan Abe's election win to boost his hand on pro-growth policies: Fitch… https://t.co/DUXjTMROO6</t>
  </si>
  <si>
    <t>Human Rights activity</t>
  </si>
  <si>
    <t>Aliasghar Kordi</t>
  </si>
  <si>
    <t>#Ottawa #Copenhagen #Cairo #Japan Abe's election win to boost his hand on pro-growth policies: Fitch… https://t.co/DNzZb2x512</t>
  </si>
  <si>
    <t>Irvan Kameli</t>
  </si>
  <si>
    <t>#Damascus #Washington #Japan Abe's election win to boost his hand on pro-growth policies: Fitch… https://t.co/uKuCHk94tM</t>
  </si>
  <si>
    <t>Parisa Mahmodi</t>
  </si>
  <si>
    <t>#Islamabad #Riyadh #Japan Abe's election win to boost his hand on pro-growth policies: Fitch https://t.co/KG3dmadmRL https://t.co/CwZNHVqAij</t>
  </si>
  <si>
    <t>KhalidEdlebi</t>
  </si>
  <si>
    <t>#Amman #Beirut #Japan Abe's election win to boost his hand on pro-growth policies: Fitch https://t.co/b8lTvOsMYj https://t.co/21QCm5EJZ3</t>
  </si>
  <si>
    <t>For Human right &amp; Freedom</t>
  </si>
  <si>
    <t>AliFeiziShabgahi</t>
  </si>
  <si>
    <t>#Japan Abe's election win to boost his hand on pro-growth policies: Fitch https://t.co/P6PTqIcf0i https://t.co/txBDiupyE2</t>
  </si>
  <si>
    <t>Ehsan Toton</t>
  </si>
  <si>
    <t>#interfax #Headline #CNN #Japan Abe's election win to boost his hand on pro-growth policies: Fitch… https://t.co/zoEbfW3PrP</t>
  </si>
  <si>
    <t>Anahita Zand</t>
  </si>
  <si>
    <t>#melbourne #paris #BreakingNew #Japan Abe's election win to boost his hand on pro-growth policies: Fitch… https://t.co/onF1iS11KS</t>
  </si>
  <si>
    <t>Human rights activity</t>
  </si>
  <si>
    <t>Reyhan Soufi</t>
  </si>
  <si>
    <t>#new #political #US #Japan Abe's election win to boost his hand on pro-growth policies: Fitch… https://t.co/LTijcHDHhJ</t>
  </si>
  <si>
    <t>Ardeshir Shrifian</t>
  </si>
  <si>
    <t>#indonesia #Mexico #Japan Abe's election win to boost his hand on pro-growth policies: Fitch https://t.co/BpsZzX9TI5 https://t.co/r3vSBv2dn3</t>
  </si>
  <si>
    <t>Jone Donelson</t>
  </si>
  <si>
    <t>#Helsinki #Paris #Japan Abe's election win to boost his hand on pro-growth policies: Fitch https://t.co/uXzic9cxUI https://t.co/9ilt0gIAhd</t>
  </si>
  <si>
    <t>My life for iran</t>
  </si>
  <si>
    <t>#Iran #USA #Japan Abe's election win to boost his hand on pro-growth policies: Fitch https://t.co/ISg0603Ruc https://t.co/sne1KLzBIB</t>
  </si>
  <si>
    <t>Iran - Tehran</t>
  </si>
  <si>
    <t>پيش بسوى ايرانى آباد و آزاد</t>
  </si>
  <si>
    <t>Parvin Shokohi</t>
  </si>
  <si>
    <t>#Ankara #London #Berlin #Japan Abe's election win to boost his hand on pro-growth policies: Fitch… https://t.co/24NLQeYv9P</t>
  </si>
  <si>
    <t>Kaia VAZQUEZ</t>
  </si>
  <si>
    <t>#Amsterdam #Oslo #Muscat #Japan Abe's election win to boost his hand on pro-growth policies: Fitch… https://t.co/vvt5A15L98</t>
  </si>
  <si>
    <t>Free Iran</t>
  </si>
  <si>
    <t>#new #political #US #Japan Abe's election win to boost his hand on pro-growth policies: Fitch… https://t.co/9K1Jb829MT</t>
  </si>
  <si>
    <t>DoFreeIran</t>
  </si>
  <si>
    <t>#Libya #Qatar #Saudi #Japan Abe's election win to boost his hand on pro-growth policies: Fitch… https://t.co/rvVivb1xs7</t>
  </si>
  <si>
    <t>RetweetMeNow</t>
  </si>
  <si>
    <t>#foxnews #cnn #ap #Japan Abe's election win to boost his hand on pro-growth policies: Fitch https://t.co/0fyentI4tf https://t.co/8g53nGP6mL</t>
  </si>
  <si>
    <t>sussi  queen</t>
  </si>
  <si>
    <t>#Syria #Reuters #Japan Abe's election win to boost his hand on pro-growth policies: Fitch https://t.co/RSjU2Pjiom https://t.co/shtzfyOR9n</t>
  </si>
  <si>
    <t>Shahram Tavasoli</t>
  </si>
  <si>
    <t>#Iran #News #Japan Abe's election win to boost his hand on pro-growth policies: Fitch https://t.co/GQL9uOLpQw https://t.co/es9z4479Eb</t>
  </si>
  <si>
    <t>#usa #texas #india #Japan Abe's election win to boost his hand on pro-growth policies: Fitch https://t.co/VkrgTvHENV https://t.co/gmVD8C0i25</t>
  </si>
  <si>
    <t>Kanbiz Safaei</t>
  </si>
  <si>
    <t>#Azerbaijan #Albania #Japan Abe's election win to boost his hand on pro-growth policies: Fitch… https://t.co/lr1WsTBm6j</t>
  </si>
  <si>
    <t>English</t>
  </si>
  <si>
    <t>Human Rightrs</t>
  </si>
  <si>
    <t>Pedram Vakili</t>
  </si>
  <si>
    <t>#foxnews #cnn #ap #Japan Abe's election win to boost his hand on pro-growth policies: Fitch https://t.co/hAz6yH8V63 https://t.co/8bKmbDYJYV</t>
  </si>
  <si>
    <t>Roya Fazl</t>
  </si>
  <si>
    <t>#indonesia #Mexico #Japan Abe's election win to boost his hand on pro-growth policies: Fitch https://t.co/PVHEZfBoti https://t.co/Y7amsat6T5</t>
  </si>
  <si>
    <t>English london</t>
  </si>
  <si>
    <t>Shahab Sbasi</t>
  </si>
  <si>
    <t>#Egypt #France #Italy #Japan Abe's election win to boost his hand on pro-growth policies: Fitch… https://t.co/5dw6QXKh2u</t>
  </si>
  <si>
    <t>Freedom 4 Iran</t>
  </si>
  <si>
    <t>#Azerbaijan #Albania #Japan Abe's election win to boost his hand on pro-growth policies: Fitch… https://t.co/afBo16Osy9</t>
  </si>
  <si>
    <t>Mercedes JOYCE</t>
  </si>
  <si>
    <t>#Islamabad #Riyadh #Madrid #Japan Abe's election win to boost his hand on pro-growth policies: Fitch… https://t.co/orS1PYvhnk</t>
  </si>
  <si>
    <t>sayed Aliyar</t>
  </si>
  <si>
    <t>#Spain #Canada #Australia #Japan Abe's election win to boost his hand on pro-growth policies: Fitch… https://t.co/PEH8JGHwA0</t>
  </si>
  <si>
    <t>pars_News</t>
  </si>
  <si>
    <t>#Oslo #Muscat #Japan Abe's election win to boost his hand on pro-growth policies: Fitch https://t.co/x34iJn4HlP https://t.co/ANOxPuXCae</t>
  </si>
  <si>
    <t>Jacob Jonson</t>
  </si>
  <si>
    <t>#Kabul #Vienna #Japan Abe's election win to boost his hand on pro-growth policies: Fitch https://t.co/qFUg8I4nrF https://t.co/BhS5l5jWEw</t>
  </si>
  <si>
    <t>AlirezaPourMohamadi</t>
  </si>
  <si>
    <t>#Amman #Beirut #Luxembourg #Japan Abe's election win to boost his hand on pro-growth policies: Fitch… https://t.co/27wR5O6nGM</t>
  </si>
  <si>
    <t>Bhram Hbiby</t>
  </si>
  <si>
    <t>RT @Ehsan_Toton: #interfax #Headline #CNN #Japan Abe's election win to boost his hand on pro-growth policies: Fitch https://t.co/7Y2cT2cxE4…</t>
  </si>
  <si>
    <t>Freedom for Iran</t>
  </si>
  <si>
    <t>Yasmine ROMERO</t>
  </si>
  <si>
    <t>RT @Mojahedineng: #News #Iran #Japan Abe's election win to boost his hand on pro-growth policies: Fitch https://t.co/UdlrDvLahN https://t.c…</t>
  </si>
  <si>
    <t>https://t.co/ex6FAcV9OF #Japan Abe's election win to boost his hand on pro-growth policies: Fitch #indonesia #Italy #Spain</t>
  </si>
  <si>
    <t>Dhrish.B.BHANSALI</t>
  </si>
  <si>
    <t>Valles Marineris, MARS</t>
  </si>
  <si>
    <t>Want to unleash the secrets of the universe. Don't like people who do not believe in climate change. Dream to become an astrophysicist and astronaut.</t>
  </si>
  <si>
    <t>Shivendu Gautam</t>
  </si>
  <si>
    <t>Sunder Nagar, Himachal Pradesh</t>
  </si>
  <si>
    <t>'In God We Trust''</t>
  </si>
  <si>
    <t>RT @irane_Azad: #Iran #News #Us #Japan Abe's election win to boost his hand on pro-growth policies: Fitch https://t.co/Y6VarPsbFh https://t…</t>
  </si>
  <si>
    <t>RT @MyLife4Iran: #Iran #USA #Japan Abe's election win to boost his hand on pro-growth policies: Fitch https://t.co/ISg0603Ruc https://t.co/…</t>
  </si>
  <si>
    <t>拉里萨·什维索瓦</t>
  </si>
  <si>
    <t>Suits filed at 14 courts to annul Lower House #election results：The Asahi Shimbun #politics #Japan https://t.co/kRpSD1jhiM</t>
  </si>
  <si>
    <t>Hiroyuki Onishi</t>
  </si>
  <si>
    <t>神戸市中央区北野町</t>
  </si>
  <si>
    <t>チャリテインメント（charitainment）をコンセプトに①募金箱②寄付③決済を三位一体でイノベーション。寄付体験をアップデートする「表現したい♥ワタシ」時代の社会貢献スタイルを考案（特許出願済／2014、2016）、事業化へ。募金箱をemojiに変える！プロジェクト好評展開中。個人が社会貢献をデザインする社会に…</t>
  </si>
  <si>
    <t>junia</t>
  </si>
  <si>
    <t>EU</t>
  </si>
  <si>
    <t>student in political science, int.l relations, int.l/EU law/economics, constitutionalism; environmentalist, renewable energy, no-nukes</t>
  </si>
  <si>
    <t>Indian Politics</t>
  </si>
  <si>
    <t>RT @truesourcemedia: Shinzo Abe vows to seek consensus on Japan Constitution after election win https://t.co/I3Zbm6CEJd</t>
  </si>
  <si>
    <t>Farzan Ahmadzadeh</t>
  </si>
  <si>
    <t>RT @Mojahedineng: https://t.co/ex6FAcV9OF #Japan Abe's election win to boost his hand on pro-growth policies: Fitch #indonesia #Italy #Spain</t>
  </si>
  <si>
    <t>Roma</t>
  </si>
  <si>
    <t>I support #PMOI, #camp liberty I cry for #freedom in #iran</t>
  </si>
  <si>
    <t>Russel Altman</t>
  </si>
  <si>
    <t>Fighting for freedom and democracy in Iran.</t>
  </si>
  <si>
    <t>⬅️・ェ・➡️⚡️dopeness</t>
  </si>
  <si>
    <t>すべてがペッカーに染まるまで</t>
  </si>
  <si>
    <t>劈頭言 「お前はサイドに張ってろ↔️」モンテネグロの滾る情熱でオランダスタイルの稠密な戦術を操る希代の名将ゼリコ・ペトロヴィッチを崇拝す。 Many before have hailed the end of the history, none have been right…</t>
  </si>
  <si>
    <t>恐怖政治・革命bot</t>
  </si>
  <si>
    <t>馬鹿げている。銃殺なしでどうやって革命をやろうというのかね ――レーニン</t>
  </si>
  <si>
    <t>Harsh Kothari</t>
  </si>
  <si>
    <t>#Director Mohan Group of Companies #Addis Ababa #Ethiopia @MohanPlc Retweets do not represent my opinions. Favorites are not my endorsements.</t>
  </si>
  <si>
    <t>JamesTurnbull</t>
  </si>
  <si>
    <t>Japan election shines harsh light on gender gap https://t.co/GCULqj4heK</t>
  </si>
  <si>
    <t>Busan, Korea</t>
  </si>
  <si>
    <t>Writer &amp; public speaker on Korean feminism, sexuality, &amp; pop culture. Unabashedly NSFW.</t>
  </si>
  <si>
    <t>RT @AJWasahi: Suits filed at 14 courts to annul Lower House #election results：The Asahi Shimbun #politics #Japan https://t.co/kRpSD1jhiM</t>
  </si>
  <si>
    <t>AzimeNarouei</t>
  </si>
  <si>
    <t>Nakisha Sheets</t>
  </si>
  <si>
    <t>Supporting Maryam Rajavi</t>
  </si>
  <si>
    <t>Asia-Pacific News</t>
  </si>
  <si>
    <t>Winning big : Japan’s ruling coalition retains a supermajority in snap election https://t.co/Dsu3Sj1p9u via @TheEconomist</t>
  </si>
  <si>
    <t>Stay informed with the latest news and commentary on essential political and economic developments in the Asia-Pacific.</t>
  </si>
  <si>
    <t>Hormuz Hosseini</t>
  </si>
  <si>
    <t>Japan PM Abe's ruling bloc on track for big election win, according to exit polls https://t.co/pNFvJdR3Tu #スマートニュース</t>
  </si>
  <si>
    <t>Soraya Stahl</t>
  </si>
  <si>
    <t>Democracy for Iran</t>
  </si>
  <si>
    <t>猿田彦555</t>
  </si>
  <si>
    <t>RT @Shahram_Tavasol: #Iran #News #Japan Abe's election win to boost his hand on pro-growth policies: Fitch https://t.co/GQL9uOLpQw https://…</t>
  </si>
  <si>
    <t>RG</t>
  </si>
  <si>
    <t>Great people person! Love sports and doing fun stuff! Life is an adventure worth discovering, always!</t>
  </si>
  <si>
    <t>What you can expect from Shinzo Abe's government in Japan after his election win https://t.co/jtYzdID3aF https://t.co/hNV6u5DCek</t>
  </si>
  <si>
    <t>What you can expect from Shinzo Abe's government in Japan after his election win https://t.co/GfHuyMMAh0 https://t.co/veJyYJxkwQ</t>
  </si>
  <si>
    <t>Japan’s Abe Has Pulled Off a Landslide— But He’s Not as Popular as You Might Think https://t.co/5mI5JiOQTz</t>
  </si>
  <si>
    <t>しゅほ</t>
  </si>
  <si>
    <t>What you can expect from Shinzo Abe's government in Japan after his election win https://t.co/tTtmjEH9SN https://t.co/zir8p5RI7I #fb #sit…</t>
  </si>
  <si>
    <t>29 प्रकृति प्रेमी</t>
  </si>
  <si>
    <t>Iove nature</t>
  </si>
  <si>
    <t>Snapzu World News</t>
  </si>
  <si>
    <t>North Korea blasts Japan for using election to 'pave groundwork' for invasion https://t.co/XG6TAk5FSD</t>
  </si>
  <si>
    <t>Connect with fellow bloggers:</t>
  </si>
  <si>
    <t>The official twitter of @Snapzu's user-run at https://t.co/YihvKBNjlt! We also have a blogger's link sharing and discussion community ↓</t>
  </si>
  <si>
    <t>RT @_YukaKimura_: #election result Red:Liberal Democratic Party Pink:Komeito Green:Party of Hope Blue:The Constitutional Democratic Party o…</t>
  </si>
  <si>
    <t>Snapzu Politics</t>
  </si>
  <si>
    <t>North Korea blasts Japan for using election to 'pave groundwork' for invasion https://t.co/Cd5OiYn2lU</t>
  </si>
  <si>
    <t>The official twitter of @Snapzu's user-run Politics section at https://t.co/1QTNa6O6xd! We also have a blogger's link sharing and discussion community ↓</t>
  </si>
  <si>
    <t>RT @bpolitics: What you can expect from Shinzo Abe's government in Japan after his election win https://t.co/GfHuyMMAh0 https://t.co/veJyYJ…</t>
  </si>
  <si>
    <t>Украина</t>
  </si>
  <si>
    <t>RT @NAR: Japan election: See Nikkei's latest projection,310 are needed for supermajority required for constitutional change. https://t.co/8…</t>
  </si>
  <si>
    <t>Ajay Giri</t>
  </si>
  <si>
    <t>Government and Politics Politicians and Pol Parties</t>
  </si>
  <si>
    <t>arya aryaism</t>
  </si>
  <si>
    <t>Japan's Abe hails landslide victory in snap election @CNNI https://t.co/xDHyucjpIU</t>
  </si>
  <si>
    <t>wadoryuakedemi45cz@Yahoo.com / Okinawaeiland45cz@Yahoo.com / دو تا صفحه در فيسبوک به نام Arya Aryaism یکی سیاسی _ یکی علمی / یک صفحه در telegram / instgram ...</t>
  </si>
  <si>
    <t>Kamran Sarvnaz</t>
  </si>
  <si>
    <t>Nili Majumder</t>
  </si>
  <si>
    <t>Advocacy 4 Global Fund for Women's initiatives-Women Empowerment,Gender Equality.Spreading the messages of UN &amp; UNVolunteering initiatives.Former VSO vol.</t>
  </si>
  <si>
    <t>Awadh Pradesh</t>
  </si>
  <si>
    <t>Ayodhya, India</t>
  </si>
  <si>
    <t>हमारा उद्देश्य - अवध प्रदेश के लिये संघर्ष: अवध प्रदेश संघर्ष समिति</t>
  </si>
  <si>
    <t>Ayu・M</t>
  </si>
  <si>
    <t>Hayley Doss</t>
  </si>
  <si>
    <t xml:space="preserve">Chattanooga </t>
  </si>
  <si>
    <t>Master's Degree of Social Work · Marriage, Family and Child Counseling</t>
  </si>
  <si>
    <t>Sofia Visconti</t>
  </si>
  <si>
    <t>山梨県</t>
  </si>
  <si>
    <t>車で３０分ほどのところに無農薬有機栽培のブドウ園があります。 そこの葡萄が美味しすぎてまた一つ智慧の悲しみを背負ってしまった</t>
  </si>
  <si>
    <t>Lord Jack</t>
  </si>
  <si>
    <t>Abe to push reform of Japan's pacifist constitution after election win - Reuters https://t.co/7b2tcxLfNw</t>
  </si>
  <si>
    <t>The Lowcountry</t>
  </si>
  <si>
    <t>Descendant of Sir George Calvert, founder of Maryland, birthplace of religious tolerance. Ex-Navy. Enemy of Brietbart, InfoWars, Fox News, and all things Trump.</t>
  </si>
  <si>
    <t>(CNN) #Japan's #Abe remains Trump's best ally against 'unprecedented' North Korea threat : A decisive election.. https://t.co/0AJUFbHLbm</t>
  </si>
  <si>
    <t>David Kemp</t>
  </si>
  <si>
    <t>Detroit, MI</t>
  </si>
  <si>
    <t>Working hard at Compuware to solve customer issues for 15 years!</t>
  </si>
  <si>
    <t>shiv shankar Sharma</t>
  </si>
  <si>
    <t>Bihar India</t>
  </si>
  <si>
    <t>समाज सेवी (गरीबी हटाओ)RSS, कट्टर हिन्दु खुल्लम खुल्ला हम बोलेगा</t>
  </si>
  <si>
    <t>Melvin-Roll</t>
  </si>
  <si>
    <t>Puran Najafi</t>
  </si>
  <si>
    <t>Joshua Chung</t>
  </si>
  <si>
    <t>(Japan's Abe to push pacifist constitution reform after strong election win) is now on - https://t.co/UEJeOvFlCQ</t>
  </si>
  <si>
    <t>Sanjeev Kumar Rai</t>
  </si>
  <si>
    <t>Babak Safavi</t>
  </si>
  <si>
    <t>Valiollah Faze</t>
  </si>
  <si>
    <t>http://t.co/7UPYUUXMrC</t>
  </si>
  <si>
    <t>Dixie Darling</t>
  </si>
  <si>
    <t>@TrumpsBlonde @jcpenni7k @TruthFeedNews I currently live in Japan, and this has been floating around since last sum… https://t.co/MytiR5uoh7</t>
  </si>
  <si>
    <t>wife of Army Ranger combat vet, mother of naval officer, nurse, libertarian, hate hate hate PC, just a southern girl trying to keep it real, y’all... #MAGA</t>
  </si>
  <si>
    <t>lavkush</t>
  </si>
  <si>
    <t>もぐもぐ</t>
  </si>
  <si>
    <t>沖縄</t>
  </si>
  <si>
    <t>C'lee Sly</t>
  </si>
  <si>
    <t>Global Village</t>
  </si>
  <si>
    <t>Jyoti Das</t>
  </si>
  <si>
    <t>भुवनेश्वर, भारत</t>
  </si>
  <si>
    <t>Morgan Hood</t>
  </si>
  <si>
    <t>U.S.A</t>
  </si>
  <si>
    <t>Barclay</t>
  </si>
  <si>
    <t>Camp'n, SCUBAdiv'n, Freedive'n, Bike'n Hippy that is a Manager at a major MSP in the Eastern Business Corridor.</t>
  </si>
  <si>
    <t>Sara Mokhtar</t>
  </si>
  <si>
    <t>yogendrasinh zala</t>
  </si>
  <si>
    <t>मेरी जान से भी प्यारा हे मुझे मेरा हिंदुस्तान. Electrical technician at GSFC LTD Vadodara gujarat. Royal Rajput. Big fan of @narendramodi</t>
  </si>
  <si>
    <t>Amlan Dutta</t>
  </si>
  <si>
    <t>#PHDscholar #DeptOfEastAsianStudies #DelhiUniversity #Cricketer #TableTennisPlayer #BJPRules #IndianArmyLover #CallMeAJingoist #AlwaysHungry #ViewsPersonal</t>
  </si>
  <si>
    <t>DR. SHARAD KR SHARMA</t>
  </si>
  <si>
    <t>#Proud Bhakt #Devotee of Poojya Sri Sri Ravi Shankar Ji #Jai Guru Dev #Namo Namo #Vasudhaiva Kutumbakam #Vandemaatram</t>
  </si>
  <si>
    <t>Rahul Karunakar</t>
  </si>
  <si>
    <t>Editor in Charge, Reuters Polls, Bangalore</t>
  </si>
  <si>
    <t>Tom Read</t>
  </si>
  <si>
    <t>Avinash Pandey</t>
  </si>
  <si>
    <t>Government and Politics Politicians and Pol Parties Government &amp; Public Utilities News Indian Athletes Sports Journalists</t>
  </si>
  <si>
    <t>bill  queen</t>
  </si>
  <si>
    <t>Fransisca-Workman</t>
  </si>
  <si>
    <t>NCRI &amp; MEK Supporter</t>
  </si>
  <si>
    <t>Laily Floyd</t>
  </si>
  <si>
    <t>Cherokee, Ga</t>
  </si>
  <si>
    <t>I love hanging out w my friends &amp; having fun! Im a true Barb for life! I love Nicki Minaj! My fiance is my world! ILOVEYOU so much honey boo! @coleman2394</t>
  </si>
  <si>
    <t>Ariel Myles</t>
  </si>
  <si>
    <t>Humanrights</t>
  </si>
  <si>
    <t>Bronka</t>
  </si>
  <si>
    <t>And life goes on.</t>
  </si>
  <si>
    <t>Peter SHIN</t>
  </si>
  <si>
    <t>Twitterrific for Mac</t>
  </si>
  <si>
    <t>Pastor/ Life Consultant/ The End of Poverty/ Local church is hope for the world/ Evangelical Covenant / McCormick alumni/ Master of Theological Studies</t>
  </si>
  <si>
    <t>Yadira GILBERT</t>
  </si>
  <si>
    <t>Nickie Furr</t>
  </si>
  <si>
    <t>Srinivas Reddymalla</t>
  </si>
  <si>
    <t>Aina 🎃🦇</t>
  </si>
  <si>
    <t>UiTV Connect</t>
  </si>
  <si>
    <t>Japan's ruling camp wins two-thirds majority in lower house election https://t.co/M9wjxC4B5w via @YouTube</t>
  </si>
  <si>
    <t>Trust 🌐UiTV - Follow Us, Make sure you read the #RightContent📰&amp; #LatestNews, stay Informed and not Misinformed.</t>
  </si>
  <si>
    <t>Jukka Isorinne</t>
  </si>
  <si>
    <t>Kiko Medina</t>
  </si>
  <si>
    <t>Bronx</t>
  </si>
  <si>
    <t>Grind Squad - http://t.co/rcL8AsJW1B http://t.co/rBvlCxBBZ4 http://t.co/bs9mtYuhss</t>
  </si>
  <si>
    <t>Anne Swardson</t>
  </si>
  <si>
    <t>Two countries, two kids, one job (Senior editor at Bloomberg @business), one mate, occasional horses, many personal opinions</t>
  </si>
  <si>
    <t>colin hyman</t>
  </si>
  <si>
    <t>Shinzo Abe secures strong mandate in Japan's general election https://t.co/I5NUSQsm0z</t>
  </si>
  <si>
    <t>Bournemouth in UK</t>
  </si>
  <si>
    <t>Colin Hyman was born in Dover in 1951 in the Year of the Rabbit.</t>
  </si>
  <si>
    <t>Turbat</t>
  </si>
  <si>
    <t>Economist, Stock trader, photographer ... Асуудал бэрхшээл шуурга мэт оволзоод өнгөрөхөд амьдрал уул мэт дүнхийгээд үлдэнэ ...</t>
  </si>
  <si>
    <t>Paige-Antoine</t>
  </si>
  <si>
    <t>Rai-Jon</t>
  </si>
  <si>
    <t>Rai-Jon's app</t>
  </si>
  <si>
    <t>Wazaaaaaaaaaaaaap</t>
  </si>
  <si>
    <t>Litan Debnath</t>
  </si>
  <si>
    <t>りえ</t>
  </si>
  <si>
    <t>戦争はダメ!!! 安倍政権打倒!!! 「自由の党」小沢一郎氏、山本太郎氏を支持します！良いことも悪いことも、おお！むむ！と思ったらRTしまくります。 元IwJ会員です。訳あって今は休止中ですが戻れるように頑張ります。</t>
  </si>
  <si>
    <t>Bashir Sabri</t>
  </si>
  <si>
    <t>VINAY HARSWAL</t>
  </si>
  <si>
    <t>Water Management Engineer,</t>
  </si>
  <si>
    <t>O S Kempawad</t>
  </si>
  <si>
    <t>One Minute Manager, A Simple human being who believes in Motivational Management, Live &amp; Let others Live, Work is Worship philosophy. ಕನ್ನಡಿಗ, ಭಾರತಾಂಬೆಯ ಸುಪುತ್ರ</t>
  </si>
  <si>
    <t>Srinivasmurthi</t>
  </si>
  <si>
    <t>Int_v</t>
  </si>
  <si>
    <t>Hyogo pref. Japan</t>
  </si>
  <si>
    <t>a Vissel Kobe fan</t>
  </si>
  <si>
    <t>Chana Paulsen</t>
  </si>
  <si>
    <t>Fighting for Freedom &amp; Democracy</t>
  </si>
  <si>
    <t>My thoughts on Sunday's election in Japan and next steps for Abe Shinzo https://t.co/VdfLdbJipa via @prospect_uk</t>
  </si>
  <si>
    <t>Parth Chavda</t>
  </si>
  <si>
    <t xml:space="preserve">Rajkot, Gujarat, India </t>
  </si>
  <si>
    <t>Past is Experience ! Present is Experiment ! Future is Expectations ! Use your Experience into your Experiment to achieve your Expectations...</t>
  </si>
  <si>
    <t>ronald ranbou</t>
  </si>
  <si>
    <t>mikas matsuzawa</t>
  </si>
  <si>
    <t>@PhilstarNews editor. @NewsLabPH sorceress. p.s. low-key ravenclaw. awkward in social situations.</t>
  </si>
  <si>
    <t>Winning big: Japan’s ruling coalition retains a supermajority in snap election https://t.co/5c2qroiRGr (Japan)</t>
  </si>
  <si>
    <t>Tessie-Livingston</t>
  </si>
  <si>
    <t>Iranian revolotion supporter</t>
  </si>
  <si>
    <t>Pearlene Motley</t>
  </si>
  <si>
    <t>LONDON</t>
  </si>
  <si>
    <t>Kartik Thaore</t>
  </si>
  <si>
    <t>IndiaFirst - Embedded Software - Cricket - Nagpur</t>
  </si>
  <si>
    <t>Just like in an election, there are winners and losers in business post-Abe's win. https://t.co/bQAaJdC97j</t>
  </si>
  <si>
    <t>Flying Eagle</t>
  </si>
  <si>
    <t>❌❌❌👉NO FOLLOW BACK👈❌❌❌ my main account is👉 @Pratap061061 The Eagle. Tweets are in likes. @Pratap0610611</t>
  </si>
  <si>
    <t>Shagil</t>
  </si>
  <si>
    <t>Wendy</t>
  </si>
  <si>
    <t>Philadelphia</t>
  </si>
  <si>
    <t>Photography fan, vegetarian-wannabee, wife and mom. Lover of memoirs and thrillers.</t>
  </si>
  <si>
    <t>JOHCM</t>
  </si>
  <si>
    <t>Many reasons to be Abe: JOHCM’s Ruth Nash on Japan’s election and why the time is right for Japanese equities https://t.co/WD2R7HkDL4</t>
  </si>
  <si>
    <t>J O Hambro Capital Management (JOHCM), an active investment management company. Content intended for professional investors only.</t>
  </si>
  <si>
    <t>Shivam Tiwari</t>
  </si>
  <si>
    <t>Never Give Up✊✊✊</t>
  </si>
  <si>
    <t>Kenneth Weinstein</t>
  </si>
  <si>
    <t>@WSJopinion Japan’s Election Warning to China https://t.co/AQZtd4su0g</t>
  </si>
  <si>
    <t>Washington, D.C.</t>
  </si>
  <si>
    <t>President/CEO Hudson Institute. The welfare of America is intimately connected with the happiness of all mankind. Lafayette, 1777.</t>
  </si>
  <si>
    <t>Ирина Сергеева</t>
  </si>
  <si>
    <t>Karim Baloch</t>
  </si>
  <si>
    <t>Japan Abe's election win to boost his hand on pro-growth policies: Fitch https://t.co/M9vjRO7Fgi</t>
  </si>
  <si>
    <t>Legacy Citizenship</t>
  </si>
  <si>
    <t>Japan Abe's election win to boost his hand on pro-growth policies - Fitch https://t.co/HgEBcYcAJW</t>
  </si>
  <si>
    <t>Legacy Citizenship offers expert Citizenship Planning services to allow UHNWI exciting new options for travel, mobility and security. Contact us today.</t>
  </si>
  <si>
    <t>What you can expect from Shinzo Abe's government in Japan after his election win https://t.co/eWEUoxzEuo https://t.co/IyUXADJqmF</t>
  </si>
  <si>
    <t>What you can expect from Shinzo Abe's government in Japan after his election win https://t.co/mlXtHOJoJ1 https://t.co/l6oiIokUBB</t>
  </si>
  <si>
    <t>business: What you can expect from Shinzo Abe's government in Japan after his election win https://t.co/3AvMlBMuVl https://t.co/whvSopXbeW</t>
  </si>
  <si>
    <t>AP</t>
  </si>
  <si>
    <t>RT @business: What you can expect from Shinzo Abe's government in Japan after his election win https://t.co/eWEUoxzEuo https://t.co/IyUXADJ…</t>
  </si>
  <si>
    <t>Segunda cuenta oficial. Estudiante de Economía.</t>
  </si>
  <si>
    <t>Yash WaitForIt</t>
  </si>
  <si>
    <t>Life is dumb and I want to sleep. Elon Musk inspires me.</t>
  </si>
  <si>
    <t>What you can expect from Shinzo Abe's government in Japan after his election win https://t.co/7o1iL8Enas https://t.co/niewRJllXF</t>
  </si>
  <si>
    <t>Karen Keith</t>
  </si>
  <si>
    <t>Macau</t>
  </si>
  <si>
    <t>Broadcast Journalist. Macau-Hong Kong-Manila</t>
  </si>
  <si>
    <t>Yuri Maria</t>
  </si>
  <si>
    <t>RT @jaimeotero_: What you can expect from Shinzo Abe's government in Japan after his election win https://t.co/7o1iL8Enas https://t.co/niew…</t>
  </si>
  <si>
    <t>Sueño con un mundo mejor me gusta andar en bici y patinar.España</t>
  </si>
  <si>
    <t>Piedad Bright</t>
  </si>
  <si>
    <t>Just a creature of God. Not more and not less.</t>
  </si>
  <si>
    <t>Udyan Sharma</t>
  </si>
  <si>
    <t>Always Moving Ahead</t>
  </si>
  <si>
    <t>Indian , IT guy! Tweets on technology, sports and politics.</t>
  </si>
  <si>
    <t>M.Jones</t>
  </si>
  <si>
    <t>This is no longer "left v right." The #Resistance is now a pro-democracy movement against a would-be Trump authoritarian regime. -Van Jones</t>
  </si>
  <si>
    <t>business: What you can expect from Shinzo Abe's government in Japan after his election win https://t.co/5T6K0ZavWm https://t.co/5r4qa2wWaU</t>
  </si>
  <si>
    <t>business: What you can expect from Shinzo Abe's government in Japan after his election win … https://t.co/qfq3O4dMoe</t>
  </si>
  <si>
    <t>sine metu</t>
  </si>
  <si>
    <t>Sine Metu.</t>
  </si>
  <si>
    <t>Ian Hanke</t>
  </si>
  <si>
    <t>Work at PM&amp;C Group. I enjoy cigars, red wine and sailing.</t>
  </si>
  <si>
    <t>What you can expect from Shinzo Abe's government in Japan after his election win https://t.co/hiM8Wl5t2Y https://t.co/PuRK3E5RPI</t>
  </si>
  <si>
    <t>Patrick</t>
  </si>
  <si>
    <t>Stocks slip to start the week on disappointing earnings https://t.co/OOBWgEtQ1v via @WSJ</t>
  </si>
  <si>
    <t>Basant Kumar Dugar</t>
  </si>
  <si>
    <t>@AbeShinzo HEARTIEST CONGRATULATIONS FOR YOUR NICEST WIN IN THE MOST DEMOCRATIC GENERAL ELECTION IN JAPAN! WORLD MUST LEARN FROM YOUR WIN.</t>
  </si>
  <si>
    <t>Borzo Shoshtari</t>
  </si>
  <si>
    <t>Fluffy Banal</t>
  </si>
  <si>
    <t>RT @Four_Banal: Snap election gamble looks set to pay off for Japan's Abe @Eleven_Banal</t>
  </si>
  <si>
    <t>business: What you can expect from Shinzo Abe's government in Japan after his election win https://t.co/XpVuWqSe7q https://t.co/NANW18u7sO</t>
  </si>
  <si>
    <t>Japan's main index $NIKKEI hit another record high as investors cheered Prime Minister Shinzo Abe's election victory https://t.co/GhV659aEZD</t>
  </si>
  <si>
    <t>Forogh Karimi</t>
  </si>
  <si>
    <t>RT business "What you can expect from Shinzo Abe's government in Japan after his election win … https://t.co/JPDoIdTrQ5"</t>
  </si>
  <si>
    <t>InvestmentQuorum</t>
  </si>
  <si>
    <t>RT @KLComms: “The sun may yet rise for Japan with Abe at the helm”. Read @Hermesinvest's Louise Dudley’s take on the impact of Japanese ele…</t>
  </si>
  <si>
    <t>Multi-award winning wealth management in London. News &amp; Opinion on financial planning, wealth and investments. Not advice just comment. Regulated by The FCA.</t>
  </si>
  <si>
    <t>Daily Maverick Show</t>
  </si>
  <si>
    <t>We'll be live at 1pm talkingabout the ANC election race with @carienduplessis and China and Japan politics with @parkhurst1. Tune in!</t>
  </si>
  <si>
    <t>An in-depth current affairs show hosted by @gregnicolson Tuesdays 1-2pm. Live on @CliffCentralCom. Podcasts here: https://t.co/1z8YUKByB4</t>
  </si>
  <si>
    <t>What you can expect from Shinzo Abe's government in Japan after his election win https://t.co/MVtMpmSKga https://t.co/C3exnQ04YS #BSAFund…</t>
  </si>
  <si>
    <t>Japan's Abe Has Pulled Off a Landslide—But He's Not as Popular as You Might Think https://t.co/7nx6gaTDQa #SmartNews</t>
  </si>
  <si>
    <t>靓坤</t>
  </si>
  <si>
    <t>Solomon</t>
  </si>
  <si>
    <t>RT @DMShowZA: We'll be live at 1pm talkingabout the ANC election race with @carienduplessis and China and Japan politics with @parkhurst1.…</t>
  </si>
  <si>
    <t>enjoy politics, despise fraud/cons/cheats/thieves/corruption</t>
  </si>
  <si>
    <t>jaimeotero_: What you can expect from Shinzo Abe's government in Japan after his election win https://t.co/S7lG2zQCeG …</t>
  </si>
  <si>
    <t>(((Yogamber)))</t>
  </si>
  <si>
    <t>Turbulent Times...Choppy Seas.</t>
  </si>
  <si>
    <t>Work on a Ship as Chief Officer.Studied in Jammu, Southshields. Hate Pseudo Seculars.Respect others faith as long as they reciprocate.RT's are not endorsements.</t>
  </si>
  <si>
    <t>Alison McEntee</t>
  </si>
  <si>
    <t>Glasgow, Scotland</t>
  </si>
  <si>
    <t>Mother, Learning developer, Teacher and PhD candidate @#UWS , exploring nurses' experience of Academic Writing. 👨‍🎓🙅🏻♥️🎹🎻♥️🌹🌹🌹💪🏼💪🏼💪🏼👩‍⚕️💃🏻🏡🐨</t>
  </si>
  <si>
    <t>What you can expect from Shinzo Abe's government in Japan after his election win https://t.co/rqkBdYeBuS https://t.co/jKuJOFj6em</t>
  </si>
  <si>
    <t>Sherise Mannix</t>
  </si>
  <si>
    <t>HumanRights</t>
  </si>
  <si>
    <t>After election win, Abe prioritizes North Korea, aging Japan #SecurityNews https://t.co/HxXMNAgdxL</t>
  </si>
  <si>
    <t>lordvick ombewa</t>
  </si>
  <si>
    <t>sales @ t gas foundation. (l.p.g).Dealers in Butane plus propane.</t>
  </si>
  <si>
    <t>After election win, Abe prioritizes North Korea, aging Japan | https://t.co/3SS4pTwJnB | #Iran</t>
  </si>
  <si>
    <t>लालचंद लोहार</t>
  </si>
  <si>
    <t>मीश्रोकी पीपली</t>
  </si>
  <si>
    <t>Mayers Camilleri</t>
  </si>
  <si>
    <t>Test RT 2</t>
  </si>
  <si>
    <t>Etudiant</t>
  </si>
  <si>
    <t>SUBHANKAR NAG</t>
  </si>
  <si>
    <t>Prospect Magazine</t>
  </si>
  <si>
    <t>Shinzo Abe has won the election—what next for Japan?https://t.co/lCVfYN3GES</t>
  </si>
  <si>
    <t>The leading magazine of ideas. Sign up now for the latest in politics, culture, philosophy and world affairs: https://t.co/89OwpNHzVM</t>
  </si>
  <si>
    <t>Rico</t>
  </si>
  <si>
    <t>日本 日出ル國    トー山サエモンノ城在住</t>
  </si>
  <si>
    <t>宜しくお願い致します。日本、ファッション、漫画、歴史、アールヌーボー、アールデコ、日本のイラストレーターさん、動物好きです(♪・0・♪) 最近、日本の事について考えてます。趣味 大雑把ベランダー 大雑把アクアリウム 歴史、時代劇好きです☀☺☀ 無礼な礼儀知らずの方はブロックします🎵</t>
  </si>
  <si>
    <t>RT @AJWasahi: #VOTE2017: Opposition alliance could have won 63 more seats：The Asahi Shimbun #Japan #election #politics https://t.co/ULK97g…</t>
  </si>
  <si>
    <t>RT @AJWasahi: EDITORIAL: #LDP election win no mandate for amending #Constitution：The Asahi Shimbun #Japan #politics https://t.co/GGZ25AcrJj</t>
  </si>
  <si>
    <t>Abe claims victory as powerful endorsement, may seek re-election next month | The Japan Times https://t.co/kcGg9g2CX2</t>
  </si>
  <si>
    <t>Sanjay k.Bhardwaj</t>
  </si>
  <si>
    <t>Chandigarh, Bharat</t>
  </si>
  <si>
    <t>Nilesh Merchant</t>
  </si>
  <si>
    <t>Pera. Navsari, India</t>
  </si>
  <si>
    <t>Sah Incharge of ITSM Navsari Taluka..Bjp worker fm 1990..</t>
  </si>
  <si>
    <t>Shiahin Rodbar</t>
  </si>
  <si>
    <t>Hermes Investment</t>
  </si>
  <si>
    <t>The official twitter feed for Hermes. Click link below for important disclosures:</t>
  </si>
  <si>
    <t>Japan's Shinzo Abe won by a landside, but he isn't as popular as you might think https://t.co/SfvHcWtJUz https://t.co/dUZGIs6yqC</t>
  </si>
  <si>
    <t>Lanの風</t>
  </si>
  <si>
    <t>Hiroshima</t>
  </si>
  <si>
    <t>#肉球新党 オーガニック コットン ファッション https://t.co/iTCHI3Rj3g 動いてこそ、その次があるんだよ #肉球新党 部長@OORer698 さんのつぶやき https://t.co/9u8wWfx0W4</t>
  </si>
  <si>
    <t>Whit Stevenson</t>
  </si>
  <si>
    <t>Progressive and Active – Graphic Design – Artist/Maker + Creativity/Solutions based thinking – Design Science – Soldier of Light</t>
  </si>
  <si>
    <t>RAJKUMAR SINGH CHAUH</t>
  </si>
  <si>
    <t>Prasanta Darani</t>
  </si>
  <si>
    <t>Dhubulia</t>
  </si>
  <si>
    <t>আমি গরর্বিত আমি ভারতীয়</t>
  </si>
  <si>
    <t>moejunko</t>
  </si>
  <si>
    <t>無宗教 好きな色はブルー•好きな動物は象•好きな花は薔薇です。原発依存反対！死刑は殺人！イルカ殺しを擁護する人がいる限りイルカの味方をします。捕鯨は近隣国の感情を考慮、当たり前の事!! 不公平社会の中国に物申す。Tibet•E.Turkistan•S.Mongoliaを応援しています。</t>
  </si>
  <si>
    <t>Ajeet Kumar</t>
  </si>
  <si>
    <t>Bihar, India&amp;Kolkata</t>
  </si>
  <si>
    <t>I'm Cool boy</t>
  </si>
  <si>
    <t>Devaki Khanna</t>
  </si>
  <si>
    <t>How Yuriko Koike and the Party of Hope Lost Japan's Snap Election | Foreign Affairs https://t.co/GDBZ4g4f2X</t>
  </si>
  <si>
    <t>Freelance editor and writer living in New Delhi, India. Enjoys reading and web-surfing.</t>
  </si>
  <si>
    <t>Dhruv Bishnoi</t>
  </si>
  <si>
    <t>Harish Patil</t>
  </si>
  <si>
    <t>Hubli / Bangalore</t>
  </si>
  <si>
    <t>Nationalist and a Proud Hindu</t>
  </si>
  <si>
    <t>katrin  queen</t>
  </si>
  <si>
    <t>Nadeem Haque</t>
  </si>
  <si>
    <t>RT @prospect_uk: Shinzo Abe has won the election—what next for Japan?https://t.co/lCVfYN3GES</t>
  </si>
  <si>
    <t>Former Deputy Chairman Planning Commission Economist with long career in IMF author of 'looking back' available book stores and Amazon</t>
  </si>
  <si>
    <t>Debra</t>
  </si>
  <si>
    <t>New post (Japan's PM Wins Re-election: North Korea a Priority) has been published on Best Images Collections ... - https://t.co/b6HlCIpoMe</t>
  </si>
  <si>
    <t>winterbluemusic1</t>
  </si>
  <si>
    <t>MyBIZ</t>
  </si>
  <si>
    <t>New post (Japan's PM Wins Re-election: North Korea a Priority) has been published on Best Images Collections ... - https://t.co/rpEYnnasD9</t>
  </si>
  <si>
    <t>autoposters</t>
  </si>
  <si>
    <t>hyhm</t>
  </si>
  <si>
    <t>映画 音楽 読書 ラジオ</t>
  </si>
  <si>
    <t>Devender Prasad Tiwa</t>
  </si>
  <si>
    <t>Japan’s Election Warning to China https://t.co/h2EyOWNvdg via @WSJOpinion</t>
  </si>
  <si>
    <t>This Week in Japan (10.24.17): Abe Wins Third General Election Victory Link: https://t.co/Z4U77u63W2 https://t.co/nTMBdyk3FK</t>
  </si>
  <si>
    <t>VIP</t>
  </si>
  <si>
    <t>Those who Cannot Stand for Themselves never expect they will ever stand for Country. Retweets are not Endorsements.</t>
  </si>
  <si>
    <t>Samuel Cooper</t>
  </si>
  <si>
    <t>RT @BloombergTV: Japan's Shinzo Abe won by a landside, but he isn't as popular as you might think https://t.co/SfvHcWtJUz https://t.co/dUZG…</t>
  </si>
  <si>
    <t>Chicago &amp; Lake Forest, IL</t>
  </si>
  <si>
    <t>🇺🇸44, 6’6”, Married to Abby, Dad to 4.6 kids, CEO @sjcinvestinc, Catholic, Vegan, Author 📚 https://t.co/2BJSL1oFtz &amp; 📚 https://t.co/Oc83Gh55HB</t>
  </si>
  <si>
    <t>Japanese general election: “Japan’s politicians shy away from answering the big questions” https://t.co/gwxxsfvDGx… https://t.co/wgC1oL1ETX</t>
  </si>
  <si>
    <t>ChennaiUngalKaiyil</t>
  </si>
  <si>
    <t>Indian Prime Minister Narendra Modi has conveyed his wishes to Shinzō Abe for his victory in President Election of… https://t.co/YCeWDv0mJ3</t>
  </si>
  <si>
    <t>The Chennai Ungal Kaiyil is working to create a high standard of excellence for the most effective Web sites and advertising on the Internet today.</t>
  </si>
  <si>
    <t>Chris Norée</t>
  </si>
  <si>
    <t>Oralee-Demarco</t>
  </si>
  <si>
    <t>Nine Banal</t>
  </si>
  <si>
    <t>RT @John__Banal: Japan goes to the polls in snap election</t>
  </si>
  <si>
    <t>Ukraine</t>
  </si>
  <si>
    <t>Shirmorad Khaleghi</t>
  </si>
  <si>
    <t>Tbrown</t>
  </si>
  <si>
    <t>CliffCentral.com</t>
  </si>
  <si>
    <t>http://t.co/QyFoB4Nfsd - uncensored unscripted #unradio. Real conversations about everything that happens in our world - everything we all experience every day.</t>
  </si>
  <si>
    <t>What you can expect from Shinzo Abe's government in Japan after his election win https://t.co/hJtMa7zfCX https://t.co/LbxQ1tBJAW</t>
  </si>
  <si>
    <t>RT @BBGVisualData: Japan's prime minister swept away the opposition, but he isn't as popular as you might think https://t.co/CIqS2wTDtK htt…</t>
  </si>
  <si>
    <t>Joana-Ostrander</t>
  </si>
  <si>
    <t>Iranian Human Rights Activist.</t>
  </si>
  <si>
    <t>MoneyMarketingSA</t>
  </si>
  <si>
    <t>RT @BloombergTV: What you can expect from Shinzo Abe's government in Japan after his election win https://t.co/hJtMa7zfCX https://t.co/LbxQ…</t>
  </si>
  <si>
    <t>MoneyMarketing Magazine South Africa, personal finance, investing, financial planning and advice http://t.co/xOOX9iVXPc</t>
  </si>
  <si>
    <t>RT BloombergTV "What you can expect from Shinzo Abe's government in Japan after his election win … https://t.co/Ko7SSIvhYX"</t>
  </si>
  <si>
    <t>Jake Fradkin</t>
  </si>
  <si>
    <t>Manalapan, NJ</t>
  </si>
  <si>
    <t>🇺🇸 Hun '20</t>
  </si>
  <si>
    <t>UbequityCoach</t>
  </si>
  <si>
    <t>CliffCentralCom: RT DMShowZA: We'll be live at 1pm talkingabout the ANC election race with carienduplessis and China and Japan politics wit…</t>
  </si>
  <si>
    <t>CUSTOMIZED BUSINESS GROWTH SOLUTIONS: * Generate More Leads * Increase Conversion Rates * Compel More Frequent Transactions * Command Higher Prices *</t>
  </si>
  <si>
    <t>RT BloombergTV "What you can expect from Shinzo Abe's government in Japan after his election win … https://t.co/9nsWD4zQTJ"</t>
  </si>
  <si>
    <t>David McNeill</t>
  </si>
  <si>
    <t>"Mr Abe has won a big victory but he has a weak mandate." The Economist's wrap of Japan's general election results: https://t.co/HBZIZWPFXP</t>
  </si>
  <si>
    <t>Journalist with The Irish Times and The Economist; author 'Strong in the Rain;' editor 'Japan Focus;' lecturer at Sophia Uni; frustrated dad. All views my own.</t>
  </si>
  <si>
    <t>Батөлзийн БАТ-ЭРДЭНЭ</t>
  </si>
  <si>
    <t>Монгол улс</t>
  </si>
  <si>
    <t>Жаргалаа бусдад бүү гайхуул. Атаа ихэддэг. Зовлонгоо бусдад бүү дэлгэ. Хов ихэддэг. #ББ</t>
  </si>
  <si>
    <t>Robbie Gramer</t>
  </si>
  <si>
    <t>DC via Oregon, Idaho</t>
  </si>
  <si>
    <t>Diplomacy/National Security Reporter @ForeignPolicy | Send tips, hate mail to robbie.gramer[at]https://t.co/gSTaYd09GI robbiegramer[at]https://t.co/LpPvQHdIi0</t>
  </si>
  <si>
    <t>Japan's Shinzo Abe won by a landside, but he isn't as popular as you might think https://t.co/szh34Wopzp https://t.co/EOHRfXg00R</t>
  </si>
  <si>
    <t>InPRA</t>
  </si>
  <si>
    <t>Japan's Abe to push pacifist constitution reform after strong election win https://t.co/3B2A296MQb</t>
  </si>
  <si>
    <t>The Initiative for Policy Research &amp; Analysis</t>
  </si>
  <si>
    <t>#BloombergTV ❧ What you can expect from Shinzo Abe's government in Japan after his election win … https://t.co/GpCbEU2X0M</t>
  </si>
  <si>
    <t>Cherry Blues 4 Me</t>
  </si>
  <si>
    <t>Rock &amp; Blues of all kinds</t>
  </si>
  <si>
    <t>RT TFTCS "RT BloombergTV "What you can expect from Shinzo Abe's government in Japan after his election win … https://t.co/Ko7SSIvhYX""</t>
  </si>
  <si>
    <t>Auto World Mag</t>
  </si>
  <si>
    <t>RT @BloombergAsia: Japan's Shinzo Abe won by a landside, but he isn't as popular as you might think https://t.co/szh34Wopzp https://t.co/EO…</t>
  </si>
  <si>
    <t>Car lover, Bangalorean!</t>
  </si>
  <si>
    <t>Sharesinside</t>
  </si>
  <si>
    <t>RT @TopFiveTraders: RT TFTCS "RT BloombergTV "What you can expect from Shinzo Abe's government in Japan after his election win … https://t.…</t>
  </si>
  <si>
    <t>Cut out Fake News and Noise while researching investment opportunities with the pure convenience of a mobile app</t>
  </si>
  <si>
    <t>Kévin AUDIGIER</t>
  </si>
  <si>
    <t>#natation #courseapied; actualités dans le monde #banque #finance #assurance #i4Emploi #i4emploiR et passionné de #beautifulcars.</t>
  </si>
  <si>
    <t>Eguy</t>
  </si>
  <si>
    <t>What now for Japan after Abe's landslide election victory? https://t.co/hz3o5Ah1M8</t>
  </si>
  <si>
    <t>カープファン</t>
  </si>
  <si>
    <t>History at a glance</t>
  </si>
  <si>
    <t>@NomuraShuya @dark_bernd How ugly Koike is to tell the whole world that she was defeated in the election because of… https://t.co/XTq6qHXaoW</t>
  </si>
  <si>
    <t>Tochigi, Japan</t>
  </si>
  <si>
    <t>A retired Japanese gentleman looking back at Japanese history. Writing comments in simple English. Lived in Tottori, Kobe, Matsue, Tokyo &amp; Chiba</t>
  </si>
  <si>
    <t>RT TFTCS "RT BloombergTV "What you can expect from Shinzo Abe's government in Japan after his election win … https://t.co/OyuU9r7GC9""</t>
  </si>
  <si>
    <t>Japan's Shinzo Abe won by a landside, but he isn't as popular as you might think https://t.co/1OKCypU9vj https://t.co/D2csVMv6j8 #fb #sit…</t>
  </si>
  <si>
    <t>黒ベル</t>
  </si>
  <si>
    <t>RT @GlanceHistory: @NomuraShuya @dark_bernd How ugly Koike is to tell the whole world that she was defeated in the election because of the…</t>
  </si>
  <si>
    <t>名誉増量期間終了。 何だか非常に肩身の狭い東京都民。現在は興味のままにあちこち覗いています。 大量の情報に流されそうですが、是々非々で行きたいなと。 日ころ中の人推し（笑）中野代表も。</t>
  </si>
  <si>
    <t>Gin</t>
  </si>
  <si>
    <t>RT @JamesTurnbull: Japan election shines harsh light on gender gap https://t.co/GCULqj4heK</t>
  </si>
  <si>
    <t>Out of nowhere</t>
  </si>
  <si>
    <t>메세지만 봅니다 메신저에는 관심 없구요 리튓하는이유는 꼭 동의의 표시가 아니애오</t>
  </si>
  <si>
    <t>AVINASH SHARMA</t>
  </si>
  <si>
    <t>Krystin Peebles</t>
  </si>
  <si>
    <t>Bilding Freedom &amp; democracy</t>
  </si>
  <si>
    <t>Japan’s ruling coalition retains a supermajority in snap election https://t.co/F3DzKp9Jp9</t>
  </si>
  <si>
    <t>raju panna</t>
  </si>
  <si>
    <t>Kiranshah</t>
  </si>
  <si>
    <t>निर्णय नगर, Ahmadabad City</t>
  </si>
  <si>
    <t>સરકાર અને રાજકારણ કોમેડી અને રમૂજ સમાચાર મહિલા અને બિનસરકારી સંસ્થાઓ મનોરંજન</t>
  </si>
  <si>
    <t>Japan's Shinzo Abe won by a landside, but he isn't as popular as you might think https://t.co/Oh9Zf1piuA https://t.co/3rkdtPCpud</t>
  </si>
  <si>
    <t>Japan's Shinzo Abe won by a landside, but he isn't as popular as you might think https://t.co/KPYm34v70e https://t.co/2n1z7DQtTg</t>
  </si>
  <si>
    <t>Kris 🇨🇦</t>
  </si>
  <si>
    <t>RT @business: Japan's Shinzo Abe won by a landside, but he isn't as popular as you might think https://t.co/Oh9Zf1piuA https://t.co/3rkdtPC…</t>
  </si>
  <si>
    <t>Toronto Canada,Tirana Albania</t>
  </si>
  <si>
    <t>There is nothing new under the sun. Economics=Dogmatic Religion. Freedom is a choice, so is slavery. Staunchly pro-USA. Canadian, Albanian. Orthodox Christian.</t>
  </si>
  <si>
    <t>Sαηjђ Cнσ</t>
  </si>
  <si>
    <t>ηξω ∂ξℓнi.•* / ĢђƔ  ( ḯᾔ∂ḯ₳  )</t>
  </si>
  <si>
    <t>BusiηξssĢυу ( fιиαη¢є ), F1 fαηα†ic, ♚ Verifiξd Mσηs†ξr, ₳ℚʉαℜḯaɳ</t>
  </si>
  <si>
    <t>Avinashdeokar</t>
  </si>
  <si>
    <t>Japonca Dersi</t>
  </si>
  <si>
    <t>BBC News - Japan election: Shinzo Abe set for record tenure https://t.co/0YQZWc63NY</t>
  </si>
  <si>
    <t>Bostancı, İstanbul</t>
  </si>
  <si>
    <t>Japonca Öğretmenliği mezunu, Pedagojik Formasyon Eğitim Sertifikali, #Japonca ve #İngilizce #özel #ders almak isteyenler iletişime geçebilirler. ATATÜRKÇÜ ❤👏</t>
  </si>
  <si>
    <t>business: Japan's Shinzo Abe won by a landside, but he isn't as popular as you might think https://t.co/NMpBJox3no https://t.co/J4zmOsTutx</t>
  </si>
  <si>
    <t>M Bohl</t>
  </si>
  <si>
    <t>Waterloo region, Ontario - economic development; gardening, lighthouses; wine, beer, local food, rural; photography; cycling, hockey; travel and music</t>
  </si>
  <si>
    <t>Diana Lane</t>
  </si>
  <si>
    <t>HR professional,handbell director and singer. Owned by Sophie and Esther, two fabulous feline bosses.</t>
  </si>
  <si>
    <t>BBC News - Nikkei hits new highs after Japan election https://t.co/hIH1O4JZZz</t>
  </si>
  <si>
    <t>Japan's Shinzo Abe won by a landside, but he isn't as popular as you might think https://t.co/iyJaRIXwdA https://t.co/6XSNMyxRK0</t>
  </si>
  <si>
    <t>Saurabh</t>
  </si>
  <si>
    <t>jaimeotero_: Japan's Shinzo Abe won by a landside, but he isn't as popular as you might think https://t.co/r3VKPuLOtk …</t>
  </si>
  <si>
    <t>Flying</t>
  </si>
  <si>
    <t>loveUSA</t>
  </si>
  <si>
    <t>#MAGA #strongMilitary #Conservative #NRA #Israel #Christian #BlueLine #2A #VetsBeforeIllegals #Trump2020 #BuildTheWall #ProudDeplorable</t>
  </si>
  <si>
    <t>business: Japan's Shinzo Abe won by a landside, but he isn't as popular as you might think https://t.co/o6ubgoXtg0 https://t.co/RL6sEXR728</t>
  </si>
  <si>
    <t>Japan's Shinzo Abe won by a landside, but he isn't as popular as you might think https://t.co/OoT88Rlhgw https://t.co/QMVciuPzhm</t>
  </si>
  <si>
    <t>Gabriell Pellegrini</t>
  </si>
  <si>
    <t>Tokyo and Nagoya, Japan</t>
  </si>
  <si>
    <t>international news, politics, economy, environment, animals, travel, road bike, rugby, fashion, food and wine. Retweet is not my endorsement.</t>
  </si>
  <si>
    <t>Waqas Bukhari (HBK)</t>
  </si>
  <si>
    <t>إِنَّ ٱلْإِنسَٰنَ لَفِى خُسْرٍ</t>
  </si>
  <si>
    <t>F.Ludgmy</t>
  </si>
  <si>
    <t>Bhanu Bhakta Acharya</t>
  </si>
  <si>
    <t>A journalism and communication scholar, practitioner and academician @ University of Ottawa. आदिकवि होइन, आधा कवि, गद्य लेख्न आउने, पद्यको छेउटुप्पै नआउने🤣</t>
  </si>
  <si>
    <t>Dimple Nayak</t>
  </si>
  <si>
    <t>Japan's Shinzo Abe won by a landside, but he isn't as popular as you might think https://t.co/EEmSD1ZolT https://t.co/xwJX2SXDI9</t>
  </si>
  <si>
    <t>Deb Schulte MP</t>
  </si>
  <si>
    <t>Vaughan, Ontario</t>
  </si>
  <si>
    <t>MP for #KingTownship—#Vaughan, Chair of the House Standing Committee on the Environment &amp; Sustainable Development, &amp; former Regional Councillor for Vaughan.</t>
  </si>
  <si>
    <t>business: Japan's Shinzo Abe won by a landside, but he isn't as popular as you might think https://t.co/IoTgcAHcuD https://t.co/y9nOqf41wZ</t>
  </si>
  <si>
    <t>S. Choudhary</t>
  </si>
  <si>
    <t>Mark Tesch</t>
  </si>
  <si>
    <t>Oh wow. Oh wow. Oh wow.</t>
  </si>
  <si>
    <t>Naeem Warind</t>
  </si>
  <si>
    <t>Karachi, Pakistan.</t>
  </si>
  <si>
    <t>Importer and deals in general items. Main focus on edible oils. Former Chairman Pakistan Chemicals &amp; Dyes Merchants Association.</t>
  </si>
  <si>
    <t>sabarinadh munagala</t>
  </si>
  <si>
    <t>Roberto Samayoa</t>
  </si>
  <si>
    <t>Mestizo Washingtonian who pronounces all the R's in library and February only to observe you analyze my elocution. This account belongs to two Yorkies and me.</t>
  </si>
  <si>
    <t>ねこ暮らし🎗</t>
  </si>
  <si>
    <t>the Earth</t>
  </si>
  <si>
    <t>自分のあるじは自分だ たくさん間違う だから学び続ける でくのぼう #肉球新党 王様は裸だ クソリプはミュートしてるから読めないよ</t>
  </si>
  <si>
    <t>shin queen</t>
  </si>
  <si>
    <t>Thirumalpathy</t>
  </si>
  <si>
    <t>Coimbatore</t>
  </si>
  <si>
    <t>Tuko Pamoja</t>
  </si>
  <si>
    <t>Shinzo Abe sweeps to resounding victory in Japan snap election https://t.co/f55f1p2zRF</t>
  </si>
  <si>
    <t>Today you are the cock of the walk,tomorrow a feather duster!</t>
  </si>
  <si>
    <t>Shinzo Abe sweeps to resounding victory in Japan snap election https://t.co/ohXSCCsmBa</t>
  </si>
  <si>
    <t>Santosh Shanbhag</t>
  </si>
  <si>
    <t>👨🏻‍🎓- 🇮🇳 | 👨🏻‍💻- 🇸🇬 | ✈️ - [ 🇸🇬 🇹🇭 🇮🇩 🇲🇾 🇵🇭]</t>
  </si>
  <si>
    <t>大B哥</t>
  </si>
  <si>
    <t>Roro</t>
  </si>
  <si>
    <t>Montréal</t>
  </si>
  <si>
    <t>Into the loved one, art, social issues, responsibility to community,nature, friends, intelligent people, experiences, trading, and 66, Rue Lauriston 75116 Paris</t>
  </si>
  <si>
    <t>ama austin</t>
  </si>
  <si>
    <t>I G</t>
  </si>
  <si>
    <t>かるろす♪(´ε｀ )</t>
  </si>
  <si>
    <t>峨眉山</t>
  </si>
  <si>
    <t>♪\(´ω` )/ 徒然なるままに、日暮らし、Disる。 \( ´ω`)/♪ 「お墓に布団は掛けられない／人とこの世界」という行動原理に基づいてALL。怒声と罵声は子守唄♪( ˘ω˘)ｽﾔｧ…Zzzz...</t>
  </si>
  <si>
    <t>Alan An</t>
  </si>
  <si>
    <t>A father of son,trading,philosophy,maths…</t>
  </si>
  <si>
    <t>Ngodup tsering</t>
  </si>
  <si>
    <t>Joe Scanlon</t>
  </si>
  <si>
    <t>Victoria, MInnesota</t>
  </si>
  <si>
    <t>I am a programmer in Print Net T. I Love big words and getting healthy! Originally from Philadelphia PA now living in Victoria MN</t>
  </si>
  <si>
    <t>Bearded Miguel</t>
  </si>
  <si>
    <t>I didn’t change a thing around the election and don’t care, but Japan’s buy the rumor/buy the fact is a rare thing.</t>
  </si>
  <si>
    <t>Charlotte</t>
  </si>
  <si>
    <t>I read FOMC minutes for fun. To be honest, retweets are mostly endorsements. Followed by @RudyHavenstein &amp; @pokernews, blocked by @elerianm.</t>
  </si>
  <si>
    <t>North Korea blasts Japan for using election to 'pave groundwork' for invasion | The Japan Times https://t.co/AqVoVNx6hf</t>
  </si>
  <si>
    <t>Arturo Rivera SCRP</t>
  </si>
  <si>
    <t>Independent Insurance Broker in So Cal helping my clients with Health, Life, Annuities, Medicare &amp; Retirement.</t>
  </si>
  <si>
    <t>Arvind Pal</t>
  </si>
  <si>
    <t>Bmaque</t>
  </si>
  <si>
    <t>RT @DavidMcNeill3: "Mr Abe has won a big victory but he has a weak mandate." The Economist's wrap of Japan's general election results: http…</t>
  </si>
  <si>
    <t>JOSTARYOUTUBE43</t>
  </si>
  <si>
    <t>https://t.co/eKMHjxbskO 【 #DonaldTrump election】 I talked about the disadvantages of Japan and the future #トランプ #トランプ当選 #Trump #U #EDM</t>
  </si>
  <si>
    <t>ファッション エンタメ 音楽</t>
  </si>
  <si>
    <t>无语</t>
  </si>
  <si>
    <t>HarajukuBerbie</t>
  </si>
  <si>
    <t>#XFM4PLAY #NickiMinaj #Metalhead #Rockhead sometimes I go emo. Where is your heart? Can we beat this if we all Tear the borders, break the walls Together as 1!</t>
  </si>
  <si>
    <t>Ajith RS</t>
  </si>
  <si>
    <t>Japan's ruling coalition retains a supermajority in snap election - The Economist https://t.co/Li8IkFd7di https://t.co/S9Qjq9HBXH</t>
  </si>
  <si>
    <t>佐渡島、ああ佐渡島。</t>
  </si>
  <si>
    <t>石川県です</t>
  </si>
  <si>
    <t>佐渡島三郎です。本人です。証券会社東京勤務後、ロンドンで日本株営業。その後、英生保で10年間、3000億円の日本株ファンドでInvestment Manager。英滞在は20年。いつものツイッターサイトがパスワードドジって使用不可の状態。しばらくはここでツィートしていきます。</t>
  </si>
  <si>
    <t>RT @SBLewisSB: Japan’s Election Warning to China https://t.co/1aBsSmJgtO</t>
  </si>
  <si>
    <t>jai hind jai bharat</t>
  </si>
  <si>
    <t>Is It 2🎃2🎃 Yet 👻</t>
  </si>
  <si>
    <t>A Constitutional Conservative. God Bless America! #NeverTrump ✌🏻🇺🇸</t>
  </si>
  <si>
    <t>Julia Stain</t>
  </si>
  <si>
    <t>Kish</t>
  </si>
  <si>
    <t>parameswaran raju</t>
  </si>
  <si>
    <t>BJP DISTRICT SECARATARY NILGIRIS</t>
  </si>
  <si>
    <t>Mohamed Sadek</t>
  </si>
  <si>
    <t>Mas Shaari</t>
  </si>
  <si>
    <t>RT @AsCorrespondent: Japan: 4 things to expect following Shinzo Abe’s landslide victory https://t.co/zSt9lgfkap @EmmaRichards85 #JapanElect…</t>
  </si>
  <si>
    <t>Social media editor @more_hybrid | Tweeting from @AsCorrespondent, @TechWireAsia, @TravelWireAsia @Study_INTNL | Personal account - thoughts are of my own</t>
  </si>
  <si>
    <t>AमिT Singh Yadav</t>
  </si>
  <si>
    <t>शायद लोगों से सुर न मिले हमारा</t>
  </si>
  <si>
    <t>Views are Personal, Retweets are not necessarily endorsements.</t>
  </si>
  <si>
    <t>Kessy</t>
  </si>
  <si>
    <t>Mansion Key</t>
  </si>
  <si>
    <t>Mansions, Yachts, Jets, and Exotic Cars</t>
  </si>
  <si>
    <t>Mikemikelol</t>
  </si>
  <si>
    <t>Slimslim22</t>
  </si>
  <si>
    <t>Slim</t>
  </si>
  <si>
    <t>Bob</t>
  </si>
  <si>
    <t>Nicopass</t>
  </si>
  <si>
    <t>Gurgel</t>
  </si>
  <si>
    <t>Rio de Janeiro, Brasil</t>
  </si>
  <si>
    <t>kona</t>
  </si>
  <si>
    <t>billy</t>
  </si>
  <si>
    <t>Kyle or Kyoooolzz</t>
  </si>
  <si>
    <t>lovland colorado</t>
  </si>
  <si>
    <t>trickshoter or feeder</t>
  </si>
  <si>
    <t>jokey</t>
  </si>
  <si>
    <t>killy</t>
  </si>
  <si>
    <t>Kyle Cheever</t>
  </si>
  <si>
    <t>josh</t>
  </si>
  <si>
    <t>Samia</t>
  </si>
  <si>
    <t>cuopons</t>
  </si>
  <si>
    <t>نورة</t>
  </si>
  <si>
    <t>الجهراء, دولة الكويت</t>
  </si>
  <si>
    <t>Yahya</t>
  </si>
  <si>
    <t>مكة المكرمة, المملكة العربية السعودية</t>
  </si>
  <si>
    <t>فنانون ومشاهير</t>
  </si>
  <si>
    <t>Monte</t>
  </si>
  <si>
    <t>Lora</t>
  </si>
  <si>
    <t>Saudi arabia</t>
  </si>
  <si>
    <t>l</t>
  </si>
  <si>
    <t>Lamia</t>
  </si>
  <si>
    <t>Bassam</t>
  </si>
  <si>
    <t>الكوميديا الموسيقى</t>
  </si>
  <si>
    <t>Salim</t>
  </si>
  <si>
    <t>Majeed</t>
  </si>
  <si>
    <t>A man who doesn't care anymore</t>
  </si>
  <si>
    <t>نوال</t>
  </si>
  <si>
    <t>الرياض, المملكة العربية السعودية</t>
  </si>
  <si>
    <t>Hasan</t>
  </si>
  <si>
    <t>لا اله الا الله محمد رسول الله</t>
  </si>
  <si>
    <t>Liam</t>
  </si>
  <si>
    <t>سامي</t>
  </si>
  <si>
    <t>Salma</t>
  </si>
  <si>
    <t>جدة, المملكة العربية السعودية</t>
  </si>
  <si>
    <t>الرياضة</t>
  </si>
  <si>
    <t>Nora</t>
  </si>
  <si>
    <t xml:space="preserve">Mars </t>
  </si>
  <si>
    <t>مٌنيره</t>
  </si>
  <si>
    <t>I'm the only one</t>
  </si>
  <si>
    <t>صالح العنزي</t>
  </si>
  <si>
    <t>استغفر الله واتوب اليه</t>
  </si>
  <si>
    <t>hatim</t>
  </si>
  <si>
    <t>Palma</t>
  </si>
  <si>
    <t>Ksa</t>
  </si>
  <si>
    <t>ساره</t>
  </si>
  <si>
    <t>خالد</t>
  </si>
  <si>
    <t>Jacob Taylie</t>
  </si>
  <si>
    <t>John Cenna</t>
  </si>
  <si>
    <t>Nanda Corraay</t>
  </si>
  <si>
    <t>ŚBK</t>
  </si>
  <si>
    <t>Herry Seinfeild</t>
  </si>
  <si>
    <t>Dixie</t>
  </si>
  <si>
    <t>Anaheim, CA</t>
  </si>
  <si>
    <t>Rana G Wrong</t>
  </si>
  <si>
    <t>Wrong hain rana Ge</t>
  </si>
  <si>
    <t>Sinner_girl</t>
  </si>
  <si>
    <t>South West, England</t>
  </si>
  <si>
    <t>ĻάĻ</t>
  </si>
  <si>
    <t>Sanam Blouch</t>
  </si>
  <si>
    <t>Kabi nhi</t>
  </si>
  <si>
    <t>Love ❤️ PML-N</t>
  </si>
  <si>
    <t>Girldontlie69</t>
  </si>
  <si>
    <t>Gg</t>
  </si>
  <si>
    <t>Fun for everyone</t>
  </si>
  <si>
    <t>Girldontlie97</t>
  </si>
  <si>
    <t>Uruguay</t>
  </si>
  <si>
    <t>Liar 🤥</t>
  </si>
  <si>
    <t>Khan Zadi</t>
  </si>
  <si>
    <t>Imran Khan Heart</t>
  </si>
  <si>
    <t>We drifted apart and now we have a long term silence....</t>
  </si>
  <si>
    <t>Shama</t>
  </si>
  <si>
    <t>Love yourself first &amp; everything else falls into line. You really have to love yourself to get anything done in this world</t>
  </si>
  <si>
    <t>Sheza Naaz</t>
  </si>
  <si>
    <t>karachi</t>
  </si>
  <si>
    <t>We love Pakistan</t>
  </si>
  <si>
    <t>Nanamama42069</t>
  </si>
  <si>
    <t>Pagak, Indonesia</t>
  </si>
  <si>
    <t>!!!!!!!!!!!!</t>
  </si>
  <si>
    <t>عجب دوست</t>
  </si>
  <si>
    <t>ssar_khan</t>
  </si>
  <si>
    <t>Hashemite Kingdom of Jordan</t>
  </si>
  <si>
    <t>enjoy</t>
  </si>
  <si>
    <t>Tweety Birds</t>
  </si>
  <si>
    <t>Iceymelty</t>
  </si>
  <si>
    <t>Blah blah blah</t>
  </si>
  <si>
    <t>Fida Shah</t>
  </si>
  <si>
    <t>Punjab, Pakistan</t>
  </si>
  <si>
    <t>No DM</t>
  </si>
  <si>
    <t>ROOH AFZA GIRL</t>
  </si>
  <si>
    <t>pakistan</t>
  </si>
  <si>
    <t>RT MY LIFE</t>
  </si>
  <si>
    <t>Lovelyass</t>
  </si>
  <si>
    <t>Paddington, London</t>
  </si>
  <si>
    <t>Hahahaha Looser India</t>
  </si>
  <si>
    <t>Girldontlie0</t>
  </si>
  <si>
    <t>Linjigd</t>
  </si>
  <si>
    <t>Real Paki</t>
  </si>
  <si>
    <t>Zinat Amaan</t>
  </si>
  <si>
    <t>lolz</t>
  </si>
  <si>
    <t>Nadia shahied</t>
  </si>
  <si>
    <t>Zenat Sheikh</t>
  </si>
  <si>
    <t>آواز نیچے 👇🏿</t>
  </si>
  <si>
    <t>jean</t>
  </si>
  <si>
    <t>Keely Jennifer Horan</t>
  </si>
  <si>
    <t>Jean For</t>
  </si>
  <si>
    <t>keely,,</t>
  </si>
  <si>
    <t>Hi I'm cool I guess</t>
  </si>
  <si>
    <t>Lottie Tomlinson</t>
  </si>
  <si>
    <t>Doncaster, England</t>
  </si>
  <si>
    <t>All my friends ask me why i stay strong.</t>
  </si>
  <si>
    <t>Making Great Photos</t>
  </si>
  <si>
    <t>Capturing memories! 📸</t>
  </si>
  <si>
    <t>Eddyy</t>
  </si>
  <si>
    <t>Rupesh</t>
  </si>
  <si>
    <t>Suraj</t>
  </si>
  <si>
    <t>Dipesh</t>
  </si>
  <si>
    <t>Deeraj</t>
  </si>
  <si>
    <t>Retweet</t>
  </si>
  <si>
    <t>Retweeters</t>
  </si>
  <si>
    <t>Retwetet</t>
  </si>
  <si>
    <t>Retweeter</t>
  </si>
  <si>
    <t>Retweeter2</t>
  </si>
  <si>
    <t>rajnikant</t>
  </si>
  <si>
    <t>BANTWA(INDIA)PIN CODE 362620</t>
  </si>
  <si>
    <t>Stop terrorism</t>
  </si>
  <si>
    <t>ه</t>
  </si>
  <si>
    <t>ذربه اليامي</t>
  </si>
  <si>
    <t>الدمام, المملكة العربية السعودية</t>
  </si>
  <si>
    <t>نور بنت عبدالله</t>
  </si>
  <si>
    <t>مجرد غيابك عن عيوني اضما</t>
  </si>
  <si>
    <t>اقتباسات ذوق</t>
  </si>
  <si>
    <t>ضرماء, المملكة العربية السعودية</t>
  </si>
  <si>
    <t>مضـيم</t>
  </si>
  <si>
    <t>كل يوم يموت ف الانسان حاجه لين يوصل لأخره ويوموت كله</t>
  </si>
  <si>
    <t>رتويت قصايد</t>
  </si>
  <si>
    <t>الجازي</t>
  </si>
  <si>
    <t>الرياض</t>
  </si>
  <si>
    <t>كان بقربي ذاك الحبيب ✍🏻</t>
  </si>
  <si>
    <t>نويران 🍂</t>
  </si>
  <si>
    <t>الطائف, المملكة العربية السعودية</t>
  </si>
  <si>
    <t>اكتب مايهوا لي 💭</t>
  </si>
  <si>
    <t>فجله</t>
  </si>
  <si>
    <t>تربة, المملكة العربية السعودية</t>
  </si>
  <si>
    <t>متوفر</t>
  </si>
  <si>
    <t>ديني وثم وطني ..</t>
  </si>
  <si>
    <t>Blackgod</t>
  </si>
  <si>
    <t>ANF ANFN instagram ssymcb3</t>
  </si>
  <si>
    <t>AvinashRain</t>
  </si>
  <si>
    <t>Mission: To See a Smile on Every Face; One World Family (Vasudhaiva Kutumbakam)</t>
  </si>
  <si>
    <t>Mahatma Gathee</t>
  </si>
  <si>
    <t>Ndogino, Kenya</t>
  </si>
  <si>
    <t>🇰🇪 Retired herds boy. Take everything with a pinch of humour.</t>
  </si>
  <si>
    <t>Carlos Gutierrez,Jr</t>
  </si>
  <si>
    <t>CEO @highlinepoint| Managing Dir. @goldenseeds| Alumn: @uMich @msbgu @GeorgetownLaw|Contributor: @huffingtonpost @timesofisrael @asiatimesonline @jerusalem_post</t>
  </si>
  <si>
    <t>佐渡島三郎</t>
  </si>
  <si>
    <t>石川県</t>
  </si>
  <si>
    <t>証券会社の国際部勤務後。ロンドンで日本株営業。その後、英生保で10年間、3000億円の日本株ファンドでInvestment Manager。マードックのNews Corp, GKN, JC Bamfordなど企業年金担当。1995年上半期, 英投信でトップに立つ。1995-2000年トップクォーター(上位25%)維持。</t>
  </si>
  <si>
    <t>Huey Tuanzebe</t>
  </si>
  <si>
    <t>St. Ann’s Bay, Ochi</t>
  </si>
  <si>
    <t>Football &amp; Reggae, then Music | Manchester United | Tony Martial | Pogba | Tuanzebe</t>
  </si>
  <si>
    <t>Gustavo Sugahara</t>
  </si>
  <si>
    <t>For back country dwellers no option but to support #japanelections https://t.co/RA6p7mWVCZ Be aware: The article is full of #ageist remarks</t>
  </si>
  <si>
    <t>Oslo</t>
  </si>
  <si>
    <t>The only living #economist who does not see #ageing as a problem. My main interests are #technology, #populationageing and #cityplanning</t>
  </si>
  <si>
    <t>Dr Vinay Kudrigikar</t>
  </si>
  <si>
    <t>Comedy and Humour Business and Financial News Government and Politics Travel Business &amp; CEOs</t>
  </si>
  <si>
    <t>Amwal Al Ghad</t>
  </si>
  <si>
    <t>#AmwalAlGhadEN |Shinzo Abe wins landslide in Japan re-election https://t.co/xgZP8mwqKH https://t.co/XXFUd3ZYG2</t>
  </si>
  <si>
    <t>Amwal Al Ghad / English Portal</t>
  </si>
  <si>
    <t>Pedro Vera</t>
  </si>
  <si>
    <t>N.Y.C</t>
  </si>
  <si>
    <t>Asesor internacional de Negocios. Colombo americano .Defensor de: la Democracia y Libertad, no a la esclavitud.</t>
  </si>
  <si>
    <t>J成龙</t>
  </si>
  <si>
    <t>Separating fact from opinion in Japan’s election, again. https://t.co/wO6s3ZGvhm #japan #abe #japanelection #LDP… https://t.co/NkEq5QHWaU</t>
  </si>
  <si>
    <t>ブーリー ＠次はインドネシア(たぶん)</t>
  </si>
  <si>
    <t>トーキョーTokyo /東南アジアSoutheastAsia</t>
  </si>
  <si>
    <t>夕飯おかわり大盛の可否を問う！ 好奇心旺盛ちょとエロいけど根は真面目 飛行機&amp;空港萌え アジアご飯探訪ラオスタイミャンマーベトナムカンボジア中国香港マカオマレーシアシンガポールインドネシア他 WRC＆モータースポーツ大好物 FC3S RX-7 映画全般&amp;特撮&amp;アニメ 平成ライダー 宇宙JAXA 沖縄ダイビング</t>
  </si>
  <si>
    <t>Centrist🇪🇺Stephen</t>
  </si>
  <si>
    <t>55.443, -4.629</t>
  </si>
  <si>
    <t>Retired radiographer | #Behçets #Pituitary | Founded political ME campaigning 1997 | Quit @UKLabour 29.06.17 #StopBrexit #Impeach 🇺🇸</t>
  </si>
  <si>
    <t>Paul Reveal</t>
  </si>
  <si>
    <t>Russell Calkins</t>
  </si>
  <si>
    <t>After Election Win, Shinzo Abe Prioritizes North Korea and Aging Japan https://t.co/AxRiv4IT2h</t>
  </si>
  <si>
    <t>RUSSELL CALKINS IS THE VERY FIRST WORLD CHAMPION SKY SURFING DEMO TITLE HOLDER IN HISTORY 1992. ESPN SHOW SKYBLAZIN AIRED IN 1993.</t>
  </si>
  <si>
    <t>Ezra</t>
  </si>
  <si>
    <t>Am global</t>
  </si>
  <si>
    <t>Welcome to Ezra tweets</t>
  </si>
  <si>
    <t>wolf ston</t>
  </si>
  <si>
    <t>Luke Madill</t>
  </si>
  <si>
    <t>Amitabh Bachchan</t>
  </si>
  <si>
    <t>मुझसे जुड़ने वाले हर व्यक्ति को बता दूँ कि मैं किसी भी राजनीतिक पार्टी से कोई सरोकार नहीं रखता... खिलाफत कर सकता हूँ, समर्थन नहीं करता... #राष्ट्र #सर्वोपरि</t>
  </si>
  <si>
    <t>Eddy Okello</t>
  </si>
  <si>
    <t>Arsenal Winphan QSHE consultant and Director https://t.co/zSC4qjGYez</t>
  </si>
  <si>
    <t>Toni Pedecine</t>
  </si>
  <si>
    <t>Music, books, art, photographs, dogs, music, music, music. All things creative, based in Tokyo.</t>
  </si>
  <si>
    <t>MtotowaHalima</t>
  </si>
  <si>
    <t>Owner of Kipepeo Creations which sells african bags and sandals! Check us on facebook. ❤️I am mine before I am anyone else's❤️</t>
  </si>
  <si>
    <t>Gaurav Vyas</t>
  </si>
  <si>
    <t>Faculty, The Art Of Living</t>
  </si>
  <si>
    <t>FocusEconomics</t>
  </si>
  <si>
    <t>Abenomics to continue for another four years? Read more: https://t.co/VFn5WOqkUf</t>
  </si>
  <si>
    <t>The latest #macroeconomic #forecasts &amp; analysis on 127 countries &amp; 33 commodities. Get the #ConsensusForecast from our global network of leading #economists.</t>
  </si>
  <si>
    <t>José Onofre</t>
  </si>
  <si>
    <t>Proyectista civil. Actualidad y deporte. Mercadeo. Construcción y diseño. Momentos. Personas.</t>
  </si>
  <si>
    <t>mangi Lal Beniwal</t>
  </si>
  <si>
    <t>Nohar, India</t>
  </si>
  <si>
    <t>Mangi Lal beniwal</t>
  </si>
  <si>
    <t>•Sameer Rekhi•🐾</t>
  </si>
  <si>
    <t>• Who dares, wins. • Re-tweets are not endorsements, just sharing of news/views Tweets are stray wanderings of my mindlessness!</t>
  </si>
  <si>
    <t>clorophyllosophe</t>
  </si>
  <si>
    <t>a sea</t>
  </si>
  <si>
    <t>(caption: #KarlMarx@#WallSt: A Reunion) "They have nothing of harm to dread/ But liquidly glide on his ghastly flank." Right Learnedly&amp; Multifariously Employed.</t>
  </si>
  <si>
    <t>Brookings FP</t>
  </si>
  <si>
    <t>In 1 hour, join @RichardBushIII and @solis_msolis for a Facebook Live conversation on Japan's election results:… https://t.co/YGEzRO38R0</t>
  </si>
  <si>
    <t>Helping policymakers and the public engage the great challenges facing the U.S. and the international community in the 21st century.</t>
  </si>
  <si>
    <t>PANKAJ KUMAR JHA</t>
  </si>
  <si>
    <t>RT @BrookingsFP: In 1 hour, join @RichardBushIII and @solis_msolis for a Facebook Live conversation on Japan's election results: https://t.…</t>
  </si>
  <si>
    <t>Dr Mallikarjun Ankal</t>
  </si>
  <si>
    <t>Anjali</t>
  </si>
  <si>
    <t>Punjabi music💐☺</t>
  </si>
  <si>
    <t>RT @BloombergAsia: What you can expect from Shinzo Abe's government in Japan after his election win https://t.co/jtYzdID3aF https://t.co/hN…</t>
  </si>
  <si>
    <t>Asutosh Biswal</t>
  </si>
  <si>
    <t>Japan’s snap election on Sunday revealed broad support for Prime Minister Shinzo Abe’s approach to dealing with... https://t.co/5gqGihmNTi</t>
  </si>
  <si>
    <t>Baripada</t>
  </si>
  <si>
    <t>"Life is for learning our lessons". Virtues are at the heart of lifelong learning.</t>
  </si>
  <si>
    <t>Angaaraj Chulagain</t>
  </si>
  <si>
    <t>Ravindra k</t>
  </si>
  <si>
    <t>Why Japan's Shinzo Abe sees constitutional change as his legacy https://t.co/lCVfYMM5Nk</t>
  </si>
  <si>
    <t>Shinichi Miyazawa</t>
  </si>
  <si>
    <t>訳有って加入。当方の動向を把握したい向きに半ば強制的に入れさせられる。非公認非公式です。だから書く事特にありません。呟きと言うより、呻きを散々書いてやろうとさえ思う。twitter考え出した奴要らねー。私が考える様なありきたりなユーザー名は既に払底してしまっていたので、雅号の「虧盈」の中国語読みを用いました。</t>
  </si>
  <si>
    <t>Olaf Karthaus</t>
  </si>
  <si>
    <t>Schocking in Japan. #election extremely low participation of young voters. https://t.co/TdwddEOIyE</t>
  </si>
  <si>
    <t>Chemist, Mainz Univ., now Prof. at Chitose Inst Sci Tech, Hokkaido. Hobby: cycling. 1st tweet 4/21/2011</t>
  </si>
  <si>
    <t>david hamilton</t>
  </si>
  <si>
    <t>Rick Telberg</t>
  </si>
  <si>
    <t>#PFS #CFP link: Japan Election: Abe's Convincing Win https://t.co/DQqm7qLbiT via @advperspectives _c</t>
  </si>
  <si>
    <t>Live links to breaking news for tax, accounting and finance professionals. Sign up for free email updates at https://t.co/rFX2gbFlLg</t>
  </si>
  <si>
    <t>Ryu 🇰🇪</t>
  </si>
  <si>
    <t>Twitter User No #70,670,828.</t>
  </si>
  <si>
    <t>🛰</t>
  </si>
  <si>
    <t>Abe, Trump agree to raise pressure on North Korea: Japan government https://t.co/fguRxoL95M</t>
  </si>
  <si>
    <t>Οίτυλο, Ελλάς</t>
  </si>
  <si>
    <t>Abbe Austin</t>
  </si>
  <si>
    <t>rogeraryan</t>
  </si>
  <si>
    <t>I am a guy searching for lessons and people from the society</t>
  </si>
  <si>
    <t>PK Vyas</t>
  </si>
  <si>
    <t>One Nationalist who loves Mother India &amp; Chants Bharat Mata Ki Jay,Hates Traitors&amp;Traitorous Minds</t>
  </si>
  <si>
    <t>Uma Rs</t>
  </si>
  <si>
    <t>Alex Santos</t>
  </si>
  <si>
    <t>Embracing environmental, human+animal rights, design, computer security &amp; macOS. Formerly at Apple.</t>
  </si>
  <si>
    <t>IWPR</t>
  </si>
  <si>
    <t>RT @prospect_uk: Why Japan's Shinzo Abe sees constitutional change as his legacy https://t.co/lCVfYMM5Nk</t>
  </si>
  <si>
    <t>IWPR gives voice to people at the frontlines of conflict, crisis and change.</t>
  </si>
  <si>
    <t>Michael Berard</t>
  </si>
  <si>
    <t>Operational Art of War #AfPak #Afghanistan Op.@ResoluteSupport #Iraq #Syria to #Libya @CJTFOIR @Coalition Op.#InherentResolve Op.#Chammal Op.#Barkhane @djulz_dj</t>
  </si>
  <si>
    <t>Gurunath sherikar</t>
  </si>
  <si>
    <t>Social Media BJP Tweets are personal.</t>
  </si>
  <si>
    <t>It was found in the newest Japan's election that injustice was performed. It is under investigation now. 😱🇯🇵 https://t.co/TxzJItCvSm</t>
  </si>
  <si>
    <t>#Fukushima With PM Abe's election "win", Japan is now officially a pawn of the US, the global elite, and people who want world domination.</t>
  </si>
  <si>
    <t>Jihyoung Son(孫知亨)</t>
  </si>
  <si>
    <t>Reporter at @TheKoreaHerald. Covers stock markets, financial regulators, banks &amp; cryptocurrencies. Affiliated to @AAJAAsia. Bylines in consnow@heraldcorp.com</t>
  </si>
  <si>
    <t>Naresh Gamineni</t>
  </si>
  <si>
    <t>Diplomacy140</t>
  </si>
  <si>
    <t>.@BorisJohnson : Warm congratulations to @AbeShinzo on his election success. I look forward to further strengthening ties. #UK-#Japan</t>
  </si>
  <si>
    <t>Reshaping the World: Ethics, Global Governance, Policy &amp; Strategy in the New Millennium Editor: Pedro Meléndez-Ortiz #DigitalDiplomacy</t>
  </si>
  <si>
    <t>Mehdi Abed</t>
  </si>
  <si>
    <t>Iran</t>
  </si>
  <si>
    <t>Dipendra Singh</t>
  </si>
  <si>
    <t>Gorakhpur</t>
  </si>
  <si>
    <t>Foreign Office 🇬🇧</t>
  </si>
  <si>
    <t>Foreign &amp; Commonwealth Office (FCO). We work on world affairs for the UK Government and lead on promoting &amp; protecting British people, prosperity &amp; influence</t>
  </si>
  <si>
    <t>Timothy Langley</t>
  </si>
  <si>
    <t>President &amp; Representative Director at Langley Esquire. Over 30 years experience in Japan Public Affairs. 「外人政治秘書第一号」著者</t>
  </si>
  <si>
    <t>Teresa  🍃🌹🍃</t>
  </si>
  <si>
    <t>Ramsbottom, Lancashire</t>
  </si>
  <si>
    <t>Just a woman trying to hold people to account and question some of the things that dominate our lives.</t>
  </si>
  <si>
    <t>Yoo Jin Han</t>
  </si>
  <si>
    <t>Seoul, South korea</t>
  </si>
  <si>
    <t>Wheresoever you go, go with all your heart.</t>
  </si>
  <si>
    <t>Albert Moreno Diaz</t>
  </si>
  <si>
    <t>Bogotá, Colombia</t>
  </si>
  <si>
    <t>Venezolano. Economía, política y otros cuentos.</t>
  </si>
  <si>
    <t>richard jones</t>
  </si>
  <si>
    <t>cricketsville, planet cricket</t>
  </si>
  <si>
    <t>cricket fanatic</t>
  </si>
  <si>
    <t>Elizabeth Morris</t>
  </si>
  <si>
    <t>Conservative, partial to responsible, accountable behaviour and reasoned, informed debate. Love animals, loathe ignorance and bad manners.</t>
  </si>
  <si>
    <t>#TheGarethCliffShow📲</t>
  </si>
  <si>
    <t>Durban, South Africa</t>
  </si>
  <si>
    <t>WPPS Intern| Student| Founding family of https://t.co/scMZ7lsVKF| Podcasts daily via @CliffCentralPod| Unpinned Zulu| #BornFree</t>
  </si>
  <si>
    <t>WATANABE　Yukiko</t>
  </si>
  <si>
    <t>Cesca Antonelli</t>
  </si>
  <si>
    <t>Abe won a landslide in Japan but isn't as popular as you might think https://t.co/RF4cYjAZtf https://t.co/35hm6VaeZ8</t>
  </si>
  <si>
    <t>global head of dataviz, graphics &amp; photos for Bloomberg News @business @BBGvisualdata</t>
  </si>
  <si>
    <t>笑巌</t>
  </si>
  <si>
    <t>Japan’s prime minister isn't as popular as you might think https://t.co/Sii7arwR1k via @bbgvisualdata</t>
  </si>
  <si>
    <t>草枯らす 霜また今朝の 日に消えて 報いの程は 終にのがれず</t>
  </si>
  <si>
    <t>.@Number10gov : The PM called PM @AbeShinzo of #Japan to congratulate him on his success in the Japanese general election #Diplomacy140</t>
  </si>
  <si>
    <t>Steven van Ostaayen</t>
  </si>
  <si>
    <t>Prime Minister Abe's ruling bloc scored a convincing win that should extend the lifespan of "Abenomnics"… https://t.co/mLDsUkgawB</t>
  </si>
  <si>
    <t>Marketing | Publishing | Economy | Commodities | Energy | Politics | Philosophy | Science &amp; Technology</t>
  </si>
  <si>
    <t>Filippo Ferrarista ®</t>
  </si>
  <si>
    <t>Messina, Sicilia</t>
  </si>
  <si>
    <t>Ciao sono Filippo, ho 28 anni, vengo da messina, single, cerco ragazze, sono un tifoso della @ScuderiaFerrari, della @juventusfc e di @ValeYellow46. ♑ 🇮🇹 🏅🏆</t>
  </si>
  <si>
    <t>sanmateosteve</t>
  </si>
  <si>
    <t xml:space="preserve">Sunny Claifornia </t>
  </si>
  <si>
    <t>San Mateo Steve AKA Saigon Steve</t>
  </si>
  <si>
    <t>HASSAN RIAZ</t>
  </si>
  <si>
    <t>Currently working in GVS with main focus on Pakistan's Foreign Policy towards Eurasia, South East Asia, South Asia, Middle East and West Asia.</t>
  </si>
  <si>
    <t>factory ad</t>
  </si>
  <si>
    <t>Dollar/yen hits three-month high after Japan ruling party's election win</t>
  </si>
  <si>
    <t>Kensington, London</t>
  </si>
  <si>
    <t>CABINET DE CONSEIL ET GESTION DE PORTEFEUILLE</t>
  </si>
  <si>
    <t>Basile Simon</t>
  </si>
  <si>
    <t>RT @CescaAntonelli: Abe won a landslide in Japan but isn't as popular as you might think https://t.co/RF4cYjAZtf https://t.co/35hm6VaeZ8</t>
  </si>
  <si>
    <t>Interactive journalist @thetimes + @airwars + lecturer @cityjournalism PGP: https://t.co/P1GYMem22Y (🇫🇷)</t>
  </si>
  <si>
    <t>sam show</t>
  </si>
  <si>
    <t>Farzad Mani</t>
  </si>
  <si>
    <t>Meccisti Mecca</t>
  </si>
  <si>
    <t>I didn't pray for Japan election, but I keep praying for those affected by Typhoon No. 21. 🕯 https://t.co/sst32ymDWw</t>
  </si>
  <si>
    <t>Nippon-Foundation APS Student: UN UPEACE &amp; AdMU |#IslamNOPhobia @islam_NO_Phobia |Peace Educator |Activist |Writer |Indonesian scattered on Earth. Now in Phil.</t>
  </si>
  <si>
    <t>Japan's election results show women making little progress despite Abe's landslide victory | @japantimes https://t.co/rzujDDdZn3</t>
  </si>
  <si>
    <t>manzar bokharai</t>
  </si>
  <si>
    <t>RT @MohamadGorgi: #Stockholm #Damascus #Berlin #Japan Abe's election win to boost his hand on pro-growth policies: Fitch https://t.co/cz20l…</t>
  </si>
  <si>
    <t>Sverige</t>
  </si>
  <si>
    <t>Jag kämpar för Mojahedin khalgh Iran.</t>
  </si>
  <si>
    <t>kumar pallaw</t>
  </si>
  <si>
    <t>Warangal-Hamamkonda, India</t>
  </si>
  <si>
    <t>student at nit Warangal</t>
  </si>
  <si>
    <t>Tintin</t>
  </si>
  <si>
    <t>The world 👞🌎</t>
  </si>
  <si>
    <t>I'm a Jounalist whom chases unique stories ,a Detective whom solves international crime , a Buddy Boy to everyone , and a Confudent to anyone who needs -JDBBC</t>
  </si>
  <si>
    <t>KITAMURA Satoshi</t>
  </si>
  <si>
    <t>Tokyo (Tama area)</t>
  </si>
  <si>
    <t>東京経済大学コミュニケーション学部准教授 Associate Professor, Department of Communication Studies, TKU 専門：情報行動論、メディアコミュニケーション論 ツイートは個人の意見であり、所属組織・関連組織等の見解とは無関係です。RTは支持・賛同を意味しません。</t>
  </si>
  <si>
    <t>anand singh</t>
  </si>
  <si>
    <t>country first</t>
  </si>
  <si>
    <t>Tom Nuttall</t>
  </si>
  <si>
    <t>Hard Brexit/soft Brexit/clear-as-mud Brexit. https://t.co/grAu56eaHi https://t.co/DGiCZ7yGEd</t>
  </si>
  <si>
    <t>Charlemagne columnist, the Economist, covering European politics/econ. Formerly of Los Angeles &amp; London. Read my special report on refugees: https://t.co/9OETfQyZZr</t>
  </si>
  <si>
    <t>Anthony John Prince</t>
  </si>
  <si>
    <t>Norwich</t>
  </si>
  <si>
    <t>In Japan, the lawmaker's fact began to be released for the secret which the election finished and was hidden by the… https://t.co/5DGnEhbiHp</t>
  </si>
  <si>
    <t>Dr. Varun Sawant</t>
  </si>
  <si>
    <t>Right wing nationalist, proud Vaidya, follow Ayurveda myself and endorse it whenever possible 😊</t>
  </si>
  <si>
    <t>Shrikant Ojha BJP IT</t>
  </si>
  <si>
    <t>Sujangarh, India</t>
  </si>
  <si>
    <t>BJP IT Vibhag Sujangarh Churu Rajasthan National Organisation Secretary Namo Sena India-Bharat</t>
  </si>
  <si>
    <t>柊</t>
  </si>
  <si>
    <t>別に社会問題やるつもりでTwitter始めた訳ではないのですよ。面白いネタとか可愛い画像とか集められるかなー、な感じだったのですよ。 ｢ど う し て こ う な っ た｣ 平和過ぎて問題無さ過ぎて｢心配事ないから１日萌える犬猫画像RTしまくるぜ！｣と言える日が来る事を願って今日出来る事を頑張るo(｀・д・´)o</t>
  </si>
  <si>
    <t>Alphonse-Louis Vinh</t>
  </si>
  <si>
    <t>écrivain, conseiller psychologique. Intérêts:la culture, la France, la psychothérapie, le militaire, la tech, l'Église, la cuisine, l'économie, la femme.</t>
  </si>
  <si>
    <t>SufyAN Baadshah ™ Ⓜ</t>
  </si>
  <si>
    <t>Tweeting my damn feeling in 140 characters or less - x Official Account of @BaadshahSufyan</t>
  </si>
  <si>
    <t>Ashutosh kumar dubey</t>
  </si>
  <si>
    <t>🇺🇸🏳️‍🌈</t>
  </si>
  <si>
    <t>The backwards South</t>
  </si>
  <si>
    <t>You get what you give. IF you love America. VOTE! I block faceless cowards. Proudly blocked by @MarkDice! #TheResistance #ImpeachTrump #DemForce</t>
  </si>
  <si>
    <t>齐天大圣孙悟空//阿呆学士</t>
  </si>
  <si>
    <t>ON,CA➡日本群岛➠西方浄土</t>
  </si>
  <si>
    <t>ただのバカで、平社畜。国際法(jus ad bellum) //公共政策学//(触り程度で英米法・イスラム法)// @学部 ※専門性は全くありません</t>
  </si>
  <si>
    <t>Josep Casaus</t>
  </si>
  <si>
    <t>Periodista. Director de Comunicación en Casa Asia</t>
  </si>
  <si>
    <t>vivek purohit</t>
  </si>
  <si>
    <t>Nationlist by soul.Loco pilot at IR.</t>
  </si>
  <si>
    <t>Kazunori INAMASU</t>
  </si>
  <si>
    <t>31年間暮らした東京を離れ、阪神間で大学教員をしています。専門：社会心理学、世論・メディア研究。ツイートは個人的見解であり所属先とは無関係です。</t>
  </si>
  <si>
    <t>Farzin Bahmani</t>
  </si>
  <si>
    <t>Boon</t>
  </si>
  <si>
    <t>Effective human rights</t>
  </si>
  <si>
    <t>ali.davood</t>
  </si>
  <si>
    <t>urakaze sayaka</t>
  </si>
  <si>
    <t>京都⇔各地⇔各国メリーゴーランド</t>
  </si>
  <si>
    <t>名乗るも意味無きその他大勢なり。近くに仰ぐ醍醐山。たまに登るも 膝持たず電池切れ。スタスタ追い越すお年寄りの笑み眩し。千年も行き交う「巧み人」大勢に 暫し縦覧。 ＃脱原発 #戦争反対</t>
  </si>
  <si>
    <t>jerry ray</t>
  </si>
  <si>
    <t>L.K.Shukla</t>
  </si>
  <si>
    <t>مهری جوان</t>
  </si>
  <si>
    <t>jojo2016</t>
  </si>
  <si>
    <t>RT @kousama2016: 🌼fake news🌼 The election in Japan this time will clarify the fact that induction of public opinion by the mass media is lo…</t>
  </si>
  <si>
    <t>My hope is only calm life. Beautiful things, lovely things, modest kind. For artist of images, drag pic to google image to search up** No Dm **</t>
  </si>
  <si>
    <t>K. Alexander Ashe</t>
  </si>
  <si>
    <t>Japan's ruling coalition retains a supermajority in snap election https://t.co/a20104giyR via @TheEconomist</t>
  </si>
  <si>
    <t>GoRossella</t>
  </si>
  <si>
    <t>Entrepreneur, Engineer, Writer, @FAMU_1887 alum, @Columbia alum</t>
  </si>
  <si>
    <t>Marcos Muli</t>
  </si>
  <si>
    <t>I am the original Free Spirit..</t>
  </si>
  <si>
    <t>LDP's landslide election win is a decisive mandate by voters for amending the Constitution made &amp; forced on Japan b… https://t.co/w51ZwpTeem</t>
  </si>
  <si>
    <t>Politically Rich</t>
  </si>
  <si>
    <t>darien progenyz</t>
  </si>
  <si>
    <t>Winning big : Japan’s ruling coalition retains a supermajority in snap election https://t.co/EqzNaPDsS6 via @TheEconomist</t>
  </si>
  <si>
    <t>NONPARTISAN. Proactive energy, inclusion, clear-thinking. Live as individuals, not labels. Transparency. Wellness. Privacy. Equal Justice. Reform. 🙌BE FREE.</t>
  </si>
  <si>
    <t>Ranjit Kapur</t>
  </si>
  <si>
    <t>Maximin Dolphin</t>
  </si>
  <si>
    <t xml:space="preserve">France / U.K. / Ireland </t>
  </si>
  <si>
    <t>Vice President of the Council of Delegates of LBO. 📚🖋📁💼👔 Member of the Board of Directors of LBO. ✉️📑🗂📒 🇫🇷🇬🇧🇮🇪 🇪🇺</t>
  </si>
  <si>
    <t>Andre Fail</t>
  </si>
  <si>
    <t>Japan’s Election Warning to China https://t.co/Tuslc3mLNg</t>
  </si>
  <si>
    <t>Uithoorn</t>
  </si>
  <si>
    <t>Experienced investment professional open for job opportunities</t>
  </si>
  <si>
    <t>Mary Lavoie</t>
  </si>
  <si>
    <t>Vikings fan, Mount Holyoke alumna,Great Pyrenees dog lover &amp; seeker of wisdom..." Country Over Party, #TeamPatriot, American Democracy must endure.... NO DRAMA</t>
  </si>
  <si>
    <t>ದಿಗಂತ್ ರೈ|Digant Rai</t>
  </si>
  <si>
    <t>Brad Pitt Look-alike, kidding! This is my #2 account to express whatever I can't on main account. Automobile enthusiast! Admire beautiful Souls</t>
  </si>
  <si>
    <t>nyagonyago</t>
  </si>
  <si>
    <t>Japan's Abe hails landslide victory in snap election @CNNI https://t.co/pgZBiUIsIu</t>
  </si>
  <si>
    <t>杜の都　 仙台市</t>
  </si>
  <si>
    <t>先の震災では全国の皆様に多大なるご支援を賜りありがとうございました。震災＆日本復興願って時々ニッコリ毒吐きます(〃･ω･〃) ﾉ</t>
  </si>
  <si>
    <t>Britnie Lynn</t>
  </si>
  <si>
    <t>RT @progenyzero: Winning big : Japan’s ruling coalition retains a supermajority in snap election https://t.co/EqzNaPDsS6 via @TheEconomist</t>
  </si>
  <si>
    <t>I'm 23. Jesus is my #1. Panda Obsessed. Anime Freak. Music = My Addiction. When it rains, I look for rainbows. When it's dark, I look for stars. 3</t>
  </si>
  <si>
    <t>राजीव शर्मा मंगलहारा</t>
  </si>
  <si>
    <t>शेखावाटी,राजस्थान, हिन्दुस्तान</t>
  </si>
  <si>
    <t>हिन्दूत्व से बढ़कर कुछ नहीं जय श्री राजा रामचंद्र जी</t>
  </si>
  <si>
    <t>Cici</t>
  </si>
  <si>
    <t>°I'm not shy, just holding back my awesomeness I don't intimidate anyone° °Haters gonna hate, potatoes gonna potate° °Owner of @newspaceke (IG) ° °Entreprenuer°</t>
  </si>
  <si>
    <t>RT @JNilssonWright: My thoughts on Sunday's election in Japan and next steps for Abe Shinzo https://t.co/VdfLdbJipa via @prospect_uk</t>
  </si>
  <si>
    <t>Fantastic-looking workshop on the policy implications of Japan's 2017 election. https://t.co/ZrKoFIVcoJ</t>
  </si>
  <si>
    <t>Lalit Kumar</t>
  </si>
  <si>
    <t>muzaffarpur Bihar India</t>
  </si>
  <si>
    <t>I love my india I love my indian people</t>
  </si>
  <si>
    <t>Stephine Browning</t>
  </si>
  <si>
    <t>Lawton OK</t>
  </si>
  <si>
    <t>Im 17, Country. A Senior at IKE. Have a good job. Life cant get much better for me.</t>
  </si>
  <si>
    <t>alifakour.jannati</t>
  </si>
  <si>
    <t>#MaryamRajavi iran</t>
  </si>
  <si>
    <t>The PM called Prime Minister AbeShinzo of Japan to congratulate him on his success in the Japanese general election …</t>
  </si>
  <si>
    <t>Warm congratulations to AbeShinzo on his election success. I look forward to further strengthening ties. UK &amp; Japan are natural partners …</t>
  </si>
  <si>
    <t>菜種のきもち♡</t>
  </si>
  <si>
    <t>RT @AlastairGale: With election win, Abe may turn to revising the constitution. It won't be easy. https://t.co/jRvmYWqhon</t>
  </si>
  <si>
    <t>山梨県北杜市</t>
  </si>
  <si>
    <t>環境活動＠八ヶ岳南麓。畑は狭いが世界は広い。自然に学び自然に生きる🍀平和・健康・食・医療に関心 ✨東京大田区出身~中央区にも居住 naturalist, environmentalist, pacifist, agri-life, anti-nuclear. THINK GLOBALLY, ACT LOCALLY🌐</t>
  </si>
  <si>
    <t>Fathollah Mohammady</t>
  </si>
  <si>
    <t>#MaryamRajavi</t>
  </si>
  <si>
    <t>Rosana Schmitt</t>
  </si>
  <si>
    <t>#SantaCatarina</t>
  </si>
  <si>
    <t>A confiança em si mesmo é o primeiro segredo do sucesso. - Ralph Waldo Emerson Facebook: https://t.co/yrJhzcQLKr #Transcendentalista</t>
  </si>
  <si>
    <t>Athar</t>
  </si>
  <si>
    <t>KSA .. From Madinah, live in jeddah</t>
  </si>
  <si>
    <t>Ateet Shah</t>
  </si>
  <si>
    <t>Civil Engineer. Proud Indian. Hindu. Vande Mataram</t>
  </si>
  <si>
    <t>Hiren Maheshwari</t>
  </si>
  <si>
    <t>Gandhidham, India</t>
  </si>
  <si>
    <t>☆iwobi</t>
  </si>
  <si>
    <t>♡team #Arsenal</t>
  </si>
  <si>
    <t>HAPPENING NOW: @solis_msolis &amp; @RichardBushIII discuss the results of Japan's election over the weekend. Watch here… https://t.co/7MhB7SVNG6</t>
  </si>
  <si>
    <t>Choose 2 free IRAN</t>
  </si>
  <si>
    <t>Human Rights activist for IRAN</t>
  </si>
  <si>
    <t>RT @BrookingsFP: HAPPENING NOW: @solis_msolis &amp; @RichardBushIII discuss the results of Japan's election over the weekend. Watch here: https…</t>
  </si>
  <si>
    <t>MaC</t>
  </si>
  <si>
    <t>Just here for the laughs.Nothing serious.</t>
  </si>
  <si>
    <t>The Jude.</t>
  </si>
  <si>
    <t>WINTERFELL</t>
  </si>
  <si>
    <t>...am either too shy or too straightforward... 8 more than 92. Sleep is bae.</t>
  </si>
  <si>
    <t>ひこうき雲</t>
  </si>
  <si>
    <t>政権交代が可能な政治体制を切望し新生党から小沢一郎氏を支持。最近の関心はメディアや技術革新。一応、IT系の仕事をしています。Mac、iPhone、写真が好き♪ なお、RTやリンクは賛意を示しているとは限りません。</t>
  </si>
  <si>
    <t>Vish Sathappan</t>
  </si>
  <si>
    <t>India first. Indian politics. #NaMo supporter. Tweets are personal. RTs are not endorsements</t>
  </si>
  <si>
    <t>EricNyamweya</t>
  </si>
  <si>
    <t>I love life and humanity. Proud son of God.</t>
  </si>
  <si>
    <t>BEHROUZ MEHRI</t>
  </si>
  <si>
    <t>Japan pm Abe didn' smile even once in his presser yesterday after election victory!!!! #JapanVotes https://t.co/0jy3CCNnkc</t>
  </si>
  <si>
    <t>AFP Photographer</t>
  </si>
  <si>
    <t>Hale Burnside MD</t>
  </si>
  <si>
    <t>Physician Porsche Golf Sailing Saltwater Fly Fishing Astronomy My Stereo Music Left handed Right thinking Scientific Creationism is my intellectual hobby</t>
  </si>
  <si>
    <t>anmelos</t>
  </si>
  <si>
    <t>Think</t>
  </si>
  <si>
    <t>The Pursuit of Happyness :</t>
  </si>
  <si>
    <t>图蓝小小</t>
  </si>
  <si>
    <t>meredeth</t>
  </si>
  <si>
    <t>SamsTweedleBot</t>
  </si>
  <si>
    <t>shared spaces</t>
  </si>
  <si>
    <t>amateur translator, professional paper-pusher, hobbiest sleeper.</t>
  </si>
  <si>
    <t>99 Savage™</t>
  </si>
  <si>
    <t>♥MUFC _✘😍HipHop Head✘»»*Blunting Since June 23 ↭ Split Personality ♚ Peace •|| Love •|| Unity •|| &amp; Respect [P•L•U•R]♥</t>
  </si>
  <si>
    <t>Kop</t>
  </si>
  <si>
    <t>Trust God, Work Smarter, Enjoy Life!</t>
  </si>
  <si>
    <t>Davendra Sharma</t>
  </si>
  <si>
    <t>Keval Shah🇮🇳®</t>
  </si>
  <si>
    <t>Chandkheda, Gandhinagar</t>
  </si>
  <si>
    <t>Youtube Creator📽|Political Observer #bjp |N.S.S. Volunteer|Actor|E.C.📚|#BJYM</t>
  </si>
  <si>
    <t>Shahnaz Aligholi</t>
  </si>
  <si>
    <t>a #humanrights activist from #Iran and a supporter of #maryamrajavi</t>
  </si>
  <si>
    <t>wendy jones</t>
  </si>
  <si>
    <t>Rafeeq Ahmad</t>
  </si>
  <si>
    <t>See how we rate #reuters, #theguardian, #japantimes and #wapo for their coverage of #Japan's election at… https://t.co/FuLE5AjtXW</t>
  </si>
  <si>
    <t>Abdolghder Hashemi</t>
  </si>
  <si>
    <t>#humanrights activist</t>
  </si>
  <si>
    <t>ETF Daily News</t>
  </si>
  <si>
    <t>$HEWJ The Investing Implications Of The Japan Election (HEWJ) https://t.co/FS5yEYuHNI</t>
  </si>
  <si>
    <t>The leading ETF site on the web for all your ETF Daily News needs</t>
  </si>
  <si>
    <t>Jason</t>
  </si>
  <si>
    <t>RT @gregmcleodtradr: $GBPJPY Move higher Japan's Abe hails landslide victory in snap election. @CNN https://t.co/6jnrcntr3L</t>
  </si>
  <si>
    <t>Business Development/Technology/Marketing/Intra-day trading trader/coach forex</t>
  </si>
  <si>
    <t>Мария Бондарева</t>
  </si>
  <si>
    <t>WisdomTree</t>
  </si>
  <si>
    <t>Our Head of #Japan on the election and economic outlook for Japanese economy and the #yen https://t.co/Up3fkWsydA https://t.co/SqS1kG39Ro</t>
  </si>
  <si>
    <t>At WisdomTree we do things differently. Follow us for innovative insights, ETF education, and more. Important disclosure: http://t.co/N3wLExvV1v</t>
  </si>
  <si>
    <t>18d.Media</t>
  </si>
  <si>
    <t>The Investing Implications Of The Japan Election (HEWJ) https://t.co/19sR7M4YfX #ETFs https://t.co/bMVgVq0zQ6</t>
  </si>
  <si>
    <t>We begin to see that our lack of success is within us and we begin to work on knowing ourselves better....</t>
  </si>
  <si>
    <t>FreeIran_92</t>
  </si>
  <si>
    <t>thoughtcrime</t>
  </si>
  <si>
    <t>Japan's Abe to push pacifist constitution reform after strong election win https://t.co/zkw0kfiWhW</t>
  </si>
  <si>
    <t>#partsunknown</t>
  </si>
  <si>
    <t>#Father #writer #dogonpriestonbail #scientist [Torrance Stephens, PhD] If you value tweets, Donate Bitcoin: 163jCMr5GQwivrZZqDDgqkMGeYtnGLNuAX</t>
  </si>
  <si>
    <t>Rajkumar Gupta</t>
  </si>
  <si>
    <t>poltician.</t>
  </si>
  <si>
    <t>IG: starrfaced</t>
  </si>
  <si>
    <t>RT @18dMedia: The Investing Implications Of The Japan Election (HEWJ) https://t.co/19sR7M4YfX #ETFs https://t.co/bMVgVq0zQ6</t>
  </si>
  <si>
    <t xml:space="preserve">barefoot on Brighton Beach. </t>
  </si>
  <si>
    <t>this fucking fastlane. I solemnly swear that I am up to no good. ♐</t>
  </si>
  <si>
    <t>BJP KURNOOL DIST</t>
  </si>
  <si>
    <t>NATION FIRST</t>
  </si>
  <si>
    <t>Carter</t>
  </si>
  <si>
    <t>Cool Kid</t>
  </si>
  <si>
    <t>Joan MacRae</t>
  </si>
  <si>
    <t>Canadian dividing her time between Texas, New Brunswick and Prince Edward Island.</t>
  </si>
  <si>
    <t>Jens Erik Gould</t>
  </si>
  <si>
    <t>RT @theknifemedia: See how we rate #reuters, #theguardian, #japantimes and #wapo for their coverage of #Japan's election at https://t.co/cR…</t>
  </si>
  <si>
    <t>Editor-in-chief The Knife Media @theknifemedia | Bravery Tapes producer | Former correspondent @bloomberg, contributor @nytimes, @TIME, @NPR | Jens Erik Gould</t>
  </si>
  <si>
    <t>GrammieO</t>
  </si>
  <si>
    <t>golfing granny,conservative,peace loving</t>
  </si>
  <si>
    <t>Vaishali Lokhade</t>
  </si>
  <si>
    <t>siti suryani</t>
  </si>
  <si>
    <t>Bogor Agricultural University</t>
  </si>
  <si>
    <t>Department of Community Nutrition, Bogor Agricultural University|23101991|luvardy|</t>
  </si>
  <si>
    <t>no 7736564003</t>
  </si>
  <si>
    <t xml:space="preserve">MANIVASAKAM. </t>
  </si>
  <si>
    <t>Ali Mahmody</t>
  </si>
  <si>
    <t>I support #camp liberty and defend #human rights.</t>
  </si>
  <si>
    <t>Swamp Voice</t>
  </si>
  <si>
    <t>Deep in the Glades</t>
  </si>
  <si>
    <t>Married to Lola, Father, Grandfather, Geologist, Miner, Patriot, and In the Swamp #whereimakemystand #CowboysNation #AngloCelt</t>
  </si>
  <si>
    <t>lenana</t>
  </si>
  <si>
    <t>IG:raphael_kingz.child of an influential woman</t>
  </si>
  <si>
    <t>Paul Carroll</t>
  </si>
  <si>
    <t>New developments in NE Asia on eve of Trump visit. Japan election, bioweapons. Implications are? I discuss with… https://t.co/0lwgOCKpY4</t>
  </si>
  <si>
    <t>Senior Advisor, NSquare Looking for new, creative ways to reduce risks from nuclear weapons/materials. Former Ploughshares Fund, US Congress, DOE. Bike geek</t>
  </si>
  <si>
    <t>Some are arguing that Gov Matsui should resign as head of Japan Innovation Party (Ishin) after poor election performance.</t>
  </si>
  <si>
    <t>Tabatha O'Brien</t>
  </si>
  <si>
    <t>RT @ShingetsuNews: Some are arguing that Gov Matsui should resign as head of Japan Innovation Party (Ishin) after poor election performance.</t>
  </si>
  <si>
    <t>2311 North Los Robles Avenue P</t>
  </si>
  <si>
    <t>a cancer surviver. a christian. a medical translator. a mom of 3 aspies. conservative. plz unfollow me if u mind my tweeting in Japanese irregularly.</t>
  </si>
  <si>
    <t>Japan’s Lower House Election: Abe Prevails Again https://t.co/IfEndc1nFk</t>
  </si>
  <si>
    <t>UBCgeog481</t>
  </si>
  <si>
    <t>What happened in Japanese election? https://t.co/hv7pY585W6 #UBCgeog481</t>
  </si>
  <si>
    <t>Fall 2017 "Geography of Japan" @UBCgeog</t>
  </si>
  <si>
    <t>hannah stanley  xx</t>
  </si>
  <si>
    <t>@thevamps and @r5 foever #vampet#R5er#xx</t>
  </si>
  <si>
    <t>Abhinav Singh</t>
  </si>
  <si>
    <t>Kuamr</t>
  </si>
  <si>
    <t>Black</t>
  </si>
  <si>
    <t xml:space="preserve">Lilongwe </t>
  </si>
  <si>
    <t>that Ngoni chasing the sun</t>
  </si>
  <si>
    <t>進撃の狂人</t>
  </si>
  <si>
    <t>私が「リベラル教徒」と呼んだ陣営を、超辛口のチェスタトンは狂人と命名した──潮匤人『日本人として読んでおきたい保守の名著』（PHP新書）より。大絶賛発売中。/ A native Japanese. そろそろ保護区が必要か？</t>
  </si>
  <si>
    <t>Anil Jha</t>
  </si>
  <si>
    <t>Phil</t>
  </si>
  <si>
    <t>Came here to lead a fake life. Just like everyone else. @arsenal https://t.co/BHlvCgk6oO</t>
  </si>
  <si>
    <t>Peace for Children</t>
  </si>
  <si>
    <t>千葉</t>
  </si>
  <si>
    <t>2児の親。経済成長より、他者への思い遣りを持った社会の醸成を重視。 改憲、軍拡、原発、2020年東京五輪、マイナンバー、秘密保護法、共謀罪、全て反対。 海外への過剰バラマキや無駄な公共事業、莫大な防衛費、大企業の減税措置等の見直し要求。 現安倍政権の施策ほぼ全てが賛同できない。退陣を強く切望。</t>
  </si>
  <si>
    <t>Stompi</t>
  </si>
  <si>
    <t>Bana ba thari.</t>
  </si>
  <si>
    <t>HINDI-HINDU-HINDUSTAN</t>
  </si>
  <si>
    <t>VERBAL</t>
  </si>
  <si>
    <t>Nikkei Style Interview Part 2 now up</t>
  </si>
  <si>
    <t>さき 低浮上☁</t>
  </si>
  <si>
    <t>LoveDreamHappiness</t>
  </si>
  <si>
    <t>LDH垢✨ EX FAMILY EXILE TRIBE mobile ネス県 啓司|広臣|裕太|柚那|スダンナ フォローしてくれた人で気になったらお迎え fanの方followお願いします！うざ絡みとか大歓迎◎ 最近すごくDI期🙋</t>
  </si>
  <si>
    <t>노아🐰</t>
  </si>
  <si>
    <t>Chiba/JC3/14age/LDH/A.G.E/BTS/EXO/iKON/GOT7/SEVENTEEN/MONSTA_X/BLACKPINK/TWICE/三代目 UMP 10.7 &amp;21 参戦済💥/フォロバ100%</t>
  </si>
  <si>
    <t>Xqhuuj</t>
  </si>
  <si>
    <t>Za Za</t>
  </si>
  <si>
    <t>ï¿½T: 40.703132,-73.863305</t>
  </si>
  <si>
    <t>MS in ED.. I did that. Proud to be Vegan.. I am that. Lover of CHRIST I LIVE that. Lover of poetry always...</t>
  </si>
  <si>
    <t>Amit Agnihotri</t>
  </si>
  <si>
    <t xml:space="preserve">Lucknow </t>
  </si>
  <si>
    <t>Bsc,Master in Public Administration frm Lucknow Univ. Indian. Nationalist.Political View(BJP)-Proud Hindu.Salute to INDIAN ARMY.Cinephile.Indian CRICKET Lover.</t>
  </si>
  <si>
    <t>Annada Prasad Panda</t>
  </si>
  <si>
    <t>JIGAR JOSHI #BJP</t>
  </si>
  <si>
    <t>Vadodara (NaMo City) Gujarat</t>
  </si>
  <si>
    <t>Vadodara saher Yuvamorcho,BJP executive member,Namobhakt. (My tweets are strictly my personal viewpoint)</t>
  </si>
  <si>
    <t>Vivek Kumar</t>
  </si>
  <si>
    <t>Polling Correspondent @ReutersPolls</t>
  </si>
  <si>
    <t>Patrick Pato</t>
  </si>
  <si>
    <t>Alexandria, KY</t>
  </si>
  <si>
    <t>Life made easy, twitter is my voice ,Follow me for followback.. RT. ain't always endorsements! negative multiplied by negative equals positive.</t>
  </si>
  <si>
    <t>Patel.kemji Bhaji N@</t>
  </si>
  <si>
    <t>Gila_Toulou</t>
  </si>
  <si>
    <t>Hiroshi Ishida</t>
  </si>
  <si>
    <t>Denver</t>
  </si>
  <si>
    <t>kawaii kokujin onnanoko o tetsudai onegaishimasu😢</t>
  </si>
  <si>
    <t>💀LDH💀✋みちる✋</t>
  </si>
  <si>
    <t>LDHファンです👍顔ファンじゃないよ😦＼臣๑龍友๑TAKAHIRO๑愁平๑隼๑須田アンナが好き😘＼恋バナ好き💋＼フォローしてくれたら返す＼無言フォローOK😄＼無言フォローするかも🙏＼イイね＆RT多め＼フォローしたのにフォローされてなかったら教えてね😅＼よろしく💓</t>
  </si>
  <si>
    <t>Behnam Abasi</t>
  </si>
  <si>
    <t>Landange, Lorraine</t>
  </si>
  <si>
    <t>Freedom and human rights activist</t>
  </si>
  <si>
    <t>Dr. Mark P. Barry</t>
  </si>
  <si>
    <t>Japan’s Election Warning to China: How Kim and Xi helped Shinzo Abe keep his supermajority - WSJ https://t.co/Ob853xMmEG</t>
  </si>
  <si>
    <t>Tivoli, NY (near Bard, Vassar)</t>
  </si>
  <si>
    <t>Followed US-NK relations for 27 yrs. Met Kim Il Sung in '94. Worked w/ NGOs that met Kim Jong Il &amp; facilitated US-NK ties. 📧 m.barry@uts.edu.</t>
  </si>
  <si>
    <t>Atsuko</t>
  </si>
  <si>
    <t>たまにチビとライブ行きます。 大阪生まれ、埼玉育ち。チビ関連の呟き多いです。 美容師。量無くして質は有り得ない。ドロスcrew。</t>
  </si>
  <si>
    <t>Hariom Singh Rawat</t>
  </si>
  <si>
    <t>Gav 🇪🇺🏳️‍🌈❄️ 🎃</t>
  </si>
  <si>
    <t>Buxton</t>
  </si>
  <si>
    <t>Proud citizen of the world 🌎 Viva Europa! 🇪🇺🏳️‍🌈❄️ I block all Russian trolls - so don't waste your time 😘</t>
  </si>
  <si>
    <t>Googlemystyle.com</t>
  </si>
  <si>
    <t>The Woodlands, TX</t>
  </si>
  <si>
    <t>Entertainment , Sports and More #TexasSouthernUniversity</t>
  </si>
  <si>
    <t>メラメライオット</t>
  </si>
  <si>
    <t>2●歳、学生です（迫真）政治垢、左右両極端な思想はNG。安倍総理・トランプ大統領支持❗️維新も支持👍🏻さらば小池百合子👋🏻</t>
  </si>
  <si>
    <t>SunsysStudio</t>
  </si>
  <si>
    <t>Founder and CEO of Sunsys Ventures Private Limited.We are specialize website and Software development, Flash development etc.(https://t.co/pCZd4Pvfaw)</t>
  </si>
  <si>
    <t>RT @DrMarkPBarry: Japan’s Election Warning to China: How Kim and Xi helped Shinzo Abe keep his supermajority - WSJ https://t.co/Ob853xMmEG</t>
  </si>
  <si>
    <t>Mammeri14828362</t>
  </si>
  <si>
    <t>Gaurav Hindu</t>
  </si>
  <si>
    <t>El-Chapaat</t>
  </si>
  <si>
    <t>Am a Chef,i do cook stories.</t>
  </si>
  <si>
    <t>Top story: Japan's Abe Has Pulled Off a Landslide—But He's Not as Popular as Yo… https://t.co/VXlzgfxzvU, see more https://t.co/IQcUl5eYdm</t>
  </si>
  <si>
    <t>America Active</t>
  </si>
  <si>
    <t>Infomation Service Provider42</t>
  </si>
  <si>
    <t>We promote news, retweets and articles about United States economy. Tweets are sponsored by https://t.co/lB80QVd1N4</t>
  </si>
  <si>
    <t>Naser Salami</t>
  </si>
  <si>
    <t>#HumanRights</t>
  </si>
  <si>
    <t>ゆうあ【LDH垢】❥❥SS最高♡</t>
  </si>
  <si>
    <t>亜嵐県🍊</t>
  </si>
  <si>
    <t>ゆうあです(๑•̀ㅁ•́ฅ✧LDH大好き♥(ˆ⌣ˆԅ)です!!特に亜嵐くん❥❥健二郎さん❥❥乃々華❥❥が大好き♥(ˆ⌣ˆԅ)です!!どんどんフォローしてください!!→SS0703参戦済み💕 Flowerハイタッチ会20172部＆3部参加💕</t>
  </si>
  <si>
    <t>The Jakarta Globe</t>
  </si>
  <si>
    <t>Abe to Push Reform of Japan's Pacifist Constitution After Election Win https://t.co/H8OhBZOmjF https://t.co/a4o0UFp8zP</t>
  </si>
  <si>
    <t>TheJakartaGlobe</t>
  </si>
  <si>
    <t>Jakarta Capital Region</t>
  </si>
  <si>
    <t>Covering news about Indonesia.</t>
  </si>
  <si>
    <t>ののちゃん</t>
  </si>
  <si>
    <t>誤字脱字多め。偏向報道に血圧が上がる日々を過ごしています。あまりの偏向報道ぷりに、トランプ大統領は正しいのでは？と思うようになってきました。ツイッターには疲れました。</t>
  </si>
  <si>
    <t>dimas agustini</t>
  </si>
  <si>
    <t>RT @thejakartaglobe: Abe to Push Reform of Japan's Pacifist Constitution After Election Win https://t.co/H8OhBZOmjF https://t.co/a4o0UFp8zP</t>
  </si>
  <si>
    <t>챙💕</t>
  </si>
  <si>
    <t>[+19,970,211][-0] Rosé is seriously too good to be true....she's pretty, sings well, has a nice body and can dance well</t>
  </si>
  <si>
    <t>信輔@小池百合子に人間の心を持たせる会</t>
  </si>
  <si>
    <t>小池百合子は 豊洲移転 延期の非難の矛先を、問題のない「盛り土なしの設計」のせいにするデマを流し部下に濡れ衣を着せ処罰し、さらに石原さんにも。国会で合法的で「市場開設できる」と認められた豊洲を外資に売却しようとしている。公開入札の規定に反し官製談合の疑惑あり。小池の不正疑惑を追及する。</t>
  </si>
  <si>
    <t>Masood</t>
  </si>
  <si>
    <t>بیائیم و با هم دنیای بهتری بسازیم. Let's make a better World! you and me, us. Electrical Engineer, politics and human rights activist.</t>
  </si>
  <si>
    <t>Iranian voice</t>
  </si>
  <si>
    <t>#Japan Abe's election win to boost his hand on pro-growth policies: Fitch https://t.co/AdZh44KLRB</t>
  </si>
  <si>
    <t>I support freedom, democracy, equality between men and women, and justice in Iran،Nature lover.</t>
  </si>
  <si>
    <t>Global Agenda</t>
  </si>
  <si>
    <t>Kobe-shi Chuo-ku, Hyogo</t>
  </si>
  <si>
    <t>Global Agendaは神戸をベースとして、急速な発展を続けるグローバル社会で必要とされる調査、コンサルティング、R&amp;D、教育研修に特化したサービスを展開しています。2017年3月より「関西で初めてのThe Japan Timesが支援する朝英語の会梅田@スタートアップカフェ大阪」を主宰しています。（第2・4木曜）</t>
  </si>
  <si>
    <t>Just a guy with a lot of time on his hands and a lot of love for Senator John McCain.</t>
  </si>
  <si>
    <t>Holly Hodkinson</t>
  </si>
  <si>
    <t>Lifetime Buckeye &amp; Buckeye fan; used to be Republican (nt my POTUS); Mother of two amazing adult children &amp; two pups; foster dogs in need; #TeamMueller fan</t>
  </si>
  <si>
    <t>... Despite the 2017 Japan election is over, why are you making so much noise ? https://t.co/VO6eViyQ5r</t>
  </si>
  <si>
    <t>Abe won his snap election. Now, the fun begins. https://t.co/QAk1vqRxnp</t>
  </si>
  <si>
    <t>caoyang00011</t>
  </si>
  <si>
    <t>Deutsche Bank WM: #Japan’s election result won’t solve underlying problems $USDJPY $EWJ $DXJ #BOJ https://t.co/X4Q8QXWhI3 @DavidInglesTV</t>
  </si>
  <si>
    <t>佐藤健志（Writer/Critic）</t>
  </si>
  <si>
    <t>RT @ForeignPolicy: Abe won his snap election. Now, the fun begins. https://t.co/QAk1vqRxnp</t>
  </si>
  <si>
    <t>評論家／作家。主著『右の売国、左の亡国 ２０２０年、日本は世界の中心で消滅する』『僕たちは戦後史を知らない』 『愛国のパラドックス』『戦後脱却で、日本は「右傾化」して属国化する』『夢見られた近代』『本格保守宣言』『バラバラ殺人の文明論』『震災ゴジラ！』他。翻訳書に『新訳 フランス革命の省察』『コモン・センス 完全版』。</t>
  </si>
  <si>
    <t>Eadric S. Espiritu</t>
  </si>
  <si>
    <t xml:space="preserve"> Pamantasan ng Santo Tomas</t>
  </si>
  <si>
    <t>Better days are headway, but battle days are everyday. | @USTSHSSC Chief of Staff | Future Public Servant 🇵🇭 | Bosconian, Marian, Thomasian | 18</t>
  </si>
  <si>
    <t>邓光</t>
  </si>
  <si>
    <t>Jagdish Raidash</t>
  </si>
  <si>
    <t>Jagdish Raidash to get</t>
  </si>
  <si>
    <t>Rajkumar Shukla</t>
  </si>
  <si>
    <t>KASHIMA Ken</t>
  </si>
  <si>
    <t>"Japan election: the investing implications" https://t.co/4Zs4mOst6x #investment #feedly</t>
  </si>
  <si>
    <t>未来からきました</t>
  </si>
  <si>
    <t>某大学付属研究所の研究員です。白衣は着てません。</t>
  </si>
  <si>
    <t>Behrooz Salam</t>
  </si>
  <si>
    <t>for #HumanRights in iran</t>
  </si>
  <si>
    <t>Yatapost</t>
  </si>
  <si>
    <t>好きなもの 中日ドラゴンズと料理。最近は現実＝ドラゴンズの現状から逃避するために、時事ネタなどに茶々を入れたりしております。こんな人間で良ければツイートにお付き合いください。</t>
  </si>
  <si>
    <t>Black Isco</t>
  </si>
  <si>
    <t>天</t>
  </si>
  <si>
    <t>Friend of the People. Lingua Franca the album coming in the first half of 2018</t>
  </si>
  <si>
    <t>SteelToedBootLiberal</t>
  </si>
  <si>
    <t>I think 'Star Trek Liberal' is a good general descriptor of my politics. And yes political junky, likes shit posting, no holy cows</t>
  </si>
  <si>
    <t>CRAZYGIRL</t>
  </si>
  <si>
    <t>日本 和歌山</t>
  </si>
  <si>
    <t>三代目J Soul Brothers EXILE The Second スダンナユズリー PKCZ E-garls💕 LDH❤️💛💚💙💜🖤</t>
  </si>
  <si>
    <t>Prof. Manish Thakur</t>
  </si>
  <si>
    <t>#Prof of #EnglishLiterature #Humanities #Economics #Marketing #ParticlePhysics #IoT #Finance #PoliticalScience #AI #ECommerce #FinTech #Advt @Author of 4 #Books</t>
  </si>
  <si>
    <t>Anshuman Tiwari</t>
  </si>
  <si>
    <t>Student Follows by Office of Piyush Goyal</t>
  </si>
  <si>
    <t>Susanna Yukari Oseki</t>
  </si>
  <si>
    <t>新潟県新潟市</t>
  </si>
  <si>
    <t>市民連合＠新潟の中にいる一般人。通訳翻訳。英語講師 東電柏刈原発運転差止訴訟原告 鉄母。都立大中退Univ.of Hull,UK.Sociology&amp;Social Anthropology元生協理事。太陽光発電設置歴15年 小田原東京East Yorkshire, N.Humberside成田横浜新潟</t>
  </si>
  <si>
    <t>Shubham Arora</t>
  </si>
  <si>
    <t>RT @andreascseh: Deutsche Bank WM: #Japan’s election result won’t solve underlying problems $USDJPY $EWJ $DXJ #BOJ https://t.co/X4Q8QXWhI3…</t>
  </si>
  <si>
    <t>Piklu Das</t>
  </si>
  <si>
    <t>pratik pratik</t>
  </si>
  <si>
    <t>Nepal jhapa(surunga)</t>
  </si>
  <si>
    <t>राशी धनु काम लक्ष्य</t>
  </si>
  <si>
    <t>Robert Maganda</t>
  </si>
  <si>
    <t>Richard Gee</t>
  </si>
  <si>
    <t>Golden, CO</t>
  </si>
  <si>
    <t>lawyer, consultant, musician, writer and singer - add any other labels you want...</t>
  </si>
  <si>
    <t>to_chin</t>
  </si>
  <si>
    <t>I hope for world peace</t>
  </si>
  <si>
    <t>Miss Bubblegum</t>
  </si>
  <si>
    <t>Love football, play hockey, be a Dj, stay natural haired, pull off weird outfits, be me, be awesome, stay weird. be the sun. shine.</t>
  </si>
  <si>
    <t>Philipp Karl</t>
  </si>
  <si>
    <t>PhD Political science, MA Conflict analysis. Main topics: Radical right, Social movements, Political communication, Migration. Lived &amp; studied in FR, GER, HU</t>
  </si>
  <si>
    <t>Dhrushal Bhandari</t>
  </si>
  <si>
    <t>Udaipur, Rajasthan, India</t>
  </si>
  <si>
    <t>Murali SSA</t>
  </si>
  <si>
    <t>ottapalam</t>
  </si>
  <si>
    <t>Gaurav Sharma</t>
  </si>
  <si>
    <t>Shinzo Abe's Japan election victory delights investors as #Trump comes calling https://t.co/bGgomkxvZV #investing #equities #JapanElections</t>
  </si>
  <si>
    <t>Biz editor @IBTimesUK, oil market analyst, author of Oilholics Synonymous, @Forbes columnist, intrepid traveller. All crude thoughts my own; RT's ≠ endorsement</t>
  </si>
  <si>
    <t>アイラ@安倍総理支持</t>
  </si>
  <si>
    <t>神奈川（札幌出身🐻大学は東京🌸千葉、福岡も🏠）</t>
  </si>
  <si>
    <t>加計学園からの狂気じみた、偏向マスコミには怒り心頭💢です。戦後レジームからの脱却を掲げた第一次安倍政権から、安倍総理を応援し続ける主婦です。地上波を見ると苛立つので、虎の門ニュースをよく見ます。安倍総理と青山繁晴議員を応援する為に自民党員になりました。J-NSC会員 です。#憲法改正 #女性宮家反対 #NHK解体</t>
  </si>
  <si>
    <t> Prasanna Joshi </t>
  </si>
  <si>
    <t>🚩🚩जय श्रीराम 🚩🚩 actor:amitabh bachchan /cricketer:sachin Tendulkar /politics :shree. narendra Modi /youtuber :technical guruji /bb ki vines die hard fan </t>
  </si>
  <si>
    <t>Neha Mecwan</t>
  </si>
  <si>
    <t>BJP Kanpur South</t>
  </si>
  <si>
    <t>GobadeSaaidpour</t>
  </si>
  <si>
    <t>IBTimes UK Business</t>
  </si>
  <si>
    <t>RT @The_Oilholic: Shinzo Abe's Japan election victory delights investors as #Trump comes calling https://t.co/bGgomkxvZV #investing #equiti…</t>
  </si>
  <si>
    <t>Latest finance and economy news and analysis from @IBTimesUK, the world's fastest-growing online news publication.</t>
  </si>
  <si>
    <t>Pankaj Dubey</t>
  </si>
  <si>
    <t>What you need to know</t>
  </si>
  <si>
    <t>Shinzo Abe's Japan election victory delights investors as Donald Trump comes calling https://t.co/x2yOk2x9WV #Investing #DonaldTrump #Nikkei</t>
  </si>
  <si>
    <t>shiva tyagi</t>
  </si>
  <si>
    <t>Medical tourism at work👷👷👷👷💉💉💉💉💊💊💊💊💊💊💊💊💊💊💊 jai jawan jai kissan🙏🙏🙏🙏</t>
  </si>
  <si>
    <t>Leena Singh</t>
  </si>
  <si>
    <t>JAI JAWAN JAI KISAN JAI VIGYAAN</t>
  </si>
  <si>
    <t>Jai Mehta</t>
  </si>
  <si>
    <t>an avid reader, birder, traveler, hiker, trekker .... Love nature, wildlife, landscape .... Not so much interest in human species, their culture, or artefacts.</t>
  </si>
  <si>
    <t>Harikishan joshiABVP</t>
  </si>
  <si>
    <t>Jaipur Rajasthan India</t>
  </si>
  <si>
    <t>! भारत माता की जय ! State Executive Council Member at Bharat Tibbat Sahyog Manch(Rajasthan) member at RSS</t>
  </si>
  <si>
    <t>Akbar Eskandari</t>
  </si>
  <si>
    <t>Iranian resistance activity</t>
  </si>
  <si>
    <t>RT BBGVisualData: Japan's prime minister swept away the opposition, but he isn't as popular as you might think https://t.co/cYA3KXQ2cD …</t>
  </si>
  <si>
    <t>👑Zareena✨</t>
  </si>
  <si>
    <t>Lilongwe,Malawi</t>
  </si>
  <si>
    <t>Better aint good enough, the Best is yet to come....The Chosen1..... The Virtuous Lady IG: @Adona_Vstaxx</t>
  </si>
  <si>
    <t>FinTechHorizon</t>
  </si>
  <si>
    <t>Japan Election: Abe's Convincing Win https://t.co/UdGHBCFq3g via @AdvPerspectives #FinTech #News</t>
  </si>
  <si>
    <t>FTJBOT</t>
  </si>
  <si>
    <t>Creating and tweeting about the #FinTech future - #ai #blockchain #behaviouralfinance #ux</t>
  </si>
  <si>
    <t>प्रणव</t>
  </si>
  <si>
    <t>Andres Villamil R</t>
  </si>
  <si>
    <t>Bogota</t>
  </si>
  <si>
    <t>Systems Engineer with MBA that works in the financial sector since 2002.</t>
  </si>
  <si>
    <t>Ashutosh Awasthi</t>
  </si>
  <si>
    <t>Indian by Heart ❤️ Sanatan by Soul 🕉️ 🙏RSS 🙏 Bleed💠India यत्र योगेश्वरः कृष्णो यत्र पार्थो धनुर्धरः तत्र श्रीर्विजयो भूतिर्ध्रुवा नीतिर्मतिर्मम</t>
  </si>
  <si>
    <t>Vikas Yadav</t>
  </si>
  <si>
    <t>Concerned Citizen</t>
  </si>
  <si>
    <t>wongszekin</t>
  </si>
  <si>
    <t>🇲🇳</t>
  </si>
  <si>
    <t>Pratik Mehrotra</t>
  </si>
  <si>
    <t>コミナト(´ཀ`)</t>
  </si>
  <si>
    <t>結構適当にツイッタハァ。 フォローいただきありがとうございますm(__)m 鬱陶しかったら外してくださいね。</t>
  </si>
  <si>
    <t>®SABABISHA®</t>
  </si>
  <si>
    <t>Telesales Officer.. dad...hubby. joker.. happy all tha time.... am tha best there's ever been at being ME.. #Arsenal is ma team.. local music is tha best.</t>
  </si>
  <si>
    <t>Ghanshyam Gautam</t>
  </si>
  <si>
    <t>Jaipur/Tonk-Rajasthan,india</t>
  </si>
  <si>
    <t>। भारत माता की जय । official Twitter account of Ex.President - JR Rajasthan Sanskrit University । Acharya in Jyotish । Member at Rajasthan BJP</t>
  </si>
  <si>
    <t>Vidya</t>
  </si>
  <si>
    <t xml:space="preserve">#karnataka </t>
  </si>
  <si>
    <t>Proud Hindu | #Thala devotee | #indianArmy, Thalaivar, Nayanthara, ARR &amp; Dada | No DM &amp; Personal Questions plsss |</t>
  </si>
  <si>
    <t>Rachel Middleton</t>
  </si>
  <si>
    <t>Shinzo Abe's Japan election victory delights investors as Donald Trump comes calling https://t.co/xA6FxMQO6y</t>
  </si>
  <si>
    <t>Canary Wharf, London</t>
  </si>
  <si>
    <t>Stints in international news wires across the globe covering finance,economics, general and politics.With newspaper, magazine and online reporting experience.</t>
  </si>
  <si>
    <t>Sweeney Todd</t>
  </si>
  <si>
    <t>walking the green mile..</t>
  </si>
  <si>
    <t>nEu</t>
  </si>
  <si>
    <t>Hiç bir korkuya benzemez halkını satanın korkusu</t>
  </si>
  <si>
    <t>Right, First Time_</t>
  </si>
  <si>
    <t>Decisive, aggressive, unapologetic... entrepreneur, real estate agent, businessman....Student of Law....C.E.O and Director, VPM &amp; SC Ltd.</t>
  </si>
  <si>
    <t>prasannavenkatesh</t>
  </si>
  <si>
    <t>Love to connect the dots ✌ Burning ambition to make a difference #startup #books #AI #MachineLearning #Robotics Believe I've a incredible destiny, Steve jobs ❤</t>
  </si>
  <si>
    <t>Ni Nani?</t>
  </si>
  <si>
    <t>Potions Master, Head of Slytherin, Half-blood Prince, Headmaster and Double Agent as a DeathEater.</t>
  </si>
  <si>
    <t>Namrata</t>
  </si>
  <si>
    <t>Twitteristan</t>
  </si>
  <si>
    <t>Liberal in blocking. Intolerant to slightest of abuse. Don't intend to please anyone. Unfollow rather than telling me what (not) to tweet.</t>
  </si>
  <si>
    <t>ObbaKannadiga</t>
  </si>
  <si>
    <t>Kshitij Dhekane</t>
  </si>
  <si>
    <t>Solapur, India</t>
  </si>
  <si>
    <t>⛳मराठी माणूस⛳</t>
  </si>
  <si>
    <t>SamadSoltani</t>
  </si>
  <si>
    <t>Japan Abe's election win to boost his hand on pro-growth policies: Fitch https://t.co/6wwB8B4RA7</t>
  </si>
  <si>
    <t>Human rights activist and believes in freedom of religion and separation of church and state and Favorite songs Darius</t>
  </si>
  <si>
    <t>Surya.</t>
  </si>
  <si>
    <t>Love citizens, welfare of women, kids,elders. Love pets, painting, reading, driving. Write poems in https://t.co/2MXyfj1Itt by name Surya.😁😂</t>
  </si>
  <si>
    <t>ReBorn_8ThNovemPerV</t>
  </si>
  <si>
    <t>विवेकानंद_चौक...</t>
  </si>
  <si>
    <t>@intelligence [Maintain Enemy's] @IPS उलझन मे हूँ सूलझाउँ कैसे देश की नैया पार लगाउँ कैसे 🙊🙉🙈</t>
  </si>
  <si>
    <t>Rasol Amani</t>
  </si>
  <si>
    <t>paris</t>
  </si>
  <si>
    <t>#Freedom and# humanrights activist</t>
  </si>
  <si>
    <t>St Whimsy 🇮🇳</t>
  </si>
  <si>
    <t>I have the courage to stand up for what I really believe in .....do you???</t>
  </si>
  <si>
    <t>WeGlitter</t>
  </si>
  <si>
    <t>pipi0940</t>
  </si>
  <si>
    <t>ALind</t>
  </si>
  <si>
    <t>unknown</t>
  </si>
  <si>
    <t>India🇮🇳</t>
  </si>
  <si>
    <t>What’s at stake in Japan’s snap election, the country’s ‘Peace Constitution’,for one https://t.co/Xfg8TUfY2Z</t>
  </si>
  <si>
    <t>Indian News</t>
  </si>
  <si>
    <t>Waiting for Godot</t>
  </si>
  <si>
    <t>Cozumel, MX</t>
  </si>
  <si>
    <t>Retired U.S. Navy (Submarines)</t>
  </si>
  <si>
    <t>sam jonsn</t>
  </si>
  <si>
    <t>Mrinal Kumar</t>
  </si>
  <si>
    <t>We must do what we have to do so we can do what we want to do.</t>
  </si>
  <si>
    <t>Personal Account</t>
  </si>
  <si>
    <t>Wanderer</t>
  </si>
  <si>
    <t>Here, Now</t>
  </si>
  <si>
    <t>Seeker of Truth</t>
  </si>
  <si>
    <t>迷走</t>
  </si>
  <si>
    <t>東京の多摩地区某所</t>
  </si>
  <si>
    <t>少し変化球なツイート致しますが、常識論の範囲ではお答えいたしますが、それ以外の方はお相手致しません。ご了承ください。</t>
  </si>
  <si>
    <t>T.J</t>
  </si>
  <si>
    <t>Africa,Kenya</t>
  </si>
  <si>
    <t>Jehovah's Favorite | 64% Introvert | 36% Extrovert | Analytical, kinesthetic thinker | The spotlight is not my friend. Anti-planner, pro spontaneity.</t>
  </si>
  <si>
    <t>Mahadev Distributor</t>
  </si>
  <si>
    <t>Business Dealer, All Type of Medicines</t>
  </si>
  <si>
    <t>Chef Pushpendra</t>
  </si>
  <si>
    <t>Celebrity chef, Food critic, Nutritionist, Caterer, Baker, Restaurateur, Food blogger, Food consultant &amp; Recipe developer.</t>
  </si>
  <si>
    <t>jay bharat</t>
  </si>
  <si>
    <t>Jnani Janmabhumisch Swargadapi Gariyasi.Inqulab Zindabaad</t>
  </si>
  <si>
    <t>Pradeep Mandal</t>
  </si>
  <si>
    <t>Anand Lunia</t>
  </si>
  <si>
    <t>#India</t>
  </si>
  <si>
    <t>Indian. VC. Believes entrepreneur is the king. Not the VC. IndiaQuotient</t>
  </si>
  <si>
    <t>#PFS #CFP link: Japan’s Election: ‘TINA’ to Abe https://t.co/aF6yHJxtHI via @advperspectives _c</t>
  </si>
  <si>
    <t>Amir Mohammadi</t>
  </si>
  <si>
    <t>lion</t>
  </si>
  <si>
    <t>teacher</t>
  </si>
  <si>
    <t>golamreza lageyd</t>
  </si>
  <si>
    <t>Japan Abe's election win to boost his hand on pro-growth policies: Fitch https://t.co/6xccGl1sin</t>
  </si>
  <si>
    <t>Civil Rights News</t>
  </si>
  <si>
    <t>Japan’s Election Worsening Prospects For Peace With N. Korea, China https://t.co/GfXoPWtHO6 via @popresistance https://t.co/6R0VOpMDj4</t>
  </si>
  <si>
    <t>Curating grassroots movements news. connecting struggles around the world source suggestions welcome !</t>
  </si>
  <si>
    <t>Ben Borges</t>
  </si>
  <si>
    <t>Japan’s Election Worsening Prospects For Peace With N. Korea, China https://t.co/BK5hF1jBgM via @popresistance https://t.co/TBr6q5tCLb</t>
  </si>
  <si>
    <t>Internet</t>
  </si>
  <si>
    <t>OKC/Spatz Survivor | information activist | agitator | disruptor of social injustice | mail: email@benborges.xyz | chat/otr: chat@benborges.xyz</t>
  </si>
  <si>
    <t>A split opposition puts Shinzo Abe on track to victory in Japan, early projections show https://t.co/dpny5rVHRS</t>
  </si>
  <si>
    <t>Free Julian Assange</t>
  </si>
  <si>
    <t>#AutonomousResistance: Japan’s Election Worsening Prospects For Peace With N. Korea, China: https://t.co/q6ggzObJv8</t>
  </si>
  <si>
    <t>Terlingua, Texas</t>
  </si>
  <si>
    <t>AntiFascist, AntiGlobalist, AntiZionist, Eco/Hydro/Rights Activist, Fractivist, Philosophical Anarchist, Pro Rojava, Pro Zapatista, Long Distance Rider, BIKER.</t>
  </si>
  <si>
    <t>RT @nytimesworld: A split opposition puts Shinzo Abe on track to victory in Japan, early projections show https://t.co/dpny5rVHRS</t>
  </si>
  <si>
    <t>Sage</t>
  </si>
  <si>
    <t>Love most animals;Honest,love unconditionally &amp; have no "agenda". Do enjoy others opinion &amp; always have one.</t>
  </si>
  <si>
    <t>Chris LeBlanc *PREC</t>
  </si>
  <si>
    <t>Re-elected Japanese PM vows hard line on North Korea https://t.co/GzxHjoM0Cy</t>
  </si>
  <si>
    <t>Victoria BC</t>
  </si>
  <si>
    <t>Real Estate Professional and Developer. Cash Flow Specialist Working with Buyers and Sellers, in Victoria BC#YYJ #yyjRealestate #Realtor</t>
  </si>
  <si>
    <t>Pratapbhai Makwana</t>
  </si>
  <si>
    <t>Palitana, India</t>
  </si>
  <si>
    <t>PAST PRESIDENT B J P PALITANA CITY</t>
  </si>
  <si>
    <t>shokri khademi</t>
  </si>
  <si>
    <t>IronBoltBruce</t>
  </si>
  <si>
    <t>#AutonomousResistance: Japan’s Election Worsening Prospects For Peace With N. Korea, China: https://t.co/bVj9x5uHcB</t>
  </si>
  <si>
    <t>Free Palestine | Save Gaza</t>
  </si>
  <si>
    <t>Watching frogs boil as #Banks, #BigCorp, #BigOil &amp; the #MilitaryIndustrialComplex use #Brainwashing &amp; #TwoPartyTyranny to take a little more life away each day.</t>
  </si>
  <si>
    <t>がっつ@強いぞ！日本！</t>
  </si>
  <si>
    <t>Ar Robin  ✈</t>
  </si>
  <si>
    <t>nytimesworld: A split opposition puts Shinzo Abe on track to victory in Japan, early projections show https://t.co/wQWXktJjXd #arrobin</t>
  </si>
  <si>
    <t>If you love traveling ✈ then follow me for travel news (around the world)</t>
  </si>
  <si>
    <t>TerlinguⒶRE</t>
  </si>
  <si>
    <t>#AutonomousResistance: Japan’s Election Worsening Prospects For Peace With N. Korea, China: https://t.co/c5E34HWH18</t>
  </si>
  <si>
    <t>Gaza Chiapas Rojava Terlingua</t>
  </si>
  <si>
    <t>Terlingua Resource Exchange Collective (TRE) is an autonomous co-op whose mission is to recover, renew, repurpose, recycle, redistribute, reeducate and RESIST.</t>
  </si>
  <si>
    <t>Defense News</t>
  </si>
  <si>
    <t>Could Japan's snap election results open the door for a stronger security stance? https://t.co/Pci1pmig5s https://t.co/S96BsOeQoq</t>
  </si>
  <si>
    <t>Defense procurement and policy news from our reporters around the globe. Founded 1986.</t>
  </si>
  <si>
    <t>sam ray</t>
  </si>
  <si>
    <t>Kailash Solanki</t>
  </si>
  <si>
    <t>India. I'm a real Indian.</t>
  </si>
  <si>
    <t>https://t.co/8w0g7pe5VN on economy of India. Followed by @officepiyushGoyal ji. Active on social networks.Follow me and know my ideas. ŔŠŚ</t>
  </si>
  <si>
    <t>Mike Yeo 杨启铭</t>
  </si>
  <si>
    <t>RT @defense_news: Could Japan's snap election results open the door for a stronger security stance? https://t.co/Pci1pmig5s https://t.co/S9…</t>
  </si>
  <si>
    <t>@defense_news Asia reporter. Also cover Australia for APDR and AIN. Avgeek, Pacific War. 会讲华语. Tweets = personal $0.02. Melbourne via Singapore</t>
  </si>
  <si>
    <t>isaozturk</t>
  </si>
  <si>
    <t>Japan's Shinzo Abe won by a landside, but he isn't as popular as you might think https://t.co/ymg8zaUNNN https://t.co/D59z0Mp242</t>
  </si>
  <si>
    <t>MP Tweets</t>
  </si>
  <si>
    <t>Tweets from all Federal MPs, across all parties. Enjoy this handy resource provided by Jordan St Jacques from @mydigitera</t>
  </si>
  <si>
    <t>MommaMarDee</t>
  </si>
  <si>
    <t>human being, person, individual, coen bros. character yet discovered, survivor, believer in Creator, Love at its best n worst, wonderer good at living irony</t>
  </si>
  <si>
    <t>Tom Dooley</t>
  </si>
  <si>
    <t>#yen #dollar #euro all being printed in overdrive Interesting read on #Japan #election &amp; its influence on continue… https://t.co/TGhad70Unf</t>
  </si>
  <si>
    <t>Japan and the World</t>
  </si>
  <si>
    <t>Cambridge, United Kingdom</t>
  </si>
  <si>
    <t>Follow us on Twitter for updates about exciting events such as the Japan and the World Seminar Series at the University of Cambridge! よろしくお願いします。</t>
  </si>
  <si>
    <t>レックウザ☆ばろんBaron</t>
  </si>
  <si>
    <t>@ コマップ Principal food is a marshmallow. ♡(^-^)V…Peace -Japan- mute recommendation(^.^) ミュート推奨Facebook isn't open.</t>
  </si>
  <si>
    <t>abbottmedia</t>
  </si>
  <si>
    <t>#JAPAN: PM Abe's Hard Line Against North Korea Pays Off In Strong New Election Mandate [world politics news]… https://t.co/x2BcOVxXGr</t>
  </si>
  <si>
    <t>Abbott Media offers high quality PR writing &amp; news reporting services that inspire, inform, educate &amp; engage. Home of World Politics News &amp; Abbott ePublishing.</t>
  </si>
  <si>
    <t>Japan's Shinzo Abe won by a landside, but he isn't as popular as you might think https://t.co/L7EMgMpS3k https://t.co/VBmAmS8MFK #fb #sit…</t>
  </si>
  <si>
    <t>Shivnath32053 @gmail</t>
  </si>
  <si>
    <t>Sonamukhi, Kharagpur</t>
  </si>
  <si>
    <t>Life is a journey you have to travel</t>
  </si>
  <si>
    <t>"#Abe retains supermajority in #Japan’s election, may push to amend #constitution" | Washington Post https://t.co/IGKVUwkWYs</t>
  </si>
  <si>
    <t>I am nhprman.</t>
  </si>
  <si>
    <t>RT @abbottmedia: #JAPAN: PM Abe's Hard Line Against North Korea Pays Off In Strong New Election Mandate [world politics news] https://t.co/…</t>
  </si>
  <si>
    <t>Reputation agent, writer, communications consultant, micropreneur. I post about those things, inspiring quotes, faith, cars &amp; space. I've lived in FL, NH &amp; MA.</t>
  </si>
  <si>
    <t>The Ambassador</t>
  </si>
  <si>
    <t>We have no eternal allies and no perpetual enemies - our interests are eternal and those interests it is our duty to follow' - Palmerston</t>
  </si>
  <si>
    <t>RT: @nytimesworld :A split opposition puts Shinzo Abe on track to victory in Japan, early projections show https://t.co/FwNhgM1ycP</t>
  </si>
  <si>
    <t>cool freak</t>
  </si>
  <si>
    <t>Vishakhapatnam, bharath</t>
  </si>
  <si>
    <t>yoga bharath sprituality option and future commodity trader likes ajith dhoni travel jai shri ganesh</t>
  </si>
  <si>
    <t>Soror Nazari</t>
  </si>
  <si>
    <t>Predata</t>
  </si>
  <si>
    <t>After Abe's election win, online audiences in South Korea, China concerned over revision of Japan's pacifist consti… https://t.co/Z0Rnws652a</t>
  </si>
  <si>
    <t>Unique data for a new world of risk</t>
  </si>
  <si>
    <t>Travis Arrhenius</t>
  </si>
  <si>
    <t>Rec Artist,Singer/Songwriter @HIPGOS rec💎🎼 contact:arrheniuslover37@gmail.com fB:Travis Kwabena Arrhenius IG:Arrhenius_t</t>
  </si>
  <si>
    <t>jaysharma</t>
  </si>
  <si>
    <t>भाजपा का कार्यकर्ता @bjym #media #co-incharge @narendramodi #idol blessed by #follow @piyushgoyaloffc @tajinderbagga ji my number -9752285439 #bjym #bjp</t>
  </si>
  <si>
    <t>Andre Tartar</t>
  </si>
  <si>
    <t>Economic Data Editor at Bloomberg News (@business). Alum of @Nymag, @intelligencer &amp; @nyu_journalism. All views are my own.</t>
  </si>
  <si>
    <t>柳田　悠</t>
  </si>
  <si>
    <t>東京都世田谷区</t>
  </si>
  <si>
    <t>意識の高いtweetを心がけます(*๓´╰╯`๓)✨/RT/Like ≠ endorsement/sociology/social policy/倫理観の無い人、歴史修正主義者、レイシスト、セクシストその他差別主義者を罵倒します/葉山、鎌倉周辺に出没/(੭˙꒳​˙)੭気持ち(9ºωº)9</t>
  </si>
  <si>
    <t>Sultan Global Group</t>
  </si>
  <si>
    <t>Japan election: Abe’s landslide is a victory for militant nationalism in the Trump era - Africa, Asia and Australia https://t.co/itKntKKaba</t>
  </si>
  <si>
    <t>Kay</t>
  </si>
  <si>
    <t>Venus</t>
  </si>
  <si>
    <t>I suffer from bitchy resting face. It's a problem.</t>
  </si>
  <si>
    <t>Cam Arts&amp;Humanities</t>
  </si>
  <si>
    <t>What does Shinzo Abe's election win mean for Japan? @JNilssonWright from AMES @Cambridge_Uni explains https://t.co/2N62t8U0c2 #JapanElection</t>
  </si>
  <si>
    <t>News, research and events from @Cambridge_Uni Arts and Humanities.</t>
  </si>
  <si>
    <t>बदमाश छोरो</t>
  </si>
  <si>
    <t>राजपुताना ।।</t>
  </si>
  <si>
    <t>तन समर्पित, धन समर्पित, मन समर्पित इस राष्ट्र के लिए एक क्या ऐसे कई जन्म समर्पित ।।🙏 'Tweets In Likes'</t>
  </si>
  <si>
    <t>Shawn Doe</t>
  </si>
  <si>
    <t>Japan election: Shinzo Abe's economy faces huge challenges https://t.co/7Prp67aGs3 via @CNNMoney</t>
  </si>
  <si>
    <t>Buy Physical Gold and Silver!!!</t>
  </si>
  <si>
    <t>Korn Ferry</t>
  </si>
  <si>
    <t>Shinzo Abe's re-election proves once again that "it's the economy, stupid" still holds up https://t.co/LHKoybpR0P</t>
  </si>
  <si>
    <t>Korn Ferry (NYSE: KFY) is the preeminent global people and organizational advisory firm.</t>
  </si>
  <si>
    <t>Praveen Prabhakar</t>
  </si>
  <si>
    <t>Spokesperson, BJP, Jharkhand</t>
  </si>
  <si>
    <t>jn</t>
  </si>
  <si>
    <t>@DwbBill @BretBaier @FoxNews I’m sure you’d be OK if it was Israel, or even Japan or Mexico interfering in the US p… https://t.co/nsVz3j7cWv</t>
  </si>
  <si>
    <t>NOVA</t>
  </si>
  <si>
    <t>Father, husband and 30+ yr Heels Hoop Fanatic. Bass fishing nut as well</t>
  </si>
  <si>
    <t>Gopalakrishna B</t>
  </si>
  <si>
    <t>Rajahmundry, India</t>
  </si>
  <si>
    <t>Male</t>
  </si>
  <si>
    <t>JASON TODD</t>
  </si>
  <si>
    <t>KENYA</t>
  </si>
  <si>
    <t>skyy vodka or William Lawsons whiskey Liverpool fc 75% DC comics 25% Marvel comics Beyonce charmed sisters Kisumu County</t>
  </si>
  <si>
    <t>Majide Kamel</t>
  </si>
  <si>
    <t>Bob Munoz</t>
  </si>
  <si>
    <t>Japan's Abe hails landslide victory in snap election @CNN https://t.co/iqcuqIGOp8</t>
  </si>
  <si>
    <t>Nevada</t>
  </si>
  <si>
    <t>Social. political consultant, educator,advocate for those whose voices are not heard. Believe in freedom, justice, diversity, human spirit. Opinions are my own.</t>
  </si>
  <si>
    <t>Jeremy Yellen</t>
  </si>
  <si>
    <t>Professor of modern Japanese history at the Chinese University of Hong Kong.</t>
  </si>
  <si>
    <t>WasimaWali</t>
  </si>
  <si>
    <t>A Human, A Woman, A Mother. Passion for Parenting, Politics, Pottery, Poem, Photography, and We the people of the U nited States of America &amp; PsROBangladesh.OSU</t>
  </si>
  <si>
    <t>Arash Hafezi</t>
  </si>
  <si>
    <t>I cry for #freedom in #iran #humanrights activist support #pmoi #campLiberty #maryamrajavi</t>
  </si>
  <si>
    <t>Sumit Parashar</t>
  </si>
  <si>
    <t>Dhaulpur🔁chandigarh , india</t>
  </si>
  <si>
    <t>Medical Student, Member of #Vishw_hindu_parishad and #RSS huge fan of @narendramodi blessed by @vinitgoenka @sushilkedia nd @piyushgoyaloffc हाँ मै भक्त हूं</t>
  </si>
  <si>
    <t>Jansen Tarihoran</t>
  </si>
  <si>
    <t>Japan's Abe to push pacifist constitution reform after strong election win https://t.co/rPHUnLm57S</t>
  </si>
  <si>
    <t>Medan Tembung, Indonesia</t>
  </si>
  <si>
    <t>Jansen Fernando Tarihoran</t>
  </si>
  <si>
    <t>Brookings</t>
  </si>
  <si>
    <t>After #Japan's snap election Sunday, @solis_msolis &amp; @RichardBushIII went live on Facebook to discuss the results: https://t.co/t8bJ0NHkLH</t>
  </si>
  <si>
    <t>Independent research and analysis on the most important policy issues in the world. Sign up for the daily Brookings Brief: https://t.co/poCFBQnDFH</t>
  </si>
  <si>
    <t>衆院選2017</t>
  </si>
  <si>
    <t>jagadisha javagal</t>
  </si>
  <si>
    <t>ಪಕ್ಕಾ ಚಕ್ರವರ್ತಿ ಸೂಲಿಬೆಲೆ ಅಭಿಮಾನಿ</t>
  </si>
  <si>
    <t>Santanu Dutta</t>
  </si>
  <si>
    <t>Official Twitter Account Santanu Dutta.</t>
  </si>
  <si>
    <t>BrookingsInst: After #Japan's snap election Sunday, solis_msolis &amp; RichardBushIII went live on Facebook to discuss… https://t.co/FQk3lQs0R0</t>
  </si>
  <si>
    <t>Japan's Shinzo Abe won by a landside, but he isn't as popular as you might think https://t.co/zBFScWxh6R https://t.co/SFxqkgF2gG</t>
  </si>
  <si>
    <t>Pawan kulkarni</t>
  </si>
  <si>
    <t>Student,Nationalist,India First,Narendra Modi Fan</t>
  </si>
  <si>
    <t>RT @JPnewsinEng: Japan's ruling coalition retains a supermajority in snap election - The Economist https://t.co/weATXu2TrB https://t.co/qvs…</t>
  </si>
  <si>
    <t>Japan's Shinzo Abe won by a landside, but he isn't as popular as you might think https://t.co/HysTh5V7rx https://t.co/Fri1SNcTTA</t>
  </si>
  <si>
    <t>RT @business: Japan's Shinzo Abe won by a landside, but he isn't as popular as you might think https://t.co/zBFScWxh6R https://t.co/SFxqkgF…</t>
  </si>
  <si>
    <t>Azadeh</t>
  </si>
  <si>
    <t>Part of the Universe</t>
  </si>
  <si>
    <t>Muslim Iranian &amp; Married to An American Who Converted to Islam</t>
  </si>
  <si>
    <t>Ryan Grieve</t>
  </si>
  <si>
    <t>Policy student tweeting about politics, economics and technology. #cdnpoli #ableg #yyc #yyccc #CPC #UCP</t>
  </si>
  <si>
    <t>BB</t>
  </si>
  <si>
    <t>Монгол Улсын иргэн - Civis Mongolia sum 🇲🇳Солгой - Left handed 👍</t>
  </si>
  <si>
    <t>Lillys News</t>
  </si>
  <si>
    <t>Election Risk Pays Off for Shinzo Abe of Japan as His Party Appears to Win Big - The New York Times https://t.co/iD46VM8sBg</t>
  </si>
  <si>
    <t>❤️Trump supporter day 1. Trump is far from perfect but HILLARY is a criminal,getting worse daily, that’s why she lost! TRUMP has common sense. HILLARY does not.</t>
  </si>
  <si>
    <t>Japan's Shinzo Abe won by a landside, but he isn't as popular as you might think https://t.co/Gr2H7bnsS4 https://t.co/V5r8mw53Wu</t>
  </si>
  <si>
    <t>FX9509</t>
  </si>
  <si>
    <t>there was the election in Japan 10/22/17.the speaker for Mr. Abe was sensord by GOOGLE/TOUTOBE by taking down his uploads.</t>
  </si>
  <si>
    <t>TRUMP =HITLER</t>
  </si>
  <si>
    <t>...Double standards rats back Off... #BlueToTheBones #Witch #seer WE'RE NOT THE OPPOSITION BUT THE RESISTANCE, KEEP THAT IN MIND.</t>
  </si>
  <si>
    <t>currency trader</t>
  </si>
  <si>
    <t>Ashish Singh</t>
  </si>
  <si>
    <t>Tried tweeting, didn't work. Here only as read-only user. No courtesy follow back.</t>
  </si>
  <si>
    <t>Jitendra Rundla</t>
  </si>
  <si>
    <t>Anand Tiwari</t>
  </si>
  <si>
    <t>Ali Ebrahimzadeh Esq</t>
  </si>
  <si>
    <t>BrookingsInst: After #Japan's snap election Sunday, solis_msolis &amp; RichardBushIII went live on Facebook to discuss… https://t.co/RTVABeh05D</t>
  </si>
  <si>
    <t>Tel: (510) 910-3198</t>
  </si>
  <si>
    <t>Rated a Top 100 Trial Lawyer. Serving CA, NY, MA, DC. Business Law, Criminal Defense, Divorce &amp; Child Custody, Education Law. Also see @AEArtLaw</t>
  </si>
  <si>
    <t>business: Japan's Shinzo Abe won by a landside, but he isn't as popular as you might think https://t.co/AlTq66wr1g https://t.co/pqFOVPrqqJ</t>
  </si>
  <si>
    <t>サイリー</t>
  </si>
  <si>
    <t>趣味はアニメ/特撮/マンガ/ラノベ/ゲーム/金融/経済/投資/IT/ミシュランレストラン。ツイートは独り言や愚痴話がメイン。</t>
  </si>
  <si>
    <t>business: Japan's Shinzo Abe won by a landside, but he isn't as popular as you might think https://t.co/shRwausLdK https://t.co/WaPjJwt1Uv</t>
  </si>
  <si>
    <t>ASHRAFisHONOR</t>
  </si>
  <si>
    <t>International call 4 Human Rights in IRAN</t>
  </si>
  <si>
    <t>Brett S. Morris</t>
  </si>
  <si>
    <t>Shinzo Abe's victory is not as impressive as it seems, as I write for @Medium https://t.co/rPhL4dan8M #JapanElection #Japan #Politics</t>
  </si>
  <si>
    <t>Writer and globetrotter covering politics and US foreign policy. Contributor to @Medium's Partner Program, @Jacobinmag, and elsewhere.</t>
  </si>
  <si>
    <t>Aref Izadi</t>
  </si>
  <si>
    <t>business: Japan's Shinzo Abe won by a landside, but he isn't as popular as you might think https://t.co/6rUqY5184d https://t.co/LrqWyer631</t>
  </si>
  <si>
    <t>Awrytro Chatterjee</t>
  </si>
  <si>
    <t>Calcutta | Bangalore</t>
  </si>
  <si>
    <t>Dilettante. Bengali .Football, economics, politics and theatre.</t>
  </si>
  <si>
    <t>Japan's Shinzo Abe won by a landside, but he isn't as popular as you might think https://t.co/cSQFOGGddY https://t.co/xGZEY5PxHi</t>
  </si>
  <si>
    <t>Japan's Shinzo Abe won by a landside, but he isn't as popular as you might think https://t.co/1HEd4c3JBh https://t.co/U3F7YN2J9b</t>
  </si>
  <si>
    <t>Shinzo Abe's Japan election victory delights investors as Donald Trump comes calling https://t.co/u2jTSUcC7A</t>
  </si>
  <si>
    <t>Survey Sunday</t>
  </si>
  <si>
    <t>#Via #CNN #ShinzoAbe on track for landslide victory, exit polls show: Read more here https://t.co/fgsiWSHyav https://t.co/U6oOA6WOCQ</t>
  </si>
  <si>
    <t>The weekly #SurveySunday is an unscientific measure of the opinions &amp; attitudes of #Miami community leaders, by @LopezGovLaw via email, #Facebook, &amp; #Twitter.</t>
  </si>
  <si>
    <t>jaimeotero_: Japan's Shinzo Abe won by a landside, but he isn't as popular as you might think https://t.co/2XlnBSRluK …</t>
  </si>
  <si>
    <t>joshua</t>
  </si>
  <si>
    <t>i love Josh , deal with it</t>
  </si>
  <si>
    <t>Japanese Prime Minister Shinzo Abe will host U.S. President Donald Trump in Tokyo next month. https://t.co/DudqOKTi1C</t>
  </si>
  <si>
    <t>Ajay Kumar Sinha</t>
  </si>
  <si>
    <t>Deepak Mishra</t>
  </si>
  <si>
    <t>William W. Smith</t>
  </si>
  <si>
    <t>North Korea blasts Japan for using election to 'pave groundwork' for invasion https://t.co/9vKqRX5Bw3</t>
  </si>
  <si>
    <t>Vietnam War Veteran</t>
  </si>
  <si>
    <t>🚩Satish Baisla🔔HS</t>
  </si>
  <si>
    <t>#RSS #baislavoice #जननायक_modi_ji #हिंदु_स्वाभिमान #modi_app @PiyushGoyaloffc @ManishYadavBJP @bjym4faridabad #SwachhBharat</t>
  </si>
  <si>
    <t>He</t>
  </si>
  <si>
    <t>Japan Election Vindicates Shinzo Abe as His Party Wins Big https://t.co/0lHwhWt1lq</t>
  </si>
  <si>
    <t>Limited Government Low Taxes #teaparty #GeauxTigers! #IStandWithIsrael NoFacebook. #CCOT NODMs. #MUFC I don't buy followers. RT ≠ Endorsement</t>
  </si>
  <si>
    <t>RiverFront IG</t>
  </si>
  <si>
    <t>The Weekly View: "Japan's Election Renews Mandate For 'Abenomics' - Good For Stocks, In Our View". READ HERE: https://t.co/mRpji30xVE</t>
  </si>
  <si>
    <t>Richmond, VA</t>
  </si>
  <si>
    <t>A global asset manager utilizing a dynamic,tactical investment approach &amp; uncommon transparency. Disclosures: https://t.co/RR6j5RsRNT</t>
  </si>
  <si>
    <t>Standing with Marco</t>
  </si>
  <si>
    <t>#Via #CNN #ShinzoAbe on track for landslide victory, exit polls show: Read more here https://t.co/tWey9WzVkZ https://t.co/dptZWXZLgD</t>
  </si>
  <si>
    <t>Srinidhi Atreyasa</t>
  </si>
  <si>
    <t>Adhiambo Ketta</t>
  </si>
  <si>
    <t>Diamond in the rough!</t>
  </si>
  <si>
    <t>Chennai,india</t>
  </si>
  <si>
    <t>Gobinda Sarkar</t>
  </si>
  <si>
    <t>www.@H/ghat</t>
  </si>
  <si>
    <t>H/ghat</t>
  </si>
  <si>
    <t>木下秀雄</t>
  </si>
  <si>
    <t>子供達を守りたい。脱被曝。国民を守らない政治屋はいらない。</t>
  </si>
  <si>
    <t>Michael Forbus</t>
  </si>
  <si>
    <t>South Florida Coast</t>
  </si>
  <si>
    <t>Paintographer, graphic design, organic farmer, cross cultural chef, Buddhist, Taoist, Fun and A writer for 30 years, an artist for 40 years. AUTISM ADVOCATE</t>
  </si>
  <si>
    <t>Ashok Kapoor</t>
  </si>
  <si>
    <t xml:space="preserve">Andromeda galaxy             </t>
  </si>
  <si>
    <t>@kapoorashok25 कांग्रेसी, आपटर्ड और पाखंडी बाबाओं के समर्थकों को दूर ही रहने की सलाह दी जाती है. ज़ीरो ट्वीट वाले followback की उम्मीद न रखें Born 20th September</t>
  </si>
  <si>
    <t>Shashi Kumar Thakur</t>
  </si>
  <si>
    <t>MR RIYAZ SHAIKH</t>
  </si>
  <si>
    <t>Abe wins big in #Japan election – how does it affect the markets? https://t.co/Up3fkWK9Ca https://t.co/SqS1kFLyZQ</t>
  </si>
  <si>
    <t>साथी</t>
  </si>
  <si>
    <t>#जय_हिंद कार्यकरता भारतीय जनता पार्टी हिन्दी में ही लिखता हूँ क्योंकि अपनी मातृभाषा के प्रति सम्मान है!! Rts not Endorsement (parody)</t>
  </si>
  <si>
    <t>Aria Sabore</t>
  </si>
  <si>
    <t>G.I.🇲🇼</t>
  </si>
  <si>
    <t>Malawi</t>
  </si>
  <si>
    <t>Proficient in Microsoft Excel. IG: Gmkwambisi</t>
  </si>
  <si>
    <t>AshrafLibertyTehran</t>
  </si>
  <si>
    <t>It happened again. The media’s coverage of Japan’s election mixed facts with opinion. https://t.co/Q6Xf2FrW9s</t>
  </si>
  <si>
    <t>rajiv sharma</t>
  </si>
  <si>
    <t>Patty Walter</t>
  </si>
  <si>
    <t>RT @HalenVyas: Japan election: Abe’s landslide is a victory for militant nationalism in the Trump era https://t.co/Sr5tyZFsV6</t>
  </si>
  <si>
    <t>Hеу =) I'm lооking for а sех. Сome to me, сhесk https://t.co/aaw8mNn78K</t>
  </si>
  <si>
    <t>Pastor Daniel Zion E</t>
  </si>
  <si>
    <t>Japan's Abe hails landslide victory in snap election @CNNI https://t.co/HXumdzeu3m</t>
  </si>
  <si>
    <t>europe</t>
  </si>
  <si>
    <t>高橋　潤</t>
  </si>
  <si>
    <t>東京の東側と新潟</t>
  </si>
  <si>
    <t>ぱみゅらーさんフォロバ全力100％！ NHKホール/Zepp東京/幕張メッセ/ageHa/市原/武道館/ZeppDiverCityTokyo/2017iyahoi 市原&amp;NHK参戦！ のりもの、自衛隊とアルビと保守・経済ネタも多いかなぁ。フォローリムーブお気軽にどうぞ。KPP CLUB,J-NSC</t>
  </si>
  <si>
    <t>卍強欲の罪 フォックスシン バン卍</t>
  </si>
  <si>
    <t>熊本 玉名市</t>
  </si>
  <si>
    <t>モンストとパズドラとスプラトゥーン2とオセロニアやってます‼︎</t>
  </si>
  <si>
    <t>Ramon Alvarado</t>
  </si>
  <si>
    <t>kamalkishore</t>
  </si>
  <si>
    <t>RT @BloombergAsia: Japan's Shinzo Abe won by a landside, but he isn't as popular as you might think https://t.co/ymg8zaUNNN https://t.co/D5…</t>
  </si>
  <si>
    <t>RT @The_Japan_News: 2017 Lower House Election / Coalition set for landslide win https://t.co/lf1WUaiEzU #JapanElection</t>
  </si>
  <si>
    <t>Matthew Cwihun</t>
  </si>
  <si>
    <t>Recent election outcome in Japan and move to revise constitution sends a clear message to CPC in China: "We're back". #TuesdayThoughts</t>
  </si>
  <si>
    <t>The Treehouse</t>
  </si>
  <si>
    <t>Influenced by: Plato; Jesus; Lau Tzu; Paine; J Krishnamurti; J Jacobs; C Quigley; A Watts; J Campbell; and more :) *MPA; Entrepreneur; Founder of TUHRN; etc.</t>
  </si>
  <si>
    <t>Jive Cambridge</t>
  </si>
  <si>
    <t>independent: 'What does Shinzo Abe's election win mean for Japan?' https://t.co/fhKRS4ZhTG</t>
  </si>
  <si>
    <t>JiveCambridge</t>
  </si>
  <si>
    <t>Follow us for the best of what's happening around Cambridge.</t>
  </si>
  <si>
    <t>Jon Ogg</t>
  </si>
  <si>
    <t>WisdomTree Investments $WETF was $10.85 week ago, now $11.52 after Japan snap election may mean endless Quantitativ… https://t.co/ObOQsvOx7i</t>
  </si>
  <si>
    <t>https://t.co/9fADI64Q0q Editor/Co-Founder, financial news junkie with 25 years in markets; University of Houston 1992; No participation trophies &amp; no socialism.</t>
  </si>
  <si>
    <t>Rajan Kanpur Dehat</t>
  </si>
  <si>
    <t>ASHRAF x 1000</t>
  </si>
  <si>
    <t>Democracy for Iran - Peace for the World</t>
  </si>
  <si>
    <t>💕रूही चौबे 👒</t>
  </si>
  <si>
    <t>U.P. india</t>
  </si>
  <si>
    <t>cute hu 😍😍 #no_dm = block 😠😠😈😈</t>
  </si>
  <si>
    <t>さざなみジロー</t>
  </si>
  <si>
    <t>Chiba Prefecture, Japan   千葉</t>
  </si>
  <si>
    <t>さざなみジローです。海釣り(黒鯛 石鯛 アオリイカ)、棒ウキ作り、酒、料理、カメラ•写真、自動車(欧州車が好き)、野鳥、スキー、操船、ビションフリーゼ....。お天気の良い日は海で昼寝をしていることがあります。 宜しくお願いします。</t>
  </si>
  <si>
    <t>martin muhiri</t>
  </si>
  <si>
    <t>kikuyu, kenya</t>
  </si>
  <si>
    <t>never underestimate the underdog</t>
  </si>
  <si>
    <t>Cynthia</t>
  </si>
  <si>
    <t>Puppy Training Tips</t>
  </si>
  <si>
    <t>#WolrdNews Financial Express Abe's strength in volatile timesThe AustralianShinzo Abe's emphatic win in Japan's s… https://t.co/1fwLgCUx2H</t>
  </si>
  <si>
    <t>How to train a puppy and a dog step by step to sit, to come, to stay, stop bitting, not to bark and more https://t.co/S6QMOtFy5f</t>
  </si>
  <si>
    <t>The Norman Bosco</t>
  </si>
  <si>
    <t>IM À BLEND OF STEEL AND IRON</t>
  </si>
  <si>
    <t>Raghubar Das</t>
  </si>
  <si>
    <t>Wishing Japanese Prime Minister Mr @AbeShinzo on his big election victory. We hope to further cement our friendship with Japan. @SujanChinoy</t>
  </si>
  <si>
    <t>Follow my page on facebook @RaghubarDas</t>
  </si>
  <si>
    <t>Chief Minister of Jharkhand</t>
  </si>
  <si>
    <t>Christian Gallegos</t>
  </si>
  <si>
    <t>Leftist. Educator. Writer. Proud Hispanic. Vegas Native. Grad Student.</t>
  </si>
  <si>
    <t>Joshua H. Pollack</t>
  </si>
  <si>
    <t>Abe retains supermajority in Japan’s election, may push to amend constitution https://t.co/TNzFN97WsU</t>
  </si>
  <si>
    <t>Editor, @TheNonproReview | Senior Research Associate, @MIIS | @CNS_Updates | Research Scientist, @CNA_org | Associate Fellow, @RUSI_org | Tweeting for myself.</t>
  </si>
  <si>
    <t>Siva Subramanyam</t>
  </si>
  <si>
    <t>RT @dasraghubar: Wishing Japanese Prime Minister Mr @AbeShinzo on his big election victory. We hope to further cement our friendship with J…</t>
  </si>
  <si>
    <t>BJP Loyalist and a Proud Hindu, trying to follow and protect sanatana dharma by raising my voice for its cause which doesn't mean i hate other religions</t>
  </si>
  <si>
    <t>What Investment</t>
  </si>
  <si>
    <t>Japan #election outcome bodes well for equity market says M&amp;G Episode Income Fund manager https://t.co/5t4RZitWlK https://t.co/JHBadiTx15</t>
  </si>
  <si>
    <t>Established in 1982 to help UK investors make better decisions. Monthly print magazine and app, weekly email newsletter, website with guides and daily news.</t>
  </si>
  <si>
    <t>Ranchi jharkhand</t>
  </si>
  <si>
    <t>Deepak 🚩🚩Azaad🚩🚩</t>
  </si>
  <si>
    <t>झुंझुनूं, राजस्थान, भारत</t>
  </si>
  <si>
    <t>मेरा कर्तव्य ही मेरा धर्म है।🇮🇳 जय हिन्द वन्दे मातरम्।🇮🇳 गद्दार फोलो नहीं करें।🇮🇳 tweet in➡️➡️likes followed by @bhagwa_sherni</t>
  </si>
  <si>
    <t>Ruthie Ann Woods</t>
  </si>
  <si>
    <t>Could Japan's snap election results open the door for a stronger security stance? https://t.co/3r34PxS3dC</t>
  </si>
  <si>
    <t>Kentucky, USA</t>
  </si>
  <si>
    <t>Wife to @tommy_tcw and Mom enjoy History, Happy :) Christian PCOG and @watch_jerusalem Semper Vigilans ,#Constitution #Commandments a work in progress</t>
  </si>
  <si>
    <t>Fatemeh Asef</t>
  </si>
  <si>
    <t>#Japan president #ShinzoAbe to push pacifist constitution https://t.co/AxU5ds1v6k #CrisisManagement #RiskAnalysis #GRACM</t>
  </si>
  <si>
    <t>Prof. Manuj D Sharma</t>
  </si>
  <si>
    <t>IIT Roorkee 94; Inventor; Math olympiad topper+NTSE scholar; AIR vocalist; Provide value not satisfy ego; deliver great work not glib talks; RT≠Endorsement</t>
  </si>
  <si>
    <t>IBTimes UK</t>
  </si>
  <si>
    <t>Shinzo Abe's Japan election victory delights investors as Donald Trump comes calling https://t.co/xrFVTW6llR</t>
  </si>
  <si>
    <t>International Business Times UK: Keeping your world connected so you know what’s next. Facebook: https://t.co/drCmDDD7gI</t>
  </si>
  <si>
    <t>Suresh Patel -MLA</t>
  </si>
  <si>
    <t>Ahmedabad Maninagar</t>
  </si>
  <si>
    <t>Member of Legislative Assembly from Maninagar Constituency (53) @Bjp4Gujarat</t>
  </si>
  <si>
    <t>DEVENDRA SINGH</t>
  </si>
  <si>
    <t>krishna my friend ॐ</t>
  </si>
  <si>
    <t xml:space="preserve">krishna's Brindavan </t>
  </si>
  <si>
    <t>#lordkrishna</t>
  </si>
  <si>
    <t>Offline juhi</t>
  </si>
  <si>
    <t>Teri soch se 1 kadam aage</t>
  </si>
  <si>
    <t>I never make the right decision,but I always prove that my decision was right.😎 #Namobhakt proud 2 b an Indian</t>
  </si>
  <si>
    <t>Prime Minister @TurnbullMalcolm has personally congratulated Shinzo Abe on his election victory. #9News https://t.co/qjccfkxJbF</t>
  </si>
  <si>
    <t>Prime Minister TurnbullMalcolm has personally congratulated Shinzo Abe on his election victory. #9News https://t.co/AGFkpBviZw</t>
  </si>
  <si>
    <t>Azadi1392Iran</t>
  </si>
  <si>
    <t>Amar pal</t>
  </si>
  <si>
    <t>Jabalpur Madhya Pradesh INDIA</t>
  </si>
  <si>
    <t>Civil engineer at Larsen and toubro.</t>
  </si>
  <si>
    <t>India Speaks Daily</t>
  </si>
  <si>
    <t>#ISD mission is to report TRUE Breaking news about #Bharat, its Constitution &amp; World news. Check @IndiaSpeaksISD for all TRUE News and more.</t>
  </si>
  <si>
    <t>Khomeini👻🎃</t>
  </si>
  <si>
    <t>Temple of Boom</t>
  </si>
  <si>
    <t>Ancient. Illuminati Rookie of the Year. I want COOKIES!</t>
  </si>
  <si>
    <t>Virus4Congress</t>
  </si>
  <si>
    <t>India First ^^^ Views Personal /RTs not Endorsements ^^^^^ Prefer to stay away fm the limelight. Cant guarantee a followback..depends</t>
  </si>
  <si>
    <t>RT @9NewsAUS: Prime Minister @TurnbullMalcolm has personally congratulated Shinzo Abe on his election victory. #9News https://t.co/qjccfkxJ…</t>
  </si>
  <si>
    <t>Sudesh Modi</t>
  </si>
  <si>
    <t>Kodarma, India</t>
  </si>
  <si>
    <t>DISTRICT CONVENER {BJP} IT CELL KODERMA ~POLTICAL &amp; SOCIAL ACTIVIST~</t>
  </si>
  <si>
    <t>Abe’s coalition scored a solid victory in #Japan’s #election. Learn more about what this could mean for investors.… https://t.co/R4688WBaMn</t>
  </si>
  <si>
    <t>Michelle Clarke</t>
  </si>
  <si>
    <t>RT @blackrock: Abe’s coalition scored a solid victory in #Japan’s #election. Learn more about what this could mean for investors. https://t…</t>
  </si>
  <si>
    <t>DailyFX Team Live</t>
  </si>
  <si>
    <t>Fitch: Japan election results to bolster policy implementation.</t>
  </si>
  <si>
    <t>New York, London, Singapore</t>
  </si>
  <si>
    <t>Live coverage of forex market news and updates from the team at DailyFX. Risk Disclaimer: https://t.co/3cgDIjXRYB</t>
  </si>
  <si>
    <t>Atefeh Bahardost</t>
  </si>
  <si>
    <t>Rob Graham</t>
  </si>
  <si>
    <t>RT @Mark3Ds: #ShinzoAbe secures strong mandate in #Japan's general election-#NorthKorea #JSDF https://t.co/l4mFPRt9qE</t>
  </si>
  <si>
    <t xml:space="preserve">The Healing Kingdom. </t>
  </si>
  <si>
    <t>International business development professional. Now retired old fart. Former Canadian Foreign Service Officer.</t>
  </si>
  <si>
    <t>Jigar Jivani</t>
  </si>
  <si>
    <t>Incharge Social media - Bodakdev ward</t>
  </si>
  <si>
    <t>Oh GOD!</t>
  </si>
  <si>
    <t>DM me to talk</t>
  </si>
  <si>
    <t>LOUISFANUCCHIIV</t>
  </si>
  <si>
    <t>HAHAHA :)</t>
  </si>
  <si>
    <t>Fanucchi Productions Journalist,Entertainer,Song Writer,DJ,Businessman,Open Investigation Online Security fact checking gathering info :) COPYRIGHTED</t>
  </si>
  <si>
    <t>Pristine</t>
  </si>
  <si>
    <t>In the stars</t>
  </si>
  <si>
    <t>MUFC | instagram: @frankkensteiner</t>
  </si>
  <si>
    <t>Véronique JEROME</t>
  </si>
  <si>
    <t>PhD in economics, political-economist, ELECTIONSCOPE®, APSA member, scanning political message, #Style &amp; #Politics, #Communication, #Marketing, #Forecasting.</t>
  </si>
  <si>
    <t>aki</t>
  </si>
  <si>
    <t>The Japanese does not go for election https://t.co/YBX239FqXa</t>
  </si>
  <si>
    <t>I'm living in Japan's Nagoya City. I love football and takoyaki. Thank U!</t>
  </si>
  <si>
    <t>Manish Gupta</t>
  </si>
  <si>
    <t>INDIAN Followed by PiyushGoyalOffc</t>
  </si>
  <si>
    <t>Fitch: Japan election results to bolster policy implementation. → via @ForexBTC</t>
  </si>
  <si>
    <t>Daniel Brown</t>
  </si>
  <si>
    <t>Satish Chandra Singh</t>
  </si>
  <si>
    <t>राष्ट्रीय हित सर्वोपरि,श्रद्धेय मोदीजी के नेतृत्व में अटूट आस्था।</t>
  </si>
  <si>
    <t>Keith Thompson</t>
  </si>
  <si>
    <t>Coopersburg, PA</t>
  </si>
  <si>
    <t>femi</t>
  </si>
  <si>
    <t>@LFC || learning web designing</t>
  </si>
  <si>
    <t>The Chosen One</t>
  </si>
  <si>
    <t>Insert ---A bunch of stuff to make me seem interesting and out going ---here</t>
  </si>
  <si>
    <t>Deepali Shekhawat</t>
  </si>
  <si>
    <t>AzadiIran</t>
  </si>
  <si>
    <t>ॐ Dibakar 卐 🇮🇳</t>
  </si>
  <si>
    <t>Calcutta,India</t>
  </si>
  <si>
    <t>Am not only a citizen of India, am a citizen of world. am a freedom and peace lover,believe in democracy. proud to be blocked by @XHNews @PDChina @zlj517</t>
  </si>
  <si>
    <t>Luca Tentoni</t>
  </si>
  <si>
    <t>Analista politico, editorialista, romanista. Sopravvissuto alla Prima, alla Seconda e (forse) persino alla Terza Repubblica</t>
  </si>
  <si>
    <t>All of this gives more context to Japan election and their opportunity to revise constitution and grow their military.</t>
  </si>
  <si>
    <t>Victor Quartermaine</t>
  </si>
  <si>
    <t>Victor's PA</t>
  </si>
  <si>
    <t>Yorkshire and The Humber</t>
  </si>
  <si>
    <t>I've spent a long time reeling in that fluffy-headed bunny lover, and I'm not about to let some puddle-headed peasant poach her from me!</t>
  </si>
  <si>
    <t>Hyo-Cloud</t>
  </si>
  <si>
    <t>Sirshendu Ghosh</t>
  </si>
  <si>
    <t>JS Business &amp; Policy</t>
  </si>
  <si>
    <t>PM Abe seeks to reform #pacifist Constitution after his win in #JapanElection @Reuters https://t.co/nOooU7BTxY https://t.co/x1XfwHbXhQ</t>
  </si>
  <si>
    <t>Updating you on the issues driving Japanese business and politics. RT ≠ endorsement.</t>
  </si>
  <si>
    <t>PKSingh</t>
  </si>
  <si>
    <t>People with duplicate character should avoid me. My likes are not endorsements &amp; tweets r not last opinion😊😎</t>
  </si>
  <si>
    <t>aaaaaaaaaaaaaaaaaaaaaaaaaa10</t>
  </si>
  <si>
    <t>Abe, Fresh Off Election Victory, Now Gets to Host Trump -- @emilyctamkin reports https://t.co/HMptB97b29 https://t.co/COXnV5qNgH</t>
  </si>
  <si>
    <t>RT @fpinterrupted: Abe, Fresh Off Election Victory, Now Gets to Host Trump -- @emilyctamkin reports https://t.co/HMptB97b29 https://t.co/CO…</t>
  </si>
  <si>
    <t>Emilio</t>
  </si>
  <si>
    <t>A split opposition puts Shinzo Abe on track to victory in Japan, early projections show https://t.co/NIwE2v3q9z #Internacionales</t>
  </si>
  <si>
    <t>Quito, Ecuador</t>
  </si>
  <si>
    <t>Politólogo•Teórico del poder en proceso • Escalador y fotografo • Busco vivir en coherencia entre lo que pienso, digo y hago. #FeeldKrak</t>
  </si>
  <si>
    <t>Tabetha Taylor</t>
  </si>
  <si>
    <t>💙 Real Christian w Sailors 👄 ALL 🤗Religions/🎨Colors/🌈Sexual Pref Welcome 🚫Trump Cults/Bots #Resist 💙 #SwearHerIn Follow me also @CallahanCoDems</t>
  </si>
  <si>
    <t>Lingesh</t>
  </si>
  <si>
    <t>Mera Bharat Mahaan</t>
  </si>
  <si>
    <t>Daniel Allen</t>
  </si>
  <si>
    <t>Abilene, TX</t>
  </si>
  <si>
    <t>Pol Sci prof. Husband/Dad. Army vet. Interested in leadership, faith in civic life, national security, and the economy. Opinions mine. RT≠endorse.</t>
  </si>
  <si>
    <t>堀川仏光寺</t>
  </si>
  <si>
    <t>京都 京都市 下京区</t>
  </si>
  <si>
    <t>京都市在住、やや右寄りの元スポーツマン。日本に生まれたことに感謝！ 日本が嫌いな人達に言いたい、嫌いなら出て行って下さいな。</t>
  </si>
  <si>
    <t>CMDClub</t>
  </si>
  <si>
    <t>The #JapanElection shows again that the #JapaneseGP govt remains #impotent https://t.co/ajdvnjNfr5</t>
  </si>
  <si>
    <t>Be heard. Make a change. Celebrate our differences.</t>
  </si>
  <si>
    <t>HRC OC LB PS</t>
  </si>
  <si>
    <t>Well #JapanElection brings no change again #impotent https://t.co/03itpN5OpH</t>
  </si>
  <si>
    <t>Orange County CA</t>
  </si>
  <si>
    <t>Human Rights Campaign - Orange County/Long Beach/Palm Springs</t>
  </si>
  <si>
    <t>#WolrdNews Abe's strength in volatile timesThe AustralianShinzo Abe's emphatic win in Japan's snap general electio… https://t.co/ishxzVbw0q</t>
  </si>
  <si>
    <t>अमन सिंह</t>
  </si>
  <si>
    <t>जो मेरे राम का नही वो किसी काम का नहीं ।।</t>
  </si>
  <si>
    <t>Japan’s ruling coalition retains a supermajority in snap election https://t.co/oUqFJOrqFB #neoliberalism</t>
  </si>
  <si>
    <t>Meredith Y Sowers</t>
  </si>
  <si>
    <t>AjayPremKaushalParek</t>
  </si>
  <si>
    <t>।।हा! हन्त! नालिनीं गज उज्जहार।। My Family My Strength, ।सर्व धर्म, सम भाव। ।।सर्व जन हिताय, सर्व जन सुखाय।।</t>
  </si>
  <si>
    <t>YOGESHKUMAR</t>
  </si>
  <si>
    <t>I am a health n wellness coach.</t>
  </si>
  <si>
    <t>Abbey RUSSO</t>
  </si>
  <si>
    <t>Rahul Chauhan 🇮🇳</t>
  </si>
  <si>
    <t>Rishikesh, India</t>
  </si>
  <si>
    <t>Yes i am Rahul Chauhan [ Rishikesh, Uttarakhand ]</t>
  </si>
  <si>
    <t>Vj_gupta</t>
  </si>
  <si>
    <t>आओ आपियों कांगीयों कौमियों एक-एक को Lynch करूंगा, देश के हर गद्दार को Lynch करूंगा 😈😈😈</t>
  </si>
  <si>
    <t>Jeannie Dumas</t>
  </si>
  <si>
    <t>One half New Yorker, one half Brit. Head of Hermes PR &amp; Comms. Lover of travel, healthy living, adventure, fashion, a foodie &amp; fitness fanatic Views are my own</t>
  </si>
  <si>
    <t>Japan's election results show women making little progress despite Abe's landslide victory | The Japan Times https://t.co/X16Zv3OoaZ</t>
  </si>
  <si>
    <t>RT @JS_BizPol: PM Abe seeks to reform #pacifist Constitution after his win in #JapanElection @Reuters https://t.co/nOooU7BTxY https://t.co/…</t>
  </si>
  <si>
    <t>querong92643614</t>
  </si>
  <si>
    <t>Abe’s election super majority puts Japan’s pacifist constitution in his crosshairs again https://t.co/Fx7Xp2AYr2</t>
  </si>
  <si>
    <t>pangyu55911455</t>
  </si>
  <si>
    <t>Abe’s election super majority puts Japan’s pacifist constitution in his crosshairs again https://t.co/EygObbEkMn</t>
  </si>
  <si>
    <t>yanghao291462</t>
  </si>
  <si>
    <t>Abe’s election super majority puts Japan’s pacifist constitution in his crosshairs again https://t.co/DfsYUIzKvG</t>
  </si>
  <si>
    <t>bazai82620561</t>
  </si>
  <si>
    <t>Abe’s election super majority puts Japan’s pacifist constitution in his crosshairs again https://t.co/K5EzHvdi1P</t>
  </si>
  <si>
    <t>muzhu37954</t>
  </si>
  <si>
    <t>Abe’s election super majority puts Japan’s pacifist constitution in his crosshairs again https://t.co/lLeDcVU6pd</t>
  </si>
  <si>
    <t>Priyanka Tiwari</t>
  </si>
  <si>
    <t xml:space="preserve">Rampur Naikin Sidhi </t>
  </si>
  <si>
    <t>भारतीय जनता पार्टी महिला मोर्चा जिलामंत्री सीधी मध्यप्रदेश ।</t>
  </si>
  <si>
    <t>Brij Duggal</t>
  </si>
  <si>
    <t>Director, India Report Card Media Pvt. Ltd.</t>
  </si>
  <si>
    <t>Alessandra</t>
  </si>
  <si>
    <t>RT @dnsteamrj: "Japan election: Shinzo Abe's party likely to seize control in lower house" via FOX NEWS #timbeta #betaajudabeta #timbetalab</t>
  </si>
  <si>
    <t>Moeda, Brasil</t>
  </si>
  <si>
    <t>Tim beta</t>
  </si>
  <si>
    <t>Victory92Iran</t>
  </si>
  <si>
    <t>Sanyo Shokai NY</t>
  </si>
  <si>
    <t>Sanyo New York is an outerwear brand that focuses on quality, design, and technological advancement.</t>
  </si>
  <si>
    <t>arun.dang</t>
  </si>
  <si>
    <t>Proud bhakt.</t>
  </si>
  <si>
    <t>Kishore Kushwaha B-</t>
  </si>
  <si>
    <t>Pro Indian Pro Democratic..Hard core Engineer.. IITD..Works in MILITARY ENGINEER SERVICES (MOD). active in Social services and desi desh bhakt, Blood Grp=B-ve</t>
  </si>
  <si>
    <t>Exchange Rates UK</t>
  </si>
  <si>
    <t>#USDJPY is back at 114 after Japan’s snap election saw Abe hold on to a majority. https://t.co/ESRC1PEfa3 https://t.co/Mza6RsLRrj</t>
  </si>
  <si>
    <t>ZohoTwitterApp</t>
  </si>
  <si>
    <t>Live Exchange Rates, Historical Data &amp; Charts, Currency Converters, Forex &amp; Oil/Gold/Silver Prices and the Latest Pound Sterling Currency News</t>
  </si>
  <si>
    <t>Hashmat Ali BJP</t>
  </si>
  <si>
    <t>proud to be an Indian</t>
  </si>
  <si>
    <t>Vishal Soni</t>
  </si>
  <si>
    <t>Pharmacy Student</t>
  </si>
  <si>
    <t>Dani Ston</t>
  </si>
  <si>
    <t>Shashikant kembhavi</t>
  </si>
  <si>
    <t>हिंदुस्तान</t>
  </si>
  <si>
    <t>नमस्ते सदा वत्सले मातृभूमे त्वया हिन्दुभूमे सुखं वर्धितोहम्। महामङ्गले पुण्यभूमे त्वदर्थे पतत्वेष कायो नमस्ते नमस्ते॥</t>
  </si>
  <si>
    <t>pithiya divyesh</t>
  </si>
  <si>
    <t>Pankaj Kumar</t>
  </si>
  <si>
    <t>entrepreneur, social worker, nationalist,</t>
  </si>
  <si>
    <t>houstonfc</t>
  </si>
  <si>
    <t>Japan’s Election Warning to China https://t.co/NDiGEGVYgY</t>
  </si>
  <si>
    <t>Fitness Professional, chilehead, animal lover, car enthusiast, dedicated family man!</t>
  </si>
  <si>
    <t>FSI Stanford</t>
  </si>
  <si>
    <t>Stanford, CA</t>
  </si>
  <si>
    <t>The Freeman Spogli Institute for International Studies is Stanford's research institute for global affairs. Faculty opinions are their own; RTs ≠ endorsements.</t>
  </si>
  <si>
    <t>krishnaberry</t>
  </si>
  <si>
    <t>house-wife</t>
  </si>
  <si>
    <t>BJP IT CELL KODERMA</t>
  </si>
  <si>
    <t>raнυl paтel</t>
  </si>
  <si>
    <t>मुझे गर्व है मै हिन्दू भारतीय हु 🇮🇳 मेरे 🐦ट्वीट 👉likes ❤️में 🚩#जय_श्री_राम #जय_हनुमान #भारत_माता_की_जय 🚩</t>
  </si>
  <si>
    <t>Rakesh regar</t>
  </si>
  <si>
    <t>ankur shah</t>
  </si>
  <si>
    <t>भारत माँ के लाल हम ऋषी मुनियों की संतान</t>
  </si>
  <si>
    <t>The Daily Signal</t>
  </si>
  <si>
    <t>What Japan’s Election Outcome Means for the US, East Asia https://t.co/BArLrrUaSG https://t.co/8g74FBsVJB</t>
  </si>
  <si>
    <t>We believe high-quality, credible news reporting on political and policy issues is of paramount importance to an informed and free society.</t>
  </si>
  <si>
    <t>Suryabhan Patel</t>
  </si>
  <si>
    <t>I LOVE my india</t>
  </si>
  <si>
    <t>Sholea Boland</t>
  </si>
  <si>
    <t>Pratima Deshpande</t>
  </si>
  <si>
    <t xml:space="preserve">Maharashtra </t>
  </si>
  <si>
    <t>proud Hindu.... proud Bharatiya !!!!</t>
  </si>
  <si>
    <t>Sahadevan M R</t>
  </si>
  <si>
    <t>RT s are not endorsement</t>
  </si>
  <si>
    <t>M.Patricia</t>
  </si>
  <si>
    <t>RT @DailySignal: What Japan’s Election Outcome Means for the US, East Asia https://t.co/BArLrrUaSG https://t.co/8g74FBsVJB</t>
  </si>
  <si>
    <t>Marina del Rey, CA</t>
  </si>
  <si>
    <t>Medical Aesthetician Volunteer Proud Nasty Yogi Momma of Rescue Pussy^^s~ Who rescued Who? #Strongertogether #Resistance #HRCDem *Pls NoLMers</t>
  </si>
  <si>
    <t>Anand Singh</t>
  </si>
  <si>
    <t>Sports News, TV and Scores Business and Financial News Government and Politics TV Personalities Bollywood and Celebrities Music Sports</t>
  </si>
  <si>
    <t>jtblogs</t>
  </si>
  <si>
    <t>Christian Conservative. NRA member. Pro-Life. #MAGA #BuildThewall #EndRefugees</t>
  </si>
  <si>
    <t>Martijn Oostveen</t>
  </si>
  <si>
    <t>Japan: Abe cements his grip on power in snap election https://t.co/7ep3eV6lLK</t>
  </si>
  <si>
    <t>Barcelona-Spain</t>
  </si>
  <si>
    <t>I am a Dutch sales/account leader in Barcelona and with FocusEconomics since 2005. Contact me for reliable macro or raw material price forecasts!</t>
  </si>
  <si>
    <t>SeeThruMyLens</t>
  </si>
  <si>
    <t>Interested in Indian politics(Big fan of PM Shri Narendra Damodardas Modi), Economy n Cricket.....Travelling is my passion...tweets n retweets says my story</t>
  </si>
  <si>
    <t>Iran Fail</t>
  </si>
  <si>
    <t>https://t.co/OFT10MdRUB #Japan Abe's election win to boost his hand on pro-growth policies: Fitch</t>
  </si>
  <si>
    <t>underground</t>
  </si>
  <si>
    <t>BIG believer in #socialmedia and technology to help keep hope alive in Iran...against all odds and a despot regime. Join in the CAUSE and offer your online help</t>
  </si>
  <si>
    <t>अंकित वितराणा 🇮🇳</t>
  </si>
  <si>
    <t>श्री गंगानगर ✈ नई दिल्ली 🇮🇳</t>
  </si>
  <si>
    <t>Hard Work is My Passion Driving is My Hobby Nation First Not Religion #RSS Membr BJP Supporter Die Hard Fan Of PM श्री @narendramodi जी वन्देमातरम जय हिन्द 🇮🇳</t>
  </si>
  <si>
    <t>यक्षप्रश्नभ्रष्टाचार</t>
  </si>
  <si>
    <t>Corruption. India</t>
  </si>
  <si>
    <t>संतरी से मंत्री तक ने गरीबों को लूटा,अब भ्रष्टाचार से आजादी दिलाने की जिम्मेदारी भाजपा की हैभ्रष्टाचार के जेपी लोहिया अन्नाजी के आन्दोलन ने महान चांडाल पैदा किए</t>
  </si>
  <si>
    <t>black*ace</t>
  </si>
  <si>
    <t>Japan has just had an election. Within a day, results are known. Everyone is happy. No rigging claims. In Kenya, we are still PRAYING.🤣</t>
  </si>
  <si>
    <t>True Man👊</t>
  </si>
  <si>
    <t>Hari Singh  Rawat</t>
  </si>
  <si>
    <t>Dr. Gyn Prk Gupta</t>
  </si>
  <si>
    <t>जय हिंद</t>
  </si>
  <si>
    <t>Being called Bhakt of Modi is much better than being Boot-licker of corrupt and incapable leaders whom we equate with dogs and rascals.</t>
  </si>
  <si>
    <t>Kaushik Moitra</t>
  </si>
  <si>
    <t>socially oriented,legally qualified,culturally rooted....</t>
  </si>
  <si>
    <t>Alban K</t>
  </si>
  <si>
    <t>Brilliant But Failed: Interpreter | Diplomat | Scientist | Linguist | Stop looking at my eyes. I m already sick of victims! |</t>
  </si>
  <si>
    <t>FreeForIran92</t>
  </si>
  <si>
    <t>Shobhit Agarwal</t>
  </si>
  <si>
    <t>ME Engg| Ass.Professor | Former State SM Convenor #ABVP UP | Nationalist | Social Worker | SM Activist | Proud Hindu| @narendramodi ji Fan| #HappyBirthdayPM</t>
  </si>
  <si>
    <t>pongodhall</t>
  </si>
  <si>
    <t>Japan's Abe storms to 'super-majority', promises to 'deal firmly' with North Korea thejournal_ie)stop killing whales https://t.co/czh4dikgeo</t>
  </si>
  <si>
    <t>west cork</t>
  </si>
  <si>
    <t>interested in current affairs - world over,planetary change, politics, economics, sociology, art, vegan gf food, and quirkiness that makes me laugh,</t>
  </si>
  <si>
    <t>Michael Odhiambo</t>
  </si>
  <si>
    <t>NAIROBI, KENYA</t>
  </si>
  <si>
    <t>Entrepreneur. Lawyer. Young man in a hurry. Business and Political leader. Football enthusiast ... #teamarsenal. Vouching for a better Africa.</t>
  </si>
  <si>
    <t>Japan heads to polls in snap election - World - CBC News https://t.co/qCRd4oOnWb ➜ https://t.co/W60vzUn0Tt https://t.co/RhXjEHPmxi</t>
  </si>
  <si>
    <t>Amina Sadaf</t>
  </si>
  <si>
    <t>Vedat Odacı</t>
  </si>
  <si>
    <t>Türkiye Gemi Sanayii'nde çalıştı. İstanbul Tersanesi Komutanlığından emekli.</t>
  </si>
  <si>
    <t>Kat</t>
  </si>
  <si>
    <t xml:space="preserve">USA </t>
  </si>
  <si>
    <t>KiJokeRAY</t>
  </si>
  <si>
    <t>UberSocial for Android</t>
  </si>
  <si>
    <t>Arvore Grosso, Maras Dantia</t>
  </si>
  <si>
    <t>Class A Villain Comic Relief #Stillablogger #MCFC Split Personality @wrenex</t>
  </si>
  <si>
    <t>Take a look at the numbers behind Abe's landslide victory https://t.co/GoPwFkjYip https://t.co/myQUv66IpX</t>
  </si>
  <si>
    <t>Toño Adame Fernández</t>
  </si>
  <si>
    <t>RT @bpolitics: Take a look at the numbers behind Abe's landslide victory https://t.co/GoPwFkjYip https://t.co/myQUv66IpX</t>
  </si>
  <si>
    <t>Monterrey, Nuevo León</t>
  </si>
  <si>
    <t>RT @DailyFXTeam: Fitch: Japan election results to bolster policy implementation.</t>
  </si>
  <si>
    <t>Ramsajivan das</t>
  </si>
  <si>
    <t>sidhi mp</t>
  </si>
  <si>
    <t>sat saheb ji</t>
  </si>
  <si>
    <t>Parijat Chakraborty</t>
  </si>
  <si>
    <t>imagine654321</t>
  </si>
  <si>
    <t>Shinzo Abe's Japan election victory delights investors as Donald Trump comes calling. won by, but he isn't as popul… https://t.co/4qiqpPdeWL</t>
  </si>
  <si>
    <t>Sasakawa USA</t>
  </si>
  <si>
    <t>Giving Up Hope: How Yuriko Koike Lost Japan's Snap Election - https://t.co/uiysJxRvLF https://t.co/zlUdploMTN</t>
  </si>
  <si>
    <t>Sasakawa autotweet</t>
  </si>
  <si>
    <t>Sasakawa Peace Foundation USA is dedicated to research, analysis and better public understanding of the US-#Japan relationship. #security, #maritime, #education</t>
  </si>
  <si>
    <t>Fluffy</t>
  </si>
  <si>
    <t>RT @SasakawaUSA: Giving Up Hope: How Yuriko Koike Lost Japan's Snap Election - https://t.co/uiysJxRvLF https://t.co/zlUdploMTN</t>
  </si>
  <si>
    <t>I tweet all sorts of random stuff.</t>
  </si>
  <si>
    <t>Felistus adhiambo</t>
  </si>
  <si>
    <t>Go-getter.</t>
  </si>
  <si>
    <t>alok mishra</t>
  </si>
  <si>
    <t>Eduardo Salcedo</t>
  </si>
  <si>
    <t>Venezuelan🇻🇪, 21 | Bachelor in International Businesses, @UAH_Oficial | @SomosHumboldt | Follower of worldwide economics, history &amp; politics |✈️🇩🇴🇦🇷🇪🇺</t>
  </si>
  <si>
    <t>Heena</t>
  </si>
  <si>
    <t>Life is full off happiness so live like a beautifully😂😂😃😃</t>
  </si>
  <si>
    <t>@Newsoholic</t>
  </si>
  <si>
    <t>I love my motherhood.proud to be a Modi bhakt . don't need to be certified by deshdrohi Iike aaptards &amp; congressies .</t>
  </si>
  <si>
    <t>Clive Anthony Boyce</t>
  </si>
  <si>
    <t>RT @pongodhall: Japan's Abe storms to 'super-majority', promises to 'deal firmly' with North Korea thejournal_ie)stop killing whales https:…</t>
  </si>
  <si>
    <t>Leicester England UK</t>
  </si>
  <si>
    <t>46 Male &amp; single. Big Leicester City FC and Kasabian fan. look after bed ridden ill mum. love playing Elite Dangerous Horizons on my PC</t>
  </si>
  <si>
    <t>“@bpolitics: Take a look at the numbers behind Abe's landslide victory https://t.co/QDf9Z5dG9B https://t.co/Mc0HrG7rG2”</t>
  </si>
  <si>
    <t>MACK 稀にほざく HOZACK</t>
  </si>
  <si>
    <t>Don't flatter ; don't crowd…基本、群れない。革新保守系経済左派個性尊重主義。Sometimes mesure for measure. Fake News &amp; Japanese ┐('～`;)┌in Japan around there.〒No DM, but Thanks.</t>
  </si>
  <si>
    <t>Astrid</t>
  </si>
  <si>
    <t>genghis galahad 🗽🐦</t>
  </si>
  <si>
    <t>#BirdieSanders #MCU #NRDC #BernieSanders #MAPS #SierraClub #Burchard #DnDAL #NoDAPL #ACLU #goodtrouble #NoKXL #Blindspot #Defenders #AlexWubbels #Tabletop</t>
  </si>
  <si>
    <t>कुँवर रवि सिंह</t>
  </si>
  <si>
    <t>#Indian, #Nationalist, #Navodayan, #RSS, #Hindu, #NVS_Volleyball_Player_Libro, #misson_2019, #BJP4India. Ideal- #PM_Narendra_Modi_Ji</t>
  </si>
  <si>
    <t>Britain Today</t>
  </si>
  <si>
    <t>Japan heads to polls in snap election - https://t.co/gKFoZsVKIf - #Britain #Today - #BritainToday #UK #News https://t.co/qkIeS4Owef</t>
  </si>
  <si>
    <t>britaintodayuk</t>
  </si>
  <si>
    <t>Britain Today - News from and around Britain, United Kingdom https://t.co/Vub5Rl6vgV</t>
  </si>
  <si>
    <t>Sangam Mishra</t>
  </si>
  <si>
    <t>🇮🇳 Blogger | Traveler | Motorcyclist | Poetry | Hindustani | Patriot | Nation First 🇮🇳</t>
  </si>
  <si>
    <t>How #Abenomics helped secure another election victory https://t.co/In0sTv6fPw</t>
  </si>
  <si>
    <t>Ritah</t>
  </si>
  <si>
    <t>Nairobi- Kenya</t>
  </si>
  <si>
    <t>I'm two whole different people and I could rip apart at any second. I am the perfect version of me.</t>
  </si>
  <si>
    <t>Bertha Marie Tamez</t>
  </si>
  <si>
    <t>Theresa Diaz</t>
  </si>
  <si>
    <t>Bexar County, Texas</t>
  </si>
  <si>
    <t>Mom of 2. I think trump should never have been elected, but information is power and I hope 2018 will bring better candidates</t>
  </si>
  <si>
    <t>ICYMI: Shinzo Abe's Japan election victory delights investors as Donald Trump comes calling https://t.co/u2jTSUcC7A</t>
  </si>
  <si>
    <t>Agree or Disagree: "A real leader is not necessarily a populist, but someone with a clear message and agenda" https://t.co/pRdUqhJYf9</t>
  </si>
  <si>
    <t>Atif Rasheed</t>
  </si>
  <si>
    <t>Incharge Delhi State Minority Morcha Bjp #ABVPian #ex president satywati college students union #exDUSU__EC member AMU court appointed by president of India</t>
  </si>
  <si>
    <t>Suraj Upadhyay BJP</t>
  </si>
  <si>
    <t>Namo Namo</t>
  </si>
  <si>
    <t>David Leistrum</t>
  </si>
  <si>
    <t>The Shrederator</t>
  </si>
  <si>
    <t>RT @emmadal1977: Finally an English language report on what’s happening in Japan @CarolineNorma76 | The Death of Liberalism in Japan https:…</t>
  </si>
  <si>
    <t>Olympus Mons, Mars</t>
  </si>
  <si>
    <t>bellum numquam mutat. This is a Twitter account with one heck of a YouTube Feed. But don't worry, they're good videos :D When I grow up, I wanna be a Dinosaur.</t>
  </si>
  <si>
    <t>Laurie Bassi</t>
  </si>
  <si>
    <t>Japan's prime minister presses cautious Japanese firms to boost employees' wages to stoke a virtuous growth cycle. https://t.co/3OSYw1ED3i</t>
  </si>
  <si>
    <t>SHAMBHUNATH GUPTA</t>
  </si>
  <si>
    <t>कल्याण डोंबीवली, भारत</t>
  </si>
  <si>
    <t>Friendly approach</t>
  </si>
  <si>
    <t>Michael Rosenblatt</t>
  </si>
  <si>
    <t>Stocks slip to start the week on disappointing earnings https://t.co/WpiOuVzPDW via @WSJ</t>
  </si>
  <si>
    <t>New  York City</t>
  </si>
  <si>
    <t>President of The Quest Organization.</t>
  </si>
  <si>
    <t>Dr. Dhananjay K</t>
  </si>
  <si>
    <t>Doctor, Analyst, interested in health, art, entertainment &amp; off course politics...RT is not endorsement..</t>
  </si>
  <si>
    <t>RT @mradamtaylor: Abe retains supermajority in election in Japan, may push to amend constitution https://t.co/3uUfb2Xn2L</t>
  </si>
  <si>
    <t>m24instudio</t>
  </si>
  <si>
    <t>RT @JapanVisitor: BBC News - Japan goes to the polls in snap election https://t.co/r0mUoXSWfg</t>
  </si>
  <si>
    <t>Travel Photographer and film maker showcasing our amazing planet through photos and film #m24instudio #LoveTheWorld 'Do What You Love'</t>
  </si>
  <si>
    <t>FARID AZAD</t>
  </si>
  <si>
    <t>#News #Iran #Japan Abe's #election win to boost his hand on pro-growth policies: Fitch https://t.co/BPAZqHSiaE https://t.co/zy1n9ElzFK</t>
  </si>
  <si>
    <t>Wait what</t>
  </si>
  <si>
    <t>9 out of 10 RTs are endorsements.</t>
  </si>
  <si>
    <t>ICYMI: @solis_msolis and @RichardBushIII discuss the outcomes of Japan's snap election over the weekend.… https://t.co/FRsiKhAjuw</t>
  </si>
  <si>
    <t>What now for Japan after Abe's landslide election victory? https://t.co/KoSAJv06dc</t>
  </si>
  <si>
    <t>Rehan ul Haq Qureshi</t>
  </si>
  <si>
    <t>RT @EagleStarNET: What now for Japan after Abe's landslide election victory? https://t.co/KoSAJv06dc</t>
  </si>
  <si>
    <t>Planet Earth ..</t>
  </si>
  <si>
    <t>Vladimir ..</t>
  </si>
  <si>
    <t>#Japan #Weather Dystopian-like footage of typhoon warning broadcast in Japan Some regional election boards in wide… https://t.co/iuSPBdbArb</t>
  </si>
  <si>
    <t>Arrey E. Ntui</t>
  </si>
  <si>
    <t>Yaounde, Cameroon</t>
  </si>
  <si>
    <t>#Author of 'Murdering Poverty - How to fix aid' https://t.co/LMhPCsLgti Tracking ideas on #development, #humanrights and #people.</t>
  </si>
  <si>
    <t>JOSTARYOUTUBE36</t>
  </si>
  <si>
    <t>https://t.co/rHZrEkRo7O 【 #DonaldTrump election】 I talked about the disadvantages of Japan and the future #トランプ #トランプ当選 #Trump #U #EDM</t>
  </si>
  <si>
    <t>Eylem</t>
  </si>
  <si>
    <t>urs truly</t>
  </si>
  <si>
    <t>what?</t>
  </si>
  <si>
    <t>Ajaat Jamwal</t>
  </si>
  <si>
    <t>Jammu, Jammu And Kashmir</t>
  </si>
  <si>
    <t>Activist, Journalist. Interests J&amp;K, Politics, Terrorism, History. Blocked by RaMadhavBJP</t>
  </si>
  <si>
    <t>vinod kumar singh</t>
  </si>
  <si>
    <t>Abe to Push Reform of Japan's Pacifist Constitution After Election Win https://t.co/Pu3RgQxqyd</t>
  </si>
  <si>
    <t>Cob Bollymore</t>
  </si>
  <si>
    <t>TeamChelsea|#ReggaeSplash |InstaGram- Mistadann| #ReggaeInnaSurkwen</t>
  </si>
  <si>
    <t>Retweeted Harrison Mumia (@harrisonmumia): Japan has just had an election. Within a day, results are known.... https://t.co/YHMZ0l3Edr</t>
  </si>
  <si>
    <t>Madhu Sharma</t>
  </si>
  <si>
    <t>President BJP Mahila Morcha Rajasthan (पं.दीनदयाल उपाध्याय जी(ताऊजी) की भतीजी हूँ।उन के सिद्धान्तों को जन जन तक पहुचना एक मात्र लक्ष्य। भारत माता की जय...)🇮🇳</t>
  </si>
  <si>
    <t>Karthick Yogesh</t>
  </si>
  <si>
    <t>Samantha- Kajal Agarwal - Rakul- Lavanya- Lakshmi Manchu- Pranitha Subhash - Jr.NTR-Chaithya-Akhil-Nagarjuna-Maheshbabu-Prabhas-AlluArjun-Suriya-Rana Daggupati</t>
  </si>
  <si>
    <t>Kamal Baweja</t>
  </si>
  <si>
    <t>Honoured to be followed by Piyush Goyal Office, Jay Warren, Brian Robben, CM Yogi fend club.......... Enjoying the new Political Will, Modify, Jai Hind</t>
  </si>
  <si>
    <t>Sabyasachi Khamaru</t>
  </si>
  <si>
    <t xml:space="preserve">Manigram </t>
  </si>
  <si>
    <t>EurACC.eu</t>
  </si>
  <si>
    <t>RT @BrookingsFP: ICYMI: @solis_msolis and @RichardBushIII discuss the outcomes of Japan's snap election over the weekend. https://t.co/O1t5…</t>
  </si>
  <si>
    <t>European Anti-Corruption Ctr</t>
  </si>
  <si>
    <t>European Anti-Corruption Centre™: Global, original published data + translations re corruption, fraud, bribery etc: re firms &amp; individuals in Europe + worldwide</t>
  </si>
  <si>
    <t>Mohammedsaeediyan</t>
  </si>
  <si>
    <t>Child psychology graduate</t>
  </si>
  <si>
    <t>Paul Obange</t>
  </si>
  <si>
    <t>WSJ Editorial Page</t>
  </si>
  <si>
    <t>How Kim and Xi helped Shinzo Abe keep his supermajority in Japan: https://t.co/GHjevd6L53</t>
  </si>
  <si>
    <t>Opinion &amp; Commentary from The Wall Street Journal.</t>
  </si>
  <si>
    <t>Teri Saunders</t>
  </si>
  <si>
    <t>RT @WSJopinion: How Kim and Xi helped Shinzo Abe keep his supermajority in Japan: https://t.co/GHjevd6L53</t>
  </si>
  <si>
    <t>Scottish by blood, Canadian by birth, American by choice</t>
  </si>
  <si>
    <t>David Spookerwood</t>
  </si>
  <si>
    <t>#AmericaFirst Neophyte.</t>
  </si>
  <si>
    <t>Kevin</t>
  </si>
  <si>
    <t>Lawyer, Father, Husband, Cavs fan and geopolitics junky. Conservatives and Liberals are equally annoying</t>
  </si>
  <si>
    <t>vuthihonggiang</t>
  </si>
  <si>
    <t>What now for japan after abe's landslide election victory? https://t.co/ZB8sjtQ2DJ</t>
  </si>
  <si>
    <t>Ota-ku, Tokyo</t>
  </si>
  <si>
    <t>i'm newmember</t>
  </si>
  <si>
    <t>newshot</t>
  </si>
  <si>
    <t>What now for japan after abe's landslide election victory? https://t.co/CFa3iUdxzn</t>
  </si>
  <si>
    <t>Old Bridge, NJ</t>
  </si>
  <si>
    <t>i'm news girl</t>
  </si>
  <si>
    <t>AS JUST SUPER WOW RESULT OF THE #JAPAN ELECTION AS POSSIBLY HONORABLE @AbeShinzo SIR,THE HON PRIME MINISTER OF JAPAN CAN BE SUCH PRIME MINIS</t>
  </si>
  <si>
    <t>bbcnews</t>
  </si>
  <si>
    <t>What now for japan after abe's landslide election victory? https://t.co/V3uTSoxJ9K</t>
  </si>
  <si>
    <t>i'm new girl</t>
  </si>
  <si>
    <t>hotnew1</t>
  </si>
  <si>
    <t>What now for japan after abe's landslide election victory? https://t.co/4Ge1GIoRwG</t>
  </si>
  <si>
    <t>nguyenhaan</t>
  </si>
  <si>
    <t>What now for japan after abe's landslide election victory? https://t.co/55zSTPHfL8</t>
  </si>
  <si>
    <t>i'm girl</t>
  </si>
  <si>
    <t>Andrienne Hubbard</t>
  </si>
  <si>
    <t>What now for japan after abe's landslide election victory? https://t.co/Thv9NsJwno</t>
  </si>
  <si>
    <t>i'm newmember.</t>
  </si>
  <si>
    <t>vinguoitado</t>
  </si>
  <si>
    <t>What now for japan after abe's landslide election victory? https://t.co/muaowRpBaK</t>
  </si>
  <si>
    <t>newyorktime</t>
  </si>
  <si>
    <t>What now for japan after abe's landslide election victory? https://t.co/CNpDcvFDmh</t>
  </si>
  <si>
    <t>Yoshie Furuhashi</t>
  </si>
  <si>
    <t>Yoshie Furuhashi, Founder, Movement Translation Service</t>
  </si>
  <si>
    <t>nhus000370</t>
  </si>
  <si>
    <t>What now for japan after abe's landslide election victory? https://t.co/0nKfmKfZTo</t>
  </si>
  <si>
    <t>Shibuya-ku, Tokyo</t>
  </si>
  <si>
    <t>Kristy</t>
  </si>
  <si>
    <t>What Japan’s Election Outcome Means for the U.S., East Asia https://t.co/KDlIt519eG @DailySignal</t>
  </si>
  <si>
    <t>Born-again Christian Zionist. Chippewa. Conservative/Tea Partier who wants America restored, under God. Pro-Constitution; anti-Sharia. Happy to know Jesus!</t>
  </si>
  <si>
    <t>Floyd the K</t>
  </si>
  <si>
    <t>Her 'in Japan the politicians say what they'll do before election, then people vote, then they do it'. Me: Yes, that sounds sensible</t>
  </si>
  <si>
    <t>This thing that just happened proves me right about everything ever.</t>
  </si>
  <si>
    <t>Framed By Ashraf</t>
  </si>
  <si>
    <t>Photography &amp; Fine Art Published the fight cancer with food calendar</t>
  </si>
  <si>
    <t>tareekh_iran</t>
  </si>
  <si>
    <t>https://t.co/O7efHWv5tl #Japan Abe's election win to boost his hand on pro-growth policies: Fitch #indonesia #Italy #Spain</t>
  </si>
  <si>
    <t>I am a human rights activist and pro-democracy and freedom in Iran'm free and prosperous. The 10-point statement, I support Mrs. Maryam Rajavi.</t>
  </si>
  <si>
    <t>Grandekuore</t>
  </si>
  <si>
    <t>Siamo quasi tutti buoni, finché non ci costa niente. Franz Fischer #arte #poesia #libri #cinema #musica #fotografia</t>
  </si>
  <si>
    <t>Abe tackled a snap election, now he gets to host @realdonaldtrump. https://t.co/zWx1McRBGY https://t.co/TaKkjKjXox</t>
  </si>
  <si>
    <t>David Holmgren</t>
  </si>
  <si>
    <t>RT @ForeignPolicy: Abe tackled a snap election, now he gets to host @realdonaldtrump. https://t.co/zWx1McRBGY https://t.co/TaKkjKjXox</t>
  </si>
  <si>
    <t>War Without End</t>
  </si>
  <si>
    <t>Dubito ergo cogito. Physicist, engineer, modeler, dilettante, skeptic, naysayer, misanthrope. Brittle, bitter, intense. Tweets R 4 my amusement; YMMV. RT != …</t>
  </si>
  <si>
    <t>Emma Dalton</t>
  </si>
  <si>
    <t>What now for Japan after Abe's landslide election victory? https://t.co/L0O004W1Y6</t>
  </si>
  <si>
    <t>Japanese lecturer and researcher of gender and politics</t>
  </si>
  <si>
    <t>James Ochola</t>
  </si>
  <si>
    <t>Dr. T. Nelson IKEGUL</t>
  </si>
  <si>
    <t>RT @ReutersTV: Japan PM's ruling bloc scores big election win https://t.co/HsFrQCZOuZ https://t.co/Vc0Xex2WxF</t>
  </si>
  <si>
    <t>Beaumont, Texas</t>
  </si>
  <si>
    <t>Sometimes leaving is the only way to express the depth of your love for another. LOVE - Love is to forgive everything; so, forgive one another.</t>
  </si>
  <si>
    <t>🐅 Tigerbalm Lewis</t>
  </si>
  <si>
    <t>Starseed. Neighbor. Veteran, USN. · 'Hey, nice lady...'</t>
  </si>
  <si>
    <t>Charlotte Selton</t>
  </si>
  <si>
    <t>Japan Election Vindicates Shinzo Abe as His Party Wins Big https://t.co/NtmgoKGCky #cpol120 @pols120ta</t>
  </si>
  <si>
    <t>Lucas</t>
  </si>
  <si>
    <t>The deep mountains of karma</t>
  </si>
  <si>
    <t>general enthusiast / variety account / helpful NPC / InterNet Feels Poster (#INFP)</t>
  </si>
  <si>
    <t>Shaun</t>
  </si>
  <si>
    <t>Places you wanna be</t>
  </si>
  <si>
    <t>rts do not equal endorsement. spreading news, seeking truth. god and country #Maga</t>
  </si>
  <si>
    <t>Genitals = Pure gril</t>
  </si>
  <si>
    <t>Astolfo</t>
  </si>
  <si>
    <t>a fem twitter user who thinks anime and games are nice. Nothin here but retweets.</t>
  </si>
  <si>
    <t>ALGORITHM CONSULTANT</t>
  </si>
  <si>
    <t>Jack O Valentine's husband, weightlifter, avid fan of good christian women with motherhood potential. Pls dont @ me</t>
  </si>
  <si>
    <t>Blackmore</t>
  </si>
  <si>
    <t>Alpha Romeo</t>
  </si>
  <si>
    <t>What Japan’s Election Outcome Means for the US, East Asia https://t.co/2SsODsrxDK @DailySignal</t>
  </si>
  <si>
    <t>Viet-Nam Veteran/Patriot/Conservative #2A, #MAGA,#NRA,#Christian,#PJNET, #Trump,#supportIsrael,</t>
  </si>
  <si>
    <t>Elections in Asia</t>
  </si>
  <si>
    <t>RT @JDMayger: Japan’s prime minister isn't as popular as you might think https://t.co/ZgHQY7vo2z via @bbgvisualdata https://t.co/WSnngD4Kwy</t>
  </si>
  <si>
    <t>Following polls, politics and election results in the world's largest continent</t>
  </si>
  <si>
    <t>curtis</t>
  </si>
  <si>
    <t>Interlinked within cells interlinked</t>
  </si>
  <si>
    <t>kaitastic ن</t>
  </si>
  <si>
    <t>Anti-bullying activist. Groove_crusader.png. ENTP.</t>
  </si>
  <si>
    <t>Justin Searls</t>
  </si>
  <si>
    <t>Meanwhile, in Japan: 48 hours after a typhoon and a parliamentary election, national news led with how a wild boar ran into a shopping mall.</t>
  </si>
  <si>
    <t>You may remember me from my role as the dog in the “This is Fine” comic. Principle Engineer at @testdouble. @beckyjoy's worser half.</t>
  </si>
  <si>
    <t>Greasy Fellow</t>
  </si>
  <si>
    <t>Geidi Prime</t>
  </si>
  <si>
    <t>Hey sauce, Vmichael here</t>
  </si>
  <si>
    <t>Whirlwind</t>
  </si>
  <si>
    <t>RT @luchadora41: What Japan’s Election Outcome Means for the U.S., East Asia https://t.co/KDlIt519eG @DailySignal</t>
  </si>
  <si>
    <t>The Underbelly of the Ozarks</t>
  </si>
  <si>
    <t>eat, drink, merry, etc. bacon please. #Trump</t>
  </si>
  <si>
    <t>Jeanette Sobey</t>
  </si>
  <si>
    <t>Central Victoria Australia</t>
  </si>
  <si>
    <t>Passion is writing poetry. Love all of the ARTS- poetry, fine arts, performance arts. Animal lover. Member of movement for Australia to become a Republic.</t>
  </si>
  <si>
    <t>Husain Haqqani</t>
  </si>
  <si>
    <t>Director (South &amp; Central Asia) Hudson Institute. Pakistan ambassador to US 2008-2011. Author of 'Pakistan Between Mosque &amp; Military' &amp; 'Magnificent Delusions'</t>
  </si>
  <si>
    <t>- F ®™</t>
  </si>
  <si>
    <t>Oslo, Norway</t>
  </si>
  <si>
    <t>If #Pakistan succeeds - I succeed. #PakistanZindabad - Unity - Faith - Discipline - Quaids Pillars #Technologist #Humorist #AgainstTerrorism #AgainstInhumanity</t>
  </si>
  <si>
    <t>John D. Stone</t>
  </si>
  <si>
    <t>What Japan’s Election Outcome Means for the US, East Asia https://t.co/XI58NajKRd @DailySignal</t>
  </si>
  <si>
    <t>Tennessee</t>
  </si>
  <si>
    <t>Retired IT Dept Mgr / Programmer Analyst; U.S. Army 1965-1969; Conservative. Hobby - Digital Photography.</t>
  </si>
  <si>
    <t>Kevin Meyerson</t>
  </si>
  <si>
    <t>LDP received 17% of Nagano provisional votes - pretty typical in #Japan. Calling this election a “mandate” is misle… https://t.co/RLOishHfgA</t>
  </si>
  <si>
    <t>長野県北佐久郡軽井沢町</t>
  </si>
  <si>
    <t>Happily living in Japan for decades. My home is a certified Passivhaus and it is the most energy efficient house in the nation.</t>
  </si>
  <si>
    <t>Zeromuald ن</t>
  </si>
  <si>
    <t>Pile : fonctionnaire, LesRépublicains. Face : réactionnaire, #TeamJusticiers sous le masque. †=♥ {english account : @Zeromuald_fr}</t>
  </si>
  <si>
    <t>Rishwat-UL-Ebad</t>
  </si>
  <si>
    <t>RT WSJopinion: How Kim and Xi helped Shinzo Abe keep his supermajority in Japan: https://t.co/TGaV12ENuL</t>
  </si>
  <si>
    <t>Rishwat Ul Ebad former Politican from Sindh Province</t>
  </si>
  <si>
    <t>Mike Shellenberger</t>
  </si>
  <si>
    <t>Signs of atomic hope from Japan election https://t.co/9xKChywX51</t>
  </si>
  <si>
    <t>Berkeley, CA</t>
  </si>
  <si>
    <t>President, Environmental Progress :: Time Magazine, 'Hero of the Environment' :: Green Book Award Winner :: Fighting for nature &amp; prosperity for all</t>
  </si>
  <si>
    <t>Robert C Flores</t>
  </si>
  <si>
    <t>Lobbyist; Advocacy Communications and Public Relations. Political Consultant.</t>
  </si>
  <si>
    <t>benishii</t>
  </si>
  <si>
    <t>RT @ShellenbergerMD: Signs of atomic hope from Japan election https://t.co/9xKChywX51</t>
  </si>
  <si>
    <t>Tienen, België</t>
  </si>
  <si>
    <t>BETWEEN A SMILE AND A TEAR, 'VROEGER' WAS 'T SIMPELER/DUIDELYKER</t>
  </si>
  <si>
    <t>*Head E Murphy*</t>
  </si>
  <si>
    <t>A thick headed Ombre with an Open mind. The Fiends complete my Team. ARSENAL Forever!</t>
  </si>
  <si>
    <t>ATUL SINGH</t>
  </si>
  <si>
    <t>#sdmcet #b.Tech_Victim :p #IT_Engineer #Honeywell ♥♥Biker, Gamer, hindi retro aficionado, an absolute pet-lover and perennially hungry for Chicken Biryani ♥♥</t>
  </si>
  <si>
    <t>#Japan election shows political stability – Jesper Koll speaks to @JeremyDSchwartz https://t.co/Up3fkWK9Ca https://t.co/SqS1kFLyZQ</t>
  </si>
  <si>
    <t>Kevin Jones</t>
  </si>
  <si>
    <t>RT @searls: Meanwhile, in Japan: 48 hours after a typhoon and a parliamentary election, national news led with how a wild boar ran into a s…</t>
  </si>
  <si>
    <t>Madison Wisconsin</t>
  </si>
  <si>
    <t>Trying to improve adaptive technologyfor blind people. also play 18th c piano</t>
  </si>
  <si>
    <t>宮川　章</t>
  </si>
  <si>
    <t>RT @kevinmeyerson: LDP received 17% of Nagano provisional votes - pretty typical in #Japan. Calling this election a “mandate” is misleading…</t>
  </si>
  <si>
    <t>横浜</t>
  </si>
  <si>
    <t>還暦に近づいたフリーランスの編集者。専門分野は交通・環境。憲法に定められた国民主権、基本的人権、平和主義を順守する政治勢力を支持。反原発、反グローバリズム。最近はメディアが悪い意味で絡んだ社会的事件について主に発言しています。使用言語は日本語、英語、仏語。駄目な父親、駄目なクリスチャン</t>
  </si>
  <si>
    <t>🇨🇦Alexandra</t>
  </si>
  <si>
    <t>Canada, Milky Way, Laniakea</t>
  </si>
  <si>
    <t>Thought Processor, Fellow Anxietite, Philosophy, Existentialism, Politics, Racing, Anime. Comedy keeps me from slapping people daily. #ConsciousPositivity</t>
  </si>
  <si>
    <t>Charles Myrick -CEO</t>
  </si>
  <si>
    <t>Polls open in Japan’s snap general election https://t.co/uJB3tRQLYq</t>
  </si>
  <si>
    <t>Atlanta,GA</t>
  </si>
  <si>
    <t>American Consultants Rx is focused on helping the nations uninsured deal with the high cost of prescription drugs. -Charity,non profit,health care</t>
  </si>
  <si>
    <t>Unforgiven Warrior</t>
  </si>
  <si>
    <t xml:space="preserve">Toronto Ont Canada  </t>
  </si>
  <si>
    <t>Survivor CPTSD Warrior of childhood sexualabuse Facilitator @Gatehouse_The ASIST trainer #zerosuicide @blogtalkradio https://t.co/V4eJzZOj3O #Toronto</t>
  </si>
  <si>
    <t>ᛋᛖ ᛚᛇᛞᚹᛠᚱᛞᛈᚱᚫᛏᛏ ᚻᚫᛏ</t>
  </si>
  <si>
    <t>Politics, News, and Drollarity with a Tip of the Hat</t>
  </si>
  <si>
    <t>Son Of Anarchy</t>
  </si>
  <si>
    <t>Searching...</t>
  </si>
  <si>
    <t>Rhumba • Beer • Science • Controversy • #GGMU I write lame puns and wordplays when free.</t>
  </si>
  <si>
    <t>田﨑さき</t>
  </si>
  <si>
    <t>鳥取</t>
  </si>
  <si>
    <t>❣️EXILE TRIBE❣️❥❥EXILE/三代目/GENE/E-girls/EXILETHESECOND/DOBERMAN INFINITY/ THE RAMPAGE❥❥TAKAHIRO/TETSUYA/SHOKICHI/NAOTO/臣くん/岩ちゃん/亜嵐/龍友/隼/萩花/夏恋/SWAY/川村壱馬</t>
  </si>
  <si>
    <t>Jennifer Jacobs</t>
  </si>
  <si>
    <t>Japan’s Shinzo Abe has pulled off a landslide -- but he's not as popular as you might think. https://t.co/R0iksef7CX</t>
  </si>
  <si>
    <t>White House reporter for Bloomberg News. Email me at jjacobs68@bloomberg.net. 💕Iowa.</t>
  </si>
  <si>
    <t>FJ Newman</t>
  </si>
  <si>
    <t>RT @JenniferJJacobs: Japan’s Shinzo Abe has pulled off a landslide -- but he's not as popular as you might think. https://t.co/R0iksef7CX</t>
  </si>
  <si>
    <t>Hyattsville, MD</t>
  </si>
  <si>
    <t>A world within walking distance. I sometimes wished I didn’t know the things I know. I wish I didn't know now what I didn't know then.</t>
  </si>
  <si>
    <t>Bill Postmus</t>
  </si>
  <si>
    <t>California &amp; Idaho</t>
  </si>
  <si>
    <t>Fmr elected official &amp; GOP chair. Musings on world, nat'l &amp; state politics. Supporter of @Israel, @JesusShow , &amp; Friend of Bill W. RT's are not endorsements🇺🇸</t>
  </si>
  <si>
    <t>Jeremiah Simpson</t>
  </si>
  <si>
    <t>I play games, but not in the War Room.</t>
  </si>
  <si>
    <t>Connor Daley</t>
  </si>
  <si>
    <t>Multi-gen Vermonter. Exec search &amp; strategy consultant for philanthropy for cross-sector change, but I pretty much only tweet about constitutional monarchy.</t>
  </si>
  <si>
    <t>IndiespensableThink</t>
  </si>
  <si>
    <t>Gary Nelson</t>
  </si>
  <si>
    <t>Family person, Mr Mom (highly recommend), two kids, MSU Grad, and at U of Findley. Divorce, but close friends. Extreme Dem, liberal Follow; Wings, Tribe, Dolfan</t>
  </si>
  <si>
    <t>Lisa Rogers</t>
  </si>
  <si>
    <t>@jenna92821 @DavidCornDC How about Japan's stupid President? https://t.co/yeV3ttMbm4</t>
  </si>
  <si>
    <t>Trump Supporter, Free Thinker, I Eat Ice Cream in my Bed</t>
  </si>
  <si>
    <t>@TheDRDotson Have you read anything that Japan &amp; South Korean news say...they're not liberal or conservative. https://t.co/yeV3ttMbm4</t>
  </si>
  <si>
    <t>Vicki Locke</t>
  </si>
  <si>
    <t>Olga Semenova</t>
  </si>
  <si>
    <t>Moskau</t>
  </si>
  <si>
    <t>Ich bin Journalistin und kommuniziere gern Deutsch, Russisch, Franzoesisch und Spanisch.</t>
  </si>
  <si>
    <t>Alyssa McDonald</t>
  </si>
  <si>
    <t>Digital news editor at https://t.co/DK7t9jm8OF. Opinions my own.</t>
  </si>
  <si>
    <t>Denisse Quinto</t>
  </si>
  <si>
    <t>John Kerrigan</t>
  </si>
  <si>
    <t>LA Native, Political junkie, Democrat, former lobbyist, gearhead, humanist, empiricist.....</t>
  </si>
  <si>
    <t>christopher thompson</t>
  </si>
  <si>
    <t>What Japan’s Election Outcome Means for the US, East Asia https://t.co/LZWGAnDvnZ @DailySignal</t>
  </si>
  <si>
    <t>Toronto, Ontario CANADA</t>
  </si>
  <si>
    <t>I LOVE GOD. TRUMP MAGA All Creatures Great and Small.I Train for what may Come But choose,Wish to Live in Peace With all Mankind,RED WHITE BLUE</t>
  </si>
  <si>
    <t>Kevin Brady</t>
  </si>
  <si>
    <t>Long Island &amp; Brooklyn</t>
  </si>
  <si>
    <t>"A proud Gay," politics nerd, film lover: 2nd gen American, #UnionStrong, #NYPD son + #Feminist. @CUNYLaw '20. ♥️@myfriendJase👸🏿 Irish 🇮🇪Italian🇮🇹+more🌈</t>
  </si>
  <si>
    <t>Modi again in 2019</t>
  </si>
  <si>
    <t>Matthew Waymack</t>
  </si>
  <si>
    <t>Fayetteville, AR</t>
  </si>
  <si>
    <t>Retweets are retweets.</t>
  </si>
  <si>
    <t>Justin 🚀</t>
  </si>
  <si>
    <t>What’s at Stake in Japan’s Snap Election https://t.co/YwMCB2BH7g https://t.co/P7n1m7FQa3</t>
  </si>
  <si>
    <t>Toronto-born, @McGill educated. I run/swim, drink coffee, read voraciously, write occasionally. Tech, politics, sports &amp; anything creative.</t>
  </si>
  <si>
    <t>Larry Backer</t>
  </si>
  <si>
    <t>Steven Hudson</t>
  </si>
  <si>
    <t>What now for Japan after Abe's landslide election victory? https://t.co/Q6hHxt4gWe</t>
  </si>
  <si>
    <t>Antiquer, Essayist, Actor, Model.</t>
  </si>
  <si>
    <t>Shafat Ahmed</t>
  </si>
  <si>
    <t>Financial Analyst</t>
  </si>
  <si>
    <t>yori</t>
  </si>
  <si>
    <t>Japan's Abe vows to put education spending before budget balance | Article [AMP] | Reuters https://t.co/4mVnmmjdC5</t>
  </si>
  <si>
    <t>ビジネスコンサルティング プランニング 資産運用など PDCAにて実施中です。時代に合ったライフワーク、社会貢献を考えていきたいです。</t>
  </si>
  <si>
    <t>sean snow</t>
  </si>
  <si>
    <t>Narok, Kenya</t>
  </si>
  <si>
    <t>Loading...</t>
  </si>
  <si>
    <t>Slim J</t>
  </si>
  <si>
    <t>Mutuati</t>
  </si>
  <si>
    <t>I like Surrounding myself with those who see greatness in me, even when I don't see it myself.</t>
  </si>
  <si>
    <t>SHASHANK SINGH</t>
  </si>
  <si>
    <t>Journalist, Worked with #News18India #IBN7 (Network 18). Insta ℱℴℓℓℴω►https://t.co/DRQJFVZmL6 Snapchat : Shankey3007</t>
  </si>
  <si>
    <t>Jeff M. Smith</t>
  </si>
  <si>
    <t>Research Fellow, South Asia-Heritage Foundation. Author of "Cold Peace: China-India Rivalry" (2014) &amp; "Asia's Quest for Balance" (2018). NYT, WSJ, Economist, FP</t>
  </si>
  <si>
    <t>Tobias</t>
  </si>
  <si>
    <t>Westminster, London</t>
  </si>
  <si>
    <t>22 | IT Engineer | Conservatives member &amp; Military enthusiast | Described as a: POLITICAL FROSTIES TIGER</t>
  </si>
  <si>
    <t>Aparna Pande</t>
  </si>
  <si>
    <t>Director India Initiative, Hudson Institute; PhD Poli Sci #BU; Stephanian, Delhiite; Bostonian Red Sox Fan</t>
  </si>
  <si>
    <t>The Streit Council</t>
  </si>
  <si>
    <t>The Streit Council is an independent, non-partisan, non-profit organization that works for closer cooperation among the world's leading liberal democracies.</t>
  </si>
  <si>
    <t>BK Das</t>
  </si>
  <si>
    <t>Japan’s Election Worsening Prospects For Peace With N. Korea, China https://t.co/fvNZX9ebVJ</t>
  </si>
  <si>
    <t>Ecroaker Follow Back</t>
  </si>
  <si>
    <t>Latest Bangladesh News https://t.co/a4C1SbERiB: Japan's Abe to push pacifist constituti... https://t.co/t9xcVUUmkx</t>
  </si>
  <si>
    <t>Ecroaker Tweets</t>
  </si>
  <si>
    <t>http://www.ecroaker.com</t>
  </si>
  <si>
    <t>Your ideas are Market Realized Idea-ting engine for .MOTIVATORS,ARTISTS,CREATIVE,LEARNERS,INNOVATORS,DESIGNERS,INVESTORS,DEVELOPERS,TESTERS,ARTISTS,</t>
  </si>
  <si>
    <t>What Japan’s Election Outcome Means for the U.S., East Asia https://t.co/g9fhYLc02x via @Heritage</t>
  </si>
  <si>
    <t>Japan’s Election Worsening Prospects For Peace With N. Korea, China https://t.co/v6LmQbkZWu</t>
  </si>
  <si>
    <t>Washington Windsor</t>
  </si>
  <si>
    <t>Washington DC/NYC</t>
  </si>
  <si>
    <t>President,https://t.co/xN18SbvLSB[HARVARD,OXFORD,KOREA UNIV.,YALE,PRINCETON,INSEAD,STANFORD.ETC Specialist for USA&amp;Israel&amp;Korea https://t.co/V0C20FwyFk</t>
  </si>
  <si>
    <t>Pewsitter</t>
  </si>
  <si>
    <t>What Japan's Election Outcome Means for the U.S., East Asia: https://t.co/NP6MhysVIq</t>
  </si>
  <si>
    <t>pewsitter current news</t>
  </si>
  <si>
    <t>Online Catholic News Web Portal</t>
  </si>
  <si>
    <t>Opinion: How Kim and Xi helped Shinzo Abe keep his supermajority in Japan https://t.co/kCkqC7YGB9</t>
  </si>
  <si>
    <t>Opinion: How Kim and Xi helped Shinzo Abe keep his supermajority in Japan https://t.co/M3dmavdPsW</t>
  </si>
  <si>
    <t>Opinion: How Kim and Xi helped Shinzo Abe keep his supermajority in Japan https://t.co/5KOh4huNUl</t>
  </si>
  <si>
    <t>hé alors</t>
  </si>
  <si>
    <t>RT @WSJ: Opinion: How Kim and Xi helped Shinzo Abe keep his supermajority in Japan https://t.co/kCkqC7YGB9</t>
  </si>
  <si>
    <t>Opinion: How Kim and Xi helped Shinzo Abe keep his supermajority in Japan https://t.co/xUP9A6XABJ</t>
  </si>
  <si>
    <t>jeremy dee</t>
  </si>
  <si>
    <t>Created LMF Video,Manager of Canon Montana,Writer-ish, #FlyTheL #CatLivesMatter WhiteSox Season Tickets,Blackhawks,Bulls,Bears,Icehogs, #FromMyColdDeadHands</t>
  </si>
  <si>
    <t>Opinion: How Kim and Xi helped Shinzo Abe keep his supermajority in Japan https://t.co/JrqtL97Ais</t>
  </si>
  <si>
    <t>Michele Tarroni</t>
  </si>
  <si>
    <t>Rome, Italy</t>
  </si>
  <si>
    <t>Art Broker &amp; Event Manager</t>
  </si>
  <si>
    <t>Hello World</t>
  </si>
  <si>
    <t>USA (love my USA)</t>
  </si>
  <si>
    <t>Love to read about happenings all over the World</t>
  </si>
  <si>
    <t>New Media</t>
  </si>
  <si>
    <t>Prospects of Japan's PM Abe Amending Constitution After Landslide Election Win https://t.co/TLXxKkNzXm</t>
  </si>
  <si>
    <t>News from hip, alternative sources.</t>
  </si>
  <si>
    <t>MissSastra</t>
  </si>
  <si>
    <t>Ahmet Yavuz</t>
  </si>
  <si>
    <t>Kocaeli-Ankara-İstanbul</t>
  </si>
  <si>
    <t>Gazi University-Lisans Kocaeli University/YL The New World Order</t>
  </si>
  <si>
    <t>WSJ: Opinion: How Kim and Xi helped Shinzo Abe keep his supermajority in Japan https://t.co/J4JpsViaZS</t>
  </si>
  <si>
    <t>Opinion: How Kim and Xi helped Shinzo Abe keep his supermajority in Japan https://t.co/BEu3x8M4dc</t>
  </si>
  <si>
    <t>RT WSJ "Opinion: How Kim and Xi helped Shinzo Abe keep his supermajority in Japan https://t.co/gE1CZMSePD"</t>
  </si>
  <si>
    <t>Opinion: How Kim and Xi helped Shinzo Abe keep his supermajority in Japan https://t.co/JhHE6Dpgob</t>
  </si>
  <si>
    <t>Opinion: How Kim and Xi helped Shinzo Abe keep his supermajority in Japan https://t.co/FbXFe619Wq</t>
  </si>
  <si>
    <t>WSJ: Opinion: How Kim and Xi helped Shinzo Abe keep his supermajority in Japan https://t.co/kU7qEqHWq0</t>
  </si>
  <si>
    <t>WSJ: Opinion: How Kim and Xi helped Shinzo Abe keep his supermajority in Japan https://t.co/uRXebI3jNT</t>
  </si>
  <si>
    <t>Opinion: How Kim and Xi helped Shinzo Abe keep his supermajority in Japan https://t.co/tcHIOTZMcU</t>
  </si>
  <si>
    <t>THE WALL STREET JOURNAL: Opinion: How Kim and Xi helped Shinzo Abe keep his supermajority in Japan https://t.co/K9BLPfF33k</t>
  </si>
  <si>
    <t>WSJ: Opinion: How Kim and Xi helped Shinzo Abe keep his supermajority in Japan https://t.co/8AdaIeEeKS https://t.co/sIlIVMMCCB</t>
  </si>
  <si>
    <t>ボン緒方✧*｡</t>
  </si>
  <si>
    <t>『CA』sayang sehun.</t>
  </si>
  <si>
    <t>Opinion: How Kim and Xi helped Shinzo Abe keep his supermajority in Japan https://t.co/o9jMr5rBgI</t>
  </si>
  <si>
    <t>Freeman</t>
  </si>
  <si>
    <t>WSJ: Opinion: How Kim and Xi helped Shinzo Abe keep his supermajority in Japan https://t.co/D5W9JD2ag2</t>
  </si>
  <si>
    <t>Roberto Bonaldi</t>
  </si>
  <si>
    <t>WSJ: Opinion: How Kim and Xi helped Shinzo Abe keep his supermajority in Japan https://t.co/dK3bBIZCWl</t>
  </si>
  <si>
    <t>obregon raquel noemi</t>
  </si>
  <si>
    <t>La Plata, Argentina</t>
  </si>
  <si>
    <t>K2Global ThinkTank!</t>
  </si>
  <si>
    <t>JFK LAX SFO HKG SIN DXB :)</t>
  </si>
  <si>
    <t>Savvy capital markets technician/trader. In🌎LyLife, Have been there done that n have brought home the Tshirts Vetran USAF. ❤️🇺🇸 ! Cheers🍷2UR GR8 Life : )</t>
  </si>
  <si>
    <t>Collette Brown</t>
  </si>
  <si>
    <t>A big dreamer, believer, action oriented feminist, people builder &amp; achiever</t>
  </si>
  <si>
    <t>красная паника</t>
  </si>
  <si>
    <t>RT @seyyedreza: "Japan has one of the worst records in the world for female political representation." https://t.co/C7PU1sjNxE</t>
  </si>
  <si>
    <t>Aotearoa 🇳🇿</t>
  </si>
  <si>
    <t>Jewish Anti-Zionist; Leftist; Queer; Studies History and Archaeology; Draws Fan Art; Free Palestine 🇵🇸</t>
  </si>
  <si>
    <t>Aimon ن † 🇬🇧 🇮🇱</t>
  </si>
  <si>
    <t>Hanwell, West London</t>
  </si>
  <si>
    <t>Eurosceptic 52% • Unionist • Young • Tory • Sixth Form Student • 16 • Protestant • Friend of Israel • Chelsea and Rangers Fan! ⚽️ • Views my own</t>
  </si>
  <si>
    <t>FreFreddie Turnbough</t>
  </si>
  <si>
    <t>🅱teve Sannon👻</t>
  </si>
  <si>
    <t>Zion</t>
  </si>
  <si>
    <t>Civilization machine 🅱roke</t>
  </si>
  <si>
    <t>Japan PM Shinzo Abe's ruling bloc on track for big win in election: TV exit polls - https://t.co/f1LzgZV9fh</t>
  </si>
  <si>
    <t>Prospects of Japan's PM Abe Amending Constitution After Landslide Election Win https://t.co/UHeWu5XGAO</t>
  </si>
  <si>
    <t>Abe's super majority election win 'has major implications for the proposed upgradation of Indo-Japan naval collabor… https://t.co/T7WH3fEczw</t>
  </si>
  <si>
    <t>ugirej</t>
  </si>
  <si>
    <t>M.O.B.B</t>
  </si>
  <si>
    <t>Around the Corner.....</t>
  </si>
  <si>
    <t>Rita Ghahramanian</t>
  </si>
  <si>
    <t>Kamal Silva</t>
  </si>
  <si>
    <t xml:space="preserve">Peace Train </t>
  </si>
  <si>
    <t>Life Enthusiast || Avid Reader || Soccer Buff. Indefatigable fan of Milan &amp; Newcastle United. RT's ≠ Endorsements. ❤ ≠ Like.</t>
  </si>
  <si>
    <t>RT WSJ: Opinion: How Kim and Xi helped Shinzo Abe keep his supermajority in Japan https://t.co/V2G7Kl90N0</t>
  </si>
  <si>
    <t>Overconfidence emerges as Abe's biggest risk after opposition sink- Nikkei Asian Review https://t.co/84Jb8GTUUx</t>
  </si>
  <si>
    <t>Carolus³</t>
  </si>
  <si>
    <t>Japan’s ruling coalition retains a supermajority in snap election https://t.co/y0Dsj06HmI</t>
  </si>
  <si>
    <t>CyborgIntelligentsia</t>
  </si>
  <si>
    <t>♣ Between BID and ASK ♣</t>
  </si>
  <si>
    <t>♦#Débrouillard ♠ #FuturesTrader ♥ #ProudSpeculator ♣ #CryptoPunk ♦#JörmungandrSlayer ♠ The greatest enemy will hide in the last place you would ever look. ♥</t>
  </si>
  <si>
    <t>白牡丹@こんな人たち</t>
  </si>
  <si>
    <t>Global community also should be aware that Abe is far more extremely right-wing, xenophobe over Y. Koike https://t.co/HLt2P115eP</t>
  </si>
  <si>
    <t>品川区</t>
  </si>
  <si>
    <t>土方歳三に永遠の片想い17年。『組！』残党。歴史、落語・歌舞伎、アルゼンチンタンゴ、オペラ、マンガ・アニメ辺りにて不定期発言。起業したので、ビジネス系投稿は別アカ。</t>
  </si>
  <si>
    <t>习梦思</t>
  </si>
  <si>
    <t>fart people;四股势力赶快合流；中岛 みゆき is my goddess;最爱吃新疆烤包子；神州不灭，大义永存！巭孬嫑夯肏，我会被傻屄屏蔽，同样的，我也会屏蔽傻屄</t>
  </si>
  <si>
    <t>NORM MARVEL</t>
  </si>
  <si>
    <t>Lee's Summt MO</t>
  </si>
  <si>
    <t>#SaveZahidBaloch</t>
  </si>
  <si>
    <t xml:space="preserve">زمین </t>
  </si>
  <si>
    <t>نہ علم ءِ شوق، نہ قوم ءِ دوستی، نہ سُدھ دنیا ءِ، چُشیں بے جوہر ءُ جان دُز ءُ سُستیں نوجواناں سوچ</t>
  </si>
  <si>
    <t>Digital Resistance</t>
  </si>
  <si>
    <t>Analysis: Prospects of Japan's PM Abe Amending Constitution After Landslide Election Win https://t.co/27XtOX81dE</t>
  </si>
  <si>
    <t>Resistance is Freedom</t>
  </si>
  <si>
    <t>Curating global political news and providing insights and in-depth analysis in one place to give you the stories that matter. #No2ISIS #FreePalestine</t>
  </si>
  <si>
    <t>渡辺淳志atsushi watanabe</t>
  </si>
  <si>
    <t>東京 大阪 愛知 和歌山</t>
  </si>
  <si>
    <t>パンタレイ代表取締役。 信託銀行→河合塾英語科講師。大学院非常勤講師。元代ゼミ数学科講師。元私大非常勤講師。修士（理学／国際関係学／経済学／教育学） 宅建士、FP。教員免許（数学／公民)。ICU早大東大。呟きは所属組織とは無関係。合気道／ダイビング。論争は実名アカウントのみ。現塾生には規定上フォロバできません。</t>
  </si>
  <si>
    <t>aromsy ameh</t>
  </si>
  <si>
    <t>A Nigeria with high spirit of patriotism to serve her mother land.</t>
  </si>
  <si>
    <t>Alla</t>
  </si>
  <si>
    <t>Пишу об украинской политике. Массфолловинг считаю злом! В интернете не зарабатываю!</t>
  </si>
  <si>
    <t>Jesse Olivier</t>
  </si>
  <si>
    <t>RT @GaijinPot: So, just because we can't vote doesn't mean we can't gripe about this darn election! https://t.co/wqMAhriTat</t>
  </si>
  <si>
    <t>CEO at Nihon'no Style | Helping People get to Japan! | Want to move to japan? | What about holiday? | Or simply learn about it? | 🏒🎮📽️🇨🇦🍕🍿 |</t>
  </si>
  <si>
    <t>パラナより愛をこめて</t>
  </si>
  <si>
    <t>Japan's Abe hails landslide victory in snap election @CNNI https://t.co/jecZc08mNr</t>
  </si>
  <si>
    <t>en Brasil</t>
  </si>
  <si>
    <t>二千十年に愛する妻と二人の息子たちとブラジルに移住しました、現在はパラナ州の首都クリチバよりブラジルの話題を中心につぶやいております。日本の憂える現状については知り得る範囲でコメントを書きたいと思います。</t>
  </si>
  <si>
    <t>Rob C</t>
  </si>
  <si>
    <t>INYAKU Tomoya</t>
  </si>
  <si>
    <t>PARC1986-,IBASE(Rio/Brazil,1991-1994),FIM(Geneva),JCA-NET,Greenpeace(2001-10),Altertrade DigitalMedia @tomo_nada(Japanese),@tomo_prt(Portuguese)</t>
  </si>
  <si>
    <t>GadgetFlye</t>
  </si>
  <si>
    <t>RT @Reuters: North Korean missiles created an eerie threat in a Japanese fishing village: No one saw or heard them fly overhead https://t.c…</t>
  </si>
  <si>
    <t>Mike Davis Tweet Machine</t>
  </si>
  <si>
    <t>What now for Japan after Abe's landslide election victory? https://t.co/SZJyMK1XQj</t>
  </si>
  <si>
    <t>PM Abe’s party wins Japan’s election, exit polls show https://t.co/e0yMlPGQgN</t>
  </si>
  <si>
    <t>PM Abe’s party wins Japan’s election, exit polls show https://t.co/LgB006ZJyp</t>
  </si>
  <si>
    <t>PM Abe’s party wins Japan’s election, exit polls show https://t.co/VIft4WqwmK</t>
  </si>
  <si>
    <t>PM Abe’s party wins Japan’s election, exit polls show https://t.co/V0MNZQs56l</t>
  </si>
  <si>
    <t>PM Abe’s party wins Japan’s election, exit polls show https://t.co/7vhzH049qK</t>
  </si>
  <si>
    <t>The outcome of Japan’s recent election has positioned the nation for a period of political stability https://t.co/1RlFpeSCRr</t>
  </si>
  <si>
    <t>RT @CSIS: The outcome of Japan’s recent election has positioned the nation for a period of political stability https://t.co/1RlFpeSCRr</t>
  </si>
  <si>
    <t>👻SpookyWraith👻</t>
  </si>
  <si>
    <t>Prison</t>
  </si>
  <si>
    <t>A wraith striving to be stronger than what he once was. I like vidya, art, and gothic lolitas. My Stand: https://t.co/lJoF25p4L6</t>
  </si>
  <si>
    <t>CSIS: The outcome of Japan’s recent election has positioned the nation for a period of political stability https://t.co/ItIxLKM4bJ</t>
  </si>
  <si>
    <t>あっこ🐐BLEACH</t>
  </si>
  <si>
    <t>アニメ漫画と読書と日本史と国際政治と邦ロックとスポーツが好き</t>
  </si>
  <si>
    <t>大高→外大。アラ科の高身長女。/English Debate(Omiya High.)(2014:NPP) / 1mnth intern in 🇸🇬 /@tufsyria /@TUFSESSSpeech /@TUFSeuro /🐐 【Japan-Arab Society】/energy security</t>
  </si>
  <si>
    <t>Max Yu</t>
  </si>
  <si>
    <t>東區, 香港</t>
  </si>
  <si>
    <t xml:space="preserve">manjushree </t>
  </si>
  <si>
    <t>Ⓜ🅾♌🌷</t>
  </si>
  <si>
    <t>Japan's Shinzo Abe Conjures Stunning Election Victory in a Boost for Donald Trump - https://t.co/zjbiFfjxLp by RO…… https://t.co/IhdFJo7aRF</t>
  </si>
  <si>
    <t>Devin T. Stewart</t>
  </si>
  <si>
    <t>Japan’s Election Warning to China and Why Japan May Go Nuclear https://t.co/OCapMOY5hN</t>
  </si>
  <si>
    <t>Director of Asia program @CarnegieCouncil; Fellow @TrumanProject; ex @CSIS, @japansociety @Columbia @NYUCGA @The_Japan_News; musician; Trustee @makemusicny</t>
  </si>
  <si>
    <t>Japan's election sets up a new battle over its pacifist constitution https://t.co/GnqjV43b6w via @HuffPost</t>
  </si>
  <si>
    <t>67Kalika</t>
  </si>
  <si>
    <t>Firenze (Italy)</t>
  </si>
  <si>
    <t>Vanitas vanitatum et omnia vanitas (secondo account di Kalika 6 7) (no facebook)</t>
  </si>
  <si>
    <t>Lynne A Shapiro</t>
  </si>
  <si>
    <t>Japan's Recent Election Exposed A Persistent Problem For The Country https://t.co/frAtqlGiUI via @newsyvideos</t>
  </si>
  <si>
    <t>Scottsdale, Arizona</t>
  </si>
  <si>
    <t>Full time, professional Realtor for over 31 years,CMPS, CREA, CRS and GRI designations, multi-milion dollar producer. Also a freelance write</t>
  </si>
  <si>
    <t>India in Japanインド大使館</t>
  </si>
  <si>
    <t>2-2-11 Chiyoda-Ku Tokyo</t>
  </si>
  <si>
    <t>Welcome to the official Twitter-page of the Embassy of India in Japan! 在日インド大使館のツィーターです。</t>
  </si>
  <si>
    <t>wolfpack</t>
  </si>
  <si>
    <t>Chiba-ken, Japan</t>
  </si>
  <si>
    <t>基本ROM、リツイートは忘備録です。</t>
  </si>
  <si>
    <t>Japan's Shinzo Abe won by a landside, but he isn't as popular as you might think https://t.co/81F1PBHgGP https://t.co/UDfvYT5Bzy</t>
  </si>
  <si>
    <t>👻ALXX530👻 #4764</t>
  </si>
  <si>
    <t>California...yup...</t>
  </si>
  <si>
    <t>MERRY SPOOKTOBER! I mostly RT vidya, anime, other bullshit. Don't expect much from me.🙃 Lucoa is my waifu! 💚🐉💚 #GamerGate #NotYourShield</t>
  </si>
  <si>
    <t>Neowarden #3260</t>
  </si>
  <si>
    <t>Cabo Frio,RJ - Brazil  #3260</t>
  </si>
  <si>
    <t>Egalitarian, Gamer, Free Speech and Expression Advocate Ricardo Lima https://t.co/IiqvI2IQ1j</t>
  </si>
  <si>
    <t>Omen</t>
  </si>
  <si>
    <t>https://osu.ppy.sh/users/3637436</t>
  </si>
  <si>
    <t>A lot about me can be found out by checking my steam profile! https://t.co/NSK1Rris2j Also I'm almost a manlet, 5'8 oh also I'm from upstate New York</t>
  </si>
  <si>
    <t>Japan's Shinzo Abe won by a landside, but he isn't as popular as you might think https://t.co/AQ61iBqBM9 https://t.co/y7tNjdNL1y #fb #sit…</t>
  </si>
  <si>
    <t>Japan's Shinzo Abe won by a landside, but he isn't as popular as you might think https://t.co/mDDZOVs5hE https://t.co/i09xticATe</t>
  </si>
  <si>
    <t>Japan's Shinzo Abe won by a landside, but he isn't as popular as you might think https://t.co/3WgsadYscj https://t.co/v8N2jackLr</t>
  </si>
  <si>
    <t>Japan's Shinzo Abe won by a landside, but he isn't as popular as you might think https://t.co/2H3dk6CyBu https://t.co/PQVdwpqghT #BSAFund…</t>
  </si>
  <si>
    <t>Spookydude9</t>
  </si>
  <si>
    <t>Gamer, Professional 9-Ball. Writer, Yandere Sim (Inactive). My opinions are my own and not any others. Baka.</t>
  </si>
  <si>
    <t>business: Japan's Shinzo Abe won by a landside, but he isn't as popular as you might think https://t.co/OFayJBPI1X https://t.co/IgW72RCPXb</t>
  </si>
  <si>
    <t>♦Acid Man</t>
  </si>
  <si>
    <t>#GamerGate strategic analysis nerd and /gamergatehq/ hub owner at 8chan. 8ch,net backup Tor server is at https://t.co/Kbdg32uBFR Twitter Shadowbans: 6</t>
  </si>
  <si>
    <t>ashikenshin</t>
  </si>
  <si>
    <t>Blagoveshchensk, Rusia</t>
  </si>
  <si>
    <t>boobs are life, ass is hometown. I'm now in russia! lol</t>
  </si>
  <si>
    <t>Dr.Ahmad Almaa'</t>
  </si>
  <si>
    <t>RT @business: Japan's Shinzo Abe won by a landside, but he isn't as popular as you might think https://t.co/mDDZOVs5hE https://t.co/i09xtic…</t>
  </si>
  <si>
    <t>I believe in science</t>
  </si>
  <si>
    <t>Japan: Outsider party looks to upstage Abe as election campaign kicks off https://t.co/PCL5t1G0Bn</t>
  </si>
  <si>
    <t>INTELLINEWS2</t>
  </si>
  <si>
    <t>Allison</t>
  </si>
  <si>
    <t>Victoria Australia</t>
  </si>
  <si>
    <t>Feminist, musician, linguist, actor. #heforshe</t>
  </si>
  <si>
    <t>business: Japan's Shinzo Abe won by a landside, but he isn't as popular as you might think https://t.co/p4xf1eTHCC https://t.co/tgj94rhD6r</t>
  </si>
  <si>
    <t>Kold dayZ</t>
  </si>
  <si>
    <t>ツイッターするやつγ pro</t>
  </si>
  <si>
    <t>Konikksberk</t>
  </si>
  <si>
    <t>KO/JP/EN/im@s/スクスト/Assassin's creed/Pumpkin scissors/폴아웃/WoW -아즈샤라 호드/모르는 분 블락할 때가 있읍니다/천봉 : KILO6</t>
  </si>
  <si>
    <t>Cain's Return</t>
  </si>
  <si>
    <t>screamingly bi and #ready2die. center left which makes me an alt-right Nazi. video games, porn, and shitposting ahoy! Can I get my 2k followers back?!</t>
  </si>
  <si>
    <t>Japan's Shinzo Abe won by a landside, but he isn't as popular as you might think https://t.co/E5WD3jkJzR https://t.co/Gbd8bwxJ7b</t>
  </si>
  <si>
    <t>jaimeotero_: Japan's Shinzo Abe won by a landside, but he isn't as popular as you might think https://t.co/F9BHSHYMyg …</t>
  </si>
  <si>
    <t>nathalie richard</t>
  </si>
  <si>
    <t>Human history becomes more and more a race between education and catastrophe. H.G. Wells 1866-1946</t>
  </si>
  <si>
    <t>El Neco</t>
  </si>
  <si>
    <t>95%RTs. Tokuposting, Precureposting, sometimes funnies but also politics and lewds. #PrecureforSHT</t>
  </si>
  <si>
    <t>ぺ～ぶ♡すぱぃく（CV：五十嵐裕美）</t>
  </si>
  <si>
    <t>Hino-City, Tokyo JPN</t>
  </si>
  <si>
    <t>さまよえるパートタイムワーカー兼防衛技術ウォッチャー。デジタルガジェットとかも好きです。思いつきでしかツイートしないけど、他意は無いと思うので生暖かい目で見れくれると有難いんだよ( ´･ω･｀)ﾉ 欲しい→https://t.co/jT4pYO0HP2</t>
  </si>
  <si>
    <t>Japan's Shinzo Abe won by a landside, but he isn't as popular as you might think https://t.co/N6hJMWYnlT https://t.co/vpaZJKtbgH</t>
  </si>
  <si>
    <t>あざひが</t>
  </si>
  <si>
    <t>twitcle plus</t>
  </si>
  <si>
    <t>英国かぶれ。宇宙開発/航空/船舶/軍事/鉄道/産業インフラ全般/αマウント他。当アカウントは所属組織の見解等とは一切関係ありません。また業務上知り得た事項については一切言及できません。 https://t.co/vXLs4nDeGX https://t.co/ZQnDJJNKxu</t>
  </si>
  <si>
    <t>business: Japan's Shinzo Abe won by a landside, but he isn't as popular as you might think https://t.co/nNtCwtnWAk https://t.co/Vq7T9hFnkn</t>
  </si>
  <si>
    <t>Japan's Shinzo Abe won by a landside, but he isn't as popular as you might think https://t.co/G6SJ7zAA3x https://t.co/GcGIM7t7wG</t>
  </si>
  <si>
    <t>Umesh Desai  巫瑪仕</t>
  </si>
  <si>
    <t>#Japan’s #Election Warning to #China:#Beijing’s failure to rein in #KimJongUn is having real political consequences… https://t.co/hHKVhe9S8X</t>
  </si>
  <si>
    <t>Asia fixed income correspondent for Reuters, rugby fan. Views expressed here are my own. https://t.co/893VzSblAr https://t.co/Y7wblNlXhz</t>
  </si>
  <si>
    <t>Mark</t>
  </si>
  <si>
    <t>Benissoda, España</t>
  </si>
  <si>
    <t>Don't trust a person who thinks Gunbuster is bad.</t>
  </si>
  <si>
    <t>Rory Medcalf</t>
  </si>
  <si>
    <t>RT @TTLeeBrown: Abe's super majority election win 'has major implications for the proposed upgradation of Indo-Japan naval collaboration, i…</t>
  </si>
  <si>
    <t>Canberra</t>
  </si>
  <si>
    <t>Professor and Head of National Security College, Australian National University. Focused on Australia's future and Indo-Pacific strategy.</t>
  </si>
  <si>
    <t>✨Mage✨</t>
  </si>
  <si>
    <t>Reno, NV</t>
  </si>
  <si>
    <t>lvl 70 Black Mage. lvl 10 Dad. Steam. anime. caffeine addict. social recluse.</t>
  </si>
  <si>
    <t>Japan's Shinzo Abe won by a landside, but he isn't as popular as you might think https://t.co/lMAdKOEdUD https://t.co/0nqeKM4HDZ</t>
  </si>
  <si>
    <t>Lewis Roz</t>
  </si>
  <si>
    <t>RT @BloombergTV: Japan's Shinzo Abe won by a landside, but he isn't as popular as you might think https://t.co/lMAdKOEdUD https://t.co/0nqe…</t>
  </si>
  <si>
    <t>I'm a trusted real estate agent and a father of two. I graduated from the University of Texas at Arlington.</t>
  </si>
  <si>
    <t>After election win, Abe prioritizes North Korea, aging Japan #Socialmedia https://t.co/t3r3F5xPgB</t>
  </si>
  <si>
    <t>After election win, Abe prioritizes North Korea, aging Japan #Generalnews https://t.co/ddBNGPvTnK</t>
  </si>
  <si>
    <t>PensionPolicyIntl</t>
  </si>
  <si>
    <t>After election win, Abe prioritizes aging Japan #PensionsJp #Priorities #ShinzoAbe https://t.co/k8puK1UT5C https://t.co/Wf81sUN1sR</t>
  </si>
  <si>
    <t>PensionPolicyIntl is a Pensions news and research outlet which aims to be the foremost knowledge sharing online resource in pension information.</t>
  </si>
  <si>
    <t>Patricia Leonorah</t>
  </si>
  <si>
    <t xml:space="preserve">kisumu </t>
  </si>
  <si>
    <t>|Jesus freak|Lover of life|Team Chelsea #CFC|Cartoon gig|married to hip-hop, R&amp;B and jazz|follow me to uncover more</t>
  </si>
  <si>
    <t>Sini 🎃</t>
  </si>
  <si>
    <t>26/M - Failure is my motto, I like anime, cartoons, whatever it's super cute, RT heavy, I hope one day I finish my major</t>
  </si>
  <si>
    <t>L H Brok</t>
  </si>
  <si>
    <t>WSJ: #Japan’s ELECTION Warning to #China https://t.co/O5fgZlG91w via @WSJOpinion *HOW Kim &amp; Xi helped Shinzo Abe keep his supermajority.</t>
  </si>
  <si>
    <t>Interests: US &amp; International Events; History, Language &amp; Culture; Health &amp; Hilarity</t>
  </si>
  <si>
    <t>Tokyo Review</t>
  </si>
  <si>
    <t>For all the cynicism and snark regarding its campaigns, there are things about Japan’s politics worth celebrating: https://t.co/cU4OckqAkS</t>
  </si>
  <si>
    <t>Tokyo Review is a collaboration between academics, journalists and researchers working on issues related to Japanese politics, economics and society.</t>
  </si>
  <si>
    <t>観音旭光の両刀使い</t>
  </si>
  <si>
    <t>サイタマー民主主義人民共和国の斜め下</t>
  </si>
  <si>
    <t>撮り鉄・軍ヲタ・ヒコーキヲタにカメラ機材ヲタ。更に、ラリー好きの車狂いに、色々衝動買いの「買ってし魔王」と呼ばれる「うましか」野郎。アマチュア無線では JS1PNS を名乗り、1990年代前半には JA1ZGP で OP 経験あり。サークル光芒工房丁稚。まあ、お手柔らかにどうぞ。</t>
  </si>
  <si>
    <t>Victor</t>
  </si>
  <si>
    <t>narayansinghrathore</t>
  </si>
  <si>
    <t>Abolfathi Soraya</t>
  </si>
  <si>
    <t>koln</t>
  </si>
  <si>
    <t>I,m a Iranian freedom lover and support Mrs. #MaryamRajavi</t>
  </si>
  <si>
    <t>眠る羊</t>
  </si>
  <si>
    <t>四国の辺境</t>
  </si>
  <si>
    <t>四国の人。 リンガ泊の羊。 更新停止中のブログ→https://t.co/Zslv0yraQZ</t>
  </si>
  <si>
    <t>黎明迷</t>
  </si>
  <si>
    <t>What can you do now for #Japan and the #Japanese people?</t>
  </si>
  <si>
    <t>Candy Dandy</t>
  </si>
  <si>
    <t xml:space="preserve">tweaker Town Arizona, ✡.S.A! </t>
  </si>
  <si>
    <t>friendly guy on the skreets, horrible person in the tweets. putinite twitter yo. (should be obvious my views are my own, dont reflect my employers or contracts)</t>
  </si>
  <si>
    <t>✡Shankhanaadॐ</t>
  </si>
  <si>
    <t>i Support Dharma Israel&amp; Trump</t>
  </si>
  <si>
    <t>ॐ An 🇮🇳🇺🇸Evangelist🔯🕉 Hindu ☸Tantrik🔯गर्व से कहो हम हिन्दू है || ॐ || जय श्री राम || 卐SHIVOHAM השבח לאל #USA ☯☮🔫✝️ ❄🎄🌹GOD KRISHNA 🕉 #PresidentTrump🌷</t>
  </si>
  <si>
    <t>Michel kabongo</t>
  </si>
  <si>
    <t>Software Engineer - Network &amp; Database Administrator CEO at GLAAIF IT SOLUTIONS</t>
  </si>
  <si>
    <t>satomi sugawara</t>
  </si>
  <si>
    <t>Trumo needs Japan’s Abe to win the election to help counter North Korea and China | Opinion https://t.co/uAXIF4LK3k</t>
  </si>
  <si>
    <t>私の日本語は変です。</t>
  </si>
  <si>
    <t>Balaram Shrestha</t>
  </si>
  <si>
    <t>congratulations to Prime Minister of Japan ShinzoAbe on his landslide election in japan.</t>
  </si>
  <si>
    <t>International Attorney</t>
  </si>
  <si>
    <t>Don Tiko</t>
  </si>
  <si>
    <t>Japan's Abe to push for military expansion after election win https://t.co/YDiRMDElMz</t>
  </si>
  <si>
    <t>Japan's Abe to push for military expansion after election win | Dontiko | Scotland | International https://t.co/pKytwk52bA</t>
  </si>
  <si>
    <t>शकील अहमद जिलाध्यक्ष</t>
  </si>
  <si>
    <t>जयपुर राजस्थान</t>
  </si>
  <si>
    <t>शकील अहमद जिलाध्यक्ष जयपुर शहर भाजपा अल्पसंख्यक मोर्चा राज.</t>
  </si>
  <si>
    <t>中村敦</t>
  </si>
  <si>
    <t>日本SHINE。“ねとうよ”しっし。何度でもむしかえします。</t>
  </si>
  <si>
    <t>Yusri Jamal</t>
  </si>
  <si>
    <t>RT @NAR: It is a heavy responsibility. https://t.co/SszvKnxQVJ</t>
  </si>
  <si>
    <t>David Volodzko</t>
  </si>
  <si>
    <t>Seoul</t>
  </si>
  <si>
    <t>National editor @JoongAngDaily. Contributor @SCMP_News, @Diplomat_APAC, @GlobalPost, @munchies. China, Korea, Japan, politics, culture, food. volodzko@gmail.com</t>
  </si>
  <si>
    <t>Dhruv</t>
  </si>
  <si>
    <t>Magdeburg, Deutschland</t>
  </si>
  <si>
    <t>Tweets about Hindu culture, sports and politics #noconversion #ReclaimTemples</t>
  </si>
  <si>
    <t>Desmond N. Doulatram</t>
  </si>
  <si>
    <t>Angela Rae Jones</t>
  </si>
  <si>
    <t>Rockford, IL USA</t>
  </si>
  <si>
    <t>Environmentalist/Owner-GreenTone Enviro Design-Sustainability Planner/Designer Renewable Energy Expert/Feng Shui Practitioner Think Green...Be Green.</t>
  </si>
  <si>
    <t>Robert L Darby, JR</t>
  </si>
  <si>
    <t>📱 Tune into @SXMAltScene on @NETFLIX 🌐</t>
  </si>
  <si>
    <t>Lucy</t>
  </si>
  <si>
    <t>Prospects of Japan's PM Abe Amending Constitution After Landslide Election Win: https://t.co/nOMWHyuOO6 via @SputnikInt</t>
  </si>
  <si>
    <t>Shantha Kumari</t>
  </si>
  <si>
    <t>Japan's Election Warning to China.. https://t.co/sav2z1ZWRq</t>
  </si>
  <si>
    <t>The Alt Scene</t>
  </si>
  <si>
    <t>🎤 @RLDarbyJRICONS Radio Shows streaming on @NETFLIX 🌐</t>
  </si>
  <si>
    <t>North Korea blasts Japan for using election to 'pave groundwork' for invasion | The Japan Times https://t.co/fjvMXmJvmn</t>
  </si>
  <si>
    <t>krishnan v</t>
  </si>
  <si>
    <t>June Park</t>
  </si>
  <si>
    <t>RT @jljzen: North Korea blasts Japan for using election to 'pave groundwork' for invasion | The Japan Times https://t.co/fjvMXmJvmn</t>
  </si>
  <si>
    <t>Seoul, Republic of Korea</t>
  </si>
  <si>
    <t>Trade&amp;Currency Conflict: Northeast Asian States Responses to US Pressures' @PacificForum @Asia21Leaders @AsiaSociety 🇨🇳🇯🇵🇰🇷🇰🇵🇺🇸🇮🇶🇮🇷🇸🇦🇮🇱#GCC</t>
  </si>
  <si>
    <t>ravi dhillon</t>
  </si>
  <si>
    <t>Please don’t get confused between my personality &amp; my attitude My personality is who I am &amp; my attitude depends on who you are!”</t>
  </si>
  <si>
    <t>summer🐈</t>
  </si>
  <si>
    <t>雑食。国内も海外も。無断フォロー失礼します。</t>
  </si>
  <si>
    <t>Take a look at the numbers behind Shinzo Abe's landslide victory https://t.co/1XQHYP7528 https://t.co/FDfzkgNehd</t>
  </si>
  <si>
    <t>Sebastian Maslow</t>
  </si>
  <si>
    <t>Kobe &amp; Tsukuba, Japan</t>
  </si>
  <si>
    <t>Assistant Professor, Graduate School of International Cooperation Studies, Kobe University. Japan politics &amp; East Asia security. RTs &amp; likes ≠ endorsements.</t>
  </si>
  <si>
    <t>Yuzuha Oka　岡ゆづは</t>
  </si>
  <si>
    <t>Japan’s prime minister isn’t as popular as you might think https://t.co/Gf9ofCeTgv @bbgvisualdata</t>
  </si>
  <si>
    <t>Tokyo, Japan / Melbourne</t>
  </si>
  <si>
    <t>Biz journalist. English/Japanese. Works featured in @Reuters, @BBCWorld, @ABCaustralia, @SBS, @smh, @i_D, @JapanTimes, @GapInc. Python. Asian markets. 東大</t>
  </si>
  <si>
    <t>Take a look at the numbers behind Shinzo Abe's landslide victory https://t.co/zYqQVgsXbj https://t.co/x4x4MHPNyI #fb #sitifatimah #malays…</t>
  </si>
  <si>
    <t>🎃🔥 W+M1 🔥🎃</t>
  </si>
  <si>
    <t>Little Planet</t>
  </si>
  <si>
    <t>I like dabbing unironically</t>
  </si>
  <si>
    <t>Sahdev Singh Ranawat</t>
  </si>
  <si>
    <t>Heartiest greetings to AbeShinzo on his big election win. Look forward to further strengthen India-Japan relations.</t>
  </si>
  <si>
    <t>Jaipur</t>
  </si>
  <si>
    <t>GOD FEARING, AMBITIOUS, WANTS TO DO A LOT FOR THE SOCIETY AND MOTHERLAND</t>
  </si>
  <si>
    <t>Mridupawan Das</t>
  </si>
  <si>
    <t>Software Test engineer cum exercise enthusiast.Changing career very soon and BIG FAN of American TV SHOWS!!!</t>
  </si>
  <si>
    <t>Buddhist Beatdown</t>
  </si>
  <si>
    <t>Bring Bannon Back</t>
  </si>
  <si>
    <t>Legend Fabrication</t>
  </si>
  <si>
    <t>STOPtheFOOL反戦反核亀ガメラ怒</t>
  </si>
  <si>
    <t>RT @kamezuki: @RusEmbassyJ @sputnik_jp @JapanEmb_KoreaJ @ChnEmbassy_jp @XHJapanese #ElectionFraud in #Japan by computer on past data https:…</t>
  </si>
  <si>
    <t>Japan,a banana republic↓バナナ共和国</t>
  </si>
  <si>
    <t>家畜に非ず No war No nukes Desperately in need of some stranger's hand「間違っていること、正しくないこと、不条理と思うことに怒り」（細川護煕氏談) https://t.co/TS6VNobEgX</t>
  </si>
  <si>
    <t>Paulieborg</t>
  </si>
  <si>
    <t>Aarón</t>
  </si>
  <si>
    <t>RT @BloombergAsia: Take a look at the numbers behind Shinzo Abe's landslide victory https://t.co/1XQHYP7528 https://t.co/FDfzkgNehd</t>
  </si>
  <si>
    <t>chilangolandia</t>
  </si>
  <si>
    <t>Anda.</t>
  </si>
  <si>
    <t>Jill Aitoro</t>
  </si>
  <si>
    <t>Executive Editor of the Business to Government Group at Sightline Media, a.k.a. @defense_news, @FederalTimes and @C4ISRNET, &amp; running day-to-day of the former.</t>
  </si>
  <si>
    <t>金沢京子・銀座系</t>
  </si>
  <si>
    <t>千葉県　japan</t>
  </si>
  <si>
    <t>一応、文筆家です。「１００円de監視要請」銀座の読み物が売れる平和で好景気な世の中にしたい！</t>
  </si>
  <si>
    <t>Take a look at the numbers behind Shinzo Abe's landslide victory https://t.co/pWDSStOjcZ https://t.co/rykAl6US9R</t>
  </si>
  <si>
    <t>mai♥s</t>
  </si>
  <si>
    <t>What now for Japan after Abe's landslide election victory? https://t.co/eftFCZBj4P</t>
  </si>
  <si>
    <t>Sendai, Japan</t>
  </si>
  <si>
    <t>二人の娘、夫と仙台で暮らしています。福島市出身。笑って生きる。自由に生きる！今日も笑顔でいこー❤️</t>
  </si>
  <si>
    <t>Mike Kose</t>
  </si>
  <si>
    <t>RT @business: Take a look at the numbers behind Shinzo Abe's landslide victory https://t.co/pWDSStOjcZ https://t.co/rykAl6US9R</t>
  </si>
  <si>
    <t>“No man ever steps in the same river twice, for it's not the same river and he's not the same man.” ― Heraclitus</t>
  </si>
  <si>
    <t>Agustín Menéndez</t>
  </si>
  <si>
    <t>Belgrano.</t>
  </si>
  <si>
    <t>Corea. Estudiantes de La Plata. "We have been born into this land, charged with the historic mission of regenerating the nation." Park Chung-hee</t>
  </si>
  <si>
    <t>早   智敬</t>
  </si>
  <si>
    <t>京都市</t>
  </si>
  <si>
    <t>1974.3.13若狭国遠敷郡に生まれる。相模国高座郡に於いて育ち、山城国宇治郡山科を経て同郡醍醐に寓す／平素の職業:行政書士（京都会所属:日行連登録15272270）</t>
  </si>
  <si>
    <t>Take a look at the numbers behind Shinzo Abe's landslide victory https://t.co/ACcXUxZZTG https://t.co/0muZoxwWT3</t>
  </si>
  <si>
    <t>Japan Election Vindicates Shinzo Abe as His Party Wins Big https://t.co/RqDETEy7vb</t>
  </si>
  <si>
    <t>Karren Ericson</t>
  </si>
  <si>
    <t>Human</t>
  </si>
  <si>
    <t>Ameenusnasidi</t>
  </si>
  <si>
    <t>business: Take a look at the numbers behind Shinzo Abe's landslide victory https://t.co/m1zu1K14B5 … https://t.co/PZNx2jvZJx</t>
  </si>
  <si>
    <t>RT business "Take a look at the numbers behind Shinzo Abe's landslide victory https://t.co/njgI6znWr9 https://t.co/Gkr71Xhkyr"</t>
  </si>
  <si>
    <t>business: Take a look at the numbers behind Shinzo Abe's landslide victory https://t.co/8t1s5zPsl3 https://t.co/2cetGErxOu</t>
  </si>
  <si>
    <t>Uibheacha</t>
  </si>
  <si>
    <t>OH</t>
  </si>
  <si>
    <t>Take a look at the numbers behind Shinzo Abe's landslide victory https://t.co/9P02zzg4k4 https://t.co/pXLbski9bK</t>
  </si>
  <si>
    <t>Pintu</t>
  </si>
  <si>
    <t>Take a look at the numbers behind Shinzo Abe's landslide victory https://t.co/2FuLy1FcFN https://t.co/4kFZt65Y8V</t>
  </si>
  <si>
    <t>G.de Cristofaro</t>
  </si>
  <si>
    <t>Profilo Unico Ufficiale Twitter</t>
  </si>
  <si>
    <t>https://t.co/MRaI8meu0l https://t.co/QHKaExZqrq https://t.co/igLOGCU1Bh https://t.co/cHePMsFmMu https://t.co/2ft45Ef8Vt</t>
  </si>
  <si>
    <t>business: Take a look at the numbers behind Shinzo Abe's landslide victory https://t.co/yu4JEzV4VU https://t.co/zP3HNgUCgp</t>
  </si>
  <si>
    <t>Dominique Lapointe</t>
  </si>
  <si>
    <t>"the abundance of job opportunities: close to 98% of students got jobs directly after graduating from university" https://t.co/T4XXwwzHMj</t>
  </si>
  <si>
    <t>Analyste principal @IFPD_IFSD @UOttawa Senior analyst @IFSD_IFPD @UOttawa</t>
  </si>
  <si>
    <t>jaimeotero_: Take a look at the numbers behind Shinzo Abe's landslide victory https://t.co/T85w9nR81Z https://t.co/BJnxx2CFAu RT</t>
  </si>
  <si>
    <t>Take a look at the numbers behind Shinzo Abe's landslide victory https://t.co/U5qBrBPrB2 https://t.co/ORGn01EZqd</t>
  </si>
  <si>
    <t>Anne Kae</t>
  </si>
  <si>
    <t>Hamilton, ON</t>
  </si>
  <si>
    <t>Making a love life of nature, music, and beauty</t>
  </si>
  <si>
    <t>Miriam Romainville</t>
  </si>
  <si>
    <t>Peru</t>
  </si>
  <si>
    <t>La #UNMSM es mi alma máter y el #periodismo es mi vocación. #Página https://t.co/0F3dw8Xj1s</t>
  </si>
  <si>
    <t>Take a look at the numbers behind Shinzo Abe's landslide victory https://t.co/Qcj4wqpL3p https://t.co/TODtfrexFI</t>
  </si>
  <si>
    <t>RT @BloombergTV: Take a look at the numbers behind Shinzo Abe's landslide victory https://t.co/Qcj4wqpL3p https://t.co/TODtfrexFI</t>
  </si>
  <si>
    <t>Kimi Ueda</t>
  </si>
  <si>
    <t>政治と経済、製造業関連のニュースをツイートしています。趣味はゴルフと映画鑑賞。8歳のチワワ持ちです。よろしくお願いします。</t>
  </si>
  <si>
    <t>Ч. Раднаа</t>
  </si>
  <si>
    <t>БНМАУ-д төрсөн.</t>
  </si>
  <si>
    <t>*Karlita*</t>
  </si>
  <si>
    <t>Who is batmansdaughter0@gmail? 👽👀</t>
  </si>
  <si>
    <t>George</t>
  </si>
  <si>
    <t>资深70后，打过工，经过商，混过高校。现外贸业者，热爱自由人士。</t>
  </si>
  <si>
    <t>End Time Tribune</t>
  </si>
  <si>
    <t>My areas of expertise include but are not limited to Bible Prophecy, AlphaNumerics, Celestial Semiology, Isochronal Eschatology, and the Bible Source Code.</t>
  </si>
  <si>
    <t>SicSemperTyrannis</t>
  </si>
  <si>
    <t>Over the rainbow</t>
  </si>
  <si>
    <t>Principiis obsta, finem respice—‘Resist the beginnings, Consider the end' #LestWeForget #NeverAgain #1A #2A #NAP #ProLife #Peace #Liberty #Prosperity #Justice</t>
  </si>
  <si>
    <t>Raunak Joshi</t>
  </si>
  <si>
    <t>Engineer at profession photography by passion The massive revenge is Ultimate Success</t>
  </si>
  <si>
    <t>#BloombergTV ❧ Take a look at the numbers behind Shinzo Abe's landslide victory https://t.co/jIO0OXDtDZ https://t.co/rcd41VnMjx</t>
  </si>
  <si>
    <t>RT BloombergTV "Take a look at the numbers behind Shinzo Abe's landslide victory https://t.co/TGUaxvLe7G https://t.co/4JLR9aSx9b"</t>
  </si>
  <si>
    <t>Amit hindu🇮🇳🚩🚩🚩</t>
  </si>
  <si>
    <t>🇮🇳🚩🚩🚩Kattar hindu bjp mambar 🇮🇳🚩🚩🚩bhakt.sanghi.hindu 🇮🇳🚩🚩🚩bjp,rss,bhp bajrangdal.shivsena.abvp modi fan🇮🇳🚩🚩🚩</t>
  </si>
  <si>
    <t>rajiv</t>
  </si>
  <si>
    <t>Greater Noida, Uttar Pradesh</t>
  </si>
  <si>
    <t>an indian with global cravings and vision.life is precious and also rare.wish for wonderful order in india with peace and prosperity for all.</t>
  </si>
  <si>
    <t>Eddie Hale</t>
  </si>
  <si>
    <t>Japan Abe's Election Win to Boost His Hand on Pro-Growth Policies: Fitch https://t.co/YLPE2CMZRd</t>
  </si>
  <si>
    <t>Devoted bacon fanatic. Problem solver. Music practitioner. Evil organizer. Food trailblazer. Award-winning tv expert.</t>
  </si>
  <si>
    <t>RT BloombergTV "Take a look at the numbers behind Shinzo Abe's landslide victory https://t.co/aSxcEffFSU https://t.co/Kw3QU1oGDI"</t>
  </si>
  <si>
    <t>RT TFTCS "RT BloombergTV "Take a look at the numbers behind Shinzo Abe's landslide victory https://t.co/aSxcEffFSU https://t.co/Kw3QU1oGDI""</t>
  </si>
  <si>
    <t>Japan's Shinzo Abe Conjures Stunning Election Victory in a Boost for Donald Trump https://t.co/9eAy8YujWp</t>
  </si>
  <si>
    <t>Snapzu</t>
  </si>
  <si>
    <t>Spotlight: North Korea blasts Japan for using election to 'pave groundwork' for invasion (+28 votes) https://t.co/cGjFh7M3kO</t>
  </si>
  <si>
    <t>Snapzu Tweets</t>
  </si>
  <si>
    <t>Snapzu Spotlight @</t>
  </si>
  <si>
    <t>Snapzu is a community-based content sharing, creation and discovery platform. We tweet the best as voted on by our users. Front page https://t.co/fatHiaTRiU</t>
  </si>
  <si>
    <t>RT TFTCS "RT BloombergTV "Take a look at the numbers behind Shinzo Abe's landslide victory https://t.co/TjkH2HEXif https://t.co/MWxUyrGZpf""</t>
  </si>
  <si>
    <t>business: Take a look at the numbers behind Shinzo Abe's landslide victory https://t.co/bPEaFwvTWv https://t.co/undsvjdRCe</t>
  </si>
  <si>
    <t>Zarren364</t>
  </si>
  <si>
    <t>I am what I am, an *insert adjective here* human being.</t>
  </si>
  <si>
    <t>Shinzo Abe isn't as popular as you might think https://t.co/3k7d58MzUk https://t.co/BGI10Dn5tu</t>
  </si>
  <si>
    <t>🕸️JBOOhn🕷️SCREECHan🦇</t>
  </si>
  <si>
    <t>RT @DavidPapp: Japan's Shinzo Abe Conjures Stunning Election Victory in a Boost for Donald Trump https://t.co/9eAy8YujWp</t>
  </si>
  <si>
    <t>Chicago Native - Deep Dish - Johnnies Beef - Ketsup Is For Fries - Videographer - Social Activist - Ad Me To Lists Earns You A BLOCK</t>
  </si>
  <si>
    <t>Greg Grimm🎃</t>
  </si>
  <si>
    <t>Prospects of Japan's PM Abe Amending Constitution After Landslide Election Win https://t.co/Zub6Ye2pCO</t>
  </si>
  <si>
    <t>EY EY EY</t>
  </si>
  <si>
    <t>Shinzo Abe gains big victory in Japan election https://t.co/tGjV97NMsR https://t.co/HMu4k1Nyz9</t>
  </si>
  <si>
    <t>Worcester, MA</t>
  </si>
  <si>
    <t>guacamole</t>
  </si>
  <si>
    <t>RT @bpolitics: Shinzo Abe isn't as popular as you might think https://t.co/3k7d58MzUk https://t.co/BGI10Dn5tu</t>
  </si>
  <si>
    <t>Tokio, Japón</t>
  </si>
  <si>
    <t>2017年1月まで2年間エクアドル暮らし。好:FineArt/着物/西語。嫌:マカロン/ビール/タバコ。文章とイラストの依頼はDMへお願いします。Soy una japonesa, he vivido en Cuenca, Ecuador durante 2 años.</t>
  </si>
  <si>
    <t>EEE-Reporter</t>
  </si>
  <si>
    <t>Prime Minister Abe Wan but Not Praised https://t.co/3uQ82auhCa</t>
  </si>
  <si>
    <t>Andrew Zuniga</t>
  </si>
  <si>
    <t>Kansas CIty</t>
  </si>
  <si>
    <t>SnapChat - Zuniga93 Epic_Gaming Leader GT- XxKCTAKENOTESxX One Team, One Dream</t>
  </si>
  <si>
    <t>RT @StarAdvertiser: Abe said he is committed to protect the Japanese people’s prosperity and peace from any contingency. https://t.co/15rpq…</t>
  </si>
  <si>
    <t>Maria Rivera</t>
  </si>
  <si>
    <t>Born-again, Spirit-filled Christian. People &amp;Animal protection. Humans rights. I stand with Israel. Beautiful things. Funny &amp; interesting things. Conservative.</t>
  </si>
  <si>
    <t>SANGAMESH</t>
  </si>
  <si>
    <t>son, brother , kannadiga, HINDU indian , MODI Putin Benjamin netanyahu and Shinzo Abe follower</t>
  </si>
  <si>
    <t>Praba Karan</t>
  </si>
  <si>
    <t>SATYAJIT MAHALIK</t>
  </si>
  <si>
    <t>RT @BloombergAsia: Japan's Shinzo Abe won by a landside, but he isn't as popular as you might think https://t.co/81F1PBHgGP https://t.co/UD…</t>
  </si>
  <si>
    <t>Central Region, Singapore</t>
  </si>
  <si>
    <t>Another nigga</t>
  </si>
  <si>
    <t>Power</t>
  </si>
  <si>
    <t>LoiShua Angels</t>
  </si>
  <si>
    <t>Sa Puso Ni Loisa At Joshua</t>
  </si>
  <si>
    <t>We Are The LoiShua Angels .We Love Loisa And Joshua Forever❤❤❤ #TeamLoiShua ❤❤</t>
  </si>
  <si>
    <t>9 Dash Line 九段线</t>
  </si>
  <si>
    <t>#Japan's Abe to push pacifist constitution reform after strong election win https://t.co/aCsBLl4xyD</t>
  </si>
  <si>
    <t>Focused on security developments across the South China Sea and Indo-Pacific region. RT ≠ endorsement</t>
  </si>
  <si>
    <t>Toon Seri Anthraxxxx</t>
  </si>
  <si>
    <t>RT @9DashLine: #Japan's Abe to push pacifist constitution reform after strong election win https://t.co/aCsBLl4xyD</t>
  </si>
  <si>
    <t xml:space="preserve">South East Asia </t>
  </si>
  <si>
    <t>An Independent Political Liar and a part time ahli falsampah. I also insult stupid politicians for fun. Disclaimer: My drivel is not meant to be taken seriously</t>
  </si>
  <si>
    <t>Laura Lee</t>
  </si>
  <si>
    <t>Casimira Mace</t>
  </si>
  <si>
    <t>USA, Oklahoma</t>
  </si>
  <si>
    <t>Tech, strength training, sports, #BlackBerry , iPhone , MBA , Social network , Search engine optimization, link building and internet marketing</t>
  </si>
  <si>
    <t>Artemisia Paralus</t>
  </si>
  <si>
    <t>After election win, Abe prioritizes North Korea, aging Japan https://t.co/43vUQnrudb</t>
  </si>
  <si>
    <t>Aunty Social</t>
  </si>
  <si>
    <t>Cat lady.</t>
  </si>
  <si>
    <t>shinji  koizumi</t>
  </si>
  <si>
    <t>日本と日本の伝統文化、日の丸そして君が代を愛する保守</t>
  </si>
  <si>
    <t>"https://t.co/QOKBMk0cjW"After election win, Abe prioritizes North Korea, aging Japan #Ειδήσεις #News #Noticias #N… https://t.co/w413VYTzlL</t>
  </si>
  <si>
    <t>Akshay Alladi</t>
  </si>
  <si>
    <t>After election win, Abe prioritizes North Korea, aging Japan https://t.co/4xasw7mdYZ</t>
  </si>
  <si>
    <t>Gachau</t>
  </si>
  <si>
    <t>Once I make a choice, I don't look back | I challenge my beliefs | Freelancer |</t>
  </si>
  <si>
    <t>xxx_onii-chan_xxx</t>
  </si>
  <si>
    <t>New South Wales, Australia</t>
  </si>
  <si>
    <t>Orthodoxy, Autocracy, Nationality. I really need a new username. 🇨🇮🇬🇧🇦🇺✝️ (non-denominational)</t>
  </si>
  <si>
    <t>DCarsonCPA GRL STEM</t>
  </si>
  <si>
    <t>RT @Korn_Ferry: Agree or Disagree: "A real leader is not necessarily a populist, but someone with a clear message and agenda" https://t.co/…</t>
  </si>
  <si>
    <t>Dean Carson 23 yrs on Financials, Compliance w Tech 8 on Macro + Micro Financials, Legal + Tech at DCarsonCPA #GRLSTEM now. #CFO #CIO #PM #STEM #GRL #GRC #ITGRC</t>
  </si>
  <si>
    <t>"Take a look at the numbers behind Shinzo Abe's landslide victory https://t.co/FSGKoGDhyM https://t.co/f6x3WG9Uob"https://t.co/X2gJSwOzcZ</t>
  </si>
  <si>
    <t>Mr Rafiq Islam Rocky</t>
  </si>
  <si>
    <t>Japan election: Shinzo Abe's-- Excellences victoriously. Election Win --Shinzo Abe's Political forethoughts's Refl… https://t.co/wefInIHMp4</t>
  </si>
  <si>
    <t>Ravishankar H R</t>
  </si>
  <si>
    <t>Japan's Abe may have won election, but many don't want him as PM https://t.co/9DGseSdcLc</t>
  </si>
  <si>
    <t>Gonzalo Barría Pérez</t>
  </si>
  <si>
    <t>Puerto Montt - Santiago, Chile</t>
  </si>
  <si>
    <t>Data Science nerd. Political Science @ucatolica Trabajo en @El_Puclitico, @brkeconomy y @CecipUC. Por siempre de @involucrate_uc</t>
  </si>
  <si>
    <t>Japan's Abe may have won election, but many don't want him as PM https://t.co/uLizIOwd8I</t>
  </si>
  <si>
    <t>Cleveland Martinov</t>
  </si>
  <si>
    <t>"Japan's Abe May Have Won Election, but Many Don't Want Him as PM" by REUTERS via NYT https://t.co/KQJCyufgsg</t>
  </si>
  <si>
    <t>Oxford</t>
  </si>
  <si>
    <t>You know that feeling when you see someone you don't know through a bus window and you think very nice Yes? That's us.</t>
  </si>
  <si>
    <t>Japan's Abe may have won election, but many don't want him as PM #Forex</t>
  </si>
  <si>
    <t>RT @Reuters: Japan's Abe may have won election, but many don't want him as PM https://t.co/uLizIOwd8I</t>
  </si>
  <si>
    <t>#ReutersTopNews 👉 Japan's Abe may have won election, but many don't want him as PM https://t.co/N6mPlf2w44</t>
  </si>
  <si>
    <t>REUTERS: Japan's Abe may have won election, but many don't want him as PM https://t.co/uYZBPhmNbV</t>
  </si>
  <si>
    <t>Bruno J. Navarro</t>
  </si>
  <si>
    <t>Deputy Editor, @RANEnetwork + Dot Connector + Design Buff + Brooklyn Dad | RT ≠ endorsement | alum @CNBC, @WWD, @TODAYshow, @NBCNews, @AP, etc.</t>
  </si>
  <si>
    <t>sootin claimon</t>
  </si>
  <si>
    <t>Two dead as typhoon slams into Japan after election day https://t.co/LDq28hU0DF</t>
  </si>
  <si>
    <t>สุทิน คล้ายมนต์; สอ คล้ายมนต์; SoClaimon; KU23,1963; NCSU,USA,1974; SoilFertilizer; ชมรมดินปุ๋ยบนเว็บ; ศาสตร์เกษตรดินปุ๋ย; ทวีตคร้งแรก 3 กันยายน 2552</t>
  </si>
  <si>
    <t>まりなのだ</t>
  </si>
  <si>
    <t>はぐれメタル/next step ドラム担当/料理垢は @091543737/アメブロ https://t.co/lz40BTelPz</t>
  </si>
  <si>
    <t>Two dead as typhoon slams into Japan after election day https://t.co/LDq28hU0DF https://t.co/H135lLnDGa</t>
  </si>
  <si>
    <t>Obie Trice</t>
  </si>
  <si>
    <t>IT Auditor|Risk Analyst|🇳🇬|</t>
  </si>
  <si>
    <t>高坂流＠一件ずつ処理しよう</t>
  </si>
  <si>
    <t>カネの支配する世界</t>
  </si>
  <si>
    <t>東方・艦これSS書きなど。サークル『妖精時計』の人です。だがこいし。だがこいし。大事な事だから二度言いました。アド：文章しかない渋 ICはむへどるりさんに頂きました @muhedoruri</t>
  </si>
  <si>
    <t>Japan's Abe may have won election, but many don't want him as PM https://t.co/T1uhYZ7wTs (Reuters)</t>
  </si>
  <si>
    <t>Reuters: Japan's Abe may have won election, but many don't want him as PM https://t.co/9ufTFrhNIL</t>
  </si>
  <si>
    <t>Reuters: Japan's Abe may have won election, but many don't want him as PM https://t.co/IydN9CKNDF</t>
  </si>
  <si>
    <t>News Assistant</t>
  </si>
  <si>
    <t>Cali</t>
  </si>
  <si>
    <t>Official twitter account of News Assistant.</t>
  </si>
  <si>
    <t>Japan's Abe may have won election, but many don't want him as PM https://t.co/8nmwPyGvG6 — Reuters Top News (Reuters) October 25, 2017 #…</t>
  </si>
  <si>
    <t>頬杖をついている</t>
  </si>
  <si>
    <t>Running away to get away, Ha ha ha ha！ You're wearing out your shoes . Look at you, fooling you！</t>
  </si>
  <si>
    <t>Cabbages &amp; King Mag.</t>
  </si>
  <si>
    <t>Japan's Abe may have won election, but many don't want him as PM https://t.co/MwHvbes4az</t>
  </si>
  <si>
    <t>CPA. Badiola</t>
  </si>
  <si>
    <t xml:space="preserve">Vancouver </t>
  </si>
  <si>
    <t>Piloto Aviador, traductor, internacionalista y abogado en construcción. Eterno amante de la natación.</t>
  </si>
  <si>
    <t>JonDon</t>
  </si>
  <si>
    <t>Defying gender &amp; sex norms, structural racism, and capitalism since 1992.</t>
  </si>
  <si>
    <t>BOONYISA​ KHORSOOK</t>
  </si>
  <si>
    <t>RT @choonsikyoo: Japan's Abe may have won election, but many don't want him as PM https://t.co/T1uhYZ7wTs (Reuters)</t>
  </si>
  <si>
    <t>ไม่มีอะไรมาทำร้ายเธอ..ถ้าเธอไม่รับมันมาใส่ใจ..ใช่มะ... อดีตคือสิ่งที่ผ่านไปแล้ว.. อนาคตคือสิ่งที่ไม่แน่นอน.. ปัจจุบันนี่แหละ..คือความจริงที่สุด.</t>
  </si>
  <si>
    <t>Daley ✨</t>
  </si>
  <si>
    <t>#TheResistance, By The Way, I'm 27 and I'm deaf. Like Twitter so much as of politics have strong influence on me, I enjoy some good debates. Also I'm gay. ;)</t>
  </si>
  <si>
    <t>Japan's Abe may have won election, but many don't want him as PM - https://t.co/sa2M7HlJIb</t>
  </si>
  <si>
    <t>입동에 핀 차꽃 🕊</t>
  </si>
  <si>
    <t>Seoul. South Korea.</t>
  </si>
  <si>
    <t>주님 말씀 내 길의 빛. 트윗은 나의 작은 일탈. 모두에게 평화 ^^ 모두에게 이로운 세상♡</t>
  </si>
  <si>
    <t>もっちー</t>
  </si>
  <si>
    <t>ユルいものとシュールなものが好きです◇311以降、時事ネタ等もたまに書いてます。 俺メモ：とか検索、食、健康。ヘッダー 東京な風景 六本木アートナイト 六本木ヒルズアリーナ 港区 2017年10月01日撮影</t>
  </si>
  <si>
    <t>Reuters: Japan's Abe may have won election, but many don't want him as PM https://t.co/gRAasaVw8l https://t.co/GEJlSFM6yU</t>
  </si>
  <si>
    <t>あわらさん</t>
  </si>
  <si>
    <t>セラエノ ニンジャ図書館</t>
  </si>
  <si>
    <t>ニンジャ学会投稿者にしては比較的健全かつ正常でありあやしくない/M.Sc(Geophysics)/ServerEngineer/TTRPG/VideoGame/アイコンは幾夜大黒堂先生のキャンペーンに応募して頂いたものです/lang:jp,en</t>
  </si>
  <si>
    <t>Vincit omnia veritas</t>
  </si>
  <si>
    <t>Azurea</t>
  </si>
  <si>
    <t>Carabobo Venezuela</t>
  </si>
  <si>
    <t>Christian van der Dys. Hay una guerra en el mundo: la de los más ricos del planeta contra todos los demás. La vida en la Tierra depende de nuestra victoria.</t>
  </si>
  <si>
    <t>Sivapalani Sivapalan</t>
  </si>
  <si>
    <t>Japan's Abe may have won election, but many don't want him as PM https://t.co/rfhmBIJmtv</t>
  </si>
  <si>
    <t>sk_ut</t>
  </si>
  <si>
    <t>つぶやいたり、つぶやかなかったり 。 クラシック・HR/HM・70年代/80年代/90年代・絵・旅・ギター・駒場/本郷 東京→京都→アテネ→東京 指揮者こそ優れたリーダー。自民だったけどアベさま政治もうムリ。一刻も早い日本の正常化を。両陛下の思い支持。 * 仕事関連はFBで</t>
  </si>
  <si>
    <t>Mister Ibex</t>
  </si>
  <si>
    <t>Japan's Abe may have won election, but many don't want him as PM https://t.co/DEsXZrB9Kl #Business #Markets #News https://t.co/j4DcKzGQ1g</t>
  </si>
  <si>
    <t>Spain</t>
  </si>
  <si>
    <t>Análisis e información de todos los valores del Ibex 35 y del resto de mercados financieros | Ibex | Ibex 35 | Ibex35 | Bolsa | Traders | Trading | Forex | News</t>
  </si>
  <si>
    <t>Manfred Rosenberg</t>
  </si>
  <si>
    <t>Japan's Abe may have won election, but many don't want him as PM https://t.co/Ffyqs3hKMi https://t.co/kMDcIN6qV7</t>
  </si>
  <si>
    <t>Wir sind der ehrlichen Meinung dass die von uns empfohlenen Casinos die absolut besten deutschsprachigen Online Casinos sind!</t>
  </si>
  <si>
    <t>Dave Masters</t>
  </si>
  <si>
    <t>Japan's Abe may have won election, but many don't want him as PM https://t.co/RMC790Ur1H https://t.co/oTFQvZGuVC</t>
  </si>
  <si>
    <t>Commonwealth of Pennsylvania</t>
  </si>
  <si>
    <t>Politics, sports and news. Failure is unimportant. It takes courage to make a fool of yourself. #Uniteblue #MUFC #Yankees #Broncos #liberal #progressive No DM's</t>
  </si>
  <si>
    <t>Curtis</t>
  </si>
  <si>
    <t>Japan's Abe may have won election, but many don't want him as PM https://t.co/JftXQNyE5l Via @Reuters☑️CC #Breaking</t>
  </si>
  <si>
    <t>San Francisco Bay Area, USA</t>
  </si>
  <si>
    <t>#InvestmentStrategist Real Estate Sales covering #California #SFBayArea #NapaValley #SonomaValley #SolanoCounty #MarinCounty #USAFVeteran #SantaClaus #FollowMe</t>
  </si>
  <si>
    <t>Bret Carbone</t>
  </si>
  <si>
    <t>Via @Reuters: Japan's Abe may have won election, but many don't want him as PM https://t.co/wWSYDCwDCo https://t.co/E948P80N6B</t>
  </si>
  <si>
    <t>I tweet about science, technology and climate change.</t>
  </si>
  <si>
    <t>BЯΣƬ</t>
  </si>
  <si>
    <t>Via @Reuters: Japan's Abe may have won election, but many don't want him as PM https://t.co/9hTpE0iekw https://t.co/OTxAtCFTs7</t>
  </si>
  <si>
    <t>Fact Based World</t>
  </si>
  <si>
    <t>#Vet, #Progressive, #Atheist, 🏳️‍🌈. Enjoy politics, 👨🏼‍🔬🔬, 🏋️, 🌯 and 🍪. I'm rude &amp; if you voted for Trump, 🖕🏻! Tweet ≠ Agreement #Resist</t>
  </si>
  <si>
    <t>BK News</t>
  </si>
  <si>
    <t>Japan's Abe may have won election, but many don't want him as PM https://t.co/t2N5SsUnZw #news #usa #trump https://t.co/4X5nV1b7Zk</t>
  </si>
  <si>
    <t>Buffalo, NY</t>
  </si>
  <si>
    <t>Daily_AUS</t>
  </si>
  <si>
    <t>Japan's Abe may have won election, but many don't want him as PM https://t.co/ddSLAfgl1c #news #usa #trump https://t.co/UcHsQOmzbd</t>
  </si>
  <si>
    <t>Daily_WP</t>
  </si>
  <si>
    <t>Japan's Abe may have won election, but many don't want him as PM https://t.co/38kWlD9LDF #news #usa #trump https://t.co/efdRhvmiZb</t>
  </si>
  <si>
    <t>Daily_SFN</t>
  </si>
  <si>
    <t>Japan's Abe may have won election, but many don't want him as PM https://t.co/ZVCXnrV3mL #news #usa #trump https://t.co/0jCv9uAjZG</t>
  </si>
  <si>
    <t>Japan's Abe may have won election, but many don't want him as PM https://t.co/PyDk9KGe3P https://t.co/RGwTHZZJym</t>
  </si>
  <si>
    <t>Daily_KNYT</t>
  </si>
  <si>
    <t>Japan's Abe may have won election, but many don't want him as PM https://t.co/yGhvjik10d #news #usa #trump https://t.co/bq9fd8zD3D</t>
  </si>
  <si>
    <t>Poli_News</t>
  </si>
  <si>
    <t>Japan's Abe may have won election, but many don't want him as PM https://t.co/MWDR19D1pS #news #usa #trump https://t.co/bu0NWQqByw</t>
  </si>
  <si>
    <t>Daily_Politics</t>
  </si>
  <si>
    <t>Japan's Abe may have won election, but many don't want him as PM https://t.co/ReFxKwQt5y #news #usa #trump https://t.co/LPuavFDPPC</t>
  </si>
  <si>
    <t>News usa</t>
  </si>
  <si>
    <t>Daily_ECNN</t>
  </si>
  <si>
    <t>Japan's Abe may have won election, but many don't want him as PM https://t.co/zr0dMXAIf3 #news #usa #trump https://t.co/jNpAbVwBJc</t>
  </si>
  <si>
    <t>JB movie and news</t>
  </si>
  <si>
    <t>Daily_NW</t>
  </si>
  <si>
    <t>Japan's Abe may have won election, but many don't want him as PM https://t.co/mtoXsBL65W #news #usa #trump https://t.co/5HxhyORq2O</t>
  </si>
  <si>
    <t>Usa, politics.</t>
  </si>
  <si>
    <t>Darth Shwa</t>
  </si>
  <si>
    <t>Japan's Abe may have won election, but many don't want him as PM https://t.co/Tg1UhSTw7P #topNews https://t.co/PL5g7d497L</t>
  </si>
  <si>
    <t>Currency Trader</t>
  </si>
  <si>
    <t>Jim Mandel Jr</t>
  </si>
  <si>
    <t>Japan's Abe may have won election, but many don't want him as PM https://t.co/fMy0P1mwB1 https://t.co/xKzYKF07iM</t>
  </si>
  <si>
    <t>The JERICHOMARCH, ushering in a evangelical movement on Washington Mall, we need to turn back to God and prayer, or we will burn in hell...</t>
  </si>
  <si>
    <t>Japan's Abe may have won election, but many don't want him as PM https://t.co/MkOLlFBWtp Reuters</t>
  </si>
  <si>
    <t>xochitl carrasco</t>
  </si>
  <si>
    <t>मनिषा #भारतमाताकी_जय</t>
  </si>
  <si>
    <t>! Mother ! Nation's First ! BJP karyakarta !My Life Best Moment on 28-April-17 Blessing from Honorable Prime Minister @narendramodi Ji Followed!! @manisha_112</t>
  </si>
  <si>
    <t>RT Reuters "Japan's Abe may have won election, but many don't want him as PM https://t.co/rmyR2PhOqh"</t>
  </si>
  <si>
    <t>sinosinosino</t>
  </si>
  <si>
    <t>窮屈なのが嫌いです。</t>
  </si>
  <si>
    <t>simplelife</t>
  </si>
  <si>
    <t>I keep up w/ all news, music, art scene, current events and people, from the Houston area, DC, the DMV, and beyond. 🙂</t>
  </si>
  <si>
    <t>Japan's Abe may have won election, but many don't want him as PM https://t.co/pNN4gDFWYm</t>
  </si>
  <si>
    <t>Japan's Abe may have won election, but many don't want him as PM https://t.co/Ch74OZ9WM5 #SahelNews</t>
  </si>
  <si>
    <t>satyuki@suspended</t>
  </si>
  <si>
    <t>Point of no return</t>
  </si>
  <si>
    <t>私に足りないのは自尊心と競争心と大局観</t>
  </si>
  <si>
    <t>エスポ</t>
  </si>
  <si>
    <t>Osaka , JPN</t>
  </si>
  <si>
    <t>Koichi Kawakami</t>
  </si>
  <si>
    <t>三島　Mishima</t>
  </si>
  <si>
    <t>国立遺伝学研究所・教授。理学博士。Twitterではもっぱら研究以外の交流と情報収集をしています。質問にはできるだけ答えます。研究室facebook：https://t.co/u6b0qnuoR9 研究業績：https://t.co/dztn91FhlN</t>
  </si>
  <si>
    <t>kaorumikeko</t>
  </si>
  <si>
    <t>フォローするも外すもブロックするもご自由にどうぞ。</t>
  </si>
  <si>
    <t>shopall</t>
  </si>
  <si>
    <t>Japan's #Abe may have #Won #Election, but many don't want ... - https://t.co/mAEo3ZSQ5v - #Dont #Japans #News https://t.co/ECAMmMSWSH</t>
  </si>
  <si>
    <t>press-today</t>
  </si>
  <si>
    <t>geanra</t>
  </si>
  <si>
    <t>Japan's #Abe may have #Won #Election, but many don't want ... - https://t.co/8rdu5Zci7k - #Dont #Japans #News https://t.co/Y8I5Qpo8uj</t>
  </si>
  <si>
    <t>fer4</t>
  </si>
  <si>
    <t>TopNyt</t>
  </si>
  <si>
    <t>Japan's Abe may have won election, but many don't want him as PM https://t.co/xEtPgjSFc3 TOKYO (Reuters) - Japan's Prime Minister Shinzo A…</t>
  </si>
  <si>
    <t>Danmark og verden</t>
  </si>
  <si>
    <t>Dagens vigtigste nyheder på dansk og engelsk.</t>
  </si>
  <si>
    <t>BREAKING NEWS</t>
  </si>
  <si>
    <t>Japan's Abe may have won election, but many don't want him as PM https://t.co/AswfDw4vXl</t>
  </si>
  <si>
    <t>Horns Fashion Inc</t>
  </si>
  <si>
    <t>Japan's Abe may have won election, but many don't want him as PM https://t.co/wvLKDqyvi1</t>
  </si>
  <si>
    <t>Japan's Abe may have won election, but many don't want him as PM https://t.co/YUcCaPSXNI</t>
  </si>
  <si>
    <t>Victoria BC Canada</t>
  </si>
  <si>
    <t>Things that interest me: BMW, Cars, Automobile News, World News, Humor, Jokes, Quotes, Music, YouTube, Advertising, Marketing, Social Media Influence, ViSalus</t>
  </si>
  <si>
    <t>Japan's Abe may have won election, but many don't want him as PM https://t.co/gJOSIelR2J</t>
  </si>
  <si>
    <t>Falcon Hamada 🇮🇶</t>
  </si>
  <si>
    <t>Iraq</t>
  </si>
  <si>
    <t>Welcome All This is Official Account of Twitter https://t.co/NEV8mWdgHU… https://t.co/0qUJwhtJom https://t.co/ZjBRbeYOlh Account Me 21+</t>
  </si>
  <si>
    <t>Japan’s Abe may have won election, but many don’t want him as PM https://t.co/fQTjXqOlHh</t>
  </si>
  <si>
    <t>Reuters: Japan's Abe may have won election, but many don't want him as PM https://t.co/88SEWwtYC8</t>
  </si>
  <si>
    <t>Taro</t>
  </si>
  <si>
    <t>ついにツイッター童貞卒業🤗先ずは友達100人目指して頑張るー</t>
  </si>
  <si>
    <t>Japan's Abe may have won election, but many don't want him as PM https://t.co/mYTehLaWlR</t>
  </si>
  <si>
    <t>Jon Stall</t>
  </si>
  <si>
    <t>New: Japan's Abe may have won election, but many don't want him as PM https://t.co/YHTcnGBvvn</t>
  </si>
  <si>
    <t>けん</t>
  </si>
  <si>
    <t>Movie &amp; Music!!</t>
  </si>
  <si>
    <t>安藤☮直樹（ando naoki）</t>
  </si>
  <si>
    <t>資料】Abe After The Election -- What To Do With Power? | All the news you need to know about Japan https://t.co/t79RaAT2CN</t>
  </si>
  <si>
    <t>猫と音楽と民主主義愛好家。CAT/MUSIC/DEMOCRACY/ANTI-FASCISM/NONUKES/VENCEREMOS</t>
  </si>
  <si>
    <t>Java EE Trainers</t>
  </si>
  <si>
    <t>Japan's Abe may have won election, but many don't want him as PM https://t.co/8uCAHxsZQI #blog https://t.co/y5qgZ4qdly</t>
  </si>
  <si>
    <t>US</t>
  </si>
  <si>
    <t>Java &amp; Android Developer &amp; Trainer. Follow me &amp; get the last news, courses &amp; books about Java. Listen music for programming here: https://t.co/NuNODsSHPh</t>
  </si>
  <si>
    <t>Reuters: Japan's Abe may have won election, but many don't want him as PM https://t.co/7kP058CTaQ</t>
  </si>
  <si>
    <t>Japan's Abe may have won election, but many don't want him as PM https://t.co/ltGJoR82kw</t>
  </si>
  <si>
    <t>Japan's Abe may have won election, but many don't want him as PM https://t.co/tlTQ3mdS5m</t>
  </si>
  <si>
    <t>ran iwasawa</t>
  </si>
  <si>
    <t>写真を撮っています。</t>
  </si>
  <si>
    <t>Messages Place</t>
  </si>
  <si>
    <t>#Japan’s Abe may have won election, but many don’t want him as PM #News #news_today https://t.co/3UWobX7DLl</t>
  </si>
  <si>
    <t>https://t.co/vfZNOaX7Kf is a Website for sharing important messages. #message #news</t>
  </si>
  <si>
    <t>Japan's Abe may have won election, but many don't want him as PM https://t.co/58FdIQv430</t>
  </si>
  <si>
    <t>West Info Org</t>
  </si>
  <si>
    <t>Japan's Abe may have won election, but many don't want him as PM https://t.co/J90Gg2vpLF</t>
  </si>
  <si>
    <t>What you do today can improve all your tomorrows.</t>
  </si>
  <si>
    <t>Japan's Abe may have won election, but many don't want him as PM – Asahi Survey https://t.co/49WAdcb9UX #Japan #Politics</t>
  </si>
  <si>
    <t>FXstreetNews "Japan's Abe may have won election, but many don't want him as PM – Asahi Survey https://t.co/iXZtPuhqrb #Japan #Politics" #f…</t>
  </si>
  <si>
    <t>Japan's Abe may have won election, but many don't want him as PM https://t.co/280uwvy5fF</t>
  </si>
  <si>
    <t>Reuters: Japan's Abe may have won election, but many don't want him as PM https://t.co/0H5jBEIblq</t>
  </si>
  <si>
    <t>David داود 席暐倫 Dª≤d</t>
  </si>
  <si>
    <t>Japan's Abe may have won election, but many don't want him as PM https://t.co/IxYNqDpJce</t>
  </si>
  <si>
    <t>Nice guy … Bahá’í … Peace … 👍:🙏💡👫🎶🎹✍️👨‍🎓👨‍🏫💻📱📺🧘‍♂️🏃🚶🥗🌎🚗🇺🇳🇺🇸🛏️📚🛋️</t>
  </si>
  <si>
    <t>Japan's Abe may have won election, but many don't want him as PM https://t.co/eqCjaAOQfM #klout #maga</t>
  </si>
  <si>
    <t>Japan's Abe may have won election, but many don't want him as PM https://t.co/tPzhPMxxwi Reuters</t>
  </si>
  <si>
    <t>karimahnazri</t>
  </si>
  <si>
    <t>Japan's Abe may have won election, but many don't want him as PM#Forex</t>
  </si>
  <si>
    <t>Sankalp Gupta☁️</t>
  </si>
  <si>
    <t>Japan's Abe may have won election, but many don't want him as PM https://t.co/sSFnPsUfok #Reuters</t>
  </si>
  <si>
    <t>Life is not a cuppa tea that you sip it!! #Pune based Solution Architect #LoveDriving #HappyHusband #Gamer</t>
  </si>
  <si>
    <t>SMS</t>
  </si>
  <si>
    <t xml:space="preserve">parallel universe </t>
  </si>
  <si>
    <t>THINK + ACT + EFFORT = SUCCESS</t>
  </si>
  <si>
    <t>Copped News</t>
  </si>
  <si>
    <t>#coppednews #fbcoppednews Japan's Abe may have won election, but many don't want him as PM https://t.co/bM3ENlxxPv</t>
  </si>
  <si>
    <t>Taking the news already reported and spreading to the world.</t>
  </si>
  <si>
    <t>Japan's Abe may have won election, but many don't want him as PM https://t.co/0Knl1jLgYR</t>
  </si>
  <si>
    <t>Reuters: Japan's Abe may have won election, but many don't want him as PM https://t.co/YUyXVIJqdC https://t.co/juVo5Ee3pl</t>
  </si>
  <si>
    <t>Japan's Abe may have won election, but many don't want him as PM https://t.co/bl4GDnAZT1 #Reuters</t>
  </si>
  <si>
    <t>Japan's Abe may have won election, but many don't want him as PM https://t.co/NmJPgnJbCq</t>
  </si>
  <si>
    <t>Reuters: Japan's Abe may have won election, but many don't want him as PM https://t.co/43fuf59PYj</t>
  </si>
  <si>
    <t>MalaysiaUpdate</t>
  </si>
  <si>
    <t>Japan's Abe may have won election, but many don't want him as PM https://t.co/zxDz8T6FII</t>
  </si>
  <si>
    <t>Bandar Kuala Lumpur</t>
  </si>
  <si>
    <t>All about Malaysia Update</t>
  </si>
  <si>
    <t>ㅤ</t>
  </si>
  <si>
    <t>Japan's Abe may have won election, but many don't want him as PM TOKYO (Reuters) - Japan's Prime Minister Shinzo A… https://t.co/BuaMnspiYK</t>
  </si>
  <si>
    <t>★ニュース・最新情報 ２４時間配信中★ 相互フォロー支援アカウント【自動・手動フォロー運用中！】 フォロー返し100％ フォロバ率100％ リフォロー率100% I follow you back.</t>
  </si>
  <si>
    <t>RT Reuters "Japan's Abe may have won election, but many don't want him as PM https://t.co/KTBBSHH27v"</t>
  </si>
  <si>
    <t>REUTERS reports Japan's Abe may have won election, but many don't want him as PM https://t.co/nuKXvOo8St</t>
  </si>
  <si>
    <t>Japan's Abe may have won election, but many don't want him as PM https://t.co/PoTz6TQpOW https://t.co/xbKY7DbqPM</t>
  </si>
  <si>
    <t>CHESTER LAMAR HARRIS</t>
  </si>
  <si>
    <t>6/30/2015- star of Bethlehem happened. I'm back again. I got all the godplays.</t>
  </si>
  <si>
    <t>Japan's Abe may have won election, but many don't want him as PM https://t.co/NxbbrLu3A7</t>
  </si>
  <si>
    <t>WR Media</t>
  </si>
  <si>
    <t>Japan's Abe may have won election, but many don't want him as PM https://t.co/pnCefi8q0c</t>
  </si>
  <si>
    <t>WY_Butler</t>
  </si>
  <si>
    <t>Japan's Abe may have won election, but many don't want him as PM https://t.co/00yaaxzLhN</t>
  </si>
  <si>
    <t>WomenForSurvival</t>
  </si>
  <si>
    <t>RT @ReutersWorld: Japan's Abe may have won election, but many don't want him as PM https://t.co/NmJPgnJbCq</t>
  </si>
  <si>
    <t>WORLD</t>
  </si>
  <si>
    <t>Best in feminist, pro-queer, anti-nuclear, anti-racist, anti-capitalist, and environmental news and activism from around the world &amp; the web. Intersectionality!</t>
  </si>
  <si>
    <t>TNT Info Hub</t>
  </si>
  <si>
    <t>Japan's Abe may have won election, but many don't want him as PM https://t.co/hSxD1Q1TWW</t>
  </si>
  <si>
    <t>Entrepreneur. Passionate coffee aficionado. Music evangelist. Web junkie. Proud travel geek. Alcohol practitioner. Professional communicator. Tv trailblazer.</t>
  </si>
  <si>
    <t>Richard Leong</t>
  </si>
  <si>
    <t>Reuters journalist who covers the economy &amp; markets + food on the side. Co-host weekly #wine &amp; #dine @ReutersGMF with @sippingsister</t>
  </si>
  <si>
    <t>Rich Traders</t>
  </si>
  <si>
    <t>Japan's Abe may have won election, but many don't want him as PM – Asahi Survey https://t.co/gRqXUstj7q #myrichtraders #richtraders #forex…</t>
  </si>
  <si>
    <t>Japan's Abe may have won election, but many don't want him as PM https://t.co/nqGQpsl15M</t>
  </si>
  <si>
    <t>Ross Burland</t>
  </si>
  <si>
    <t>Japan's Abe may have won election, but many don't want him as PM – Asahi Survey https://t.co/gPK4jPA2Ko #Fed https://t.co/4DzaKBkcz3</t>
  </si>
  <si>
    <t>London, England &amp; Guatemala</t>
  </si>
  <si>
    <t>Editor/Analyst at https://t.co/BWwBDbwe5G</t>
  </si>
  <si>
    <t>Cynthia Kaump</t>
  </si>
  <si>
    <t>Japan's Abe may have won election, but many don't want him as PM #RTGWorld</t>
  </si>
  <si>
    <t>Jim Sparks Info</t>
  </si>
  <si>
    <t>Japan's Abe may have won election, but many don't want him as PM https://t.co/o28yRjHwZh</t>
  </si>
  <si>
    <t>Japan's Abe may have won election, but many don't want him as PM https://t.co/BPMc0fBoi2 #Algeria #الجزائر https://t.co/hixf9TGa5P</t>
  </si>
  <si>
    <t>Japan's Abe may have won election, but many don't want him as PM – Asahi Survey https://t.co/pWnRN9j0of #Japan #Politics</t>
  </si>
  <si>
    <t>JCWentzel</t>
  </si>
  <si>
    <t>Forex Warrior</t>
  </si>
  <si>
    <t>Japan's Abe may have won election, but many don't want him as PM – Asahi Survey: According… https://t.co/bAiML1tjaX</t>
  </si>
  <si>
    <t>Forex Warrior | Your most complete twitter central for high quality forex and economy related news feeds in real-time | Many updates! | Currency is our passion!</t>
  </si>
  <si>
    <t>Japan's Abe may have won election, but many don't want him as PM https://t.co/ki0E6LCWMS https://t.co/xd9BrFUJPy</t>
  </si>
  <si>
    <t>RT: @reuters :Japan's Abe may have won election, but many don't want him as PM https://t.co/DGpHvFR3oh</t>
  </si>
  <si>
    <t>Japan's Abe may have won election, but many don't want him as PM: TOKYO (Reuters) - Japan's Prime…… https://t.co/nYqatNAg1f</t>
  </si>
  <si>
    <t>ST. Paul Info</t>
  </si>
  <si>
    <t>Japan's Abe may have won election, but many don't want him as PM https://t.co/rW6Azzum36</t>
  </si>
  <si>
    <t>Tv buff. Zombie fanatic. Beer advocate. Passionate internet geek. Travel lover. Hardcore music nerd. Certified food fanatic. Bacon fan.</t>
  </si>
  <si>
    <t>#world #news Japan's Abe may have won election, but many don't want him as PM https://t.co/3nBcznxXUu @hyperrts… https://t.co/VO8Ys8S6uG</t>
  </si>
  <si>
    <t>Grace</t>
  </si>
  <si>
    <t>🇨🇦🇺🇸 ❤️God First. Is TRUTH fact or fiction? Love 🇮🇱 #MAGA #God1st</t>
  </si>
  <si>
    <t>Japan's Abe may have won election, but many don't want him as PM https://t.co/RHmRgOuCol</t>
  </si>
  <si>
    <t>vacaville</t>
  </si>
  <si>
    <t>Japan's Abe may have won election, but many don't want him as PM – Asahi Survey https://t.co/qhiekSL88l</t>
  </si>
  <si>
    <t>Vacaville CA</t>
  </si>
  <si>
    <t>http://t.co/3tq5j1MG17 http://t.co/xDHqywVfi8, http://t.co/oZ0CV7FuMp , http://t.co/YryE9J6CiI</t>
  </si>
  <si>
    <t>Japan's Abe may have won election, but many don't want him as PM https://t.co/9qUZBxTYvu</t>
  </si>
  <si>
    <t>RT: reuters :Japan's Abe may have won election, but many don't want him as PM https://t.co/sMmWaHGwGM</t>
  </si>
  <si>
    <t>Girish Nair</t>
  </si>
  <si>
    <t>Mumbai, Hindusthan.</t>
  </si>
  <si>
    <t>LETZ DO IT!!!</t>
  </si>
  <si>
    <t>Japan's Abe may have won election, but many don't want him as PM https://t.co/TYFvYgLQhX</t>
  </si>
  <si>
    <t>We Give Latest World Breaking News, Stay Tune Get Updates on Latest News.</t>
  </si>
  <si>
    <t>AFRK News Inc</t>
  </si>
  <si>
    <t>Japan's Abe may have won election, but many don't want him as PM https://t.co/w3RWwFtNiC</t>
  </si>
  <si>
    <t>Japan's Abe may have won election, but many don't want him as PM https://t.co/jnYJWYoBBW</t>
  </si>
  <si>
    <t>White Oak Museum</t>
  </si>
  <si>
    <t>Japan's Abe may have won election, but many don't want him as PM https://t.co/GvUjWg1rCc</t>
  </si>
  <si>
    <t>Proud tv guru. Friendly twitter fan. Troublemaker. Hipster-friendly reader.</t>
  </si>
  <si>
    <t>Japan's Abe may have won election, but many don't want him as PM https://t.co/eOQlVlTPfF</t>
  </si>
  <si>
    <t>Japan's Abe may have won election, but many don't want him as PM https://t.co/L5tg92gRJE</t>
  </si>
  <si>
    <t>Rae Benson</t>
  </si>
  <si>
    <t>Japan's Abe may have won election, but many don't want him as PM https://t.co/JKBLOm7VbV</t>
  </si>
  <si>
    <t>Just a girl who likes to make you happy by doing funky stuff</t>
  </si>
  <si>
    <t>Al Shopping Platform</t>
  </si>
  <si>
    <t>Japan's Abe may have won election, but many don't want him as PM https://t.co/BaHzWW9WQO</t>
  </si>
  <si>
    <t>Prone to fits of apathy. Internet fanatic. Beer nerd. Falls down a lot. Reader. Avid tv aficionado. Evil bacon guru. Award-winning social media buff. Web geek.</t>
  </si>
  <si>
    <t>⚡FOLLOW HELP VIP⚡</t>
  </si>
  <si>
    <t>Turn ON my Notification 🔔</t>
  </si>
  <si>
    <t>Turn my Notification ON 🔔 for daily gain tweets and free followers . #1DDRIVE #TheGainTeam #MEL_LILY #TrapaDrive #MGWV #FollowTrick #FollowBack #F4F</t>
  </si>
  <si>
    <t>Japan's Abe may have won election, but many don't want him as PM https://t.co/wJiSLVbjhx #news</t>
  </si>
  <si>
    <t>Japan's Abe may have won election, but many don't want him as PM: https://t.co/XIPMLkaAf8 - Reuters #Latest</t>
  </si>
  <si>
    <t>【Reuters: World News】Japan's Abe may have won election, but many don't want him as PM: TOKYO (Reuters) - Japan's P… https://t.co/QMaBhpKPB3</t>
  </si>
  <si>
    <t>Japan's Abe may have won election, but many don't want him as PM https://t.co/4sJQqrFS3L via REUTERS</t>
  </si>
  <si>
    <t>Japan's Abe May Have Won Election, but Many Don't Want Him as PM: TOKYO (Reuters) - Japan's… https://t.co/BcCFxKsLpi</t>
  </si>
  <si>
    <t>TOKYO (Reuters) - Japan's Prime Minister Shinzo Abe may have won a major election victory on Sunday, but half the... https://t.co/VIMTny2n79</t>
  </si>
  <si>
    <t>ᴰ̷̢̰̙̭͇ͭ̌ͥ̔͒̕ᶜ̈̌ͦ͂͌̚</t>
  </si>
  <si>
    <t>Japan's Abe may have won election, but many don't want him as PM https://t.co/21fWNYpPZX</t>
  </si>
  <si>
    <t>The National Party must pay the US rapper nearly $0.5m after using his song in a campaign ad.</t>
  </si>
  <si>
    <t>Michael Long</t>
  </si>
  <si>
    <t>Japan's Abe may have won election, but many don't want him as PM https://t.co/qDFqiiSvcS https://t.co/p3YyMR5zgd</t>
  </si>
  <si>
    <t>9 Benua Ltd.</t>
  </si>
  <si>
    <t>👹Tell Me What Are Your Deepest Darkest Desires? 👹</t>
  </si>
  <si>
    <t>Japan's Abe may have won election, but many don't want him as PM https://t.co/OABv0f1pqN</t>
  </si>
  <si>
    <t>Japan's Abe may have won election, but many don't want him as PM https://t.co/ynXAgSbq8F #WorldNews #News https://t.co/o0mFHsCFEo</t>
  </si>
  <si>
    <t>Amir Eslampanah</t>
  </si>
  <si>
    <t>Japan's Abe may have won election, but many don't want him as PM – Asahi ... https://t.co/Z0ZKPvVZKN https://t.co/cGVrUZlxiW</t>
  </si>
  <si>
    <t>24 Year Old Software Developer</t>
  </si>
  <si>
    <t>Luxury Liaisons</t>
  </si>
  <si>
    <t>Japan's Abe may have won election, but many don't want him as PM https://t.co/R2KaYJXEj2 https://t.co/4EPZql4EyV</t>
  </si>
  <si>
    <t>Adult Social Networking for the Discerning</t>
  </si>
  <si>
    <t>Japan's Abe may have won election, but many don't want him as PM https://t.co/umIbzb5ORS #WorldNews #News https://t.co/eNmSvYTcnC</t>
  </si>
  <si>
    <t>Japan's Abe may have won election, but many don't want him as PM https://t.co/abJjwKBodW</t>
  </si>
  <si>
    <t>EXPERTRADERS</t>
  </si>
  <si>
    <t>Japan's Abe may have won election, but many don't want him as PM – Asahi Survey https://t.co/O09CCvetJJ #expertraders #forexcoaching #fore…</t>
  </si>
  <si>
    <t>Kuala Lumpur</t>
  </si>
  <si>
    <t>❈Expertraders Team ❈Forex Trader &amp; Coacher ❈Millionaire To Be ❈Established in 2010 ❈+60148349432 ❝Everything you need is in the candle itself❞</t>
  </si>
  <si>
    <t>Japan's Abe may have won election, but many don't want him as PM https://t.co/yYfD3TDqez</t>
  </si>
  <si>
    <t>CoralNotCoal</t>
  </si>
  <si>
    <t>Great Barrier Reef &amp; Global</t>
  </si>
  <si>
    <t>News, politics, climate change, privacy, remote electromagnetic torture of innocent US and Allied #TargetedIndividuals, and animal welfare and the environment</t>
  </si>
  <si>
    <t>#Japan's Abe may have won election, but many don't want him as PM https://t.co/8tcUx9xzF9</t>
  </si>
  <si>
    <t>Japan News App</t>
  </si>
  <si>
    <t>Latest Japan News in English Today Free #iOS App https://t.co/4bZPKoBLlm #Japan #Tokyo</t>
  </si>
  <si>
    <t>BlackCentaurFX</t>
  </si>
  <si>
    <t>Japan's Abe may have won election, but many don't want him as PM – Asahi Survey https://t.co/4Za5HPFv6k #forex via FXStreet</t>
  </si>
  <si>
    <t>24/7 News Service focused on FOREX market - warning: lots of tweets; also @JacekWierzbicki; Atheist, Libertarian, Humanist</t>
  </si>
  <si>
    <t>Japan's Abe may have won election, but many don't want him as PM https://t.co/uKL6fr1Kx6 ReutersWorld</t>
  </si>
  <si>
    <t>https://t.co/rki7PPm5b5 "Japan's Abe may have won election, but many don't want him as PM – Asahi Survey https://t.co/iuaqdUJMlG #Japan #…</t>
  </si>
  <si>
    <t>DreadHead Dez</t>
  </si>
  <si>
    <t>RT @crewislife: Via @Reuters: Japan's Abe may have won election, but many don't want him as PM https://t.co/9hTpE0iekw https://t.co/OTxAtCF…</t>
  </si>
  <si>
    <t>City of Compton Boy</t>
  </si>
  <si>
    <t>N.W.A ENT |ComptonMoneyGang- ♫ AllMoneyLegal. Dkinney01@gmail.com IG:Cutdachecc</t>
  </si>
  <si>
    <t>FxBook</t>
  </si>
  <si>
    <t>https://t.co/jjYrSX8blW Japan's Abe may have won election, but many don't want him as PM – Asahi Survey</t>
  </si>
  <si>
    <t>FxBookLTTG</t>
  </si>
  <si>
    <t>Estonia</t>
  </si>
  <si>
    <t>Made by traders for traders</t>
  </si>
  <si>
    <t>長留裕平</t>
  </si>
  <si>
    <t>Japan's Abe may have won election, but many don't want him as PM – Asahi Survey https://t.co/GnRpXcRwdw</t>
  </si>
  <si>
    <t>趣味ゲーム,アニメ わさらー団</t>
  </si>
  <si>
    <t>Japan's Abe may have won election, but many don't want him as PM – Asahi Survey https://t.co/K47wjIFFfV #Japan #Politics via FXstreetNews</t>
  </si>
  <si>
    <t>Phwoarx</t>
  </si>
  <si>
    <t>Japan's Abe may have won election, but many don't want him as PM – Asahi Survey https://t.co/5hrH2FfN6z #FX #Trading</t>
  </si>
  <si>
    <t>Sportalaw</t>
  </si>
  <si>
    <t>Japan's Abe may have won election, but many don't want him as PM https://t.co/GHSH9V85ie</t>
  </si>
  <si>
    <t>Attorney&amp;Player’s Agent in USA&amp;Qatar محامي ووكيل لاعبين معتمد بالإتحاد القطري و الامريكي Whatsapp/وتساب 9172926697🇺🇸📞97466867970🇶🇦📞</t>
  </si>
  <si>
    <t>Japan's Abe may have won election, but many don't want him as PM – Asahi Survey https://t.co/b3YqPU9SKO #Forex https://t.co/04eMTitzeb</t>
  </si>
  <si>
    <t>Channel NewsAsia</t>
  </si>
  <si>
    <t>Japan's Abe may have won election, but many don't want him as PM https://t.co/8rFubnBWLw https://t.co/Cg8yZ1p3Zb</t>
  </si>
  <si>
    <t>The official space of Channel NewsAsia - the source of breaking news from Asia and the world. We want to hear from you. Comments and news tips are welcome.</t>
  </si>
  <si>
    <t>NewsInJapan</t>
  </si>
  <si>
    <t>#Japan's Abe may have won election, but many don't want him as PM https://t.co/bzyT1mFdvl #Japan</t>
  </si>
  <si>
    <t>All news related to Japan.</t>
  </si>
  <si>
    <t>Japan's Abe may have won election, but many don't want him as PM https://t.co/SnGC5jLH8z</t>
  </si>
  <si>
    <t>Japan's Abe may have won election, but many don't want him as PM https://t.co/flQ0y5fFtz #NewslyTweet</t>
  </si>
  <si>
    <t>DexterMosul</t>
  </si>
  <si>
    <t>Japan's Abe may have won election, but many don't want him as PM https://t.co/K3Y6qr73dg</t>
  </si>
  <si>
    <t>Digital and Interactive Architect and A.I., Digital analyst/strategist/researcher. Iraqi/Mosuli hates sectarianism and fanaticism.</t>
  </si>
  <si>
    <t>Pure News Network</t>
  </si>
  <si>
    <t>#Breaking #News Japan's Abe may have won election, but many don't want him as PM https://t.co/5TBMVmzWF3 #BreakingNews</t>
  </si>
  <si>
    <t>Follow us for #Breaking #News #World #News #International #News and #Headlines from across the globe | Part of @ESSMediaLLC</t>
  </si>
  <si>
    <t>tara oke</t>
  </si>
  <si>
    <t>名無し元営業写真師</t>
  </si>
  <si>
    <t>寒くなったので籠る所を探し中</t>
  </si>
  <si>
    <t>元営業写真師です。ネッ トでみつけた面白そうなブログ記事のリンクを貼るのを日課にしています。軍事や歴史系にも興味がありますが、知識に関しては素人です。時々海外の軍事関連記事をテキトー翻訳で紹介しています。気が乗った時にスケッチを描いてアップしてます。</t>
  </si>
  <si>
    <t>FFF Info Inc</t>
  </si>
  <si>
    <t>Japan's Abe may have won election, but many don't want him as PM https://t.co/eDnXHPJX2A</t>
  </si>
  <si>
    <t>Coffee guru. Pop culture junkie. Wannabe music fan. Internet specialist. Hardcore food maven. Bacon advocate. Tv fanatic.</t>
  </si>
  <si>
    <t>RT Anon_Eu "Japan's Abe may have won election, but many don't want him as PM https://t.co/XUywQtS2P2 #WorldNews #… https://t.co/YTun1JZ43l"</t>
  </si>
  <si>
    <t>JF H. Tankoua</t>
  </si>
  <si>
    <t>Japan's Abe may have won election, but many don't want him as PM https://t.co/XeaW9DZUJQ via Reuters</t>
  </si>
  <si>
    <t>Part of @LLandLP lawyers team in london AXP EMEA Merchant Risk. Legal agcy PoC Also backin' @LegalActionGrp promoting Equal Access to Justice for disadvantaged</t>
  </si>
  <si>
    <t>Japan's Abe may have won election, but many don't want him as PM https://t.co/iooZqtJ0Cj</t>
  </si>
  <si>
    <t>Shizzle!</t>
  </si>
  <si>
    <t>Japan's Abe may have won election, but many don't want him as PM https://t.co/72ZHoFYmC9</t>
  </si>
  <si>
    <t>East Africa, Tanzania</t>
  </si>
  <si>
    <t>CEO - EM MEDIX ||Medical Health Facilitator 💉💊|| ||Kilwa Masoko - Lindi|| || Erick Shizzle - facebook || Mdogo mdogo 2nafika...!</t>
  </si>
  <si>
    <t>ChannelNewsAsia: Japan's Abe may have won election, but many don't want him as PM https://t.co/nfHmUcFBOg https://t.co/f2jrt695hI</t>
  </si>
  <si>
    <t>متهكر</t>
  </si>
  <si>
    <t>Thaivisa</t>
  </si>
  <si>
    <t>Japan's Abe may have won election, but many don't want him as PM https://t.co/XPbE5wS7sn https://t.co/0Ytt9xzhW0</t>
  </si>
  <si>
    <t>ประเทศไทย</t>
  </si>
  <si>
    <t>Latest news, info and other bits from the most visited English language website in Thailand</t>
  </si>
  <si>
    <t>Onur Sert</t>
  </si>
  <si>
    <t>Japan's Abe may have won election, but many don't want him as PM – Asahi Survey - https://t.co/j26Eai35Ks</t>
  </si>
  <si>
    <t>SpotFXGuru</t>
  </si>
  <si>
    <t>Istanbul, Turkey</t>
  </si>
  <si>
    <t>learning how to fall into inevitable peace from the top of an imaginary windmill.</t>
  </si>
  <si>
    <t>https://t.co/GjMOezHfpC 【 #DonaldTrump election】 I talked about the disadvantages of Japan and the future #トランプ #トランプ当選 #Trump #U #EDM</t>
  </si>
  <si>
    <t>ケイタブラジル™　KTa☆brasil™</t>
  </si>
  <si>
    <t>Tokyo⇔Brasil</t>
  </si>
  <si>
    <t>東京⇔世界各地の音楽xサッカー現場で活動20年越えの日本人打楽器奏者・DJ・MC。10代〜ブラジルで単身活動一線・先駆実績多数。CBF✠リオ市公認。C.R.Vasco da Gama上級会員。Newsweek誌世界が尊敬する日本人100選出。ダンス／ライヴミュージック、ワールド〜ラテン〜ブラジルの一線現場担い手実績。</t>
  </si>
  <si>
    <t>Japan's Abe may have won election, but many don't want him as PM https://t.co/YIv9YGvrAt</t>
  </si>
  <si>
    <t>Japan Abe's election win to boost his hand on pro-growth policies: Fitch https://t.co/fha2TAMjDm</t>
  </si>
  <si>
    <t>Japan's Abe may have won election, but many don't want him as PM https://t.co/e1ecLZwWle #SahelNews</t>
  </si>
  <si>
    <t>Japan Abe's Election Win to Boost His Hand on Pro-Growth Policies-Fitch https://t.co/YSE4vjJ00l</t>
  </si>
  <si>
    <t>#ShinzoAbe may have won election, but many in #Japan don't want him as PM: Poll https://t.co/bq9XAHhqm0 https://t.co/hvOHovssN8</t>
  </si>
  <si>
    <t>RT @georgebkk: Japan's Abe may have won election, but many don't want him as PM https://t.co/XPbE5wS7sn https://t.co/0Ytt9xzhW0</t>
  </si>
  <si>
    <t>ZULEYDI P</t>
  </si>
  <si>
    <t>Japan's Abe may have won election, but many don't want him as PM https://t.co/eOxgYJTQiz https://t.co/ACwxjXnsUq</t>
  </si>
  <si>
    <t>Los Angeles, USA</t>
  </si>
  <si>
    <t>Patience , persistence and effort are the ingredients of success .</t>
  </si>
  <si>
    <t>#Reuters "Japan's Abe may have won election, but many don't want him as PM" https://t.co/bQ2dPQ4wso</t>
  </si>
  <si>
    <t>kristoferkawas</t>
  </si>
  <si>
    <t>TOKYO (Reuters) - Japan's Prime Minister Shinzo Abe may have won a major election victory on Sunday, but half the … https://t.co/joPhekDYF7</t>
  </si>
  <si>
    <t>Charleston, SC</t>
  </si>
  <si>
    <t>I tweet about the IT world's most interesting products Iphone,Sumsung,Microsoft,Cisco I tweet also about what is happening in the USA Europe and M East.</t>
  </si>
  <si>
    <t>Japan's Abe may have won election, but many don't want him as PM https://t.co/kk5npUPGQ3</t>
  </si>
  <si>
    <t>Qui Radio Londra: Japan's Abe may have won election, but many don't want him as PM https://t.co/Ip8W5jw34h</t>
  </si>
  <si>
    <t>#ShinzoAbe may have won election, but many in #Japan don't want him as PM: Poll https://t.co/Hd7ZokhZ8n https://t.co/dzAkTH2Ds8</t>
  </si>
  <si>
    <t>"https://t.co/QOKBMkhNIw"Japan's Abe may have won election, but many don't want him as PM #Ειδήσεις #News #Noticias #Nouvelles #Новостиhtt…</t>
  </si>
  <si>
    <t>choco</t>
  </si>
  <si>
    <t>South Korean leader congratulates Abe on ruling bloc’s poll win as pair vow to keep up pressure on Pyongyang https://t.co/TpP85rNHPd #japan</t>
  </si>
  <si>
    <t>Japan's Abe may have won election, but many don't want him as PM https://t.co/JBAZXjSQLn</t>
  </si>
  <si>
    <t>Henri-Jean BARDON</t>
  </si>
  <si>
    <t>RT @STcom: #ShinzoAbe may have won election, but many in #Japan don't want him as PM: Poll https://t.co/bq9XAHhqm0 https://t.co/hvOHovssN8</t>
  </si>
  <si>
    <t>Memphis, TN</t>
  </si>
  <si>
    <t>Commodity trader with 25+ years experience with a passion for renewables. Recently acquired a 40 Mil Gal biodiesel plant in Helena, AR</t>
  </si>
  <si>
    <t>Bangkok Tourism</t>
  </si>
  <si>
    <t>georgebkk: #travel #Thai #visa Japan's Abe may have won election, but many don't want him as PM … https://t.co/YckRL3wPj9</t>
  </si>
  <si>
    <t>Your guide to #travelling to #Thailand 🇹🇭 #Bangkok #travel #tourism #Thai #flights ✈️ #hotels #holiday #car #rental #booking #traveling 4 #traveler</t>
  </si>
  <si>
    <t>RT @NewzInJapan: #Japan's Abe may have won election, but many don't want him as PM https://t.co/bzyT1mFdvl #Japan</t>
  </si>
  <si>
    <t>(((Kevin Kalmes)))</t>
  </si>
  <si>
    <t>Japan's Abe may have won election, but many don't want him as PM ~ There's a lot of that going around these days.. https://t.co/R3pIJoyOOH</t>
  </si>
  <si>
    <t>#HeroesStandOut #TakeAKnee #DontSaluteEvil #StandYourGround #BLM Only #Trump thinks taking a knee is unpatriotic?</t>
  </si>
  <si>
    <t>파워퍼프 한나</t>
  </si>
  <si>
    <t>RT @FitchRatings: Japan Abe's Election Win to Boost His Hand on Pro-Growth Policies-Fitch https://t.co/YSE4vjJ00l</t>
  </si>
  <si>
    <t>쓰레기가 좋으니까 만화 좀 보다 구하러 올게</t>
  </si>
  <si>
    <t>Shyam Dhulkhed</t>
  </si>
  <si>
    <t>Hamilton, Ontario</t>
  </si>
  <si>
    <t>Mechanical Engineer, Vegetarian, Teetotaler, @Concordia Alumni.</t>
  </si>
  <si>
    <t>Japan's Abe may have won election, but many don't want him as PM – Asahi Survey https://t.co/L5tg92gRJE</t>
  </si>
  <si>
    <t>Philip Shook</t>
  </si>
  <si>
    <t>Japan's Recent Election Exposed A Persistent Problem For The Country https://t.co/c9LIrZyZYc via @newsyvideos</t>
  </si>
  <si>
    <t>I'm a Mac techie who is socially, environmentally and technically aware of issues. I'm an avid bicycler as well as a firm believer in public &amp; mass transit.</t>
  </si>
  <si>
    <t>#JPN PM #Abe is Not as Popular as You Might Think | Bloomberg https://t.co/aOLGBiDbwp #Infographics #Politics… https://t.co/m88dRjMsVL</t>
  </si>
  <si>
    <t>DataScience</t>
  </si>
  <si>
    <t>RT @noikeanolife: #JPN PM #Abe is Not as Popular as You Might Think | Bloomberg https://t.co/aOLGBiDbwp #Infographics #Politics #DataScienc…</t>
  </si>
  <si>
    <t>TwitterReTweet499</t>
  </si>
  <si>
    <t>Welcome to the world of datascience 😎</t>
  </si>
  <si>
    <t>Journey of life 人生の旅</t>
  </si>
  <si>
    <t>Now that what is occurring or an inch ahead I don't know anything. これから何が起きるか一寸先のことは何もわからないです。</t>
  </si>
  <si>
    <t>Japan's Abe may have won election, but many don't want him as PM https://t.co/WbbA0SgVzO</t>
  </si>
  <si>
    <t>Peaceful 蝦夷</t>
  </si>
  <si>
    <t>ロック好きサラリーマン時々農家。ポンコツ。地震予知に興味。反グローバル、反全体主義。自分の為、未来の為にできることをやる。追加被ばくは御免。SL銀河に触発されカメラを始める。OLYMPUS OM-D E-M1･M5MK2。 仙台.東京.奥州</t>
  </si>
  <si>
    <t>FitchRatings "Japan Abe's election win to boost his hand on pro-growth policies: Fitch https://t.co/x5VRnZ9Cn6"</t>
  </si>
  <si>
    <t>FitchRatings "Japan Abe's Election Win to Boost His Hand on Pro-Growth Policies-Fitch https://t.co/c2MX8gx1bH"</t>
  </si>
  <si>
    <t>New post (Japan's Abe may have won election, but many don't want him as PM) has been published on Tradebud ... - - https://t.co/Wqw02PKtJn</t>
  </si>
  <si>
    <t>OriginalTotalNews</t>
  </si>
  <si>
    <t>Japan's Abe may have won election, but many don't want him as PM https://t.co/9SwPXNDjyF https://t.co/bXjMIPEiqO</t>
  </si>
  <si>
    <t>Original web news pioneer. all the news. on the net. all the time.</t>
  </si>
  <si>
    <t>Speciaal voor u</t>
  </si>
  <si>
    <t>NU: Japan's Abe may have won election, but many don't want him as PM https://t.co/eQOpxJwihk https://t.co/JK6gIio4lk</t>
  </si>
  <si>
    <t>Luxemburg</t>
  </si>
  <si>
    <t>Die Reportage, is een medium met als doelstelling je te voorzien van context, door het nieuws in een ander licht en breder te plaatsen. Zie hoe de wereld werkt.</t>
  </si>
  <si>
    <t>Kiran K G</t>
  </si>
  <si>
    <t>Japan's Abe may have won election, but many don't want him as PM https://t.co/CfO9hbGqUB #topnews</t>
  </si>
  <si>
    <t>VOGUE.CO.UK</t>
  </si>
  <si>
    <t>Japan's Abe may have won election, but many don't want him as PM https://t.co/qjAyNTLNEA https://t.co/nzfvsI0nj6</t>
  </si>
  <si>
    <t>Japan's Abe may have won #Election, but many don't want him as PM https://t.co/eLJ0J1Y7d5 #dont #Japans</t>
  </si>
  <si>
    <t>Carlyle &amp; Day</t>
  </si>
  <si>
    <t>Japan’s Abe may have won election, but many don’t want him as PM – Asahi Survey https://t.co/oU009auQcZ</t>
  </si>
  <si>
    <t>The FREE https://t.co/lpIEfANiUs Professional Forex Signal Alert System Is Now Open To Subscribers Again. Forex seminars in Malta and UK.</t>
  </si>
  <si>
    <t>Forex Signals</t>
  </si>
  <si>
    <t>Japan’s Abe may have won election, but many don’t want him as PM – Asahi Survey https://t.co/6rtg2rybsG</t>
  </si>
  <si>
    <t>Automated forex strategies for solid #Forex returns @WhyLose for free. Get a $30 no Deposit Bonus Now at https://t.co/ABGzqrx5as.</t>
  </si>
  <si>
    <t>WNN7.com</t>
  </si>
  <si>
    <t>Japan’s Abe may have won election, but many don’t want him as PM https://t.co/qxVCPrpuBn #WNN7Com #WNN7 October 25, 2017 at 08:42AM</t>
  </si>
  <si>
    <t>World News Nuggets</t>
  </si>
  <si>
    <t>ahlam1399</t>
  </si>
  <si>
    <t>Japan’s Abe may have won election, but many don’t want him as PM https://t.co/lJWgF8xAvg</t>
  </si>
  <si>
    <t>عاشق الليالي</t>
  </si>
  <si>
    <t>Social Media Info</t>
  </si>
  <si>
    <t>Japan's Abe may have won election, but many don't want him as PM https://t.co/WoyAs9vHO6</t>
  </si>
  <si>
    <t>Social Media Hub is one of the fastest growing social media news and information networks on the web. #smhub</t>
  </si>
  <si>
    <t>#Israel #Reuters #NEWS broadcast by #EMET_NEWS_PRESS: Japan's Abe may have won election, but many don't want h... https://t.co/K3fZskJk1g</t>
  </si>
  <si>
    <t>Update Japan's Abe may have won election, but many don't want him as PM https://t.co/E8x4Kg2EIW</t>
  </si>
  <si>
    <t>Now Lifestyle</t>
  </si>
  <si>
    <t>Japan's Abe may have won election, but many don't want him as PM https://t.co/J73iqNH1t7</t>
  </si>
  <si>
    <t>The Vaunt Group</t>
  </si>
  <si>
    <t>Japan's Abe may have won election, but many don't want him as PM https://t.co/jEIpo5rgsy</t>
  </si>
  <si>
    <t>Where The Client Is.</t>
  </si>
  <si>
    <t>Social Media. PR. Marketing. Response-based Campaigns. Connecting Clients With People.</t>
  </si>
  <si>
    <t>Inside Social Media</t>
  </si>
  <si>
    <t>Japan's Abe may have won election, but many don't want him as PM https://t.co/HEG8AI24QI</t>
  </si>
  <si>
    <t>With over a million followers Social Media Hub brings you the inside information from the most interesting accounts and the top social media influencers</t>
  </si>
  <si>
    <t>RJ_Wealth_Ltd - Rich</t>
  </si>
  <si>
    <t>Japan's Abe may have won election, but many don't want him as PM https://t.co/ohAQnzEFDT</t>
  </si>
  <si>
    <t>ÜT: 51.4252334,0.8161731</t>
  </si>
  <si>
    <t>Business Owner. Entrepreneur. Avid Golfer. Spurs Fan. Husband. Dad. Gin Lover. Director of this leading London &amp; Essex based company on their road to greatness</t>
  </si>
  <si>
    <t>Japan's Abe may have won election, but many don't want him as PM - Reuters https://t.co/9J3Ac7IgEw</t>
  </si>
  <si>
    <t>Shinzo Abe may have won election, but many in Japan don't want him as PM: Poll https://t.co/0aUsdFwJ6x</t>
  </si>
  <si>
    <t>田中宝紀－IKI TANAKA</t>
  </si>
  <si>
    <t>RT @Globalines: #Japan #Diversity #ProblemSolving "We need to face the reality that Japan cannot go on without foreigners" https://t.co/TO…</t>
  </si>
  <si>
    <t>NPO法人青少年自立援助センター定住外国人子弟支援事業部責任者。外国にルーツを持つ子どもと若者の学習と就労を支援。（https://t.co/b3jdcGMEhb) Yahoo!ニュース個人オーサー。 2児の母。愛夫家。ベース。ギター。レフティ。ビサヤ語。日本生まれ日本育ち日本国籍の在日3世。</t>
  </si>
  <si>
    <t>Japan's Abe may have won election, but many don't want him as PM https://t.co/5E4QVu4Ode #NLU</t>
  </si>
  <si>
    <t>Japan's Abe may have won election, but many don't want him as PM https://t.co/VkxawKeNGv #NLU</t>
  </si>
  <si>
    <t>Martin Spivey</t>
  </si>
  <si>
    <t>Conservativlibrarian</t>
  </si>
  <si>
    <t>Japan's Abe may have won election, but many don't want him as PM https://t.co/9le5jSYjPn</t>
  </si>
  <si>
    <t>Christian. Conservative. Librarian on the Right. Proud 🇺🇸 American. Lover ❤️ of Israel 🇮🇱 #MAGA #ProudDeplorable</t>
  </si>
  <si>
    <t>Breaking News Forex</t>
  </si>
  <si>
    <t>Japan’s Abe may have won election, but many don’t want him as PM – Asahi Survey https://t.co/9ibRu5WZER #Forex #News #BreakingNews</t>
  </si>
  <si>
    <t>Real-time #Forex news from major sources - Breaking news with us!</t>
  </si>
  <si>
    <t>上网</t>
  </si>
  <si>
    <t>Japan's Abe may have won election, but many don't want him as PM https://t.co/4vqjU1SRg9 #world</t>
  </si>
  <si>
    <t>Georgia Boy</t>
  </si>
  <si>
    <t>Coastal Georgia, USA  (Come See Us!)</t>
  </si>
  <si>
    <t>mind.body.float</t>
  </si>
  <si>
    <t>RT @alt_media_today: #world #news Japan's Abe may have won election, but many don't want him as PM https://t.co/3nBcznxXUu @hyperrts #Stop…</t>
  </si>
  <si>
    <t>ease your mind. heal your body. enjoy your float.</t>
  </si>
  <si>
    <t>Malaysian Daily News</t>
  </si>
  <si>
    <t>#worldNews Japan's Abe may have won election, but many don't want him as PM https://t.co/3z6DCPooZh</t>
  </si>
  <si>
    <t>Tweets of ur daily news from local newspaper.Malay &amp; english.Update each hour.Berita Harian,Metro,The Star,Harakah,Mkini etc DETAIL STORY IN LINK IN TWEET</t>
  </si>
  <si>
    <t>Mexico News Robot</t>
  </si>
  <si>
    <t>TOKYO (Reuters) - Japan's Prime Minister Shinzo Abe may have won a major election victory on Sunday, but half… https://t.co/FZiA91rmlX #FB</t>
  </si>
  <si>
    <t>MusicDownloadBlog</t>
  </si>
  <si>
    <t>Japan’s Abe may have won election, but many don’t want him as PM https://t.co/aPkbtLrhOC</t>
  </si>
  <si>
    <t>Listen to Online Music and Download Free Music here</t>
  </si>
  <si>
    <t>Wetinhappen Magazine</t>
  </si>
  <si>
    <t>Japan’s Abe may have won election, but many don’t want him as PM https://t.co/gNb3QN1Ai2</t>
  </si>
  <si>
    <t>https://t.co/CGqDSgq0Sa is the most-visited website in #AkwaIbom. Visit now for 24/7 Live News, Updates and Facts from Nigeria and the world!#</t>
  </si>
  <si>
    <t>AkwaIbom Rising</t>
  </si>
  <si>
    <t>Japan’s Abe may have won election, but many don’t want him as PM https://t.co/yLrsPu74BD</t>
  </si>
  <si>
    <t>#TheCon10nt</t>
  </si>
  <si>
    <t>Japan’s Abe may have won election, but many don’t want him as PM https://t.co/IEqHvmQgRT</t>
  </si>
  <si>
    <t>An independent digital marketing agency that offers Corporate Online Communication, Online PR, e-Marketing Services and e-Strategy.</t>
  </si>
  <si>
    <t>Japan's Abe may have won election, but many don't want him as PM https://t.co/JeLAsWUTEZ #world</t>
  </si>
  <si>
    <t>toripy （Evil to LDP）</t>
  </si>
  <si>
    <t>Japan's Abe may have won election, but many don't want him as PM https://t.co/UsW5Dg7EMo</t>
  </si>
  <si>
    <t>TOKYO,Japan</t>
  </si>
  <si>
    <t>憲法改悪、原発、戦争、米軍、日の丸・君が代強制、死刑制度、新自由主義、TPP、消費税、まとめて反対。 打倒！自民＆公明＆おおさか維新。 車好き。 海外で配信される日本のニュースを呟くことが多いですが、翻訳はできません。 たまに浮世離れします。</t>
  </si>
  <si>
    <t>P. M of Japan --Popularly Liberal Democrat leader Shinzo Abe- Election" excellences victoriously." Highest… https://t.co/CQZ70JIf0j</t>
  </si>
  <si>
    <t>Reuters Top News: Japan’s Abe may have won election, but many don’t want him as PM https://t.co/ImwppoMiJ8… https://t.co/lH1M9jlNtQ</t>
  </si>
  <si>
    <t>市民⚪️ケイン⚫️</t>
  </si>
  <si>
    <t>RT @motokorich: "Abe didn’t so much win it as the opposition just was totally unprepared" https://t.co/WSeKs6jaOZ</t>
  </si>
  <si>
    <t>Sizuoka Pref., JAPAN</t>
  </si>
  <si>
    <t>昭和生まれの純日本人のオバハンです。大和民族として日本に生を受け日本人として育った『普通の市民』(⬅︎ここポイントね😉)です。右翼、極右とは無縁ですが、ネトウヨ呼ばわり大いに結構。二千六百年以上続く日本の國體を護持したいだけです。あとミネカイズカ著の「雪は湿っていた」「夜の花ざかりまたは小説」が好き。</t>
  </si>
  <si>
    <t>Japan's Abe may have won election, but many don't want him as PM</t>
  </si>
  <si>
    <t>malaysiakini.com</t>
  </si>
  <si>
    <t>Japan's Abe may have won election, but many don't want him as PM https://t.co/0EYSCMunGa https://t.co/kfI0FeUnbo</t>
  </si>
  <si>
    <t>Malaysiakini is an award-winning independent news provider. The editorial is built on fast, accurate and independent news, well-informed and diverse views.</t>
  </si>
  <si>
    <t>Malaysia News</t>
  </si>
  <si>
    <t>MalaysiaKini - "Japan's Abe may have won election, but many don't want him as PM" https://t.co/ICcLwhr3VL - 47 percent of respondents fro…</t>
  </si>
  <si>
    <t>Malaysia News on Twitter and not affiliated with any government</t>
  </si>
  <si>
    <t>Avenue N</t>
  </si>
  <si>
    <t>EXO-L BABY HOTTEST MYgirl ARMY SHU-eyes E.L.F LOVE RENT les Miserables AvenueQ In the Heights Wicked Jekyll and Hyde</t>
  </si>
  <si>
    <t>Japan's Abe may have won election, but many don't want him as PM https://t.co/7k4RC1n20y https://t.co/FNyfXchWg5</t>
  </si>
  <si>
    <t>@ChannelNewsAsia @globaltimesnews @YonhapNews After winning this election, Abe will arm Japan to the teeth. Neighbors beware.</t>
  </si>
  <si>
    <t>Japan's Abe may have won election, but many don't want him as PM https://t.co/hxTMRPDAtb #worldnews</t>
  </si>
  <si>
    <t>Santosh Ghimire</t>
  </si>
  <si>
    <t>Foreign Affairs Correspondent, Annapurna Post Daily.(Past: Republica, Nayapatrika and Nepal Samacharpatra ).Links/RTs are not endorsements. Tweets are personal.</t>
  </si>
  <si>
    <t>kasamypapa</t>
  </si>
  <si>
    <t>東京銀座で仕事、埼玉在住</t>
  </si>
  <si>
    <t>酒をこよなく愛し、今は自家醸造（ドブロク、ビール、ワイン、日本酒等々）にハマってる三人娘の父(プラス雌ネコ2匹と妻一人。アイコンは長女）。他に天然酵母パンを焼いたり、味噌仕込んだり…。主に家飲み、長火鉢に銅壺で燗酒！</t>
  </si>
  <si>
    <t>Happypiyush73</t>
  </si>
  <si>
    <t>Core HR person with over 23 years of experience. In Core HR stream, total 16 years.....</t>
  </si>
  <si>
    <t>Berry</t>
  </si>
  <si>
    <t>care deeply, connect playfully, love intensely, and share generously.</t>
  </si>
  <si>
    <t>Ishan Tewari</t>
  </si>
  <si>
    <t>Lawyer based in New Delhi. BJP Member. Interested in Global and Strategic Affairs/International Relations. My idols @husainhaqqani and @fispahani</t>
  </si>
  <si>
    <t>Nigel Aw</t>
  </si>
  <si>
    <t>Japan's Abe may have won election, but many don't want him as PM https://t.co/HFRRVfTi3s</t>
  </si>
  <si>
    <t>Journalist with Malaysiakini. All views are my own. What happens in Twitterjaya stays in Twitterjaya.</t>
  </si>
  <si>
    <t>HOMEBASE TV</t>
  </si>
  <si>
    <t>Japan’s Abe may have won election, but many don’t want him as PM https://t.co/gB738nmvFd</t>
  </si>
  <si>
    <t>Kokomlemle</t>
  </si>
  <si>
    <t>A digital TV channel broadcasting from Ghana.</t>
  </si>
  <si>
    <t>Japan's Abe may have won election, but many don't want him as PM - https://t.co/DZUThegZpz https://t.co/4TQD8oJAfO</t>
  </si>
  <si>
    <t>Frozen Pension</t>
  </si>
  <si>
    <t>Japan's Abe may have won election, but many don't want him as PM https://t.co/UYyYwMICCG</t>
  </si>
  <si>
    <t>Our aim when we set up was to help people like you track down their frozen pensions with the greatest of ease.</t>
  </si>
  <si>
    <t>なんでも　かんでも</t>
  </si>
  <si>
    <t>徳島県</t>
  </si>
  <si>
    <t>Mayur Prabhu</t>
  </si>
  <si>
    <t>A loner to the core, practical, anxious, curious, impulsive but rooted...and believes RIGHT resurgence to kick out whats LEFT</t>
  </si>
  <si>
    <t>Victoria Taylor</t>
  </si>
  <si>
    <t>What Japan’s Election Outcome Means for the U.S., East Asia https://t.co/GyZZr1c3Mv via @Heritage</t>
  </si>
  <si>
    <t>Copywriter, Christian Science Lay Minister for USMC, Heritage Action Sentinel, conservative, mother (views my own)</t>
  </si>
  <si>
    <t>しるさーる</t>
  </si>
  <si>
    <t>What now for Japan after Abe's landslide election victory? https://t.co/3dHYxqk8Sd</t>
  </si>
  <si>
    <t>hot man</t>
  </si>
  <si>
    <t>Japan's Abe may have won election, but many don't want him as PM https://t.co/G1YO0FrvTl</t>
  </si>
  <si>
    <t>Japan's Abe may have won election, but many don't want him as PM https://t.co/Zl19HNzh2Q</t>
  </si>
  <si>
    <t>MICHAEL D. MAY</t>
  </si>
  <si>
    <t>#Reuters #Business #Science #Learn #Know #Tech #Geek #SWFL #Home #Money #Forex #MichaelDMay #World Japan's Abe ... https://t.co/Xv3Me9H8lF</t>
  </si>
  <si>
    <t>Estero Island, Florida</t>
  </si>
  <si>
    <t>We can't drive the vehicle of Life by looking in the rear view mirror.</t>
  </si>
  <si>
    <t>#FOREX #Follow #FX #RT #News| Japan's Abe may have won election, but many don't want him as PM – Asahi ... https://t.co/TWpM0Jxb7w</t>
  </si>
  <si>
    <t>عادل علي المالكي</t>
  </si>
  <si>
    <t>#news by #almalki: Japan's Abe may have won election, but many don't want him as PM https://t.co/3ip0POgESR</t>
  </si>
  <si>
    <t>Doha, Qatar الدوحة - قــطــر</t>
  </si>
  <si>
    <t>عادل علي محمد حسن المالكي , قطري أعمل في مجال نظم المعلومات و النظم الماليه , اهتماماتي تتنوع بين الاخبار الاقتصادية والتكنلوجية , أغرد عن مواضيع متنوعة .</t>
  </si>
  <si>
    <t>New post: "Japan's Abe may have won election, but many don't want him as PM" https://t.co/wSqXSYEsWz</t>
  </si>
  <si>
    <t>Japan's Abe may have won election, but many don't want him as PM https://t.co/70eGsaT1b3</t>
  </si>
  <si>
    <t>Japan's Abe may have won election, but many don't want him as PM https://t.co/7BVIgdGwPf</t>
  </si>
  <si>
    <t>Melany Osman</t>
  </si>
  <si>
    <t>Japan's Abe may have won election, but many don't want him as PM https://t.co/RFtQN4AFEQ https://t.co/ZSX6EZbakA</t>
  </si>
  <si>
    <t>Freelancer / Media Social manager / Bloggler / Fitness Girl - I will post news of politics across the world! #FollowMe</t>
  </si>
  <si>
    <t>Japan's Abe may have won election, but many don't want him as PM https://t.co/jepxNGpQCs</t>
  </si>
  <si>
    <t>Japan's Abe may have won election, but many don't want him as PM https://t.co/5nlMWBWBks Via @Reuters #worldnews</t>
  </si>
  <si>
    <t>Japan's Abe may have won election, but many don't want him as PM # https://t.co/Fri9uv4oVP</t>
  </si>
  <si>
    <t>Japan's Abe may have won election, but many don't want him as PM # https://t.co/KRhovvoe5H</t>
  </si>
  <si>
    <t>Majid Jowhari</t>
  </si>
  <si>
    <t>Member of Parliament for Richmond Hill. Husband.Father of 2. Schulich MBA. Industrial Engineer Degree. Majid.Jowhari@parl.gc.ca</t>
  </si>
  <si>
    <t>Japan's Abe may have won election, but many don't want him as PM https://t.co/MOkMQkrMVK</t>
  </si>
  <si>
    <t>Nancy</t>
  </si>
  <si>
    <t>RT @LSUJEFF: Japan Election Vindicates Shinzo Abe as His Party Wins Big https://t.co/0lHwhWt1lq</t>
  </si>
  <si>
    <t>Peoria,illinois</t>
  </si>
  <si>
    <t>I belong to The Lord Christ Jesus,bought with Blood. Looking for the Light to overcome the Darkness! #MAGA Find TRUTH &amp; never let it go.</t>
  </si>
  <si>
    <t>Sylvia Evelyn</t>
  </si>
  <si>
    <t>Japan: PM Abe to Challenge Pacifist Constitution After Election Victory https://t.co/2JatlZjR2f via @democracynow</t>
  </si>
  <si>
    <t xml:space="preserve"> Argentina</t>
  </si>
  <si>
    <t>Poet, writer, nature lover. Save our Planet! Love my cat &amp; all animals, Philosophy, Journalism, Literature. Poeta, naturista, Filósofa, Periodista.</t>
  </si>
  <si>
    <t>kazukazu88</t>
  </si>
  <si>
    <t>エキセントリックなポストモダン新左翼ラディカル・フェミニスト・クィア</t>
  </si>
  <si>
    <t>Cainsystem/うえぽん</t>
  </si>
  <si>
    <t>Saitama,Japan</t>
  </si>
  <si>
    <t>Caisystem is my FB account. SoundCloud; https://t.co/Q9df271KRG</t>
  </si>
  <si>
    <t>リン | ♡5つの星★</t>
  </si>
  <si>
    <t>RT @ChannelNewsAsia: Japan's Abe may have won election, but many don't want him as PM https://t.co/8rFubnBWLw https://t.co/Cg8yZ1p3Zb</t>
  </si>
  <si>
    <t xml:space="preserve">シンガポール </t>
  </si>
  <si>
    <t>Multifandoms | mostly RT | 森の草木と稲の香の中にいる★</t>
  </si>
  <si>
    <t>Helen Dalley</t>
  </si>
  <si>
    <t>Join me on @SkyBusiness at 3pm- everything u need know abt Abenomics, post-election win in #japan fr @MorphicFunds Jack Lowenstein #ausbiz</t>
  </si>
  <si>
    <t>Sydney, Aus</t>
  </si>
  <si>
    <t>Sky News host The Latest (Friday6pm) @SkyNewsAust; TradingDay &amp; The Dalley View, (3-4pmMon-Thurs) @SkyBusiness; CerebralPalsy Res Gov; Patron Osteoporosis Aust</t>
  </si>
  <si>
    <t>Sky News Business</t>
  </si>
  <si>
    <t>RT @helen_dalley: Join me on @SkyBusiness at 3pm- everything u need know abt Abenomics, post-election win in #japan fr @MorphicFunds Jack L…</t>
  </si>
  <si>
    <t>GroupTweet</t>
  </si>
  <si>
    <t>@SkyBusiness is Australia's only 24hr business channel, Ch 602 on @Foxtel. Tune in for the latest corporate news, market moves and financial analysis.</t>
  </si>
  <si>
    <t>Join me on SkyBusiness at 3pm- everything u need know abt Abenomics, post-election win in #japan fr MorphicFunds Jack Lowenstein #ausbiz —…</t>
  </si>
  <si>
    <t>Madison</t>
  </si>
  <si>
    <t>RT @Adel__Almalki: #news by #almalki: Japan's Abe may have won election, but many don't want him as PM https://t.co/3ip0POgESR</t>
  </si>
  <si>
    <t>Cushing, Oklahoma</t>
  </si>
  <si>
    <t>So its gonna be forever, or its gonna go down in flames.</t>
  </si>
  <si>
    <t>新居宏之</t>
  </si>
  <si>
    <t>ここではないどこか、あるいは、心ここにあらず</t>
  </si>
  <si>
    <t>モータースポーツとミリタリー、あとは（ほぼ20世紀の)ロックと漫画。その合間に仕事をしております。なお、RTしたツィートについては、必ずしもその内容に賛同しているわけではないことをここで申し上げておきます。念のため。</t>
  </si>
  <si>
    <t>juanluis</t>
  </si>
  <si>
    <t>Llanos</t>
  </si>
  <si>
    <t>The Edge Markets</t>
  </si>
  <si>
    <t>Japan's Abe may have won election, but many don't want him as PM - The Edge Markets https://t.co/hGIDUK6y9o</t>
  </si>
  <si>
    <t>ProdTheEdgeMarketsFeedAPI</t>
  </si>
  <si>
    <t>South East Asia</t>
  </si>
  <si>
    <t>http://t.co/0CeNjcmC5h - Make better decisions with the latest news, data and financial analytics for FREE</t>
  </si>
  <si>
    <t>Giany / ジャンニ</t>
  </si>
  <si>
    <t>ＹＨＶＨ's Throne (also NYC)</t>
  </si>
  <si>
    <t>I like Japanese video games &amp; Boobs. Must keep improving. Gonna try &amp; write blog posts moreすーぱーそに子が大好き。 少し日本語ＯＫ！ＡＶを見ます。日本の女性に会いたい Switch FC: 6589-9036-9493</t>
  </si>
  <si>
    <t>Minoru H.</t>
  </si>
  <si>
    <t>東京 馬喰町あたり</t>
  </si>
  <si>
    <t>映画を観たり、FC東京を応援したり、音楽を聴いたり。北関東あたりをぶらぶら歩きながら、フィルム写真を撮るのもいいなぁ。左投げ右打ち。</t>
  </si>
  <si>
    <t>2017 Lower House Election / Abe begins work on 4th Cabinet - https://t.co/cnhj8WfnQu</t>
  </si>
  <si>
    <t>KingSpiderable</t>
  </si>
  <si>
    <t>Everybody waited still.</t>
  </si>
  <si>
    <t>Social Media CMS</t>
  </si>
  <si>
    <t>Japan's Abe may have won election, but many don't want him as PM https://t.co/UaDI8rs7UU</t>
  </si>
  <si>
    <t>A bright and colorful CMS web platform that presents Social Media in exciting new ways. #SMHub</t>
  </si>
  <si>
    <t>Japan's Abe may have won election, but many don't want him as PM https://t.co/5SrpLWgMX6</t>
  </si>
  <si>
    <t>Abhishek Aditya</t>
  </si>
  <si>
    <t>#abhishek_Aditya Japan's Abe may have won election, but many don't want him as PM https://t.co/HCpz0SQB9Q</t>
  </si>
  <si>
    <t>Digital Media Strategist, Optimist, Believes in trying till the last drop.</t>
  </si>
  <si>
    <t>Meaningful Nonsense</t>
  </si>
  <si>
    <t>Death is the destination we all share. No one has ever escaped it. Time is limited so don't waste it. Follow your heart, dream and ambitions</t>
  </si>
  <si>
    <t>Japan's Abe may have won election, but many don't want him as PM | Article [AMP] | Reuters https://t.co/UhPy0yE9jP</t>
  </si>
  <si>
    <t>#Reuters Japan's Abe may have won election, but many don't want him as PM: TOKYO (Reuters… https://t.co/TaGmjMO2ah</t>
  </si>
  <si>
    <t>Catalina Lopez</t>
  </si>
  <si>
    <t>Huntington, NY</t>
  </si>
  <si>
    <t>Perspective is everything.</t>
  </si>
  <si>
    <t>Crusader Journal</t>
  </si>
  <si>
    <t>Japan’s Abe may have won election, but many don’t want him as PM https://t.co/YPyongLs40 https://t.co/EgYPUIvNJu</t>
  </si>
  <si>
    <t>News Website</t>
  </si>
  <si>
    <t>Unlimited Hosting</t>
  </si>
  <si>
    <t>Polls open in Japan's snap general election https://t.co/UQygUTaky8</t>
  </si>
  <si>
    <t>Kalimantan Barat, Indonesia</t>
  </si>
  <si>
    <t>Unlimited Hosting Club provides best and cheap web hosting plans with price starts from $1 without additional Fees. Also, we provide the cheapest VPN and server</t>
  </si>
  <si>
    <t>Y.Komatsu</t>
  </si>
  <si>
    <t>ローカライズエンジニア/翻訳者。翻訳と多様性を愛し、差別を憎む。</t>
  </si>
  <si>
    <t>Harshil n Joshi</t>
  </si>
  <si>
    <t>Studing MCA from LJ ICA (GTU). Part time faculty at TCIL IT (GOVT. OF INDIA ENTP.)</t>
  </si>
  <si>
    <t>OneNewsPage UK</t>
  </si>
  <si>
    <t>Japan's Abe may have won election, but many don't want him as PM: TOKYO (Reuters) - Japan's Prime Minister Shinzo.. https://t.co/mKmIT5PlEL</t>
  </si>
  <si>
    <t>One News Page (United Kingdom)</t>
  </si>
  <si>
    <t>Brighton, England</t>
  </si>
  <si>
    <t>Latest news headlines in the UK</t>
  </si>
  <si>
    <t>#Reuters Japan's Abe may have won election, but many don't want him as PM: TOKYO (Reuters… https://t.co/wJdfINEUTr</t>
  </si>
  <si>
    <t>McdonnellDouglas</t>
  </si>
  <si>
    <t>Likes: Futures options trading ( NY mercantile, COMEX, CME, CBOE ), Running, Airplane</t>
  </si>
  <si>
    <t>Japan's Abe may have won election, but many don't want him as PM https://t.co/5tAvDmHItE Via @Reuters #topnews</t>
  </si>
  <si>
    <t>Prem Kumar</t>
  </si>
  <si>
    <t>Media Prabhari at Bharatiya Janta Party.</t>
  </si>
  <si>
    <t>Tom Looby</t>
  </si>
  <si>
    <t>Japan's Abe may have won election, but many don't want him as PM https://t.co/snXClGSXwR</t>
  </si>
  <si>
    <t>Peabody, MA</t>
  </si>
  <si>
    <t>Ogdensburg-Syracuse-Tucson-Bainbridge-Roswell-Canton-Albuquerque-Schenectady/husband,father,grandfather,brother,uncle, Engineer, Runner. RT's not endorsements.</t>
  </si>
  <si>
    <t>MOFA of Nepal 🇳🇵</t>
  </si>
  <si>
    <t>Singha Durbar, Kathmandu</t>
  </si>
  <si>
    <t>Welcome to the Official Twitter account of the Ministry of Foreign Affairs, Government of Nepal.</t>
  </si>
  <si>
    <t>Japan's Abe may have won election, but many don't want him as PM https://t.co/leg4DZFL9d</t>
  </si>
  <si>
    <t>FitChimp</t>
  </si>
  <si>
    <t>Austin,TX</t>
  </si>
  <si>
    <t>Reinventing fitness in the workplace. #MicroWorkouts #FitWorkDay</t>
  </si>
  <si>
    <t>吉岡 豊</t>
  </si>
  <si>
    <t>Kobe City, Japan</t>
  </si>
  <si>
    <t>ピストルアイコンかわいい。あ、アイコン変えちゃったか。めっちゃいじったCR-Zに乗っています。あとtrickerとvino。いくつ尻があるんだ？</t>
  </si>
  <si>
    <t>Machine Learning</t>
  </si>
  <si>
    <t>Machine Learning Digest</t>
  </si>
  <si>
    <t>The Earth</t>
  </si>
  <si>
    <t>Machine Learning Digest. Powered by https://t.co/rHlyfdPfTj</t>
  </si>
  <si>
    <t>Japan's Abe may have won election, but many don't want him as PM https://t.co/CS9sfZFW9L</t>
  </si>
  <si>
    <t>tetsuya tatsumi</t>
  </si>
  <si>
    <t>Caecilia</t>
  </si>
  <si>
    <t>account mainly for RTs | Japan | organ | piano | classical music |</t>
  </si>
  <si>
    <t>Japan's Abe may have won election, but many don't want him as PM https://t.co/6mutHqBjeI</t>
  </si>
  <si>
    <t>Laura Jean Porter</t>
  </si>
  <si>
    <t>TUCSON</t>
  </si>
  <si>
    <t>musslidasan</t>
  </si>
  <si>
    <t>Interesting turn of events... https://t.co/OYWhwJf0BG</t>
  </si>
  <si>
    <t>ateneo de davao university</t>
  </si>
  <si>
    <t>Commissioner, Bangsamoro Transition Commission / Executive Director, Al Qalam Institute for Islamic Identities and Dialogue in Southeast Asia</t>
  </si>
  <si>
    <t>福武 忍</t>
  </si>
  <si>
    <t>おーさか</t>
  </si>
  <si>
    <t>動物の絵を描いています。</t>
  </si>
  <si>
    <t>Margarita</t>
  </si>
  <si>
    <t>Salem, Oregon</t>
  </si>
  <si>
    <t>Reuters: Japan's Abe may have won election, but many don't want him as PM: TOKYO (Reuters… https://t.co/Jgwc0AsjgZ</t>
  </si>
  <si>
    <t>Molly</t>
  </si>
  <si>
    <t>Simple</t>
  </si>
  <si>
    <t>alessandra catsicas</t>
  </si>
  <si>
    <t>Shiela Laude</t>
  </si>
  <si>
    <t>follow me - Japan's Abe may have won election, but many don't want him as PM: TOKYO (Reuters) - Japan's Prime…… https://t.co/p5HV4Wg2PW</t>
  </si>
  <si>
    <t>Leesa Bee</t>
  </si>
  <si>
    <t>Japan's Abe may have won election, but many don't want him as PM https://t.co/2LqRoDhmNm https://t.co/9My5YsBQyx</t>
  </si>
  <si>
    <t>MA Conflict Resolution &amp; Negotiation. Speaker/trainer: communication and conflict, facilitator/mediator, crucial conversations</t>
  </si>
  <si>
    <t>Summit Media</t>
  </si>
  <si>
    <t>Japan's Abe may have won election, but many don't want him as PM https://t.co/7bpqhLojFW https://t.co/f8biiRdcRC</t>
  </si>
  <si>
    <t>Birmingham, AL</t>
  </si>
  <si>
    <t>Summit Media, LLC is an integrated broadcasting, digital media, direct marketing and events company. For additional information contact us at (205) 326-2552</t>
  </si>
  <si>
    <t>Jornal Mercantil</t>
  </si>
  <si>
    <t>Japan's Abe may have won election, but many don't want him as PM https://t.co/EkX088LTYq https://t.co/3KSjElUjqK</t>
  </si>
  <si>
    <t>Fatos e Noticias Relevantes no Mercado Financeiro.</t>
  </si>
  <si>
    <t>David Keach</t>
  </si>
  <si>
    <t>Emporia, KS</t>
  </si>
  <si>
    <t>Running XC/Track for ESU! Reppin that gold E on my chest! #Blessed</t>
  </si>
  <si>
    <t>Japan election: Shinzo Abe's-- Excellences victoriously. Election win--Shinzo Abe's political forethoughts,s Refle… https://t.co/ubHShqm8Od</t>
  </si>
  <si>
    <t>Dhaka</t>
  </si>
  <si>
    <t>President Trump of US.</t>
  </si>
  <si>
    <t>Jennifer SP</t>
  </si>
  <si>
    <t>Japan's Abe may have won election, but many don't want him as PM https://t.co/giXAesBIGx</t>
  </si>
  <si>
    <t>Gerald Roberts</t>
  </si>
  <si>
    <t>Japan's Abe may have won election, but many don't want him as PM https://t.co/W5rpTFnynA https://t.co/5bmAhuj10d</t>
  </si>
  <si>
    <t>Macclenny, florida US</t>
  </si>
  <si>
    <t>Diversified entrepreneur consultant: marketing, affiliates, real estate, investment tips, gold, silver, media. Unfollow me &amp; expect the same courtesy.</t>
  </si>
  <si>
    <t>https://t.co/18q5w1w4Qa : Japan's Abe may have won election, but many don't want him as PM https://t.co/EJkx5NbEgx</t>
  </si>
  <si>
    <t>ヘラクレスの妄言</t>
  </si>
  <si>
    <t>トピックに応じてテンションが違います。関心は、ニュース〜ドラマ・観劇〜ヲタヲタしいものまで色々。社会的な話については、法学・政治学・社会学的観点からものを言うように努めています。</t>
  </si>
  <si>
    <t>🍽️🍏SmthOrNt💎🌄🧢H</t>
  </si>
  <si>
    <t>Take road less traveled on🤠🎲🎬</t>
  </si>
  <si>
    <t>👼💭🌈🔭🚧🚨🏍️📽️Slf-Rfl💭📐💾🍥⭕️🦖🔋🔌⏯️🔚%🔛%🔜🍃PrMe!👻🃏⤵️NoSLveCreatureofSpnty⛓️💺🤓TenorArtSciPoliEconAuditPseudoActHost%HipHopHealthfulOrganizedCleanOldFashionPlatonicUdntkn</t>
  </si>
  <si>
    <t>anynomous</t>
  </si>
  <si>
    <t>Zaki Khalid</t>
  </si>
  <si>
    <t>Of course: 'Could Japan's snap election results open the door for a stronger security stance?' https://t.co/ErKpKnXrPK</t>
  </si>
  <si>
    <t>Rawalpindi, Pakistan</t>
  </si>
  <si>
    <t>Strategic Analyst. Interested in Security Studies, C4ISR, Military Developments and Geostrategy.</t>
  </si>
  <si>
    <t>Voltaireの批判精神</t>
  </si>
  <si>
    <t xml:space="preserve">  Shinjuku-ku, Tokyo,  Japan</t>
  </si>
  <si>
    <t>300年前の西欧から今日の日本へやって来ました。自由人です。権力から独立した個人の国際憲法思想研究所の主任。 特定のテーマに縛られずにあらゆる分野につぶやきます。特定の立場は一切とらず真理により近いと思われることを主観をまじえず客観的に追究したいと思う。専門は法律学。サブアカ→ @soleil826391</t>
  </si>
  <si>
    <t>Saurabh Maurya</t>
  </si>
  <si>
    <t>Dear,Prime Minister of Japan @AbeShinzo congratulation to historical big election win.</t>
  </si>
  <si>
    <t>Creepy Hachiro</t>
  </si>
  <si>
    <t>girish sm</t>
  </si>
  <si>
    <t>Boeing News</t>
  </si>
  <si>
    <t>Trump Congratulates Abe on Election Victory - @BloombergNews : https://t.co/F02ejcWncc</t>
  </si>
  <si>
    <t>KBFI</t>
  </si>
  <si>
    <t>Latest news on #Boeing. Not affiliated with Boeing in any way. Website at @flightorg. Account from @BeliefMedia.</t>
  </si>
  <si>
    <t>Tech Text</t>
  </si>
  <si>
    <t>Japan's Abe may have won election, but many don't want him as PM https://t.co/J2gGKRtVta #TechText @techtect</t>
  </si>
  <si>
    <t>San Francisco, CA USA</t>
  </si>
  <si>
    <t>#TechText Is The Top Source For News In Social &amp; Digital Media, Technology And Web Culture. Media For Social Interaction &amp; Influence. @Google verified user.</t>
  </si>
  <si>
    <t>Vakabonne¤</t>
  </si>
  <si>
    <t>massachusetts</t>
  </si>
  <si>
    <t>#TEAMhaiti #ZOE #haitian #ZOEpound #F4F #S4S #90sBabyFollowTrain #TEAMfollowback #kevingates</t>
  </si>
  <si>
    <t>Japan's Abe may have won election, but many don't want him as PM: TOKYO (Reuters) - Japan's… https://t.co/Nxae4uZlnD</t>
  </si>
  <si>
    <t>Kevin851227</t>
  </si>
  <si>
    <t>大庙里的小沙尼</t>
  </si>
  <si>
    <t>pradeep</t>
  </si>
  <si>
    <t>Hyderabad , India</t>
  </si>
  <si>
    <t>Engineering films!!! Success is the sum of small efforts, repeated day in and day out!!!</t>
  </si>
  <si>
    <t>Ernest Sosa</t>
  </si>
  <si>
    <t>Japan's Abe may have won election, but many don't want him as PM https://t.co/XdgIeSMiLx https://t.co/YPUpKqpURy</t>
  </si>
  <si>
    <t>How Japan’s recent election could aid in U.S.- Japan coordination in response the North Korean threat. https://t.co/1RlFpeB1sR</t>
  </si>
  <si>
    <t>It isn't 'roses, roses, roses all the way' for @AbeShinzo. He got help from a divided opposition https://t.co/HWwpfFbQiy via @bbgvisualdata</t>
  </si>
  <si>
    <t>mkopl</t>
  </si>
  <si>
    <t>ESPRIT</t>
  </si>
  <si>
    <t xml:space="preserve">Tokyo,  Japan </t>
  </si>
  <si>
    <t>兄の Voltaire （ @idee_kenkyu ）の国際憲法思想研究所で助手をしている妹の ESPRIT です。これまで兄のもとで陰の存在に甘んじてきましたが、そろそろ表に出て何かしてみようかと思っています。世界中の皆さん、フォローよろしくお願いします！ @soleil826391 も時々見て下さい。</t>
  </si>
  <si>
    <t>Dakshinamurthy Kommu</t>
  </si>
  <si>
    <t>Hyderabad India</t>
  </si>
  <si>
    <t>ధర్మో రక్షతి రక్షితః</t>
  </si>
  <si>
    <t>RT @CSIS: How Japan’s recent election could aid in U.S.- Japan coordination in response the North Korean threat. https://t.co/1RlFpeB1sR</t>
  </si>
  <si>
    <t>Vishal Rabari</t>
  </si>
  <si>
    <t>20061014 カズ🇯🇵</t>
  </si>
  <si>
    <t>My hope is only calm life. Beautiful things, lovely things, modest kind. For artist of images, drag pic to google image to search up</t>
  </si>
  <si>
    <t>Valeria López Vela</t>
  </si>
  <si>
    <t>In the business of telling the truth: academic and columnist. Progre chic.</t>
  </si>
  <si>
    <t>P. M of Japan--Popularly Liberal- Democrat leader Shinzo Abe-- Election-" excellences victoriously" Highest… https://t.co/DWS6MpGnms</t>
  </si>
  <si>
    <t>Jonah Fotograf</t>
  </si>
  <si>
    <t>Japan's Abe may have won election, but many don't want him as PM https://t.co/N56yOOSmM4 https://t.co/xLMGSICeSy</t>
  </si>
  <si>
    <t>Sankowskis, fotograf</t>
  </si>
  <si>
    <t>Francis Adikpe</t>
  </si>
  <si>
    <t>Japan's Abe may have won election, but many don't want him as PM https://t.co/NcZhUOrtba https://t.co/31C4Bx4DK9</t>
  </si>
  <si>
    <t>Head Video Editor, TVC NEWS Africa</t>
  </si>
  <si>
    <t>Julia Famularo</t>
  </si>
  <si>
    <t>Focus on Asia, military affairs, cyberspace, human rights, and a bit of baseball. @GUHistory ABD; former @ISSYale Fellow; @Project2049 Research Affiliate</t>
  </si>
  <si>
    <t>chandan</t>
  </si>
  <si>
    <t>| B.ed| Tea Addicted | Fan Nawab of Najafgarh { Viru } | #DiGital #Guy | Twitter Addicted | Automobile Lover!</t>
  </si>
  <si>
    <t>Sahil Raina</t>
  </si>
  <si>
    <t>Sean Ree</t>
  </si>
  <si>
    <t>http://mn.gov/portal/</t>
  </si>
  <si>
    <t>I don't know what you're talking about; I'm a member of the imperial senate on a diplomatic mission to Alderaan. It's twitter; take a grain of salt after each 1</t>
  </si>
  <si>
    <t>GoldenVenture</t>
  </si>
  <si>
    <t>USA/SG/HK/DUBAI</t>
  </si>
  <si>
    <t>Equity Finance/Investor/Financier/Trader We provide Loan against stock. We buy/sell/trade Block shares, Bond, MTN and TBill. We do Structured finance as well.</t>
  </si>
  <si>
    <t>Ramvilas Kendre</t>
  </si>
  <si>
    <t xml:space="preserve">Pune Maharashtra </t>
  </si>
  <si>
    <t>क्या हार में क्या जीत में किंचित नही भयभीत मैं। कर्तव्य पथ पे जो मिला वह भी सही, यह भी सही।।वरदान नही मांगूंगा ,हो कुछ पर हार नही मांनुंगा!!</t>
  </si>
  <si>
    <t>VotarEsNuestroDeber</t>
  </si>
  <si>
    <t>#Via #CNN #ShinzoAbe on track for landslide victory, exit polls show: Read more here https://t.co/FlMPzoXX5y https://t.co/KkQpwoKPWw</t>
  </si>
  <si>
    <t>It is our #Duty to #Vote! A través del #voto, we take control de nuestro #destino. #Vote2017</t>
  </si>
  <si>
    <t>etuco∈ † ∪ ⊂ σこんな人たち</t>
  </si>
  <si>
    <t>ありがとうございます。／／Singer／／／Jazz／／／Social Worker／ ／／Drummer／／現実が大切。どんなときも声にしなきゃならないことがあります。</t>
  </si>
  <si>
    <t>RT @TokyoReview: For all the cynicism and snark regarding its campaigns, there are things about Japan’s politics worth celebrating: https:/…</t>
  </si>
  <si>
    <t>Un Quixote</t>
  </si>
  <si>
    <t>Malcolm Nance</t>
  </si>
  <si>
    <t>US Intelligence +36 yrs. Expert Terrorist Strategy,Tactics,Ideology. Torture, Russian Cyber! | NYT Bestselling Author, Navy Senior Chief/Jedi Master, NBC/MSNBC.</t>
  </si>
  <si>
    <t>Thanh Watson</t>
  </si>
  <si>
    <t>Atlanta, GA via NC-DC-FL-IN</t>
  </si>
  <si>
    <t>Buddhist. Pet rescue lover. Volunteer. Proud Lit major. Twitter novice. Followed trail of far smarter people to keep up with idiocy that is this WH. NCSU/Duke.</t>
  </si>
  <si>
    <t>Japan's Abe may have won election, but many don't want him as PM - Reuters https://t.co/EwoTS2S4pw</t>
  </si>
  <si>
    <t>vivo：いきもにあ両日</t>
  </si>
  <si>
    <t>神奈川　横浜</t>
  </si>
  <si>
    <t>Freelancing Science Illustrator. A very beginner of Sheepdog handler.</t>
  </si>
  <si>
    <t>RT @satomisugawara2: Trumo needs Japan’s Abe to win the election to help counter North Korea and China | Opinion https://t.co/uAXIF4LK3k</t>
  </si>
  <si>
    <t>Politics w/ bob</t>
  </si>
  <si>
    <t>RT MalcolmNance RT CSIS: How Japan’s recent election could aid in U.S.- Japan coordination in response the North K… https://t.co/eDmmlJlfRo</t>
  </si>
  <si>
    <t>Washington</t>
  </si>
  <si>
    <t>calling out the bullshit i will testify 100% ha ha</t>
  </si>
  <si>
    <t>Japan's Abe may have won election, but many don't want him as PM https://t.co/IgkrqcggS8</t>
  </si>
  <si>
    <t>elizabeth</t>
  </si>
  <si>
    <t>KH</t>
  </si>
  <si>
    <t>Masako世界平和</t>
  </si>
  <si>
    <t xml:space="preserve">Hong Kong </t>
  </si>
  <si>
    <t>fareast</t>
  </si>
  <si>
    <t>In an electoral district of Abe Evidence of the rigged election was found #Japan #AbeLDP #FraudElection… https://t.co/0cGnCSa9Bl</t>
  </si>
  <si>
    <t>Joanna</t>
  </si>
  <si>
    <t>Japan’s prime minister isn’t as popular as you might think https://t.co/1EzmVSjQ6g via @bbgvisualdata</t>
  </si>
  <si>
    <t>working @SBI_BITS - #FinTech company - #marketing #corporatecommunications - interested in #art #history #music #culture #leadership #mangement #hr</t>
  </si>
  <si>
    <t>Jamie McCall</t>
  </si>
  <si>
    <t>6 Countries in 6 Months!</t>
  </si>
  <si>
    <t>Veteran US Navy ⚓️Star Wars Fan ⭐️ Independent Voter 🗳️ Actress 🎥 Author 📜Screenwriter 🎞️ Swimmer 🏊‍♀️ World Traveler ✈️ Be Your Own Celebrity!👑</t>
  </si>
  <si>
    <t>#UKBiz 🇬🇧</t>
  </si>
  <si>
    <t>Japan’s Abe may have won election, but many don’t want him as PM https://t.co/awRNHZ3AF1 #UK #UKBiz</t>
  </si>
  <si>
    <t>UK Business</t>
  </si>
  <si>
    <t>Supporting all #UK Business : Use the hastag #UKbiz to join our Virtual #Business Community 🇬🇧</t>
  </si>
  <si>
    <t>Richard Lazzara</t>
  </si>
  <si>
    <t>Boulder,Colorado.USA.</t>
  </si>
  <si>
    <t>https://t.co/xGFIpE4BxO</t>
  </si>
  <si>
    <t>Werner</t>
  </si>
  <si>
    <t>Defending Daedalus. Passionality curious. Whats the answer to The Big Question? The Seeker will find the Truth.</t>
  </si>
  <si>
    <t>RT @psk337: In an electoral district of Abe Evidence of the rigged election was found #Japan #AbeLDP #FraudElection #CraimalSyndicate https…</t>
  </si>
  <si>
    <t>ॐ नमः शिवाय</t>
  </si>
  <si>
    <t>SydneyDiane</t>
  </si>
  <si>
    <t>北の税理士</t>
  </si>
  <si>
    <t>I am a licensed tax accountant of japan. I object to racism and absolutism.</t>
  </si>
  <si>
    <t>Bruno Fernandes</t>
  </si>
  <si>
    <t>Japan's Abe may have won election, but many don't want him as PM https://t.co/vckv6rhK3j https://t.co/hWMntZAggt</t>
  </si>
  <si>
    <t>Lisbon, Portugal</t>
  </si>
  <si>
    <t>Senior Software Solutions Architect</t>
  </si>
  <si>
    <t xml:space="preserve">jimmy forex </t>
  </si>
  <si>
    <t>Japan’s Abe may have won election, but many don’t want him as PM – Asahi Survey According to the survey conducted... https://t.co/4cOrdQnm79</t>
  </si>
  <si>
    <t>limmasol</t>
  </si>
  <si>
    <t>XtreamForex</t>
  </si>
  <si>
    <t>Japan’s Abe may have won election, but many don’t want him as PM – Asahi Survey According to ReadMore:https://t.co/qkuHFUOxif</t>
  </si>
  <si>
    <t>Japan’s Abe may have won election, but many don’t want him as PM https://t.co/fMsI9EDym7 #UK #UKBiz — #UKBiz 🇬🇧 (ukbizz) October 25, 2017…</t>
  </si>
  <si>
    <t>SaleSpree.com</t>
  </si>
  <si>
    <t>Japan's Abe may have won election, but many don't want him as PM https://t.co/eVXpnDrtIl</t>
  </si>
  <si>
    <t>https://t.co/mLYW8jplny</t>
  </si>
  <si>
    <t>Narikori</t>
  </si>
  <si>
    <t>DeshKhabar24</t>
  </si>
  <si>
    <t>Japan's Abe may have won election, but many don't want him as PM #WorldNews https://t.co/qf4m3hyTor</t>
  </si>
  <si>
    <t>Votes for opposition parties and independent winners: 29.8 million Votes for Abe's ruling parties: 25.6 millions https://t.co/28HJqBikXe</t>
  </si>
  <si>
    <t>K. C. Peterson</t>
  </si>
  <si>
    <t>Wisconsin, USA</t>
  </si>
  <si>
    <t>Husband, Father, Lover of my third chance @ life! I am blessed the Lord has plans for me.</t>
  </si>
  <si>
    <t>DhunMun</t>
  </si>
  <si>
    <t>@businessinsider @ConversationUS @freiner_nicole This article is significant for what it doesn’t say (Chinese belli… https://t.co/HLdiRbfKvm</t>
  </si>
  <si>
    <t>Ambition to see the world at peace and India realizing its full potential..with robust strategic thinking as the driving force!</t>
  </si>
  <si>
    <t>あぶ ざば</t>
  </si>
  <si>
    <t xml:space="preserve">feather for iOS </t>
  </si>
  <si>
    <t>Julie Demers</t>
  </si>
  <si>
    <t>Saint-Ambroise</t>
  </si>
  <si>
    <t>🐱</t>
  </si>
  <si>
    <t>Aigooseen</t>
  </si>
  <si>
    <t>Midas_TOKYO</t>
  </si>
  <si>
    <t>Craving for a nuke-, war-, slave-free world/ Eradicate dictatorship/ Stop blindly following authority/ Age, gender,skin color and origins have no meaning.</t>
  </si>
  <si>
    <t>Anthony Sottasante</t>
  </si>
  <si>
    <t>Japan's Abe may have won election, but many don't want him as PM https://t.co/IXCNfr5IvO https://t.co/K3k0tMSYb1</t>
  </si>
  <si>
    <t>RoHaN ShArMa</t>
  </si>
  <si>
    <t xml:space="preserve">patna Bihar </t>
  </si>
  <si>
    <t>LoYal FaN Of #Being_Humen_ #Most_Dyanamic_Handsome_Hunk SALMAN KHAN BHAIJAAN #I_Love_You_So_Much_Bhaijaan</t>
  </si>
  <si>
    <t>Rajesh RAJLI</t>
  </si>
  <si>
    <t>जय हिंद. भारत माता की जय</t>
  </si>
  <si>
    <t>Japan's Shinzo Abe Conjures Stunning Election Victory in a Boost for Donald Trump - https://t.co/zjbiFfjxLp by RO…… https://t.co/zH8iTtilAg</t>
  </si>
  <si>
    <t>semisigure</t>
  </si>
  <si>
    <t>@dave_spector why did you said what the japan general election system is bad? teach me、please。 tukiakari 3521(ameblog)</t>
  </si>
  <si>
    <t>現在７１歳、女が欲しいが ÈÐなのでままならない。２大政党制を支持する。国是を守る、それが日本の将来に必要。</t>
  </si>
  <si>
    <t>#JAPAN #JPTIMES broadcast by #EMET_NEWS_PRESS: South Korean leader congratulates Abe on ruling bloc’s poll win ... https://t.co/Pphn6OLvlS</t>
  </si>
  <si>
    <t>SUJ ⚖️</t>
  </si>
  <si>
    <t>Brown. Immigrant. Queer. Progressive Patriot. ✊🏽🏳️‍🌈🌍🏥🏛🗽🕌🕍💒⚖️♻️♿️🚺</t>
  </si>
  <si>
    <t>Cas (hates the GOP)</t>
  </si>
  <si>
    <t>Ivan is a glorious masc human being.</t>
  </si>
  <si>
    <t>Andrea. NSFR. She/they. Autistic. MI. NB. Greyro/demi. (@hisfanatic/@deanshutup) Cas was able to save the WORLD. / Nobody wants him here more than I do. -Dean.</t>
  </si>
  <si>
    <t>Top Breaking News</t>
  </si>
  <si>
    <t>Japan's Abe may have won election, but many don't want him as PM https://t.co/JOd1qxHE1F #BreakingNews</t>
  </si>
  <si>
    <t>Breaking news stories directly to your feed 24/7, including world, politics, entertainment, and more. Be on top of the top news stories. #BreakingNews</t>
  </si>
  <si>
    <t>Newslocker WorldNews</t>
  </si>
  <si>
    <t>Japan's Abe may have won election, but many don't want him as PM #Worldnews https://t.co/fCCs0IWAu1</t>
  </si>
  <si>
    <t>Find your latest world news with just one click. Don't miss out on anything happening .check</t>
  </si>
  <si>
    <t>Romeo</t>
  </si>
  <si>
    <t>I am a chronic apòta. I use Twitter to cultivate my nuclear fascination. To crooked eyes truth may wear a wry face.</t>
  </si>
  <si>
    <t>The Nation</t>
  </si>
  <si>
    <t>Japan's Abe may have won election, but many don't want him as PM https://t.co/mGLKvR4rtk https://t.co/HypAyw9Zu3</t>
  </si>
  <si>
    <t>Keeping you updated on the go</t>
  </si>
  <si>
    <t>ひとみん＝伊藤瞳</t>
  </si>
  <si>
    <t>Japan's Abe may have won election, but many don't want him as PM https://t.co/VvQOcOEbro</t>
  </si>
  <si>
    <t>東京の真ん中あたり</t>
  </si>
  <si>
    <t>双極性障害、精神障害者3級、セクシャルマイノリティー(戸籍は男)、AG(オートガイネフィリア)、カメラ(Nikon D7000 D5100 D810A F3 etc.、PENTAX 645N、RICOH GR)、天体撮影、ドライブ(マニュアル車)、緊縛(縛られる方)</t>
  </si>
  <si>
    <t>What Shinzo Abe’s election win will mean for China-Japan relations https://t.co/6a8vxkXlrc</t>
  </si>
  <si>
    <t>What Shinzo Abe’s election win will mean for China-Japan relations https://t.co/SDwJMLuXBc</t>
  </si>
  <si>
    <t>What Shinzo Abe’s election win will mean for China-Japan relations https://t.co/Gpbe9EAYIt</t>
  </si>
  <si>
    <t>What Shinzo Abe’s election win will mean for China-Japan relations https://t.co/g3ujKGQ8G7</t>
  </si>
  <si>
    <t>What Shinzo Abe’s election win will mean for China-Japan relations https://t.co/3c9wlul4LN</t>
  </si>
  <si>
    <t>sachi</t>
  </si>
  <si>
    <t>LOVE &amp; PEACE</t>
  </si>
  <si>
    <t>Max</t>
  </si>
  <si>
    <t>Japan's Abe may have won election, but many don't want him as PM #Topbuzz https://t.co/ZVdiqhgPN1</t>
  </si>
  <si>
    <t>banned</t>
  </si>
  <si>
    <t>Japan's Abe may have won election, but many don't want him as PM https://t.co/xauFcboZbS</t>
  </si>
  <si>
    <t>lAU</t>
  </si>
  <si>
    <t>Mary Alice Bishop</t>
  </si>
  <si>
    <t>Ohio</t>
  </si>
  <si>
    <t>OH Buckeye that cares about what happens in this https://t.co/Nk8Aue0m65 my Mutts! I care about fairness,equality, respect/believe in God Almighty! #Resistance NO LISTS!</t>
  </si>
  <si>
    <t>Reduce CO2/kWh</t>
  </si>
  <si>
    <t>Qld Australia</t>
  </si>
  <si>
    <t>Progressive environmentalist who gets blocked without comment by progressives. Solutions based, I want to “save the planet”. Pro-nuclear Pro low emissions</t>
  </si>
  <si>
    <t>Don Law</t>
  </si>
  <si>
    <t>RandomMinutia</t>
  </si>
  <si>
    <t>SIUE Graduate Department of Historical Studies and Mass Comm, Purveyor of Random Information, Quotes and All Around Nonsense. Some Translation May Be Required.</t>
  </si>
  <si>
    <t>zentrade.online</t>
  </si>
  <si>
    <t>Japan’s benchmark index is posting its longest win streak ever — here’s why https://t.co/SiAsuHX7dm #election #equity #market #news #nikkei</t>
  </si>
  <si>
    <t>zentrade.online - WP to Twitter</t>
  </si>
  <si>
    <t>Home of #CFTC Commitment of Traders Summary, #CME Daily Bulletin Summary on Option Expiry Levels, #FX signals for currencies and commodities, related news</t>
  </si>
  <si>
    <t>SAN SAM</t>
  </si>
  <si>
    <t>常に平和な世界を追い求めます。</t>
  </si>
  <si>
    <t>Alexander Freeman</t>
  </si>
  <si>
    <t>Japan's Abe may have won election, but many don't want him as PM https://t.co/t81So5iI6z</t>
  </si>
  <si>
    <t>News and Trading</t>
  </si>
  <si>
    <t>pokhraj saw</t>
  </si>
  <si>
    <t>chrispydog</t>
  </si>
  <si>
    <t>BJP JSR</t>
  </si>
  <si>
    <t>भारतीय जनता पार्टी जमशेदपुर महानगर</t>
  </si>
  <si>
    <t>CSIS: How Japan’s recent election could aid in U.S.- Japan coordination in response the North Korean threat. https://t.co/ItIxLKM4bJ</t>
  </si>
  <si>
    <t>Jun Sky 世界の全原発を即廃炉に!</t>
  </si>
  <si>
    <t>☆全原発・即廃炉推進！ 自民党と協力政党は市民の敵。核兵器禁止条約賛成！原発禁止条約も必要！。2011/5/31~ (男性) https://t.co/xm7v458Wcm</t>
  </si>
  <si>
    <t>भाजपा रिकांगपियो</t>
  </si>
  <si>
    <t>Reckong Peo, India</t>
  </si>
  <si>
    <t>एक ज़िद हूँ नकार दिया जाऊंगा! एक खयाल हूँ खारिज किया जाऊंगा! एक किस्सा भी हूँ भुला दिया जाऊंगा! लेकिन जबतक साँसें चलेंगी,देश झुकने नहीं दूँगा!नमों! M:7018614378</t>
  </si>
  <si>
    <t>The ResiSTANCE</t>
  </si>
  <si>
    <t>East Coast</t>
  </si>
  <si>
    <t>don't let your left hand know what your right hand is doing</t>
  </si>
  <si>
    <t>https://t.co/wKhL0nQqUS 【 #DonaldTrump election】 I talked about the disadvantages of Japan and the future #トランプ #トランプ当選 #Trump #U #EDM</t>
  </si>
  <si>
    <t>Chandra Bhushan Sinh</t>
  </si>
  <si>
    <t>Kumar Samresh</t>
  </si>
  <si>
    <t>Gaya</t>
  </si>
  <si>
    <t>#I_love_my_India.</t>
  </si>
  <si>
    <t>Japan election: Abe hails massive win, but what now for the country’s pacifist constitution? https://t.co/Wx3h0K0iMo https://t.co/BxRsTvPv2l</t>
  </si>
  <si>
    <t>Narinder Happa.</t>
  </si>
  <si>
    <t>Jammu,J&amp;K (India)</t>
  </si>
  <si>
    <t>Born In Srinagar,J&amp;K.Shifted to Jammu in 1990.Worked in Education Department,now retired.Interested in state,national and international affairs.</t>
  </si>
  <si>
    <t>Arjun kumar yadav</t>
  </si>
  <si>
    <t>रांची, भारत</t>
  </si>
  <si>
    <t>リン Bruce Greenwood 愛</t>
  </si>
  <si>
    <t>Aichi, JAPAN</t>
  </si>
  <si>
    <t>リン（Rin）big fan of Bruce Greenwood ブルース・グリーンウッド熱愛中。たまにブルースの新情報や画像などを自分の楽しみでツイート。洋画、海外ドラマ、英語、着物、動物が好き。マイペース! Love films/TVdramas/animals/kimonos/learning English.</t>
  </si>
  <si>
    <t>“@bpolitics: Shinzo Abe isn't as popular as you might think https://t.co/7PYAWPM0Ln https://t.co/wzzKyjqwRA”</t>
  </si>
  <si>
    <t>http//ow.ly/36CBT Japan's Abe may have won election, but many don't want him as PM https://t.co/m1zn6qnE92 http//ow.ly/36CBT</t>
  </si>
  <si>
    <t>Japan's Abe may have won election, but many don't want him as PM https://t.co/VFplvCr426 https://t.co/aufAbq4ZV9</t>
  </si>
  <si>
    <t>IdeaZ-OnNET</t>
  </si>
  <si>
    <t>Japan's Abe may have won election, but many don't want him as PM https://t.co/NVu5S1om9B</t>
  </si>
  <si>
    <t>Blogger, Online Surfer, Researcher, online opportunity seeker</t>
  </si>
  <si>
    <t>Japan's Abe may have won election, but many don't want him as PM https://t.co/hCYOPWyYwU</t>
  </si>
  <si>
    <t>Japan's Abe may have won election, but many don't want him as PM https://t.co/k8jd047raP https://t.co/uvUmb2DQX2</t>
  </si>
  <si>
    <t>Japan's Abe may have won election, but many don't want him as PM https://t.co/180PI9RtAM https://t.co/AG888TO6do</t>
  </si>
  <si>
    <t>ดีงามพระราม8</t>
  </si>
  <si>
    <t>Japan's Abe may have won election, but many don't want him as PM https://t.co/fLtx5CQyX9 https://t.co/GBCy2nriYi ReutersUK</t>
  </si>
  <si>
    <t>Getafe, Spain</t>
  </si>
  <si>
    <t>I love to laugh and smile, life is beautiful. #news #original_photo #nature #animals #landscape #wildlife #art #painting #cityscape #music #quotes #thoughts</t>
  </si>
  <si>
    <t>せん（１０ｔ部隊）</t>
  </si>
  <si>
    <t>廣島県</t>
  </si>
  <si>
    <t>経済・ASEAN・中国の動きなど勉強中。政治家是々非々。国体護持。有権者納税者たる者、日本政府に異を唱えるのは当たり前なので批判致します。民族派団体所属。ｳﾖｻﾖ保守どれにも属さず。ｻﾖｸにも正論はあるで。全て同調のみのｼｬｯﾄｱｳﾄな人は寧ろ危険だと思うね。原爆慰霊碑に八咫烏。我らの象徴</t>
  </si>
  <si>
    <t>Angela Krebs</t>
  </si>
  <si>
    <t>Self-employed. Proud grandma. staunch opponent of ignorance and Hate. #TheResistance</t>
  </si>
  <si>
    <t>RT @ReutersUK: Japan's Abe may have won election, but many don't want him as PM https://t.co/VFplvCr426 https://t.co/aufAbq4ZV9</t>
  </si>
  <si>
    <t>Rudresh NP</t>
  </si>
  <si>
    <t>BJP supporter</t>
  </si>
  <si>
    <t>Alex Tobenki</t>
  </si>
  <si>
    <t>Japan's Abe may have won election, but many don't want him as PM #topNews https://t.co/qRZkP9KhGQ</t>
  </si>
  <si>
    <t>Tweeps.co</t>
  </si>
  <si>
    <t>Nigerian - Love Pop Music/Culture. usually Gentle, but also a Savage.</t>
  </si>
  <si>
    <t>Japan's Abe may have won election, but many don't want him as PM https://t.co/HxgEAQLT5X https://t.co/3Zt2UF6WqU</t>
  </si>
  <si>
    <t>sugirtha</t>
  </si>
  <si>
    <t>Bold, energetic and curious to learn something new everyday.</t>
  </si>
  <si>
    <t>▼pandaxzz▼</t>
  </si>
  <si>
    <t>名前はまだ無い</t>
  </si>
  <si>
    <t>ファッションと読書と旅と少しのお酒があればいい。オペ大好きなメディカルドクター。合気道4段。剣道2段。空手初段。</t>
  </si>
  <si>
    <t>GLOBAL LINES</t>
  </si>
  <si>
    <t>CREATE COMMUNICATE GROW #ThinkDifferent #HonorVariety #BuildUnity https://t.co/TxukTDIFNO</t>
  </si>
  <si>
    <t>Light Of Day</t>
  </si>
  <si>
    <t>【Japan- Allegations of General Election Fraud on Dec.16.2012 https://t.co/ERafZmCQI9 https://t.co/mAPMhcFfaw】#canada #france #spain #china</t>
  </si>
  <si>
    <t>http://t.co/CkzRNkEUq0</t>
  </si>
  <si>
    <t>しとらす＠京都</t>
  </si>
  <si>
    <t>京都府京都市</t>
  </si>
  <si>
    <t>京都は嵐山から徒歩○十分の所に生息中。『ボヘミアンな京都住まい』http://t.co/6oJyZU4dWFというごった煮なサイトやってます。 ※ツイートのログはこちらを→http://t.co/K26xJKSoYO</t>
  </si>
  <si>
    <t>Keegan Connolly</t>
  </si>
  <si>
    <t>Middle-earth</t>
  </si>
  <si>
    <t>Being insignificant to the Universe is no excuse to not be significant on Earth or Mankind.</t>
  </si>
  <si>
    <t>Nurumizu</t>
  </si>
  <si>
    <t>神奈川県厚木市</t>
  </si>
  <si>
    <t>「心の不思議な力」の初版は体験をありのままに書き上げたものです。出版した後に更に研究を重ね。意識の覚醒・瞑想・気功・霊気（レイキ）に、ある共通点を発見しました。それはシンプルな法則です。その法則を、体験を交えながら、参考になる文献を紹介してゆきます。この方法は簡単で分かりやすいと思います。</t>
  </si>
  <si>
    <t>ミナミminami</t>
  </si>
  <si>
    <t>思った事を呟きます とにかく戦争反対 軍事費削減 現安倍政権に不信感 自分に正直で ありたい 世界の中心から愛を叫ぶ 😻🐾🎶長渕さんと猫が大好きです</t>
  </si>
  <si>
    <t>Bernardo Rodríguez</t>
  </si>
  <si>
    <t>Granada</t>
  </si>
  <si>
    <t>Political scientist, MA in Strategic Security Studies University of Granada (Spain), contributor to the @GrupoGESI - Sec&amp;Def Analyst: Libya RT ≠ endorsement</t>
  </si>
  <si>
    <t>15/8/1947=16/5/2014</t>
  </si>
  <si>
    <t>Cultural-Pride, Market-Economy, National-Security, Geo-Politics. Business-Man, BJP-Supporter.</t>
  </si>
  <si>
    <t>92 News HD Plus</t>
  </si>
  <si>
    <t>Japan's Abe may have won election, but many don't want him as PM https://t.co/ThHqJ2yNpu https://t.co/8qRvouJzJX</t>
  </si>
  <si>
    <t>92 News HD</t>
  </si>
  <si>
    <t>#92NewsHDPlus is Pakistan’s first HD Plus #News Channel aims to bring quality &amp; updated News &amp; stories from Pakistan &amp; around the World. http://t.co/LFBinRCbH1</t>
  </si>
  <si>
    <t>Devendra Sharma</t>
  </si>
  <si>
    <t>ごっ</t>
  </si>
  <si>
    <t>地味なGAY男ですが、のんびり楽しく知的に暮らしたいので、NOH8、ANTIFA、反原発です。</t>
  </si>
  <si>
    <t>KJay</t>
  </si>
  <si>
    <t>SUP, Eat, Sleep...Repeat</t>
  </si>
  <si>
    <t>M-the-world</t>
  </si>
  <si>
    <t>市川橋を行ったり来たり</t>
  </si>
  <si>
    <t>まっぴら御免なのさ（1／こんな人たち）</t>
  </si>
  <si>
    <t>さおぽ</t>
  </si>
  <si>
    <t>☆リツイート多目・くり返しツイート多目 ☆文字数制限故、上下朝鮮・中国は便宜上、中韓 ☆帰化していても在日は在日。もれなくコリアンジャパニーズと名乗りたまえ</t>
  </si>
  <si>
    <t>L Wms</t>
  </si>
  <si>
    <t>ReTweets --particularly ones with no comment-- do not necessarily imply either endorsement or concurrence.</t>
  </si>
  <si>
    <t>Kevin Johnson</t>
  </si>
  <si>
    <t>Safety https://t.co/5So5JlWyZr is my passion as is photography.</t>
  </si>
  <si>
    <t>놀고먹고싶어</t>
  </si>
  <si>
    <t>대한민국 강서구</t>
  </si>
  <si>
    <t>평생 놀고 먹고 싶다</t>
  </si>
  <si>
    <t>RT @SirNarendermodi: Heartiest greetings to my dear friend AbeShinzo on his big election win. Look forward to further strengthen India-Japa…</t>
  </si>
  <si>
    <t>笹田 惣介</t>
  </si>
  <si>
    <t>Tabtter</t>
  </si>
  <si>
    <t>宮崎県延岡市</t>
  </si>
  <si>
    <t>消費税・TPP・原発…様々な問題が山積している日本。国民は「優先順位」と真摯に向き合う必要がある。国内法は日本国民による民主的な手続きで変更が可能だが、国際条約TPPは一方的な破棄は不可能だから。 自己紹介の欄ぐらいしか判断材料がないTwitterでは、ある程度自分のつぶやきに責任を持つ意味で、本名でつぶやきます。</t>
  </si>
  <si>
    <t>華恋</t>
  </si>
  <si>
    <t>熊本٩( 'ω' )و</t>
  </si>
  <si>
    <t>日々是好日</t>
  </si>
  <si>
    <t>water me</t>
  </si>
  <si>
    <t>おせんべいの町</t>
  </si>
  <si>
    <t>「不惑」の心に憧れる！？二児のおかーちゃん（over 40）です。 花と木と土と風と水が傍らにあればいつでも幸せ。お酒は飲まなくても蘊蓄だけで楽しめます♪</t>
  </si>
  <si>
    <t>Hicklie Kaeru</t>
  </si>
  <si>
    <t>年寄りのひとりごとです。たまにつぶやきます。気にしないように。311をどこまでも追いかけていきます。</t>
  </si>
  <si>
    <t>Maab14</t>
  </si>
  <si>
    <t>कन्हैया कुमार</t>
  </si>
  <si>
    <t>Mahadeva</t>
  </si>
  <si>
    <t>stusant</t>
  </si>
  <si>
    <t>a_flake_of_snow</t>
  </si>
  <si>
    <t>Doutor,TULLY'S,Starbucks</t>
  </si>
  <si>
    <t>☆ お客様を少しでも笑顔に、少しでも楽しんでいただく、厳しいご指摘、精進して参ります。 先代勘九郎さん口上／＊*</t>
  </si>
  <si>
    <t>Avinash B Avarebeel</t>
  </si>
  <si>
    <t>Chikkamagaluru / Bengaluru</t>
  </si>
  <si>
    <t>BJP Member, Architect, More on Karnataka Politics, RTs are not necessarily endorsements| Karyakarta of @BJP4Chikmagalur #MyPMNaMo</t>
  </si>
  <si>
    <t>なるみ（仄暗い土の中から）</t>
  </si>
  <si>
    <t>裏日本</t>
  </si>
  <si>
    <t>❤❤❤최다니엘❤️❤️❤️BIGBANG❤️❤️❤️EXO❤️❤️❤️防弾少年団❤️❤️❤️みんな화이팅!!❤️❤️❤️</t>
  </si>
  <si>
    <t>Japan's Abe may have won election, but many don't want him as PM | Article [AMP] | Reuters https://t.co/is4VTfwv2X</t>
  </si>
  <si>
    <t>みっちゑる</t>
  </si>
  <si>
    <t>Japan's Abe may have won election, but many don't want him as PM #おとなの塚本幼稚園 #大人の塚本幼稚園 https://t.co/yKl4GLP3vl</t>
  </si>
  <si>
    <t>増やしていきたい好きなモノ「田中角栄」「源氏物語」「八犬伝」「三国志」。 減らしていきたい嫌いなモノ「アベノ政権」「ネトウヨ」「原発」「受信料を税金にしないNHK」「節操なき寿司団」「戦争法」「軍拡」。 無くしたいモノばかり。 脱原発を目指す革命の闘士は、迷わずフォローします。</t>
  </si>
  <si>
    <t>Whitestar</t>
  </si>
  <si>
    <t>Japan's Shinzo Abe Conjures Stunning Election Victory in a Boost for Donald Trump https://t.co/UGQvTkKk4n</t>
  </si>
  <si>
    <t>Fitch: Japan Election Result to Bolster Policy Implementation https://t.co/VCSDp8G6fV https://t.co/zfM8BhVO9r</t>
  </si>
  <si>
    <t>Satyendra</t>
  </si>
  <si>
    <t>True Indian</t>
  </si>
  <si>
    <t>doctor,IIM alumnus, staunch nationalist, jain, nature lover,numismatist</t>
  </si>
  <si>
    <t>Aditya Panse</t>
  </si>
  <si>
    <t>🚩जय श्री राम 🚩 अध्यक्ष, भारतीय जनता युवा मोर्चा, कलिना विधानसभा</t>
  </si>
  <si>
    <t>Monica</t>
  </si>
  <si>
    <t>夫がインド人。米露が頻繁に大気圏内で原水爆実験やってた頃生まれ。FM戸塚で多文化共生サポートラジオVOICEを放送後、3.11で世界観が一転。福島は父の故郷。鷹匠の娘が本牧でふくろうカフェ福来楼やってます。息子は東京MXTV黒船特派員(研究生) https://t.co/MPKRzSyVER</t>
  </si>
  <si>
    <t>Education At Web</t>
  </si>
  <si>
    <t>Japan's Abe may have won election, but many don't want him as PM https://t.co/kuVwxKy6aR</t>
  </si>
  <si>
    <t>We republish education news and we elaborate and undertake scientific research projects.</t>
  </si>
  <si>
    <t>Rohan Gurjar</t>
  </si>
  <si>
    <t>Myself!</t>
  </si>
  <si>
    <t>Dhawal Bhawsar</t>
  </si>
  <si>
    <t>Jose Mora</t>
  </si>
  <si>
    <t>Japan Election Vindicates Shinzo Abe as His Party Wins Big https://t.co/bfOWCxiOEj</t>
  </si>
  <si>
    <t>Profesor, filatélico, puertorriqueño, seguidor de Cristo. Student of terrorism, int'l security, religion, honor &amp; shame, Latin America, and Southeast Asia.</t>
  </si>
  <si>
    <t>TYPHOON NEWS: Typhoon Lan: Japan braces itself for monster storm as Okinawa forced to rush election - The Independ… https://t.co/mOyqZKgRt9</t>
  </si>
  <si>
    <t>glitter-twins</t>
  </si>
  <si>
    <t>トランプや北朝鮮に気を取られているうちに、マイナンバー制度や共謀罪など国民監視システムは着々と進められている。戦争もしてないのにGDPの二倍以上ある借金、TPPより怖い(？)二国間協議、拡がる放射能汚染等不安は尽きない。憲法改悪反対、反原発、国民監視システム、軍事立国反対。 私の理想は北欧の様な透明性の高い福祉国家。</t>
  </si>
  <si>
    <t>Ant Commander 🐜</t>
  </si>
  <si>
    <t>UNLV - 大学三年生 | History Major | Vegan Ⓥ | Politics | Foreign Affairs | Science | Fine Arts 🇺🇸🌵🦅🌈✌🏽</t>
  </si>
  <si>
    <t>羽菜世あつこ</t>
  </si>
  <si>
    <t>☆田舎ひきこもり老婆⭐︎ #枝野幸男 #池田真紀 だいチュキ⭐︎ 加齢原因神経痛持☆呼びかけのある方は相互フォローを希望(アフィリを含みこの婆の判断で気まぐれRTすることも)☆プロフィールの写真の無断使用禁止 ☆ ★雑文 https://t.co/sbsmMgGDrP</t>
  </si>
  <si>
    <t>Vinay Kumar Roy</t>
  </si>
  <si>
    <t>After Japan'e election this is the biggest news. https://t.co/hbFRJ7A5IF</t>
  </si>
  <si>
    <t>Japanese PM Shinzo Abe isn't as popular as you might think https://t.co/J2DiqNHVfC https://t.co/y6kSOD7nq1</t>
  </si>
  <si>
    <t>Japanese PM Shinzo Abe isn't as popular as you might think https://t.co/QCsf9E4wu3 https://t.co/xqdCoXk3wP</t>
  </si>
  <si>
    <t>business: Japanese PM Shinzo Abe isn't as popular as you might think https://t.co/zhUFwvp8cp https://t.co/EFVu3W3RlA</t>
  </si>
  <si>
    <t>Alexis SánchezFeijóo</t>
  </si>
  <si>
    <t>RT @business: Japanese PM Shinzo Abe isn't as popular as you might think https://t.co/J2DiqNHVfC https://t.co/y6kSOD7nq1</t>
  </si>
  <si>
    <t>Hamburg, Deutschland.</t>
  </si>
  <si>
    <t>#HamburgoenEspañol,#paralelo85,#Descubrehamburgoespañol, #Grasbrook,#Grasbrookterdam.,#Hackathon #BlockchainsNotBorders #Publish_PublicSpaces#Hamdroidfitti,</t>
  </si>
  <si>
    <t>business: Japanese PM Shinzo Abe isn't as popular as you might think https://t.co/rsmpqEnx4x … https://t.co/tsqnxZYFUD</t>
  </si>
  <si>
    <t>Yuko Takeo</t>
  </si>
  <si>
    <t>Reporter for Bloomberg in Tokyo. Views my own, RTs not endorsements, etc</t>
  </si>
  <si>
    <t>silversurfer∞立憲民主党派</t>
  </si>
  <si>
    <t>How does Japan raise taxes for two years ahead? It is a country of bad people who will dissolve and elect the election</t>
  </si>
  <si>
    <t>Anti Caucasian supremacy. Anti - racism #ヘイトスピーチは違法 #差別はアホー #外国人選挙活動は有効 #夢も希望もない小池百合子💢 #無知なバカウヨ my profile is nothing for foolish right Wings and hatespeaker。</t>
  </si>
  <si>
    <t>RT @silversurfer_a: How does Japan raise taxes for two years ahead? It is a country of bad people who will dissolve and elect the election</t>
  </si>
  <si>
    <t>Mo</t>
  </si>
  <si>
    <t>Vegas</t>
  </si>
  <si>
    <t>When people are fearful be greedy, when people are greedy be fearful... WB. USAF Veteran 97 - 01✌</t>
  </si>
  <si>
    <t>Japanese PM Shinzo Abe isn't as popular as you might think https://t.co/Zjb1MpYxjD https://t.co/y9ytHkC9Mz #BSAFunds #MerchantCashAdvance</t>
  </si>
  <si>
    <t>Marilyn Akahoshi</t>
  </si>
  <si>
    <t>Mother, Grandma/Nana, Sister, Auntie.Cousin, Friend,Niners, Ducks &amp; Bruins fan &amp; support Firefighters &amp; LEO'S</t>
  </si>
  <si>
    <t>Dr. Anabella Jimenez</t>
  </si>
  <si>
    <t>ÜT: 33.893384,-118.038617</t>
  </si>
  <si>
    <t>El Salvador native. Grew up in CA. My life: family, patients, equality. My comments R purely mine not any institution that I'm assoc with RTs R not endorsements</t>
  </si>
  <si>
    <t>Girls V Guys Club</t>
  </si>
  <si>
    <t>Election Dissection: What Happened When Japan Went to the Polls https://t.co/ZbWTxIViUC https://t.co/kr6DqRjSNY</t>
  </si>
  <si>
    <t>ちゃあ狸</t>
  </si>
  <si>
    <t>Progressive Simulation Gamer</t>
  </si>
  <si>
    <t>Why changing Japan’s pacifist constitution is a big deal - AFTER a landslide election win on Sunday that saw hi... https://t.co/3tv8F0rcbC</t>
  </si>
  <si>
    <t>Japanese PM Shinzo Abe isn't as popular as you might think https://t.co/KmgtvfgMNn https://t.co/scZS3PG1Yh</t>
  </si>
  <si>
    <t>Jamesdelaney</t>
  </si>
  <si>
    <t>Japan's Abe may have won election, but many don't want him as PM https://t.co/hmqxIzj8Qr https://t.co/PIjQ1hywr5</t>
  </si>
  <si>
    <t>Único heredero del estrecho de Nootka un pequeño trozo de tierra en la frontera entre Canadá y Estados Unidos.</t>
  </si>
  <si>
    <t>Japanese PM Shinzo Abe isn't as popular as you might think https://t.co/aKe6AmF4Xy https://t.co/xsdmhlcGy6</t>
  </si>
  <si>
    <t>Japanese PM Shinzo Abe isn't as popular as you might think https://t.co/jiXZ2K7uXP https://t.co/7kDErbdD1E</t>
  </si>
  <si>
    <t>business: Japanese PM Shinzo Abe isn't as popular as you might think https://t.co/2zWGCpAMc8 https://t.co/PSzcV6S3In</t>
  </si>
  <si>
    <t>Japan: Another landslide victory for Abe - Nomura: The snap election result saw the ruling… https://t.co/oznXSvglyL</t>
  </si>
  <si>
    <t>business: Japanese PM Shinzo Abe isn't as popular as you might think https://t.co/xqKvPhIWhV https://t.co/DJNZdpuoJ6</t>
  </si>
  <si>
    <t>RT business "Japanese PM Shinzo Abe isn't as popular as you might think https://t.co/rIZwosbI7i https://t.co/fJ7OmIxphe"</t>
  </si>
  <si>
    <t>jaimeotero_: Japanese PM Shinzo Abe isn't as popular as you might think https://t.co/pFbu4Nubkf https://t.co/UA4EYrDAuU RT</t>
  </si>
  <si>
    <t>高橋誠一郎</t>
  </si>
  <si>
    <t>２０１６年３月に登録</t>
  </si>
  <si>
    <t>ロシア文学と近代日本文学および文明論の研究者です。 極東で戦争が始まれば多数の死傷者が出るばかりでなく、全世界が放射能で汚染される。 今年は「核兵器禁止条約」が結ばれ、ICANがノーベル平和賞を受賞したが、「日本国憲法」はそれを先取りしていた。 原発の稼働を進め核武装を狙う安倍自民党が改憲を叫ぶ一因はそこにあると思う</t>
  </si>
  <si>
    <t>India Writes Network</t>
  </si>
  <si>
    <t>#MODI CHEERS #ABE’S BIG ELECTION WIN, #INDIA-JAPAN TIES SET FOR UPSWING https://t.co/55FxUSUJij</t>
  </si>
  <si>
    <t>India Writes Network is a portal and e-magazine-journal that opens new windows into India’s global relationships and its emergence as an international player.</t>
  </si>
  <si>
    <t>Ashish Nijhawan</t>
  </si>
  <si>
    <t>Ferozshah Road, New Delhi</t>
  </si>
  <si>
    <t>Journalist, Writer, Reporter, Media coordinator. Working @ Kyodo News - Japanese News Agency.</t>
  </si>
  <si>
    <t>NumbingDisasterAnon</t>
  </si>
  <si>
    <t>Grand Ziggurat, Kekistan</t>
  </si>
  <si>
    <t>Just an Anonymous guy who hates stupidity. Humble inquisitor of the Order of Kek. Egalitarian in belief, MRA in practice.</t>
  </si>
  <si>
    <t>城　つき</t>
  </si>
  <si>
    <t>編み物大好きな働くおばちゃんです。通勤の電車の中で、靴下かタティングレースを編んでます。大和盆地に生息中。</t>
  </si>
  <si>
    <t>LiCaK</t>
  </si>
  <si>
    <t>Cogito elgo sum. Isn't it an alternative fact? lol</t>
  </si>
  <si>
    <t>❤️Texas Blood Money❤</t>
  </si>
  <si>
    <t>RT @DavidPapp: Japan's Shinzo Abe Conjures Stunning Election Victory in a Boost for Donald Trump https://t.co/UGQvTkKk4n</t>
  </si>
  <si>
    <t xml:space="preserve">City Of Evil </t>
  </si>
  <si>
    <t>Rageaholic | Deathbat | Star Wars | Music and Food are my life |❤Matt tuck is my future exhusband❤</t>
  </si>
  <si>
    <t>get up - get on up !</t>
  </si>
  <si>
    <t>Real Music For Real People</t>
  </si>
  <si>
    <t>#BreakingNews Japan's Abe may have won election, but many don't want him as PM</t>
  </si>
  <si>
    <t>Akash Agarwal</t>
  </si>
  <si>
    <t>Happy Guy @SriSri &amp; @NarendraModi fan..a true patriot..Mera desh🇮🇳 badal raha ha, aage badh raha ha..:)</t>
  </si>
  <si>
    <t>lucky- NAMO SARKAR</t>
  </si>
  <si>
    <t>An INTERIOR DESIGNER _ Proud Hindu Nationalist- Followed by @MSufiSaint @NupurSOffice @PiyushGoyalOffc Blocked by #OWAISI #AK #JihadiDidi-NaMo is the best PM</t>
  </si>
  <si>
    <t>GT Lang</t>
  </si>
  <si>
    <t>Kansas, USA</t>
  </si>
  <si>
    <t>a farm kid, served in the USN with the USMC as a 8404 corpsman. Recently semiretired. Still hope to change the face of the planet by growing more grasslands</t>
  </si>
  <si>
    <t>goodboy</t>
  </si>
  <si>
    <t>#Japan's Abe may have won election, but many don't want him as PM https://t.co/jyYkAo8uIO</t>
  </si>
  <si>
    <t>JOSTARYOUTUBE12</t>
  </si>
  <si>
    <t>https://t.co/P7J9Aiaf1l 【 #DonaldTrump election】 I talked about the disadvantages of Japan and the future #トランプ #トランプ当選 #T #EDM #House</t>
  </si>
  <si>
    <t>J-POP エンタメ ファッション ライフスタイル ライフスタイル 音楽</t>
  </si>
  <si>
    <t>リカ</t>
  </si>
  <si>
    <t>島根県松江市</t>
  </si>
  <si>
    <t>リカです。柴犬大好き。 仕事…毎日、大量の荷物と闘っています💪 背景は宍道湖の夕日です🌄 山陰より小池都知事を強力に応援しています。</t>
  </si>
  <si>
    <t>ひー</t>
  </si>
  <si>
    <t>おたのしみと自分のためのリツイート</t>
  </si>
  <si>
    <t>Praveen Rathod</t>
  </si>
  <si>
    <t>カズちゃん</t>
  </si>
  <si>
    <t>Marion-South-Carolina-USA</t>
  </si>
  <si>
    <t>常に好奇心を持って問題意識と向上心．物事を線で捉えず線で捉える。今の常識に捉われず本質をみる。設計士。ITビジネス模索。取得特許2件。WorkStationを使ったビジネス。YouTuber。双極性障害ADHD。若い人に継承したい事や言葉を,twitter、fb 、mixi https://t.co/wHLzrNDv1P</t>
  </si>
  <si>
    <t>Japan's Abe may have won election, but many don't want him as PM https://t.co/P8rcnKBnbj</t>
  </si>
  <si>
    <t>magisa</t>
  </si>
  <si>
    <t>登坂　正則</t>
  </si>
  <si>
    <t xml:space="preserve">San Francisco, CA for 2 years </t>
  </si>
  <si>
    <t>関心ごと：サッカー、時事（政治・行政・経済・労働法令・医療年金・国家安全保障・電気電子工学）。卒論のテーマは、「パワーエレクトロニクスとエネルギー回生制御」。尊敬する人物は、米内光政 チャック・ヘーゲル国防長官 ジョナサン・グリナート海軍大将 深尾正博士 戸塚洋二博士。音楽はベートーヴェンの交響曲。</t>
  </si>
  <si>
    <t>wild hiro</t>
  </si>
  <si>
    <t>Shibuyaku Tokyo</t>
  </si>
  <si>
    <t>自分に興味のあることをRetweetしたり、あまり知られてないと思うことをTweetします。そんなこと知っているよ、うざいと思われたら笑って無視してください。</t>
  </si>
  <si>
    <t>Japan's Abe may have won election, but many don't want him as PM https://t.co/Z3eFSnPUVT https://t.co/NJNNUSIG2q</t>
  </si>
  <si>
    <t>Reuters: Japan's Abe may have won election, but many don't want him as PM https://t.co/jXTgY5SfmX https://t.co/PMEeqPEePh</t>
  </si>
  <si>
    <t>أمجد المهيدب</t>
  </si>
  <si>
    <t>RT @Reuters: Japan's Abe may have won election, but many don't want him as PM https://t.co/Z3eFSnPUVT https://t.co/NJNNUSIG2q</t>
  </si>
  <si>
    <t>Kingdom of Saudi Arabia</t>
  </si>
  <si>
    <t>Social Media Expert | Social Media Influencer</t>
  </si>
  <si>
    <t>Monaka</t>
  </si>
  <si>
    <t>埼玉 狭山市</t>
  </si>
  <si>
    <t>Living in Japan。 I like to visit the Romanesque monastery and the church.美大での専攻 「グラフィックデザイン」 「西洋中世美術史」を浅く。特にビザンチン〜ロマネスク〜ルネサンス美術、写本。息子2人孫2人。1944年</t>
  </si>
  <si>
    <t>Titus Mamabolo</t>
  </si>
  <si>
    <t>best is me no other</t>
  </si>
  <si>
    <t>LeTrina_</t>
  </si>
  <si>
    <t>U.S.A 🇺🇸España🇪🇸Colombia🇨</t>
  </si>
  <si>
    <t>.!!! GRACIAS TOTALES.!!! Hacer todo con Honestidad...Musica.Arte,política,Cine, 🎼🎨⚖️📚🎬Florida Miami 🇺🇸 \__(••)__/ 🛩️ ! Information; https://t.co/dxUvOhQfWe</t>
  </si>
  <si>
    <t>wasabi</t>
  </si>
  <si>
    <t>好きなこと:アウトドア（特に登山）、旅。１年間4ヶ月、カナダでワーホリを経験。次の海外生活に挑むべく日本で準備中です。次はニュージーランドかな。</t>
  </si>
  <si>
    <t>ARMAGIDON WORLDENT</t>
  </si>
  <si>
    <t>🙂ARMAGIDON WORLDENT</t>
  </si>
  <si>
    <t>Japan's Abe may have won election, but many don't want him as PM https://t.co/8cEu6jmLGH https://t.co/NbOZL651HA Reuters</t>
  </si>
  <si>
    <t>シン＠にょろ</t>
  </si>
  <si>
    <t>長崎</t>
  </si>
  <si>
    <t>所詮つぶやきですよ( ･´ｰ･｀) 、バト/オペ２、 SKIES /UNKOWN待機、囲碁、[ユニリスナー、NGC NAS会員]、時事、 危機管理、etc 好物は汁なし担々麺、鬼平犯科帳 全ては筋肉が解決してくれる</t>
  </si>
  <si>
    <t>유한짐</t>
  </si>
  <si>
    <t>서울</t>
  </si>
  <si>
    <t>누구나 잘 살아도 괜찬아 . https://t.co/rbw8ej6kSj https://t.co/uxm0Wu4U9r https://t.co/SRvb23fhzo /맥락/장소/환경/생태/건축/물질/생활/사회</t>
  </si>
  <si>
    <t>Pravin Nowbuth</t>
  </si>
  <si>
    <t>SAP Developer</t>
  </si>
  <si>
    <t>Japan's Abe may have won election, but many don't want him as PM https://t.co/layEmsaQmc https://t.co/REs8Fe8I6K #klout #maga</t>
  </si>
  <si>
    <t>REUTERS reports Japan's Abe may have won election, but many don't want him as PM https://t.co/zZ0SPdxRR5 https://t.co/Ry7268Ok13</t>
  </si>
  <si>
    <t>Reuters: Japan's Abe may have won election, but many don't want him as PM https://t.co/zdu9JgIHk1 https://t.co/b0o9gzJ4gY</t>
  </si>
  <si>
    <t>Lisa Twaronite</t>
  </si>
  <si>
    <t>Tokyo-based Reuters senior correspondent. Opinions/errors/sarcasm = my own. https://t.co/DzMp6Dokac</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</si>
</sst>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d/yyyy H:mm:ss"/>
    <numFmt numFmtId="165" formatCode="m/d/yyyy h:mm:ss"/>
    <numFmt numFmtId="166" formatCode="dd/MM/yyyy HH:mm:ss"/>
    <numFmt numFmtId="167" formatCode="d mmmm"/>
    <numFmt numFmtId="168" formatCode="mm/dd/yyyy"/>
  </numFmts>
  <fonts count="12">
    <font>
      <sz val="10.0"/>
      <color rgb="FF000000"/>
      <name val="Arial"/>
    </font>
    <font>
      <sz val="9.0"/>
      <color rgb="FFFFFFFF"/>
      <name val="Droid Sans"/>
    </font>
    <font>
      <sz val="9.0"/>
      <color rgb="FFFFFFFF"/>
      <name val="Arial"/>
    </font>
    <font>
      <sz val="8.0"/>
      <color rgb="FFFFFFFF"/>
      <name val="Droid Sans"/>
    </font>
    <font>
      <sz val="8.0"/>
      <name val="Droid Sans"/>
    </font>
    <font/>
    <font>
      <sz val="8.0"/>
      <name val="Arial"/>
    </font>
    <font>
      <u/>
      <sz val="8.0"/>
      <color rgb="FF0000FF"/>
      <name val="Droid Sans"/>
    </font>
    <font>
      <u/>
      <sz val="8.0"/>
      <color rgb="FF0000FF"/>
      <name val="Droid Sans"/>
    </font>
    <font>
      <u/>
      <sz val="8.0"/>
      <color rgb="FF0000FF"/>
      <name val="Droid Sans"/>
    </font>
    <font>
      <u/>
      <sz val="8.0"/>
      <color rgb="FF0000FF"/>
      <name val="Droid Sans"/>
    </font>
    <font>
      <u/>
      <sz val="8.0"/>
      <color rgb="FF0000FF"/>
      <name val="Droid Sans"/>
    </font>
  </fonts>
  <fills count="4">
    <fill>
      <patternFill patternType="none"/>
    </fill>
    <fill>
      <patternFill patternType="lightGray"/>
    </fill>
    <fill>
      <patternFill patternType="solid">
        <fgColor rgb="FF1155CC"/>
        <bgColor rgb="FF1155CC"/>
      </patternFill>
    </fill>
    <fill>
      <patternFill patternType="solid">
        <fgColor rgb="FF4A86E8"/>
        <bgColor rgb="FF4A86E8"/>
      </patternFill>
    </fill>
  </fills>
  <borders count="6">
    <border/>
    <border>
      <left style="thin">
        <color rgb="FFFFFFFF"/>
      </left>
      <right style="thin">
        <color rgb="FFFFFFFF"/>
      </right>
      <top style="thin">
        <color rgb="FFFFFFFF"/>
      </top>
      <bottom style="thin">
        <color rgb="FFFFFFFF"/>
      </bottom>
    </border>
    <border>
      <left style="thin">
        <color rgb="FFFFFFFF"/>
      </left>
      <top style="thin">
        <color rgb="FFFFFFFF"/>
      </top>
      <bottom style="thin">
        <color rgb="FFFFFFFF"/>
      </bottom>
    </border>
    <border>
      <left style="thin">
        <color rgb="FF000000"/>
      </left>
      <right style="thin">
        <color rgb="FF000000"/>
      </right>
      <top style="thin">
        <color rgb="FF000000"/>
      </top>
      <bottom style="thin">
        <color rgb="FF000000"/>
      </bottom>
    </border>
    <border>
      <top style="thin">
        <color rgb="FFFFFFFF"/>
      </top>
      <bottom style="thin">
        <color rgb="FFFFFFFF"/>
      </bottom>
    </border>
    <border>
      <right style="thin">
        <color rgb="FFFFFFFF"/>
      </right>
      <top style="thin">
        <color rgb="FFFFFFFF"/>
      </top>
      <bottom style="thin">
        <color rgb="FFFFFFFF"/>
      </bottom>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0"/>
    </xf>
    <xf borderId="1" fillId="2" fontId="2" numFmtId="0" xfId="0" applyAlignment="1" applyBorder="1" applyFont="1">
      <alignment horizontal="center" readingOrder="0" shrinkToFit="0" vertical="center" wrapText="0"/>
    </xf>
    <xf borderId="0" fillId="2" fontId="3" numFmtId="0" xfId="0" applyAlignment="1" applyFont="1">
      <alignment horizontal="center" readingOrder="0" shrinkToFit="0" vertical="center" wrapText="0"/>
    </xf>
    <xf borderId="1" fillId="2" fontId="2" numFmtId="0" xfId="0" applyAlignment="1" applyBorder="1" applyFont="1">
      <alignment horizontal="center" readingOrder="0" shrinkToFit="0" vertical="center" wrapText="0"/>
    </xf>
    <xf borderId="0" fillId="2" fontId="4" numFmtId="164" xfId="0" applyAlignment="1" applyFont="1" applyNumberFormat="1">
      <alignment horizontal="center" shrinkToFit="0" vertical="bottom" wrapText="0"/>
    </xf>
    <xf borderId="2" fillId="2" fontId="2" numFmtId="0" xfId="0" applyAlignment="1" applyBorder="1" applyFont="1">
      <alignment horizontal="center" readingOrder="0" shrinkToFit="0" vertical="center" wrapText="0"/>
    </xf>
    <xf borderId="3" fillId="3" fontId="3" numFmtId="164" xfId="0" applyAlignment="1" applyBorder="1" applyFill="1" applyFont="1" applyNumberFormat="1">
      <alignment horizontal="center" shrinkToFit="0" vertical="center" wrapText="0"/>
    </xf>
    <xf borderId="4" fillId="0" fontId="5" numFmtId="0" xfId="0" applyBorder="1" applyFont="1"/>
    <xf borderId="3" fillId="3" fontId="3" numFmtId="0" xfId="0" applyAlignment="1" applyBorder="1" applyFont="1">
      <alignment horizontal="center" shrinkToFit="0" vertical="center" wrapText="0"/>
    </xf>
    <xf borderId="5" fillId="0" fontId="5" numFmtId="0" xfId="0" applyBorder="1" applyFont="1"/>
    <xf borderId="3" fillId="3" fontId="3" numFmtId="0" xfId="0" applyAlignment="1" applyBorder="1" applyFont="1">
      <alignment horizontal="center" readingOrder="0" shrinkToFit="0" vertical="center" wrapText="0"/>
    </xf>
    <xf borderId="0" fillId="0" fontId="6" numFmtId="165" xfId="0" applyAlignment="1" applyFont="1" applyNumberFormat="1">
      <alignment horizontal="center" readingOrder="0" shrinkToFit="0" vertical="center" wrapText="0"/>
    </xf>
    <xf borderId="0" fillId="0" fontId="6" numFmtId="0" xfId="0" applyAlignment="1" applyFont="1">
      <alignment readingOrder="0" shrinkToFit="0" vertical="center" wrapText="0"/>
    </xf>
    <xf borderId="0" fillId="0" fontId="4" numFmtId="164" xfId="0" applyAlignment="1" applyFont="1" applyNumberFormat="1">
      <alignment horizontal="center" readingOrder="0" shrinkToFit="0" vertical="center" wrapText="0"/>
    </xf>
    <xf borderId="0" fillId="0" fontId="6" numFmtId="0" xfId="0" applyAlignment="1" applyFont="1">
      <alignment shrinkToFit="0" vertical="center" wrapText="0"/>
    </xf>
    <xf borderId="0" fillId="0" fontId="6" numFmtId="166" xfId="0" applyAlignment="1" applyFont="1" applyNumberFormat="1">
      <alignment shrinkToFit="0" vertical="center" wrapText="0"/>
    </xf>
    <xf borderId="0" fillId="0" fontId="6" numFmtId="0" xfId="0" applyAlignment="1" applyFont="1">
      <alignment horizontal="center" readingOrder="0" shrinkToFit="0" vertical="center" wrapText="0"/>
    </xf>
    <xf borderId="0" fillId="0" fontId="6" numFmtId="0" xfId="0" applyAlignment="1" applyFont="1">
      <alignment horizontal="center" shrinkToFit="0" vertical="center" wrapText="0"/>
    </xf>
    <xf borderId="0" fillId="0" fontId="6" numFmtId="0" xfId="0" applyAlignment="1" applyFont="1">
      <alignment shrinkToFit="0" vertical="center" wrapText="0"/>
    </xf>
    <xf borderId="0" fillId="0" fontId="7" numFmtId="0" xfId="0" applyAlignment="1" applyFont="1">
      <alignment shrinkToFit="0" vertical="center" wrapText="0"/>
    </xf>
    <xf borderId="0" fillId="0" fontId="4" numFmtId="0" xfId="0" applyAlignment="1" applyFont="1">
      <alignment readingOrder="0" shrinkToFit="0" vertical="center" wrapText="0"/>
    </xf>
    <xf borderId="0" fillId="0" fontId="8" numFmtId="0" xfId="0" applyAlignment="1" applyFont="1">
      <alignment horizontal="center" shrinkToFit="0" vertical="center" wrapText="0"/>
    </xf>
    <xf borderId="0" fillId="0" fontId="4" numFmtId="0" xfId="0" applyAlignment="1" applyFont="1">
      <alignment horizontal="center" readingOrder="0" shrinkToFit="0" vertical="center" wrapText="0"/>
    </xf>
    <xf borderId="0" fillId="0" fontId="4" numFmtId="0" xfId="0" applyAlignment="1" applyFont="1">
      <alignment horizontal="center" readingOrder="0" shrinkToFit="0" vertical="center" wrapText="0"/>
    </xf>
    <xf borderId="0" fillId="0" fontId="4" numFmtId="14" xfId="0" applyAlignment="1" applyFont="1" applyNumberFormat="1">
      <alignment horizontal="center" readingOrder="0" shrinkToFit="0" vertical="center" wrapText="0"/>
    </xf>
    <xf borderId="0" fillId="0" fontId="4" numFmtId="0" xfId="0" applyAlignment="1" applyFont="1">
      <alignment horizontal="left" readingOrder="0" shrinkToFit="0" vertical="center" wrapText="0"/>
    </xf>
    <xf borderId="0" fillId="0" fontId="4" numFmtId="0" xfId="0" applyAlignment="1" applyFont="1">
      <alignment horizontal="center" shrinkToFit="0" vertical="center" wrapText="0"/>
    </xf>
    <xf borderId="0" fillId="0" fontId="4" numFmtId="0" xfId="0" applyAlignment="1" applyFont="1">
      <alignment horizontal="left" shrinkToFit="0" vertical="center" wrapText="0"/>
    </xf>
    <xf borderId="0" fillId="0" fontId="9" numFmtId="0" xfId="0" applyAlignment="1" applyFont="1">
      <alignment readingOrder="0" shrinkToFit="0" vertical="center" wrapText="0"/>
    </xf>
    <xf borderId="0" fillId="0" fontId="10" numFmtId="0" xfId="0" applyAlignment="1" applyFont="1">
      <alignment horizontal="center" readingOrder="0" shrinkToFit="0" vertical="center" wrapText="0"/>
    </xf>
    <xf borderId="0" fillId="0" fontId="4" numFmtId="0" xfId="0" applyAlignment="1" applyFont="1">
      <alignment readingOrder="0" shrinkToFit="0" vertical="center" wrapText="0"/>
    </xf>
    <xf borderId="0" fillId="0" fontId="4" numFmtId="0" xfId="0" applyAlignment="1" applyFont="1">
      <alignment horizontal="left" readingOrder="0" shrinkToFit="0" vertical="center" wrapText="0"/>
    </xf>
    <xf quotePrefix="1" borderId="0" fillId="0" fontId="4" numFmtId="0" xfId="0" applyAlignment="1" applyFont="1">
      <alignment horizontal="left" readingOrder="0" shrinkToFit="0" vertical="center" wrapText="0"/>
    </xf>
    <xf quotePrefix="1" borderId="0" fillId="0" fontId="4" numFmtId="0" xfId="0" applyAlignment="1" applyFont="1">
      <alignment readingOrder="0" shrinkToFit="0" vertical="center" wrapText="0"/>
    </xf>
    <xf borderId="0" fillId="0" fontId="11" numFmtId="0" xfId="0" applyAlignment="1" applyFont="1">
      <alignment horizontal="left" readingOrder="0" shrinkToFit="0" vertical="center" wrapText="0"/>
    </xf>
    <xf borderId="0" fillId="0" fontId="4" numFmtId="167" xfId="0" applyAlignment="1" applyFont="1" applyNumberFormat="1">
      <alignment horizontal="left" readingOrder="0" shrinkToFit="0" vertical="center" wrapText="0"/>
    </xf>
    <xf borderId="0" fillId="0" fontId="4" numFmtId="168" xfId="0" applyAlignment="1" applyFont="1" applyNumberFormat="1">
      <alignment horizontal="left" readingOrder="0" shrinkToFit="0" vertical="center" wrapText="0"/>
    </xf>
    <xf borderId="0" fillId="0" fontId="4" numFmtId="164" xfId="0" applyAlignment="1" applyFont="1" applyNumberFormat="1">
      <alignment horizontal="center" shrinkToFit="0" vertical="center" wrapText="0"/>
    </xf>
    <xf borderId="0" fillId="0" fontId="4" numFmtId="0" xfId="0" applyAlignment="1" applyFont="1">
      <alignment shrinkToFit="0" vertical="center" wrapText="0"/>
    </xf>
    <xf borderId="0" fillId="0" fontId="4" numFmtId="0" xfId="0" applyAlignment="1" applyFont="1">
      <alignment shrinkToFit="0" vertical="center"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90" Type="http://schemas.openxmlformats.org/officeDocument/2006/relationships/hyperlink" Target="http://NewsBoss.in" TargetMode="External"/><Relationship Id="rId194" Type="http://schemas.openxmlformats.org/officeDocument/2006/relationships/hyperlink" Target="https://t.co/nuAY1hJI3u" TargetMode="External"/><Relationship Id="rId193" Type="http://schemas.openxmlformats.org/officeDocument/2006/relationships/hyperlink" Target="http://WordPress.com" TargetMode="External"/><Relationship Id="rId192" Type="http://schemas.openxmlformats.org/officeDocument/2006/relationships/hyperlink" Target="http://NewsBoss.in" TargetMode="External"/><Relationship Id="rId191" Type="http://schemas.openxmlformats.org/officeDocument/2006/relationships/hyperlink" Target="http://NewsBoss.in" TargetMode="External"/><Relationship Id="rId187" Type="http://schemas.openxmlformats.org/officeDocument/2006/relationships/hyperlink" Target="http://NewsBoss.in" TargetMode="External"/><Relationship Id="rId186" Type="http://schemas.openxmlformats.org/officeDocument/2006/relationships/hyperlink" Target="http://NewsBoss.in" TargetMode="External"/><Relationship Id="rId185" Type="http://schemas.openxmlformats.org/officeDocument/2006/relationships/hyperlink" Target="http://NewsBoss.in" TargetMode="External"/><Relationship Id="rId184" Type="http://schemas.openxmlformats.org/officeDocument/2006/relationships/hyperlink" Target="http://NewsBoss.in" TargetMode="External"/><Relationship Id="rId189" Type="http://schemas.openxmlformats.org/officeDocument/2006/relationships/hyperlink" Target="http://NewsBoss.in" TargetMode="External"/><Relationship Id="rId188" Type="http://schemas.openxmlformats.org/officeDocument/2006/relationships/hyperlink" Target="http://Abusidiqu.com" TargetMode="External"/><Relationship Id="rId183" Type="http://schemas.openxmlformats.org/officeDocument/2006/relationships/hyperlink" Target="http://NewsBoss.in" TargetMode="External"/><Relationship Id="rId182" Type="http://schemas.openxmlformats.org/officeDocument/2006/relationships/hyperlink" Target="http://NewsBoss.in" TargetMode="External"/><Relationship Id="rId181" Type="http://schemas.openxmlformats.org/officeDocument/2006/relationships/hyperlink" Target="http://NewsBoss.in" TargetMode="External"/><Relationship Id="rId180" Type="http://schemas.openxmlformats.org/officeDocument/2006/relationships/hyperlink" Target="http://NewsBoss.in" TargetMode="External"/><Relationship Id="rId176" Type="http://schemas.openxmlformats.org/officeDocument/2006/relationships/hyperlink" Target="http://NewsBoss.in" TargetMode="External"/><Relationship Id="rId297" Type="http://schemas.openxmlformats.org/officeDocument/2006/relationships/hyperlink" Target="http://NewsBoss.in" TargetMode="External"/><Relationship Id="rId175" Type="http://schemas.openxmlformats.org/officeDocument/2006/relationships/hyperlink" Target="http://NewsBoss.in" TargetMode="External"/><Relationship Id="rId296" Type="http://schemas.openxmlformats.org/officeDocument/2006/relationships/hyperlink" Target="http://NewsBoss.in" TargetMode="External"/><Relationship Id="rId174" Type="http://schemas.openxmlformats.org/officeDocument/2006/relationships/hyperlink" Target="http://NewsBoss.in" TargetMode="External"/><Relationship Id="rId295" Type="http://schemas.openxmlformats.org/officeDocument/2006/relationships/hyperlink" Target="http://NewsBoss.in" TargetMode="External"/><Relationship Id="rId173" Type="http://schemas.openxmlformats.org/officeDocument/2006/relationships/hyperlink" Target="http://NewsBoss.in" TargetMode="External"/><Relationship Id="rId294" Type="http://schemas.openxmlformats.org/officeDocument/2006/relationships/hyperlink" Target="http://AllStartups.in" TargetMode="External"/><Relationship Id="rId179" Type="http://schemas.openxmlformats.org/officeDocument/2006/relationships/hyperlink" Target="http://NewsBoss.in" TargetMode="External"/><Relationship Id="rId178" Type="http://schemas.openxmlformats.org/officeDocument/2006/relationships/hyperlink" Target="http://NewsBoss.in" TargetMode="External"/><Relationship Id="rId299" Type="http://schemas.openxmlformats.org/officeDocument/2006/relationships/hyperlink" Target="https://t.co/1d0DNM2ac0" TargetMode="External"/><Relationship Id="rId177" Type="http://schemas.openxmlformats.org/officeDocument/2006/relationships/hyperlink" Target="http://gab.ai/VandeMataram" TargetMode="External"/><Relationship Id="rId298" Type="http://schemas.openxmlformats.org/officeDocument/2006/relationships/hyperlink" Target="http://NewsBoss.in" TargetMode="External"/><Relationship Id="rId198" Type="http://schemas.openxmlformats.org/officeDocument/2006/relationships/hyperlink" Target="http://WordPress.com" TargetMode="External"/><Relationship Id="rId197" Type="http://schemas.openxmlformats.org/officeDocument/2006/relationships/hyperlink" Target="http://BGASC.com" TargetMode="External"/><Relationship Id="rId196" Type="http://schemas.openxmlformats.org/officeDocument/2006/relationships/hyperlink" Target="http://Twibble.io" TargetMode="External"/><Relationship Id="rId195" Type="http://schemas.openxmlformats.org/officeDocument/2006/relationships/hyperlink" Target="http://dlvr.it" TargetMode="External"/><Relationship Id="rId199" Type="http://schemas.openxmlformats.org/officeDocument/2006/relationships/hyperlink" Target="http://EnLawded.com" TargetMode="External"/><Relationship Id="rId150" Type="http://schemas.openxmlformats.org/officeDocument/2006/relationships/hyperlink" Target="http://WordPress.com" TargetMode="External"/><Relationship Id="rId271" Type="http://schemas.openxmlformats.org/officeDocument/2006/relationships/hyperlink" Target="http://dlvr.it" TargetMode="External"/><Relationship Id="rId392" Type="http://schemas.openxmlformats.org/officeDocument/2006/relationships/hyperlink" Target="http://dlvr.it" TargetMode="External"/><Relationship Id="rId270" Type="http://schemas.openxmlformats.org/officeDocument/2006/relationships/hyperlink" Target="http://dlvr.it" TargetMode="External"/><Relationship Id="rId391" Type="http://schemas.openxmlformats.org/officeDocument/2006/relationships/hyperlink" Target="http://dlvr.it" TargetMode="External"/><Relationship Id="rId390" Type="http://schemas.openxmlformats.org/officeDocument/2006/relationships/hyperlink" Target="http://dlvr.it" TargetMode="External"/><Relationship Id="rId1" Type="http://schemas.openxmlformats.org/officeDocument/2006/relationships/hyperlink" Target="http://NewsBoss.in" TargetMode="External"/><Relationship Id="rId2" Type="http://schemas.openxmlformats.org/officeDocument/2006/relationships/hyperlink" Target="http://NewsBoss.in" TargetMode="External"/><Relationship Id="rId3" Type="http://schemas.openxmlformats.org/officeDocument/2006/relationships/hyperlink" Target="http://WordPress.com" TargetMode="External"/><Relationship Id="rId149" Type="http://schemas.openxmlformats.org/officeDocument/2006/relationships/hyperlink" Target="http://dlvr.it" TargetMode="External"/><Relationship Id="rId4" Type="http://schemas.openxmlformats.org/officeDocument/2006/relationships/hyperlink" Target="http://WordPress.com" TargetMode="External"/><Relationship Id="rId148" Type="http://schemas.openxmlformats.org/officeDocument/2006/relationships/hyperlink" Target="http://WordPress.com" TargetMode="External"/><Relationship Id="rId269" Type="http://schemas.openxmlformats.org/officeDocument/2006/relationships/hyperlink" Target="http://dlvr.it" TargetMode="External"/><Relationship Id="rId9" Type="http://schemas.openxmlformats.org/officeDocument/2006/relationships/hyperlink" Target="http://twittbot.net" TargetMode="External"/><Relationship Id="rId143" Type="http://schemas.openxmlformats.org/officeDocument/2006/relationships/hyperlink" Target="http://Signals.me" TargetMode="External"/><Relationship Id="rId264" Type="http://schemas.openxmlformats.org/officeDocument/2006/relationships/hyperlink" Target="http://dlvr.it" TargetMode="External"/><Relationship Id="rId385" Type="http://schemas.openxmlformats.org/officeDocument/2006/relationships/hyperlink" Target="http://dlvr.it" TargetMode="External"/><Relationship Id="rId142" Type="http://schemas.openxmlformats.org/officeDocument/2006/relationships/hyperlink" Target="http://dlvr.it" TargetMode="External"/><Relationship Id="rId263" Type="http://schemas.openxmlformats.org/officeDocument/2006/relationships/hyperlink" Target="http://dlvr.it" TargetMode="External"/><Relationship Id="rId384" Type="http://schemas.openxmlformats.org/officeDocument/2006/relationships/hyperlink" Target="http://dlvr.it" TargetMode="External"/><Relationship Id="rId141" Type="http://schemas.openxmlformats.org/officeDocument/2006/relationships/hyperlink" Target="http://dlvr.it" TargetMode="External"/><Relationship Id="rId262" Type="http://schemas.openxmlformats.org/officeDocument/2006/relationships/hyperlink" Target="http://Abusidiqu.com" TargetMode="External"/><Relationship Id="rId383" Type="http://schemas.openxmlformats.org/officeDocument/2006/relationships/hyperlink" Target="http://dlvr.it" TargetMode="External"/><Relationship Id="rId140" Type="http://schemas.openxmlformats.org/officeDocument/2006/relationships/hyperlink" Target="http://dlvr.it" TargetMode="External"/><Relationship Id="rId261" Type="http://schemas.openxmlformats.org/officeDocument/2006/relationships/hyperlink" Target="http://dlvr.it" TargetMode="External"/><Relationship Id="rId382" Type="http://schemas.openxmlformats.org/officeDocument/2006/relationships/hyperlink" Target="http://dlvr.it" TargetMode="External"/><Relationship Id="rId5" Type="http://schemas.openxmlformats.org/officeDocument/2006/relationships/hyperlink" Target="http://dlvr.it" TargetMode="External"/><Relationship Id="rId147" Type="http://schemas.openxmlformats.org/officeDocument/2006/relationships/hyperlink" Target="http://WordPress.com" TargetMode="External"/><Relationship Id="rId268" Type="http://schemas.openxmlformats.org/officeDocument/2006/relationships/hyperlink" Target="http://dlvr.it" TargetMode="External"/><Relationship Id="rId389" Type="http://schemas.openxmlformats.org/officeDocument/2006/relationships/hyperlink" Target="http://dlvr.it" TargetMode="External"/><Relationship Id="rId6" Type="http://schemas.openxmlformats.org/officeDocument/2006/relationships/hyperlink" Target="http://WordPress.com" TargetMode="External"/><Relationship Id="rId146" Type="http://schemas.openxmlformats.org/officeDocument/2006/relationships/hyperlink" Target="http://dlvr.it" TargetMode="External"/><Relationship Id="rId267" Type="http://schemas.openxmlformats.org/officeDocument/2006/relationships/hyperlink" Target="http://dlvr.it" TargetMode="External"/><Relationship Id="rId388" Type="http://schemas.openxmlformats.org/officeDocument/2006/relationships/hyperlink" Target="http://dlvr.it" TargetMode="External"/><Relationship Id="rId7" Type="http://schemas.openxmlformats.org/officeDocument/2006/relationships/hyperlink" Target="http://twittbot.net" TargetMode="External"/><Relationship Id="rId145" Type="http://schemas.openxmlformats.org/officeDocument/2006/relationships/hyperlink" Target="http://dlvr.it" TargetMode="External"/><Relationship Id="rId266" Type="http://schemas.openxmlformats.org/officeDocument/2006/relationships/hyperlink" Target="http://PokerOne.info" TargetMode="External"/><Relationship Id="rId387" Type="http://schemas.openxmlformats.org/officeDocument/2006/relationships/hyperlink" Target="http://dlvr.it" TargetMode="External"/><Relationship Id="rId8" Type="http://schemas.openxmlformats.org/officeDocument/2006/relationships/hyperlink" Target="http://dlvr.it" TargetMode="External"/><Relationship Id="rId144" Type="http://schemas.openxmlformats.org/officeDocument/2006/relationships/hyperlink" Target="http://dlvr.it" TargetMode="External"/><Relationship Id="rId265" Type="http://schemas.openxmlformats.org/officeDocument/2006/relationships/hyperlink" Target="http://PokerOne.info" TargetMode="External"/><Relationship Id="rId386" Type="http://schemas.openxmlformats.org/officeDocument/2006/relationships/hyperlink" Target="http://dlvr.it" TargetMode="External"/><Relationship Id="rId260" Type="http://schemas.openxmlformats.org/officeDocument/2006/relationships/hyperlink" Target="http://donaldjtrump.com" TargetMode="External"/><Relationship Id="rId381" Type="http://schemas.openxmlformats.org/officeDocument/2006/relationships/hyperlink" Target="http://dlvr.it" TargetMode="External"/><Relationship Id="rId380" Type="http://schemas.openxmlformats.org/officeDocument/2006/relationships/hyperlink" Target="http://dlvr.it" TargetMode="External"/><Relationship Id="rId139" Type="http://schemas.openxmlformats.org/officeDocument/2006/relationships/hyperlink" Target="http://WordPress.com" TargetMode="External"/><Relationship Id="rId138" Type="http://schemas.openxmlformats.org/officeDocument/2006/relationships/hyperlink" Target="https://t.co/Csfc5O2lln" TargetMode="External"/><Relationship Id="rId259" Type="http://schemas.openxmlformats.org/officeDocument/2006/relationships/hyperlink" Target="http://dlvr.it" TargetMode="External"/><Relationship Id="rId137" Type="http://schemas.openxmlformats.org/officeDocument/2006/relationships/hyperlink" Target="http://dlvr.it" TargetMode="External"/><Relationship Id="rId258" Type="http://schemas.openxmlformats.org/officeDocument/2006/relationships/hyperlink" Target="http://Abusidiqu.com" TargetMode="External"/><Relationship Id="rId379" Type="http://schemas.openxmlformats.org/officeDocument/2006/relationships/hyperlink" Target="http://dlvr.it" TargetMode="External"/><Relationship Id="rId132" Type="http://schemas.openxmlformats.org/officeDocument/2006/relationships/hyperlink" Target="http://WordPress.com" TargetMode="External"/><Relationship Id="rId253" Type="http://schemas.openxmlformats.org/officeDocument/2006/relationships/hyperlink" Target="https://www.facebook.com/aparn" TargetMode="External"/><Relationship Id="rId374" Type="http://schemas.openxmlformats.org/officeDocument/2006/relationships/hyperlink" Target="http://dlvr.it" TargetMode="External"/><Relationship Id="rId495" Type="http://schemas.openxmlformats.org/officeDocument/2006/relationships/hyperlink" Target="http://dlvr.it" TargetMode="External"/><Relationship Id="rId131" Type="http://schemas.openxmlformats.org/officeDocument/2006/relationships/hyperlink" Target="http://dlvr.it" TargetMode="External"/><Relationship Id="rId252" Type="http://schemas.openxmlformats.org/officeDocument/2006/relationships/hyperlink" Target="http://dlvr.it" TargetMode="External"/><Relationship Id="rId373" Type="http://schemas.openxmlformats.org/officeDocument/2006/relationships/hyperlink" Target="http://dlvr.it" TargetMode="External"/><Relationship Id="rId494" Type="http://schemas.openxmlformats.org/officeDocument/2006/relationships/hyperlink" Target="http://dlvr.it" TargetMode="External"/><Relationship Id="rId130" Type="http://schemas.openxmlformats.org/officeDocument/2006/relationships/hyperlink" Target="http://Jepang.net" TargetMode="External"/><Relationship Id="rId251" Type="http://schemas.openxmlformats.org/officeDocument/2006/relationships/hyperlink" Target="http://WordPress.com" TargetMode="External"/><Relationship Id="rId372" Type="http://schemas.openxmlformats.org/officeDocument/2006/relationships/hyperlink" Target="http://dlvr.it" TargetMode="External"/><Relationship Id="rId493" Type="http://schemas.openxmlformats.org/officeDocument/2006/relationships/hyperlink" Target="http://dlvr.it" TargetMode="External"/><Relationship Id="rId250" Type="http://schemas.openxmlformats.org/officeDocument/2006/relationships/hyperlink" Target="http://Twibble.io" TargetMode="External"/><Relationship Id="rId371" Type="http://schemas.openxmlformats.org/officeDocument/2006/relationships/hyperlink" Target="http://dlvr.it" TargetMode="External"/><Relationship Id="rId492" Type="http://schemas.openxmlformats.org/officeDocument/2006/relationships/hyperlink" Target="http://dlvr.it" TargetMode="External"/><Relationship Id="rId136" Type="http://schemas.openxmlformats.org/officeDocument/2006/relationships/hyperlink" Target="http://StoriesFlow.com" TargetMode="External"/><Relationship Id="rId257" Type="http://schemas.openxmlformats.org/officeDocument/2006/relationships/hyperlink" Target="http://dlvr.it" TargetMode="External"/><Relationship Id="rId378" Type="http://schemas.openxmlformats.org/officeDocument/2006/relationships/hyperlink" Target="http://dlvr.it" TargetMode="External"/><Relationship Id="rId499" Type="http://schemas.openxmlformats.org/officeDocument/2006/relationships/hyperlink" Target="http://dlvr.it" TargetMode="External"/><Relationship Id="rId135" Type="http://schemas.openxmlformats.org/officeDocument/2006/relationships/hyperlink" Target="http://dlvr.it" TargetMode="External"/><Relationship Id="rId256" Type="http://schemas.openxmlformats.org/officeDocument/2006/relationships/hyperlink" Target="http://dlvr.it" TargetMode="External"/><Relationship Id="rId377" Type="http://schemas.openxmlformats.org/officeDocument/2006/relationships/hyperlink" Target="http://dlvr.it" TargetMode="External"/><Relationship Id="rId498" Type="http://schemas.openxmlformats.org/officeDocument/2006/relationships/hyperlink" Target="http://dlvr.it" TargetMode="External"/><Relationship Id="rId134" Type="http://schemas.openxmlformats.org/officeDocument/2006/relationships/hyperlink" Target="http://dlvr.it" TargetMode="External"/><Relationship Id="rId255" Type="http://schemas.openxmlformats.org/officeDocument/2006/relationships/hyperlink" Target="https://t.co/32xffxNbnV" TargetMode="External"/><Relationship Id="rId376" Type="http://schemas.openxmlformats.org/officeDocument/2006/relationships/hyperlink" Target="http://dlvr.it" TargetMode="External"/><Relationship Id="rId497" Type="http://schemas.openxmlformats.org/officeDocument/2006/relationships/hyperlink" Target="http://dlvr.it" TargetMode="External"/><Relationship Id="rId133" Type="http://schemas.openxmlformats.org/officeDocument/2006/relationships/hyperlink" Target="http://SocialReport.com" TargetMode="External"/><Relationship Id="rId254" Type="http://schemas.openxmlformats.org/officeDocument/2006/relationships/hyperlink" Target="http://dlvr.it" TargetMode="External"/><Relationship Id="rId375" Type="http://schemas.openxmlformats.org/officeDocument/2006/relationships/hyperlink" Target="http://dlvr.it" TargetMode="External"/><Relationship Id="rId496" Type="http://schemas.openxmlformats.org/officeDocument/2006/relationships/hyperlink" Target="http://dlvr.it" TargetMode="External"/><Relationship Id="rId172" Type="http://schemas.openxmlformats.org/officeDocument/2006/relationships/hyperlink" Target="http://NewsBoss.in" TargetMode="External"/><Relationship Id="rId293" Type="http://schemas.openxmlformats.org/officeDocument/2006/relationships/hyperlink" Target="http://ShareBoss.in" TargetMode="External"/><Relationship Id="rId171" Type="http://schemas.openxmlformats.org/officeDocument/2006/relationships/hyperlink" Target="http://NewsBoss.in" TargetMode="External"/><Relationship Id="rId292" Type="http://schemas.openxmlformats.org/officeDocument/2006/relationships/hyperlink" Target="http://dlvr.it" TargetMode="External"/><Relationship Id="rId170" Type="http://schemas.openxmlformats.org/officeDocument/2006/relationships/hyperlink" Target="http://Jepang.net" TargetMode="External"/><Relationship Id="rId291" Type="http://schemas.openxmlformats.org/officeDocument/2006/relationships/hyperlink" Target="http://dlvr.it" TargetMode="External"/><Relationship Id="rId290" Type="http://schemas.openxmlformats.org/officeDocument/2006/relationships/hyperlink" Target="http://Hamassenger.com" TargetMode="External"/><Relationship Id="rId165" Type="http://schemas.openxmlformats.org/officeDocument/2006/relationships/hyperlink" Target="http://Nepal123.com" TargetMode="External"/><Relationship Id="rId286" Type="http://schemas.openxmlformats.org/officeDocument/2006/relationships/hyperlink" Target="http://t.co/lgCM7TTRSn" TargetMode="External"/><Relationship Id="rId164" Type="http://schemas.openxmlformats.org/officeDocument/2006/relationships/hyperlink" Target="https://t.co/DbjqTZqNxN" TargetMode="External"/><Relationship Id="rId285" Type="http://schemas.openxmlformats.org/officeDocument/2006/relationships/hyperlink" Target="http://twittbot.net" TargetMode="External"/><Relationship Id="rId163" Type="http://schemas.openxmlformats.org/officeDocument/2006/relationships/hyperlink" Target="http://WordPress.com" TargetMode="External"/><Relationship Id="rId284" Type="http://schemas.openxmlformats.org/officeDocument/2006/relationships/hyperlink" Target="http://dlvr.it" TargetMode="External"/><Relationship Id="rId162" Type="http://schemas.openxmlformats.org/officeDocument/2006/relationships/hyperlink" Target="http://Dub.io" TargetMode="External"/><Relationship Id="rId283" Type="http://schemas.openxmlformats.org/officeDocument/2006/relationships/hyperlink" Target="http://dlvr.it" TargetMode="External"/><Relationship Id="rId169" Type="http://schemas.openxmlformats.org/officeDocument/2006/relationships/hyperlink" Target="http://AllStartups.in" TargetMode="External"/><Relationship Id="rId168" Type="http://schemas.openxmlformats.org/officeDocument/2006/relationships/hyperlink" Target="http://chirag.sp" TargetMode="External"/><Relationship Id="rId289" Type="http://schemas.openxmlformats.org/officeDocument/2006/relationships/hyperlink" Target="http://Hamassenger.com" TargetMode="External"/><Relationship Id="rId167" Type="http://schemas.openxmlformats.org/officeDocument/2006/relationships/hyperlink" Target="http://NewsNumber.Com" TargetMode="External"/><Relationship Id="rId288" Type="http://schemas.openxmlformats.org/officeDocument/2006/relationships/hyperlink" Target="http://Zapier.com" TargetMode="External"/><Relationship Id="rId166" Type="http://schemas.openxmlformats.org/officeDocument/2006/relationships/hyperlink" Target="http://WordPress.com" TargetMode="External"/><Relationship Id="rId287" Type="http://schemas.openxmlformats.org/officeDocument/2006/relationships/hyperlink" Target="http://BIGSpacer.com" TargetMode="External"/><Relationship Id="rId161" Type="http://schemas.openxmlformats.org/officeDocument/2006/relationships/hyperlink" Target="http://WordPress.com" TargetMode="External"/><Relationship Id="rId282" Type="http://schemas.openxmlformats.org/officeDocument/2006/relationships/hyperlink" Target="http://Twibble.io" TargetMode="External"/><Relationship Id="rId160" Type="http://schemas.openxmlformats.org/officeDocument/2006/relationships/hyperlink" Target="http://dlvr.it" TargetMode="External"/><Relationship Id="rId281" Type="http://schemas.openxmlformats.org/officeDocument/2006/relationships/hyperlink" Target="http://keybase.io/ankitpanda" TargetMode="External"/><Relationship Id="rId280" Type="http://schemas.openxmlformats.org/officeDocument/2006/relationships/hyperlink" Target="http://dlvr.it" TargetMode="External"/><Relationship Id="rId159" Type="http://schemas.openxmlformats.org/officeDocument/2006/relationships/hyperlink" Target="http://WordPress.com" TargetMode="External"/><Relationship Id="rId154" Type="http://schemas.openxmlformats.org/officeDocument/2006/relationships/hyperlink" Target="http://dlvr.it" TargetMode="External"/><Relationship Id="rId275" Type="http://schemas.openxmlformats.org/officeDocument/2006/relationships/hyperlink" Target="http://NewsBoss.in" TargetMode="External"/><Relationship Id="rId396" Type="http://schemas.openxmlformats.org/officeDocument/2006/relationships/hyperlink" Target="http://dlvr.it" TargetMode="External"/><Relationship Id="rId153" Type="http://schemas.openxmlformats.org/officeDocument/2006/relationships/hyperlink" Target="http://NewsHound.ca" TargetMode="External"/><Relationship Id="rId274" Type="http://schemas.openxmlformats.org/officeDocument/2006/relationships/hyperlink" Target="http://NewsBoss.in" TargetMode="External"/><Relationship Id="rId395" Type="http://schemas.openxmlformats.org/officeDocument/2006/relationships/hyperlink" Target="http://dlvr.it" TargetMode="External"/><Relationship Id="rId152" Type="http://schemas.openxmlformats.org/officeDocument/2006/relationships/hyperlink" Target="http://JustBigNews.com" TargetMode="External"/><Relationship Id="rId273" Type="http://schemas.openxmlformats.org/officeDocument/2006/relationships/hyperlink" Target="http://NewsBoss.in" TargetMode="External"/><Relationship Id="rId394" Type="http://schemas.openxmlformats.org/officeDocument/2006/relationships/hyperlink" Target="http://dlvr.it" TargetMode="External"/><Relationship Id="rId151" Type="http://schemas.openxmlformats.org/officeDocument/2006/relationships/hyperlink" Target="http://WLST.com" TargetMode="External"/><Relationship Id="rId272" Type="http://schemas.openxmlformats.org/officeDocument/2006/relationships/hyperlink" Target="http://dlvr.it" TargetMode="External"/><Relationship Id="rId393" Type="http://schemas.openxmlformats.org/officeDocument/2006/relationships/hyperlink" Target="http://dlvr.it" TargetMode="External"/><Relationship Id="rId158" Type="http://schemas.openxmlformats.org/officeDocument/2006/relationships/hyperlink" Target="http://dlvr.it" TargetMode="External"/><Relationship Id="rId279" Type="http://schemas.openxmlformats.org/officeDocument/2006/relationships/hyperlink" Target="http://dlvr.it" TargetMode="External"/><Relationship Id="rId157" Type="http://schemas.openxmlformats.org/officeDocument/2006/relationships/hyperlink" Target="http://dlvr.it" TargetMode="External"/><Relationship Id="rId278" Type="http://schemas.openxmlformats.org/officeDocument/2006/relationships/hyperlink" Target="http://USSANews.com" TargetMode="External"/><Relationship Id="rId399" Type="http://schemas.openxmlformats.org/officeDocument/2006/relationships/hyperlink" Target="http://dlvr.it" TargetMode="External"/><Relationship Id="rId156" Type="http://schemas.openxmlformats.org/officeDocument/2006/relationships/hyperlink" Target="http://dlvr.it" TargetMode="External"/><Relationship Id="rId277" Type="http://schemas.openxmlformats.org/officeDocument/2006/relationships/hyperlink" Target="http://dlvr.it" TargetMode="External"/><Relationship Id="rId398" Type="http://schemas.openxmlformats.org/officeDocument/2006/relationships/hyperlink" Target="http://dlvr.it" TargetMode="External"/><Relationship Id="rId155" Type="http://schemas.openxmlformats.org/officeDocument/2006/relationships/hyperlink" Target="http://dlvr.it" TargetMode="External"/><Relationship Id="rId276" Type="http://schemas.openxmlformats.org/officeDocument/2006/relationships/hyperlink" Target="http://NewsBoss.in" TargetMode="External"/><Relationship Id="rId397" Type="http://schemas.openxmlformats.org/officeDocument/2006/relationships/hyperlink" Target="http://dlvr.it" TargetMode="External"/><Relationship Id="rId40" Type="http://schemas.openxmlformats.org/officeDocument/2006/relationships/hyperlink" Target="http://WordPress.com" TargetMode="External"/><Relationship Id="rId42" Type="http://schemas.openxmlformats.org/officeDocument/2006/relationships/hyperlink" Target="http://Jepang.net" TargetMode="External"/><Relationship Id="rId41" Type="http://schemas.openxmlformats.org/officeDocument/2006/relationships/hyperlink" Target="http://twittbot.net" TargetMode="External"/><Relationship Id="rId44" Type="http://schemas.openxmlformats.org/officeDocument/2006/relationships/hyperlink" Target="http://SnappyTV.com" TargetMode="External"/><Relationship Id="rId43" Type="http://schemas.openxmlformats.org/officeDocument/2006/relationships/hyperlink" Target="http://dlvr.it" TargetMode="External"/><Relationship Id="rId46" Type="http://schemas.openxmlformats.org/officeDocument/2006/relationships/hyperlink" Target="http://dlvr.it" TargetMode="External"/><Relationship Id="rId45" Type="http://schemas.openxmlformats.org/officeDocument/2006/relationships/hyperlink" Target="http://SnappyTV.com" TargetMode="External"/><Relationship Id="rId509" Type="http://schemas.openxmlformats.org/officeDocument/2006/relationships/hyperlink" Target="http://twittbot.net" TargetMode="External"/><Relationship Id="rId508" Type="http://schemas.openxmlformats.org/officeDocument/2006/relationships/hyperlink" Target="http://dlvr.it" TargetMode="External"/><Relationship Id="rId503" Type="http://schemas.openxmlformats.org/officeDocument/2006/relationships/hyperlink" Target="http://SaleSpree.com" TargetMode="External"/><Relationship Id="rId502" Type="http://schemas.openxmlformats.org/officeDocument/2006/relationships/hyperlink" Target="http://dlvr.it" TargetMode="External"/><Relationship Id="rId501" Type="http://schemas.openxmlformats.org/officeDocument/2006/relationships/hyperlink" Target="https://t.co/xGFIpE4BxO" TargetMode="External"/><Relationship Id="rId500" Type="http://schemas.openxmlformats.org/officeDocument/2006/relationships/hyperlink" Target="http://mn.gov/portal/" TargetMode="External"/><Relationship Id="rId507" Type="http://schemas.openxmlformats.org/officeDocument/2006/relationships/hyperlink" Target="http://dlvr.it" TargetMode="External"/><Relationship Id="rId506" Type="http://schemas.openxmlformats.org/officeDocument/2006/relationships/hyperlink" Target="http://dlvr.it" TargetMode="External"/><Relationship Id="rId505" Type="http://schemas.openxmlformats.org/officeDocument/2006/relationships/hyperlink" Target="https://t.co/mLYW8jplny" TargetMode="External"/><Relationship Id="rId504" Type="http://schemas.openxmlformats.org/officeDocument/2006/relationships/hyperlink" Target="http://WordPress.com" TargetMode="External"/><Relationship Id="rId48" Type="http://schemas.openxmlformats.org/officeDocument/2006/relationships/hyperlink" Target="http://DUDURADIO.COM" TargetMode="External"/><Relationship Id="rId47" Type="http://schemas.openxmlformats.org/officeDocument/2006/relationships/hyperlink" Target="http://SnappyTV.com" TargetMode="External"/><Relationship Id="rId49" Type="http://schemas.openxmlformats.org/officeDocument/2006/relationships/hyperlink" Target="http://DUDURADIO.COM" TargetMode="External"/><Relationship Id="rId31" Type="http://schemas.openxmlformats.org/officeDocument/2006/relationships/hyperlink" Target="http://NewsNumber.Com" TargetMode="External"/><Relationship Id="rId30" Type="http://schemas.openxmlformats.org/officeDocument/2006/relationships/hyperlink" Target="http://SnappyTV.com" TargetMode="External"/><Relationship Id="rId33" Type="http://schemas.openxmlformats.org/officeDocument/2006/relationships/hyperlink" Target="http://NewsBoss.in" TargetMode="External"/><Relationship Id="rId32" Type="http://schemas.openxmlformats.org/officeDocument/2006/relationships/hyperlink" Target="http://dlvr.it" TargetMode="External"/><Relationship Id="rId35" Type="http://schemas.openxmlformats.org/officeDocument/2006/relationships/hyperlink" Target="http://NewsBoss.in" TargetMode="External"/><Relationship Id="rId34" Type="http://schemas.openxmlformats.org/officeDocument/2006/relationships/hyperlink" Target="http://NewsBoss.in" TargetMode="External"/><Relationship Id="rId37" Type="http://schemas.openxmlformats.org/officeDocument/2006/relationships/hyperlink" Target="http://WordPress.com" TargetMode="External"/><Relationship Id="rId36" Type="http://schemas.openxmlformats.org/officeDocument/2006/relationships/hyperlink" Target="http://NewsBoss.in" TargetMode="External"/><Relationship Id="rId39" Type="http://schemas.openxmlformats.org/officeDocument/2006/relationships/hyperlink" Target="http://WordPress.com" TargetMode="External"/><Relationship Id="rId38" Type="http://schemas.openxmlformats.org/officeDocument/2006/relationships/hyperlink" Target="http://WordPress.com" TargetMode="External"/><Relationship Id="rId20" Type="http://schemas.openxmlformats.org/officeDocument/2006/relationships/hyperlink" Target="http://dlvr.it" TargetMode="External"/><Relationship Id="rId22" Type="http://schemas.openxmlformats.org/officeDocument/2006/relationships/hyperlink" Target="http://WordPress.com" TargetMode="External"/><Relationship Id="rId21" Type="http://schemas.openxmlformats.org/officeDocument/2006/relationships/hyperlink" Target="http://WordPress.com" TargetMode="External"/><Relationship Id="rId24" Type="http://schemas.openxmlformats.org/officeDocument/2006/relationships/hyperlink" Target="http://WordPress.com" TargetMode="External"/><Relationship Id="rId23" Type="http://schemas.openxmlformats.org/officeDocument/2006/relationships/hyperlink" Target="http://WordPress.com" TargetMode="External"/><Relationship Id="rId409" Type="http://schemas.openxmlformats.org/officeDocument/2006/relationships/hyperlink" Target="http://SnappyTV.com" TargetMode="External"/><Relationship Id="rId404" Type="http://schemas.openxmlformats.org/officeDocument/2006/relationships/hyperlink" Target="http://t.co/7UPYUUXMrC" TargetMode="External"/><Relationship Id="rId403" Type="http://schemas.openxmlformats.org/officeDocument/2006/relationships/hyperlink" Target="http://t.co/7UPYUUXMrC" TargetMode="External"/><Relationship Id="rId402" Type="http://schemas.openxmlformats.org/officeDocument/2006/relationships/hyperlink" Target="http://StoriesFlow.com" TargetMode="External"/><Relationship Id="rId401" Type="http://schemas.openxmlformats.org/officeDocument/2006/relationships/hyperlink" Target="http://SnappyTV.com" TargetMode="External"/><Relationship Id="rId408" Type="http://schemas.openxmlformats.org/officeDocument/2006/relationships/hyperlink" Target="http://CliffCentral.com" TargetMode="External"/><Relationship Id="rId407" Type="http://schemas.openxmlformats.org/officeDocument/2006/relationships/hyperlink" Target="http://SnappyTV.com" TargetMode="External"/><Relationship Id="rId406" Type="http://schemas.openxmlformats.org/officeDocument/2006/relationships/hyperlink" Target="http://t.co/7UPYUUXMrC" TargetMode="External"/><Relationship Id="rId405" Type="http://schemas.openxmlformats.org/officeDocument/2006/relationships/hyperlink" Target="http://t.co/7UPYUUXMrC" TargetMode="External"/><Relationship Id="rId26" Type="http://schemas.openxmlformats.org/officeDocument/2006/relationships/hyperlink" Target="http://WordPress.com" TargetMode="External"/><Relationship Id="rId25" Type="http://schemas.openxmlformats.org/officeDocument/2006/relationships/hyperlink" Target="http://dlvr.it" TargetMode="External"/><Relationship Id="rId28" Type="http://schemas.openxmlformats.org/officeDocument/2006/relationships/hyperlink" Target="http://dlvr.it" TargetMode="External"/><Relationship Id="rId27" Type="http://schemas.openxmlformats.org/officeDocument/2006/relationships/hyperlink" Target="http://WordPress.com" TargetMode="External"/><Relationship Id="rId400" Type="http://schemas.openxmlformats.org/officeDocument/2006/relationships/hyperlink" Target="http://SnappyTV.com" TargetMode="External"/><Relationship Id="rId29" Type="http://schemas.openxmlformats.org/officeDocument/2006/relationships/hyperlink" Target="http://SnappyTV.com" TargetMode="External"/><Relationship Id="rId520" Type="http://schemas.openxmlformats.org/officeDocument/2006/relationships/drawing" Target="../drawings/drawing1.xml"/><Relationship Id="rId11" Type="http://schemas.openxmlformats.org/officeDocument/2006/relationships/hyperlink" Target="http://www.zyite.com/" TargetMode="External"/><Relationship Id="rId10" Type="http://schemas.openxmlformats.org/officeDocument/2006/relationships/hyperlink" Target="http://WordPress.com" TargetMode="External"/><Relationship Id="rId13" Type="http://schemas.openxmlformats.org/officeDocument/2006/relationships/hyperlink" Target="http://EagleStar.NET" TargetMode="External"/><Relationship Id="rId12" Type="http://schemas.openxmlformats.org/officeDocument/2006/relationships/hyperlink" Target="http://dlvr.it" TargetMode="External"/><Relationship Id="rId519" Type="http://schemas.openxmlformats.org/officeDocument/2006/relationships/hyperlink" Target="http://twittbot.net" TargetMode="External"/><Relationship Id="rId514" Type="http://schemas.openxmlformats.org/officeDocument/2006/relationships/hyperlink" Target="http://twittbot.net" TargetMode="External"/><Relationship Id="rId513" Type="http://schemas.openxmlformats.org/officeDocument/2006/relationships/hyperlink" Target="http://dlvr.it" TargetMode="External"/><Relationship Id="rId512" Type="http://schemas.openxmlformats.org/officeDocument/2006/relationships/hyperlink" Target="http://Tweeps.co" TargetMode="External"/><Relationship Id="rId511" Type="http://schemas.openxmlformats.org/officeDocument/2006/relationships/hyperlink" Target="http://dlvr.it" TargetMode="External"/><Relationship Id="rId518" Type="http://schemas.openxmlformats.org/officeDocument/2006/relationships/hyperlink" Target="http://dlvr.it" TargetMode="External"/><Relationship Id="rId517" Type="http://schemas.openxmlformats.org/officeDocument/2006/relationships/hyperlink" Target="http://www.zyite.com/" TargetMode="External"/><Relationship Id="rId516" Type="http://schemas.openxmlformats.org/officeDocument/2006/relationships/hyperlink" Target="http://dlvr.it" TargetMode="External"/><Relationship Id="rId515" Type="http://schemas.openxmlformats.org/officeDocument/2006/relationships/hyperlink" Target="http://t.co/CkzRNkEUq0" TargetMode="External"/><Relationship Id="rId15" Type="http://schemas.openxmlformats.org/officeDocument/2006/relationships/hyperlink" Target="https://t.co/1d0DNM2ac0" TargetMode="External"/><Relationship Id="rId14" Type="http://schemas.openxmlformats.org/officeDocument/2006/relationships/hyperlink" Target="http://Zapier.com" TargetMode="External"/><Relationship Id="rId17" Type="http://schemas.openxmlformats.org/officeDocument/2006/relationships/hyperlink" Target="http://WordPress.com" TargetMode="External"/><Relationship Id="rId16" Type="http://schemas.openxmlformats.org/officeDocument/2006/relationships/hyperlink" Target="https://t.co/1d0DNM2ac0" TargetMode="External"/><Relationship Id="rId19" Type="http://schemas.openxmlformats.org/officeDocument/2006/relationships/hyperlink" Target="http://WordPress.com" TargetMode="External"/><Relationship Id="rId510" Type="http://schemas.openxmlformats.org/officeDocument/2006/relationships/hyperlink" Target="http://WordPress.com" TargetMode="External"/><Relationship Id="rId18" Type="http://schemas.openxmlformats.org/officeDocument/2006/relationships/hyperlink" Target="http://WordPress.com" TargetMode="External"/><Relationship Id="rId84" Type="http://schemas.openxmlformats.org/officeDocument/2006/relationships/hyperlink" Target="https://t.co/nRFtwL1jMw" TargetMode="External"/><Relationship Id="rId83" Type="http://schemas.openxmlformats.org/officeDocument/2006/relationships/hyperlink" Target="http://WordPress.com" TargetMode="External"/><Relationship Id="rId86" Type="http://schemas.openxmlformats.org/officeDocument/2006/relationships/hyperlink" Target="http://dlvr.it" TargetMode="External"/><Relationship Id="rId85" Type="http://schemas.openxmlformats.org/officeDocument/2006/relationships/hyperlink" Target="http://dlvr.it" TargetMode="External"/><Relationship Id="rId88" Type="http://schemas.openxmlformats.org/officeDocument/2006/relationships/hyperlink" Target="http://dlvr.it" TargetMode="External"/><Relationship Id="rId87" Type="http://schemas.openxmlformats.org/officeDocument/2006/relationships/hyperlink" Target="http://dlvr.it" TargetMode="External"/><Relationship Id="rId89" Type="http://schemas.openxmlformats.org/officeDocument/2006/relationships/hyperlink" Target="http://WordPress.com" TargetMode="External"/><Relationship Id="rId80" Type="http://schemas.openxmlformats.org/officeDocument/2006/relationships/hyperlink" Target="http://dlvr.it" TargetMode="External"/><Relationship Id="rId82" Type="http://schemas.openxmlformats.org/officeDocument/2006/relationships/hyperlink" Target="http://XaniaTube.com" TargetMode="External"/><Relationship Id="rId81" Type="http://schemas.openxmlformats.org/officeDocument/2006/relationships/hyperlink" Target="http://Twibble.io" TargetMode="External"/><Relationship Id="rId73" Type="http://schemas.openxmlformats.org/officeDocument/2006/relationships/hyperlink" Target="http://dlvr.it" TargetMode="External"/><Relationship Id="rId72" Type="http://schemas.openxmlformats.org/officeDocument/2006/relationships/hyperlink" Target="http://dlvr.it" TargetMode="External"/><Relationship Id="rId75" Type="http://schemas.openxmlformats.org/officeDocument/2006/relationships/hyperlink" Target="http://Capital.com" TargetMode="External"/><Relationship Id="rId74" Type="http://schemas.openxmlformats.org/officeDocument/2006/relationships/hyperlink" Target="http://dlvr.it" TargetMode="External"/><Relationship Id="rId77" Type="http://schemas.openxmlformats.org/officeDocument/2006/relationships/hyperlink" Target="http://dlvr.it" TargetMode="External"/><Relationship Id="rId76" Type="http://schemas.openxmlformats.org/officeDocument/2006/relationships/hyperlink" Target="https://goo.gl/KPCojf" TargetMode="External"/><Relationship Id="rId79" Type="http://schemas.openxmlformats.org/officeDocument/2006/relationships/hyperlink" Target="http://dlvr.it" TargetMode="External"/><Relationship Id="rId78" Type="http://schemas.openxmlformats.org/officeDocument/2006/relationships/hyperlink" Target="http://dlvr.it" TargetMode="External"/><Relationship Id="rId71" Type="http://schemas.openxmlformats.org/officeDocument/2006/relationships/hyperlink" Target="http://WordPress.com" TargetMode="External"/><Relationship Id="rId70" Type="http://schemas.openxmlformats.org/officeDocument/2006/relationships/hyperlink" Target="http://dlvr.it" TargetMode="External"/><Relationship Id="rId62" Type="http://schemas.openxmlformats.org/officeDocument/2006/relationships/hyperlink" Target="http://WordPress.com" TargetMode="External"/><Relationship Id="rId61" Type="http://schemas.openxmlformats.org/officeDocument/2006/relationships/hyperlink" Target="http://WordPress.com" TargetMode="External"/><Relationship Id="rId64" Type="http://schemas.openxmlformats.org/officeDocument/2006/relationships/hyperlink" Target="http://StoriesFlow.com" TargetMode="External"/><Relationship Id="rId63" Type="http://schemas.openxmlformats.org/officeDocument/2006/relationships/hyperlink" Target="http://dlvr.it" TargetMode="External"/><Relationship Id="rId66" Type="http://schemas.openxmlformats.org/officeDocument/2006/relationships/hyperlink" Target="http://dlvr.it" TargetMode="External"/><Relationship Id="rId65" Type="http://schemas.openxmlformats.org/officeDocument/2006/relationships/hyperlink" Target="http://twittbot.net" TargetMode="External"/><Relationship Id="rId68" Type="http://schemas.openxmlformats.org/officeDocument/2006/relationships/hyperlink" Target="http://WordPress.com" TargetMode="External"/><Relationship Id="rId67" Type="http://schemas.openxmlformats.org/officeDocument/2006/relationships/hyperlink" Target="http://dlvr.it" TargetMode="External"/><Relationship Id="rId60" Type="http://schemas.openxmlformats.org/officeDocument/2006/relationships/hyperlink" Target="http://WordPress.com" TargetMode="External"/><Relationship Id="rId69" Type="http://schemas.openxmlformats.org/officeDocument/2006/relationships/hyperlink" Target="http://Jepang.net" TargetMode="External"/><Relationship Id="rId51" Type="http://schemas.openxmlformats.org/officeDocument/2006/relationships/hyperlink" Target="http://dlvr.it" TargetMode="External"/><Relationship Id="rId50" Type="http://schemas.openxmlformats.org/officeDocument/2006/relationships/hyperlink" Target="http://dlvr.it" TargetMode="External"/><Relationship Id="rId53" Type="http://schemas.openxmlformats.org/officeDocument/2006/relationships/hyperlink" Target="http://Jepang.net" TargetMode="External"/><Relationship Id="rId52" Type="http://schemas.openxmlformats.org/officeDocument/2006/relationships/hyperlink" Target="http://Twibble.io" TargetMode="External"/><Relationship Id="rId55" Type="http://schemas.openxmlformats.org/officeDocument/2006/relationships/hyperlink" Target="http://dlvr.it" TargetMode="External"/><Relationship Id="rId54" Type="http://schemas.openxmlformats.org/officeDocument/2006/relationships/hyperlink" Target="http://SnappyTV.com" TargetMode="External"/><Relationship Id="rId57" Type="http://schemas.openxmlformats.org/officeDocument/2006/relationships/hyperlink" Target="http://dlvr.it" TargetMode="External"/><Relationship Id="rId56" Type="http://schemas.openxmlformats.org/officeDocument/2006/relationships/hyperlink" Target="http://dlvr.it" TargetMode="External"/><Relationship Id="rId59" Type="http://schemas.openxmlformats.org/officeDocument/2006/relationships/hyperlink" Target="http://Sokodirectory.com" TargetMode="External"/><Relationship Id="rId58" Type="http://schemas.openxmlformats.org/officeDocument/2006/relationships/hyperlink" Target="http://www.linkedin.com/in/kovrig" TargetMode="External"/><Relationship Id="rId107" Type="http://schemas.openxmlformats.org/officeDocument/2006/relationships/hyperlink" Target="http://twittbot.net" TargetMode="External"/><Relationship Id="rId228" Type="http://schemas.openxmlformats.org/officeDocument/2006/relationships/hyperlink" Target="http://WordPress.com" TargetMode="External"/><Relationship Id="rId349" Type="http://schemas.openxmlformats.org/officeDocument/2006/relationships/hyperlink" Target="http://WordPress.com" TargetMode="External"/><Relationship Id="rId106" Type="http://schemas.openxmlformats.org/officeDocument/2006/relationships/hyperlink" Target="http://dlvr.it" TargetMode="External"/><Relationship Id="rId227" Type="http://schemas.openxmlformats.org/officeDocument/2006/relationships/hyperlink" Target="http://dlvr.it" TargetMode="External"/><Relationship Id="rId348" Type="http://schemas.openxmlformats.org/officeDocument/2006/relationships/hyperlink" Target="http://dlvr.it" TargetMode="External"/><Relationship Id="rId469" Type="http://schemas.openxmlformats.org/officeDocument/2006/relationships/hyperlink" Target="http://dlvr.it" TargetMode="External"/><Relationship Id="rId105" Type="http://schemas.openxmlformats.org/officeDocument/2006/relationships/hyperlink" Target="http://twittbot.net" TargetMode="External"/><Relationship Id="rId226" Type="http://schemas.openxmlformats.org/officeDocument/2006/relationships/hyperlink" Target="http://dlvr.it" TargetMode="External"/><Relationship Id="rId347" Type="http://schemas.openxmlformats.org/officeDocument/2006/relationships/hyperlink" Target="http://dlvr.it" TargetMode="External"/><Relationship Id="rId468" Type="http://schemas.openxmlformats.org/officeDocument/2006/relationships/hyperlink" Target="http://dlvr.it" TargetMode="External"/><Relationship Id="rId104" Type="http://schemas.openxmlformats.org/officeDocument/2006/relationships/hyperlink" Target="http://dlvr.it" TargetMode="External"/><Relationship Id="rId225" Type="http://schemas.openxmlformats.org/officeDocument/2006/relationships/hyperlink" Target="http://t.co/MuN1RHEaBX" TargetMode="External"/><Relationship Id="rId346" Type="http://schemas.openxmlformats.org/officeDocument/2006/relationships/hyperlink" Target="http://dlvr.it" TargetMode="External"/><Relationship Id="rId467" Type="http://schemas.openxmlformats.org/officeDocument/2006/relationships/hyperlink" Target="http://dlvr.it" TargetMode="External"/><Relationship Id="rId109" Type="http://schemas.openxmlformats.org/officeDocument/2006/relationships/hyperlink" Target="http://WordPress.com" TargetMode="External"/><Relationship Id="rId108" Type="http://schemas.openxmlformats.org/officeDocument/2006/relationships/hyperlink" Target="http://SnappyTV.com" TargetMode="External"/><Relationship Id="rId229" Type="http://schemas.openxmlformats.org/officeDocument/2006/relationships/hyperlink" Target="http://WordPress.com" TargetMode="External"/><Relationship Id="rId220" Type="http://schemas.openxmlformats.org/officeDocument/2006/relationships/hyperlink" Target="http://www.facebook.com/rajes025" TargetMode="External"/><Relationship Id="rId341" Type="http://schemas.openxmlformats.org/officeDocument/2006/relationships/hyperlink" Target="http://WordPress.com" TargetMode="External"/><Relationship Id="rId462" Type="http://schemas.openxmlformats.org/officeDocument/2006/relationships/hyperlink" Target="http://dlvr.it" TargetMode="External"/><Relationship Id="rId340" Type="http://schemas.openxmlformats.org/officeDocument/2006/relationships/hyperlink" Target="http://dlvr.it" TargetMode="External"/><Relationship Id="rId461" Type="http://schemas.openxmlformats.org/officeDocument/2006/relationships/hyperlink" Target="http://dlvr.it" TargetMode="External"/><Relationship Id="rId460" Type="http://schemas.openxmlformats.org/officeDocument/2006/relationships/hyperlink" Target="http://dlvr.it" TargetMode="External"/><Relationship Id="rId103" Type="http://schemas.openxmlformats.org/officeDocument/2006/relationships/hyperlink" Target="http://dlvr.it" TargetMode="External"/><Relationship Id="rId224" Type="http://schemas.openxmlformats.org/officeDocument/2006/relationships/hyperlink" Target="http://WordPress.com" TargetMode="External"/><Relationship Id="rId345" Type="http://schemas.openxmlformats.org/officeDocument/2006/relationships/hyperlink" Target="http://www.zyite.com/" TargetMode="External"/><Relationship Id="rId466" Type="http://schemas.openxmlformats.org/officeDocument/2006/relationships/hyperlink" Target="http://dlvr.it" TargetMode="External"/><Relationship Id="rId102" Type="http://schemas.openxmlformats.org/officeDocument/2006/relationships/hyperlink" Target="https://t.co/KDfradqZTx" TargetMode="External"/><Relationship Id="rId223" Type="http://schemas.openxmlformats.org/officeDocument/2006/relationships/hyperlink" Target="http://wonderland.fm" TargetMode="External"/><Relationship Id="rId344" Type="http://schemas.openxmlformats.org/officeDocument/2006/relationships/hyperlink" Target="http://twittbot.net" TargetMode="External"/><Relationship Id="rId465" Type="http://schemas.openxmlformats.org/officeDocument/2006/relationships/hyperlink" Target="http://dlvr.it" TargetMode="External"/><Relationship Id="rId101" Type="http://schemas.openxmlformats.org/officeDocument/2006/relationships/hyperlink" Target="http://dlvr.it" TargetMode="External"/><Relationship Id="rId222" Type="http://schemas.openxmlformats.org/officeDocument/2006/relationships/hyperlink" Target="http://twittbot.net" TargetMode="External"/><Relationship Id="rId343" Type="http://schemas.openxmlformats.org/officeDocument/2006/relationships/hyperlink" Target="http://WordPress.com" TargetMode="External"/><Relationship Id="rId464" Type="http://schemas.openxmlformats.org/officeDocument/2006/relationships/hyperlink" Target="http://dlvr.it" TargetMode="External"/><Relationship Id="rId100" Type="http://schemas.openxmlformats.org/officeDocument/2006/relationships/hyperlink" Target="http://FXYEAH.com" TargetMode="External"/><Relationship Id="rId221" Type="http://schemas.openxmlformats.org/officeDocument/2006/relationships/hyperlink" Target="http://Buzzfree.tk" TargetMode="External"/><Relationship Id="rId342" Type="http://schemas.openxmlformats.org/officeDocument/2006/relationships/hyperlink" Target="http://WordPress.com" TargetMode="External"/><Relationship Id="rId463" Type="http://schemas.openxmlformats.org/officeDocument/2006/relationships/hyperlink" Target="http://dlvr.it" TargetMode="External"/><Relationship Id="rId217" Type="http://schemas.openxmlformats.org/officeDocument/2006/relationships/hyperlink" Target="http://www.meerut.com" TargetMode="External"/><Relationship Id="rId338" Type="http://schemas.openxmlformats.org/officeDocument/2006/relationships/hyperlink" Target="http://Hamassenger.com" TargetMode="External"/><Relationship Id="rId459" Type="http://schemas.openxmlformats.org/officeDocument/2006/relationships/hyperlink" Target="http://Fx14Au.com" TargetMode="External"/><Relationship Id="rId216" Type="http://schemas.openxmlformats.org/officeDocument/2006/relationships/hyperlink" Target="http://dlvr.it" TargetMode="External"/><Relationship Id="rId337" Type="http://schemas.openxmlformats.org/officeDocument/2006/relationships/hyperlink" Target="http://Hamassenger.com" TargetMode="External"/><Relationship Id="rId458" Type="http://schemas.openxmlformats.org/officeDocument/2006/relationships/hyperlink" Target="http://Twibble.io" TargetMode="External"/><Relationship Id="rId215" Type="http://schemas.openxmlformats.org/officeDocument/2006/relationships/hyperlink" Target="http://dlvr.it" TargetMode="External"/><Relationship Id="rId336" Type="http://schemas.openxmlformats.org/officeDocument/2006/relationships/hyperlink" Target="http://dlvr.it" TargetMode="External"/><Relationship Id="rId457" Type="http://schemas.openxmlformats.org/officeDocument/2006/relationships/hyperlink" Target="http://dlvr.it" TargetMode="External"/><Relationship Id="rId214" Type="http://schemas.openxmlformats.org/officeDocument/2006/relationships/hyperlink" Target="http://WordPress.com" TargetMode="External"/><Relationship Id="rId335" Type="http://schemas.openxmlformats.org/officeDocument/2006/relationships/hyperlink" Target="http://WordPress.com" TargetMode="External"/><Relationship Id="rId456" Type="http://schemas.openxmlformats.org/officeDocument/2006/relationships/hyperlink" Target="http://twittbot.net" TargetMode="External"/><Relationship Id="rId219" Type="http://schemas.openxmlformats.org/officeDocument/2006/relationships/hyperlink" Target="http://WordPress.com" TargetMode="External"/><Relationship Id="rId218" Type="http://schemas.openxmlformats.org/officeDocument/2006/relationships/hyperlink" Target="http://twittbot.net" TargetMode="External"/><Relationship Id="rId339" Type="http://schemas.openxmlformats.org/officeDocument/2006/relationships/hyperlink" Target="http://WordPress.com" TargetMode="External"/><Relationship Id="rId330" Type="http://schemas.openxmlformats.org/officeDocument/2006/relationships/hyperlink" Target="http://Jepang.net" TargetMode="External"/><Relationship Id="rId451" Type="http://schemas.openxmlformats.org/officeDocument/2006/relationships/hyperlink" Target="http://dlvr.it" TargetMode="External"/><Relationship Id="rId450" Type="http://schemas.openxmlformats.org/officeDocument/2006/relationships/hyperlink" Target="http://dlvr.it" TargetMode="External"/><Relationship Id="rId213" Type="http://schemas.openxmlformats.org/officeDocument/2006/relationships/hyperlink" Target="http://dlvr.it" TargetMode="External"/><Relationship Id="rId334" Type="http://schemas.openxmlformats.org/officeDocument/2006/relationships/hyperlink" Target="http://PIPSFINDER.COM" TargetMode="External"/><Relationship Id="rId455" Type="http://schemas.openxmlformats.org/officeDocument/2006/relationships/hyperlink" Target="http://FXstreet.com" TargetMode="External"/><Relationship Id="rId212" Type="http://schemas.openxmlformats.org/officeDocument/2006/relationships/hyperlink" Target="http://dlvr.it" TargetMode="External"/><Relationship Id="rId333" Type="http://schemas.openxmlformats.org/officeDocument/2006/relationships/hyperlink" Target="http://lesbeauxlivres.com" TargetMode="External"/><Relationship Id="rId454" Type="http://schemas.openxmlformats.org/officeDocument/2006/relationships/hyperlink" Target="http://dlvr.it" TargetMode="External"/><Relationship Id="rId211" Type="http://schemas.openxmlformats.org/officeDocument/2006/relationships/hyperlink" Target="http://Hamassenger.com" TargetMode="External"/><Relationship Id="rId332" Type="http://schemas.openxmlformats.org/officeDocument/2006/relationships/hyperlink" Target="http://Fx14Au.com" TargetMode="External"/><Relationship Id="rId453" Type="http://schemas.openxmlformats.org/officeDocument/2006/relationships/hyperlink" Target="http://dlvr.it" TargetMode="External"/><Relationship Id="rId210" Type="http://schemas.openxmlformats.org/officeDocument/2006/relationships/hyperlink" Target="http://Hamassenger.com" TargetMode="External"/><Relationship Id="rId331" Type="http://schemas.openxmlformats.org/officeDocument/2006/relationships/hyperlink" Target="http://FXstreet.com" TargetMode="External"/><Relationship Id="rId452" Type="http://schemas.openxmlformats.org/officeDocument/2006/relationships/hyperlink" Target="http://dlvr.it" TargetMode="External"/><Relationship Id="rId370" Type="http://schemas.openxmlformats.org/officeDocument/2006/relationships/hyperlink" Target="http://dlvr.it" TargetMode="External"/><Relationship Id="rId491" Type="http://schemas.openxmlformats.org/officeDocument/2006/relationships/hyperlink" Target="http://dlvr.it" TargetMode="External"/><Relationship Id="rId490" Type="http://schemas.openxmlformats.org/officeDocument/2006/relationships/hyperlink" Target="http://WordPress.com" TargetMode="External"/><Relationship Id="rId129" Type="http://schemas.openxmlformats.org/officeDocument/2006/relationships/hyperlink" Target="http://dlvr.it" TargetMode="External"/><Relationship Id="rId128" Type="http://schemas.openxmlformats.org/officeDocument/2006/relationships/hyperlink" Target="http://t.co/z6jZf67lN2" TargetMode="External"/><Relationship Id="rId249" Type="http://schemas.openxmlformats.org/officeDocument/2006/relationships/hyperlink" Target="http://Zapier.com" TargetMode="External"/><Relationship Id="rId127" Type="http://schemas.openxmlformats.org/officeDocument/2006/relationships/hyperlink" Target="http://WordPress.com" TargetMode="External"/><Relationship Id="rId248" Type="http://schemas.openxmlformats.org/officeDocument/2006/relationships/hyperlink" Target="http://Hamassenger.com" TargetMode="External"/><Relationship Id="rId369" Type="http://schemas.openxmlformats.org/officeDocument/2006/relationships/hyperlink" Target="http://dlvr.it" TargetMode="External"/><Relationship Id="rId126" Type="http://schemas.openxmlformats.org/officeDocument/2006/relationships/hyperlink" Target="http://dlvr.it" TargetMode="External"/><Relationship Id="rId247" Type="http://schemas.openxmlformats.org/officeDocument/2006/relationships/hyperlink" Target="http://Hamassenger.com" TargetMode="External"/><Relationship Id="rId368" Type="http://schemas.openxmlformats.org/officeDocument/2006/relationships/hyperlink" Target="http://dlvr.it" TargetMode="External"/><Relationship Id="rId489" Type="http://schemas.openxmlformats.org/officeDocument/2006/relationships/hyperlink" Target="http://WordPress.com" TargetMode="External"/><Relationship Id="rId121" Type="http://schemas.openxmlformats.org/officeDocument/2006/relationships/hyperlink" Target="http://NewsBoss.in" TargetMode="External"/><Relationship Id="rId242" Type="http://schemas.openxmlformats.org/officeDocument/2006/relationships/hyperlink" Target="http://Twibble.io" TargetMode="External"/><Relationship Id="rId363" Type="http://schemas.openxmlformats.org/officeDocument/2006/relationships/hyperlink" Target="http://dlvr.it" TargetMode="External"/><Relationship Id="rId484" Type="http://schemas.openxmlformats.org/officeDocument/2006/relationships/hyperlink" Target="http://WordPress.com" TargetMode="External"/><Relationship Id="rId120" Type="http://schemas.openxmlformats.org/officeDocument/2006/relationships/hyperlink" Target="http://NewsBoss.in" TargetMode="External"/><Relationship Id="rId241" Type="http://schemas.openxmlformats.org/officeDocument/2006/relationships/hyperlink" Target="http://NewsBoss.in" TargetMode="External"/><Relationship Id="rId362" Type="http://schemas.openxmlformats.org/officeDocument/2006/relationships/hyperlink" Target="http://dlvr.it" TargetMode="External"/><Relationship Id="rId483" Type="http://schemas.openxmlformats.org/officeDocument/2006/relationships/hyperlink" Target="http://WordPress.com" TargetMode="External"/><Relationship Id="rId240" Type="http://schemas.openxmlformats.org/officeDocument/2006/relationships/hyperlink" Target="http://NewsBoss.in" TargetMode="External"/><Relationship Id="rId361" Type="http://schemas.openxmlformats.org/officeDocument/2006/relationships/hyperlink" Target="http://dlvr.it" TargetMode="External"/><Relationship Id="rId482" Type="http://schemas.openxmlformats.org/officeDocument/2006/relationships/hyperlink" Target="http://WordPress.com" TargetMode="External"/><Relationship Id="rId360" Type="http://schemas.openxmlformats.org/officeDocument/2006/relationships/hyperlink" Target="http://dlvr.it" TargetMode="External"/><Relationship Id="rId481" Type="http://schemas.openxmlformats.org/officeDocument/2006/relationships/hyperlink" Target="http://WordPress.com" TargetMode="External"/><Relationship Id="rId125" Type="http://schemas.openxmlformats.org/officeDocument/2006/relationships/hyperlink" Target="http://dlvr.it" TargetMode="External"/><Relationship Id="rId246" Type="http://schemas.openxmlformats.org/officeDocument/2006/relationships/hyperlink" Target="http://WordPress.com" TargetMode="External"/><Relationship Id="rId367" Type="http://schemas.openxmlformats.org/officeDocument/2006/relationships/hyperlink" Target="http://dlvr.it" TargetMode="External"/><Relationship Id="rId488" Type="http://schemas.openxmlformats.org/officeDocument/2006/relationships/hyperlink" Target="http://dlvr.it" TargetMode="External"/><Relationship Id="rId124" Type="http://schemas.openxmlformats.org/officeDocument/2006/relationships/hyperlink" Target="http://FXINTER.NET" TargetMode="External"/><Relationship Id="rId245" Type="http://schemas.openxmlformats.org/officeDocument/2006/relationships/hyperlink" Target="http://WordPress.com" TargetMode="External"/><Relationship Id="rId366" Type="http://schemas.openxmlformats.org/officeDocument/2006/relationships/hyperlink" Target="http://dlvr.it" TargetMode="External"/><Relationship Id="rId487" Type="http://schemas.openxmlformats.org/officeDocument/2006/relationships/hyperlink" Target="http://WordPress.com" TargetMode="External"/><Relationship Id="rId123" Type="http://schemas.openxmlformats.org/officeDocument/2006/relationships/hyperlink" Target="http://dlvr.it" TargetMode="External"/><Relationship Id="rId244" Type="http://schemas.openxmlformats.org/officeDocument/2006/relationships/hyperlink" Target="http://WordPress.com" TargetMode="External"/><Relationship Id="rId365" Type="http://schemas.openxmlformats.org/officeDocument/2006/relationships/hyperlink" Target="http://dlvr.it" TargetMode="External"/><Relationship Id="rId486" Type="http://schemas.openxmlformats.org/officeDocument/2006/relationships/hyperlink" Target="http://dlvr.it" TargetMode="External"/><Relationship Id="rId122" Type="http://schemas.openxmlformats.org/officeDocument/2006/relationships/hyperlink" Target="http://NewsBoss.in" TargetMode="External"/><Relationship Id="rId243" Type="http://schemas.openxmlformats.org/officeDocument/2006/relationships/hyperlink" Target="http://dlvr.it" TargetMode="External"/><Relationship Id="rId364" Type="http://schemas.openxmlformats.org/officeDocument/2006/relationships/hyperlink" Target="http://dlvr.it" TargetMode="External"/><Relationship Id="rId485" Type="http://schemas.openxmlformats.org/officeDocument/2006/relationships/hyperlink" Target="http://malaysiakini.com" TargetMode="External"/><Relationship Id="rId95" Type="http://schemas.openxmlformats.org/officeDocument/2006/relationships/hyperlink" Target="http://dlvr.it" TargetMode="External"/><Relationship Id="rId94" Type="http://schemas.openxmlformats.org/officeDocument/2006/relationships/hyperlink" Target="http://dlvr.it" TargetMode="External"/><Relationship Id="rId97" Type="http://schemas.openxmlformats.org/officeDocument/2006/relationships/hyperlink" Target="http://WordPress.com" TargetMode="External"/><Relationship Id="rId96" Type="http://schemas.openxmlformats.org/officeDocument/2006/relationships/hyperlink" Target="http://westbase.com" TargetMode="External"/><Relationship Id="rId99" Type="http://schemas.openxmlformats.org/officeDocument/2006/relationships/hyperlink" Target="http://dlvr.it" TargetMode="External"/><Relationship Id="rId480" Type="http://schemas.openxmlformats.org/officeDocument/2006/relationships/hyperlink" Target="http://dlvr.it" TargetMode="External"/><Relationship Id="rId98" Type="http://schemas.openxmlformats.org/officeDocument/2006/relationships/hyperlink" Target="http://WordPress.com" TargetMode="External"/><Relationship Id="rId91" Type="http://schemas.openxmlformats.org/officeDocument/2006/relationships/hyperlink" Target="https://t.co/nRFtwL1jMw" TargetMode="External"/><Relationship Id="rId90" Type="http://schemas.openxmlformats.org/officeDocument/2006/relationships/hyperlink" Target="http://WordPress.com" TargetMode="External"/><Relationship Id="rId93" Type="http://schemas.openxmlformats.org/officeDocument/2006/relationships/hyperlink" Target="http://dlvr.it" TargetMode="External"/><Relationship Id="rId92" Type="http://schemas.openxmlformats.org/officeDocument/2006/relationships/hyperlink" Target="https://t.co/1d0DNM2ac0" TargetMode="External"/><Relationship Id="rId118" Type="http://schemas.openxmlformats.org/officeDocument/2006/relationships/hyperlink" Target="http://wonderland.fm" TargetMode="External"/><Relationship Id="rId239" Type="http://schemas.openxmlformats.org/officeDocument/2006/relationships/hyperlink" Target="http://NewsBoss.in" TargetMode="External"/><Relationship Id="rId117" Type="http://schemas.openxmlformats.org/officeDocument/2006/relationships/hyperlink" Target="http://dlvr.it" TargetMode="External"/><Relationship Id="rId238" Type="http://schemas.openxmlformats.org/officeDocument/2006/relationships/hyperlink" Target="http://NewsBoss.in" TargetMode="External"/><Relationship Id="rId359" Type="http://schemas.openxmlformats.org/officeDocument/2006/relationships/hyperlink" Target="http://dlvr.it" TargetMode="External"/><Relationship Id="rId116" Type="http://schemas.openxmlformats.org/officeDocument/2006/relationships/hyperlink" Target="http://www.linkedin.com/pub/da" TargetMode="External"/><Relationship Id="rId237" Type="http://schemas.openxmlformats.org/officeDocument/2006/relationships/hyperlink" Target="http://dlvr.it" TargetMode="External"/><Relationship Id="rId358" Type="http://schemas.openxmlformats.org/officeDocument/2006/relationships/hyperlink" Target="http://dlvr.it" TargetMode="External"/><Relationship Id="rId479" Type="http://schemas.openxmlformats.org/officeDocument/2006/relationships/hyperlink" Target="http://WordPress.com" TargetMode="External"/><Relationship Id="rId115" Type="http://schemas.openxmlformats.org/officeDocument/2006/relationships/hyperlink" Target="http://lesbeauxlivres.com" TargetMode="External"/><Relationship Id="rId236" Type="http://schemas.openxmlformats.org/officeDocument/2006/relationships/hyperlink" Target="http://dlvr.it" TargetMode="External"/><Relationship Id="rId357" Type="http://schemas.openxmlformats.org/officeDocument/2006/relationships/hyperlink" Target="http://dlvr.it" TargetMode="External"/><Relationship Id="rId478" Type="http://schemas.openxmlformats.org/officeDocument/2006/relationships/hyperlink" Target="http://WNN7.com" TargetMode="External"/><Relationship Id="rId119" Type="http://schemas.openxmlformats.org/officeDocument/2006/relationships/hyperlink" Target="http://NewsBoss.in" TargetMode="External"/><Relationship Id="rId110" Type="http://schemas.openxmlformats.org/officeDocument/2006/relationships/hyperlink" Target="https://t.co/eXvrJNyIEN" TargetMode="External"/><Relationship Id="rId231" Type="http://schemas.openxmlformats.org/officeDocument/2006/relationships/hyperlink" Target="http://WordPress.com" TargetMode="External"/><Relationship Id="rId352" Type="http://schemas.openxmlformats.org/officeDocument/2006/relationships/hyperlink" Target="http://twittbot.net" TargetMode="External"/><Relationship Id="rId473" Type="http://schemas.openxmlformats.org/officeDocument/2006/relationships/hyperlink" Target="http://dlvr.it" TargetMode="External"/><Relationship Id="rId230" Type="http://schemas.openxmlformats.org/officeDocument/2006/relationships/hyperlink" Target="http://dlvr.it" TargetMode="External"/><Relationship Id="rId351" Type="http://schemas.openxmlformats.org/officeDocument/2006/relationships/hyperlink" Target="http://WordPress.com" TargetMode="External"/><Relationship Id="rId472" Type="http://schemas.openxmlformats.org/officeDocument/2006/relationships/hyperlink" Target="http://dlvr.it" TargetMode="External"/><Relationship Id="rId350" Type="http://schemas.openxmlformats.org/officeDocument/2006/relationships/hyperlink" Target="http://mahdiar.no" TargetMode="External"/><Relationship Id="rId471" Type="http://schemas.openxmlformats.org/officeDocument/2006/relationships/hyperlink" Target="http://dlvr.it" TargetMode="External"/><Relationship Id="rId470" Type="http://schemas.openxmlformats.org/officeDocument/2006/relationships/hyperlink" Target="http://twittbot.net" TargetMode="External"/><Relationship Id="rId114" Type="http://schemas.openxmlformats.org/officeDocument/2006/relationships/hyperlink" Target="http://twittbot.net" TargetMode="External"/><Relationship Id="rId235" Type="http://schemas.openxmlformats.org/officeDocument/2006/relationships/hyperlink" Target="http://dlvr.it" TargetMode="External"/><Relationship Id="rId356" Type="http://schemas.openxmlformats.org/officeDocument/2006/relationships/hyperlink" Target="http://dlvr.it" TargetMode="External"/><Relationship Id="rId477" Type="http://schemas.openxmlformats.org/officeDocument/2006/relationships/hyperlink" Target="http://WordPress.com" TargetMode="External"/><Relationship Id="rId113" Type="http://schemas.openxmlformats.org/officeDocument/2006/relationships/hyperlink" Target="https://t.co/1d0DNM2ac0" TargetMode="External"/><Relationship Id="rId234" Type="http://schemas.openxmlformats.org/officeDocument/2006/relationships/hyperlink" Target="http://dlvr.it" TargetMode="External"/><Relationship Id="rId355" Type="http://schemas.openxmlformats.org/officeDocument/2006/relationships/hyperlink" Target="http://dlvr.it" TargetMode="External"/><Relationship Id="rId476" Type="http://schemas.openxmlformats.org/officeDocument/2006/relationships/hyperlink" Target="http://WordPress.com" TargetMode="External"/><Relationship Id="rId112" Type="http://schemas.openxmlformats.org/officeDocument/2006/relationships/hyperlink" Target="http://dlvr.it" TargetMode="External"/><Relationship Id="rId233" Type="http://schemas.openxmlformats.org/officeDocument/2006/relationships/hyperlink" Target="http://WordPress.com" TargetMode="External"/><Relationship Id="rId354" Type="http://schemas.openxmlformats.org/officeDocument/2006/relationships/hyperlink" Target="http://dlvr.it" TargetMode="External"/><Relationship Id="rId475" Type="http://schemas.openxmlformats.org/officeDocument/2006/relationships/hyperlink" Target="http://dlvr.it" TargetMode="External"/><Relationship Id="rId111" Type="http://schemas.openxmlformats.org/officeDocument/2006/relationships/hyperlink" Target="http://dlvr.it" TargetMode="External"/><Relationship Id="rId232" Type="http://schemas.openxmlformats.org/officeDocument/2006/relationships/hyperlink" Target="http://dlvr.it" TargetMode="External"/><Relationship Id="rId353" Type="http://schemas.openxmlformats.org/officeDocument/2006/relationships/hyperlink" Target="http://dlvr.it" TargetMode="External"/><Relationship Id="rId474" Type="http://schemas.openxmlformats.org/officeDocument/2006/relationships/hyperlink" Target="http://VOGUE.CO.UK" TargetMode="External"/><Relationship Id="rId305" Type="http://schemas.openxmlformats.org/officeDocument/2006/relationships/hyperlink" Target="http://twittbot.net" TargetMode="External"/><Relationship Id="rId426" Type="http://schemas.openxmlformats.org/officeDocument/2006/relationships/hyperlink" Target="http://www.ecroaker.com" TargetMode="External"/><Relationship Id="rId304" Type="http://schemas.openxmlformats.org/officeDocument/2006/relationships/hyperlink" Target="http://dlvr.it" TargetMode="External"/><Relationship Id="rId425" Type="http://schemas.openxmlformats.org/officeDocument/2006/relationships/hyperlink" Target="http://WordPress.com" TargetMode="External"/><Relationship Id="rId303" Type="http://schemas.openxmlformats.org/officeDocument/2006/relationships/hyperlink" Target="http://Shareswatch.com.au" TargetMode="External"/><Relationship Id="rId424" Type="http://schemas.openxmlformats.org/officeDocument/2006/relationships/hyperlink" Target="http://EurACC.eu" TargetMode="External"/><Relationship Id="rId302" Type="http://schemas.openxmlformats.org/officeDocument/2006/relationships/hyperlink" Target="http://WordPress.com" TargetMode="External"/><Relationship Id="rId423" Type="http://schemas.openxmlformats.org/officeDocument/2006/relationships/hyperlink" Target="http://WordPress.com" TargetMode="External"/><Relationship Id="rId309" Type="http://schemas.openxmlformats.org/officeDocument/2006/relationships/hyperlink" Target="http://dlvr.it" TargetMode="External"/><Relationship Id="rId308" Type="http://schemas.openxmlformats.org/officeDocument/2006/relationships/hyperlink" Target="http://dlvr.it" TargetMode="External"/><Relationship Id="rId429" Type="http://schemas.openxmlformats.org/officeDocument/2006/relationships/hyperlink" Target="http://NewsBoss.in" TargetMode="External"/><Relationship Id="rId307" Type="http://schemas.openxmlformats.org/officeDocument/2006/relationships/hyperlink" Target="http://WordPress.com" TargetMode="External"/><Relationship Id="rId428" Type="http://schemas.openxmlformats.org/officeDocument/2006/relationships/hyperlink" Target="http://NewsBoss.in" TargetMode="External"/><Relationship Id="rId306" Type="http://schemas.openxmlformats.org/officeDocument/2006/relationships/hyperlink" Target="http://dlvr.it" TargetMode="External"/><Relationship Id="rId427" Type="http://schemas.openxmlformats.org/officeDocument/2006/relationships/hyperlink" Target="https://osu.ppy.sh/users/3637436" TargetMode="External"/><Relationship Id="rId301" Type="http://schemas.openxmlformats.org/officeDocument/2006/relationships/hyperlink" Target="http://twittbot.net" TargetMode="External"/><Relationship Id="rId422" Type="http://schemas.openxmlformats.org/officeDocument/2006/relationships/hyperlink" Target="http://twittbot.net" TargetMode="External"/><Relationship Id="rId300" Type="http://schemas.openxmlformats.org/officeDocument/2006/relationships/hyperlink" Target="http://WordPress.com" TargetMode="External"/><Relationship Id="rId421" Type="http://schemas.openxmlformats.org/officeDocument/2006/relationships/hyperlink" Target="http://EagleStar.NET" TargetMode="External"/><Relationship Id="rId420" Type="http://schemas.openxmlformats.org/officeDocument/2006/relationships/hyperlink" Target="https://t.co/DbjqTZqNxN" TargetMode="External"/><Relationship Id="rId415" Type="http://schemas.openxmlformats.org/officeDocument/2006/relationships/hyperlink" Target="http://westbase.com" TargetMode="External"/><Relationship Id="rId414" Type="http://schemas.openxmlformats.org/officeDocument/2006/relationships/hyperlink" Target="http://Googlemystyle.com" TargetMode="External"/><Relationship Id="rId413" Type="http://schemas.openxmlformats.org/officeDocument/2006/relationships/hyperlink" Target="http://Googlemystyle.com" TargetMode="External"/><Relationship Id="rId412" Type="http://schemas.openxmlformats.org/officeDocument/2006/relationships/hyperlink" Target="http://dlvr.it" TargetMode="External"/><Relationship Id="rId419" Type="http://schemas.openxmlformats.org/officeDocument/2006/relationships/hyperlink" Target="http://dlvr.it" TargetMode="External"/><Relationship Id="rId418" Type="http://schemas.openxmlformats.org/officeDocument/2006/relationships/hyperlink" Target="http://Twibble.io" TargetMode="External"/><Relationship Id="rId417" Type="http://schemas.openxmlformats.org/officeDocument/2006/relationships/hyperlink" Target="http://Twibble.io" TargetMode="External"/><Relationship Id="rId416" Type="http://schemas.openxmlformats.org/officeDocument/2006/relationships/hyperlink" Target="http://dlvr.it" TargetMode="External"/><Relationship Id="rId411" Type="http://schemas.openxmlformats.org/officeDocument/2006/relationships/hyperlink" Target="http://dlvr.it" TargetMode="External"/><Relationship Id="rId410" Type="http://schemas.openxmlformats.org/officeDocument/2006/relationships/hyperlink" Target="http://twittbot.net" TargetMode="External"/><Relationship Id="rId206" Type="http://schemas.openxmlformats.org/officeDocument/2006/relationships/hyperlink" Target="http://twittbot.net" TargetMode="External"/><Relationship Id="rId327" Type="http://schemas.openxmlformats.org/officeDocument/2006/relationships/hyperlink" Target="http://WordPress.com" TargetMode="External"/><Relationship Id="rId448" Type="http://schemas.openxmlformats.org/officeDocument/2006/relationships/hyperlink" Target="http://dlvr.it" TargetMode="External"/><Relationship Id="rId205" Type="http://schemas.openxmlformats.org/officeDocument/2006/relationships/hyperlink" Target="http://twittbot.net" TargetMode="External"/><Relationship Id="rId326" Type="http://schemas.openxmlformats.org/officeDocument/2006/relationships/hyperlink" Target="http://twittbot.net" TargetMode="External"/><Relationship Id="rId447" Type="http://schemas.openxmlformats.org/officeDocument/2006/relationships/hyperlink" Target="http://dlvr.it" TargetMode="External"/><Relationship Id="rId204" Type="http://schemas.openxmlformats.org/officeDocument/2006/relationships/hyperlink" Target="http://WordPress.com" TargetMode="External"/><Relationship Id="rId325" Type="http://schemas.openxmlformats.org/officeDocument/2006/relationships/hyperlink" Target="http://Jepang.net" TargetMode="External"/><Relationship Id="rId446" Type="http://schemas.openxmlformats.org/officeDocument/2006/relationships/hyperlink" Target="http://dlvr.it" TargetMode="External"/><Relationship Id="rId203" Type="http://schemas.openxmlformats.org/officeDocument/2006/relationships/hyperlink" Target="http://www.facebook.com/stuntfm" TargetMode="External"/><Relationship Id="rId324" Type="http://schemas.openxmlformats.org/officeDocument/2006/relationships/hyperlink" Target="http://dlvr.it" TargetMode="External"/><Relationship Id="rId445" Type="http://schemas.openxmlformats.org/officeDocument/2006/relationships/hyperlink" Target="http://dlvr.it" TargetMode="External"/><Relationship Id="rId209" Type="http://schemas.openxmlformats.org/officeDocument/2006/relationships/hyperlink" Target="http://Hamassenger.com" TargetMode="External"/><Relationship Id="rId208" Type="http://schemas.openxmlformats.org/officeDocument/2006/relationships/hyperlink" Target="http://Hamassenger.com" TargetMode="External"/><Relationship Id="rId329" Type="http://schemas.openxmlformats.org/officeDocument/2006/relationships/hyperlink" Target="http://WordPress.com" TargetMode="External"/><Relationship Id="rId207" Type="http://schemas.openxmlformats.org/officeDocument/2006/relationships/hyperlink" Target="http://Zapier.com" TargetMode="External"/><Relationship Id="rId328" Type="http://schemas.openxmlformats.org/officeDocument/2006/relationships/hyperlink" Target="http://twittbot.net" TargetMode="External"/><Relationship Id="rId449" Type="http://schemas.openxmlformats.org/officeDocument/2006/relationships/hyperlink" Target="http://dlvr.it" TargetMode="External"/><Relationship Id="rId440" Type="http://schemas.openxmlformats.org/officeDocument/2006/relationships/hyperlink" Target="http://dlvr.it" TargetMode="External"/><Relationship Id="rId202" Type="http://schemas.openxmlformats.org/officeDocument/2006/relationships/hyperlink" Target="http://WordPress.com" TargetMode="External"/><Relationship Id="rId323" Type="http://schemas.openxmlformats.org/officeDocument/2006/relationships/hyperlink" Target="http://WordPress.com" TargetMode="External"/><Relationship Id="rId444" Type="http://schemas.openxmlformats.org/officeDocument/2006/relationships/hyperlink" Target="http://dlvr.it" TargetMode="External"/><Relationship Id="rId201" Type="http://schemas.openxmlformats.org/officeDocument/2006/relationships/hyperlink" Target="http://WordPress.com" TargetMode="External"/><Relationship Id="rId322" Type="http://schemas.openxmlformats.org/officeDocument/2006/relationships/hyperlink" Target="http://www.facebook.com/doctorreefer/" TargetMode="External"/><Relationship Id="rId443" Type="http://schemas.openxmlformats.org/officeDocument/2006/relationships/hyperlink" Target="http://dlvr.it" TargetMode="External"/><Relationship Id="rId200" Type="http://schemas.openxmlformats.org/officeDocument/2006/relationships/hyperlink" Target="https://t.co/1d0DNM2ac0" TargetMode="External"/><Relationship Id="rId321" Type="http://schemas.openxmlformats.org/officeDocument/2006/relationships/hyperlink" Target="http://www.facebook.com/doctorreefer/" TargetMode="External"/><Relationship Id="rId442" Type="http://schemas.openxmlformats.org/officeDocument/2006/relationships/hyperlink" Target="http://dlvr.it" TargetMode="External"/><Relationship Id="rId320" Type="http://schemas.openxmlformats.org/officeDocument/2006/relationships/hyperlink" Target="http://dlvr.it" TargetMode="External"/><Relationship Id="rId441" Type="http://schemas.openxmlformats.org/officeDocument/2006/relationships/hyperlink" Target="http://dlvr.it" TargetMode="External"/><Relationship Id="rId316" Type="http://schemas.openxmlformats.org/officeDocument/2006/relationships/hyperlink" Target="http://twittbot.net" TargetMode="External"/><Relationship Id="rId437" Type="http://schemas.openxmlformats.org/officeDocument/2006/relationships/hyperlink" Target="http://dlvr.it" TargetMode="External"/><Relationship Id="rId315" Type="http://schemas.openxmlformats.org/officeDocument/2006/relationships/hyperlink" Target="http://StoriesFlow.com" TargetMode="External"/><Relationship Id="rId436" Type="http://schemas.openxmlformats.org/officeDocument/2006/relationships/hyperlink" Target="http://dlvr.it" TargetMode="External"/><Relationship Id="rId314" Type="http://schemas.openxmlformats.org/officeDocument/2006/relationships/hyperlink" Target="http://dlvr.it" TargetMode="External"/><Relationship Id="rId435" Type="http://schemas.openxmlformats.org/officeDocument/2006/relationships/hyperlink" Target="http://WordPress.com" TargetMode="External"/><Relationship Id="rId313" Type="http://schemas.openxmlformats.org/officeDocument/2006/relationships/hyperlink" Target="http://dlvr.it" TargetMode="External"/><Relationship Id="rId434" Type="http://schemas.openxmlformats.org/officeDocument/2006/relationships/hyperlink" Target="http://WordPress.com" TargetMode="External"/><Relationship Id="rId319" Type="http://schemas.openxmlformats.org/officeDocument/2006/relationships/hyperlink" Target="http://dlvr.it" TargetMode="External"/><Relationship Id="rId318" Type="http://schemas.openxmlformats.org/officeDocument/2006/relationships/hyperlink" Target="http://dlvr.it" TargetMode="External"/><Relationship Id="rId439" Type="http://schemas.openxmlformats.org/officeDocument/2006/relationships/hyperlink" Target="http://dlvr.it" TargetMode="External"/><Relationship Id="rId317" Type="http://schemas.openxmlformats.org/officeDocument/2006/relationships/hyperlink" Target="http://WordPress.com" TargetMode="External"/><Relationship Id="rId438" Type="http://schemas.openxmlformats.org/officeDocument/2006/relationships/hyperlink" Target="http://dlvr.it" TargetMode="External"/><Relationship Id="rId312" Type="http://schemas.openxmlformats.org/officeDocument/2006/relationships/hyperlink" Target="http://dlvr.it" TargetMode="External"/><Relationship Id="rId433" Type="http://schemas.openxmlformats.org/officeDocument/2006/relationships/hyperlink" Target="http://twittbot.net" TargetMode="External"/><Relationship Id="rId311" Type="http://schemas.openxmlformats.org/officeDocument/2006/relationships/hyperlink" Target="http://WordPress.com" TargetMode="External"/><Relationship Id="rId432" Type="http://schemas.openxmlformats.org/officeDocument/2006/relationships/hyperlink" Target="http://dlvr.it" TargetMode="External"/><Relationship Id="rId310" Type="http://schemas.openxmlformats.org/officeDocument/2006/relationships/hyperlink" Target="http://dlvr.it" TargetMode="External"/><Relationship Id="rId431" Type="http://schemas.openxmlformats.org/officeDocument/2006/relationships/hyperlink" Target="http://dlvr.it" TargetMode="External"/><Relationship Id="rId430" Type="http://schemas.openxmlformats.org/officeDocument/2006/relationships/hyperlink" Target="http://twittbot.ne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2.0" topLeftCell="A3" activePane="bottomLeft" state="frozen"/>
      <selection activeCell="B4" sqref="B4" pane="bottomLeft"/>
    </sheetView>
  </sheetViews>
  <sheetFormatPr customHeight="1" defaultColWidth="14.43" defaultRowHeight="15.75"/>
  <cols>
    <col customWidth="1" min="1" max="1" width="15.29"/>
    <col customWidth="1" min="3" max="3" width="16.29"/>
    <col customWidth="1" min="4" max="4" width="115.43"/>
    <col customWidth="1" min="5" max="5" width="17.71"/>
    <col customWidth="1" min="6" max="6" width="16.14"/>
    <col customWidth="1" min="7" max="12" width="11.14"/>
    <col customWidth="1" min="14" max="14" width="18.86"/>
    <col customWidth="1" min="15" max="16" width="12.0"/>
  </cols>
  <sheetData>
    <row r="1" ht="25.5" customHeight="1">
      <c r="A1" s="1" t="s">
        <v>0</v>
      </c>
      <c r="G1" s="3" t="s">
        <v>2</v>
      </c>
      <c r="P1" s="5"/>
    </row>
    <row r="2" ht="29.25" customHeight="1">
      <c r="A2" s="7" t="s">
        <v>1</v>
      </c>
      <c r="B2" s="9" t="s">
        <v>5</v>
      </c>
      <c r="C2" s="9" t="s">
        <v>6</v>
      </c>
      <c r="D2" s="9" t="s">
        <v>7</v>
      </c>
      <c r="E2" s="11" t="s">
        <v>8</v>
      </c>
      <c r="F2" s="11" t="s">
        <v>9</v>
      </c>
      <c r="G2" s="9" t="s">
        <v>10</v>
      </c>
      <c r="H2" s="9" t="s">
        <v>11</v>
      </c>
      <c r="I2" s="9" t="s">
        <v>12</v>
      </c>
      <c r="J2" s="9" t="s">
        <v>13</v>
      </c>
      <c r="K2" s="11" t="s">
        <v>14</v>
      </c>
      <c r="L2" s="11" t="s">
        <v>15</v>
      </c>
      <c r="M2" s="11" t="s">
        <v>16</v>
      </c>
      <c r="N2" s="11" t="s">
        <v>17</v>
      </c>
      <c r="O2" s="11" t="s">
        <v>18</v>
      </c>
      <c r="P2" s="11" t="s">
        <v>19</v>
      </c>
    </row>
    <row r="3">
      <c r="A3" s="14">
        <v>43031.055856481486</v>
      </c>
      <c r="B3" s="20" t="str">
        <f>HYPERLINK("https://twitter.com/PatrickAmkanga","@PatrickAmkanga")</f>
        <v>@PatrickAmkanga</v>
      </c>
      <c r="C3" s="21" t="s">
        <v>31</v>
      </c>
      <c r="D3" s="21" t="s">
        <v>32</v>
      </c>
      <c r="E3" s="22" t="str">
        <f>HYPERLINK("https://twitter.com/PatrickAmkanga/status/922377159779512320","922377159779512320")</f>
        <v>922377159779512320</v>
      </c>
      <c r="F3" s="23" t="s">
        <v>33</v>
      </c>
      <c r="G3" s="24">
        <v>1219.0</v>
      </c>
      <c r="H3" s="24">
        <v>4651.0</v>
      </c>
      <c r="I3" s="24">
        <v>471.0</v>
      </c>
      <c r="J3" s="24">
        <v>0.0</v>
      </c>
      <c r="K3" s="23" t="s">
        <v>34</v>
      </c>
      <c r="L3" s="25">
        <v>42267.07503472222</v>
      </c>
      <c r="M3" s="26" t="s">
        <v>35</v>
      </c>
      <c r="N3" s="26" t="s">
        <v>36</v>
      </c>
      <c r="O3" s="22" t="str">
        <f>HYPERLINK("https://pbs.twimg.com/profile_images/903313621803044865/iurKGWii_normal.jpg","View")</f>
        <v>View</v>
      </c>
      <c r="P3" s="27"/>
    </row>
    <row r="4">
      <c r="A4" s="14">
        <v>43031.055983796294</v>
      </c>
      <c r="B4" s="20" t="str">
        <f>HYPERLINK("https://twitter.com/alexroll12","@alexroll12")</f>
        <v>@alexroll12</v>
      </c>
      <c r="C4" s="21" t="s">
        <v>37</v>
      </c>
      <c r="D4" s="21" t="s">
        <v>38</v>
      </c>
      <c r="E4" s="22" t="str">
        <f>HYPERLINK("https://twitter.com/alexroll12/status/922377205589651457","922377205589651457")</f>
        <v>922377205589651457</v>
      </c>
      <c r="F4" s="23" t="s">
        <v>39</v>
      </c>
      <c r="G4" s="24">
        <v>9.0</v>
      </c>
      <c r="H4" s="24">
        <v>42.0</v>
      </c>
      <c r="I4" s="24">
        <v>1.0</v>
      </c>
      <c r="J4" s="24">
        <v>0.0</v>
      </c>
      <c r="K4" s="23" t="s">
        <v>34</v>
      </c>
      <c r="L4" s="25">
        <v>42795.65693287037</v>
      </c>
      <c r="M4" s="26" t="s">
        <v>40</v>
      </c>
      <c r="N4" s="28"/>
      <c r="O4" s="22" t="str">
        <f>HYPERLINK("https://pbs.twimg.com/profile_images/859878771943460866/OaRX9klV_normal.jpg","View")</f>
        <v>View</v>
      </c>
      <c r="P4" s="27"/>
    </row>
    <row r="5">
      <c r="A5" s="14">
        <v>43031.05599537037</v>
      </c>
      <c r="B5" s="20" t="str">
        <f>HYPERLINK("https://twitter.com/Ireika2016","@Ireika2016")</f>
        <v>@Ireika2016</v>
      </c>
      <c r="C5" s="21" t="s">
        <v>41</v>
      </c>
      <c r="D5" s="21" t="s">
        <v>42</v>
      </c>
      <c r="E5" s="22" t="str">
        <f>HYPERLINK("https://twitter.com/Ireika2016/status/922377210631041024","922377210631041024")</f>
        <v>922377210631041024</v>
      </c>
      <c r="F5" s="23" t="s">
        <v>43</v>
      </c>
      <c r="G5" s="24">
        <v>1135.0</v>
      </c>
      <c r="H5" s="24">
        <v>1507.0</v>
      </c>
      <c r="I5" s="24">
        <v>8501.0</v>
      </c>
      <c r="J5" s="24">
        <v>0.0</v>
      </c>
      <c r="K5" s="23" t="s">
        <v>34</v>
      </c>
      <c r="L5" s="25">
        <v>42485.43188657408</v>
      </c>
      <c r="M5" s="26" t="s">
        <v>44</v>
      </c>
      <c r="N5" s="26" t="s">
        <v>45</v>
      </c>
      <c r="O5" s="22" t="str">
        <f>HYPERLINK("https://pbs.twimg.com/profile_images/911597079327211520/z993rBNP_normal.jpg","View")</f>
        <v>View</v>
      </c>
      <c r="P5" s="27"/>
    </row>
    <row r="6">
      <c r="A6" s="14">
        <v>43031.05601851852</v>
      </c>
      <c r="B6" s="20" t="str">
        <f>HYPERLINK("https://twitter.com/TheDailyPioneer","@TheDailyPioneer")</f>
        <v>@TheDailyPioneer</v>
      </c>
      <c r="C6" s="21" t="s">
        <v>46</v>
      </c>
      <c r="D6" s="21" t="s">
        <v>47</v>
      </c>
      <c r="E6" s="22" t="str">
        <f>HYPERLINK("https://twitter.com/TheDailyPioneer/status/922377219254530048","922377219254530048")</f>
        <v>922377219254530048</v>
      </c>
      <c r="F6" s="23" t="s">
        <v>48</v>
      </c>
      <c r="G6" s="24">
        <v>12705.0</v>
      </c>
      <c r="H6" s="24">
        <v>85.0</v>
      </c>
      <c r="I6" s="24">
        <v>4.0</v>
      </c>
      <c r="J6" s="24">
        <v>6.0</v>
      </c>
      <c r="K6" s="23" t="s">
        <v>34</v>
      </c>
      <c r="L6" s="25">
        <v>40929.34960648148</v>
      </c>
      <c r="M6" s="28"/>
      <c r="N6" s="26" t="s">
        <v>49</v>
      </c>
      <c r="O6" s="22" t="str">
        <f>HYPERLINK("https://pbs.twimg.com/profile_images/907495854289805312/Cgzn3nmb_normal.jpg","View")</f>
        <v>View</v>
      </c>
      <c r="P6" s="27"/>
    </row>
    <row r="7">
      <c r="A7" s="14">
        <v>43031.05603009259</v>
      </c>
      <c r="B7" s="20" t="str">
        <f>HYPERLINK("https://twitter.com/CoiettePappas","@CoiettePappas")</f>
        <v>@CoiettePappas</v>
      </c>
      <c r="C7" s="21" t="s">
        <v>50</v>
      </c>
      <c r="D7" s="21" t="s">
        <v>51</v>
      </c>
      <c r="E7" s="22" t="str">
        <f>HYPERLINK("https://twitter.com/CoiettePappas/status/922377224778604544","922377224778604544")</f>
        <v>922377224778604544</v>
      </c>
      <c r="F7" s="23" t="s">
        <v>33</v>
      </c>
      <c r="G7" s="24">
        <v>48.0</v>
      </c>
      <c r="H7" s="24">
        <v>1670.0</v>
      </c>
      <c r="I7" s="24">
        <v>16.0</v>
      </c>
      <c r="J7" s="24">
        <v>0.0</v>
      </c>
      <c r="K7" s="23" t="s">
        <v>34</v>
      </c>
      <c r="L7" s="25">
        <v>41080.452835648146</v>
      </c>
      <c r="M7" s="26" t="s">
        <v>52</v>
      </c>
      <c r="N7" s="28"/>
      <c r="O7" s="22" t="str">
        <f>HYPERLINK("https://pbs.twimg.com/profile_images/764410165416304641/lcoaUkfD_normal.jpg","View")</f>
        <v>View</v>
      </c>
      <c r="P7" s="27"/>
    </row>
    <row r="8">
      <c r="A8" s="14">
        <v>43031.05611111112</v>
      </c>
      <c r="B8" s="20" t="str">
        <f>HYPERLINK("https://twitter.com/sundarmail","@sundarmail")</f>
        <v>@sundarmail</v>
      </c>
      <c r="C8" s="21" t="s">
        <v>53</v>
      </c>
      <c r="D8" s="21" t="s">
        <v>54</v>
      </c>
      <c r="E8" s="22" t="str">
        <f>HYPERLINK("https://twitter.com/sundarmail/status/922377252829986817","922377252829986817")</f>
        <v>922377252829986817</v>
      </c>
      <c r="F8" s="23" t="s">
        <v>55</v>
      </c>
      <c r="G8" s="24">
        <v>1539.0</v>
      </c>
      <c r="H8" s="24">
        <v>4966.0</v>
      </c>
      <c r="I8" s="24">
        <v>21.0</v>
      </c>
      <c r="J8" s="24">
        <v>0.0</v>
      </c>
      <c r="K8" s="23" t="s">
        <v>34</v>
      </c>
      <c r="L8" s="25">
        <v>40048.43104166667</v>
      </c>
      <c r="M8" s="26" t="s">
        <v>56</v>
      </c>
      <c r="N8" s="26" t="s">
        <v>57</v>
      </c>
      <c r="O8" s="22" t="str">
        <f>HYPERLINK("https://pbs.twimg.com/profile_images/459223730103664640/FvnfSgeU_normal.jpeg","View")</f>
        <v>View</v>
      </c>
      <c r="P8" s="27"/>
    </row>
    <row r="9">
      <c r="A9" s="14">
        <v>43031.05615740741</v>
      </c>
      <c r="B9" s="20" t="str">
        <f>HYPERLINK("https://twitter.com/ashooke123","@ashooke123")</f>
        <v>@ashooke123</v>
      </c>
      <c r="C9" s="21" t="s">
        <v>58</v>
      </c>
      <c r="D9" s="21" t="s">
        <v>42</v>
      </c>
      <c r="E9" s="22" t="str">
        <f>HYPERLINK("https://twitter.com/ashooke123/status/922377270521503744","922377270521503744")</f>
        <v>922377270521503744</v>
      </c>
      <c r="F9" s="23" t="s">
        <v>39</v>
      </c>
      <c r="G9" s="24">
        <v>170.0</v>
      </c>
      <c r="H9" s="24">
        <v>253.0</v>
      </c>
      <c r="I9" s="24">
        <v>8501.0</v>
      </c>
      <c r="J9" s="24">
        <v>0.0</v>
      </c>
      <c r="K9" s="23" t="s">
        <v>34</v>
      </c>
      <c r="L9" s="25">
        <v>40898.92607638889</v>
      </c>
      <c r="M9" s="26" t="s">
        <v>59</v>
      </c>
      <c r="N9" s="26" t="s">
        <v>60</v>
      </c>
      <c r="O9" s="22" t="str">
        <f>HYPERLINK("https://pbs.twimg.com/profile_images/895553987339968512/1zE-9bqH_normal.jpg","View")</f>
        <v>View</v>
      </c>
      <c r="P9" s="27"/>
    </row>
    <row r="10">
      <c r="A10" s="14">
        <v>43031.0562037037</v>
      </c>
      <c r="B10" s="20" t="str">
        <f>HYPERLINK("https://twitter.com/Ajay_jat0","@Ajay_jat0")</f>
        <v>@Ajay_jat0</v>
      </c>
      <c r="C10" s="21" t="s">
        <v>61</v>
      </c>
      <c r="D10" s="21" t="s">
        <v>42</v>
      </c>
      <c r="E10" s="22" t="str">
        <f>HYPERLINK("https://twitter.com/Ajay_jat0/status/922377285692477441","922377285692477441")</f>
        <v>922377285692477441</v>
      </c>
      <c r="F10" s="23" t="s">
        <v>33</v>
      </c>
      <c r="G10" s="24">
        <v>531.0</v>
      </c>
      <c r="H10" s="24">
        <v>131.0</v>
      </c>
      <c r="I10" s="24">
        <v>8501.0</v>
      </c>
      <c r="J10" s="24">
        <v>0.0</v>
      </c>
      <c r="K10" s="23" t="s">
        <v>34</v>
      </c>
      <c r="L10" s="25">
        <v>42822.209918981476</v>
      </c>
      <c r="M10" s="26" t="s">
        <v>62</v>
      </c>
      <c r="N10" s="26" t="s">
        <v>63</v>
      </c>
      <c r="O10" s="22" t="str">
        <f>HYPERLINK("https://pbs.twimg.com/profile_images/916715699489218560/Kx5S0p2s_normal.jpg","View")</f>
        <v>View</v>
      </c>
      <c r="P10" s="27"/>
    </row>
    <row r="11">
      <c r="A11" s="14">
        <v>43031.05637731482</v>
      </c>
      <c r="B11" s="20" t="str">
        <f>HYPERLINK("https://twitter.com/enkay78","@enkay78")</f>
        <v>@enkay78</v>
      </c>
      <c r="C11" s="21" t="s">
        <v>64</v>
      </c>
      <c r="D11" s="21" t="s">
        <v>54</v>
      </c>
      <c r="E11" s="22" t="str">
        <f>HYPERLINK("https://twitter.com/enkay78/status/922377346916556800","922377346916556800")</f>
        <v>922377346916556800</v>
      </c>
      <c r="F11" s="23" t="s">
        <v>55</v>
      </c>
      <c r="G11" s="24">
        <v>56.0</v>
      </c>
      <c r="H11" s="24">
        <v>41.0</v>
      </c>
      <c r="I11" s="24">
        <v>21.0</v>
      </c>
      <c r="J11" s="24">
        <v>0.0</v>
      </c>
      <c r="K11" s="23" t="s">
        <v>34</v>
      </c>
      <c r="L11" s="25">
        <v>40737.32828703704</v>
      </c>
      <c r="M11" s="26" t="s">
        <v>65</v>
      </c>
      <c r="N11" s="28"/>
      <c r="O11" s="22" t="str">
        <f>HYPERLINK("https://pbs.twimg.com/profile_images/1440603412/kums16_normal.jpg","View")</f>
        <v>View</v>
      </c>
      <c r="P11" s="27"/>
    </row>
    <row r="12">
      <c r="A12" s="14">
        <v>43031.05657407407</v>
      </c>
      <c r="B12" s="20" t="str">
        <f>HYPERLINK("https://twitter.com/baumann_my","@baumann_my")</f>
        <v>@baumann_my</v>
      </c>
      <c r="C12" s="21" t="s">
        <v>66</v>
      </c>
      <c r="D12" s="21" t="s">
        <v>67</v>
      </c>
      <c r="E12" s="22" t="str">
        <f>HYPERLINK("https://twitter.com/baumann_my/status/922377420057055234","922377420057055234")</f>
        <v>922377420057055234</v>
      </c>
      <c r="F12" s="23" t="s">
        <v>33</v>
      </c>
      <c r="G12" s="24">
        <v>823.0</v>
      </c>
      <c r="H12" s="24">
        <v>472.0</v>
      </c>
      <c r="I12" s="24">
        <v>169.0</v>
      </c>
      <c r="J12" s="24">
        <v>0.0</v>
      </c>
      <c r="K12" s="23" t="s">
        <v>34</v>
      </c>
      <c r="L12" s="25">
        <v>42951.234872685185</v>
      </c>
      <c r="M12" s="26" t="s">
        <v>68</v>
      </c>
      <c r="N12" s="26" t="s">
        <v>69</v>
      </c>
      <c r="O12" s="22" t="str">
        <f>HYPERLINK("https://pbs.twimg.com/profile_images/899402845312745473/iKLikl_R_normal.jpg","View")</f>
        <v>View</v>
      </c>
      <c r="P12" s="27"/>
    </row>
    <row r="13">
      <c r="A13" s="14">
        <v>43031.05662037037</v>
      </c>
      <c r="B13" s="20" t="str">
        <f>HYPERLINK("https://twitter.com/yodaka00594030","@yodaka00594030")</f>
        <v>@yodaka00594030</v>
      </c>
      <c r="C13" s="21" t="s">
        <v>70</v>
      </c>
      <c r="D13" s="21" t="s">
        <v>42</v>
      </c>
      <c r="E13" s="22" t="str">
        <f>HYPERLINK("https://twitter.com/yodaka00594030/status/922377434606878720","922377434606878720")</f>
        <v>922377434606878720</v>
      </c>
      <c r="F13" s="23" t="s">
        <v>39</v>
      </c>
      <c r="G13" s="24">
        <v>107.0</v>
      </c>
      <c r="H13" s="24">
        <v>261.0</v>
      </c>
      <c r="I13" s="24">
        <v>8501.0</v>
      </c>
      <c r="J13" s="24">
        <v>0.0</v>
      </c>
      <c r="K13" s="23" t="s">
        <v>34</v>
      </c>
      <c r="L13" s="25">
        <v>42899.21655092592</v>
      </c>
      <c r="M13" s="26" t="s">
        <v>71</v>
      </c>
      <c r="N13" s="26" t="s">
        <v>72</v>
      </c>
      <c r="O13" s="22" t="str">
        <f>HYPERLINK("https://pbs.twimg.com/profile_images/875834421668003840/tK0VMNCC_normal.jpg","View")</f>
        <v>View</v>
      </c>
      <c r="P13" s="27"/>
    </row>
    <row r="14">
      <c r="A14" s="14">
        <v>43031.05663194445</v>
      </c>
      <c r="B14" s="20" t="str">
        <f>HYPERLINK("https://twitter.com/AngelaKorras","@AngelaKorras")</f>
        <v>@AngelaKorras</v>
      </c>
      <c r="C14" s="21" t="s">
        <v>73</v>
      </c>
      <c r="D14" s="21" t="s">
        <v>74</v>
      </c>
      <c r="E14" s="22" t="str">
        <f>HYPERLINK("https://twitter.com/AngelaKorras/status/922377439547867136","922377439547867136")</f>
        <v>922377439547867136</v>
      </c>
      <c r="F14" s="23" t="s">
        <v>75</v>
      </c>
      <c r="G14" s="24">
        <v>3686.0</v>
      </c>
      <c r="H14" s="24">
        <v>3796.0</v>
      </c>
      <c r="I14" s="24">
        <v>0.0</v>
      </c>
      <c r="J14" s="24">
        <v>0.0</v>
      </c>
      <c r="K14" s="23" t="s">
        <v>34</v>
      </c>
      <c r="L14" s="25">
        <v>40086.84265046296</v>
      </c>
      <c r="M14" s="26" t="s">
        <v>76</v>
      </c>
      <c r="N14" s="26" t="s">
        <v>77</v>
      </c>
      <c r="O14" s="22" t="str">
        <f>HYPERLINK("https://pbs.twimg.com/profile_images/1749413966/hairlesscatcrop_normal.jpg","View")</f>
        <v>View</v>
      </c>
      <c r="P14" s="27"/>
    </row>
    <row r="15">
      <c r="A15" s="14">
        <v>43031.05674768519</v>
      </c>
      <c r="B15" s="20" t="str">
        <f>HYPERLINK("https://twitter.com/xrossme","@xrossme")</f>
        <v>@xrossme</v>
      </c>
      <c r="C15" s="21" t="s">
        <v>78</v>
      </c>
      <c r="D15" s="21" t="s">
        <v>32</v>
      </c>
      <c r="E15" s="22" t="str">
        <f>HYPERLINK("https://twitter.com/xrossme/status/922377482594078720","922377482594078720")</f>
        <v>922377482594078720</v>
      </c>
      <c r="F15" s="23" t="s">
        <v>33</v>
      </c>
      <c r="G15" s="24">
        <v>77.0</v>
      </c>
      <c r="H15" s="24">
        <v>252.0</v>
      </c>
      <c r="I15" s="24">
        <v>471.0</v>
      </c>
      <c r="J15" s="24">
        <v>0.0</v>
      </c>
      <c r="K15" s="23" t="s">
        <v>34</v>
      </c>
      <c r="L15" s="25">
        <v>42309.06743055556</v>
      </c>
      <c r="M15" s="26" t="s">
        <v>79</v>
      </c>
      <c r="N15" s="26" t="s">
        <v>80</v>
      </c>
      <c r="O15" s="22" t="str">
        <f>HYPERLINK("https://pbs.twimg.com/profile_images/910165861603987456/7xqe4ofe_normal.jpg","View")</f>
        <v>View</v>
      </c>
      <c r="P15" s="27"/>
    </row>
    <row r="16">
      <c r="A16" s="14">
        <v>43031.05684027778</v>
      </c>
      <c r="B16" s="20" t="str">
        <f>HYPERLINK("https://twitter.com/eddydaud","@eddydaud")</f>
        <v>@eddydaud</v>
      </c>
      <c r="C16" s="21" t="s">
        <v>81</v>
      </c>
      <c r="D16" s="21" t="s">
        <v>82</v>
      </c>
      <c r="E16" s="22" t="str">
        <f>HYPERLINK("https://twitter.com/eddydaud/status/922377515363999744","922377515363999744")</f>
        <v>922377515363999744</v>
      </c>
      <c r="F16" s="23" t="s">
        <v>33</v>
      </c>
      <c r="G16" s="24">
        <v>6689.0</v>
      </c>
      <c r="H16" s="24">
        <v>5866.0</v>
      </c>
      <c r="I16" s="24">
        <v>38.0</v>
      </c>
      <c r="J16" s="24">
        <v>0.0</v>
      </c>
      <c r="K16" s="23" t="s">
        <v>34</v>
      </c>
      <c r="L16" s="25">
        <v>39979.10376157407</v>
      </c>
      <c r="M16" s="26" t="s">
        <v>83</v>
      </c>
      <c r="N16" s="26" t="s">
        <v>84</v>
      </c>
      <c r="O16" s="22" t="str">
        <f>HYPERLINK("https://pbs.twimg.com/profile_images/785336229743034368/ZObpBhIg_normal.jpg","View")</f>
        <v>View</v>
      </c>
      <c r="P16" s="27"/>
    </row>
    <row r="17">
      <c r="A17" s="14">
        <v>43031.05684027778</v>
      </c>
      <c r="B17" s="20" t="str">
        <f>HYPERLINK("https://twitter.com/imSRKatoch","@imSRKatoch")</f>
        <v>@imSRKatoch</v>
      </c>
      <c r="C17" s="21" t="s">
        <v>85</v>
      </c>
      <c r="D17" s="21" t="s">
        <v>42</v>
      </c>
      <c r="E17" s="22" t="str">
        <f>HYPERLINK("https://twitter.com/imSRKatoch/status/922377517712977920","922377517712977920")</f>
        <v>922377517712977920</v>
      </c>
      <c r="F17" s="23" t="s">
        <v>86</v>
      </c>
      <c r="G17" s="24">
        <v>367.0</v>
      </c>
      <c r="H17" s="24">
        <v>110.0</v>
      </c>
      <c r="I17" s="24">
        <v>8501.0</v>
      </c>
      <c r="J17" s="24">
        <v>0.0</v>
      </c>
      <c r="K17" s="23" t="s">
        <v>34</v>
      </c>
      <c r="L17" s="25">
        <v>41325.38447916666</v>
      </c>
      <c r="M17" s="26" t="s">
        <v>87</v>
      </c>
      <c r="N17" s="26" t="s">
        <v>88</v>
      </c>
      <c r="O17" s="22" t="str">
        <f>HYPERLINK("https://pbs.twimg.com/profile_images/886873653811396610/pmSBvGhk_normal.jpg","View")</f>
        <v>View</v>
      </c>
      <c r="P17" s="27"/>
    </row>
    <row r="18">
      <c r="A18" s="14">
        <v>43031.05690972222</v>
      </c>
      <c r="B18" s="20" t="str">
        <f t="shared" ref="B18:B19" si="1">HYPERLINK("https://twitter.com/newslivenetwork","@newslivenetwork")</f>
        <v>@newslivenetwork</v>
      </c>
      <c r="C18" s="21" t="s">
        <v>89</v>
      </c>
      <c r="D18" s="21" t="s">
        <v>90</v>
      </c>
      <c r="E18" s="22" t="str">
        <f>HYPERLINK("https://twitter.com/newslivenetwork/status/922377540232196096","922377540232196096")</f>
        <v>922377540232196096</v>
      </c>
      <c r="F18" s="23" t="s">
        <v>91</v>
      </c>
      <c r="G18" s="24">
        <v>271.0</v>
      </c>
      <c r="H18" s="24">
        <v>87.0</v>
      </c>
      <c r="I18" s="24">
        <v>0.0</v>
      </c>
      <c r="J18" s="24">
        <v>0.0</v>
      </c>
      <c r="K18" s="23" t="s">
        <v>34</v>
      </c>
      <c r="L18" s="25">
        <v>42741.47196759259</v>
      </c>
      <c r="M18" s="26" t="s">
        <v>92</v>
      </c>
      <c r="N18" s="26" t="s">
        <v>93</v>
      </c>
      <c r="O18" s="22" t="str">
        <f t="shared" ref="O18:O19" si="2">HYPERLINK("https://pbs.twimg.com/profile_images/877414144424660992/scfhocj3_normal.jpg","View")</f>
        <v>View</v>
      </c>
      <c r="P18" s="27"/>
    </row>
    <row r="19">
      <c r="A19" s="14">
        <v>43031.05690972222</v>
      </c>
      <c r="B19" s="20" t="str">
        <f t="shared" si="1"/>
        <v>@newslivenetwork</v>
      </c>
      <c r="C19" s="21" t="s">
        <v>89</v>
      </c>
      <c r="D19" s="21" t="s">
        <v>94</v>
      </c>
      <c r="E19" s="22" t="str">
        <f>HYPERLINK("https://twitter.com/newslivenetwork/status/922377541175869440","922377541175869440")</f>
        <v>922377541175869440</v>
      </c>
      <c r="F19" s="23" t="s">
        <v>91</v>
      </c>
      <c r="G19" s="24">
        <v>271.0</v>
      </c>
      <c r="H19" s="24">
        <v>87.0</v>
      </c>
      <c r="I19" s="24">
        <v>0.0</v>
      </c>
      <c r="J19" s="24">
        <v>0.0</v>
      </c>
      <c r="K19" s="23" t="s">
        <v>34</v>
      </c>
      <c r="L19" s="25">
        <v>42741.47196759259</v>
      </c>
      <c r="M19" s="26" t="s">
        <v>92</v>
      </c>
      <c r="N19" s="26" t="s">
        <v>93</v>
      </c>
      <c r="O19" s="22" t="str">
        <f t="shared" si="2"/>
        <v>View</v>
      </c>
      <c r="P19" s="27"/>
    </row>
    <row r="20">
      <c r="A20" s="14">
        <v>43031.05690972222</v>
      </c>
      <c r="B20" s="20" t="str">
        <f>HYPERLINK("https://twitter.com/rudra001","@rudra001")</f>
        <v>@rudra001</v>
      </c>
      <c r="C20" s="21" t="s">
        <v>95</v>
      </c>
      <c r="D20" s="21" t="s">
        <v>42</v>
      </c>
      <c r="E20" s="22" t="str">
        <f>HYPERLINK("https://twitter.com/rudra001/status/922377541515726849","922377541515726849")</f>
        <v>922377541515726849</v>
      </c>
      <c r="F20" s="23" t="s">
        <v>39</v>
      </c>
      <c r="G20" s="24">
        <v>639.0</v>
      </c>
      <c r="H20" s="24">
        <v>705.0</v>
      </c>
      <c r="I20" s="24">
        <v>8501.0</v>
      </c>
      <c r="J20" s="24">
        <v>0.0</v>
      </c>
      <c r="K20" s="23" t="s">
        <v>34</v>
      </c>
      <c r="L20" s="25">
        <v>40008.0405787037</v>
      </c>
      <c r="M20" s="26" t="s">
        <v>96</v>
      </c>
      <c r="N20" s="26" t="s">
        <v>97</v>
      </c>
      <c r="O20" s="22" t="str">
        <f>HYPERLINK("https://pbs.twimg.com/profile_images/562519516739928064/kJTLs4li_normal.jpeg","View")</f>
        <v>View</v>
      </c>
      <c r="P20" s="27"/>
    </row>
    <row r="21">
      <c r="A21" s="14">
        <v>43031.05693287037</v>
      </c>
      <c r="B21" s="20" t="str">
        <f>HYPERLINK("https://twitter.com/wine_dork","@wine_dork")</f>
        <v>@wine_dork</v>
      </c>
      <c r="C21" s="21" t="s">
        <v>98</v>
      </c>
      <c r="D21" s="21" t="s">
        <v>99</v>
      </c>
      <c r="E21" s="22" t="str">
        <f>HYPERLINK("https://twitter.com/wine_dork/status/922377547874275328","922377547874275328")</f>
        <v>922377547874275328</v>
      </c>
      <c r="F21" s="23" t="s">
        <v>39</v>
      </c>
      <c r="G21" s="24">
        <v>248.0</v>
      </c>
      <c r="H21" s="24">
        <v>166.0</v>
      </c>
      <c r="I21" s="24">
        <v>72.0</v>
      </c>
      <c r="J21" s="24">
        <v>0.0</v>
      </c>
      <c r="K21" s="23" t="s">
        <v>34</v>
      </c>
      <c r="L21" s="25">
        <v>42936.80855324074</v>
      </c>
      <c r="M21" s="26" t="s">
        <v>100</v>
      </c>
      <c r="N21" s="28"/>
      <c r="O21" s="22" t="str">
        <f>HYPERLINK("https://pbs.twimg.com/profile_images/888386357579714561/u7_uq1oD_normal.jpg","View")</f>
        <v>View</v>
      </c>
      <c r="P21" s="27"/>
    </row>
    <row r="22">
      <c r="A22" s="14">
        <v>43031.05706018519</v>
      </c>
      <c r="B22" s="20" t="str">
        <f>HYPERLINK("https://twitter.com/RKTripa54617056","@RKTripa54617056")</f>
        <v>@RKTripa54617056</v>
      </c>
      <c r="C22" s="21" t="s">
        <v>101</v>
      </c>
      <c r="D22" s="21" t="s">
        <v>42</v>
      </c>
      <c r="E22" s="22" t="str">
        <f>HYPERLINK("https://twitter.com/RKTripa54617056/status/922377595206885376","922377595206885376")</f>
        <v>922377595206885376</v>
      </c>
      <c r="F22" s="23" t="s">
        <v>39</v>
      </c>
      <c r="G22" s="24">
        <v>8.0</v>
      </c>
      <c r="H22" s="24">
        <v>156.0</v>
      </c>
      <c r="I22" s="24">
        <v>8501.0</v>
      </c>
      <c r="J22" s="24">
        <v>0.0</v>
      </c>
      <c r="K22" s="23" t="s">
        <v>34</v>
      </c>
      <c r="L22" s="25">
        <v>42952.3771412037</v>
      </c>
      <c r="M22" s="28"/>
      <c r="N22" s="28"/>
      <c r="O22" s="22" t="str">
        <f>HYPERLINK("https://abs.twimg.com/sticky/default_profile_images/default_profile_normal.png","View")</f>
        <v>View</v>
      </c>
      <c r="P22" s="27"/>
    </row>
    <row r="23">
      <c r="A23" s="14">
        <v>43031.05706018519</v>
      </c>
      <c r="B23" s="20" t="str">
        <f>HYPERLINK("https://twitter.com/cyto48","@cyto48")</f>
        <v>@cyto48</v>
      </c>
      <c r="C23" s="21" t="s">
        <v>102</v>
      </c>
      <c r="D23" s="21" t="s">
        <v>103</v>
      </c>
      <c r="E23" s="22" t="str">
        <f>HYPERLINK("https://twitter.com/cyto48/status/922377597002100736","922377597002100736")</f>
        <v>922377597002100736</v>
      </c>
      <c r="F23" s="23" t="s">
        <v>102</v>
      </c>
      <c r="G23" s="24">
        <v>388.0</v>
      </c>
      <c r="H23" s="24">
        <v>2740.0</v>
      </c>
      <c r="I23" s="24">
        <v>7.0</v>
      </c>
      <c r="J23" s="24">
        <v>0.0</v>
      </c>
      <c r="K23" s="23" t="s">
        <v>34</v>
      </c>
      <c r="L23" s="25">
        <v>41621.62619212963</v>
      </c>
      <c r="M23" s="28"/>
      <c r="N23" s="28"/>
      <c r="O23" s="22" t="str">
        <f>HYPERLINK("https://pbs.twimg.com/profile_images/914435541906722817/EvmsHZz3_normal.jpg","View")</f>
        <v>View</v>
      </c>
      <c r="P23" s="27"/>
    </row>
    <row r="24">
      <c r="A24" s="14">
        <v>43031.057233796295</v>
      </c>
      <c r="B24" s="20" t="str">
        <f>HYPERLINK("https://twitter.com/MartijnKoldijk","@MartijnKoldijk")</f>
        <v>@MartijnKoldijk</v>
      </c>
      <c r="C24" s="21" t="s">
        <v>104</v>
      </c>
      <c r="D24" s="21" t="s">
        <v>105</v>
      </c>
      <c r="E24" s="22" t="str">
        <f>HYPERLINK("https://twitter.com/MartijnKoldijk/status/922377660650504192","922377660650504192")</f>
        <v>922377660650504192</v>
      </c>
      <c r="F24" s="23" t="s">
        <v>33</v>
      </c>
      <c r="G24" s="24">
        <v>19.0</v>
      </c>
      <c r="H24" s="24">
        <v>93.0</v>
      </c>
      <c r="I24" s="24">
        <v>69.0</v>
      </c>
      <c r="J24" s="24">
        <v>0.0</v>
      </c>
      <c r="K24" s="23" t="s">
        <v>34</v>
      </c>
      <c r="L24" s="25">
        <v>42799.22524305555</v>
      </c>
      <c r="M24" s="26" t="s">
        <v>106</v>
      </c>
      <c r="N24" s="26" t="s">
        <v>107</v>
      </c>
      <c r="O24" s="22" t="str">
        <f>HYPERLINK("https://pbs.twimg.com/profile_images/851535040542527488/BKj4-18f_normal.jpg","View")</f>
        <v>View</v>
      </c>
      <c r="P24" s="27"/>
    </row>
    <row r="25">
      <c r="A25" s="14">
        <v>43031.05743055556</v>
      </c>
      <c r="B25" s="20" t="str">
        <f>HYPERLINK("https://twitter.com/wine_dork","@wine_dork")</f>
        <v>@wine_dork</v>
      </c>
      <c r="C25" s="21" t="s">
        <v>98</v>
      </c>
      <c r="D25" s="21" t="s">
        <v>108</v>
      </c>
      <c r="E25" s="22" t="str">
        <f>HYPERLINK("https://twitter.com/wine_dork/status/922377730364264448","922377730364264448")</f>
        <v>922377730364264448</v>
      </c>
      <c r="F25" s="23" t="s">
        <v>39</v>
      </c>
      <c r="G25" s="24">
        <v>248.0</v>
      </c>
      <c r="H25" s="24">
        <v>166.0</v>
      </c>
      <c r="I25" s="24">
        <v>88.0</v>
      </c>
      <c r="J25" s="24">
        <v>0.0</v>
      </c>
      <c r="K25" s="23" t="s">
        <v>34</v>
      </c>
      <c r="L25" s="25">
        <v>42936.80855324074</v>
      </c>
      <c r="M25" s="26" t="s">
        <v>100</v>
      </c>
      <c r="N25" s="28"/>
      <c r="O25" s="22" t="str">
        <f>HYPERLINK("https://pbs.twimg.com/profile_images/888386357579714561/u7_uq1oD_normal.jpg","View")</f>
        <v>View</v>
      </c>
      <c r="P25" s="27"/>
    </row>
    <row r="26">
      <c r="A26" s="14">
        <v>43031.0574537037</v>
      </c>
      <c r="B26" s="20" t="str">
        <f>HYPERLINK("https://twitter.com/Iambadalverma","@Iambadalverma")</f>
        <v>@Iambadalverma</v>
      </c>
      <c r="C26" s="21" t="s">
        <v>109</v>
      </c>
      <c r="D26" s="21" t="s">
        <v>42</v>
      </c>
      <c r="E26" s="22" t="str">
        <f>HYPERLINK("https://twitter.com/Iambadalverma/status/922377736567398400","922377736567398400")</f>
        <v>922377736567398400</v>
      </c>
      <c r="F26" s="23" t="s">
        <v>33</v>
      </c>
      <c r="G26" s="24">
        <v>331.0</v>
      </c>
      <c r="H26" s="24">
        <v>1217.0</v>
      </c>
      <c r="I26" s="24">
        <v>8501.0</v>
      </c>
      <c r="J26" s="24">
        <v>0.0</v>
      </c>
      <c r="K26" s="23" t="s">
        <v>34</v>
      </c>
      <c r="L26" s="25">
        <v>42085.50578703704</v>
      </c>
      <c r="M26" s="26" t="s">
        <v>110</v>
      </c>
      <c r="N26" s="26" t="s">
        <v>111</v>
      </c>
      <c r="O26" s="22" t="str">
        <f>HYPERLINK("https://pbs.twimg.com/profile_images/908914469530509313/7PiUv2lG_normal.jpg","View")</f>
        <v>View</v>
      </c>
      <c r="P26" s="27"/>
    </row>
    <row r="27">
      <c r="A27" s="14">
        <v>43031.05755787037</v>
      </c>
      <c r="B27" s="20" t="str">
        <f>HYPERLINK("https://twitter.com/SitatiWasilwa","@SitatiWasilwa")</f>
        <v>@SitatiWasilwa</v>
      </c>
      <c r="C27" s="21" t="s">
        <v>112</v>
      </c>
      <c r="D27" s="21" t="s">
        <v>113</v>
      </c>
      <c r="E27" s="22" t="str">
        <f>HYPERLINK("https://twitter.com/SitatiWasilwa/status/922377777004851200","922377777004851200")</f>
        <v>922377777004851200</v>
      </c>
      <c r="F27" s="23" t="s">
        <v>33</v>
      </c>
      <c r="G27" s="24">
        <v>700.0</v>
      </c>
      <c r="H27" s="24">
        <v>562.0</v>
      </c>
      <c r="I27" s="24">
        <v>17.0</v>
      </c>
      <c r="J27" s="24">
        <v>0.0</v>
      </c>
      <c r="K27" s="23" t="s">
        <v>34</v>
      </c>
      <c r="L27" s="25">
        <v>41453.86193287037</v>
      </c>
      <c r="M27" s="26" t="s">
        <v>114</v>
      </c>
      <c r="N27" s="26" t="s">
        <v>115</v>
      </c>
      <c r="O27" s="22" t="str">
        <f>HYPERLINK("https://pbs.twimg.com/profile_images/910850885676347392/wSGbZX_g_normal.jpg","View")</f>
        <v>View</v>
      </c>
      <c r="P27" s="27"/>
    </row>
    <row r="28">
      <c r="A28" s="14">
        <v>43031.057696759264</v>
      </c>
      <c r="B28" s="20" t="str">
        <f>HYPERLINK("https://twitter.com/sakurazaka0514","@sakurazaka0514")</f>
        <v>@sakurazaka0514</v>
      </c>
      <c r="C28" s="21" t="s">
        <v>116</v>
      </c>
      <c r="D28" s="21" t="s">
        <v>42</v>
      </c>
      <c r="E28" s="22" t="str">
        <f>HYPERLINK("https://twitter.com/sakurazaka0514/status/922377825709015040","922377825709015040")</f>
        <v>922377825709015040</v>
      </c>
      <c r="F28" s="23" t="s">
        <v>39</v>
      </c>
      <c r="G28" s="24">
        <v>1279.0</v>
      </c>
      <c r="H28" s="24">
        <v>1332.0</v>
      </c>
      <c r="I28" s="24">
        <v>8501.0</v>
      </c>
      <c r="J28" s="24">
        <v>0.0</v>
      </c>
      <c r="K28" s="23" t="s">
        <v>34</v>
      </c>
      <c r="L28" s="25">
        <v>42900.25640046297</v>
      </c>
      <c r="M28" s="26" t="s">
        <v>71</v>
      </c>
      <c r="N28" s="26" t="s">
        <v>117</v>
      </c>
      <c r="O28" s="22" t="str">
        <f>HYPERLINK("https://pbs.twimg.com/profile_images/883124466863095808/7gmhAcwy_normal.jpg","View")</f>
        <v>View</v>
      </c>
      <c r="P28" s="27"/>
    </row>
    <row r="29">
      <c r="A29" s="14">
        <v>43031.057708333334</v>
      </c>
      <c r="B29" s="20" t="str">
        <f>HYPERLINK("https://twitter.com/BeingGARIFUNA","@BeingGARIFUNA")</f>
        <v>@BeingGARIFUNA</v>
      </c>
      <c r="C29" s="21" t="s">
        <v>118</v>
      </c>
      <c r="D29" s="21" t="s">
        <v>119</v>
      </c>
      <c r="E29" s="22" t="str">
        <f>HYPERLINK("https://twitter.com/BeingGARIFUNA/status/922377832730382337","922377832730382337")</f>
        <v>922377832730382337</v>
      </c>
      <c r="F29" s="23" t="s">
        <v>55</v>
      </c>
      <c r="G29" s="24">
        <v>1365.0</v>
      </c>
      <c r="H29" s="24">
        <v>2162.0</v>
      </c>
      <c r="I29" s="24">
        <v>1.0</v>
      </c>
      <c r="J29" s="24">
        <v>0.0</v>
      </c>
      <c r="K29" s="23" t="s">
        <v>34</v>
      </c>
      <c r="L29" s="25">
        <v>40298.15284722222</v>
      </c>
      <c r="M29" s="26" t="s">
        <v>120</v>
      </c>
      <c r="N29" s="26" t="s">
        <v>121</v>
      </c>
      <c r="O29" s="22" t="str">
        <f>HYPERLINK("https://pbs.twimg.com/profile_images/432505122506027008/mTTw95uI_normal.jpeg","View")</f>
        <v>View</v>
      </c>
      <c r="P29" s="27"/>
    </row>
    <row r="30">
      <c r="A30" s="14">
        <v>43031.0578125</v>
      </c>
      <c r="B30" s="20" t="str">
        <f>HYPERLINK("https://twitter.com/rindou440","@rindou440")</f>
        <v>@rindou440</v>
      </c>
      <c r="C30" s="21" t="s">
        <v>122</v>
      </c>
      <c r="D30" s="21" t="s">
        <v>42</v>
      </c>
      <c r="E30" s="22" t="str">
        <f>HYPERLINK("https://twitter.com/rindou440/status/922377868960661504","922377868960661504")</f>
        <v>922377868960661504</v>
      </c>
      <c r="F30" s="23" t="s">
        <v>39</v>
      </c>
      <c r="G30" s="24">
        <v>702.0</v>
      </c>
      <c r="H30" s="24">
        <v>573.0</v>
      </c>
      <c r="I30" s="24">
        <v>8501.0</v>
      </c>
      <c r="J30" s="24">
        <v>0.0</v>
      </c>
      <c r="K30" s="23" t="s">
        <v>34</v>
      </c>
      <c r="L30" s="25">
        <v>42495.37336805556</v>
      </c>
      <c r="M30" s="26" t="s">
        <v>123</v>
      </c>
      <c r="N30" s="26" t="s">
        <v>124</v>
      </c>
      <c r="O30" s="22" t="str">
        <f>HYPERLINK("https://pbs.twimg.com/profile_images/923057640422260737/F0rRcA0c_normal.jpg","View")</f>
        <v>View</v>
      </c>
      <c r="P30" s="27"/>
    </row>
    <row r="31">
      <c r="A31" s="14">
        <v>43031.05783564815</v>
      </c>
      <c r="B31" s="20" t="str">
        <f>HYPERLINK("https://twitter.com/NLakshey","@NLakshey")</f>
        <v>@NLakshey</v>
      </c>
      <c r="C31" s="21" t="s">
        <v>125</v>
      </c>
      <c r="D31" s="21" t="s">
        <v>126</v>
      </c>
      <c r="E31" s="22" t="str">
        <f>HYPERLINK("https://twitter.com/NLakshey/status/922377875277283329","922377875277283329")</f>
        <v>922377875277283329</v>
      </c>
      <c r="F31" s="23" t="s">
        <v>33</v>
      </c>
      <c r="G31" s="24">
        <v>306.0</v>
      </c>
      <c r="H31" s="24">
        <v>1025.0</v>
      </c>
      <c r="I31" s="24">
        <v>62.0</v>
      </c>
      <c r="J31" s="24">
        <v>0.0</v>
      </c>
      <c r="K31" s="23" t="s">
        <v>34</v>
      </c>
      <c r="L31" s="25">
        <v>41658.97289351852</v>
      </c>
      <c r="M31" s="26" t="s">
        <v>127</v>
      </c>
      <c r="N31" s="26" t="s">
        <v>128</v>
      </c>
      <c r="O31" s="22" t="str">
        <f>HYPERLINK("https://pbs.twimg.com/profile_images/911173726997143552/5HzTBWrG_normal.jpg","View")</f>
        <v>View</v>
      </c>
      <c r="P31" s="27"/>
    </row>
    <row r="32">
      <c r="A32" s="14">
        <v>43031.05783564815</v>
      </c>
      <c r="B32" s="20" t="str">
        <f>HYPERLINK("https://twitter.com/DEEPAKRAJAK111","@DEEPAKRAJAK111")</f>
        <v>@DEEPAKRAJAK111</v>
      </c>
      <c r="C32" s="21" t="s">
        <v>129</v>
      </c>
      <c r="D32" s="21" t="s">
        <v>42</v>
      </c>
      <c r="E32" s="22" t="str">
        <f>HYPERLINK("https://twitter.com/DEEPAKRAJAK111/status/922377876380385280","922377876380385280")</f>
        <v>922377876380385280</v>
      </c>
      <c r="F32" s="23" t="s">
        <v>33</v>
      </c>
      <c r="G32" s="24">
        <v>25.0</v>
      </c>
      <c r="H32" s="24">
        <v>66.0</v>
      </c>
      <c r="I32" s="24">
        <v>8501.0</v>
      </c>
      <c r="J32" s="24">
        <v>0.0</v>
      </c>
      <c r="K32" s="23" t="s">
        <v>34</v>
      </c>
      <c r="L32" s="25">
        <v>40376.260104166664</v>
      </c>
      <c r="M32" s="26" t="s">
        <v>130</v>
      </c>
      <c r="N32" s="28"/>
      <c r="O32" s="22" t="str">
        <f>HYPERLINK("https://pbs.twimg.com/profile_images/836879985730273281/GnL5J90r_normal.jpg","View")</f>
        <v>View</v>
      </c>
      <c r="P32" s="27"/>
    </row>
    <row r="33">
      <c r="A33" s="14">
        <v>43031.057858796295</v>
      </c>
      <c r="B33" s="20" t="str">
        <f>HYPERLINK("https://twitter.com/UmmNabz","@UmmNabz")</f>
        <v>@UmmNabz</v>
      </c>
      <c r="C33" s="21" t="s">
        <v>131</v>
      </c>
      <c r="D33" s="21" t="s">
        <v>32</v>
      </c>
      <c r="E33" s="22" t="str">
        <f>HYPERLINK("https://twitter.com/UmmNabz/status/922377887193468928","922377887193468928")</f>
        <v>922377887193468928</v>
      </c>
      <c r="F33" s="23" t="s">
        <v>39</v>
      </c>
      <c r="G33" s="24">
        <v>105.0</v>
      </c>
      <c r="H33" s="24">
        <v>303.0</v>
      </c>
      <c r="I33" s="24">
        <v>471.0</v>
      </c>
      <c r="J33" s="24">
        <v>0.0</v>
      </c>
      <c r="K33" s="23" t="s">
        <v>34</v>
      </c>
      <c r="L33" s="25">
        <v>42717.51905092593</v>
      </c>
      <c r="M33" s="28"/>
      <c r="N33" s="28"/>
      <c r="O33" s="22" t="str">
        <f>HYPERLINK("https://pbs.twimg.com/profile_images/808778932082380800/H-cEhCOl_normal.jpg","View")</f>
        <v>View</v>
      </c>
      <c r="P33" s="27"/>
    </row>
    <row r="34">
      <c r="A34" s="14">
        <v>43031.05803240741</v>
      </c>
      <c r="B34" s="20" t="str">
        <f>HYPERLINK("https://twitter.com/DEVAL51","@DEVAL51")</f>
        <v>@DEVAL51</v>
      </c>
      <c r="C34" s="21" t="s">
        <v>132</v>
      </c>
      <c r="D34" s="21" t="s">
        <v>42</v>
      </c>
      <c r="E34" s="22" t="str">
        <f>HYPERLINK("https://twitter.com/DEVAL51/status/922377950174908417","922377950174908417")</f>
        <v>922377950174908417</v>
      </c>
      <c r="F34" s="23" t="s">
        <v>33</v>
      </c>
      <c r="G34" s="24">
        <v>641.0</v>
      </c>
      <c r="H34" s="24">
        <v>724.0</v>
      </c>
      <c r="I34" s="24">
        <v>8501.0</v>
      </c>
      <c r="J34" s="24">
        <v>0.0</v>
      </c>
      <c r="K34" s="23" t="s">
        <v>34</v>
      </c>
      <c r="L34" s="25">
        <v>40310.16790509259</v>
      </c>
      <c r="M34" s="26" t="s">
        <v>133</v>
      </c>
      <c r="N34" s="26" t="s">
        <v>134</v>
      </c>
      <c r="O34" s="22" t="str">
        <f>HYPERLINK("https://pbs.twimg.com/profile_images/848828713747828736/Q3ufSOSg_normal.jpg","View")</f>
        <v>View</v>
      </c>
      <c r="P34" s="27"/>
    </row>
    <row r="35">
      <c r="A35" s="14">
        <v>43031.05805555556</v>
      </c>
      <c r="B35" s="20" t="str">
        <f>HYPERLINK("https://twitter.com/gajendra4455","@gajendra4455")</f>
        <v>@gajendra4455</v>
      </c>
      <c r="C35" s="21" t="s">
        <v>135</v>
      </c>
      <c r="D35" s="21" t="s">
        <v>42</v>
      </c>
      <c r="E35" s="22" t="str">
        <f>HYPERLINK("https://twitter.com/gajendra4455/status/922377954843181056","922377954843181056")</f>
        <v>922377954843181056</v>
      </c>
      <c r="F35" s="23" t="s">
        <v>33</v>
      </c>
      <c r="G35" s="24">
        <v>13.0</v>
      </c>
      <c r="H35" s="24">
        <v>111.0</v>
      </c>
      <c r="I35" s="24">
        <v>8501.0</v>
      </c>
      <c r="J35" s="24">
        <v>0.0</v>
      </c>
      <c r="K35" s="23" t="s">
        <v>34</v>
      </c>
      <c r="L35" s="25">
        <v>42294.05164351852</v>
      </c>
      <c r="M35" s="26" t="s">
        <v>136</v>
      </c>
      <c r="N35" s="26" t="s">
        <v>137</v>
      </c>
      <c r="O35" s="22" t="str">
        <f>HYPERLINK("https://abs.twimg.com/sticky/default_profile_images/default_profile_normal.png","View")</f>
        <v>View</v>
      </c>
      <c r="P35" s="27"/>
    </row>
    <row r="36">
      <c r="A36" s="14">
        <v>43031.05809027777</v>
      </c>
      <c r="B36" s="20" t="str">
        <f>HYPERLINK("https://twitter.com/bllshbrsh","@bllshbrsh")</f>
        <v>@bllshbrsh</v>
      </c>
      <c r="C36" s="21" t="s">
        <v>138</v>
      </c>
      <c r="D36" s="21" t="s">
        <v>139</v>
      </c>
      <c r="E36" s="22" t="str">
        <f>HYPERLINK("https://twitter.com/bllshbrsh/status/922377968441315328","922377968441315328")</f>
        <v>922377968441315328</v>
      </c>
      <c r="F36" s="23" t="s">
        <v>140</v>
      </c>
      <c r="G36" s="24">
        <v>6148.0</v>
      </c>
      <c r="H36" s="24">
        <v>6416.0</v>
      </c>
      <c r="I36" s="24">
        <v>0.0</v>
      </c>
      <c r="J36" s="24">
        <v>0.0</v>
      </c>
      <c r="K36" s="23" t="s">
        <v>34</v>
      </c>
      <c r="L36" s="25">
        <v>42682.29137731482</v>
      </c>
      <c r="M36" s="28"/>
      <c r="N36" s="28"/>
      <c r="O36" s="22" t="str">
        <f>HYPERLINK("https://pbs.twimg.com/profile_images/825303907752673284/OSI50AgE_normal.jpg","View")</f>
        <v>View</v>
      </c>
      <c r="P36" s="27"/>
    </row>
    <row r="37">
      <c r="A37" s="14">
        <v>43031.05813657407</v>
      </c>
      <c r="B37" s="20" t="str">
        <f>HYPERLINK("https://twitter.com/JayJJani","@JayJJani")</f>
        <v>@JayJJani</v>
      </c>
      <c r="C37" s="21" t="s">
        <v>141</v>
      </c>
      <c r="D37" s="21" t="s">
        <v>42</v>
      </c>
      <c r="E37" s="22" t="str">
        <f>HYPERLINK("https://twitter.com/JayJJani/status/922377987588112384","922377987588112384")</f>
        <v>922377987588112384</v>
      </c>
      <c r="F37" s="23" t="s">
        <v>33</v>
      </c>
      <c r="G37" s="24">
        <v>49.0</v>
      </c>
      <c r="H37" s="24">
        <v>159.0</v>
      </c>
      <c r="I37" s="24">
        <v>8501.0</v>
      </c>
      <c r="J37" s="24">
        <v>0.0</v>
      </c>
      <c r="K37" s="23" t="s">
        <v>34</v>
      </c>
      <c r="L37" s="25">
        <v>40612.38491898148</v>
      </c>
      <c r="M37" s="26" t="s">
        <v>142</v>
      </c>
      <c r="N37" s="26" t="s">
        <v>143</v>
      </c>
      <c r="O37" s="22" t="str">
        <f>HYPERLINK("https://pbs.twimg.com/profile_images/916736557582753797/ZONh6FRR_normal.jpg","View")</f>
        <v>View</v>
      </c>
      <c r="P37" s="27"/>
    </row>
    <row r="38">
      <c r="A38" s="14">
        <v>43031.058217592596</v>
      </c>
      <c r="B38" s="20" t="str">
        <f>HYPERLINK("https://twitter.com/instantnews254","@instantnews254")</f>
        <v>@instantnews254</v>
      </c>
      <c r="C38" s="21" t="s">
        <v>144</v>
      </c>
      <c r="D38" s="21" t="s">
        <v>145</v>
      </c>
      <c r="E38" s="22" t="str">
        <f>HYPERLINK("https://twitter.com/instantnews254/status/922378014301794304","922378014301794304")</f>
        <v>922378014301794304</v>
      </c>
      <c r="F38" s="23" t="s">
        <v>55</v>
      </c>
      <c r="G38" s="24">
        <v>6684.0</v>
      </c>
      <c r="H38" s="24">
        <v>273.0</v>
      </c>
      <c r="I38" s="24">
        <v>0.0</v>
      </c>
      <c r="J38" s="24">
        <v>0.0</v>
      </c>
      <c r="K38" s="23" t="s">
        <v>34</v>
      </c>
      <c r="L38" s="25">
        <v>41046.09731481482</v>
      </c>
      <c r="M38" s="26" t="s">
        <v>146</v>
      </c>
      <c r="N38" s="26" t="s">
        <v>147</v>
      </c>
      <c r="O38" s="22" t="str">
        <f>HYPERLINK("https://pbs.twimg.com/profile_images/719533938574798848/fLxXzK2l_normal.jpg","View")</f>
        <v>View</v>
      </c>
      <c r="P38" s="27"/>
    </row>
    <row r="39">
      <c r="A39" s="14">
        <v>43031.05828703704</v>
      </c>
      <c r="B39" s="20" t="str">
        <f>HYPERLINK("https://twitter.com/NewsBossIndia","@NewsBossIndia")</f>
        <v>@NewsBossIndia</v>
      </c>
      <c r="C39" s="29" t="s">
        <v>148</v>
      </c>
      <c r="D39" s="21" t="s">
        <v>149</v>
      </c>
      <c r="E39" s="22" t="str">
        <f>HYPERLINK("https://twitter.com/NewsBossIndia/status/922378040956424192","922378040956424192")</f>
        <v>922378040956424192</v>
      </c>
      <c r="F39" s="30" t="s">
        <v>148</v>
      </c>
      <c r="G39" s="24">
        <v>991.0</v>
      </c>
      <c r="H39" s="24">
        <v>1.0</v>
      </c>
      <c r="I39" s="24">
        <v>0.0</v>
      </c>
      <c r="J39" s="24">
        <v>0.0</v>
      </c>
      <c r="K39" s="23" t="s">
        <v>34</v>
      </c>
      <c r="L39" s="25">
        <v>42564.38061342592</v>
      </c>
      <c r="M39" s="28"/>
      <c r="N39" s="26" t="s">
        <v>150</v>
      </c>
      <c r="O39" s="22" t="str">
        <f>HYPERLINK("https://pbs.twimg.com/profile_images/753260679692333057/AS4Xiw4q_normal.jpg","View")</f>
        <v>View</v>
      </c>
      <c r="P39" s="27"/>
    </row>
    <row r="40">
      <c r="A40" s="14">
        <v>43031.05829861111</v>
      </c>
      <c r="B40" s="20" t="str">
        <f>HYPERLINK("https://twitter.com/bldiplomatic","@bldiplomatic")</f>
        <v>@bldiplomatic</v>
      </c>
      <c r="C40" s="21" t="s">
        <v>151</v>
      </c>
      <c r="D40" s="21" t="s">
        <v>152</v>
      </c>
      <c r="E40" s="22" t="str">
        <f>HYPERLINK("https://twitter.com/bldiplomatic/status/922378045071286272","922378045071286272")</f>
        <v>922378045071286272</v>
      </c>
      <c r="F40" s="23" t="s">
        <v>48</v>
      </c>
      <c r="G40" s="24">
        <v>1008.0</v>
      </c>
      <c r="H40" s="24">
        <v>1957.0</v>
      </c>
      <c r="I40" s="24">
        <v>0.0</v>
      </c>
      <c r="J40" s="24">
        <v>0.0</v>
      </c>
      <c r="K40" s="23" t="s">
        <v>34</v>
      </c>
      <c r="L40" s="25">
        <v>41298.191782407404</v>
      </c>
      <c r="M40" s="26" t="s">
        <v>153</v>
      </c>
      <c r="N40" s="26" t="s">
        <v>154</v>
      </c>
      <c r="O40" s="22" t="str">
        <f>HYPERLINK("https://pbs.twimg.com/profile_images/435119090928062464/k-zePIii_normal.png","View")</f>
        <v>View</v>
      </c>
      <c r="P40" s="27"/>
    </row>
    <row r="41">
      <c r="A41" s="14">
        <v>43031.05832175926</v>
      </c>
      <c r="B41" s="20" t="str">
        <f>HYPERLINK("https://twitter.com/beingritesh_","@beingritesh_")</f>
        <v>@beingritesh_</v>
      </c>
      <c r="C41" s="21" t="s">
        <v>155</v>
      </c>
      <c r="D41" s="21" t="s">
        <v>42</v>
      </c>
      <c r="E41" s="22" t="str">
        <f>HYPERLINK("https://twitter.com/beingritesh_/status/922378051551313921","922378051551313921")</f>
        <v>922378051551313921</v>
      </c>
      <c r="F41" s="23" t="s">
        <v>33</v>
      </c>
      <c r="G41" s="24">
        <v>11016.0</v>
      </c>
      <c r="H41" s="24">
        <v>798.0</v>
      </c>
      <c r="I41" s="24">
        <v>8501.0</v>
      </c>
      <c r="J41" s="24">
        <v>0.0</v>
      </c>
      <c r="K41" s="23" t="s">
        <v>34</v>
      </c>
      <c r="L41" s="25">
        <v>42237.88547453703</v>
      </c>
      <c r="M41" s="26" t="s">
        <v>156</v>
      </c>
      <c r="N41" s="26" t="s">
        <v>157</v>
      </c>
      <c r="O41" s="22" t="str">
        <f>HYPERLINK("https://pbs.twimg.com/profile_images/920974765959004160/7f1BUM1n_normal.jpg","View")</f>
        <v>View</v>
      </c>
      <c r="P41" s="27"/>
    </row>
    <row r="42">
      <c r="A42" s="14">
        <v>43031.05835648148</v>
      </c>
      <c r="B42" s="20" t="str">
        <f>HYPERLINK("https://twitter.com/MauthausenGusen","@MauthausenGusen")</f>
        <v>@MauthausenGusen</v>
      </c>
      <c r="C42" s="21" t="s">
        <v>158</v>
      </c>
      <c r="D42" s="21" t="s">
        <v>159</v>
      </c>
      <c r="E42" s="22" t="str">
        <f>HYPERLINK("https://twitter.com/MauthausenGusen/status/922378064650276864","922378064650276864")</f>
        <v>922378064650276864</v>
      </c>
      <c r="F42" s="23" t="s">
        <v>160</v>
      </c>
      <c r="G42" s="24">
        <v>919.0</v>
      </c>
      <c r="H42" s="24">
        <v>18.0</v>
      </c>
      <c r="I42" s="24">
        <v>0.0</v>
      </c>
      <c r="J42" s="24">
        <v>0.0</v>
      </c>
      <c r="K42" s="23" t="s">
        <v>34</v>
      </c>
      <c r="L42" s="25">
        <v>40913.52753472222</v>
      </c>
      <c r="M42" s="28"/>
      <c r="N42" s="26" t="s">
        <v>161</v>
      </c>
      <c r="O42" s="22" t="str">
        <f>HYPERLINK("https://pbs.twimg.com/profile_images/891290260767899649/WPLMRTDm_normal.jpg","View")</f>
        <v>View</v>
      </c>
      <c r="P42" s="27"/>
    </row>
    <row r="43">
      <c r="A43" s="14">
        <v>43031.05840277778</v>
      </c>
      <c r="B43" s="20" t="str">
        <f>HYPERLINK("https://twitter.com/uttarakejriwal","@uttarakejriwal")</f>
        <v>@uttarakejriwal</v>
      </c>
      <c r="C43" s="21" t="s">
        <v>162</v>
      </c>
      <c r="D43" s="21" t="s">
        <v>163</v>
      </c>
      <c r="E43" s="22" t="str">
        <f>HYPERLINK("https://twitter.com/uttarakejriwal/status/922378084434583552","922378084434583552")</f>
        <v>922378084434583552</v>
      </c>
      <c r="F43" s="23" t="s">
        <v>33</v>
      </c>
      <c r="G43" s="24">
        <v>11638.0</v>
      </c>
      <c r="H43" s="24">
        <v>2360.0</v>
      </c>
      <c r="I43" s="24">
        <v>1005.0</v>
      </c>
      <c r="J43" s="24">
        <v>0.0</v>
      </c>
      <c r="K43" s="23" t="s">
        <v>34</v>
      </c>
      <c r="L43" s="25">
        <v>40291.25859953704</v>
      </c>
      <c r="M43" s="26" t="s">
        <v>164</v>
      </c>
      <c r="N43" s="26" t="s">
        <v>165</v>
      </c>
      <c r="O43" s="22" t="str">
        <f>HYPERLINK("https://pbs.twimg.com/profile_images/906544010314919936/98zg-dEs_normal.jpg","View")</f>
        <v>View</v>
      </c>
      <c r="P43" s="27"/>
    </row>
    <row r="44">
      <c r="A44" s="14">
        <v>43031.05842592593</v>
      </c>
      <c r="B44" s="20" t="str">
        <f>HYPERLINK("https://twitter.com/akraghawan","@akraghawan")</f>
        <v>@akraghawan</v>
      </c>
      <c r="C44" s="21" t="s">
        <v>166</v>
      </c>
      <c r="D44" s="21" t="s">
        <v>163</v>
      </c>
      <c r="E44" s="22" t="str">
        <f>HYPERLINK("https://twitter.com/akraghawan/status/922378089794912256","922378089794912256")</f>
        <v>922378089794912256</v>
      </c>
      <c r="F44" s="23" t="s">
        <v>55</v>
      </c>
      <c r="G44" s="24">
        <v>139.0</v>
      </c>
      <c r="H44" s="24">
        <v>367.0</v>
      </c>
      <c r="I44" s="24">
        <v>1005.0</v>
      </c>
      <c r="J44" s="24">
        <v>0.0</v>
      </c>
      <c r="K44" s="23" t="s">
        <v>34</v>
      </c>
      <c r="L44" s="25">
        <v>41650.26800925926</v>
      </c>
      <c r="M44" s="26" t="s">
        <v>167</v>
      </c>
      <c r="N44" s="26" t="s">
        <v>168</v>
      </c>
      <c r="O44" s="22" t="str">
        <f>HYPERLINK("https://pbs.twimg.com/profile_images/603649097162096640/vcOTROBl_normal.jpg","View")</f>
        <v>View</v>
      </c>
      <c r="P44" s="27"/>
    </row>
    <row r="45">
      <c r="A45" s="14">
        <v>43031.05851851852</v>
      </c>
      <c r="B45" s="20" t="str">
        <f>HYPERLINK("https://twitter.com/noderakouji","@noderakouji")</f>
        <v>@noderakouji</v>
      </c>
      <c r="C45" s="21" t="s">
        <v>169</v>
      </c>
      <c r="D45" s="21" t="s">
        <v>170</v>
      </c>
      <c r="E45" s="22" t="str">
        <f>HYPERLINK("https://twitter.com/noderakouji/status/922378126050566144","922378126050566144")</f>
        <v>922378126050566144</v>
      </c>
      <c r="F45" s="23" t="s">
        <v>39</v>
      </c>
      <c r="G45" s="24">
        <v>11.0</v>
      </c>
      <c r="H45" s="24">
        <v>49.0</v>
      </c>
      <c r="I45" s="24">
        <v>9.0</v>
      </c>
      <c r="J45" s="24">
        <v>0.0</v>
      </c>
      <c r="K45" s="23" t="s">
        <v>34</v>
      </c>
      <c r="L45" s="25">
        <v>41751.88582175926</v>
      </c>
      <c r="M45" s="26" t="s">
        <v>171</v>
      </c>
      <c r="N45" s="26" t="s">
        <v>172</v>
      </c>
      <c r="O45" s="22" t="str">
        <f>HYPERLINK("https://pbs.twimg.com/profile_images/762713179658911746/tYD14oXE_normal.jpg","View")</f>
        <v>View</v>
      </c>
      <c r="P45" s="27"/>
    </row>
    <row r="46">
      <c r="A46" s="14">
        <v>43031.05851851852</v>
      </c>
      <c r="B46" s="20" t="str">
        <f>HYPERLINK("https://twitter.com/puresrkian","@puresrkian")</f>
        <v>@puresrkian</v>
      </c>
      <c r="C46" s="21" t="s">
        <v>173</v>
      </c>
      <c r="D46" s="21" t="s">
        <v>42</v>
      </c>
      <c r="E46" s="22" t="str">
        <f>HYPERLINK("https://twitter.com/puresrkian/status/922378126524538880","922378126524538880")</f>
        <v>922378126524538880</v>
      </c>
      <c r="F46" s="23" t="s">
        <v>33</v>
      </c>
      <c r="G46" s="24">
        <v>715.0</v>
      </c>
      <c r="H46" s="24">
        <v>529.0</v>
      </c>
      <c r="I46" s="24">
        <v>8501.0</v>
      </c>
      <c r="J46" s="24">
        <v>0.0</v>
      </c>
      <c r="K46" s="23" t="s">
        <v>34</v>
      </c>
      <c r="L46" s="25">
        <v>41228.27927083333</v>
      </c>
      <c r="M46" s="26" t="s">
        <v>174</v>
      </c>
      <c r="N46" s="26" t="s">
        <v>175</v>
      </c>
      <c r="O46" s="22" t="str">
        <f>HYPERLINK("https://pbs.twimg.com/profile_images/910842766841724928/OoIo3dj2_normal.jpg","View")</f>
        <v>View</v>
      </c>
      <c r="P46" s="27"/>
    </row>
    <row r="47">
      <c r="A47" s="14">
        <v>43031.05857638889</v>
      </c>
      <c r="B47" s="20" t="str">
        <f>HYPERLINK("https://twitter.com/shyamdcoolman","@shyamdcoolman")</f>
        <v>@shyamdcoolman</v>
      </c>
      <c r="C47" s="21" t="s">
        <v>176</v>
      </c>
      <c r="D47" s="21" t="s">
        <v>42</v>
      </c>
      <c r="E47" s="22" t="str">
        <f>HYPERLINK("https://twitter.com/shyamdcoolman/status/922378144585170944","922378144585170944")</f>
        <v>922378144585170944</v>
      </c>
      <c r="F47" s="23" t="s">
        <v>39</v>
      </c>
      <c r="G47" s="24">
        <v>303.0</v>
      </c>
      <c r="H47" s="24">
        <v>582.0</v>
      </c>
      <c r="I47" s="24">
        <v>8501.0</v>
      </c>
      <c r="J47" s="24">
        <v>0.0</v>
      </c>
      <c r="K47" s="23" t="s">
        <v>34</v>
      </c>
      <c r="L47" s="25">
        <v>42418.66875</v>
      </c>
      <c r="M47" s="26" t="s">
        <v>177</v>
      </c>
      <c r="N47" s="28"/>
      <c r="O47" s="22" t="str">
        <f>HYPERLINK("https://pbs.twimg.com/profile_images/848521693438062593/zYx8WSM1_normal.jpg","View")</f>
        <v>View</v>
      </c>
      <c r="P47" s="27"/>
    </row>
    <row r="48">
      <c r="A48" s="14">
        <v>43031.05857638889</v>
      </c>
      <c r="B48" s="20" t="str">
        <f>HYPERLINK("https://twitter.com/StutiSaxenaOGD","@StutiSaxenaOGD")</f>
        <v>@StutiSaxenaOGD</v>
      </c>
      <c r="C48" s="21" t="s">
        <v>178</v>
      </c>
      <c r="D48" s="21" t="s">
        <v>179</v>
      </c>
      <c r="E48" s="22" t="str">
        <f>HYPERLINK("https://twitter.com/StutiSaxenaOGD/status/922378145344274432","922378145344274432")</f>
        <v>922378145344274432</v>
      </c>
      <c r="F48" s="23" t="s">
        <v>55</v>
      </c>
      <c r="G48" s="24">
        <v>87.0</v>
      </c>
      <c r="H48" s="24">
        <v>20.0</v>
      </c>
      <c r="I48" s="24">
        <v>30.0</v>
      </c>
      <c r="J48" s="24">
        <v>0.0</v>
      </c>
      <c r="K48" s="23" t="s">
        <v>34</v>
      </c>
      <c r="L48" s="25">
        <v>42824.36483796296</v>
      </c>
      <c r="M48" s="28"/>
      <c r="N48" s="26" t="s">
        <v>180</v>
      </c>
      <c r="O48" s="22" t="str">
        <f>HYPERLINK("https://pbs.twimg.com/profile_images/876354493939564546/_TglxQRF_normal.jpg","View")</f>
        <v>View</v>
      </c>
      <c r="P48" s="27"/>
    </row>
    <row r="49">
      <c r="A49" s="14">
        <v>43031.058599537035</v>
      </c>
      <c r="B49" s="20" t="str">
        <f>HYPERLINK("https://twitter.com/mig1122","@mig1122")</f>
        <v>@mig1122</v>
      </c>
      <c r="C49" s="21" t="s">
        <v>181</v>
      </c>
      <c r="D49" s="21" t="s">
        <v>54</v>
      </c>
      <c r="E49" s="22" t="str">
        <f>HYPERLINK("https://twitter.com/mig1122/status/922378151887454208","922378151887454208")</f>
        <v>922378151887454208</v>
      </c>
      <c r="F49" s="23" t="s">
        <v>33</v>
      </c>
      <c r="G49" s="24">
        <v>72.0</v>
      </c>
      <c r="H49" s="24">
        <v>171.0</v>
      </c>
      <c r="I49" s="24">
        <v>21.0</v>
      </c>
      <c r="J49" s="24">
        <v>0.0</v>
      </c>
      <c r="K49" s="23" t="s">
        <v>34</v>
      </c>
      <c r="L49" s="25">
        <v>40772.590462962966</v>
      </c>
      <c r="M49" s="28"/>
      <c r="N49" s="28"/>
      <c r="O49" s="22" t="str">
        <f>HYPERLINK("https://abs.twimg.com/sticky/default_profile_images/default_profile_normal.png","View")</f>
        <v>View</v>
      </c>
      <c r="P49" s="27"/>
    </row>
    <row r="50">
      <c r="A50" s="14">
        <v>43031.05868055555</v>
      </c>
      <c r="B50" s="20" t="str">
        <f>HYPERLINK("https://twitter.com/lomUxc20mlxals7","@lomUxc20mlxals7")</f>
        <v>@lomUxc20mlxals7</v>
      </c>
      <c r="C50" s="21" t="s">
        <v>182</v>
      </c>
      <c r="D50" s="21" t="s">
        <v>42</v>
      </c>
      <c r="E50" s="22" t="str">
        <f>HYPERLINK("https://twitter.com/lomUxc20mlxals7/status/922378184204488704","922378184204488704")</f>
        <v>922378184204488704</v>
      </c>
      <c r="F50" s="23" t="s">
        <v>33</v>
      </c>
      <c r="G50" s="24">
        <v>143.0</v>
      </c>
      <c r="H50" s="24">
        <v>183.0</v>
      </c>
      <c r="I50" s="24">
        <v>8501.0</v>
      </c>
      <c r="J50" s="24">
        <v>0.0</v>
      </c>
      <c r="K50" s="23" t="s">
        <v>34</v>
      </c>
      <c r="L50" s="25">
        <v>42460.86097222222</v>
      </c>
      <c r="M50" s="26" t="s">
        <v>183</v>
      </c>
      <c r="N50" s="26" t="s">
        <v>184</v>
      </c>
      <c r="O50" s="22" t="str">
        <f>HYPERLINK("https://pbs.twimg.com/profile_images/715859096218406912/2OEE4Zur_normal.jpg","View")</f>
        <v>View</v>
      </c>
      <c r="P50" s="27"/>
    </row>
    <row r="51">
      <c r="A51" s="14">
        <v>43031.05873842593</v>
      </c>
      <c r="B51" s="20" t="str">
        <f>HYPERLINK("https://twitter.com/GooglePixel_","@GooglePixel_")</f>
        <v>@GooglePixel_</v>
      </c>
      <c r="C51" s="21" t="s">
        <v>185</v>
      </c>
      <c r="D51" s="21" t="s">
        <v>186</v>
      </c>
      <c r="E51" s="22" t="str">
        <f>HYPERLINK("https://twitter.com/GooglePixel_/status/922378203695640576","922378203695640576")</f>
        <v>922378203695640576</v>
      </c>
      <c r="F51" s="23" t="s">
        <v>187</v>
      </c>
      <c r="G51" s="24">
        <v>118.0</v>
      </c>
      <c r="H51" s="24">
        <v>61.0</v>
      </c>
      <c r="I51" s="24">
        <v>0.0</v>
      </c>
      <c r="J51" s="24">
        <v>0.0</v>
      </c>
      <c r="K51" s="23" t="s">
        <v>34</v>
      </c>
      <c r="L51" s="25">
        <v>42336.19453703704</v>
      </c>
      <c r="M51" s="28"/>
      <c r="N51" s="26" t="s">
        <v>188</v>
      </c>
      <c r="O51" s="22" t="str">
        <f>HYPERLINK("https://pbs.twimg.com/profile_images/801493045191376896/MDIIxyrv_normal.jpg","View")</f>
        <v>View</v>
      </c>
      <c r="P51" s="27"/>
    </row>
    <row r="52">
      <c r="A52" s="14">
        <v>43031.05878472222</v>
      </c>
      <c r="B52" s="20" t="str">
        <f>HYPERLINK("https://twitter.com/johndvickers","@johndvickers")</f>
        <v>@johndvickers</v>
      </c>
      <c r="C52" s="21" t="s">
        <v>189</v>
      </c>
      <c r="D52" s="21" t="s">
        <v>190</v>
      </c>
      <c r="E52" s="22" t="str">
        <f>HYPERLINK("https://twitter.com/johndvickers/status/922378219654926336","922378219654926336")</f>
        <v>922378219654926336</v>
      </c>
      <c r="F52" s="30" t="s">
        <v>191</v>
      </c>
      <c r="G52" s="24">
        <v>262.0</v>
      </c>
      <c r="H52" s="24">
        <v>662.0</v>
      </c>
      <c r="I52" s="24">
        <v>0.0</v>
      </c>
      <c r="J52" s="24">
        <v>0.0</v>
      </c>
      <c r="K52" s="23" t="s">
        <v>34</v>
      </c>
      <c r="L52" s="25">
        <v>39986.41238425926</v>
      </c>
      <c r="M52" s="26" t="s">
        <v>192</v>
      </c>
      <c r="N52" s="26" t="s">
        <v>193</v>
      </c>
      <c r="O52" s="22" t="str">
        <f>HYPERLINK("https://pbs.twimg.com/profile_images/786712716136161281/RtBTJn4e_normal.jpg","View")</f>
        <v>View</v>
      </c>
      <c r="P52" s="27"/>
    </row>
    <row r="53">
      <c r="A53" s="14">
        <v>43031.058796296296</v>
      </c>
      <c r="B53" s="20" t="str">
        <f>HYPERLINK("https://twitter.com/KhushiShandily4","@KhushiShandily4")</f>
        <v>@KhushiShandily4</v>
      </c>
      <c r="C53" s="21" t="s">
        <v>194</v>
      </c>
      <c r="D53" s="21" t="s">
        <v>42</v>
      </c>
      <c r="E53" s="22" t="str">
        <f>HYPERLINK("https://twitter.com/KhushiShandily4/status/922378224579043328","922378224579043328")</f>
        <v>922378224579043328</v>
      </c>
      <c r="F53" s="23" t="s">
        <v>33</v>
      </c>
      <c r="G53" s="24">
        <v>8.0</v>
      </c>
      <c r="H53" s="24">
        <v>12.0</v>
      </c>
      <c r="I53" s="24">
        <v>8501.0</v>
      </c>
      <c r="J53" s="24">
        <v>0.0</v>
      </c>
      <c r="K53" s="23" t="s">
        <v>34</v>
      </c>
      <c r="L53" s="25">
        <v>43029.30535879629</v>
      </c>
      <c r="M53" s="26" t="s">
        <v>195</v>
      </c>
      <c r="N53" s="28"/>
      <c r="O53" s="22" t="str">
        <f>HYPERLINK("https://pbs.twimg.com/profile_images/922848312113459201/pghZxb1Y_normal.jpg","View")</f>
        <v>View</v>
      </c>
      <c r="P53" s="27"/>
    </row>
    <row r="54">
      <c r="A54" s="14">
        <v>43031.05883101852</v>
      </c>
      <c r="B54" s="20" t="str">
        <f>HYPERLINK("https://twitter.com/ravikanth_94","@ravikanth_94")</f>
        <v>@ravikanth_94</v>
      </c>
      <c r="C54" s="21" t="s">
        <v>196</v>
      </c>
      <c r="D54" s="21" t="s">
        <v>163</v>
      </c>
      <c r="E54" s="22" t="str">
        <f>HYPERLINK("https://twitter.com/ravikanth_94/status/922378236625018881","922378236625018881")</f>
        <v>922378236625018881</v>
      </c>
      <c r="F54" s="23" t="s">
        <v>33</v>
      </c>
      <c r="G54" s="24">
        <v>1.0</v>
      </c>
      <c r="H54" s="24">
        <v>13.0</v>
      </c>
      <c r="I54" s="24">
        <v>1005.0</v>
      </c>
      <c r="J54" s="24">
        <v>0.0</v>
      </c>
      <c r="K54" s="23" t="s">
        <v>34</v>
      </c>
      <c r="L54" s="25">
        <v>41706.48471064815</v>
      </c>
      <c r="M54" s="28"/>
      <c r="N54" s="28"/>
      <c r="O54" s="22" t="str">
        <f>HYPERLINK("https://pbs.twimg.com/profile_images/460050757304074243/0by8-LfM_normal.jpeg","View")</f>
        <v>View</v>
      </c>
      <c r="P54" s="27"/>
    </row>
    <row r="55">
      <c r="A55" s="14">
        <v>43031.05891203704</v>
      </c>
      <c r="B55" s="20" t="str">
        <f>HYPERLINK("https://twitter.com/florinmpop","@florinmpop")</f>
        <v>@florinmpop</v>
      </c>
      <c r="C55" s="21" t="s">
        <v>197</v>
      </c>
      <c r="D55" s="21" t="s">
        <v>198</v>
      </c>
      <c r="E55" s="22" t="str">
        <f>HYPERLINK("https://twitter.com/florinmpop/status/922378265985155072","922378265985155072")</f>
        <v>922378265985155072</v>
      </c>
      <c r="F55" s="23" t="s">
        <v>55</v>
      </c>
      <c r="G55" s="24">
        <v>630.0</v>
      </c>
      <c r="H55" s="24">
        <v>1141.0</v>
      </c>
      <c r="I55" s="24">
        <v>0.0</v>
      </c>
      <c r="J55" s="24">
        <v>1.0</v>
      </c>
      <c r="K55" s="23" t="s">
        <v>34</v>
      </c>
      <c r="L55" s="25">
        <v>40603.37306712963</v>
      </c>
      <c r="M55" s="26" t="s">
        <v>199</v>
      </c>
      <c r="N55" s="26" t="s">
        <v>200</v>
      </c>
      <c r="O55" s="22" t="str">
        <f>HYPERLINK("https://pbs.twimg.com/profile_images/1596709897/florin_pop_-_Primainvest__CJ__normal.jpg","View")</f>
        <v>View</v>
      </c>
      <c r="P55" s="27"/>
    </row>
    <row r="56">
      <c r="A56" s="14">
        <v>43031.05891203704</v>
      </c>
      <c r="B56" s="20" t="str">
        <f>HYPERLINK("https://twitter.com/govind_rout","@govind_rout")</f>
        <v>@govind_rout</v>
      </c>
      <c r="C56" s="21" t="s">
        <v>201</v>
      </c>
      <c r="D56" s="21" t="s">
        <v>42</v>
      </c>
      <c r="E56" s="22" t="str">
        <f>HYPERLINK("https://twitter.com/govind_rout/status/922378267629273090","922378267629273090")</f>
        <v>922378267629273090</v>
      </c>
      <c r="F56" s="23" t="s">
        <v>33</v>
      </c>
      <c r="G56" s="24">
        <v>2.0</v>
      </c>
      <c r="H56" s="24">
        <v>126.0</v>
      </c>
      <c r="I56" s="24">
        <v>8501.0</v>
      </c>
      <c r="J56" s="24">
        <v>0.0</v>
      </c>
      <c r="K56" s="23" t="s">
        <v>34</v>
      </c>
      <c r="L56" s="25">
        <v>42991.882523148146</v>
      </c>
      <c r="M56" s="26" t="s">
        <v>202</v>
      </c>
      <c r="N56" s="28"/>
      <c r="O56" s="22" t="str">
        <f>HYPERLINK("https://pbs.twimg.com/profile_images/911091350384156677/ZMjsSoyR_normal.jpg","View")</f>
        <v>View</v>
      </c>
      <c r="P56" s="27"/>
    </row>
    <row r="57">
      <c r="A57" s="14">
        <v>43031.05893518518</v>
      </c>
      <c r="B57" s="20" t="str">
        <f>HYPERLINK("https://twitter.com/Tretayug","@Tretayug")</f>
        <v>@Tretayug</v>
      </c>
      <c r="C57" s="21" t="s">
        <v>203</v>
      </c>
      <c r="D57" s="21" t="s">
        <v>163</v>
      </c>
      <c r="E57" s="22" t="str">
        <f>HYPERLINK("https://twitter.com/Tretayug/status/922378274667237377","922378274667237377")</f>
        <v>922378274667237377</v>
      </c>
      <c r="F57" s="23" t="s">
        <v>55</v>
      </c>
      <c r="G57" s="24">
        <v>421.0</v>
      </c>
      <c r="H57" s="24">
        <v>1471.0</v>
      </c>
      <c r="I57" s="24">
        <v>1005.0</v>
      </c>
      <c r="J57" s="24">
        <v>0.0</v>
      </c>
      <c r="K57" s="23" t="s">
        <v>34</v>
      </c>
      <c r="L57" s="25">
        <v>42013.1465625</v>
      </c>
      <c r="M57" s="26" t="s">
        <v>204</v>
      </c>
      <c r="N57" s="26" t="s">
        <v>205</v>
      </c>
      <c r="O57" s="22" t="str">
        <f>HYPERLINK("https://pbs.twimg.com/profile_images/921976959390928896/YbOouC6v_normal.jpg","View")</f>
        <v>View</v>
      </c>
      <c r="P57" s="27"/>
    </row>
    <row r="58">
      <c r="A58" s="14">
        <v>43031.05899305556</v>
      </c>
      <c r="B58" s="20" t="str">
        <f>HYPERLINK("https://twitter.com/SajidSh42568871","@SajidSh42568871")</f>
        <v>@SajidSh42568871</v>
      </c>
      <c r="C58" s="21" t="s">
        <v>206</v>
      </c>
      <c r="D58" s="21" t="s">
        <v>42</v>
      </c>
      <c r="E58" s="22" t="str">
        <f>HYPERLINK("https://twitter.com/SajidSh42568871/status/922378298218311680","922378298218311680")</f>
        <v>922378298218311680</v>
      </c>
      <c r="F58" s="23" t="s">
        <v>33</v>
      </c>
      <c r="G58" s="24">
        <v>114.0</v>
      </c>
      <c r="H58" s="24">
        <v>70.0</v>
      </c>
      <c r="I58" s="24">
        <v>8501.0</v>
      </c>
      <c r="J58" s="24">
        <v>0.0</v>
      </c>
      <c r="K58" s="23" t="s">
        <v>34</v>
      </c>
      <c r="L58" s="25">
        <v>42518.167916666665</v>
      </c>
      <c r="M58" s="26" t="s">
        <v>207</v>
      </c>
      <c r="N58" s="26" t="s">
        <v>208</v>
      </c>
      <c r="O58" s="22" t="str">
        <f>HYPERLINK("https://pbs.twimg.com/profile_images/898070292760743936/xdyT8vOL_normal.jpg","View")</f>
        <v>View</v>
      </c>
      <c r="P58" s="27"/>
    </row>
    <row r="59">
      <c r="A59" s="14">
        <v>43031.05905092593</v>
      </c>
      <c r="B59" s="20" t="str">
        <f>HYPERLINK("https://twitter.com/1000Happa","@1000Happa")</f>
        <v>@1000Happa</v>
      </c>
      <c r="C59" s="21" t="s">
        <v>209</v>
      </c>
      <c r="D59" s="21" t="s">
        <v>42</v>
      </c>
      <c r="E59" s="22" t="str">
        <f>HYPERLINK("https://twitter.com/1000Happa/status/922378316232794113","922378316232794113")</f>
        <v>922378316232794113</v>
      </c>
      <c r="F59" s="23" t="s">
        <v>33</v>
      </c>
      <c r="G59" s="24">
        <v>186.0</v>
      </c>
      <c r="H59" s="24">
        <v>368.0</v>
      </c>
      <c r="I59" s="24">
        <v>8501.0</v>
      </c>
      <c r="J59" s="24">
        <v>0.0</v>
      </c>
      <c r="K59" s="23" t="s">
        <v>34</v>
      </c>
      <c r="L59" s="25">
        <v>40620.36199074074</v>
      </c>
      <c r="M59" s="26" t="s">
        <v>210</v>
      </c>
      <c r="N59" s="26" t="s">
        <v>211</v>
      </c>
      <c r="O59" s="22" t="str">
        <f>HYPERLINK("https://pbs.twimg.com/profile_images/3054293181/d1c8a6d175c3019e419c0c8397cff147_normal.png","View")</f>
        <v>View</v>
      </c>
      <c r="P59" s="27"/>
    </row>
    <row r="60">
      <c r="A60" s="14">
        <v>43031.05908564814</v>
      </c>
      <c r="B60" s="20" t="str">
        <f>HYPERLINK("https://twitter.com/suiamber3","@suiamber3")</f>
        <v>@suiamber3</v>
      </c>
      <c r="C60" s="21" t="s">
        <v>212</v>
      </c>
      <c r="D60" s="21" t="s">
        <v>213</v>
      </c>
      <c r="E60" s="22" t="str">
        <f>HYPERLINK("https://twitter.com/suiamber3/status/922378328992075776","922378328992075776")</f>
        <v>922378328992075776</v>
      </c>
      <c r="F60" s="23" t="s">
        <v>55</v>
      </c>
      <c r="G60" s="24">
        <v>6.0</v>
      </c>
      <c r="H60" s="24">
        <v>74.0</v>
      </c>
      <c r="I60" s="24">
        <v>94.0</v>
      </c>
      <c r="J60" s="24">
        <v>0.0</v>
      </c>
      <c r="K60" s="23" t="s">
        <v>34</v>
      </c>
      <c r="L60" s="25">
        <v>42997.37158564814</v>
      </c>
      <c r="M60" s="28"/>
      <c r="N60" s="26" t="s">
        <v>214</v>
      </c>
      <c r="O60" s="22" t="str">
        <f>HYPERLINK("https://pbs.twimg.com/profile_images/910171248822337536/4NzWflFi_normal.jpg","View")</f>
        <v>View</v>
      </c>
      <c r="P60" s="27"/>
    </row>
    <row r="61">
      <c r="A61" s="14">
        <v>43031.05909722223</v>
      </c>
      <c r="B61" s="20" t="str">
        <f>HYPERLINK("https://twitter.com/Pankaj33990963","@Pankaj33990963")</f>
        <v>@Pankaj33990963</v>
      </c>
      <c r="C61" s="21" t="s">
        <v>215</v>
      </c>
      <c r="D61" s="21" t="s">
        <v>42</v>
      </c>
      <c r="E61" s="22" t="str">
        <f>HYPERLINK("https://twitter.com/Pankaj33990963/status/922378332246745088","922378332246745088")</f>
        <v>922378332246745088</v>
      </c>
      <c r="F61" s="23" t="s">
        <v>33</v>
      </c>
      <c r="G61" s="24">
        <v>6.0</v>
      </c>
      <c r="H61" s="24">
        <v>157.0</v>
      </c>
      <c r="I61" s="24">
        <v>8501.0</v>
      </c>
      <c r="J61" s="24">
        <v>0.0</v>
      </c>
      <c r="K61" s="23" t="s">
        <v>34</v>
      </c>
      <c r="L61" s="25">
        <v>42884.388449074075</v>
      </c>
      <c r="M61" s="28"/>
      <c r="N61" s="28"/>
      <c r="O61" s="22" t="str">
        <f>HYPERLINK("https://abs.twimg.com/sticky/default_profile_images/default_profile_normal.png","View")</f>
        <v>View</v>
      </c>
      <c r="P61" s="27"/>
    </row>
    <row r="62">
      <c r="A62" s="14">
        <v>43031.05909722223</v>
      </c>
      <c r="B62" s="20" t="str">
        <f>HYPERLINK("https://twitter.com/AgeYmo","@AgeYmo")</f>
        <v>@AgeYmo</v>
      </c>
      <c r="C62" s="21" t="s">
        <v>216</v>
      </c>
      <c r="D62" s="21" t="s">
        <v>42</v>
      </c>
      <c r="E62" s="22" t="str">
        <f>HYPERLINK("https://twitter.com/AgeYmo/status/922378334373216256","922378334373216256")</f>
        <v>922378334373216256</v>
      </c>
      <c r="F62" s="23" t="s">
        <v>33</v>
      </c>
      <c r="G62" s="24">
        <v>676.0</v>
      </c>
      <c r="H62" s="24">
        <v>1110.0</v>
      </c>
      <c r="I62" s="24">
        <v>8501.0</v>
      </c>
      <c r="J62" s="24">
        <v>0.0</v>
      </c>
      <c r="K62" s="23" t="s">
        <v>34</v>
      </c>
      <c r="L62" s="25">
        <v>42586.0484837963</v>
      </c>
      <c r="M62" s="26" t="s">
        <v>217</v>
      </c>
      <c r="N62" s="26" t="s">
        <v>218</v>
      </c>
      <c r="O62" s="22" t="str">
        <f>HYPERLINK("https://pbs.twimg.com/profile_images/919795878583418880/B6XnI5-__normal.jpg","View")</f>
        <v>View</v>
      </c>
      <c r="P62" s="27"/>
    </row>
    <row r="63">
      <c r="A63" s="14">
        <v>43031.05913194444</v>
      </c>
      <c r="B63" s="20" t="str">
        <f>HYPERLINK("https://twitter.com/TomSparkeGD","@TomSparkeGD")</f>
        <v>@TomSparkeGD</v>
      </c>
      <c r="C63" s="21" t="s">
        <v>219</v>
      </c>
      <c r="D63" s="21" t="s">
        <v>220</v>
      </c>
      <c r="E63" s="22" t="str">
        <f>HYPERLINK("https://twitter.com/TomSparkeGD/status/922378348747206656","922378348747206656")</f>
        <v>922378348747206656</v>
      </c>
      <c r="F63" s="23" t="s">
        <v>55</v>
      </c>
      <c r="G63" s="24">
        <v>257.0</v>
      </c>
      <c r="H63" s="24">
        <v>907.0</v>
      </c>
      <c r="I63" s="24">
        <v>0.0</v>
      </c>
      <c r="J63" s="24">
        <v>1.0</v>
      </c>
      <c r="K63" s="23" t="s">
        <v>34</v>
      </c>
      <c r="L63" s="25">
        <v>42543.07098379629</v>
      </c>
      <c r="M63" s="26" t="s">
        <v>221</v>
      </c>
      <c r="N63" s="26" t="s">
        <v>222</v>
      </c>
      <c r="O63" s="22" t="str">
        <f>HYPERLINK("https://pbs.twimg.com/profile_images/781835996375777280/-B7ysLOF_normal.jpg","View")</f>
        <v>View</v>
      </c>
      <c r="P63" s="27"/>
    </row>
    <row r="64">
      <c r="A64" s="14">
        <v>43031.05918981481</v>
      </c>
      <c r="B64" s="20" t="str">
        <f>HYPERLINK("https://twitter.com/bbpatel12","@bbpatel12")</f>
        <v>@bbpatel12</v>
      </c>
      <c r="C64" s="21" t="s">
        <v>223</v>
      </c>
      <c r="D64" s="21" t="s">
        <v>42</v>
      </c>
      <c r="E64" s="22" t="str">
        <f>HYPERLINK("https://twitter.com/bbpatel12/status/922378369836097536","922378369836097536")</f>
        <v>922378369836097536</v>
      </c>
      <c r="F64" s="23" t="s">
        <v>39</v>
      </c>
      <c r="G64" s="24">
        <v>428.0</v>
      </c>
      <c r="H64" s="24">
        <v>1040.0</v>
      </c>
      <c r="I64" s="24">
        <v>8501.0</v>
      </c>
      <c r="J64" s="24">
        <v>0.0</v>
      </c>
      <c r="K64" s="23" t="s">
        <v>34</v>
      </c>
      <c r="L64" s="25">
        <v>41462.27701388889</v>
      </c>
      <c r="M64" s="26" t="s">
        <v>224</v>
      </c>
      <c r="N64" s="26" t="s">
        <v>225</v>
      </c>
      <c r="O64" s="22" t="str">
        <f>HYPERLINK("https://pbs.twimg.com/profile_images/804373982287953920/_0EfHpkk_normal.jpg","View")</f>
        <v>View</v>
      </c>
      <c r="P64" s="27"/>
    </row>
    <row r="65">
      <c r="A65" s="14">
        <v>43031.059224537035</v>
      </c>
      <c r="B65" s="20" t="str">
        <f>HYPERLINK("https://twitter.com/ajitshah0482","@ajitshah0482")</f>
        <v>@ajitshah0482</v>
      </c>
      <c r="C65" s="21" t="s">
        <v>226</v>
      </c>
      <c r="D65" s="21" t="s">
        <v>42</v>
      </c>
      <c r="E65" s="22" t="str">
        <f>HYPERLINK("https://twitter.com/ajitshah0482/status/922378379667505153","922378379667505153")</f>
        <v>922378379667505153</v>
      </c>
      <c r="F65" s="23" t="s">
        <v>33</v>
      </c>
      <c r="G65" s="24">
        <v>229.0</v>
      </c>
      <c r="H65" s="24">
        <v>404.0</v>
      </c>
      <c r="I65" s="24">
        <v>8501.0</v>
      </c>
      <c r="J65" s="24">
        <v>0.0</v>
      </c>
      <c r="K65" s="23" t="s">
        <v>34</v>
      </c>
      <c r="L65" s="25">
        <v>42631.92449074074</v>
      </c>
      <c r="M65" s="26" t="s">
        <v>227</v>
      </c>
      <c r="N65" s="26" t="s">
        <v>228</v>
      </c>
      <c r="O65" s="22" t="str">
        <f>HYPERLINK("https://pbs.twimg.com/profile_images/882631330390974464/dd3fP2x5_normal.jpg","View")</f>
        <v>View</v>
      </c>
      <c r="P65" s="27"/>
    </row>
    <row r="66">
      <c r="A66" s="14">
        <v>43031.05930555555</v>
      </c>
      <c r="B66" s="20" t="str">
        <f>HYPERLINK("https://twitter.com/sameer_navy","@sameer_navy")</f>
        <v>@sameer_navy</v>
      </c>
      <c r="C66" s="21" t="s">
        <v>229</v>
      </c>
      <c r="D66" s="21" t="s">
        <v>42</v>
      </c>
      <c r="E66" s="22" t="str">
        <f>HYPERLINK("https://twitter.com/sameer_navy/status/922378408666963969","922378408666963969")</f>
        <v>922378408666963969</v>
      </c>
      <c r="F66" s="23" t="s">
        <v>230</v>
      </c>
      <c r="G66" s="24">
        <v>166.0</v>
      </c>
      <c r="H66" s="24">
        <v>471.0</v>
      </c>
      <c r="I66" s="24">
        <v>8501.0</v>
      </c>
      <c r="J66" s="24">
        <v>0.0</v>
      </c>
      <c r="K66" s="23" t="s">
        <v>34</v>
      </c>
      <c r="L66" s="25">
        <v>41026.486817129626</v>
      </c>
      <c r="M66" s="26" t="s">
        <v>231</v>
      </c>
      <c r="N66" s="26" t="s">
        <v>232</v>
      </c>
      <c r="O66" s="22" t="str">
        <f>HYPERLINK("https://pbs.twimg.com/profile_images/2187593472/image_normal.jpg","View")</f>
        <v>View</v>
      </c>
      <c r="P66" s="27"/>
    </row>
    <row r="67">
      <c r="A67" s="14">
        <v>43031.059317129635</v>
      </c>
      <c r="B67" s="20" t="str">
        <f>HYPERLINK("https://twitter.com/vishantkumar14","@vishantkumar14")</f>
        <v>@vishantkumar14</v>
      </c>
      <c r="C67" s="21" t="s">
        <v>233</v>
      </c>
      <c r="D67" s="21" t="s">
        <v>42</v>
      </c>
      <c r="E67" s="22" t="str">
        <f>HYPERLINK("https://twitter.com/vishantkumar14/status/922378414920646656","922378414920646656")</f>
        <v>922378414920646656</v>
      </c>
      <c r="F67" s="23" t="s">
        <v>33</v>
      </c>
      <c r="G67" s="24">
        <v>371.0</v>
      </c>
      <c r="H67" s="24">
        <v>192.0</v>
      </c>
      <c r="I67" s="24">
        <v>8501.0</v>
      </c>
      <c r="J67" s="24">
        <v>0.0</v>
      </c>
      <c r="K67" s="23" t="s">
        <v>34</v>
      </c>
      <c r="L67" s="25">
        <v>42230.19952546296</v>
      </c>
      <c r="M67" s="26" t="s">
        <v>234</v>
      </c>
      <c r="N67" s="26" t="s">
        <v>235</v>
      </c>
      <c r="O67" s="22" t="str">
        <f>HYPERLINK("https://pbs.twimg.com/profile_images/919841329504325632/FrYKtZQ5_normal.jpg","View")</f>
        <v>View</v>
      </c>
      <c r="P67" s="27"/>
    </row>
    <row r="68">
      <c r="A68" s="14">
        <v>43031.059328703705</v>
      </c>
      <c r="B68" s="20" t="str">
        <f>HYPERLINK("https://twitter.com/DesertSafaria","@DesertSafaria")</f>
        <v>@DesertSafaria</v>
      </c>
      <c r="C68" s="21" t="s">
        <v>236</v>
      </c>
      <c r="D68" s="21" t="s">
        <v>237</v>
      </c>
      <c r="E68" s="22" t="str">
        <f>HYPERLINK("https://twitter.com/DesertSafaria/status/922378419048009728","922378419048009728")</f>
        <v>922378419048009728</v>
      </c>
      <c r="F68" s="23" t="s">
        <v>187</v>
      </c>
      <c r="G68" s="24">
        <v>270.0</v>
      </c>
      <c r="H68" s="24">
        <v>574.0</v>
      </c>
      <c r="I68" s="24">
        <v>0.0</v>
      </c>
      <c r="J68" s="24">
        <v>0.0</v>
      </c>
      <c r="K68" s="23" t="s">
        <v>34</v>
      </c>
      <c r="L68" s="25">
        <v>42472.46913194444</v>
      </c>
      <c r="M68" s="26" t="s">
        <v>238</v>
      </c>
      <c r="N68" s="26" t="s">
        <v>239</v>
      </c>
      <c r="O68" s="22" t="str">
        <f>HYPERLINK("https://pbs.twimg.com/profile_images/824897488582635520/3BMASg8z_normal.jpg","View")</f>
        <v>View</v>
      </c>
      <c r="P68" s="27"/>
    </row>
    <row r="69">
      <c r="A69" s="14">
        <v>43031.05936342593</v>
      </c>
      <c r="B69" s="20" t="str">
        <f>HYPERLINK("https://twitter.com/bllshbrsh","@bllshbrsh")</f>
        <v>@bllshbrsh</v>
      </c>
      <c r="C69" s="21" t="s">
        <v>138</v>
      </c>
      <c r="D69" s="21" t="s">
        <v>240</v>
      </c>
      <c r="E69" s="22" t="str">
        <f>HYPERLINK("https://twitter.com/bllshbrsh/status/922378428648710144","922378428648710144")</f>
        <v>922378428648710144</v>
      </c>
      <c r="F69" s="23" t="s">
        <v>140</v>
      </c>
      <c r="G69" s="24">
        <v>6148.0</v>
      </c>
      <c r="H69" s="24">
        <v>6416.0</v>
      </c>
      <c r="I69" s="24">
        <v>0.0</v>
      </c>
      <c r="J69" s="24">
        <v>0.0</v>
      </c>
      <c r="K69" s="23" t="s">
        <v>34</v>
      </c>
      <c r="L69" s="25">
        <v>42682.29137731482</v>
      </c>
      <c r="M69" s="28"/>
      <c r="N69" s="28"/>
      <c r="O69" s="22" t="str">
        <f>HYPERLINK("https://pbs.twimg.com/profile_images/825303907752673284/OSI50AgE_normal.jpg","View")</f>
        <v>View</v>
      </c>
      <c r="P69" s="27"/>
    </row>
    <row r="70">
      <c r="A70" s="14">
        <v>43031.05957175926</v>
      </c>
      <c r="B70" s="20" t="str">
        <f>HYPERLINK("https://twitter.com/UCD_Japan","@UCD_Japan")</f>
        <v>@UCD_Japan</v>
      </c>
      <c r="C70" s="21" t="s">
        <v>241</v>
      </c>
      <c r="D70" s="21" t="s">
        <v>242</v>
      </c>
      <c r="E70" s="22" t="str">
        <f>HYPERLINK("https://twitter.com/UCD_Japan/status/922378504204967936","922378504204967936")</f>
        <v>922378504204967936</v>
      </c>
      <c r="F70" s="23" t="s">
        <v>55</v>
      </c>
      <c r="G70" s="24">
        <v>168.0</v>
      </c>
      <c r="H70" s="24">
        <v>107.0</v>
      </c>
      <c r="I70" s="24">
        <v>0.0</v>
      </c>
      <c r="J70" s="24">
        <v>0.0</v>
      </c>
      <c r="K70" s="23" t="s">
        <v>34</v>
      </c>
      <c r="L70" s="25">
        <v>42782.48895833333</v>
      </c>
      <c r="M70" s="26" t="s">
        <v>243</v>
      </c>
      <c r="N70" s="26" t="s">
        <v>244</v>
      </c>
      <c r="O70" s="22" t="str">
        <f>HYPERLINK("https://pbs.twimg.com/profile_images/911266336768184320/OvhnwjSy_normal.jpg","View")</f>
        <v>View</v>
      </c>
      <c r="P70" s="27"/>
    </row>
    <row r="71">
      <c r="A71" s="14">
        <v>43031.05957175926</v>
      </c>
      <c r="B71" s="20" t="str">
        <f>HYPERLINK("https://twitter.com/AkshayP91981505","@AkshayP91981505")</f>
        <v>@AkshayP91981505</v>
      </c>
      <c r="C71" s="21" t="s">
        <v>245</v>
      </c>
      <c r="D71" s="21" t="s">
        <v>42</v>
      </c>
      <c r="E71" s="22" t="str">
        <f>HYPERLINK("https://twitter.com/AkshayP91981505/status/922378505798553600","922378505798553600")</f>
        <v>922378505798553600</v>
      </c>
      <c r="F71" s="23" t="s">
        <v>33</v>
      </c>
      <c r="G71" s="24">
        <v>29.0</v>
      </c>
      <c r="H71" s="24">
        <v>246.0</v>
      </c>
      <c r="I71" s="24">
        <v>8501.0</v>
      </c>
      <c r="J71" s="24">
        <v>0.0</v>
      </c>
      <c r="K71" s="23" t="s">
        <v>34</v>
      </c>
      <c r="L71" s="25">
        <v>42686.49259259259</v>
      </c>
      <c r="M71" s="26" t="s">
        <v>246</v>
      </c>
      <c r="N71" s="26" t="s">
        <v>247</v>
      </c>
      <c r="O71" s="22" t="str">
        <f>HYPERLINK("https://pbs.twimg.com/profile_images/912598782612725760/8POFXR0F_normal.jpg","View")</f>
        <v>View</v>
      </c>
      <c r="P71" s="27"/>
    </row>
    <row r="72">
      <c r="A72" s="14">
        <v>43031.059687500005</v>
      </c>
      <c r="B72" s="20" t="str">
        <f>HYPERLINK("https://twitter.com/bllshbrsh","@bllshbrsh")</f>
        <v>@bllshbrsh</v>
      </c>
      <c r="C72" s="21" t="s">
        <v>138</v>
      </c>
      <c r="D72" s="21" t="s">
        <v>248</v>
      </c>
      <c r="E72" s="22" t="str">
        <f>HYPERLINK("https://twitter.com/bllshbrsh/status/922378546361839616","922378546361839616")</f>
        <v>922378546361839616</v>
      </c>
      <c r="F72" s="23" t="s">
        <v>140</v>
      </c>
      <c r="G72" s="24">
        <v>6148.0</v>
      </c>
      <c r="H72" s="24">
        <v>6416.0</v>
      </c>
      <c r="I72" s="24">
        <v>0.0</v>
      </c>
      <c r="J72" s="24">
        <v>0.0</v>
      </c>
      <c r="K72" s="23" t="s">
        <v>34</v>
      </c>
      <c r="L72" s="25">
        <v>42682.29137731482</v>
      </c>
      <c r="M72" s="28"/>
      <c r="N72" s="28"/>
      <c r="O72" s="22" t="str">
        <f>HYPERLINK("https://pbs.twimg.com/profile_images/825303907752673284/OSI50AgE_normal.jpg","View")</f>
        <v>View</v>
      </c>
      <c r="P72" s="27"/>
    </row>
    <row r="73">
      <c r="A73" s="14">
        <v>43031.059710648144</v>
      </c>
      <c r="B73" s="20" t="str">
        <f>HYPERLINK("https://twitter.com/Vaibhav_S_Patil","@Vaibhav_S_Patil")</f>
        <v>@Vaibhav_S_Patil</v>
      </c>
      <c r="C73" s="21" t="s">
        <v>249</v>
      </c>
      <c r="D73" s="21" t="s">
        <v>42</v>
      </c>
      <c r="E73" s="22" t="str">
        <f>HYPERLINK("https://twitter.com/Vaibhav_S_Patil/status/922378557107552257","922378557107552257")</f>
        <v>922378557107552257</v>
      </c>
      <c r="F73" s="23" t="s">
        <v>55</v>
      </c>
      <c r="G73" s="24">
        <v>43.0</v>
      </c>
      <c r="H73" s="24">
        <v>271.0</v>
      </c>
      <c r="I73" s="24">
        <v>8501.0</v>
      </c>
      <c r="J73" s="24">
        <v>0.0</v>
      </c>
      <c r="K73" s="23" t="s">
        <v>34</v>
      </c>
      <c r="L73" s="25">
        <v>42313.39498842593</v>
      </c>
      <c r="M73" s="28"/>
      <c r="N73" s="28"/>
      <c r="O73" s="22" t="str">
        <f>HYPERLINK("https://pbs.twimg.com/profile_images/662321921376194560/g__7jVpf_normal.jpg","View")</f>
        <v>View</v>
      </c>
      <c r="P73" s="27"/>
    </row>
    <row r="74">
      <c r="A74" s="14">
        <v>43031.0597337963</v>
      </c>
      <c r="B74" s="20" t="str">
        <f>HYPERLINK("https://twitter.com/illegalthing","@illegalthing")</f>
        <v>@illegalthing</v>
      </c>
      <c r="C74" s="21" t="s">
        <v>250</v>
      </c>
      <c r="D74" s="21" t="s">
        <v>42</v>
      </c>
      <c r="E74" s="22" t="str">
        <f>HYPERLINK("https://twitter.com/illegalthing/status/922378565018042368","922378565018042368")</f>
        <v>922378565018042368</v>
      </c>
      <c r="F74" s="23" t="s">
        <v>33</v>
      </c>
      <c r="G74" s="24">
        <v>32348.0</v>
      </c>
      <c r="H74" s="24">
        <v>18958.0</v>
      </c>
      <c r="I74" s="24">
        <v>8501.0</v>
      </c>
      <c r="J74" s="24">
        <v>0.0</v>
      </c>
      <c r="K74" s="23" t="s">
        <v>34</v>
      </c>
      <c r="L74" s="25">
        <v>40977.34539351852</v>
      </c>
      <c r="M74" s="26" t="s">
        <v>251</v>
      </c>
      <c r="N74" s="26" t="s">
        <v>252</v>
      </c>
      <c r="O74" s="22" t="str">
        <f>HYPERLINK("https://pbs.twimg.com/profile_images/920628894100684800/6L-6Ij6S_normal.jpg","View")</f>
        <v>View</v>
      </c>
      <c r="P74" s="27"/>
    </row>
    <row r="75">
      <c r="A75" s="14">
        <v>43031.05978009259</v>
      </c>
      <c r="B75" s="20" t="str">
        <f>HYPERLINK("https://twitter.com/MyAlliesNews","@MyAlliesNews")</f>
        <v>@MyAlliesNews</v>
      </c>
      <c r="C75" s="21" t="s">
        <v>253</v>
      </c>
      <c r="D75" s="21" t="s">
        <v>254</v>
      </c>
      <c r="E75" s="22" t="str">
        <f>HYPERLINK("https://twitter.com/MyAlliesNews/status/922378583653388288","922378583653388288")</f>
        <v>922378583653388288</v>
      </c>
      <c r="F75" s="23" t="s">
        <v>255</v>
      </c>
      <c r="G75" s="24">
        <v>569.0</v>
      </c>
      <c r="H75" s="24">
        <v>0.0</v>
      </c>
      <c r="I75" s="24">
        <v>0.0</v>
      </c>
      <c r="J75" s="24">
        <v>0.0</v>
      </c>
      <c r="K75" s="23" t="s">
        <v>34</v>
      </c>
      <c r="L75" s="25">
        <v>41717.317083333335</v>
      </c>
      <c r="M75" s="28"/>
      <c r="N75" s="26" t="s">
        <v>256</v>
      </c>
      <c r="O75" s="22" t="str">
        <f>HYPERLINK("https://pbs.twimg.com/profile_images/577892873095401473/dP2JPlyp_normal.png","View")</f>
        <v>View</v>
      </c>
      <c r="P75" s="27"/>
    </row>
    <row r="76">
      <c r="A76" s="14">
        <v>43031.05988425926</v>
      </c>
      <c r="B76" s="20" t="str">
        <f>HYPERLINK("https://twitter.com/dinonysus7","@dinonysus7")</f>
        <v>@dinonysus7</v>
      </c>
      <c r="C76" s="21" t="s">
        <v>257</v>
      </c>
      <c r="D76" s="21" t="s">
        <v>42</v>
      </c>
      <c r="E76" s="22" t="str">
        <f>HYPERLINK("https://twitter.com/dinonysus7/status/922378617727868928","922378617727868928")</f>
        <v>922378617727868928</v>
      </c>
      <c r="F76" s="23" t="s">
        <v>39</v>
      </c>
      <c r="G76" s="24">
        <v>626.0</v>
      </c>
      <c r="H76" s="24">
        <v>248.0</v>
      </c>
      <c r="I76" s="24">
        <v>8501.0</v>
      </c>
      <c r="J76" s="24">
        <v>0.0</v>
      </c>
      <c r="K76" s="23" t="s">
        <v>34</v>
      </c>
      <c r="L76" s="25">
        <v>41830.339374999996</v>
      </c>
      <c r="M76" s="28"/>
      <c r="N76" s="26" t="s">
        <v>258</v>
      </c>
      <c r="O76" s="22" t="str">
        <f>HYPERLINK("https://pbs.twimg.com/profile_images/553713164588552192/G7Smxjbv_normal.jpeg","View")</f>
        <v>View</v>
      </c>
      <c r="P76" s="27"/>
    </row>
    <row r="77">
      <c r="A77" s="14">
        <v>43031.05989583333</v>
      </c>
      <c r="B77" s="20" t="str">
        <f>HYPERLINK("https://twitter.com/sena_narayani","@sena_narayani")</f>
        <v>@sena_narayani</v>
      </c>
      <c r="C77" s="21" t="s">
        <v>259</v>
      </c>
      <c r="D77" s="21" t="s">
        <v>260</v>
      </c>
      <c r="E77" s="22" t="str">
        <f>HYPERLINK("https://twitter.com/sena_narayani/status/922378624212152320","922378624212152320")</f>
        <v>922378624212152320</v>
      </c>
      <c r="F77" s="23" t="s">
        <v>33</v>
      </c>
      <c r="G77" s="24">
        <v>1298.0</v>
      </c>
      <c r="H77" s="24">
        <v>4981.0</v>
      </c>
      <c r="I77" s="24">
        <v>8.0</v>
      </c>
      <c r="J77" s="24">
        <v>0.0</v>
      </c>
      <c r="K77" s="23" t="s">
        <v>34</v>
      </c>
      <c r="L77" s="25">
        <v>42650.56673611111</v>
      </c>
      <c r="M77" s="26" t="s">
        <v>261</v>
      </c>
      <c r="N77" s="26" t="s">
        <v>262</v>
      </c>
      <c r="O77" s="22" t="str">
        <f>HYPERLINK("https://pbs.twimg.com/profile_images/916611083107844096/y-BpOQ_q_normal.jpg","View")</f>
        <v>View</v>
      </c>
      <c r="P77" s="27"/>
    </row>
    <row r="78">
      <c r="A78" s="14">
        <v>43031.060011574074</v>
      </c>
      <c r="B78" s="20" t="str">
        <f>HYPERLINK("https://twitter.com/LOCALNEWSNgayon","@LOCALNEWSNgayon")</f>
        <v>@LOCALNEWSNgayon</v>
      </c>
      <c r="C78" s="21" t="s">
        <v>263</v>
      </c>
      <c r="D78" s="21" t="s">
        <v>264</v>
      </c>
      <c r="E78" s="22" t="str">
        <f>HYPERLINK("https://twitter.com/LOCALNEWSNgayon/status/922378665572397056","922378665572397056")</f>
        <v>922378665572397056</v>
      </c>
      <c r="F78" s="23" t="s">
        <v>187</v>
      </c>
      <c r="G78" s="24">
        <v>510.0</v>
      </c>
      <c r="H78" s="24">
        <v>6.0</v>
      </c>
      <c r="I78" s="24">
        <v>0.0</v>
      </c>
      <c r="J78" s="24">
        <v>0.0</v>
      </c>
      <c r="K78" s="23" t="s">
        <v>34</v>
      </c>
      <c r="L78" s="25">
        <v>41153.06055555555</v>
      </c>
      <c r="M78" s="26" t="s">
        <v>265</v>
      </c>
      <c r="N78" s="26" t="s">
        <v>266</v>
      </c>
      <c r="O78" s="22" t="str">
        <f>HYPERLINK("https://pbs.twimg.com/profile_images/378800000421290348/31b133b998b9b1f07d79aacaf153b990_normal.jpeg","View")</f>
        <v>View</v>
      </c>
      <c r="P78" s="27"/>
    </row>
    <row r="79">
      <c r="A79" s="14">
        <v>43031.0600462963</v>
      </c>
      <c r="B79" s="20" t="str">
        <f>HYPERLINK("https://twitter.com/yazy7788","@yazy7788")</f>
        <v>@yazy7788</v>
      </c>
      <c r="C79" s="21" t="s">
        <v>267</v>
      </c>
      <c r="D79" s="21" t="s">
        <v>51</v>
      </c>
      <c r="E79" s="22" t="str">
        <f>HYPERLINK("https://twitter.com/yazy7788/status/922378678385958913","922378678385958913")</f>
        <v>922378678385958913</v>
      </c>
      <c r="F79" s="23" t="s">
        <v>33</v>
      </c>
      <c r="G79" s="24">
        <v>45.0</v>
      </c>
      <c r="H79" s="24">
        <v>1615.0</v>
      </c>
      <c r="I79" s="24">
        <v>16.0</v>
      </c>
      <c r="J79" s="24">
        <v>0.0</v>
      </c>
      <c r="K79" s="23" t="s">
        <v>34</v>
      </c>
      <c r="L79" s="25">
        <v>41745.965578703705</v>
      </c>
      <c r="M79" s="28"/>
      <c r="N79" s="26" t="s">
        <v>268</v>
      </c>
      <c r="O79" s="22" t="str">
        <f>HYPERLINK("https://pbs.twimg.com/profile_images/749734607105454080/iEAFXpw1_normal.jpg","View")</f>
        <v>View</v>
      </c>
      <c r="P79" s="27"/>
    </row>
    <row r="80">
      <c r="A80" s="14">
        <v>43031.06011574074</v>
      </c>
      <c r="B80" s="20" t="str">
        <f>HYPERLINK("https://twitter.com/PJKot","@PJKot")</f>
        <v>@PJKot</v>
      </c>
      <c r="C80" s="21" t="s">
        <v>269</v>
      </c>
      <c r="D80" s="21" t="s">
        <v>270</v>
      </c>
      <c r="E80" s="22" t="str">
        <f>HYPERLINK("https://twitter.com/PJKot/status/922378703136423936","922378703136423936")</f>
        <v>922378703136423936</v>
      </c>
      <c r="F80" s="23" t="s">
        <v>55</v>
      </c>
      <c r="G80" s="24">
        <v>1250.0</v>
      </c>
      <c r="H80" s="24">
        <v>1871.0</v>
      </c>
      <c r="I80" s="24">
        <v>0.0</v>
      </c>
      <c r="J80" s="24">
        <v>0.0</v>
      </c>
      <c r="K80" s="23" t="s">
        <v>34</v>
      </c>
      <c r="L80" s="25">
        <v>39944.79387731481</v>
      </c>
      <c r="M80" s="26" t="s">
        <v>271</v>
      </c>
      <c r="N80" s="26" t="s">
        <v>272</v>
      </c>
      <c r="O80" s="22" t="str">
        <f>HYPERLINK("https://pbs.twimg.com/profile_images/639322888395358208/JDw9_I1Y_normal.jpg","View")</f>
        <v>View</v>
      </c>
      <c r="P80" s="27"/>
    </row>
    <row r="81">
      <c r="A81" s="14">
        <v>43031.06013888889</v>
      </c>
      <c r="B81" s="20" t="str">
        <f>HYPERLINK("https://twitter.com/muthoniwanani","@muthoniwanani")</f>
        <v>@muthoniwanani</v>
      </c>
      <c r="C81" s="21" t="s">
        <v>273</v>
      </c>
      <c r="D81" s="21" t="s">
        <v>32</v>
      </c>
      <c r="E81" s="22" t="str">
        <f>HYPERLINK("https://twitter.com/muthoniwanani/status/922378709742641152","922378709742641152")</f>
        <v>922378709742641152</v>
      </c>
      <c r="F81" s="23" t="s">
        <v>39</v>
      </c>
      <c r="G81" s="24">
        <v>40.0</v>
      </c>
      <c r="H81" s="24">
        <v>109.0</v>
      </c>
      <c r="I81" s="24">
        <v>471.0</v>
      </c>
      <c r="J81" s="24">
        <v>0.0</v>
      </c>
      <c r="K81" s="23" t="s">
        <v>34</v>
      </c>
      <c r="L81" s="25">
        <v>43008.286041666666</v>
      </c>
      <c r="M81" s="26" t="s">
        <v>274</v>
      </c>
      <c r="N81" s="26" t="s">
        <v>275</v>
      </c>
      <c r="O81" s="22" t="str">
        <f>HYPERLINK("https://pbs.twimg.com/profile_images/914138314801901569/YhDIo-GR_normal.jpg","View")</f>
        <v>View</v>
      </c>
      <c r="P81" s="27"/>
    </row>
    <row r="82">
      <c r="A82" s="14">
        <v>43031.06017361111</v>
      </c>
      <c r="B82" s="20" t="str">
        <f>HYPERLINK("https://twitter.com/e_Devii","@e_Devii")</f>
        <v>@e_Devii</v>
      </c>
      <c r="C82" s="21" t="s">
        <v>276</v>
      </c>
      <c r="D82" s="21" t="s">
        <v>42</v>
      </c>
      <c r="E82" s="22" t="str">
        <f>HYPERLINK("https://twitter.com/e_Devii/status/922378723935916032","922378723935916032")</f>
        <v>922378723935916032</v>
      </c>
      <c r="F82" s="23" t="s">
        <v>39</v>
      </c>
      <c r="G82" s="24">
        <v>17594.0</v>
      </c>
      <c r="H82" s="24">
        <v>71.0</v>
      </c>
      <c r="I82" s="24">
        <v>8501.0</v>
      </c>
      <c r="J82" s="24">
        <v>0.0</v>
      </c>
      <c r="K82" s="23" t="s">
        <v>34</v>
      </c>
      <c r="L82" s="25">
        <v>42141.93960648148</v>
      </c>
      <c r="M82" s="26" t="s">
        <v>277</v>
      </c>
      <c r="N82" s="26" t="s">
        <v>278</v>
      </c>
      <c r="O82" s="22" t="str">
        <f>HYPERLINK("https://pbs.twimg.com/profile_images/911957697435639808/9cYkEGBQ_normal.jpg","View")</f>
        <v>View</v>
      </c>
      <c r="P82" s="27"/>
    </row>
    <row r="83">
      <c r="A83" s="14">
        <v>43031.06017361111</v>
      </c>
      <c r="B83" s="20" t="str">
        <f>HYPERLINK("https://twitter.com/Nozatakumi","@Nozatakumi")</f>
        <v>@Nozatakumi</v>
      </c>
      <c r="C83" s="21" t="s">
        <v>279</v>
      </c>
      <c r="D83" s="21" t="s">
        <v>42</v>
      </c>
      <c r="E83" s="22" t="str">
        <f>HYPERLINK("https://twitter.com/Nozatakumi/status/922378724921577473","922378724921577473")</f>
        <v>922378724921577473</v>
      </c>
      <c r="F83" s="23" t="s">
        <v>39</v>
      </c>
      <c r="G83" s="24">
        <v>121.0</v>
      </c>
      <c r="H83" s="24">
        <v>182.0</v>
      </c>
      <c r="I83" s="24">
        <v>8501.0</v>
      </c>
      <c r="J83" s="24">
        <v>0.0</v>
      </c>
      <c r="K83" s="23" t="s">
        <v>34</v>
      </c>
      <c r="L83" s="25">
        <v>42273.85614583333</v>
      </c>
      <c r="M83" s="28"/>
      <c r="N83" s="26" t="s">
        <v>280</v>
      </c>
      <c r="O83" s="22" t="str">
        <f>HYPERLINK("https://pbs.twimg.com/profile_images/648001662112501760/dXVQmNGw_normal.jpg","View")</f>
        <v>View</v>
      </c>
      <c r="P83" s="27"/>
    </row>
    <row r="84">
      <c r="A84" s="14">
        <v>43031.06018518518</v>
      </c>
      <c r="B84" s="20" t="str">
        <f>HYPERLINK("https://twitter.com/DaudiMuya1","@DaudiMuya1")</f>
        <v>@DaudiMuya1</v>
      </c>
      <c r="C84" s="21" t="s">
        <v>281</v>
      </c>
      <c r="D84" s="21" t="s">
        <v>32</v>
      </c>
      <c r="E84" s="22" t="str">
        <f>HYPERLINK("https://twitter.com/DaudiMuya1/status/922378729518661637","922378729518661637")</f>
        <v>922378729518661637</v>
      </c>
      <c r="F84" s="23" t="s">
        <v>33</v>
      </c>
      <c r="G84" s="24">
        <v>547.0</v>
      </c>
      <c r="H84" s="24">
        <v>160.0</v>
      </c>
      <c r="I84" s="24">
        <v>471.0</v>
      </c>
      <c r="J84" s="24">
        <v>0.0</v>
      </c>
      <c r="K84" s="23" t="s">
        <v>34</v>
      </c>
      <c r="L84" s="25">
        <v>42512.10366898148</v>
      </c>
      <c r="M84" s="26" t="s">
        <v>282</v>
      </c>
      <c r="N84" s="26" t="s">
        <v>283</v>
      </c>
      <c r="O84" s="22" t="str">
        <f>HYPERLINK("https://pbs.twimg.com/profile_images/898139355067404288/6lssdCO7_normal.jpg","View")</f>
        <v>View</v>
      </c>
      <c r="P84" s="27"/>
    </row>
    <row r="85">
      <c r="A85" s="14">
        <v>43031.06023148148</v>
      </c>
      <c r="B85" s="20" t="str">
        <f>HYPERLINK("https://twitter.com/Jayadeep333","@Jayadeep333")</f>
        <v>@Jayadeep333</v>
      </c>
      <c r="C85" s="21" t="s">
        <v>284</v>
      </c>
      <c r="D85" s="21" t="s">
        <v>42</v>
      </c>
      <c r="E85" s="22" t="str">
        <f>HYPERLINK("https://twitter.com/Jayadeep333/status/922378746190893056","922378746190893056")</f>
        <v>922378746190893056</v>
      </c>
      <c r="F85" s="23" t="s">
        <v>33</v>
      </c>
      <c r="G85" s="24">
        <v>205.0</v>
      </c>
      <c r="H85" s="24">
        <v>10.0</v>
      </c>
      <c r="I85" s="24">
        <v>8501.0</v>
      </c>
      <c r="J85" s="24">
        <v>0.0</v>
      </c>
      <c r="K85" s="23" t="s">
        <v>34</v>
      </c>
      <c r="L85" s="25">
        <v>40648.08456018518</v>
      </c>
      <c r="M85" s="26" t="s">
        <v>204</v>
      </c>
      <c r="N85" s="26" t="s">
        <v>285</v>
      </c>
      <c r="O85" s="22" t="str">
        <f>HYPERLINK("https://pbs.twimg.com/profile_images/822691115312775168/sJCWwYE1_normal.jpg","View")</f>
        <v>View</v>
      </c>
      <c r="P85" s="27"/>
    </row>
    <row r="86">
      <c r="A86" s="14">
        <v>43031.06025462963</v>
      </c>
      <c r="B86" s="20" t="str">
        <f>HYPERLINK("https://twitter.com/kannan978634553","@kannan978634553")</f>
        <v>@kannan978634553</v>
      </c>
      <c r="C86" s="21" t="s">
        <v>286</v>
      </c>
      <c r="D86" s="21" t="s">
        <v>42</v>
      </c>
      <c r="E86" s="22" t="str">
        <f>HYPERLINK("https://twitter.com/kannan978634553/status/922378755649150978","922378755649150978")</f>
        <v>922378755649150978</v>
      </c>
      <c r="F86" s="23" t="s">
        <v>33</v>
      </c>
      <c r="G86" s="24">
        <v>4118.0</v>
      </c>
      <c r="H86" s="24">
        <v>5001.0</v>
      </c>
      <c r="I86" s="24">
        <v>8501.0</v>
      </c>
      <c r="J86" s="24">
        <v>0.0</v>
      </c>
      <c r="K86" s="23" t="s">
        <v>34</v>
      </c>
      <c r="L86" s="25">
        <v>41472.95658564815</v>
      </c>
      <c r="M86" s="26" t="s">
        <v>287</v>
      </c>
      <c r="N86" s="28"/>
      <c r="O86" s="22" t="str">
        <f>HYPERLINK("https://pbs.twimg.com/profile_images/795714277357260800/DsoUgHQp_normal.jpg","View")</f>
        <v>View</v>
      </c>
      <c r="P86" s="27"/>
    </row>
    <row r="87">
      <c r="A87" s="14">
        <v>43031.060266203705</v>
      </c>
      <c r="B87" s="20" t="str">
        <f>HYPERLINK("https://twitter.com/krazy_comedy","@krazy_comedy")</f>
        <v>@krazy_comedy</v>
      </c>
      <c r="C87" s="21" t="s">
        <v>288</v>
      </c>
      <c r="D87" s="21" t="s">
        <v>32</v>
      </c>
      <c r="E87" s="22" t="str">
        <f>HYPERLINK("https://twitter.com/krazy_comedy/status/922378758635556864","922378758635556864")</f>
        <v>922378758635556864</v>
      </c>
      <c r="F87" s="23" t="s">
        <v>33</v>
      </c>
      <c r="G87" s="24">
        <v>35470.0</v>
      </c>
      <c r="H87" s="24">
        <v>16909.0</v>
      </c>
      <c r="I87" s="24">
        <v>471.0</v>
      </c>
      <c r="J87" s="24">
        <v>0.0</v>
      </c>
      <c r="K87" s="23" t="s">
        <v>34</v>
      </c>
      <c r="L87" s="25">
        <v>40585.09783564815</v>
      </c>
      <c r="M87" s="26" t="s">
        <v>114</v>
      </c>
      <c r="N87" s="26" t="s">
        <v>289</v>
      </c>
      <c r="O87" s="22" t="str">
        <f>HYPERLINK("https://pbs.twimg.com/profile_images/466067978803351553/5KUuLNWj_normal.jpeg","View")</f>
        <v>View</v>
      </c>
      <c r="P87" s="27"/>
    </row>
    <row r="88">
      <c r="A88" s="14">
        <v>43031.060312500005</v>
      </c>
      <c r="B88" s="20" t="str">
        <f>HYPERLINK("https://twitter.com/tamamokari","@tamamokari")</f>
        <v>@tamamokari</v>
      </c>
      <c r="C88" s="21" t="s">
        <v>290</v>
      </c>
      <c r="D88" s="21" t="s">
        <v>291</v>
      </c>
      <c r="E88" s="22" t="str">
        <f>HYPERLINK("https://twitter.com/tamamokari/status/922378772761808896","922378772761808896")</f>
        <v>922378772761808896</v>
      </c>
      <c r="F88" s="23" t="s">
        <v>33</v>
      </c>
      <c r="G88" s="24">
        <v>121.0</v>
      </c>
      <c r="H88" s="24">
        <v>1148.0</v>
      </c>
      <c r="I88" s="24">
        <v>3.0</v>
      </c>
      <c r="J88" s="24">
        <v>0.0</v>
      </c>
      <c r="K88" s="23" t="s">
        <v>34</v>
      </c>
      <c r="L88" s="25">
        <v>42566.29020833333</v>
      </c>
      <c r="M88" s="28"/>
      <c r="N88" s="26" t="s">
        <v>292</v>
      </c>
      <c r="O88" s="22" t="str">
        <f>HYPERLINK("https://abs.twimg.com/sticky/default_profile_images/default_profile_normal.png","View")</f>
        <v>View</v>
      </c>
      <c r="P88" s="27"/>
    </row>
    <row r="89">
      <c r="A89" s="14">
        <v>43031.060335648144</v>
      </c>
      <c r="B89" s="20" t="str">
        <f>HYPERLINK("https://twitter.com/TMReserve","@TMReserve")</f>
        <v>@TMReserve</v>
      </c>
      <c r="C89" s="21" t="s">
        <v>293</v>
      </c>
      <c r="D89" s="21" t="s">
        <v>294</v>
      </c>
      <c r="E89" s="22" t="str">
        <f>HYPERLINK("https://twitter.com/TMReserve/status/922378781750214656","922378781750214656")</f>
        <v>922378781750214656</v>
      </c>
      <c r="F89" s="23" t="s">
        <v>55</v>
      </c>
      <c r="G89" s="24">
        <v>1781.0</v>
      </c>
      <c r="H89" s="24">
        <v>219.0</v>
      </c>
      <c r="I89" s="24">
        <v>0.0</v>
      </c>
      <c r="J89" s="24">
        <v>0.0</v>
      </c>
      <c r="K89" s="23" t="s">
        <v>34</v>
      </c>
      <c r="L89" s="25">
        <v>40668.394282407404</v>
      </c>
      <c r="M89" s="26" t="s">
        <v>295</v>
      </c>
      <c r="N89" s="26" t="s">
        <v>296</v>
      </c>
      <c r="O89" s="22" t="str">
        <f>HYPERLINK("https://pbs.twimg.com/profile_images/765776249176354816/VHyr4WKt_normal.jpg","View")</f>
        <v>View</v>
      </c>
      <c r="P89" s="27"/>
    </row>
    <row r="90">
      <c r="A90" s="14">
        <v>43031.060381944444</v>
      </c>
      <c r="B90" s="20" t="str">
        <f>HYPERLINK("https://twitter.com/Milliewajoel","@Milliewajoel")</f>
        <v>@Milliewajoel</v>
      </c>
      <c r="C90" s="21" t="s">
        <v>297</v>
      </c>
      <c r="D90" s="21" t="s">
        <v>32</v>
      </c>
      <c r="E90" s="22" t="str">
        <f>HYPERLINK("https://twitter.com/Milliewajoel/status/922378798187864064","922378798187864064")</f>
        <v>922378798187864064</v>
      </c>
      <c r="F90" s="23" t="s">
        <v>33</v>
      </c>
      <c r="G90" s="24">
        <v>128.0</v>
      </c>
      <c r="H90" s="24">
        <v>123.0</v>
      </c>
      <c r="I90" s="24">
        <v>471.0</v>
      </c>
      <c r="J90" s="24">
        <v>0.0</v>
      </c>
      <c r="K90" s="23" t="s">
        <v>34</v>
      </c>
      <c r="L90" s="25">
        <v>43005.253020833334</v>
      </c>
      <c r="M90" s="26" t="s">
        <v>298</v>
      </c>
      <c r="N90" s="26" t="s">
        <v>299</v>
      </c>
      <c r="O90" s="22" t="str">
        <f>HYPERLINK("https://pbs.twimg.com/profile_images/914185053525217288/HgnkEzKi_normal.jpg","View")</f>
        <v>View</v>
      </c>
      <c r="P90" s="27"/>
    </row>
    <row r="91">
      <c r="A91" s="14">
        <v>43031.06055555555</v>
      </c>
      <c r="B91" s="20" t="str">
        <f>HYPERLINK("https://twitter.com/ROHITAGG9468","@ROHITAGG9468")</f>
        <v>@ROHITAGG9468</v>
      </c>
      <c r="C91" s="21" t="s">
        <v>300</v>
      </c>
      <c r="D91" s="21" t="s">
        <v>42</v>
      </c>
      <c r="E91" s="22" t="str">
        <f>HYPERLINK("https://twitter.com/ROHITAGG9468/status/922378861303570432","922378861303570432")</f>
        <v>922378861303570432</v>
      </c>
      <c r="F91" s="23" t="s">
        <v>33</v>
      </c>
      <c r="G91" s="24">
        <v>31.0</v>
      </c>
      <c r="H91" s="24">
        <v>48.0</v>
      </c>
      <c r="I91" s="24">
        <v>8501.0</v>
      </c>
      <c r="J91" s="24">
        <v>0.0</v>
      </c>
      <c r="K91" s="23" t="s">
        <v>34</v>
      </c>
      <c r="L91" s="25">
        <v>42695.92101851852</v>
      </c>
      <c r="M91" s="28"/>
      <c r="N91" s="28"/>
      <c r="O91" s="22" t="str">
        <f>HYPERLINK("https://pbs.twimg.com/profile_images/861816072974086144/hzIyGW0e_normal.jpg","View")</f>
        <v>View</v>
      </c>
      <c r="P91" s="27"/>
    </row>
    <row r="92">
      <c r="A92" s="14">
        <v>43031.06060185185</v>
      </c>
      <c r="B92" s="20" t="str">
        <f>HYPERLINK("https://twitter.com/Mohamed07254681","@Mohamed07254681")</f>
        <v>@Mohamed07254681</v>
      </c>
      <c r="C92" s="21" t="s">
        <v>301</v>
      </c>
      <c r="D92" s="21" t="s">
        <v>42</v>
      </c>
      <c r="E92" s="22" t="str">
        <f>HYPERLINK("https://twitter.com/Mohamed07254681/status/922378878416388096","922378878416388096")</f>
        <v>922378878416388096</v>
      </c>
      <c r="F92" s="23" t="s">
        <v>33</v>
      </c>
      <c r="G92" s="24">
        <v>4.0</v>
      </c>
      <c r="H92" s="24">
        <v>319.0</v>
      </c>
      <c r="I92" s="24">
        <v>8501.0</v>
      </c>
      <c r="J92" s="24">
        <v>0.0</v>
      </c>
      <c r="K92" s="23" t="s">
        <v>34</v>
      </c>
      <c r="L92" s="25">
        <v>43029.228796296295</v>
      </c>
      <c r="M92" s="28"/>
      <c r="N92" s="28"/>
      <c r="O92" s="22" t="str">
        <f>HYPERLINK("https://abs.twimg.com/sticky/default_profile_images/default_profile_normal.png","View")</f>
        <v>View</v>
      </c>
      <c r="P92" s="27"/>
    </row>
    <row r="93">
      <c r="A93" s="14">
        <v>43031.0607175926</v>
      </c>
      <c r="B93" s="20" t="str">
        <f>HYPERLINK("https://twitter.com/zam_zeed","@zam_zeed")</f>
        <v>@zam_zeed</v>
      </c>
      <c r="C93" s="21" t="s">
        <v>302</v>
      </c>
      <c r="D93" s="21" t="s">
        <v>42</v>
      </c>
      <c r="E93" s="22" t="str">
        <f>HYPERLINK("https://twitter.com/zam_zeed/status/922378922502713344","922378922502713344")</f>
        <v>922378922502713344</v>
      </c>
      <c r="F93" s="23" t="s">
        <v>39</v>
      </c>
      <c r="G93" s="24">
        <v>771.0</v>
      </c>
      <c r="H93" s="24">
        <v>724.0</v>
      </c>
      <c r="I93" s="24">
        <v>8501.0</v>
      </c>
      <c r="J93" s="24">
        <v>0.0</v>
      </c>
      <c r="K93" s="23" t="s">
        <v>34</v>
      </c>
      <c r="L93" s="25">
        <v>40356.906076388885</v>
      </c>
      <c r="M93" s="28"/>
      <c r="N93" s="26" t="s">
        <v>303</v>
      </c>
      <c r="O93" s="22" t="str">
        <f>HYPERLINK("https://pbs.twimg.com/profile_images/610054223959474177/d9kjfPZq_normal.jpg","View")</f>
        <v>View</v>
      </c>
      <c r="P93" s="27"/>
    </row>
    <row r="94">
      <c r="A94" s="14">
        <v>43031.06081018518</v>
      </c>
      <c r="B94" s="20" t="str">
        <f>HYPERLINK("https://twitter.com/michellemonlcx","@michellemonlcx")</f>
        <v>@michellemonlcx</v>
      </c>
      <c r="C94" s="21" t="s">
        <v>304</v>
      </c>
      <c r="D94" s="21" t="s">
        <v>51</v>
      </c>
      <c r="E94" s="22" t="str">
        <f>HYPERLINK("https://twitter.com/michellemonlcx/status/922378957063966722","922378957063966722")</f>
        <v>922378957063966722</v>
      </c>
      <c r="F94" s="23" t="s">
        <v>33</v>
      </c>
      <c r="G94" s="24">
        <v>49.0</v>
      </c>
      <c r="H94" s="24">
        <v>1765.0</v>
      </c>
      <c r="I94" s="24">
        <v>16.0</v>
      </c>
      <c r="J94" s="24">
        <v>0.0</v>
      </c>
      <c r="K94" s="23" t="s">
        <v>34</v>
      </c>
      <c r="L94" s="25">
        <v>41080.26378472222</v>
      </c>
      <c r="M94" s="26" t="s">
        <v>305</v>
      </c>
      <c r="N94" s="26" t="s">
        <v>306</v>
      </c>
      <c r="O94" s="22" t="str">
        <f>HYPERLINK("https://pbs.twimg.com/profile_images/764409565672800258/wIaM4x1z_normal.jpg","View")</f>
        <v>View</v>
      </c>
      <c r="P94" s="27"/>
    </row>
    <row r="95">
      <c r="A95" s="14">
        <v>43031.06085648148</v>
      </c>
      <c r="B95" s="20" t="str">
        <f>HYPERLINK("https://twitter.com/mel_med_larson","@mel_med_larson")</f>
        <v>@mel_med_larson</v>
      </c>
      <c r="C95" s="21" t="s">
        <v>307</v>
      </c>
      <c r="D95" s="21" t="s">
        <v>179</v>
      </c>
      <c r="E95" s="22" t="str">
        <f>HYPERLINK("https://twitter.com/mel_med_larson/status/922378973077676032","922378973077676032")</f>
        <v>922378973077676032</v>
      </c>
      <c r="F95" s="23" t="s">
        <v>39</v>
      </c>
      <c r="G95" s="24">
        <v>171.0</v>
      </c>
      <c r="H95" s="24">
        <v>55.0</v>
      </c>
      <c r="I95" s="24">
        <v>30.0</v>
      </c>
      <c r="J95" s="24">
        <v>0.0</v>
      </c>
      <c r="K95" s="23" t="s">
        <v>34</v>
      </c>
      <c r="L95" s="25">
        <v>41927.91060185185</v>
      </c>
      <c r="M95" s="26" t="s">
        <v>308</v>
      </c>
      <c r="N95" s="26" t="s">
        <v>309</v>
      </c>
      <c r="O95" s="22" t="str">
        <f>HYPERLINK("https://pbs.twimg.com/profile_images/901332781396930560/DT1i3E2J_normal.jpg","View")</f>
        <v>View</v>
      </c>
      <c r="P95" s="27"/>
    </row>
    <row r="96">
      <c r="A96" s="14">
        <v>43031.06086805556</v>
      </c>
      <c r="B96" s="20" t="str">
        <f>HYPERLINK("https://twitter.com/ANyongesa","@ANyongesa")</f>
        <v>@ANyongesa</v>
      </c>
      <c r="C96" s="21" t="s">
        <v>310</v>
      </c>
      <c r="D96" s="21" t="s">
        <v>32</v>
      </c>
      <c r="E96" s="22" t="str">
        <f>HYPERLINK("https://twitter.com/ANyongesa/status/922378976089296896","922378976089296896")</f>
        <v>922378976089296896</v>
      </c>
      <c r="F96" s="23" t="s">
        <v>33</v>
      </c>
      <c r="G96" s="24">
        <v>717.0</v>
      </c>
      <c r="H96" s="24">
        <v>4389.0</v>
      </c>
      <c r="I96" s="24">
        <v>471.0</v>
      </c>
      <c r="J96" s="24">
        <v>0.0</v>
      </c>
      <c r="K96" s="23" t="s">
        <v>34</v>
      </c>
      <c r="L96" s="25">
        <v>41031.284837962965</v>
      </c>
      <c r="M96" s="26" t="s">
        <v>311</v>
      </c>
      <c r="N96" s="26" t="s">
        <v>312</v>
      </c>
      <c r="O96" s="22" t="str">
        <f>HYPERLINK("https://pbs.twimg.com/profile_images/912248807160782853/SzPPH9DP_normal.jpg","View")</f>
        <v>View</v>
      </c>
      <c r="P96" s="27"/>
    </row>
    <row r="97">
      <c r="A97" s="14">
        <v>43031.0609375</v>
      </c>
      <c r="B97" s="20" t="str">
        <f>HYPERLINK("https://twitter.com/toripan2","@toripan2")</f>
        <v>@toripan2</v>
      </c>
      <c r="C97" s="21" t="s">
        <v>313</v>
      </c>
      <c r="D97" s="21" t="s">
        <v>42</v>
      </c>
      <c r="E97" s="22" t="str">
        <f>HYPERLINK("https://twitter.com/toripan2/status/922379000877428736","922379000877428736")</f>
        <v>922379000877428736</v>
      </c>
      <c r="F97" s="23" t="s">
        <v>55</v>
      </c>
      <c r="G97" s="24">
        <v>5363.0</v>
      </c>
      <c r="H97" s="24">
        <v>5661.0</v>
      </c>
      <c r="I97" s="24">
        <v>8501.0</v>
      </c>
      <c r="J97" s="24">
        <v>0.0</v>
      </c>
      <c r="K97" s="23" t="s">
        <v>34</v>
      </c>
      <c r="L97" s="25">
        <v>41091.09738425926</v>
      </c>
      <c r="M97" s="26" t="s">
        <v>314</v>
      </c>
      <c r="N97" s="26" t="s">
        <v>315</v>
      </c>
      <c r="O97" s="22" t="str">
        <f>HYPERLINK("https://pbs.twimg.com/profile_images/921965522937249792/dldUKfWr_normal.jpg","View")</f>
        <v>View</v>
      </c>
      <c r="P97" s="27"/>
    </row>
    <row r="98">
      <c r="A98" s="14">
        <v>43031.0609375</v>
      </c>
      <c r="B98" s="20" t="str">
        <f>HYPERLINK("https://twitter.com/mamionn","@mamionn")</f>
        <v>@mamionn</v>
      </c>
      <c r="C98" s="21" t="s">
        <v>316</v>
      </c>
      <c r="D98" s="21" t="s">
        <v>42</v>
      </c>
      <c r="E98" s="22" t="str">
        <f>HYPERLINK("https://twitter.com/mamionn/status/922379002228064256","922379002228064256")</f>
        <v>922379002228064256</v>
      </c>
      <c r="F98" s="23" t="s">
        <v>55</v>
      </c>
      <c r="G98" s="24">
        <v>2615.0</v>
      </c>
      <c r="H98" s="24">
        <v>2819.0</v>
      </c>
      <c r="I98" s="24">
        <v>8501.0</v>
      </c>
      <c r="J98" s="24">
        <v>0.0</v>
      </c>
      <c r="K98" s="23" t="s">
        <v>34</v>
      </c>
      <c r="L98" s="25">
        <v>40485.79883101852</v>
      </c>
      <c r="M98" s="26" t="s">
        <v>71</v>
      </c>
      <c r="N98" s="26" t="s">
        <v>317</v>
      </c>
      <c r="O98" s="22" t="str">
        <f>HYPERLINK("https://pbs.twimg.com/profile_images/613641496890204160/9_Bdx9p-_normal.jpg","View")</f>
        <v>View</v>
      </c>
      <c r="P98" s="27"/>
    </row>
    <row r="99">
      <c r="A99" s="14">
        <v>43031.060949074075</v>
      </c>
      <c r="B99" s="20" t="str">
        <f>HYPERLINK("https://twitter.com/tomoshige1682","@tomoshige1682")</f>
        <v>@tomoshige1682</v>
      </c>
      <c r="C99" s="21" t="s">
        <v>318</v>
      </c>
      <c r="D99" s="21" t="s">
        <v>42</v>
      </c>
      <c r="E99" s="22" t="str">
        <f>HYPERLINK("https://twitter.com/tomoshige1682/status/922379005042475010","922379005042475010")</f>
        <v>922379005042475010</v>
      </c>
      <c r="F99" s="23" t="s">
        <v>55</v>
      </c>
      <c r="G99" s="24">
        <v>16.0</v>
      </c>
      <c r="H99" s="24">
        <v>134.0</v>
      </c>
      <c r="I99" s="24">
        <v>8501.0</v>
      </c>
      <c r="J99" s="24">
        <v>0.0</v>
      </c>
      <c r="K99" s="23" t="s">
        <v>34</v>
      </c>
      <c r="L99" s="25">
        <v>42562.91738425926</v>
      </c>
      <c r="M99" s="28"/>
      <c r="N99" s="28"/>
      <c r="O99" s="22" t="str">
        <f>HYPERLINK("https://pbs.twimg.com/profile_images/917626411153743872/795RndT0_normal.jpg","View")</f>
        <v>View</v>
      </c>
      <c r="P99" s="27"/>
    </row>
    <row r="100">
      <c r="A100" s="14">
        <v>43031.061053240745</v>
      </c>
      <c r="B100" s="20" t="str">
        <f>HYPERLINK("https://twitter.com/bajk2RA34ikP5X4","@bajk2RA34ikP5X4")</f>
        <v>@bajk2RA34ikP5X4</v>
      </c>
      <c r="C100" s="21" t="s">
        <v>319</v>
      </c>
      <c r="D100" s="21" t="s">
        <v>42</v>
      </c>
      <c r="E100" s="22" t="str">
        <f>HYPERLINK("https://twitter.com/bajk2RA34ikP5X4/status/922379043755847681","922379043755847681")</f>
        <v>922379043755847681</v>
      </c>
      <c r="F100" s="23" t="s">
        <v>33</v>
      </c>
      <c r="G100" s="24">
        <v>573.0</v>
      </c>
      <c r="H100" s="24">
        <v>715.0</v>
      </c>
      <c r="I100" s="24">
        <v>8501.0</v>
      </c>
      <c r="J100" s="24">
        <v>0.0</v>
      </c>
      <c r="K100" s="23" t="s">
        <v>34</v>
      </c>
      <c r="L100" s="25">
        <v>42489.22975694445</v>
      </c>
      <c r="M100" s="28"/>
      <c r="N100" s="26" t="s">
        <v>320</v>
      </c>
      <c r="O100" s="22" t="str">
        <f>HYPERLINK("https://pbs.twimg.com/profile_images/780317101194039297/2XyYlVcz_normal.jpg","View")</f>
        <v>View</v>
      </c>
      <c r="P100" s="27"/>
    </row>
    <row r="101">
      <c r="A101" s="14">
        <v>43031.061053240745</v>
      </c>
      <c r="B101" s="20" t="str">
        <f>HYPERLINK("https://twitter.com/revolution_fr","@revolution_fr")</f>
        <v>@revolution_fr</v>
      </c>
      <c r="C101" s="21" t="s">
        <v>321</v>
      </c>
      <c r="D101" s="21" t="s">
        <v>322</v>
      </c>
      <c r="E101" s="22" t="str">
        <f>HYPERLINK("https://twitter.com/revolution_fr/status/922379044171255808","922379044171255808")</f>
        <v>922379044171255808</v>
      </c>
      <c r="F101" s="23" t="s">
        <v>43</v>
      </c>
      <c r="G101" s="24">
        <v>2647.0</v>
      </c>
      <c r="H101" s="24">
        <v>3619.0</v>
      </c>
      <c r="I101" s="24">
        <v>1.0</v>
      </c>
      <c r="J101" s="24">
        <v>0.0</v>
      </c>
      <c r="K101" s="23" t="s">
        <v>34</v>
      </c>
      <c r="L101" s="25">
        <v>42400.312430555554</v>
      </c>
      <c r="M101" s="26" t="s">
        <v>323</v>
      </c>
      <c r="N101" s="26" t="s">
        <v>324</v>
      </c>
      <c r="O101" s="22" t="str">
        <f>HYPERLINK("https://pbs.twimg.com/profile_images/912005330749575173/gmtBFZtv_normal.jpg","View")</f>
        <v>View</v>
      </c>
      <c r="P101" s="27"/>
    </row>
    <row r="102">
      <c r="A102" s="14">
        <v>43031.06116898148</v>
      </c>
      <c r="B102" s="20" t="str">
        <f>HYPERLINK("https://twitter.com/HaraprasadPattn","@HaraprasadPattn")</f>
        <v>@HaraprasadPattn</v>
      </c>
      <c r="C102" s="21" t="s">
        <v>325</v>
      </c>
      <c r="D102" s="21" t="s">
        <v>42</v>
      </c>
      <c r="E102" s="22" t="str">
        <f>HYPERLINK("https://twitter.com/HaraprasadPattn/status/922379084591636480","922379084591636480")</f>
        <v>922379084591636480</v>
      </c>
      <c r="F102" s="23" t="s">
        <v>43</v>
      </c>
      <c r="G102" s="24">
        <v>581.0</v>
      </c>
      <c r="H102" s="24">
        <v>718.0</v>
      </c>
      <c r="I102" s="24">
        <v>8501.0</v>
      </c>
      <c r="J102" s="24">
        <v>0.0</v>
      </c>
      <c r="K102" s="23" t="s">
        <v>34</v>
      </c>
      <c r="L102" s="25">
        <v>40778.58994212963</v>
      </c>
      <c r="M102" s="26" t="s">
        <v>326</v>
      </c>
      <c r="N102" s="26" t="s">
        <v>327</v>
      </c>
      <c r="O102" s="22" t="str">
        <f>HYPERLINK("https://pbs.twimg.com/profile_images/881822769180291072/by5uZEeG_normal.jpg","View")</f>
        <v>View</v>
      </c>
      <c r="P102" s="27"/>
    </row>
    <row r="103">
      <c r="A103" s="14">
        <v>43031.06122685185</v>
      </c>
      <c r="B103" s="20" t="str">
        <f>HYPERLINK("https://twitter.com/mubtsuki","@mubtsuki")</f>
        <v>@mubtsuki</v>
      </c>
      <c r="C103" s="21" t="s">
        <v>328</v>
      </c>
      <c r="D103" s="21" t="s">
        <v>329</v>
      </c>
      <c r="E103" s="22" t="str">
        <f>HYPERLINK("https://twitter.com/mubtsuki/status/922379104724254720","922379104724254720")</f>
        <v>922379104724254720</v>
      </c>
      <c r="F103" s="23" t="s">
        <v>230</v>
      </c>
      <c r="G103" s="24">
        <v>411.0</v>
      </c>
      <c r="H103" s="24">
        <v>131.0</v>
      </c>
      <c r="I103" s="24">
        <v>0.0</v>
      </c>
      <c r="J103" s="24">
        <v>0.0</v>
      </c>
      <c r="K103" s="23" t="s">
        <v>34</v>
      </c>
      <c r="L103" s="25">
        <v>41478.15366898148</v>
      </c>
      <c r="M103" s="26" t="s">
        <v>330</v>
      </c>
      <c r="N103" s="26" t="s">
        <v>331</v>
      </c>
      <c r="O103" s="22" t="str">
        <f>HYPERLINK("https://pbs.twimg.com/profile_images/922836816394207232/TuxePxQo_normal.jpg","View")</f>
        <v>View</v>
      </c>
      <c r="P103" s="27"/>
    </row>
    <row r="104">
      <c r="A104" s="14">
        <v>43031.06128472222</v>
      </c>
      <c r="B104" s="20" t="str">
        <f>HYPERLINK("https://twitter.com/MoneyPR","@MoneyPR")</f>
        <v>@MoneyPR</v>
      </c>
      <c r="C104" s="21" t="s">
        <v>332</v>
      </c>
      <c r="D104" s="21" t="s">
        <v>333</v>
      </c>
      <c r="E104" s="22" t="str">
        <f>HYPERLINK("https://twitter.com/MoneyPR/status/922379126274772993","922379126274772993")</f>
        <v>922379126274772993</v>
      </c>
      <c r="F104" s="23" t="s">
        <v>33</v>
      </c>
      <c r="G104" s="24">
        <v>990.0</v>
      </c>
      <c r="H104" s="24">
        <v>1665.0</v>
      </c>
      <c r="I104" s="24">
        <v>0.0</v>
      </c>
      <c r="J104" s="24">
        <v>0.0</v>
      </c>
      <c r="K104" s="23" t="s">
        <v>34</v>
      </c>
      <c r="L104" s="25">
        <v>39961.27158564815</v>
      </c>
      <c r="M104" s="26" t="s">
        <v>334</v>
      </c>
      <c r="N104" s="26" t="s">
        <v>335</v>
      </c>
      <c r="O104" s="22" t="str">
        <f>HYPERLINK("https://pbs.twimg.com/profile_images/835089415903068160/IQz4XTIV_normal.jpg","View")</f>
        <v>View</v>
      </c>
      <c r="P104" s="27"/>
    </row>
    <row r="105">
      <c r="A105" s="14">
        <v>43031.06129629629</v>
      </c>
      <c r="B105" s="20" t="str">
        <f>HYPERLINK("https://twitter.com/RGanesh2876","@RGanesh2876")</f>
        <v>@RGanesh2876</v>
      </c>
      <c r="C105" s="21" t="s">
        <v>336</v>
      </c>
      <c r="D105" s="21" t="s">
        <v>42</v>
      </c>
      <c r="E105" s="22" t="str">
        <f>HYPERLINK("https://twitter.com/RGanesh2876/status/922379131299467264","922379131299467264")</f>
        <v>922379131299467264</v>
      </c>
      <c r="F105" s="23" t="s">
        <v>33</v>
      </c>
      <c r="G105" s="24">
        <v>114.0</v>
      </c>
      <c r="H105" s="24">
        <v>496.0</v>
      </c>
      <c r="I105" s="24">
        <v>8501.0</v>
      </c>
      <c r="J105" s="24">
        <v>0.0</v>
      </c>
      <c r="K105" s="23" t="s">
        <v>34</v>
      </c>
      <c r="L105" s="25">
        <v>42314.98228009259</v>
      </c>
      <c r="M105" s="28"/>
      <c r="N105" s="28"/>
      <c r="O105" s="22" t="str">
        <f>HYPERLINK("https://pbs.twimg.com/profile_images/839349206695325696/x-Nq3rfK_normal.jpg","View")</f>
        <v>View</v>
      </c>
      <c r="P105" s="27"/>
    </row>
    <row r="106">
      <c r="A106" s="14">
        <v>43031.06129629629</v>
      </c>
      <c r="B106" s="20" t="str">
        <f>HYPERLINK("https://twitter.com/jdesignz","@jdesignz")</f>
        <v>@jdesignz</v>
      </c>
      <c r="C106" s="21" t="s">
        <v>337</v>
      </c>
      <c r="D106" s="21" t="s">
        <v>338</v>
      </c>
      <c r="E106" s="22" t="str">
        <f>HYPERLINK("https://twitter.com/jdesignz/status/922379132402651136","922379132402651136")</f>
        <v>922379132402651136</v>
      </c>
      <c r="F106" s="23" t="s">
        <v>187</v>
      </c>
      <c r="G106" s="24">
        <v>2097.0</v>
      </c>
      <c r="H106" s="24">
        <v>2062.0</v>
      </c>
      <c r="I106" s="24">
        <v>0.0</v>
      </c>
      <c r="J106" s="24">
        <v>0.0</v>
      </c>
      <c r="K106" s="23" t="s">
        <v>34</v>
      </c>
      <c r="L106" s="25">
        <v>39722.75944444444</v>
      </c>
      <c r="M106" s="26" t="s">
        <v>339</v>
      </c>
      <c r="N106" s="26" t="s">
        <v>340</v>
      </c>
      <c r="O106" s="22" t="str">
        <f>HYPERLINK("https://pbs.twimg.com/profile_images/904365241349193729/G1uZr9Cq_normal.jpg","View")</f>
        <v>View</v>
      </c>
      <c r="P106" s="27"/>
    </row>
    <row r="107">
      <c r="A107" s="14">
        <v>43031.061307870375</v>
      </c>
      <c r="B107" s="20" t="str">
        <f>HYPERLINK("https://twitter.com/iVoteForBest","@iVoteForBest")</f>
        <v>@iVoteForBest</v>
      </c>
      <c r="C107" s="21" t="s">
        <v>341</v>
      </c>
      <c r="D107" s="21" t="s">
        <v>342</v>
      </c>
      <c r="E107" s="22" t="str">
        <f>HYPERLINK("https://twitter.com/iVoteForBest/status/922379133702889472","922379133702889472")</f>
        <v>922379133702889472</v>
      </c>
      <c r="F107" s="23" t="s">
        <v>187</v>
      </c>
      <c r="G107" s="24">
        <v>4523.0</v>
      </c>
      <c r="H107" s="24">
        <v>0.0</v>
      </c>
      <c r="I107" s="24">
        <v>0.0</v>
      </c>
      <c r="J107" s="24">
        <v>0.0</v>
      </c>
      <c r="K107" s="23" t="s">
        <v>34</v>
      </c>
      <c r="L107" s="25">
        <v>41732.04944444445</v>
      </c>
      <c r="M107" s="28"/>
      <c r="N107" s="26" t="s">
        <v>343</v>
      </c>
      <c r="O107" s="22" t="str">
        <f>HYPERLINK("https://pbs.twimg.com/profile_images/858421579960639488/4Z7CW4j__normal.jpg","View")</f>
        <v>View</v>
      </c>
      <c r="P107" s="27"/>
    </row>
    <row r="108">
      <c r="A108" s="14">
        <v>43031.06135416667</v>
      </c>
      <c r="B108" s="20" t="str">
        <f>HYPERLINK("https://twitter.com/aksbtechiu","@aksbtechiu")</f>
        <v>@aksbtechiu</v>
      </c>
      <c r="C108" s="21" t="s">
        <v>344</v>
      </c>
      <c r="D108" s="21" t="s">
        <v>42</v>
      </c>
      <c r="E108" s="22" t="str">
        <f>HYPERLINK("https://twitter.com/aksbtechiu/status/922379150224080896","922379150224080896")</f>
        <v>922379150224080896</v>
      </c>
      <c r="F108" s="23" t="s">
        <v>33</v>
      </c>
      <c r="G108" s="24">
        <v>227.0</v>
      </c>
      <c r="H108" s="24">
        <v>443.0</v>
      </c>
      <c r="I108" s="24">
        <v>8501.0</v>
      </c>
      <c r="J108" s="24">
        <v>0.0</v>
      </c>
      <c r="K108" s="23" t="s">
        <v>34</v>
      </c>
      <c r="L108" s="25">
        <v>40546.435902777775</v>
      </c>
      <c r="M108" s="26" t="s">
        <v>345</v>
      </c>
      <c r="N108" s="26" t="s">
        <v>346</v>
      </c>
      <c r="O108" s="22" t="str">
        <f>HYPERLINK("https://pbs.twimg.com/profile_images/700970224686731264/q7mT7eFz_normal.jpg","View")</f>
        <v>View</v>
      </c>
      <c r="P108" s="27"/>
    </row>
    <row r="109">
      <c r="A109" s="14">
        <v>43031.061377314814</v>
      </c>
      <c r="B109" s="20" t="str">
        <f>HYPERLINK("https://twitter.com/umi_nyaao","@umi_nyaao")</f>
        <v>@umi_nyaao</v>
      </c>
      <c r="C109" s="21" t="s">
        <v>347</v>
      </c>
      <c r="D109" s="21" t="s">
        <v>42</v>
      </c>
      <c r="E109" s="22" t="str">
        <f>HYPERLINK("https://twitter.com/umi_nyaao/status/922379160454021122","922379160454021122")</f>
        <v>922379160454021122</v>
      </c>
      <c r="F109" s="23" t="s">
        <v>39</v>
      </c>
      <c r="G109" s="24">
        <v>127.0</v>
      </c>
      <c r="H109" s="24">
        <v>356.0</v>
      </c>
      <c r="I109" s="24">
        <v>8501.0</v>
      </c>
      <c r="J109" s="24">
        <v>0.0</v>
      </c>
      <c r="K109" s="23" t="s">
        <v>34</v>
      </c>
      <c r="L109" s="25">
        <v>41339.58791666667</v>
      </c>
      <c r="M109" s="28"/>
      <c r="N109" s="28"/>
      <c r="O109" s="22" t="str">
        <f>HYPERLINK("https://pbs.twimg.com/profile_images/899668285846806528/3jePFeGB_normal.jpg","View")</f>
        <v>View</v>
      </c>
      <c r="P109" s="27"/>
    </row>
    <row r="110">
      <c r="A110" s="14">
        <v>43031.06140046296</v>
      </c>
      <c r="B110" s="20" t="str">
        <f>HYPERLINK("https://twitter.com/lindanewmai","@lindanewmai")</f>
        <v>@lindanewmai</v>
      </c>
      <c r="C110" s="21" t="s">
        <v>348</v>
      </c>
      <c r="D110" s="21" t="s">
        <v>42</v>
      </c>
      <c r="E110" s="22" t="str">
        <f>HYPERLINK("https://twitter.com/lindanewmai/status/922379168070778881","922379168070778881")</f>
        <v>922379168070778881</v>
      </c>
      <c r="F110" s="23" t="s">
        <v>39</v>
      </c>
      <c r="G110" s="24">
        <v>3006.0</v>
      </c>
      <c r="H110" s="24">
        <v>139.0</v>
      </c>
      <c r="I110" s="24">
        <v>8501.0</v>
      </c>
      <c r="J110" s="24">
        <v>0.0</v>
      </c>
      <c r="K110" s="23" t="s">
        <v>34</v>
      </c>
      <c r="L110" s="25">
        <v>41383.53863425926</v>
      </c>
      <c r="M110" s="26" t="s">
        <v>349</v>
      </c>
      <c r="N110" s="26" t="s">
        <v>350</v>
      </c>
      <c r="O110" s="22" t="str">
        <f>HYPERLINK("https://pbs.twimg.com/profile_images/762318275351052288/WXE4RanK_normal.jpg","View")</f>
        <v>View</v>
      </c>
      <c r="P110" s="27"/>
    </row>
    <row r="111">
      <c r="A111" s="14">
        <v>43031.06140046296</v>
      </c>
      <c r="B111" s="20" t="str">
        <f>HYPERLINK("https://twitter.com/Bearden__Curlin","@Bearden__Curlin")</f>
        <v>@Bearden__Curlin</v>
      </c>
      <c r="C111" s="21" t="s">
        <v>351</v>
      </c>
      <c r="D111" s="21" t="s">
        <v>51</v>
      </c>
      <c r="E111" s="22" t="str">
        <f>HYPERLINK("https://twitter.com/Bearden__Curlin/status/922379169891315712","922379169891315712")</f>
        <v>922379169891315712</v>
      </c>
      <c r="F111" s="23" t="s">
        <v>33</v>
      </c>
      <c r="G111" s="24">
        <v>26.0</v>
      </c>
      <c r="H111" s="24">
        <v>1299.0</v>
      </c>
      <c r="I111" s="24">
        <v>16.0</v>
      </c>
      <c r="J111" s="24">
        <v>0.0</v>
      </c>
      <c r="K111" s="23" t="s">
        <v>34</v>
      </c>
      <c r="L111" s="25">
        <v>41743.43613425926</v>
      </c>
      <c r="M111" s="26" t="s">
        <v>352</v>
      </c>
      <c r="N111" s="26" t="s">
        <v>353</v>
      </c>
      <c r="O111" s="22" t="str">
        <f>HYPERLINK("https://pbs.twimg.com/profile_images/749768928419778560/C_BJ1Uf9_normal.jpg","View")</f>
        <v>View</v>
      </c>
      <c r="P111" s="27"/>
    </row>
    <row r="112">
      <c r="A112" s="14">
        <v>43031.06141203704</v>
      </c>
      <c r="B112" s="20" t="str">
        <f>HYPERLINK("https://twitter.com/sforsodha","@sforsodha")</f>
        <v>@sforsodha</v>
      </c>
      <c r="C112" s="21" t="s">
        <v>354</v>
      </c>
      <c r="D112" s="21" t="s">
        <v>42</v>
      </c>
      <c r="E112" s="22" t="str">
        <f>HYPERLINK("https://twitter.com/sforsodha/status/922379174794362880","922379174794362880")</f>
        <v>922379174794362880</v>
      </c>
      <c r="F112" s="23" t="s">
        <v>33</v>
      </c>
      <c r="G112" s="24">
        <v>231.0</v>
      </c>
      <c r="H112" s="24">
        <v>808.0</v>
      </c>
      <c r="I112" s="24">
        <v>8501.0</v>
      </c>
      <c r="J112" s="24">
        <v>0.0</v>
      </c>
      <c r="K112" s="23" t="s">
        <v>34</v>
      </c>
      <c r="L112" s="25">
        <v>41259.97038194444</v>
      </c>
      <c r="M112" s="26" t="s">
        <v>355</v>
      </c>
      <c r="N112" s="26" t="s">
        <v>356</v>
      </c>
      <c r="O112" s="22" t="str">
        <f>HYPERLINK("https://pbs.twimg.com/profile_images/378800000567000610/866056c5fc2ba9158d354f08bd7e66ae_normal.jpeg","View")</f>
        <v>View</v>
      </c>
      <c r="P112" s="27"/>
    </row>
    <row r="113">
      <c r="A113" s="14">
        <v>43031.061689814815</v>
      </c>
      <c r="B113" s="20" t="str">
        <f>HYPERLINK("https://twitter.com/mannumakhania","@mannumakhania")</f>
        <v>@mannumakhania</v>
      </c>
      <c r="C113" s="21" t="s">
        <v>357</v>
      </c>
      <c r="D113" s="21" t="s">
        <v>42</v>
      </c>
      <c r="E113" s="22" t="str">
        <f>HYPERLINK("https://twitter.com/mannumakhania/status/922379274773864448","922379274773864448")</f>
        <v>922379274773864448</v>
      </c>
      <c r="F113" s="23" t="s">
        <v>33</v>
      </c>
      <c r="G113" s="24">
        <v>710.0</v>
      </c>
      <c r="H113" s="24">
        <v>1346.0</v>
      </c>
      <c r="I113" s="24">
        <v>8501.0</v>
      </c>
      <c r="J113" s="24">
        <v>0.0</v>
      </c>
      <c r="K113" s="23" t="s">
        <v>34</v>
      </c>
      <c r="L113" s="25">
        <v>40206.88412037037</v>
      </c>
      <c r="M113" s="26" t="s">
        <v>358</v>
      </c>
      <c r="N113" s="26" t="s">
        <v>359</v>
      </c>
      <c r="O113" s="22" t="str">
        <f>HYPERLINK("https://pbs.twimg.com/profile_images/869150871648645120/7qDwTmDI_normal.jpg","View")</f>
        <v>View</v>
      </c>
      <c r="P113" s="27"/>
    </row>
    <row r="114">
      <c r="A114" s="14">
        <v>43031.06172453704</v>
      </c>
      <c r="B114" s="20" t="str">
        <f>HYPERLINK("https://twitter.com/DVSSkiran","@DVSSkiran")</f>
        <v>@DVSSkiran</v>
      </c>
      <c r="C114" s="21" t="s">
        <v>360</v>
      </c>
      <c r="D114" s="21" t="s">
        <v>42</v>
      </c>
      <c r="E114" s="22" t="str">
        <f>HYPERLINK("https://twitter.com/DVSSkiran/status/922379287709196288","922379287709196288")</f>
        <v>922379287709196288</v>
      </c>
      <c r="F114" s="23" t="s">
        <v>39</v>
      </c>
      <c r="G114" s="24">
        <v>151.0</v>
      </c>
      <c r="H114" s="24">
        <v>103.0</v>
      </c>
      <c r="I114" s="24">
        <v>8501.0</v>
      </c>
      <c r="J114" s="24">
        <v>0.0</v>
      </c>
      <c r="K114" s="23" t="s">
        <v>34</v>
      </c>
      <c r="L114" s="25">
        <v>42205.045335648145</v>
      </c>
      <c r="M114" s="26" t="s">
        <v>167</v>
      </c>
      <c r="N114" s="26" t="s">
        <v>361</v>
      </c>
      <c r="O114" s="22" t="str">
        <f>HYPERLINK("https://pbs.twimg.com/profile_images/847493925161943041/PG4J-J8F_normal.jpg","View")</f>
        <v>View</v>
      </c>
      <c r="P114" s="27"/>
    </row>
    <row r="115">
      <c r="A115" s="14">
        <v>43031.06172453704</v>
      </c>
      <c r="B115" s="20" t="str">
        <f>HYPERLINK("https://twitter.com/MetcalfMoatIFA","@MetcalfMoatIFA")</f>
        <v>@MetcalfMoatIFA</v>
      </c>
      <c r="C115" s="21" t="s">
        <v>362</v>
      </c>
      <c r="D115" s="21" t="s">
        <v>363</v>
      </c>
      <c r="E115" s="22" t="str">
        <f>HYPERLINK("https://twitter.com/MetcalfMoatIFA/status/922379287742820352","922379287742820352")</f>
        <v>922379287742820352</v>
      </c>
      <c r="F115" s="23" t="s">
        <v>55</v>
      </c>
      <c r="G115" s="24">
        <v>409.0</v>
      </c>
      <c r="H115" s="24">
        <v>493.0</v>
      </c>
      <c r="I115" s="24">
        <v>0.0</v>
      </c>
      <c r="J115" s="24">
        <v>0.0</v>
      </c>
      <c r="K115" s="23" t="s">
        <v>34</v>
      </c>
      <c r="L115" s="25">
        <v>40730.304814814815</v>
      </c>
      <c r="M115" s="26" t="s">
        <v>364</v>
      </c>
      <c r="N115" s="26" t="s">
        <v>365</v>
      </c>
      <c r="O115" s="22" t="str">
        <f>HYPERLINK("https://pbs.twimg.com/profile_images/715102455906889728/_o5iL6_h_normal.jpg","View")</f>
        <v>View</v>
      </c>
      <c r="P115" s="27"/>
    </row>
    <row r="116">
      <c r="A116" s="14">
        <v>43031.06173611111</v>
      </c>
      <c r="B116" s="20" t="str">
        <f>HYPERLINK("https://twitter.com/PankajSethRsS","@PankajSethRsS")</f>
        <v>@PankajSethRsS</v>
      </c>
      <c r="C116" s="21" t="s">
        <v>366</v>
      </c>
      <c r="D116" s="21" t="s">
        <v>42</v>
      </c>
      <c r="E116" s="22" t="str">
        <f>HYPERLINK("https://twitter.com/PankajSethRsS/status/922379291995852800","922379291995852800")</f>
        <v>922379291995852800</v>
      </c>
      <c r="F116" s="23" t="s">
        <v>33</v>
      </c>
      <c r="G116" s="24">
        <v>328.0</v>
      </c>
      <c r="H116" s="24">
        <v>53.0</v>
      </c>
      <c r="I116" s="24">
        <v>8501.0</v>
      </c>
      <c r="J116" s="24">
        <v>0.0</v>
      </c>
      <c r="K116" s="23" t="s">
        <v>34</v>
      </c>
      <c r="L116" s="25">
        <v>42375.36376157407</v>
      </c>
      <c r="M116" s="26" t="s">
        <v>367</v>
      </c>
      <c r="N116" s="26" t="s">
        <v>368</v>
      </c>
      <c r="O116" s="22" t="str">
        <f>HYPERLINK("https://pbs.twimg.com/profile_images/860590698223075329/_IX2kYBl_normal.jpg","View")</f>
        <v>View</v>
      </c>
      <c r="P116" s="27"/>
    </row>
    <row r="117">
      <c r="A117" s="14">
        <v>43031.061747685184</v>
      </c>
      <c r="B117" s="20" t="str">
        <f>HYPERLINK("https://twitter.com/osakainformer","@osakainformer")</f>
        <v>@osakainformer</v>
      </c>
      <c r="C117" s="21" t="s">
        <v>369</v>
      </c>
      <c r="D117" s="21" t="s">
        <v>370</v>
      </c>
      <c r="E117" s="22" t="str">
        <f>HYPERLINK("https://twitter.com/osakainformer/status/922379295078666240","922379295078666240")</f>
        <v>922379295078666240</v>
      </c>
      <c r="F117" s="30" t="s">
        <v>191</v>
      </c>
      <c r="G117" s="24">
        <v>196.0</v>
      </c>
      <c r="H117" s="24">
        <v>34.0</v>
      </c>
      <c r="I117" s="24">
        <v>0.0</v>
      </c>
      <c r="J117" s="24">
        <v>0.0</v>
      </c>
      <c r="K117" s="23" t="s">
        <v>34</v>
      </c>
      <c r="L117" s="25">
        <v>40416.377546296295</v>
      </c>
      <c r="M117" s="26" t="s">
        <v>371</v>
      </c>
      <c r="N117" s="26" t="s">
        <v>372</v>
      </c>
      <c r="O117" s="22" t="str">
        <f>HYPERLINK("https://pbs.twimg.com/profile_images/848504112396238848/y1n6h8md_normal.jpg","View")</f>
        <v>View</v>
      </c>
      <c r="P117" s="27"/>
    </row>
    <row r="118">
      <c r="A118" s="14">
        <v>43031.06177083333</v>
      </c>
      <c r="B118" s="20" t="str">
        <f>HYPERLINK("https://twitter.com/arunjoshi006","@arunjoshi006")</f>
        <v>@arunjoshi006</v>
      </c>
      <c r="C118" s="21" t="s">
        <v>373</v>
      </c>
      <c r="D118" s="21" t="s">
        <v>42</v>
      </c>
      <c r="E118" s="22" t="str">
        <f>HYPERLINK("https://twitter.com/arunjoshi006/status/922379303391600642","922379303391600642")</f>
        <v>922379303391600642</v>
      </c>
      <c r="F118" s="23" t="s">
        <v>33</v>
      </c>
      <c r="G118" s="24">
        <v>553.0</v>
      </c>
      <c r="H118" s="24">
        <v>609.0</v>
      </c>
      <c r="I118" s="24">
        <v>8501.0</v>
      </c>
      <c r="J118" s="24">
        <v>0.0</v>
      </c>
      <c r="K118" s="23" t="s">
        <v>34</v>
      </c>
      <c r="L118" s="25">
        <v>40472.90997685185</v>
      </c>
      <c r="M118" s="26" t="s">
        <v>374</v>
      </c>
      <c r="N118" s="26" t="s">
        <v>375</v>
      </c>
      <c r="O118" s="22" t="str">
        <f>HYPERLINK("https://pbs.twimg.com/profile_images/2543717931/lfsmbwzjr57hqcwjhb78_normal.jpeg","View")</f>
        <v>View</v>
      </c>
      <c r="P118" s="27"/>
    </row>
    <row r="119">
      <c r="A119" s="14">
        <v>43031.06177083333</v>
      </c>
      <c r="B119" s="20" t="str">
        <f>HYPERLINK("https://twitter.com/VPardhan","@VPardhan")</f>
        <v>@VPardhan</v>
      </c>
      <c r="C119" s="21" t="s">
        <v>376</v>
      </c>
      <c r="D119" s="21" t="s">
        <v>42</v>
      </c>
      <c r="E119" s="22" t="str">
        <f>HYPERLINK("https://twitter.com/VPardhan/status/922379304004075524","922379304004075524")</f>
        <v>922379304004075524</v>
      </c>
      <c r="F119" s="23" t="s">
        <v>33</v>
      </c>
      <c r="G119" s="24">
        <v>155.0</v>
      </c>
      <c r="H119" s="24">
        <v>118.0</v>
      </c>
      <c r="I119" s="24">
        <v>8501.0</v>
      </c>
      <c r="J119" s="24">
        <v>0.0</v>
      </c>
      <c r="K119" s="23" t="s">
        <v>34</v>
      </c>
      <c r="L119" s="25">
        <v>40682.94070601852</v>
      </c>
      <c r="M119" s="26" t="s">
        <v>377</v>
      </c>
      <c r="N119" s="26" t="s">
        <v>378</v>
      </c>
      <c r="O119" s="22" t="str">
        <f>HYPERLINK("https://pbs.twimg.com/profile_images/777191563596292096/McF29aS-_normal.jpg","View")</f>
        <v>View</v>
      </c>
      <c r="P119" s="27"/>
    </row>
    <row r="120">
      <c r="A120" s="14">
        <v>43031.06188657407</v>
      </c>
      <c r="B120" s="20" t="str">
        <f>HYPERLINK("https://twitter.com/hidelcondorpasa","@hidelcondorpasa")</f>
        <v>@hidelcondorpasa</v>
      </c>
      <c r="C120" s="21" t="s">
        <v>379</v>
      </c>
      <c r="D120" s="21" t="s">
        <v>42</v>
      </c>
      <c r="E120" s="22" t="str">
        <f>HYPERLINK("https://twitter.com/hidelcondorpasa/status/922379345175363584","922379345175363584")</f>
        <v>922379345175363584</v>
      </c>
      <c r="F120" s="23" t="s">
        <v>55</v>
      </c>
      <c r="G120" s="24">
        <v>2130.0</v>
      </c>
      <c r="H120" s="24">
        <v>1150.0</v>
      </c>
      <c r="I120" s="24">
        <v>8501.0</v>
      </c>
      <c r="J120" s="24">
        <v>0.0</v>
      </c>
      <c r="K120" s="23" t="s">
        <v>34</v>
      </c>
      <c r="L120" s="25">
        <v>42172.847025462965</v>
      </c>
      <c r="M120" s="26" t="s">
        <v>380</v>
      </c>
      <c r="N120" s="26" t="s">
        <v>381</v>
      </c>
      <c r="O120" s="22" t="str">
        <f>HYPERLINK("https://pbs.twimg.com/profile_images/922777654977216514/Tz4qDKD0_normal.jpg","View")</f>
        <v>View</v>
      </c>
      <c r="P120" s="27"/>
    </row>
    <row r="121">
      <c r="A121" s="14">
        <v>43031.06189814815</v>
      </c>
      <c r="B121" s="20" t="str">
        <f>HYPERLINK("https://twitter.com/niko2264","@niko2264")</f>
        <v>@niko2264</v>
      </c>
      <c r="C121" s="21" t="s">
        <v>382</v>
      </c>
      <c r="D121" s="21" t="s">
        <v>42</v>
      </c>
      <c r="E121" s="22" t="str">
        <f>HYPERLINK("https://twitter.com/niko2264/status/922379350103638017","922379350103638017")</f>
        <v>922379350103638017</v>
      </c>
      <c r="F121" s="23" t="s">
        <v>39</v>
      </c>
      <c r="G121" s="24">
        <v>369.0</v>
      </c>
      <c r="H121" s="24">
        <v>503.0</v>
      </c>
      <c r="I121" s="24">
        <v>8501.0</v>
      </c>
      <c r="J121" s="24">
        <v>0.0</v>
      </c>
      <c r="K121" s="23" t="s">
        <v>34</v>
      </c>
      <c r="L121" s="25">
        <v>42107.893483796295</v>
      </c>
      <c r="M121" s="28"/>
      <c r="N121" s="26" t="s">
        <v>383</v>
      </c>
      <c r="O121" s="22" t="str">
        <f>HYPERLINK("https://pbs.twimg.com/profile_images/785636887906045952/BwskLcET_normal.jpg","View")</f>
        <v>View</v>
      </c>
      <c r="P121" s="27"/>
    </row>
    <row r="122">
      <c r="A122" s="14">
        <v>43031.061944444446</v>
      </c>
      <c r="B122" s="20" t="str">
        <f>HYPERLINK("https://twitter.com/monsieurmeemy","@monsieurmeemy")</f>
        <v>@monsieurmeemy</v>
      </c>
      <c r="C122" s="21" t="s">
        <v>384</v>
      </c>
      <c r="D122" s="21" t="s">
        <v>32</v>
      </c>
      <c r="E122" s="22" t="str">
        <f>HYPERLINK("https://twitter.com/monsieurmeemy/status/922379367833112577","922379367833112577")</f>
        <v>922379367833112577</v>
      </c>
      <c r="F122" s="23" t="s">
        <v>86</v>
      </c>
      <c r="G122" s="24">
        <v>3392.0</v>
      </c>
      <c r="H122" s="24">
        <v>3424.0</v>
      </c>
      <c r="I122" s="24">
        <v>471.0</v>
      </c>
      <c r="J122" s="24">
        <v>0.0</v>
      </c>
      <c r="K122" s="23" t="s">
        <v>34</v>
      </c>
      <c r="L122" s="25">
        <v>40497.35394675926</v>
      </c>
      <c r="M122" s="26" t="s">
        <v>385</v>
      </c>
      <c r="N122" s="26" t="s">
        <v>386</v>
      </c>
      <c r="O122" s="22" t="str">
        <f>HYPERLINK("https://pbs.twimg.com/profile_images/626117168183308290/xKJ6czy5_normal.jpg","View")</f>
        <v>View</v>
      </c>
      <c r="P122" s="27"/>
    </row>
    <row r="123">
      <c r="A123" s="14">
        <v>43031.061956018515</v>
      </c>
      <c r="B123" s="20" t="str">
        <f>HYPERLINK("https://twitter.com/Valuespectrum","@Valuespectrum")</f>
        <v>@Valuespectrum</v>
      </c>
      <c r="C123" s="21" t="s">
        <v>387</v>
      </c>
      <c r="D123" s="21" t="s">
        <v>388</v>
      </c>
      <c r="E123" s="22" t="str">
        <f>HYPERLINK("https://twitter.com/Valuespectrum/status/922379371192684546","922379371192684546")</f>
        <v>922379371192684546</v>
      </c>
      <c r="F123" s="23" t="s">
        <v>55</v>
      </c>
      <c r="G123" s="24">
        <v>177.0</v>
      </c>
      <c r="H123" s="24">
        <v>445.0</v>
      </c>
      <c r="I123" s="24">
        <v>1.0</v>
      </c>
      <c r="J123" s="24">
        <v>1.0</v>
      </c>
      <c r="K123" s="23" t="s">
        <v>34</v>
      </c>
      <c r="L123" s="25">
        <v>41638.958136574074</v>
      </c>
      <c r="M123" s="26" t="s">
        <v>389</v>
      </c>
      <c r="N123" s="26" t="s">
        <v>390</v>
      </c>
      <c r="O123" s="22" t="str">
        <f>HYPERLINK("https://pbs.twimg.com/profile_images/422117106746810368/g74NP1L4_normal.jpeg","View")</f>
        <v>View</v>
      </c>
      <c r="P123" s="27"/>
    </row>
    <row r="124">
      <c r="A124" s="14">
        <v>43031.06201388889</v>
      </c>
      <c r="B124" s="20" t="str">
        <f>HYPERLINK("https://twitter.com/RameshPatibanda","@RameshPatibanda")</f>
        <v>@RameshPatibanda</v>
      </c>
      <c r="C124" s="21" t="s">
        <v>391</v>
      </c>
      <c r="D124" s="21" t="s">
        <v>42</v>
      </c>
      <c r="E124" s="22" t="str">
        <f>HYPERLINK("https://twitter.com/RameshPatibanda/status/922379392612831232","922379392612831232")</f>
        <v>922379392612831232</v>
      </c>
      <c r="F124" s="23" t="s">
        <v>33</v>
      </c>
      <c r="G124" s="24">
        <v>35.0</v>
      </c>
      <c r="H124" s="24">
        <v>181.0</v>
      </c>
      <c r="I124" s="24">
        <v>8501.0</v>
      </c>
      <c r="J124" s="24">
        <v>0.0</v>
      </c>
      <c r="K124" s="23" t="s">
        <v>34</v>
      </c>
      <c r="L124" s="25">
        <v>41042.118993055556</v>
      </c>
      <c r="M124" s="28"/>
      <c r="N124" s="26" t="s">
        <v>392</v>
      </c>
      <c r="O124" s="22" t="str">
        <f>HYPERLINK("https://abs.twimg.com/sticky/default_profile_images/default_profile_normal.png","View")</f>
        <v>View</v>
      </c>
      <c r="P124" s="27"/>
    </row>
    <row r="125">
      <c r="A125" s="14">
        <v>43031.062210648146</v>
      </c>
      <c r="B125" s="20" t="str">
        <f>HYPERLINK("https://twitter.com/mishraRakendra","@mishraRakendra")</f>
        <v>@mishraRakendra</v>
      </c>
      <c r="C125" s="21" t="s">
        <v>393</v>
      </c>
      <c r="D125" s="21" t="s">
        <v>42</v>
      </c>
      <c r="E125" s="22" t="str">
        <f>HYPERLINK("https://twitter.com/mishraRakendra/status/922379460757745664","922379460757745664")</f>
        <v>922379460757745664</v>
      </c>
      <c r="F125" s="23" t="s">
        <v>33</v>
      </c>
      <c r="G125" s="24">
        <v>66.0</v>
      </c>
      <c r="H125" s="24">
        <v>193.0</v>
      </c>
      <c r="I125" s="24">
        <v>8501.0</v>
      </c>
      <c r="J125" s="24">
        <v>0.0</v>
      </c>
      <c r="K125" s="23" t="s">
        <v>34</v>
      </c>
      <c r="L125" s="25">
        <v>42466.05201388889</v>
      </c>
      <c r="M125" s="26" t="s">
        <v>394</v>
      </c>
      <c r="N125" s="26" t="s">
        <v>395</v>
      </c>
      <c r="O125" s="22" t="str">
        <f>HYPERLINK("https://pbs.twimg.com/profile_images/717647736640671744/Ho4TjMNA_normal.jpg","View")</f>
        <v>View</v>
      </c>
      <c r="P125" s="27"/>
    </row>
    <row r="126">
      <c r="A126" s="14">
        <v>43031.06222222222</v>
      </c>
      <c r="B126" s="20" t="str">
        <f>HYPERLINK("https://twitter.com/subsharma740","@subsharma740")</f>
        <v>@subsharma740</v>
      </c>
      <c r="C126" s="21" t="s">
        <v>396</v>
      </c>
      <c r="D126" s="21" t="s">
        <v>260</v>
      </c>
      <c r="E126" s="22" t="str">
        <f>HYPERLINK("https://twitter.com/subsharma740/status/922379466130653185","922379466130653185")</f>
        <v>922379466130653185</v>
      </c>
      <c r="F126" s="23" t="s">
        <v>33</v>
      </c>
      <c r="G126" s="24">
        <v>240.0</v>
      </c>
      <c r="H126" s="24">
        <v>624.0</v>
      </c>
      <c r="I126" s="24">
        <v>8.0</v>
      </c>
      <c r="J126" s="24">
        <v>0.0</v>
      </c>
      <c r="K126" s="23" t="s">
        <v>34</v>
      </c>
      <c r="L126" s="25">
        <v>41416.179756944446</v>
      </c>
      <c r="M126" s="26" t="s">
        <v>204</v>
      </c>
      <c r="N126" s="26" t="s">
        <v>397</v>
      </c>
      <c r="O126" s="22" t="str">
        <f>HYPERLINK("https://pbs.twimg.com/profile_images/921651499846942725/xatk6n0f_normal.jpg","View")</f>
        <v>View</v>
      </c>
      <c r="P126" s="27"/>
    </row>
    <row r="127">
      <c r="A127" s="14">
        <v>43031.0622337963</v>
      </c>
      <c r="B127" s="20" t="str">
        <f>HYPERLINK("https://twitter.com/piush7379","@piush7379")</f>
        <v>@piush7379</v>
      </c>
      <c r="C127" s="21" t="s">
        <v>398</v>
      </c>
      <c r="D127" s="21" t="s">
        <v>42</v>
      </c>
      <c r="E127" s="22" t="str">
        <f>HYPERLINK("https://twitter.com/piush7379/status/922379471201509376","922379471201509376")</f>
        <v>922379471201509376</v>
      </c>
      <c r="F127" s="23" t="s">
        <v>39</v>
      </c>
      <c r="G127" s="24">
        <v>194.0</v>
      </c>
      <c r="H127" s="24">
        <v>735.0</v>
      </c>
      <c r="I127" s="24">
        <v>8501.0</v>
      </c>
      <c r="J127" s="24">
        <v>0.0</v>
      </c>
      <c r="K127" s="23" t="s">
        <v>34</v>
      </c>
      <c r="L127" s="25">
        <v>41138.146886574075</v>
      </c>
      <c r="M127" s="28"/>
      <c r="N127" s="28"/>
      <c r="O127" s="22" t="str">
        <f>HYPERLINK("https://pbs.twimg.com/profile_images/2514087667/Piush_Kumar_Singh_normal.jpg","View")</f>
        <v>View</v>
      </c>
      <c r="P127" s="27"/>
    </row>
    <row r="128">
      <c r="A128" s="14">
        <v>43031.062256944446</v>
      </c>
      <c r="B128" s="20" t="str">
        <f>HYPERLINK("https://twitter.com/yunuzovic","@yunuzovic")</f>
        <v>@yunuzovic</v>
      </c>
      <c r="C128" s="21" t="s">
        <v>399</v>
      </c>
      <c r="D128" s="21" t="s">
        <v>82</v>
      </c>
      <c r="E128" s="22" t="str">
        <f>HYPERLINK("https://twitter.com/yunuzovic/status/922379481112817664","922379481112817664")</f>
        <v>922379481112817664</v>
      </c>
      <c r="F128" s="23" t="s">
        <v>39</v>
      </c>
      <c r="G128" s="24">
        <v>312.0</v>
      </c>
      <c r="H128" s="24">
        <v>298.0</v>
      </c>
      <c r="I128" s="24">
        <v>38.0</v>
      </c>
      <c r="J128" s="24">
        <v>0.0</v>
      </c>
      <c r="K128" s="23" t="s">
        <v>34</v>
      </c>
      <c r="L128" s="25">
        <v>41695.68105324074</v>
      </c>
      <c r="M128" s="26" t="s">
        <v>400</v>
      </c>
      <c r="N128" s="28"/>
      <c r="O128" s="22" t="str">
        <f>HYPERLINK("https://pbs.twimg.com/profile_images/822270383164375040/BLatwlqh_normal.jpg","View")</f>
        <v>View</v>
      </c>
      <c r="P128" s="27"/>
    </row>
    <row r="129">
      <c r="A129" s="14">
        <v>43031.06233796296</v>
      </c>
      <c r="B129" s="20" t="str">
        <f>HYPERLINK("https://twitter.com/pragampratik","@pragampratik")</f>
        <v>@pragampratik</v>
      </c>
      <c r="C129" s="21" t="s">
        <v>401</v>
      </c>
      <c r="D129" s="21" t="s">
        <v>42</v>
      </c>
      <c r="E129" s="22" t="str">
        <f>HYPERLINK("https://twitter.com/pragampratik/status/922379508740534273","922379508740534273")</f>
        <v>922379508740534273</v>
      </c>
      <c r="F129" s="23" t="s">
        <v>33</v>
      </c>
      <c r="G129" s="24">
        <v>16.0</v>
      </c>
      <c r="H129" s="24">
        <v>32.0</v>
      </c>
      <c r="I129" s="24">
        <v>8501.0</v>
      </c>
      <c r="J129" s="24">
        <v>0.0</v>
      </c>
      <c r="K129" s="23" t="s">
        <v>34</v>
      </c>
      <c r="L129" s="25">
        <v>41330.94186342593</v>
      </c>
      <c r="M129" s="26" t="s">
        <v>204</v>
      </c>
      <c r="N129" s="26" t="s">
        <v>402</v>
      </c>
      <c r="O129" s="22" t="str">
        <f>HYPERLINK("https://pbs.twimg.com/profile_images/914176591428648960/PBm8K_wN_normal.jpg","View")</f>
        <v>View</v>
      </c>
      <c r="P129" s="27"/>
    </row>
    <row r="130">
      <c r="A130" s="14">
        <v>43031.06240740741</v>
      </c>
      <c r="B130" s="20" t="str">
        <f>HYPERLINK("https://twitter.com/baygui","@baygui")</f>
        <v>@baygui</v>
      </c>
      <c r="C130" s="21" t="s">
        <v>403</v>
      </c>
      <c r="D130" s="21" t="s">
        <v>404</v>
      </c>
      <c r="E130" s="22" t="str">
        <f>HYPERLINK("https://twitter.com/baygui/status/922379533910724608","922379533910724608")</f>
        <v>922379533910724608</v>
      </c>
      <c r="F130" s="23" t="s">
        <v>33</v>
      </c>
      <c r="G130" s="24">
        <v>1188.0</v>
      </c>
      <c r="H130" s="24">
        <v>1212.0</v>
      </c>
      <c r="I130" s="24">
        <v>59.0</v>
      </c>
      <c r="J130" s="24">
        <v>0.0</v>
      </c>
      <c r="K130" s="23" t="s">
        <v>34</v>
      </c>
      <c r="L130" s="25">
        <v>41574.79048611111</v>
      </c>
      <c r="M130" s="26" t="s">
        <v>405</v>
      </c>
      <c r="N130" s="26" t="s">
        <v>406</v>
      </c>
      <c r="O130" s="22" t="str">
        <f>HYPERLINK("https://pbs.twimg.com/profile_images/716120290695192576/yCipZdVs_normal.jpg","View")</f>
        <v>View</v>
      </c>
      <c r="P130" s="27"/>
    </row>
    <row r="131">
      <c r="A131" s="14">
        <v>43031.06245370371</v>
      </c>
      <c r="B131" s="20" t="str">
        <f>HYPERLINK("https://twitter.com/kgopz","@kgopz")</f>
        <v>@kgopz</v>
      </c>
      <c r="C131" s="21" t="s">
        <v>407</v>
      </c>
      <c r="D131" s="21" t="s">
        <v>42</v>
      </c>
      <c r="E131" s="22" t="str">
        <f>HYPERLINK("https://twitter.com/kgopz/status/922379548917993474","922379548917993474")</f>
        <v>922379548917993474</v>
      </c>
      <c r="F131" s="23" t="s">
        <v>33</v>
      </c>
      <c r="G131" s="24">
        <v>4400.0</v>
      </c>
      <c r="H131" s="24">
        <v>1053.0</v>
      </c>
      <c r="I131" s="24">
        <v>8501.0</v>
      </c>
      <c r="J131" s="24">
        <v>0.0</v>
      </c>
      <c r="K131" s="23" t="s">
        <v>34</v>
      </c>
      <c r="L131" s="25">
        <v>40160.86560185185</v>
      </c>
      <c r="M131" s="28"/>
      <c r="N131" s="26" t="s">
        <v>408</v>
      </c>
      <c r="O131" s="22" t="str">
        <f>HYPERLINK("https://pbs.twimg.com/profile_images/683696676209557504/rwashIhP_normal.jpg","View")</f>
        <v>View</v>
      </c>
      <c r="P131" s="27"/>
    </row>
    <row r="132">
      <c r="A132" s="14">
        <v>43031.062581018516</v>
      </c>
      <c r="B132" s="20" t="str">
        <f>HYPERLINK("https://twitter.com/algrmool1981","@algrmool1981")</f>
        <v>@algrmool1981</v>
      </c>
      <c r="C132" s="31" t="s">
        <v>409</v>
      </c>
      <c r="D132" s="21" t="s">
        <v>410</v>
      </c>
      <c r="E132" s="22" t="str">
        <f>HYPERLINK("https://twitter.com/algrmool1981/status/922379597068435456","922379597068435456")</f>
        <v>922379597068435456</v>
      </c>
      <c r="F132" s="30" t="s">
        <v>411</v>
      </c>
      <c r="G132" s="24">
        <v>78.0</v>
      </c>
      <c r="H132" s="24">
        <v>0.0</v>
      </c>
      <c r="I132" s="24">
        <v>0.0</v>
      </c>
      <c r="J132" s="24">
        <v>0.0</v>
      </c>
      <c r="K132" s="23" t="s">
        <v>34</v>
      </c>
      <c r="L132" s="25">
        <v>40570.30883101852</v>
      </c>
      <c r="M132" s="32" t="s">
        <v>412</v>
      </c>
      <c r="N132" s="32" t="s">
        <v>413</v>
      </c>
      <c r="O132" s="22" t="str">
        <f>HYPERLINK("https://pbs.twimg.com/profile_images/921099623988576257/8-CKaf95_normal.jpg","View")</f>
        <v>View</v>
      </c>
      <c r="P132" s="27"/>
    </row>
    <row r="133">
      <c r="A133" s="14">
        <v>43031.06260416667</v>
      </c>
      <c r="B133" s="20" t="str">
        <f>HYPERLINK("https://twitter.com/SGLocalNews","@SGLocalNews")</f>
        <v>@SGLocalNews</v>
      </c>
      <c r="C133" s="21" t="s">
        <v>414</v>
      </c>
      <c r="D133" s="21" t="s">
        <v>415</v>
      </c>
      <c r="E133" s="22" t="str">
        <f>HYPERLINK("https://twitter.com/SGLocalNews/status/922379606577082368","922379606577082368")</f>
        <v>922379606577082368</v>
      </c>
      <c r="F133" s="23" t="s">
        <v>48</v>
      </c>
      <c r="G133" s="24">
        <v>303.0</v>
      </c>
      <c r="H133" s="24">
        <v>36.0</v>
      </c>
      <c r="I133" s="24">
        <v>0.0</v>
      </c>
      <c r="J133" s="24">
        <v>0.0</v>
      </c>
      <c r="K133" s="23" t="s">
        <v>34</v>
      </c>
      <c r="L133" s="25">
        <v>42430.55429398148</v>
      </c>
      <c r="M133" s="28"/>
      <c r="N133" s="28"/>
      <c r="O133" s="22" t="str">
        <f>HYPERLINK("https://pbs.twimg.com/profile_images/704778690094194688/P2ZbpKIt_normal.jpg","View")</f>
        <v>View</v>
      </c>
      <c r="P133" s="27"/>
    </row>
    <row r="134">
      <c r="A134" s="14">
        <v>43031.06265046296</v>
      </c>
      <c r="B134" s="20" t="str">
        <f>HYPERLINK("https://twitter.com/AnushkaSingh24","@AnushkaSingh24")</f>
        <v>@AnushkaSingh24</v>
      </c>
      <c r="C134" s="21" t="s">
        <v>416</v>
      </c>
      <c r="D134" s="21" t="s">
        <v>417</v>
      </c>
      <c r="E134" s="22" t="str">
        <f>HYPERLINK("https://twitter.com/AnushkaSingh24/status/922379622196461568","922379622196461568")</f>
        <v>922379622196461568</v>
      </c>
      <c r="F134" s="23" t="s">
        <v>55</v>
      </c>
      <c r="G134" s="24">
        <v>1092.0</v>
      </c>
      <c r="H134" s="24">
        <v>662.0</v>
      </c>
      <c r="I134" s="24">
        <v>0.0</v>
      </c>
      <c r="J134" s="24">
        <v>0.0</v>
      </c>
      <c r="K134" s="23" t="s">
        <v>34</v>
      </c>
      <c r="L134" s="25">
        <v>40742.069074074076</v>
      </c>
      <c r="M134" s="26" t="s">
        <v>418</v>
      </c>
      <c r="N134" s="26" t="s">
        <v>419</v>
      </c>
      <c r="O134" s="22" t="str">
        <f>HYPERLINK("https://pbs.twimg.com/profile_images/1448299217/205149_10150159229519357_298214074356_6581521_1415591_n_normal.jpg","View")</f>
        <v>View</v>
      </c>
      <c r="P134" s="27"/>
    </row>
    <row r="135">
      <c r="A135" s="14">
        <v>43031.062685185185</v>
      </c>
      <c r="B135" s="20" t="str">
        <f>HYPERLINK("https://twitter.com/dhruvbhim","@dhruvbhim")</f>
        <v>@dhruvbhim</v>
      </c>
      <c r="C135" s="21" t="s">
        <v>420</v>
      </c>
      <c r="D135" s="21" t="s">
        <v>163</v>
      </c>
      <c r="E135" s="22" t="str">
        <f>HYPERLINK("https://twitter.com/dhruvbhim/status/922379636369010688","922379636369010688")</f>
        <v>922379636369010688</v>
      </c>
      <c r="F135" s="23" t="s">
        <v>55</v>
      </c>
      <c r="G135" s="24">
        <v>3561.0</v>
      </c>
      <c r="H135" s="24">
        <v>112.0</v>
      </c>
      <c r="I135" s="24">
        <v>1005.0</v>
      </c>
      <c r="J135" s="24">
        <v>0.0</v>
      </c>
      <c r="K135" s="23" t="s">
        <v>34</v>
      </c>
      <c r="L135" s="25">
        <v>41417.87299768518</v>
      </c>
      <c r="M135" s="28"/>
      <c r="N135" s="26" t="s">
        <v>421</v>
      </c>
      <c r="O135" s="22" t="str">
        <f>HYPERLINK("https://pbs.twimg.com/profile_images/869432277402607616/b97FXQPZ_normal.jpg","View")</f>
        <v>View</v>
      </c>
      <c r="P135" s="27"/>
    </row>
    <row r="136">
      <c r="A136" s="14">
        <v>43031.06284722222</v>
      </c>
      <c r="B136" s="20" t="str">
        <f>HYPERLINK("https://twitter.com/Sanjeev86170567","@Sanjeev86170567")</f>
        <v>@Sanjeev86170567</v>
      </c>
      <c r="C136" s="21" t="s">
        <v>422</v>
      </c>
      <c r="D136" s="21" t="s">
        <v>42</v>
      </c>
      <c r="E136" s="22" t="str">
        <f>HYPERLINK("https://twitter.com/Sanjeev86170567/status/922379692841230336","922379692841230336")</f>
        <v>922379692841230336</v>
      </c>
      <c r="F136" s="23" t="s">
        <v>33</v>
      </c>
      <c r="G136" s="24">
        <v>4.0</v>
      </c>
      <c r="H136" s="24">
        <v>13.0</v>
      </c>
      <c r="I136" s="24">
        <v>8501.0</v>
      </c>
      <c r="J136" s="24">
        <v>0.0</v>
      </c>
      <c r="K136" s="23" t="s">
        <v>34</v>
      </c>
      <c r="L136" s="25">
        <v>42981.353634259256</v>
      </c>
      <c r="M136" s="26" t="s">
        <v>423</v>
      </c>
      <c r="N136" s="26" t="s">
        <v>424</v>
      </c>
      <c r="O136" s="22" t="str">
        <f>HYPERLINK("https://pbs.twimg.com/profile_images/904368526890123265/tZHdWjLT_normal.jpg","View")</f>
        <v>View</v>
      </c>
      <c r="P136" s="27"/>
    </row>
    <row r="137">
      <c r="A137" s="14">
        <v>43031.06284722222</v>
      </c>
      <c r="B137" s="20" t="str">
        <f>HYPERLINK("https://twitter.com/Social_Media_a5","@Social_Media_a5")</f>
        <v>@Social_Media_a5</v>
      </c>
      <c r="C137" s="21" t="s">
        <v>425</v>
      </c>
      <c r="D137" s="21" t="s">
        <v>426</v>
      </c>
      <c r="E137" s="22" t="str">
        <f>HYPERLINK("https://twitter.com/Social_Media_a5/status/922379694070255617","922379694070255617")</f>
        <v>922379694070255617</v>
      </c>
      <c r="F137" s="23" t="s">
        <v>427</v>
      </c>
      <c r="G137" s="24">
        <v>5874.0</v>
      </c>
      <c r="H137" s="24">
        <v>5990.0</v>
      </c>
      <c r="I137" s="24">
        <v>0.0</v>
      </c>
      <c r="J137" s="24">
        <v>1.0</v>
      </c>
      <c r="K137" s="23" t="s">
        <v>34</v>
      </c>
      <c r="L137" s="25">
        <v>42349.77346064815</v>
      </c>
      <c r="M137" s="28"/>
      <c r="N137" s="26" t="s">
        <v>428</v>
      </c>
      <c r="O137" s="22" t="str">
        <f>HYPERLINK("https://pbs.twimg.com/profile_images/858601654098083841/VMggQGH-_normal.jpg","View")</f>
        <v>View</v>
      </c>
      <c r="P137" s="27"/>
    </row>
    <row r="138">
      <c r="A138" s="14">
        <v>43031.06287037037</v>
      </c>
      <c r="B138" s="20" t="str">
        <f>HYPERLINK("https://twitter.com/VijayGo85865290","@VijayGo85865290")</f>
        <v>@VijayGo85865290</v>
      </c>
      <c r="C138" s="21" t="s">
        <v>429</v>
      </c>
      <c r="D138" s="21" t="s">
        <v>430</v>
      </c>
      <c r="E138" s="22" t="str">
        <f>HYPERLINK("https://twitter.com/VijayGo85865290/status/922379703058448384","922379703058448384")</f>
        <v>922379703058448384</v>
      </c>
      <c r="F138" s="23" t="s">
        <v>33</v>
      </c>
      <c r="G138" s="24">
        <v>1470.0</v>
      </c>
      <c r="H138" s="24">
        <v>4978.0</v>
      </c>
      <c r="I138" s="24">
        <v>62.0</v>
      </c>
      <c r="J138" s="24">
        <v>0.0</v>
      </c>
      <c r="K138" s="23" t="s">
        <v>34</v>
      </c>
      <c r="L138" s="25">
        <v>42936.95228009259</v>
      </c>
      <c r="M138" s="26" t="s">
        <v>431</v>
      </c>
      <c r="N138" s="26" t="s">
        <v>432</v>
      </c>
      <c r="O138" s="22" t="str">
        <f>HYPERLINK("https://pbs.twimg.com/profile_images/888278375197949954/Pc79KmiR_normal.jpg","View")</f>
        <v>View</v>
      </c>
      <c r="P138" s="27"/>
    </row>
    <row r="139">
      <c r="A139" s="14">
        <v>43031.06288194444</v>
      </c>
      <c r="B139" s="20" t="str">
        <f>HYPERLINK("https://twitter.com/TeslaTraderCo","@TeslaTraderCo")</f>
        <v>@TeslaTraderCo</v>
      </c>
      <c r="C139" s="21" t="s">
        <v>433</v>
      </c>
      <c r="D139" s="21" t="s">
        <v>434</v>
      </c>
      <c r="E139" s="22" t="str">
        <f>HYPERLINK("https://twitter.com/TeslaTraderCo/status/922379706623766528","922379706623766528")</f>
        <v>922379706623766528</v>
      </c>
      <c r="F139" s="23" t="s">
        <v>427</v>
      </c>
      <c r="G139" s="24">
        <v>17464.0</v>
      </c>
      <c r="H139" s="24">
        <v>17863.0</v>
      </c>
      <c r="I139" s="24">
        <v>0.0</v>
      </c>
      <c r="J139" s="24">
        <v>0.0</v>
      </c>
      <c r="K139" s="23" t="s">
        <v>34</v>
      </c>
      <c r="L139" s="25">
        <v>42748.45309027778</v>
      </c>
      <c r="M139" s="26" t="s">
        <v>435</v>
      </c>
      <c r="N139" s="26" t="s">
        <v>436</v>
      </c>
      <c r="O139" s="22" t="str">
        <f>HYPERLINK("https://pbs.twimg.com/profile_images/820105017596080128/J2U5AZQs_normal.jpg","View")</f>
        <v>View</v>
      </c>
      <c r="P139" s="27"/>
    </row>
    <row r="140">
      <c r="A140" s="14">
        <v>43031.06290509259</v>
      </c>
      <c r="B140" s="20" t="str">
        <f>HYPERLINK("https://twitter.com/Social_Media_f3","@Social_Media_f3")</f>
        <v>@Social_Media_f3</v>
      </c>
      <c r="C140" s="21" t="s">
        <v>437</v>
      </c>
      <c r="D140" s="21" t="s">
        <v>438</v>
      </c>
      <c r="E140" s="22" t="str">
        <f>HYPERLINK("https://twitter.com/Social_Media_f3/status/922379714123173888","922379714123173888")</f>
        <v>922379714123173888</v>
      </c>
      <c r="F140" s="23" t="s">
        <v>427</v>
      </c>
      <c r="G140" s="24">
        <v>13875.0</v>
      </c>
      <c r="H140" s="24">
        <v>13574.0</v>
      </c>
      <c r="I140" s="24">
        <v>0.0</v>
      </c>
      <c r="J140" s="24">
        <v>0.0</v>
      </c>
      <c r="K140" s="23" t="s">
        <v>34</v>
      </c>
      <c r="L140" s="25">
        <v>42261.14559027778</v>
      </c>
      <c r="M140" s="28"/>
      <c r="N140" s="26" t="s">
        <v>439</v>
      </c>
      <c r="O140" s="22" t="str">
        <f>HYPERLINK("https://pbs.twimg.com/profile_images/859707448764100608/chxzN7x7_normal.jpg","View")</f>
        <v>View</v>
      </c>
      <c r="P140" s="27"/>
    </row>
    <row r="141">
      <c r="A141" s="14">
        <v>43031.06290509259</v>
      </c>
      <c r="B141" s="20" t="str">
        <f>HYPERLINK("https://twitter.com/kmandalwala","@kmandalwala")</f>
        <v>@kmandalwala</v>
      </c>
      <c r="C141" s="21" t="s">
        <v>440</v>
      </c>
      <c r="D141" s="21" t="s">
        <v>42</v>
      </c>
      <c r="E141" s="22" t="str">
        <f>HYPERLINK("https://twitter.com/kmandalwala/status/922379714584383490","922379714584383490")</f>
        <v>922379714584383490</v>
      </c>
      <c r="F141" s="23" t="s">
        <v>33</v>
      </c>
      <c r="G141" s="24">
        <v>428.0</v>
      </c>
      <c r="H141" s="24">
        <v>1179.0</v>
      </c>
      <c r="I141" s="24">
        <v>8501.0</v>
      </c>
      <c r="J141" s="24">
        <v>0.0</v>
      </c>
      <c r="K141" s="23" t="s">
        <v>34</v>
      </c>
      <c r="L141" s="25">
        <v>40299.17815972222</v>
      </c>
      <c r="M141" s="26" t="s">
        <v>441</v>
      </c>
      <c r="N141" s="26" t="s">
        <v>442</v>
      </c>
      <c r="O141" s="22" t="str">
        <f>HYPERLINK("https://pbs.twimg.com/profile_images/921720478045151240/Bgo1s03G_normal.jpg","View")</f>
        <v>View</v>
      </c>
      <c r="P141" s="27"/>
    </row>
    <row r="142">
      <c r="A142" s="14">
        <v>43031.06291666666</v>
      </c>
      <c r="B142" s="20" t="str">
        <f>HYPERLINK("https://twitter.com/Social_Media_e6","@Social_Media_e6")</f>
        <v>@Social_Media_e6</v>
      </c>
      <c r="C142" s="21" t="s">
        <v>443</v>
      </c>
      <c r="D142" s="21" t="s">
        <v>444</v>
      </c>
      <c r="E142" s="22" t="str">
        <f>HYPERLINK("https://twitter.com/Social_Media_e6/status/922379719248699392","922379719248699392")</f>
        <v>922379719248699392</v>
      </c>
      <c r="F142" s="23" t="s">
        <v>427</v>
      </c>
      <c r="G142" s="24">
        <v>5144.0</v>
      </c>
      <c r="H142" s="24">
        <v>5494.0</v>
      </c>
      <c r="I142" s="24">
        <v>0.0</v>
      </c>
      <c r="J142" s="24">
        <v>0.0</v>
      </c>
      <c r="K142" s="23" t="s">
        <v>34</v>
      </c>
      <c r="L142" s="25">
        <v>42355.51105324074</v>
      </c>
      <c r="M142" s="28"/>
      <c r="N142" s="26" t="s">
        <v>445</v>
      </c>
      <c r="O142" s="22" t="str">
        <f>HYPERLINK("https://pbs.twimg.com/profile_images/871235235211431936/ICOAHuwW_normal.jpg","View")</f>
        <v>View</v>
      </c>
      <c r="P142" s="27"/>
    </row>
    <row r="143">
      <c r="A143" s="14">
        <v>43031.06292824074</v>
      </c>
      <c r="B143" s="20" t="str">
        <f>HYPERLINK("https://twitter.com/LinQStore","@LinQStore")</f>
        <v>@LinQStore</v>
      </c>
      <c r="C143" s="21" t="s">
        <v>446</v>
      </c>
      <c r="D143" s="21" t="s">
        <v>42</v>
      </c>
      <c r="E143" s="22" t="str">
        <f>HYPERLINK("https://twitter.com/LinQStore/status/922379721114992640","922379721114992640")</f>
        <v>922379721114992640</v>
      </c>
      <c r="F143" s="23" t="s">
        <v>33</v>
      </c>
      <c r="G143" s="24">
        <v>10.0</v>
      </c>
      <c r="H143" s="24">
        <v>21.0</v>
      </c>
      <c r="I143" s="24">
        <v>8501.0</v>
      </c>
      <c r="J143" s="24">
        <v>0.0</v>
      </c>
      <c r="K143" s="23" t="s">
        <v>34</v>
      </c>
      <c r="L143" s="25">
        <v>43027.35677083333</v>
      </c>
      <c r="M143" s="26" t="s">
        <v>167</v>
      </c>
      <c r="N143" s="26" t="s">
        <v>447</v>
      </c>
      <c r="O143" s="22" t="str">
        <f>HYPERLINK("https://pbs.twimg.com/profile_images/921039077285040128/5RrvbBvh_normal.jpg","View")</f>
        <v>View</v>
      </c>
      <c r="P143" s="27"/>
    </row>
    <row r="144">
      <c r="A144" s="14">
        <v>43031.06292824074</v>
      </c>
      <c r="B144" s="20" t="str">
        <f>HYPERLINK("https://twitter.com/watchman_ray","@watchman_ray")</f>
        <v>@watchman_ray</v>
      </c>
      <c r="C144" s="21" t="s">
        <v>448</v>
      </c>
      <c r="D144" s="21" t="s">
        <v>449</v>
      </c>
      <c r="E144" s="22" t="str">
        <f>HYPERLINK("https://twitter.com/watchman_ray/status/922379722239201280","922379722239201280")</f>
        <v>922379722239201280</v>
      </c>
      <c r="F144" s="23" t="s">
        <v>187</v>
      </c>
      <c r="G144" s="24">
        <v>43.0</v>
      </c>
      <c r="H144" s="24">
        <v>120.0</v>
      </c>
      <c r="I144" s="24">
        <v>0.0</v>
      </c>
      <c r="J144" s="24">
        <v>0.0</v>
      </c>
      <c r="K144" s="23" t="s">
        <v>34</v>
      </c>
      <c r="L144" s="25">
        <v>40024.97971064815</v>
      </c>
      <c r="M144" s="26" t="s">
        <v>68</v>
      </c>
      <c r="N144" s="26" t="s">
        <v>450</v>
      </c>
      <c r="O144" s="22" t="str">
        <f>HYPERLINK("https://pbs.twimg.com/profile_images/818286261333061632/C-tcQ6ag_normal.jpg","View")</f>
        <v>View</v>
      </c>
      <c r="P144" s="27"/>
    </row>
    <row r="145">
      <c r="A145" s="14">
        <v>43031.06292824074</v>
      </c>
      <c r="B145" s="20" t="str">
        <f>HYPERLINK("https://twitter.com/newslivenetwork","@newslivenetwork")</f>
        <v>@newslivenetwork</v>
      </c>
      <c r="C145" s="21" t="s">
        <v>89</v>
      </c>
      <c r="D145" s="21" t="s">
        <v>451</v>
      </c>
      <c r="E145" s="22" t="str">
        <f>HYPERLINK("https://twitter.com/newslivenetwork/status/922379722637627392","922379722637627392")</f>
        <v>922379722637627392</v>
      </c>
      <c r="F145" s="23" t="s">
        <v>91</v>
      </c>
      <c r="G145" s="24">
        <v>271.0</v>
      </c>
      <c r="H145" s="24">
        <v>87.0</v>
      </c>
      <c r="I145" s="24">
        <v>0.0</v>
      </c>
      <c r="J145" s="24">
        <v>0.0</v>
      </c>
      <c r="K145" s="23" t="s">
        <v>34</v>
      </c>
      <c r="L145" s="25">
        <v>42741.47196759259</v>
      </c>
      <c r="M145" s="26" t="s">
        <v>92</v>
      </c>
      <c r="N145" s="26" t="s">
        <v>93</v>
      </c>
      <c r="O145" s="22" t="str">
        <f>HYPERLINK("https://pbs.twimg.com/profile_images/877414144424660992/scfhocj3_normal.jpg","View")</f>
        <v>View</v>
      </c>
      <c r="P145" s="27"/>
    </row>
    <row r="146">
      <c r="A146" s="14">
        <v>43031.062939814816</v>
      </c>
      <c r="B146" s="20" t="str">
        <f>HYPERLINK("https://twitter.com/fromthemy","@fromthemy")</f>
        <v>@fromthemy</v>
      </c>
      <c r="C146" s="21" t="s">
        <v>452</v>
      </c>
      <c r="D146" s="21" t="s">
        <v>42</v>
      </c>
      <c r="E146" s="22" t="str">
        <f>HYPERLINK("https://twitter.com/fromthemy/status/922379728400429056","922379728400429056")</f>
        <v>922379728400429056</v>
      </c>
      <c r="F146" s="23" t="s">
        <v>33</v>
      </c>
      <c r="G146" s="24">
        <v>131.0</v>
      </c>
      <c r="H146" s="24">
        <v>115.0</v>
      </c>
      <c r="I146" s="24">
        <v>8501.0</v>
      </c>
      <c r="J146" s="24">
        <v>0.0</v>
      </c>
      <c r="K146" s="23" t="s">
        <v>34</v>
      </c>
      <c r="L146" s="25">
        <v>42892.80049768518</v>
      </c>
      <c r="M146" s="26" t="s">
        <v>271</v>
      </c>
      <c r="N146" s="26" t="s">
        <v>453</v>
      </c>
      <c r="O146" s="22" t="str">
        <f>HYPERLINK("https://pbs.twimg.com/profile_images/915163499600347136/TspUuUBg_normal.jpg","View")</f>
        <v>View</v>
      </c>
      <c r="P146" s="27"/>
    </row>
    <row r="147">
      <c r="A147" s="14">
        <v>43031.06296296296</v>
      </c>
      <c r="B147" s="20" t="str">
        <f>HYPERLINK("https://twitter.com/Bhuvi2_0","@Bhuvi2_0")</f>
        <v>@Bhuvi2_0</v>
      </c>
      <c r="C147" s="21" t="s">
        <v>454</v>
      </c>
      <c r="D147" s="21" t="s">
        <v>42</v>
      </c>
      <c r="E147" s="22" t="str">
        <f>HYPERLINK("https://twitter.com/Bhuvi2_0/status/922379734285139968","922379734285139968")</f>
        <v>922379734285139968</v>
      </c>
      <c r="F147" s="23" t="s">
        <v>39</v>
      </c>
      <c r="G147" s="24">
        <v>16.0</v>
      </c>
      <c r="H147" s="24">
        <v>183.0</v>
      </c>
      <c r="I147" s="24">
        <v>8501.0</v>
      </c>
      <c r="J147" s="24">
        <v>0.0</v>
      </c>
      <c r="K147" s="23" t="s">
        <v>34</v>
      </c>
      <c r="L147" s="25">
        <v>42965.140543981484</v>
      </c>
      <c r="M147" s="26" t="s">
        <v>56</v>
      </c>
      <c r="N147" s="26" t="s">
        <v>455</v>
      </c>
      <c r="O147" s="22" t="str">
        <f>HYPERLINK("https://pbs.twimg.com/profile_images/921242321756217346/kpT2gh7K_normal.jpg","View")</f>
        <v>View</v>
      </c>
      <c r="P147" s="27"/>
    </row>
    <row r="148">
      <c r="A148" s="14">
        <v>43031.063043981485</v>
      </c>
      <c r="B148" s="20" t="str">
        <f>HYPERLINK("https://twitter.com/mitrasubrata","@mitrasubrata")</f>
        <v>@mitrasubrata</v>
      </c>
      <c r="C148" s="21" t="s">
        <v>456</v>
      </c>
      <c r="D148" s="21" t="s">
        <v>163</v>
      </c>
      <c r="E148" s="22" t="str">
        <f>HYPERLINK("https://twitter.com/mitrasubrata/status/922379765285232640","922379765285232640")</f>
        <v>922379765285232640</v>
      </c>
      <c r="F148" s="23" t="s">
        <v>33</v>
      </c>
      <c r="G148" s="24">
        <v>258.0</v>
      </c>
      <c r="H148" s="24">
        <v>644.0</v>
      </c>
      <c r="I148" s="24">
        <v>1005.0</v>
      </c>
      <c r="J148" s="24">
        <v>0.0</v>
      </c>
      <c r="K148" s="23" t="s">
        <v>34</v>
      </c>
      <c r="L148" s="25">
        <v>40078.46875</v>
      </c>
      <c r="M148" s="26" t="s">
        <v>457</v>
      </c>
      <c r="N148" s="26" t="s">
        <v>458</v>
      </c>
      <c r="O148" s="22" t="str">
        <f>HYPERLINK("https://pbs.twimg.com/profile_images/378800000638199262/c6f6511b5536f55baa77715e8e8ba9e8_normal.jpeg","View")</f>
        <v>View</v>
      </c>
      <c r="P148" s="27"/>
    </row>
    <row r="149">
      <c r="A149" s="14">
        <v>43031.063043981485</v>
      </c>
      <c r="B149" s="20" t="str">
        <f>HYPERLINK("https://twitter.com/ajay97781","@ajay97781")</f>
        <v>@ajay97781</v>
      </c>
      <c r="C149" s="21" t="s">
        <v>459</v>
      </c>
      <c r="D149" s="21" t="s">
        <v>42</v>
      </c>
      <c r="E149" s="22" t="str">
        <f>HYPERLINK("https://twitter.com/ajay97781/status/922379766493200385","922379766493200385")</f>
        <v>922379766493200385</v>
      </c>
      <c r="F149" s="23" t="s">
        <v>33</v>
      </c>
      <c r="G149" s="24">
        <v>613.0</v>
      </c>
      <c r="H149" s="24">
        <v>777.0</v>
      </c>
      <c r="I149" s="24">
        <v>8501.0</v>
      </c>
      <c r="J149" s="24">
        <v>0.0</v>
      </c>
      <c r="K149" s="23" t="s">
        <v>34</v>
      </c>
      <c r="L149" s="25">
        <v>42212.10515046296</v>
      </c>
      <c r="M149" s="26" t="s">
        <v>195</v>
      </c>
      <c r="N149" s="26" t="s">
        <v>460</v>
      </c>
      <c r="O149" s="22" t="str">
        <f>HYPERLINK("https://pbs.twimg.com/profile_images/813299853698756609/NFY80EFW_normal.jpg","View")</f>
        <v>View</v>
      </c>
      <c r="P149" s="27"/>
    </row>
    <row r="150">
      <c r="A150" s="14">
        <v>43031.063055555554</v>
      </c>
      <c r="B150" s="20" t="str">
        <f>HYPERLINK("https://twitter.com/punda_amechoka","@punda_amechoka")</f>
        <v>@punda_amechoka</v>
      </c>
      <c r="C150" s="21" t="s">
        <v>461</v>
      </c>
      <c r="D150" s="21" t="s">
        <v>32</v>
      </c>
      <c r="E150" s="22" t="str">
        <f>HYPERLINK("https://twitter.com/punda_amechoka/status/922379768443559936","922379768443559936")</f>
        <v>922379768443559936</v>
      </c>
      <c r="F150" s="23" t="s">
        <v>33</v>
      </c>
      <c r="G150" s="24">
        <v>129.0</v>
      </c>
      <c r="H150" s="24">
        <v>357.0</v>
      </c>
      <c r="I150" s="24">
        <v>471.0</v>
      </c>
      <c r="J150" s="24">
        <v>0.0</v>
      </c>
      <c r="K150" s="23" t="s">
        <v>34</v>
      </c>
      <c r="L150" s="25">
        <v>42941.47746527778</v>
      </c>
      <c r="M150" s="28"/>
      <c r="N150" s="28"/>
      <c r="O150" s="22" t="str">
        <f>HYPERLINK("https://pbs.twimg.com/profile_images/909368738172014592/VMP0BgM-_normal.jpg","View")</f>
        <v>View</v>
      </c>
      <c r="P150" s="27"/>
    </row>
    <row r="151">
      <c r="A151" s="14">
        <v>43031.06313657407</v>
      </c>
      <c r="B151" s="20" t="str">
        <f>HYPERLINK("https://twitter.com/ilovedirestrait","@ilovedirestrait")</f>
        <v>@ilovedirestrait</v>
      </c>
      <c r="C151" s="21" t="s">
        <v>462</v>
      </c>
      <c r="D151" s="21" t="s">
        <v>463</v>
      </c>
      <c r="E151" s="22" t="str">
        <f>HYPERLINK("https://twitter.com/ilovedirestrait/status/922379796872511488","922379796872511488")</f>
        <v>922379796872511488</v>
      </c>
      <c r="F151" s="23" t="s">
        <v>39</v>
      </c>
      <c r="G151" s="24">
        <v>1221.0</v>
      </c>
      <c r="H151" s="24">
        <v>1010.0</v>
      </c>
      <c r="I151" s="24">
        <v>4.0</v>
      </c>
      <c r="J151" s="24">
        <v>0.0</v>
      </c>
      <c r="K151" s="23" t="s">
        <v>34</v>
      </c>
      <c r="L151" s="25">
        <v>40504.912314814814</v>
      </c>
      <c r="M151" s="28"/>
      <c r="N151" s="26" t="s">
        <v>464</v>
      </c>
      <c r="O151" s="22" t="str">
        <f>HYPERLINK("https://pbs.twimg.com/profile_images/888748952668864512/f7Q19HPa_normal.jpg","View")</f>
        <v>View</v>
      </c>
      <c r="P151" s="27"/>
    </row>
    <row r="152">
      <c r="A152" s="14">
        <v>43031.063159722224</v>
      </c>
      <c r="B152" s="20" t="str">
        <f>HYPERLINK("https://twitter.com/Dr_S_K_Sharan","@Dr_S_K_Sharan")</f>
        <v>@Dr_S_K_Sharan</v>
      </c>
      <c r="C152" s="21" t="s">
        <v>465</v>
      </c>
      <c r="D152" s="21" t="s">
        <v>42</v>
      </c>
      <c r="E152" s="22" t="str">
        <f>HYPERLINK("https://twitter.com/Dr_S_K_Sharan/status/922379805353328640","922379805353328640")</f>
        <v>922379805353328640</v>
      </c>
      <c r="F152" s="23" t="s">
        <v>33</v>
      </c>
      <c r="G152" s="24">
        <v>119.0</v>
      </c>
      <c r="H152" s="24">
        <v>171.0</v>
      </c>
      <c r="I152" s="24">
        <v>8501.0</v>
      </c>
      <c r="J152" s="24">
        <v>0.0</v>
      </c>
      <c r="K152" s="23" t="s">
        <v>34</v>
      </c>
      <c r="L152" s="25">
        <v>40506.99628472222</v>
      </c>
      <c r="M152" s="26" t="s">
        <v>466</v>
      </c>
      <c r="N152" s="26" t="s">
        <v>467</v>
      </c>
      <c r="O152" s="22" t="str">
        <f>HYPERLINK("https://pbs.twimg.com/profile_images/1501701221/SKS_normal.jpg","View")</f>
        <v>View</v>
      </c>
      <c r="P152" s="27"/>
    </row>
    <row r="153">
      <c r="A153" s="14">
        <v>43031.063159722224</v>
      </c>
      <c r="B153" s="20" t="str">
        <f>HYPERLINK("https://twitter.com/suryaaveer","@suryaaveer")</f>
        <v>@suryaaveer</v>
      </c>
      <c r="C153" s="21" t="s">
        <v>468</v>
      </c>
      <c r="D153" s="21" t="s">
        <v>42</v>
      </c>
      <c r="E153" s="22" t="str">
        <f>HYPERLINK("https://twitter.com/suryaaveer/status/922379807626629120","922379807626629120")</f>
        <v>922379807626629120</v>
      </c>
      <c r="F153" s="23" t="s">
        <v>33</v>
      </c>
      <c r="G153" s="24">
        <v>34.0</v>
      </c>
      <c r="H153" s="24">
        <v>48.0</v>
      </c>
      <c r="I153" s="24">
        <v>8501.0</v>
      </c>
      <c r="J153" s="24">
        <v>0.0</v>
      </c>
      <c r="K153" s="23" t="s">
        <v>34</v>
      </c>
      <c r="L153" s="25">
        <v>40891.95390046296</v>
      </c>
      <c r="M153" s="28"/>
      <c r="N153" s="26" t="s">
        <v>469</v>
      </c>
      <c r="O153" s="22" t="str">
        <f>HYPERLINK("https://pbs.twimg.com/profile_images/378800000791905188/3ca17477e2211ae9707bca4454fab1e4_normal.jpeg","View")</f>
        <v>View</v>
      </c>
      <c r="P153" s="27"/>
    </row>
    <row r="154">
      <c r="A154" s="14">
        <v>43031.06319444445</v>
      </c>
      <c r="B154" s="20" t="str">
        <f>HYPERLINK("https://twitter.com/adroit_research","@adroit_research")</f>
        <v>@adroit_research</v>
      </c>
      <c r="C154" s="21" t="s">
        <v>470</v>
      </c>
      <c r="D154" s="21" t="s">
        <v>471</v>
      </c>
      <c r="E154" s="22" t="str">
        <f>HYPERLINK("https://twitter.com/adroit_research/status/922379819567915009","922379819567915009")</f>
        <v>922379819567915009</v>
      </c>
      <c r="F154" s="23" t="s">
        <v>55</v>
      </c>
      <c r="G154" s="24">
        <v>1197.0</v>
      </c>
      <c r="H154" s="24">
        <v>623.0</v>
      </c>
      <c r="I154" s="24">
        <v>0.0</v>
      </c>
      <c r="J154" s="24">
        <v>0.0</v>
      </c>
      <c r="K154" s="23" t="s">
        <v>34</v>
      </c>
      <c r="L154" s="25">
        <v>42088.06957175926</v>
      </c>
      <c r="M154" s="26" t="s">
        <v>472</v>
      </c>
      <c r="N154" s="26" t="s">
        <v>473</v>
      </c>
      <c r="O154" s="22" t="str">
        <f>HYPERLINK("https://pbs.twimg.com/profile_images/762623546845564928/sbC2xSbs_normal.jpg","View")</f>
        <v>View</v>
      </c>
      <c r="P154" s="27"/>
    </row>
    <row r="155">
      <c r="A155" s="14">
        <v>43031.06321759259</v>
      </c>
      <c r="B155" s="20" t="str">
        <f>HYPERLINK("https://twitter.com/c4HmobYrBJBnraV","@c4HmobYrBJBnraV")</f>
        <v>@c4HmobYrBJBnraV</v>
      </c>
      <c r="C155" s="21" t="s">
        <v>474</v>
      </c>
      <c r="D155" s="21" t="s">
        <v>42</v>
      </c>
      <c r="E155" s="22" t="str">
        <f>HYPERLINK("https://twitter.com/c4HmobYrBJBnraV/status/922379826257838080","922379826257838080")</f>
        <v>922379826257838080</v>
      </c>
      <c r="F155" s="23" t="s">
        <v>33</v>
      </c>
      <c r="G155" s="24">
        <v>53.0</v>
      </c>
      <c r="H155" s="24">
        <v>385.0</v>
      </c>
      <c r="I155" s="24">
        <v>8501.0</v>
      </c>
      <c r="J155" s="24">
        <v>0.0</v>
      </c>
      <c r="K155" s="23" t="s">
        <v>34</v>
      </c>
      <c r="L155" s="25">
        <v>43018.981307870374</v>
      </c>
      <c r="M155" s="26" t="s">
        <v>475</v>
      </c>
      <c r="N155" s="26" t="s">
        <v>476</v>
      </c>
      <c r="O155" s="22" t="str">
        <f>HYPERLINK("https://pbs.twimg.com/profile_images/923067492917952512/9aqe9XkN_normal.jpg","View")</f>
        <v>View</v>
      </c>
      <c r="P155" s="27"/>
    </row>
    <row r="156">
      <c r="A156" s="14">
        <v>43031.06321759259</v>
      </c>
      <c r="B156" s="20" t="str">
        <f>HYPERLINK("https://twitter.com/richsister08","@richsister08")</f>
        <v>@richsister08</v>
      </c>
      <c r="C156" s="21" t="s">
        <v>477</v>
      </c>
      <c r="D156" s="21" t="s">
        <v>51</v>
      </c>
      <c r="E156" s="22" t="str">
        <f>HYPERLINK("https://twitter.com/richsister08/status/922379828845834243","922379828845834243")</f>
        <v>922379828845834243</v>
      </c>
      <c r="F156" s="23" t="s">
        <v>33</v>
      </c>
      <c r="G156" s="24">
        <v>52.0</v>
      </c>
      <c r="H156" s="24">
        <v>2191.0</v>
      </c>
      <c r="I156" s="24">
        <v>16.0</v>
      </c>
      <c r="J156" s="24">
        <v>0.0</v>
      </c>
      <c r="K156" s="23" t="s">
        <v>34</v>
      </c>
      <c r="L156" s="25">
        <v>41082.41630787037</v>
      </c>
      <c r="M156" s="26" t="s">
        <v>478</v>
      </c>
      <c r="N156" s="26" t="s">
        <v>479</v>
      </c>
      <c r="O156" s="22" t="str">
        <f>HYPERLINK("https://pbs.twimg.com/profile_images/751516050894839808/n20uPGdu_normal.jpg","View")</f>
        <v>View</v>
      </c>
      <c r="P156" s="27"/>
    </row>
    <row r="157">
      <c r="A157" s="14">
        <v>43031.063252314816</v>
      </c>
      <c r="B157" s="20" t="str">
        <f>HYPERLINK("https://twitter.com/MaimaiMaiful","@MaimaiMaiful")</f>
        <v>@MaimaiMaiful</v>
      </c>
      <c r="C157" s="21" t="s">
        <v>480</v>
      </c>
      <c r="D157" s="21" t="s">
        <v>42</v>
      </c>
      <c r="E157" s="22" t="str">
        <f>HYPERLINK("https://twitter.com/MaimaiMaiful/status/922379838266191872","922379838266191872")</f>
        <v>922379838266191872</v>
      </c>
      <c r="F157" s="23" t="s">
        <v>39</v>
      </c>
      <c r="G157" s="24">
        <v>547.0</v>
      </c>
      <c r="H157" s="24">
        <v>465.0</v>
      </c>
      <c r="I157" s="24">
        <v>8501.0</v>
      </c>
      <c r="J157" s="24">
        <v>0.0</v>
      </c>
      <c r="K157" s="23" t="s">
        <v>34</v>
      </c>
      <c r="L157" s="25">
        <v>42942.69866898148</v>
      </c>
      <c r="M157" s="28"/>
      <c r="N157" s="26" t="s">
        <v>481</v>
      </c>
      <c r="O157" s="22" t="str">
        <f>HYPERLINK("https://pbs.twimg.com/profile_images/890489274793152512/5AyjNH7j_normal.jpg","View")</f>
        <v>View</v>
      </c>
      <c r="P157" s="27"/>
    </row>
    <row r="158">
      <c r="A158" s="14">
        <v>43031.063321759255</v>
      </c>
      <c r="B158" s="20" t="str">
        <f>HYPERLINK("https://twitter.com/rechard_declan","@rechard_declan")</f>
        <v>@rechard_declan</v>
      </c>
      <c r="C158" s="21" t="s">
        <v>482</v>
      </c>
      <c r="D158" s="21" t="s">
        <v>42</v>
      </c>
      <c r="E158" s="22" t="str">
        <f>HYPERLINK("https://twitter.com/rechard_declan/status/922379865206046720","922379865206046720")</f>
        <v>922379865206046720</v>
      </c>
      <c r="F158" s="23" t="s">
        <v>55</v>
      </c>
      <c r="G158" s="24">
        <v>86.0</v>
      </c>
      <c r="H158" s="24">
        <v>194.0</v>
      </c>
      <c r="I158" s="24">
        <v>8501.0</v>
      </c>
      <c r="J158" s="24">
        <v>0.0</v>
      </c>
      <c r="K158" s="23" t="s">
        <v>34</v>
      </c>
      <c r="L158" s="25">
        <v>42331.80577546296</v>
      </c>
      <c r="M158" s="26" t="s">
        <v>71</v>
      </c>
      <c r="N158" s="26" t="s">
        <v>483</v>
      </c>
      <c r="O158" s="22" t="str">
        <f>HYPERLINK("https://pbs.twimg.com/profile_images/895086653185810433/gBtEMtcI_normal.jpg","View")</f>
        <v>View</v>
      </c>
      <c r="P158" s="27"/>
    </row>
    <row r="159">
      <c r="A159" s="14">
        <v>43031.063368055555</v>
      </c>
      <c r="B159" s="20" t="str">
        <f>HYPERLINK("https://twitter.com/sabahmajujaya","@sabahmajujaya")</f>
        <v>@sabahmajujaya</v>
      </c>
      <c r="C159" s="21" t="s">
        <v>484</v>
      </c>
      <c r="D159" s="21" t="s">
        <v>485</v>
      </c>
      <c r="E159" s="22" t="str">
        <f>HYPERLINK("https://twitter.com/sabahmajujaya/status/922379880632856576","922379880632856576")</f>
        <v>922379880632856576</v>
      </c>
      <c r="F159" s="23" t="s">
        <v>91</v>
      </c>
      <c r="G159" s="24">
        <v>5950.0</v>
      </c>
      <c r="H159" s="24">
        <v>135.0</v>
      </c>
      <c r="I159" s="24">
        <v>0.0</v>
      </c>
      <c r="J159" s="24">
        <v>0.0</v>
      </c>
      <c r="K159" s="23" t="s">
        <v>34</v>
      </c>
      <c r="L159" s="25">
        <v>40369.92123842593</v>
      </c>
      <c r="M159" s="28"/>
      <c r="N159" s="26" t="s">
        <v>486</v>
      </c>
      <c r="O159" s="22" t="str">
        <f>HYPERLINK("https://pbs.twimg.com/profile_images/533847763088187392/_f6Pcsy-_normal.jpeg","View")</f>
        <v>View</v>
      </c>
      <c r="P159" s="27"/>
    </row>
    <row r="160">
      <c r="A160" s="14">
        <v>43031.0633912037</v>
      </c>
      <c r="B160" s="20" t="str">
        <f>HYPERLINK("https://twitter.com/brbnml","@brbnml")</f>
        <v>@brbnml</v>
      </c>
      <c r="C160" s="21" t="s">
        <v>487</v>
      </c>
      <c r="D160" s="21" t="s">
        <v>42</v>
      </c>
      <c r="E160" s="22" t="str">
        <f>HYPERLINK("https://twitter.com/brbnml/status/922379890401230848","922379890401230848")</f>
        <v>922379890401230848</v>
      </c>
      <c r="F160" s="23" t="s">
        <v>33</v>
      </c>
      <c r="G160" s="24">
        <v>22.0</v>
      </c>
      <c r="H160" s="24">
        <v>29.0</v>
      </c>
      <c r="I160" s="24">
        <v>8501.0</v>
      </c>
      <c r="J160" s="24">
        <v>0.0</v>
      </c>
      <c r="K160" s="23" t="s">
        <v>34</v>
      </c>
      <c r="L160" s="25">
        <v>42649.058541666665</v>
      </c>
      <c r="M160" s="28"/>
      <c r="N160" s="26" t="s">
        <v>488</v>
      </c>
      <c r="O160" s="22" t="str">
        <f>HYPERLINK("https://pbs.twimg.com/profile_images/786590191976800257/84rrHV0v_normal.jpg","View")</f>
        <v>View</v>
      </c>
      <c r="P160" s="27"/>
    </row>
    <row r="161">
      <c r="A161" s="14">
        <v>43031.063414351855</v>
      </c>
      <c r="B161" s="20" t="str">
        <f>HYPERLINK("https://twitter.com/13FB047","@13FB047")</f>
        <v>@13FB047</v>
      </c>
      <c r="C161" s="21" t="s">
        <v>489</v>
      </c>
      <c r="D161" s="21" t="s">
        <v>490</v>
      </c>
      <c r="E161" s="22" t="str">
        <f>HYPERLINK("https://twitter.com/13FB047/status/922379899788251138","922379899788251138")</f>
        <v>922379899788251138</v>
      </c>
      <c r="F161" s="23" t="s">
        <v>55</v>
      </c>
      <c r="G161" s="24">
        <v>62.0</v>
      </c>
      <c r="H161" s="24">
        <v>186.0</v>
      </c>
      <c r="I161" s="24">
        <v>2.0</v>
      </c>
      <c r="J161" s="24">
        <v>0.0</v>
      </c>
      <c r="K161" s="23" t="s">
        <v>34</v>
      </c>
      <c r="L161" s="25">
        <v>40843.02449074074</v>
      </c>
      <c r="M161" s="26" t="s">
        <v>491</v>
      </c>
      <c r="N161" s="26" t="s">
        <v>492</v>
      </c>
      <c r="O161" s="22" t="str">
        <f>HYPERLINK("https://pbs.twimg.com/profile_images/3413728599/83a6f2422fc3bfda2cec8577c73bf91f_normal.jpeg","View")</f>
        <v>View</v>
      </c>
      <c r="P161" s="27"/>
    </row>
    <row r="162">
      <c r="A162" s="14">
        <v>43031.0634837963</v>
      </c>
      <c r="B162" s="20" t="str">
        <f>HYPERLINK("https://twitter.com/mittu746","@mittu746")</f>
        <v>@mittu746</v>
      </c>
      <c r="C162" s="21" t="s">
        <v>493</v>
      </c>
      <c r="D162" s="21" t="s">
        <v>42</v>
      </c>
      <c r="E162" s="22" t="str">
        <f>HYPERLINK("https://twitter.com/mittu746/status/922379923557269504","922379923557269504")</f>
        <v>922379923557269504</v>
      </c>
      <c r="F162" s="23" t="s">
        <v>33</v>
      </c>
      <c r="G162" s="24">
        <v>1.0</v>
      </c>
      <c r="H162" s="24">
        <v>18.0</v>
      </c>
      <c r="I162" s="24">
        <v>8501.0</v>
      </c>
      <c r="J162" s="24">
        <v>0.0</v>
      </c>
      <c r="K162" s="23" t="s">
        <v>34</v>
      </c>
      <c r="L162" s="25">
        <v>42682.39693287037</v>
      </c>
      <c r="M162" s="28"/>
      <c r="N162" s="28"/>
      <c r="O162" s="22" t="str">
        <f>HYPERLINK("https://pbs.twimg.com/profile_images/798802194002649089/3uqvdBzh_normal.jpg","View")</f>
        <v>View</v>
      </c>
      <c r="P162" s="27"/>
    </row>
    <row r="163">
      <c r="A163" s="14">
        <v>43031.06355324074</v>
      </c>
      <c r="B163" s="20" t="str">
        <f>HYPERLINK("https://twitter.com/patelankeetd","@patelankeetd")</f>
        <v>@patelankeetd</v>
      </c>
      <c r="C163" s="21" t="s">
        <v>494</v>
      </c>
      <c r="D163" s="21" t="s">
        <v>42</v>
      </c>
      <c r="E163" s="22" t="str">
        <f>HYPERLINK("https://twitter.com/patelankeetd/status/922379949729751041","922379949729751041")</f>
        <v>922379949729751041</v>
      </c>
      <c r="F163" s="23" t="s">
        <v>39</v>
      </c>
      <c r="G163" s="24">
        <v>2794.0</v>
      </c>
      <c r="H163" s="24">
        <v>33.0</v>
      </c>
      <c r="I163" s="24">
        <v>8501.0</v>
      </c>
      <c r="J163" s="24">
        <v>0.0</v>
      </c>
      <c r="K163" s="23" t="s">
        <v>34</v>
      </c>
      <c r="L163" s="25">
        <v>41946.99768518518</v>
      </c>
      <c r="M163" s="26" t="s">
        <v>204</v>
      </c>
      <c r="N163" s="26" t="s">
        <v>495</v>
      </c>
      <c r="O163" s="22" t="str">
        <f>HYPERLINK("https://pbs.twimg.com/profile_images/898370493442478080/TyGDCC8V_normal.jpg","View")</f>
        <v>View</v>
      </c>
      <c r="P163" s="27"/>
    </row>
    <row r="164">
      <c r="A164" s="14">
        <v>43031.06363425926</v>
      </c>
      <c r="B164" s="20" t="str">
        <f>HYPERLINK("https://twitter.com/TheVishalSonara","@TheVishalSonara")</f>
        <v>@TheVishalSonara</v>
      </c>
      <c r="C164" s="21" t="s">
        <v>496</v>
      </c>
      <c r="D164" s="21" t="s">
        <v>497</v>
      </c>
      <c r="E164" s="22" t="str">
        <f>HYPERLINK("https://twitter.com/TheVishalSonara/status/922379979916115968","922379979916115968")</f>
        <v>922379979916115968</v>
      </c>
      <c r="F164" s="23" t="s">
        <v>33</v>
      </c>
      <c r="G164" s="24">
        <v>2529.0</v>
      </c>
      <c r="H164" s="24">
        <v>2069.0</v>
      </c>
      <c r="I164" s="24">
        <v>0.0</v>
      </c>
      <c r="J164" s="24">
        <v>1.0</v>
      </c>
      <c r="K164" s="23" t="s">
        <v>34</v>
      </c>
      <c r="L164" s="25">
        <v>40645.50957175926</v>
      </c>
      <c r="M164" s="26" t="s">
        <v>498</v>
      </c>
      <c r="N164" s="26" t="s">
        <v>499</v>
      </c>
      <c r="O164" s="22" t="str">
        <f>HYPERLINK("https://pbs.twimg.com/profile_images/914565260459290630/_avx1OLH_normal.jpg","View")</f>
        <v>View</v>
      </c>
      <c r="P164" s="27"/>
    </row>
    <row r="165">
      <c r="A165" s="14">
        <v>43031.06363425926</v>
      </c>
      <c r="B165" s="20" t="str">
        <f>HYPERLINK("https://twitter.com/JPnewsinEng","@JPnewsinEng")</f>
        <v>@JPnewsinEng</v>
      </c>
      <c r="C165" s="21" t="s">
        <v>500</v>
      </c>
      <c r="D165" s="21" t="s">
        <v>501</v>
      </c>
      <c r="E165" s="22" t="str">
        <f>HYPERLINK("https://twitter.com/JPnewsinEng/status/922379980117610496","922379980117610496")</f>
        <v>922379980117610496</v>
      </c>
      <c r="F165" s="23" t="s">
        <v>187</v>
      </c>
      <c r="G165" s="24">
        <v>92.0</v>
      </c>
      <c r="H165" s="24">
        <v>0.0</v>
      </c>
      <c r="I165" s="24">
        <v>0.0</v>
      </c>
      <c r="J165" s="24">
        <v>0.0</v>
      </c>
      <c r="K165" s="23" t="s">
        <v>34</v>
      </c>
      <c r="L165" s="25">
        <v>42298.27949074074</v>
      </c>
      <c r="M165" s="26" t="s">
        <v>71</v>
      </c>
      <c r="N165" s="26" t="s">
        <v>502</v>
      </c>
      <c r="O165" s="22" t="str">
        <f>HYPERLINK("https://pbs.twimg.com/profile_images/658617776026705920/TPmWzjC0_normal.png","View")</f>
        <v>View</v>
      </c>
      <c r="P165" s="27"/>
    </row>
    <row r="166">
      <c r="A166" s="14">
        <v>43031.06365740741</v>
      </c>
      <c r="B166" s="20" t="str">
        <f>HYPERLINK("https://twitter.com/Anveer77","@Anveer77")</f>
        <v>@Anveer77</v>
      </c>
      <c r="C166" s="21" t="s">
        <v>503</v>
      </c>
      <c r="D166" s="21" t="s">
        <v>42</v>
      </c>
      <c r="E166" s="22" t="str">
        <f>HYPERLINK("https://twitter.com/Anveer77/status/922379985276379136","922379985276379136")</f>
        <v>922379985276379136</v>
      </c>
      <c r="F166" s="23" t="s">
        <v>33</v>
      </c>
      <c r="G166" s="24">
        <v>1060.0</v>
      </c>
      <c r="H166" s="24">
        <v>347.0</v>
      </c>
      <c r="I166" s="24">
        <v>8501.0</v>
      </c>
      <c r="J166" s="24">
        <v>0.0</v>
      </c>
      <c r="K166" s="23" t="s">
        <v>34</v>
      </c>
      <c r="L166" s="25">
        <v>42838.380694444444</v>
      </c>
      <c r="M166" s="26" t="s">
        <v>504</v>
      </c>
      <c r="N166" s="26" t="s">
        <v>505</v>
      </c>
      <c r="O166" s="22" t="str">
        <f>HYPERLINK("https://pbs.twimg.com/profile_images/921775858162864128/Zg2gdU18_normal.jpg","View")</f>
        <v>View</v>
      </c>
      <c r="P166" s="27"/>
    </row>
    <row r="167">
      <c r="A167" s="14">
        <v>43031.063692129625</v>
      </c>
      <c r="B167" s="20" t="str">
        <f>HYPERLINK("https://twitter.com/toshi_harrier","@toshi_harrier")</f>
        <v>@toshi_harrier</v>
      </c>
      <c r="C167" s="21" t="s">
        <v>506</v>
      </c>
      <c r="D167" s="21" t="s">
        <v>42</v>
      </c>
      <c r="E167" s="22" t="str">
        <f>HYPERLINK("https://twitter.com/toshi_harrier/status/922379998433968134","922379998433968134")</f>
        <v>922379998433968134</v>
      </c>
      <c r="F167" s="23" t="s">
        <v>39</v>
      </c>
      <c r="G167" s="24">
        <v>88.0</v>
      </c>
      <c r="H167" s="24">
        <v>91.0</v>
      </c>
      <c r="I167" s="24">
        <v>8501.0</v>
      </c>
      <c r="J167" s="24">
        <v>0.0</v>
      </c>
      <c r="K167" s="23" t="s">
        <v>34</v>
      </c>
      <c r="L167" s="25">
        <v>42427.86076388889</v>
      </c>
      <c r="M167" s="28"/>
      <c r="N167" s="26" t="s">
        <v>507</v>
      </c>
      <c r="O167" s="22" t="str">
        <f>HYPERLINK("https://pbs.twimg.com/profile_images/922387285546430464/mWxMBL-6_normal.jpg","View")</f>
        <v>View</v>
      </c>
      <c r="P167" s="27"/>
    </row>
    <row r="168">
      <c r="A168" s="14">
        <v>43031.06376157407</v>
      </c>
      <c r="B168" s="20" t="str">
        <f>HYPERLINK("https://twitter.com/RichardGEarl","@RichardGEarl")</f>
        <v>@RichardGEarl</v>
      </c>
      <c r="C168" s="21" t="s">
        <v>508</v>
      </c>
      <c r="D168" s="21" t="s">
        <v>509</v>
      </c>
      <c r="E168" s="22" t="str">
        <f>HYPERLINK("https://twitter.com/RichardGEarl/status/922380023180529664","922380023180529664")</f>
        <v>922380023180529664</v>
      </c>
      <c r="F168" s="23" t="s">
        <v>427</v>
      </c>
      <c r="G168" s="24">
        <v>14512.0</v>
      </c>
      <c r="H168" s="24">
        <v>12194.0</v>
      </c>
      <c r="I168" s="24">
        <v>0.0</v>
      </c>
      <c r="J168" s="24">
        <v>0.0</v>
      </c>
      <c r="K168" s="23" t="s">
        <v>34</v>
      </c>
      <c r="L168" s="25">
        <v>39770.148368055554</v>
      </c>
      <c r="M168" s="26" t="s">
        <v>510</v>
      </c>
      <c r="N168" s="26" t="s">
        <v>511</v>
      </c>
      <c r="O168" s="22" t="str">
        <f>HYPERLINK("https://pbs.twimg.com/profile_images/1730265550/Bus_2012_Link___Twitt_normal.jpeg","View")</f>
        <v>View</v>
      </c>
      <c r="P168" s="27"/>
    </row>
    <row r="169">
      <c r="A169" s="14">
        <v>43031.06377314815</v>
      </c>
      <c r="B169" s="20" t="str">
        <f>HYPERLINK("https://twitter.com/m_kat129","@m_kat129")</f>
        <v>@m_kat129</v>
      </c>
      <c r="C169" s="21" t="s">
        <v>512</v>
      </c>
      <c r="D169" s="21" t="s">
        <v>513</v>
      </c>
      <c r="E169" s="22" t="str">
        <f>HYPERLINK("https://twitter.com/m_kat129/status/922380029471928320","922380029471928320")</f>
        <v>922380029471928320</v>
      </c>
      <c r="F169" s="23" t="s">
        <v>39</v>
      </c>
      <c r="G169" s="24">
        <v>174.0</v>
      </c>
      <c r="H169" s="24">
        <v>159.0</v>
      </c>
      <c r="I169" s="24">
        <v>101.0</v>
      </c>
      <c r="J169" s="24">
        <v>0.0</v>
      </c>
      <c r="K169" s="23" t="s">
        <v>34</v>
      </c>
      <c r="L169" s="25">
        <v>41992.10876157407</v>
      </c>
      <c r="M169" s="28"/>
      <c r="N169" s="26" t="s">
        <v>514</v>
      </c>
      <c r="O169" s="22" t="str">
        <f>HYPERLINK("https://pbs.twimg.com/profile_images/638078495231356928/vGRPsJDR_normal.jpg","View")</f>
        <v>View</v>
      </c>
      <c r="P169" s="27"/>
    </row>
    <row r="170">
      <c r="A170" s="14">
        <v>43031.063796296294</v>
      </c>
      <c r="B170" s="20" t="str">
        <f>HYPERLINK("https://twitter.com/JeffMNeale","@JeffMNeale")</f>
        <v>@JeffMNeale</v>
      </c>
      <c r="C170" s="21" t="s">
        <v>515</v>
      </c>
      <c r="D170" s="21" t="s">
        <v>516</v>
      </c>
      <c r="E170" s="22" t="str">
        <f>HYPERLINK("https://twitter.com/JeffMNeale/status/922380039097761792","922380039097761792")</f>
        <v>922380039097761792</v>
      </c>
      <c r="F170" s="23" t="s">
        <v>33</v>
      </c>
      <c r="G170" s="24">
        <v>1734.0</v>
      </c>
      <c r="H170" s="24">
        <v>956.0</v>
      </c>
      <c r="I170" s="24">
        <v>0.0</v>
      </c>
      <c r="J170" s="24">
        <v>0.0</v>
      </c>
      <c r="K170" s="23" t="s">
        <v>34</v>
      </c>
      <c r="L170" s="25">
        <v>41238.810960648145</v>
      </c>
      <c r="M170" s="26" t="s">
        <v>517</v>
      </c>
      <c r="N170" s="26" t="s">
        <v>518</v>
      </c>
      <c r="O170" s="22" t="str">
        <f>HYPERLINK("https://pbs.twimg.com/profile_images/510585849658884096/DVKiFQgG_normal.jpeg","View")</f>
        <v>View</v>
      </c>
      <c r="P170" s="27"/>
    </row>
    <row r="171">
      <c r="A171" s="14">
        <v>43031.06390046296</v>
      </c>
      <c r="B171" s="20" t="str">
        <f>HYPERLINK("https://twitter.com/MangoAdmi","@MangoAdmi")</f>
        <v>@MangoAdmi</v>
      </c>
      <c r="C171" s="21" t="s">
        <v>519</v>
      </c>
      <c r="D171" s="21" t="s">
        <v>42</v>
      </c>
      <c r="E171" s="22" t="str">
        <f>HYPERLINK("https://twitter.com/MangoAdmi/status/922380076586483712","922380076586483712")</f>
        <v>922380076586483712</v>
      </c>
      <c r="F171" s="23" t="s">
        <v>33</v>
      </c>
      <c r="G171" s="24">
        <v>550.0</v>
      </c>
      <c r="H171" s="24">
        <v>1060.0</v>
      </c>
      <c r="I171" s="24">
        <v>8501.0</v>
      </c>
      <c r="J171" s="24">
        <v>0.0</v>
      </c>
      <c r="K171" s="23" t="s">
        <v>34</v>
      </c>
      <c r="L171" s="25">
        <v>40956.10824074074</v>
      </c>
      <c r="M171" s="26" t="s">
        <v>520</v>
      </c>
      <c r="N171" s="26" t="s">
        <v>521</v>
      </c>
      <c r="O171" s="22" t="str">
        <f>HYPERLINK("https://pbs.twimg.com/profile_images/802920814404173825/W_ItaJ60_normal.jpg","View")</f>
        <v>View</v>
      </c>
      <c r="P171" s="27"/>
    </row>
    <row r="172">
      <c r="A172" s="14">
        <v>43031.063935185186</v>
      </c>
      <c r="B172" s="20" t="str">
        <f>HYPERLINK("https://twitter.com/charlately","@charlately")</f>
        <v>@charlately</v>
      </c>
      <c r="C172" s="21" t="s">
        <v>522</v>
      </c>
      <c r="D172" s="21" t="s">
        <v>523</v>
      </c>
      <c r="E172" s="22" t="str">
        <f>HYPERLINK("https://twitter.com/charlately/status/922380089387397120","922380089387397120")</f>
        <v>922380089387397120</v>
      </c>
      <c r="F172" s="23" t="s">
        <v>39</v>
      </c>
      <c r="G172" s="24">
        <v>466.0</v>
      </c>
      <c r="H172" s="24">
        <v>193.0</v>
      </c>
      <c r="I172" s="24">
        <v>97.0</v>
      </c>
      <c r="J172" s="24">
        <v>0.0</v>
      </c>
      <c r="K172" s="23" t="s">
        <v>34</v>
      </c>
      <c r="L172" s="25">
        <v>40959.235625</v>
      </c>
      <c r="M172" s="26" t="s">
        <v>524</v>
      </c>
      <c r="N172" s="28"/>
      <c r="O172" s="22" t="str">
        <f>HYPERLINK("https://pbs.twimg.com/profile_images/913440006634536963/FrsNcdJ0_normal.jpg","View")</f>
        <v>View</v>
      </c>
      <c r="P172" s="27"/>
    </row>
    <row r="173">
      <c r="A173" s="14">
        <v>43031.06396990741</v>
      </c>
      <c r="B173" s="20" t="str">
        <f>HYPERLINK("https://twitter.com/MLMANDOWARA","@MLMANDOWARA")</f>
        <v>@MLMANDOWARA</v>
      </c>
      <c r="C173" s="21" t="s">
        <v>525</v>
      </c>
      <c r="D173" s="21" t="s">
        <v>163</v>
      </c>
      <c r="E173" s="22" t="str">
        <f>HYPERLINK("https://twitter.com/MLMANDOWARA/status/922380101878087681","922380101878087681")</f>
        <v>922380101878087681</v>
      </c>
      <c r="F173" s="23" t="s">
        <v>39</v>
      </c>
      <c r="G173" s="24">
        <v>2351.0</v>
      </c>
      <c r="H173" s="24">
        <v>415.0</v>
      </c>
      <c r="I173" s="24">
        <v>1005.0</v>
      </c>
      <c r="J173" s="24">
        <v>0.0</v>
      </c>
      <c r="K173" s="23" t="s">
        <v>34</v>
      </c>
      <c r="L173" s="25">
        <v>41192.21517361111</v>
      </c>
      <c r="M173" s="26" t="s">
        <v>526</v>
      </c>
      <c r="N173" s="26" t="s">
        <v>527</v>
      </c>
      <c r="O173" s="22" t="str">
        <f>HYPERLINK("https://pbs.twimg.com/profile_images/897811799617097728/LcIJmgBO_normal.jpg","View")</f>
        <v>View</v>
      </c>
      <c r="P173" s="27"/>
    </row>
    <row r="174">
      <c r="A174" s="14">
        <v>43031.06402777778</v>
      </c>
      <c r="B174" s="20" t="str">
        <f>HYPERLINK("https://twitter.com/SanQuete","@SanQuete")</f>
        <v>@SanQuete</v>
      </c>
      <c r="C174" s="21" t="s">
        <v>528</v>
      </c>
      <c r="D174" s="21" t="s">
        <v>42</v>
      </c>
      <c r="E174" s="22" t="str">
        <f>HYPERLINK("https://twitter.com/SanQuete/status/922380121503387648","922380121503387648")</f>
        <v>922380121503387648</v>
      </c>
      <c r="F174" s="23" t="s">
        <v>33</v>
      </c>
      <c r="G174" s="24">
        <v>14.0</v>
      </c>
      <c r="H174" s="24">
        <v>52.0</v>
      </c>
      <c r="I174" s="24">
        <v>8501.0</v>
      </c>
      <c r="J174" s="24">
        <v>0.0</v>
      </c>
      <c r="K174" s="23" t="s">
        <v>34</v>
      </c>
      <c r="L174" s="25">
        <v>40654.96163194445</v>
      </c>
      <c r="M174" s="26" t="s">
        <v>246</v>
      </c>
      <c r="N174" s="33" t="s">
        <v>529</v>
      </c>
      <c r="O174" s="22" t="str">
        <f>HYPERLINK("https://pbs.twimg.com/profile_images/906469962004488192/RBynFPlb_normal.jpg","View")</f>
        <v>View</v>
      </c>
      <c r="P174" s="27"/>
    </row>
    <row r="175">
      <c r="A175" s="14">
        <v>43031.064039351855</v>
      </c>
      <c r="B175" s="20" t="str">
        <f>HYPERLINK("https://twitter.com/mrigesh_kumar","@mrigesh_kumar")</f>
        <v>@mrigesh_kumar</v>
      </c>
      <c r="C175" s="21" t="s">
        <v>530</v>
      </c>
      <c r="D175" s="21" t="s">
        <v>42</v>
      </c>
      <c r="E175" s="22" t="str">
        <f>HYPERLINK("https://twitter.com/mrigesh_kumar/status/922380125127233536","922380125127233536")</f>
        <v>922380125127233536</v>
      </c>
      <c r="F175" s="23" t="s">
        <v>33</v>
      </c>
      <c r="G175" s="24">
        <v>25.0</v>
      </c>
      <c r="H175" s="24">
        <v>78.0</v>
      </c>
      <c r="I175" s="24">
        <v>8501.0</v>
      </c>
      <c r="J175" s="24">
        <v>0.0</v>
      </c>
      <c r="K175" s="23" t="s">
        <v>34</v>
      </c>
      <c r="L175" s="25">
        <v>40930.21582175926</v>
      </c>
      <c r="M175" s="26" t="s">
        <v>531</v>
      </c>
      <c r="N175" s="28"/>
      <c r="O175" s="22" t="str">
        <f>HYPERLINK("https://pbs.twimg.com/profile_images/902788572465336320/tG7VdQv-_normal.jpg","View")</f>
        <v>View</v>
      </c>
      <c r="P175" s="27"/>
    </row>
    <row r="176">
      <c r="A176" s="14">
        <v>43031.064050925925</v>
      </c>
      <c r="B176" s="20" t="str">
        <f>HYPERLINK("https://twitter.com/babu_ringa","@babu_ringa")</f>
        <v>@babu_ringa</v>
      </c>
      <c r="C176" s="21" t="s">
        <v>532</v>
      </c>
      <c r="D176" s="21" t="s">
        <v>32</v>
      </c>
      <c r="E176" s="22" t="str">
        <f>HYPERLINK("https://twitter.com/babu_ringa/status/922380129631985664","922380129631985664")</f>
        <v>922380129631985664</v>
      </c>
      <c r="F176" s="23" t="s">
        <v>86</v>
      </c>
      <c r="G176" s="24">
        <v>277.0</v>
      </c>
      <c r="H176" s="24">
        <v>168.0</v>
      </c>
      <c r="I176" s="24">
        <v>471.0</v>
      </c>
      <c r="J176" s="24">
        <v>0.0</v>
      </c>
      <c r="K176" s="23" t="s">
        <v>34</v>
      </c>
      <c r="L176" s="25">
        <v>40771.25649305555</v>
      </c>
      <c r="M176" s="26" t="s">
        <v>533</v>
      </c>
      <c r="N176" s="26" t="s">
        <v>534</v>
      </c>
      <c r="O176" s="22" t="str">
        <f>HYPERLINK("https://pbs.twimg.com/profile_images/883661937783054336/6gP5iU3V_normal.jpg","View")</f>
        <v>View</v>
      </c>
      <c r="P176" s="27"/>
    </row>
    <row r="177">
      <c r="A177" s="14">
        <v>43031.06407407408</v>
      </c>
      <c r="B177" s="20" t="str">
        <f>HYPERLINK("https://twitter.com/rightonbabe","@rightonbabe")</f>
        <v>@rightonbabe</v>
      </c>
      <c r="C177" s="21" t="s">
        <v>535</v>
      </c>
      <c r="D177" s="21" t="s">
        <v>42</v>
      </c>
      <c r="E177" s="22" t="str">
        <f>HYPERLINK("https://twitter.com/rightonbabe/status/922380136535560193","922380136535560193")</f>
        <v>922380136535560193</v>
      </c>
      <c r="F177" s="23" t="s">
        <v>536</v>
      </c>
      <c r="G177" s="24">
        <v>235.0</v>
      </c>
      <c r="H177" s="24">
        <v>123.0</v>
      </c>
      <c r="I177" s="24">
        <v>8501.0</v>
      </c>
      <c r="J177" s="24">
        <v>0.0</v>
      </c>
      <c r="K177" s="23" t="s">
        <v>34</v>
      </c>
      <c r="L177" s="25">
        <v>40298.23903935185</v>
      </c>
      <c r="M177" s="26" t="s">
        <v>537</v>
      </c>
      <c r="N177" s="26" t="s">
        <v>538</v>
      </c>
      <c r="O177" s="22" t="str">
        <f>HYPERLINK("https://pbs.twimg.com/profile_images/420899892429484032/Ko3U-VJq_normal.jpeg","View")</f>
        <v>View</v>
      </c>
      <c r="P177" s="27"/>
    </row>
    <row r="178">
      <c r="A178" s="14">
        <v>43031.064155092594</v>
      </c>
      <c r="B178" s="20" t="str">
        <f>HYPERLINK("https://twitter.com/inews2day","@inews2day")</f>
        <v>@inews2day</v>
      </c>
      <c r="C178" s="21" t="s">
        <v>539</v>
      </c>
      <c r="D178" s="21" t="s">
        <v>540</v>
      </c>
      <c r="E178" s="22" t="str">
        <f>HYPERLINK("https://twitter.com/inews2day/status/922380169242914817","922380169242914817")</f>
        <v>922380169242914817</v>
      </c>
      <c r="F178" s="30" t="s">
        <v>191</v>
      </c>
      <c r="G178" s="24">
        <v>487.0</v>
      </c>
      <c r="H178" s="24">
        <v>0.0</v>
      </c>
      <c r="I178" s="24">
        <v>0.0</v>
      </c>
      <c r="J178" s="24">
        <v>0.0</v>
      </c>
      <c r="K178" s="23" t="s">
        <v>34</v>
      </c>
      <c r="L178" s="25">
        <v>42055.11097222222</v>
      </c>
      <c r="M178" s="26" t="s">
        <v>541</v>
      </c>
      <c r="N178" s="26" t="s">
        <v>542</v>
      </c>
      <c r="O178" s="22" t="str">
        <f>HYPERLINK("https://pbs.twimg.com/profile_images/568731081323466752/-oyEQpj9_normal.jpeg","View")</f>
        <v>View</v>
      </c>
      <c r="P178" s="27"/>
    </row>
    <row r="179">
      <c r="A179" s="14">
        <v>43031.06420138889</v>
      </c>
      <c r="B179" s="20" t="str">
        <f>HYPERLINK("https://twitter.com/Tian_A1","@Tian_A1")</f>
        <v>@Tian_A1</v>
      </c>
      <c r="C179" s="21" t="s">
        <v>543</v>
      </c>
      <c r="D179" s="21" t="s">
        <v>544</v>
      </c>
      <c r="E179" s="22" t="str">
        <f>HYPERLINK("https://twitter.com/Tian_A1/status/922380183168016385","922380183168016385")</f>
        <v>922380183168016385</v>
      </c>
      <c r="F179" s="23" t="s">
        <v>545</v>
      </c>
      <c r="G179" s="24">
        <v>1497.0</v>
      </c>
      <c r="H179" s="24">
        <v>1046.0</v>
      </c>
      <c r="I179" s="24">
        <v>0.0</v>
      </c>
      <c r="J179" s="24">
        <v>0.0</v>
      </c>
      <c r="K179" s="23" t="s">
        <v>34</v>
      </c>
      <c r="L179" s="25">
        <v>42392.213113425925</v>
      </c>
      <c r="M179" s="26" t="s">
        <v>546</v>
      </c>
      <c r="N179" s="26" t="s">
        <v>547</v>
      </c>
      <c r="O179" s="22" t="str">
        <f>HYPERLINK("https://pbs.twimg.com/profile_images/700239736045178880/DGNyY9LZ_normal.png","View")</f>
        <v>View</v>
      </c>
      <c r="P179" s="27"/>
    </row>
    <row r="180">
      <c r="A180" s="14">
        <v>43031.06420138889</v>
      </c>
      <c r="B180" s="20" t="str">
        <f>HYPERLINK("https://twitter.com/IADataCloud","@IADataCloud")</f>
        <v>@IADataCloud</v>
      </c>
      <c r="C180" s="21" t="s">
        <v>548</v>
      </c>
      <c r="D180" s="21" t="s">
        <v>549</v>
      </c>
      <c r="E180" s="22" t="str">
        <f>HYPERLINK("https://twitter.com/IADataCloud/status/922380185953062918","922380185953062918")</f>
        <v>922380185953062918</v>
      </c>
      <c r="F180" s="23" t="s">
        <v>545</v>
      </c>
      <c r="G180" s="24">
        <v>497.0</v>
      </c>
      <c r="H180" s="24">
        <v>392.0</v>
      </c>
      <c r="I180" s="24">
        <v>0.0</v>
      </c>
      <c r="J180" s="24">
        <v>0.0</v>
      </c>
      <c r="K180" s="23" t="s">
        <v>34</v>
      </c>
      <c r="L180" s="25">
        <v>42561.99059027778</v>
      </c>
      <c r="M180" s="26" t="s">
        <v>550</v>
      </c>
      <c r="N180" s="28"/>
      <c r="O180" s="22" t="str">
        <f>HYPERLINK("https://pbs.twimg.com/profile_images/754661324576219137/PlUZoEwC_normal.jpg","View")</f>
        <v>View</v>
      </c>
      <c r="P180" s="27"/>
    </row>
    <row r="181">
      <c r="A181" s="14">
        <v>43031.06423611111</v>
      </c>
      <c r="B181" s="20" t="str">
        <f>HYPERLINK("https://twitter.com/58Qqgo","@58Qqgo")</f>
        <v>@58Qqgo</v>
      </c>
      <c r="C181" s="21" t="s">
        <v>551</v>
      </c>
      <c r="D181" s="21" t="s">
        <v>42</v>
      </c>
      <c r="E181" s="22" t="str">
        <f>HYPERLINK("https://twitter.com/58Qqgo/status/922380195738271744","922380195738271744")</f>
        <v>922380195738271744</v>
      </c>
      <c r="F181" s="23" t="s">
        <v>39</v>
      </c>
      <c r="G181" s="24">
        <v>815.0</v>
      </c>
      <c r="H181" s="24">
        <v>2287.0</v>
      </c>
      <c r="I181" s="24">
        <v>8501.0</v>
      </c>
      <c r="J181" s="24">
        <v>0.0</v>
      </c>
      <c r="K181" s="23" t="s">
        <v>34</v>
      </c>
      <c r="L181" s="25">
        <v>42817.54833333333</v>
      </c>
      <c r="M181" s="28"/>
      <c r="N181" s="26" t="s">
        <v>552</v>
      </c>
      <c r="O181" s="22" t="str">
        <f>HYPERLINK("https://pbs.twimg.com/profile_images/922930709215395840/h0swbcyg_normal.jpg","View")</f>
        <v>View</v>
      </c>
      <c r="P181" s="27"/>
    </row>
    <row r="182">
      <c r="A182" s="14">
        <v>43031.064293981486</v>
      </c>
      <c r="B182" s="20" t="str">
        <f>HYPERLINK("https://twitter.com/denishouko9","@denishouko9")</f>
        <v>@denishouko9</v>
      </c>
      <c r="C182" s="21" t="s">
        <v>553</v>
      </c>
      <c r="D182" s="21" t="s">
        <v>32</v>
      </c>
      <c r="E182" s="22" t="str">
        <f>HYPERLINK("https://twitter.com/denishouko9/status/922380217540214784","922380217540214784")</f>
        <v>922380217540214784</v>
      </c>
      <c r="F182" s="23" t="s">
        <v>33</v>
      </c>
      <c r="G182" s="24">
        <v>536.0</v>
      </c>
      <c r="H182" s="24">
        <v>2027.0</v>
      </c>
      <c r="I182" s="24">
        <v>471.0</v>
      </c>
      <c r="J182" s="24">
        <v>0.0</v>
      </c>
      <c r="K182" s="23" t="s">
        <v>34</v>
      </c>
      <c r="L182" s="25">
        <v>42804.452048611114</v>
      </c>
      <c r="M182" s="26" t="s">
        <v>114</v>
      </c>
      <c r="N182" s="28"/>
      <c r="O182" s="22" t="str">
        <f>HYPERLINK("https://pbs.twimg.com/profile_images/872666710331011073/VGVyDkcD_normal.jpg","View")</f>
        <v>View</v>
      </c>
      <c r="P182" s="27"/>
    </row>
    <row r="183">
      <c r="A183" s="14">
        <v>43031.06454861111</v>
      </c>
      <c r="B183" s="20" t="str">
        <f>HYPERLINK("https://twitter.com/Raghven21133786","@Raghven21133786")</f>
        <v>@Raghven21133786</v>
      </c>
      <c r="C183" s="21" t="s">
        <v>554</v>
      </c>
      <c r="D183" s="21" t="s">
        <v>42</v>
      </c>
      <c r="E183" s="22" t="str">
        <f>HYPERLINK("https://twitter.com/Raghven21133786/status/922380310737690624","922380310737690624")</f>
        <v>922380310737690624</v>
      </c>
      <c r="F183" s="23" t="s">
        <v>33</v>
      </c>
      <c r="G183" s="24">
        <v>79.0</v>
      </c>
      <c r="H183" s="24">
        <v>450.0</v>
      </c>
      <c r="I183" s="24">
        <v>8501.0</v>
      </c>
      <c r="J183" s="24">
        <v>0.0</v>
      </c>
      <c r="K183" s="23" t="s">
        <v>34</v>
      </c>
      <c r="L183" s="25">
        <v>42996.76704861112</v>
      </c>
      <c r="M183" s="26" t="s">
        <v>227</v>
      </c>
      <c r="N183" s="26" t="s">
        <v>555</v>
      </c>
      <c r="O183" s="22" t="str">
        <f>HYPERLINK("https://pbs.twimg.com/profile_images/909994391560790016/hDLx09o-_normal.jpg","View")</f>
        <v>View</v>
      </c>
      <c r="P183" s="27"/>
    </row>
    <row r="184">
      <c r="A184" s="14">
        <v>43031.06469907408</v>
      </c>
      <c r="B184" s="20" t="str">
        <f>HYPERLINK("https://twitter.com/ModifiedTripura","@ModifiedTripura")</f>
        <v>@ModifiedTripura</v>
      </c>
      <c r="C184" s="21" t="s">
        <v>556</v>
      </c>
      <c r="D184" s="21" t="s">
        <v>42</v>
      </c>
      <c r="E184" s="22" t="str">
        <f>HYPERLINK("https://twitter.com/ModifiedTripura/status/922380366236626944","922380366236626944")</f>
        <v>922380366236626944</v>
      </c>
      <c r="F184" s="23" t="s">
        <v>33</v>
      </c>
      <c r="G184" s="24">
        <v>13.0</v>
      </c>
      <c r="H184" s="24">
        <v>57.0</v>
      </c>
      <c r="I184" s="24">
        <v>8501.0</v>
      </c>
      <c r="J184" s="24">
        <v>0.0</v>
      </c>
      <c r="K184" s="23" t="s">
        <v>34</v>
      </c>
      <c r="L184" s="25">
        <v>43024.20049768519</v>
      </c>
      <c r="M184" s="26" t="s">
        <v>557</v>
      </c>
      <c r="N184" s="26" t="s">
        <v>558</v>
      </c>
      <c r="O184" s="22" t="str">
        <f>HYPERLINK("https://pbs.twimg.com/profile_images/919898597079990285/e0YuMtA2_normal.jpg","View")</f>
        <v>View</v>
      </c>
      <c r="P184" s="27"/>
    </row>
    <row r="185">
      <c r="A185" s="14">
        <v>43031.06471064815</v>
      </c>
      <c r="B185" s="20" t="str">
        <f>HYPERLINK("https://twitter.com/n1veda","@n1veda")</f>
        <v>@n1veda</v>
      </c>
      <c r="C185" s="21" t="s">
        <v>559</v>
      </c>
      <c r="D185" s="21" t="s">
        <v>82</v>
      </c>
      <c r="E185" s="22" t="str">
        <f>HYPERLINK("https://twitter.com/n1veda/status/922380367192928256","922380367192928256")</f>
        <v>922380367192928256</v>
      </c>
      <c r="F185" s="23" t="s">
        <v>39</v>
      </c>
      <c r="G185" s="24">
        <v>757.0</v>
      </c>
      <c r="H185" s="24">
        <v>999.0</v>
      </c>
      <c r="I185" s="24">
        <v>38.0</v>
      </c>
      <c r="J185" s="24">
        <v>0.0</v>
      </c>
      <c r="K185" s="23" t="s">
        <v>34</v>
      </c>
      <c r="L185" s="25">
        <v>39967.29077546296</v>
      </c>
      <c r="M185" s="26" t="s">
        <v>560</v>
      </c>
      <c r="N185" s="26" t="s">
        <v>561</v>
      </c>
      <c r="O185" s="22" t="str">
        <f>HYPERLINK("https://pbs.twimg.com/profile_images/921092754100195328/nxIWhIek_normal.jpg","View")</f>
        <v>View</v>
      </c>
      <c r="P185" s="27"/>
    </row>
    <row r="186">
      <c r="A186" s="14">
        <v>43031.06476851852</v>
      </c>
      <c r="B186" s="20" t="str">
        <f>HYPERLINK("https://twitter.com/morris0731","@morris0731")</f>
        <v>@morris0731</v>
      </c>
      <c r="C186" s="21" t="s">
        <v>562</v>
      </c>
      <c r="D186" s="21" t="s">
        <v>42</v>
      </c>
      <c r="E186" s="22" t="str">
        <f>HYPERLINK("https://twitter.com/morris0731/status/922380388063854593","922380388063854593")</f>
        <v>922380388063854593</v>
      </c>
      <c r="F186" s="23" t="s">
        <v>33</v>
      </c>
      <c r="G186" s="24">
        <v>1015.0</v>
      </c>
      <c r="H186" s="24">
        <v>1164.0</v>
      </c>
      <c r="I186" s="24">
        <v>8501.0</v>
      </c>
      <c r="J186" s="24">
        <v>0.0</v>
      </c>
      <c r="K186" s="23" t="s">
        <v>34</v>
      </c>
      <c r="L186" s="25">
        <v>42883.8446875</v>
      </c>
      <c r="M186" s="28"/>
      <c r="N186" s="26" t="s">
        <v>563</v>
      </c>
      <c r="O186" s="22" t="str">
        <f>HYPERLINK("https://pbs.twimg.com/profile_images/869031307296219137/gBU1l-q7_normal.jpg","View")</f>
        <v>View</v>
      </c>
      <c r="P186" s="27"/>
    </row>
    <row r="187">
      <c r="A187" s="14">
        <v>43031.064780092594</v>
      </c>
      <c r="B187" s="20" t="str">
        <f>HYPERLINK("https://twitter.com/JamesMurphy4562","@JamesMurphy4562")</f>
        <v>@JamesMurphy4562</v>
      </c>
      <c r="C187" s="21" t="s">
        <v>564</v>
      </c>
      <c r="D187" s="21" t="s">
        <v>565</v>
      </c>
      <c r="E187" s="22" t="str">
        <f>HYPERLINK("https://twitter.com/JamesMurphy4562/status/922380392924987393","922380392924987393")</f>
        <v>922380392924987393</v>
      </c>
      <c r="F187" s="23" t="s">
        <v>566</v>
      </c>
      <c r="G187" s="24">
        <v>58.0</v>
      </c>
      <c r="H187" s="24">
        <v>24.0</v>
      </c>
      <c r="I187" s="24">
        <v>0.0</v>
      </c>
      <c r="J187" s="24">
        <v>0.0</v>
      </c>
      <c r="K187" s="23" t="s">
        <v>34</v>
      </c>
      <c r="L187" s="25">
        <v>42921.52648148148</v>
      </c>
      <c r="M187" s="26" t="s">
        <v>567</v>
      </c>
      <c r="N187" s="26" t="s">
        <v>568</v>
      </c>
      <c r="O187" s="22" t="str">
        <f>HYPERLINK("https://pbs.twimg.com/profile_images/882685471788331008/aH-pi_hG_normal.jpg","View")</f>
        <v>View</v>
      </c>
      <c r="P187" s="27"/>
    </row>
    <row r="188">
      <c r="A188" s="14">
        <v>43031.06480324074</v>
      </c>
      <c r="B188" s="20" t="str">
        <f>HYPERLINK("https://twitter.com/CSiddarth4","@CSiddarth4")</f>
        <v>@CSiddarth4</v>
      </c>
      <c r="C188" s="21" t="s">
        <v>569</v>
      </c>
      <c r="D188" s="21" t="s">
        <v>42</v>
      </c>
      <c r="E188" s="22" t="str">
        <f>HYPERLINK("https://twitter.com/CSiddarth4/status/922380401527656450","922380401527656450")</f>
        <v>922380401527656450</v>
      </c>
      <c r="F188" s="23" t="s">
        <v>33</v>
      </c>
      <c r="G188" s="24">
        <v>454.0</v>
      </c>
      <c r="H188" s="24">
        <v>2209.0</v>
      </c>
      <c r="I188" s="24">
        <v>8501.0</v>
      </c>
      <c r="J188" s="24">
        <v>0.0</v>
      </c>
      <c r="K188" s="23" t="s">
        <v>34</v>
      </c>
      <c r="L188" s="25">
        <v>40705.98423611111</v>
      </c>
      <c r="M188" s="26" t="s">
        <v>246</v>
      </c>
      <c r="N188" s="26" t="s">
        <v>570</v>
      </c>
      <c r="O188" s="22" t="str">
        <f>HYPERLINK("https://pbs.twimg.com/profile_images/744968085828886529/Nn0a5J_T_normal.jpg","View")</f>
        <v>View</v>
      </c>
      <c r="P188" s="27"/>
    </row>
    <row r="189">
      <c r="A189" s="14">
        <v>43031.06484953704</v>
      </c>
      <c r="B189" s="20" t="str">
        <f>HYPERLINK("https://twitter.com/akashsinha099","@akashsinha099")</f>
        <v>@akashsinha099</v>
      </c>
      <c r="C189" s="21" t="s">
        <v>571</v>
      </c>
      <c r="D189" s="21" t="s">
        <v>42</v>
      </c>
      <c r="E189" s="22" t="str">
        <f>HYPERLINK("https://twitter.com/akashsinha099/status/922380416786432000","922380416786432000")</f>
        <v>922380416786432000</v>
      </c>
      <c r="F189" s="23" t="s">
        <v>33</v>
      </c>
      <c r="G189" s="24">
        <v>89.0</v>
      </c>
      <c r="H189" s="24">
        <v>169.0</v>
      </c>
      <c r="I189" s="24">
        <v>8501.0</v>
      </c>
      <c r="J189" s="24">
        <v>0.0</v>
      </c>
      <c r="K189" s="23" t="s">
        <v>34</v>
      </c>
      <c r="L189" s="25">
        <v>40648.063425925924</v>
      </c>
      <c r="M189" s="26" t="s">
        <v>572</v>
      </c>
      <c r="N189" s="26" t="s">
        <v>573</v>
      </c>
      <c r="O189" s="22" t="str">
        <f>HYPERLINK("https://pbs.twimg.com/profile_images/873144392692924417/542pNOSi_normal.jpg","View")</f>
        <v>View</v>
      </c>
      <c r="P189" s="27"/>
    </row>
    <row r="190">
      <c r="A190" s="14">
        <v>43031.06486111111</v>
      </c>
      <c r="B190" s="20" t="str">
        <f>HYPERLINK("https://twitter.com/ChaudharSharda","@ChaudharSharda")</f>
        <v>@ChaudharSharda</v>
      </c>
      <c r="C190" s="21" t="s">
        <v>574</v>
      </c>
      <c r="D190" s="21" t="s">
        <v>430</v>
      </c>
      <c r="E190" s="22" t="str">
        <f>HYPERLINK("https://twitter.com/ChaudharSharda/status/922380424428494849","922380424428494849")</f>
        <v>922380424428494849</v>
      </c>
      <c r="F190" s="23" t="s">
        <v>33</v>
      </c>
      <c r="G190" s="24">
        <v>3.0</v>
      </c>
      <c r="H190" s="24">
        <v>24.0</v>
      </c>
      <c r="I190" s="24">
        <v>62.0</v>
      </c>
      <c r="J190" s="24">
        <v>0.0</v>
      </c>
      <c r="K190" s="23" t="s">
        <v>34</v>
      </c>
      <c r="L190" s="25">
        <v>42994.998449074075</v>
      </c>
      <c r="M190" s="26" t="s">
        <v>575</v>
      </c>
      <c r="N190" s="26" t="s">
        <v>576</v>
      </c>
      <c r="O190" s="22" t="str">
        <f>HYPERLINK("https://pbs.twimg.com/profile_images/909348825575309312/MioXqyCD_normal.jpg","View")</f>
        <v>View</v>
      </c>
      <c r="P190" s="27"/>
    </row>
    <row r="191">
      <c r="A191" s="14">
        <v>43031.06510416667</v>
      </c>
      <c r="B191" s="20" t="str">
        <f>HYPERLINK("https://twitter.com/nnorty625","@nnorty625")</f>
        <v>@nnorty625</v>
      </c>
      <c r="C191" s="21" t="s">
        <v>577</v>
      </c>
      <c r="D191" s="21" t="s">
        <v>51</v>
      </c>
      <c r="E191" s="22" t="str">
        <f>HYPERLINK("https://twitter.com/nnorty625/status/922380510827106305","922380510827106305")</f>
        <v>922380510827106305</v>
      </c>
      <c r="F191" s="23" t="s">
        <v>33</v>
      </c>
      <c r="G191" s="24">
        <v>50.0</v>
      </c>
      <c r="H191" s="24">
        <v>1639.0</v>
      </c>
      <c r="I191" s="24">
        <v>16.0</v>
      </c>
      <c r="J191" s="24">
        <v>0.0</v>
      </c>
      <c r="K191" s="23" t="s">
        <v>34</v>
      </c>
      <c r="L191" s="25">
        <v>41742.87101851852</v>
      </c>
      <c r="M191" s="26" t="s">
        <v>578</v>
      </c>
      <c r="N191" s="26" t="s">
        <v>579</v>
      </c>
      <c r="O191" s="22" t="str">
        <f>HYPERLINK("https://pbs.twimg.com/profile_images/751524433731457024/GJ14opOn_normal.jpg","View")</f>
        <v>View</v>
      </c>
      <c r="P191" s="27"/>
    </row>
    <row r="192">
      <c r="A192" s="14">
        <v>43031.065416666665</v>
      </c>
      <c r="B192" s="20" t="str">
        <f>HYPERLINK("https://twitter.com/NobelinS","@NobelinS")</f>
        <v>@NobelinS</v>
      </c>
      <c r="C192" s="21" t="s">
        <v>580</v>
      </c>
      <c r="D192" s="21" t="s">
        <v>82</v>
      </c>
      <c r="E192" s="22" t="str">
        <f>HYPERLINK("https://twitter.com/NobelinS/status/922380624094220288","922380624094220288")</f>
        <v>922380624094220288</v>
      </c>
      <c r="F192" s="23" t="s">
        <v>55</v>
      </c>
      <c r="G192" s="24">
        <v>271.0</v>
      </c>
      <c r="H192" s="24">
        <v>387.0</v>
      </c>
      <c r="I192" s="24">
        <v>38.0</v>
      </c>
      <c r="J192" s="24">
        <v>0.0</v>
      </c>
      <c r="K192" s="23" t="s">
        <v>34</v>
      </c>
      <c r="L192" s="25">
        <v>42945.54082175926</v>
      </c>
      <c r="M192" s="28"/>
      <c r="N192" s="28"/>
      <c r="O192" s="22" t="str">
        <f>HYPERLINK("https://pbs.twimg.com/profile_images/891561088822771712/H73Qtn8I_normal.jpg","View")</f>
        <v>View</v>
      </c>
      <c r="P192" s="27"/>
    </row>
    <row r="193">
      <c r="A193" s="14">
        <v>43031.065625</v>
      </c>
      <c r="B193" s="20" t="str">
        <f>HYPERLINK("https://twitter.com/julianknight15","@julianknight15")</f>
        <v>@julianknight15</v>
      </c>
      <c r="C193" s="21" t="s">
        <v>581</v>
      </c>
      <c r="D193" s="21" t="s">
        <v>582</v>
      </c>
      <c r="E193" s="22" t="str">
        <f>HYPERLINK("https://twitter.com/julianknight15/status/922380701399429120","922380701399429120")</f>
        <v>922380701399429120</v>
      </c>
      <c r="F193" s="23" t="s">
        <v>230</v>
      </c>
      <c r="G193" s="24">
        <v>4442.0</v>
      </c>
      <c r="H193" s="24">
        <v>650.0</v>
      </c>
      <c r="I193" s="24">
        <v>0.0</v>
      </c>
      <c r="J193" s="24">
        <v>2.0</v>
      </c>
      <c r="K193" s="23" t="s">
        <v>34</v>
      </c>
      <c r="L193" s="25">
        <v>41349.03251157407</v>
      </c>
      <c r="M193" s="26" t="s">
        <v>583</v>
      </c>
      <c r="N193" s="26" t="s">
        <v>584</v>
      </c>
      <c r="O193" s="22" t="str">
        <f>HYPERLINK("https://pbs.twimg.com/profile_images/801412483177181184/upFR1u9H_normal.jpg","View")</f>
        <v>View</v>
      </c>
      <c r="P193" s="27"/>
    </row>
    <row r="194">
      <c r="A194" s="14">
        <v>43031.06570601852</v>
      </c>
      <c r="B194" s="20" t="str">
        <f>HYPERLINK("https://twitter.com/kalpna02891469","@kalpna02891469")</f>
        <v>@kalpna02891469</v>
      </c>
      <c r="C194" s="21" t="s">
        <v>585</v>
      </c>
      <c r="D194" s="21" t="s">
        <v>42</v>
      </c>
      <c r="E194" s="22" t="str">
        <f>HYPERLINK("https://twitter.com/kalpna02891469/status/922380729941553152","922380729941553152")</f>
        <v>922380729941553152</v>
      </c>
      <c r="F194" s="23" t="s">
        <v>33</v>
      </c>
      <c r="G194" s="24">
        <v>2117.0</v>
      </c>
      <c r="H194" s="24">
        <v>1513.0</v>
      </c>
      <c r="I194" s="24">
        <v>8501.0</v>
      </c>
      <c r="J194" s="24">
        <v>0.0</v>
      </c>
      <c r="K194" s="23" t="s">
        <v>34</v>
      </c>
      <c r="L194" s="25">
        <v>42445.2130787037</v>
      </c>
      <c r="M194" s="26" t="s">
        <v>586</v>
      </c>
      <c r="N194" s="26" t="s">
        <v>587</v>
      </c>
      <c r="O194" s="22" t="str">
        <f>HYPERLINK("https://pbs.twimg.com/profile_images/868122043979640833/DQLAxNUs_normal.jpg","View")</f>
        <v>View</v>
      </c>
      <c r="P194" s="27"/>
    </row>
    <row r="195">
      <c r="A195" s="14">
        <v>43031.06574074074</v>
      </c>
      <c r="B195" s="20" t="str">
        <f>HYPERLINK("https://twitter.com/kannan978634553","@kannan978634553")</f>
        <v>@kannan978634553</v>
      </c>
      <c r="C195" s="21" t="s">
        <v>286</v>
      </c>
      <c r="D195" s="21" t="s">
        <v>163</v>
      </c>
      <c r="E195" s="22" t="str">
        <f>HYPERLINK("https://twitter.com/kannan978634553/status/922380740976820224","922380740976820224")</f>
        <v>922380740976820224</v>
      </c>
      <c r="F195" s="23" t="s">
        <v>33</v>
      </c>
      <c r="G195" s="24">
        <v>4118.0</v>
      </c>
      <c r="H195" s="24">
        <v>5001.0</v>
      </c>
      <c r="I195" s="24">
        <v>1005.0</v>
      </c>
      <c r="J195" s="24">
        <v>0.0</v>
      </c>
      <c r="K195" s="23" t="s">
        <v>34</v>
      </c>
      <c r="L195" s="25">
        <v>41472.95658564815</v>
      </c>
      <c r="M195" s="26" t="s">
        <v>287</v>
      </c>
      <c r="N195" s="28"/>
      <c r="O195" s="22" t="str">
        <f>HYPERLINK("https://pbs.twimg.com/profile_images/795714277357260800/DsoUgHQp_normal.jpg","View")</f>
        <v>View</v>
      </c>
      <c r="P195" s="27"/>
    </row>
    <row r="196">
      <c r="A196" s="14">
        <v>43031.06576388889</v>
      </c>
      <c r="B196" s="20" t="str">
        <f>HYPERLINK("https://twitter.com/DaiwaFoundation","@DaiwaFoundation")</f>
        <v>@DaiwaFoundation</v>
      </c>
      <c r="C196" s="21" t="s">
        <v>588</v>
      </c>
      <c r="D196" s="21" t="s">
        <v>589</v>
      </c>
      <c r="E196" s="22" t="str">
        <f>HYPERLINK("https://twitter.com/DaiwaFoundation/status/922380750112067584","922380750112067584")</f>
        <v>922380750112067584</v>
      </c>
      <c r="F196" s="23" t="s">
        <v>55</v>
      </c>
      <c r="G196" s="24">
        <v>3410.0</v>
      </c>
      <c r="H196" s="24">
        <v>790.0</v>
      </c>
      <c r="I196" s="24">
        <v>0.0</v>
      </c>
      <c r="J196" s="24">
        <v>3.0</v>
      </c>
      <c r="K196" s="23" t="s">
        <v>34</v>
      </c>
      <c r="L196" s="25">
        <v>40945.226643518516</v>
      </c>
      <c r="M196" s="26" t="s">
        <v>590</v>
      </c>
      <c r="N196" s="26" t="s">
        <v>591</v>
      </c>
      <c r="O196" s="22" t="str">
        <f>HYPERLINK("https://pbs.twimg.com/profile_images/458988004392988672/jT9S8-CN_normal.jpeg","View")</f>
        <v>View</v>
      </c>
      <c r="P196" s="27"/>
    </row>
    <row r="197">
      <c r="A197" s="14">
        <v>43031.06586805556</v>
      </c>
      <c r="B197" s="20" t="str">
        <f>HYPERLINK("https://twitter.com/Chandan_tndn","@Chandan_tndn")</f>
        <v>@Chandan_tndn</v>
      </c>
      <c r="C197" s="21" t="s">
        <v>592</v>
      </c>
      <c r="D197" s="21" t="s">
        <v>42</v>
      </c>
      <c r="E197" s="22" t="str">
        <f>HYPERLINK("https://twitter.com/Chandan_tndn/status/922380789169270785","922380789169270785")</f>
        <v>922380789169270785</v>
      </c>
      <c r="F197" s="23" t="s">
        <v>33</v>
      </c>
      <c r="G197" s="24">
        <v>1083.0</v>
      </c>
      <c r="H197" s="24">
        <v>395.0</v>
      </c>
      <c r="I197" s="24">
        <v>8501.0</v>
      </c>
      <c r="J197" s="24">
        <v>0.0</v>
      </c>
      <c r="K197" s="23" t="s">
        <v>34</v>
      </c>
      <c r="L197" s="25">
        <v>41599.32971064815</v>
      </c>
      <c r="M197" s="26" t="s">
        <v>593</v>
      </c>
      <c r="N197" s="26" t="s">
        <v>594</v>
      </c>
      <c r="O197" s="22" t="str">
        <f>HYPERLINK("https://pbs.twimg.com/profile_images/921268821230436352/X9sND36e_normal.jpg","View")</f>
        <v>View</v>
      </c>
      <c r="P197" s="27"/>
    </row>
    <row r="198">
      <c r="A198" s="14">
        <v>43031.06590277777</v>
      </c>
      <c r="B198" s="20" t="str">
        <f>HYPERLINK("https://twitter.com/NewzBoxOffice","@NewzBoxOffice")</f>
        <v>@NewzBoxOffice</v>
      </c>
      <c r="C198" s="21" t="s">
        <v>595</v>
      </c>
      <c r="D198" s="21" t="s">
        <v>596</v>
      </c>
      <c r="E198" s="22" t="str">
        <f>HYPERLINK("https://twitter.com/NewzBoxOffice/status/922380801718804480","922380801718804480")</f>
        <v>922380801718804480</v>
      </c>
      <c r="F198" s="23" t="s">
        <v>597</v>
      </c>
      <c r="G198" s="24">
        <v>2236.0</v>
      </c>
      <c r="H198" s="24">
        <v>874.0</v>
      </c>
      <c r="I198" s="24">
        <v>0.0</v>
      </c>
      <c r="J198" s="24">
        <v>0.0</v>
      </c>
      <c r="K198" s="23" t="s">
        <v>34</v>
      </c>
      <c r="L198" s="25">
        <v>41327.32587962963</v>
      </c>
      <c r="M198" s="28"/>
      <c r="N198" s="26" t="s">
        <v>598</v>
      </c>
      <c r="O198" s="22" t="str">
        <f>HYPERLINK("https://pbs.twimg.com/profile_images/3771449721/283f324d48438c2b267d1ed9b229f675_normal.jpeg","View")</f>
        <v>View</v>
      </c>
      <c r="P198" s="27"/>
    </row>
    <row r="199">
      <c r="A199" s="14">
        <v>43031.06597222222</v>
      </c>
      <c r="B199" s="20" t="str">
        <f>HYPERLINK("https://twitter.com/777Ashayarekar","@777Ashayarekar")</f>
        <v>@777Ashayarekar</v>
      </c>
      <c r="C199" s="21" t="s">
        <v>599</v>
      </c>
      <c r="D199" s="21" t="s">
        <v>42</v>
      </c>
      <c r="E199" s="22" t="str">
        <f>HYPERLINK("https://twitter.com/777Ashayarekar/status/922380823990452226","922380823990452226")</f>
        <v>922380823990452226</v>
      </c>
      <c r="F199" s="23" t="s">
        <v>39</v>
      </c>
      <c r="G199" s="24">
        <v>25.0</v>
      </c>
      <c r="H199" s="24">
        <v>45.0</v>
      </c>
      <c r="I199" s="24">
        <v>8501.0</v>
      </c>
      <c r="J199" s="24">
        <v>0.0</v>
      </c>
      <c r="K199" s="23" t="s">
        <v>34</v>
      </c>
      <c r="L199" s="25">
        <v>42871.947222222225</v>
      </c>
      <c r="M199" s="26" t="s">
        <v>600</v>
      </c>
      <c r="N199" s="26" t="s">
        <v>601</v>
      </c>
      <c r="O199" s="22" t="str">
        <f>HYPERLINK("https://pbs.twimg.com/profile_images/902487772950216705/r8WQQUc__normal.jpg","View")</f>
        <v>View</v>
      </c>
      <c r="P199" s="27"/>
    </row>
    <row r="200">
      <c r="A200" s="14">
        <v>43031.06606481482</v>
      </c>
      <c r="B200" s="20" t="str">
        <f>HYPERLINK("https://twitter.com/RamKumar6569","@RamKumar6569")</f>
        <v>@RamKumar6569</v>
      </c>
      <c r="C200" s="21" t="s">
        <v>602</v>
      </c>
      <c r="D200" s="21" t="s">
        <v>42</v>
      </c>
      <c r="E200" s="22" t="str">
        <f>HYPERLINK("https://twitter.com/RamKumar6569/status/922380860959080449","922380860959080449")</f>
        <v>922380860959080449</v>
      </c>
      <c r="F200" s="23" t="s">
        <v>33</v>
      </c>
      <c r="G200" s="24">
        <v>432.0</v>
      </c>
      <c r="H200" s="24">
        <v>552.0</v>
      </c>
      <c r="I200" s="24">
        <v>8501.0</v>
      </c>
      <c r="J200" s="24">
        <v>0.0</v>
      </c>
      <c r="K200" s="23" t="s">
        <v>34</v>
      </c>
      <c r="L200" s="25">
        <v>41442.083333333336</v>
      </c>
      <c r="M200" s="26" t="s">
        <v>603</v>
      </c>
      <c r="N200" s="26" t="s">
        <v>604</v>
      </c>
      <c r="O200" s="22" t="str">
        <f>HYPERLINK("https://pbs.twimg.com/profile_images/721487197120036865/VChW4MyF_normal.jpg","View")</f>
        <v>View</v>
      </c>
      <c r="P200" s="27"/>
    </row>
    <row r="201">
      <c r="A201" s="14">
        <v>43031.06613425926</v>
      </c>
      <c r="B201" s="20" t="str">
        <f>HYPERLINK("https://twitter.com/t_hisashi","@t_hisashi")</f>
        <v>@t_hisashi</v>
      </c>
      <c r="C201" s="21" t="s">
        <v>605</v>
      </c>
      <c r="D201" s="21" t="s">
        <v>67</v>
      </c>
      <c r="E201" s="22" t="str">
        <f>HYPERLINK("https://twitter.com/t_hisashi/status/922380883046277120","922380883046277120")</f>
        <v>922380883046277120</v>
      </c>
      <c r="F201" s="23" t="s">
        <v>606</v>
      </c>
      <c r="G201" s="24">
        <v>5157.0</v>
      </c>
      <c r="H201" s="24">
        <v>550.0</v>
      </c>
      <c r="I201" s="24">
        <v>169.0</v>
      </c>
      <c r="J201" s="24">
        <v>0.0</v>
      </c>
      <c r="K201" s="23" t="s">
        <v>34</v>
      </c>
      <c r="L201" s="25">
        <v>40145.284537037034</v>
      </c>
      <c r="M201" s="26" t="s">
        <v>607</v>
      </c>
      <c r="N201" s="26" t="s">
        <v>608</v>
      </c>
      <c r="O201" s="22" t="str">
        <f>HYPERLINK("https://pbs.twimg.com/profile_images/863264860145983489/BfUWjAYp_normal.jpg","View")</f>
        <v>View</v>
      </c>
      <c r="P201" s="27"/>
    </row>
    <row r="202">
      <c r="A202" s="14">
        <v>43031.066157407404</v>
      </c>
      <c r="B202" s="20" t="str">
        <f>HYPERLINK("https://twitter.com/saniitkgp","@saniitkgp")</f>
        <v>@saniitkgp</v>
      </c>
      <c r="C202" s="21" t="s">
        <v>609</v>
      </c>
      <c r="D202" s="21" t="s">
        <v>42</v>
      </c>
      <c r="E202" s="22" t="str">
        <f>HYPERLINK("https://twitter.com/saniitkgp/status/922380891804000257","922380891804000257")</f>
        <v>922380891804000257</v>
      </c>
      <c r="F202" s="23" t="s">
        <v>55</v>
      </c>
      <c r="G202" s="24">
        <v>47.0</v>
      </c>
      <c r="H202" s="24">
        <v>203.0</v>
      </c>
      <c r="I202" s="24">
        <v>8501.0</v>
      </c>
      <c r="J202" s="24">
        <v>0.0</v>
      </c>
      <c r="K202" s="23" t="s">
        <v>34</v>
      </c>
      <c r="L202" s="25">
        <v>41386.40641203704</v>
      </c>
      <c r="M202" s="28"/>
      <c r="N202" s="28"/>
      <c r="O202" s="22" t="str">
        <f>HYPERLINK("https://pbs.twimg.com/profile_images/3560508002/54b4bf9f6e29f561b0ef1725cab841e3_normal.jpeg","View")</f>
        <v>View</v>
      </c>
      <c r="P202" s="27"/>
    </row>
    <row r="203">
      <c r="A203" s="14">
        <v>43031.066203703704</v>
      </c>
      <c r="B203" s="20" t="str">
        <f>HYPERLINK("https://twitter.com/Katelyn__Anna","@Katelyn__Anna")</f>
        <v>@Katelyn__Anna</v>
      </c>
      <c r="C203" s="21" t="s">
        <v>610</v>
      </c>
      <c r="D203" s="21" t="s">
        <v>51</v>
      </c>
      <c r="E203" s="22" t="str">
        <f>HYPERLINK("https://twitter.com/Katelyn__Anna/status/922380910506463232","922380910506463232")</f>
        <v>922380910506463232</v>
      </c>
      <c r="F203" s="23" t="s">
        <v>33</v>
      </c>
      <c r="G203" s="24">
        <v>35.0</v>
      </c>
      <c r="H203" s="24">
        <v>846.0</v>
      </c>
      <c r="I203" s="24">
        <v>16.0</v>
      </c>
      <c r="J203" s="24">
        <v>0.0</v>
      </c>
      <c r="K203" s="23" t="s">
        <v>34</v>
      </c>
      <c r="L203" s="25">
        <v>41740.32061342592</v>
      </c>
      <c r="M203" s="26" t="s">
        <v>611</v>
      </c>
      <c r="N203" s="26" t="s">
        <v>612</v>
      </c>
      <c r="O203" s="22" t="str">
        <f>HYPERLINK("https://pbs.twimg.com/profile_images/750414250389143552/XxaEBLrt_normal.jpg","View")</f>
        <v>View</v>
      </c>
      <c r="P203" s="27"/>
    </row>
    <row r="204">
      <c r="A204" s="14">
        <v>43031.06623842593</v>
      </c>
      <c r="B204" s="20" t="str">
        <f>HYPERLINK("https://twitter.com/EaAotzclbAHPriS","@EaAotzclbAHPriS")</f>
        <v>@EaAotzclbAHPriS</v>
      </c>
      <c r="C204" s="21" t="s">
        <v>613</v>
      </c>
      <c r="D204" s="21" t="s">
        <v>126</v>
      </c>
      <c r="E204" s="22" t="str">
        <f>HYPERLINK("https://twitter.com/EaAotzclbAHPriS/status/922380921357008896","922380921357008896")</f>
        <v>922380921357008896</v>
      </c>
      <c r="F204" s="23" t="s">
        <v>33</v>
      </c>
      <c r="G204" s="24">
        <v>248.0</v>
      </c>
      <c r="H204" s="24">
        <v>345.0</v>
      </c>
      <c r="I204" s="24">
        <v>62.0</v>
      </c>
      <c r="J204" s="24">
        <v>0.0</v>
      </c>
      <c r="K204" s="23" t="s">
        <v>34</v>
      </c>
      <c r="L204" s="25">
        <v>42811.70106481481</v>
      </c>
      <c r="M204" s="28"/>
      <c r="N204" s="28"/>
      <c r="O204" s="22" t="str">
        <f>HYPERLINK("https://abs.twimg.com/sticky/default_profile_images/default_profile_normal.png","View")</f>
        <v>View</v>
      </c>
      <c r="P204" s="27"/>
    </row>
    <row r="205">
      <c r="A205" s="14">
        <v>43031.06631944445</v>
      </c>
      <c r="B205" s="20" t="str">
        <f>HYPERLINK("https://twitter.com/heddongibson","@heddongibson")</f>
        <v>@heddongibson</v>
      </c>
      <c r="C205" s="21" t="s">
        <v>614</v>
      </c>
      <c r="D205" s="21" t="s">
        <v>42</v>
      </c>
      <c r="E205" s="22" t="str">
        <f>HYPERLINK("https://twitter.com/heddongibson/status/922380951790895106","922380951790895106")</f>
        <v>922380951790895106</v>
      </c>
      <c r="F205" s="23" t="s">
        <v>39</v>
      </c>
      <c r="G205" s="24">
        <v>1375.0</v>
      </c>
      <c r="H205" s="24">
        <v>1467.0</v>
      </c>
      <c r="I205" s="24">
        <v>8501.0</v>
      </c>
      <c r="J205" s="24">
        <v>0.0</v>
      </c>
      <c r="K205" s="23" t="s">
        <v>34</v>
      </c>
      <c r="L205" s="25">
        <v>42508.07659722222</v>
      </c>
      <c r="M205" s="28"/>
      <c r="N205" s="26" t="s">
        <v>615</v>
      </c>
      <c r="O205" s="22" t="str">
        <f>HYPERLINK("https://pbs.twimg.com/profile_images/735323282627538947/dukAdUS6_normal.jpg","View")</f>
        <v>View</v>
      </c>
      <c r="P205" s="27"/>
    </row>
    <row r="206">
      <c r="A206" s="14">
        <v>43031.06634259259</v>
      </c>
      <c r="B206" s="20" t="str">
        <f>HYPERLINK("https://twitter.com/Ajit_Patil_17","@Ajit_Patil_17")</f>
        <v>@Ajit_Patil_17</v>
      </c>
      <c r="C206" s="21" t="s">
        <v>616</v>
      </c>
      <c r="D206" s="21" t="s">
        <v>42</v>
      </c>
      <c r="E206" s="22" t="str">
        <f>HYPERLINK("https://twitter.com/Ajit_Patil_17/status/922380958233276418","922380958233276418")</f>
        <v>922380958233276418</v>
      </c>
      <c r="F206" s="23" t="s">
        <v>55</v>
      </c>
      <c r="G206" s="24">
        <v>36.0</v>
      </c>
      <c r="H206" s="24">
        <v>217.0</v>
      </c>
      <c r="I206" s="24">
        <v>8501.0</v>
      </c>
      <c r="J206" s="24">
        <v>0.0</v>
      </c>
      <c r="K206" s="23" t="s">
        <v>34</v>
      </c>
      <c r="L206" s="25">
        <v>42951.38049768518</v>
      </c>
      <c r="M206" s="26" t="s">
        <v>617</v>
      </c>
      <c r="N206" s="26" t="s">
        <v>618</v>
      </c>
      <c r="O206" s="22" t="str">
        <f>HYPERLINK("https://pbs.twimg.com/profile_images/895732101273731072/E0t-o-sf_normal.jpg","View")</f>
        <v>View</v>
      </c>
      <c r="P206" s="27"/>
    </row>
    <row r="207">
      <c r="A207" s="14">
        <v>43031.06644675926</v>
      </c>
      <c r="B207" s="20" t="str">
        <f>HYPERLINK("https://twitter.com/iissudhakar","@iissudhakar")</f>
        <v>@iissudhakar</v>
      </c>
      <c r="C207" s="21" t="s">
        <v>619</v>
      </c>
      <c r="D207" s="21" t="s">
        <v>42</v>
      </c>
      <c r="E207" s="22" t="str">
        <f>HYPERLINK("https://twitter.com/iissudhakar/status/922380998527959042","922380998527959042")</f>
        <v>922380998527959042</v>
      </c>
      <c r="F207" s="23" t="s">
        <v>33</v>
      </c>
      <c r="G207" s="24">
        <v>129.0</v>
      </c>
      <c r="H207" s="24">
        <v>79.0</v>
      </c>
      <c r="I207" s="24">
        <v>8501.0</v>
      </c>
      <c r="J207" s="24">
        <v>0.0</v>
      </c>
      <c r="K207" s="23" t="s">
        <v>34</v>
      </c>
      <c r="L207" s="25">
        <v>42233.49998842593</v>
      </c>
      <c r="M207" s="26" t="s">
        <v>204</v>
      </c>
      <c r="N207" s="26" t="s">
        <v>620</v>
      </c>
      <c r="O207" s="22" t="str">
        <f>HYPERLINK("https://pbs.twimg.com/profile_images/911522954206265344/wV20OnN1_normal.jpg","View")</f>
        <v>View</v>
      </c>
      <c r="P207" s="27"/>
    </row>
    <row r="208">
      <c r="A208" s="14">
        <v>43031.06663194444</v>
      </c>
      <c r="B208" s="20" t="str">
        <f>HYPERLINK("https://twitter.com/AmritaIyen","@AmritaIyen")</f>
        <v>@AmritaIyen</v>
      </c>
      <c r="C208" s="21" t="s">
        <v>621</v>
      </c>
      <c r="D208" s="21" t="s">
        <v>42</v>
      </c>
      <c r="E208" s="22" t="str">
        <f>HYPERLINK("https://twitter.com/AmritaIyen/status/922381064038891522","922381064038891522")</f>
        <v>922381064038891522</v>
      </c>
      <c r="F208" s="23" t="s">
        <v>33</v>
      </c>
      <c r="G208" s="24">
        <v>152.0</v>
      </c>
      <c r="H208" s="24">
        <v>182.0</v>
      </c>
      <c r="I208" s="24">
        <v>8501.0</v>
      </c>
      <c r="J208" s="24">
        <v>0.0</v>
      </c>
      <c r="K208" s="23" t="s">
        <v>34</v>
      </c>
      <c r="L208" s="25">
        <v>42022.13962962963</v>
      </c>
      <c r="M208" s="28"/>
      <c r="N208" s="26" t="s">
        <v>622</v>
      </c>
      <c r="O208" s="22" t="str">
        <f>HYPERLINK("https://pbs.twimg.com/profile_images/915838929068105728/kdw6lkHj_normal.jpg","View")</f>
        <v>View</v>
      </c>
      <c r="P208" s="27"/>
    </row>
    <row r="209">
      <c r="A209" s="14">
        <v>43031.066655092596</v>
      </c>
      <c r="B209" s="20" t="str">
        <f>HYPERLINK("https://twitter.com/FUBARrockchick","@FUBARrockchick")</f>
        <v>@FUBARrockchick</v>
      </c>
      <c r="C209" s="21" t="s">
        <v>623</v>
      </c>
      <c r="D209" s="21" t="s">
        <v>105</v>
      </c>
      <c r="E209" s="22" t="str">
        <f>HYPERLINK("https://twitter.com/FUBARrockchick/status/922381075208425473","922381075208425473")</f>
        <v>922381075208425473</v>
      </c>
      <c r="F209" s="23" t="s">
        <v>624</v>
      </c>
      <c r="G209" s="24">
        <v>259651.0</v>
      </c>
      <c r="H209" s="24">
        <v>248919.0</v>
      </c>
      <c r="I209" s="24">
        <v>69.0</v>
      </c>
      <c r="J209" s="24">
        <v>0.0</v>
      </c>
      <c r="K209" s="23" t="s">
        <v>34</v>
      </c>
      <c r="L209" s="25">
        <v>40678.245462962965</v>
      </c>
      <c r="M209" s="26" t="s">
        <v>625</v>
      </c>
      <c r="N209" s="26" t="s">
        <v>626</v>
      </c>
      <c r="O209" s="22" t="str">
        <f>HYPERLINK("https://pbs.twimg.com/profile_images/884876126610485250/Zu75t-Nv_normal.jpg","View")</f>
        <v>View</v>
      </c>
      <c r="P209" s="27"/>
    </row>
    <row r="210">
      <c r="A210" s="14">
        <v>43031.06674768518</v>
      </c>
      <c r="B210" s="20" t="str">
        <f>HYPERLINK("https://twitter.com/NishthaSaraswa4","@NishthaSaraswa4")</f>
        <v>@NishthaSaraswa4</v>
      </c>
      <c r="C210" s="21" t="s">
        <v>627</v>
      </c>
      <c r="D210" s="21" t="s">
        <v>42</v>
      </c>
      <c r="E210" s="22" t="str">
        <f>HYPERLINK("https://twitter.com/NishthaSaraswa4/status/922381104836894720","922381104836894720")</f>
        <v>922381104836894720</v>
      </c>
      <c r="F210" s="23" t="s">
        <v>33</v>
      </c>
      <c r="G210" s="24">
        <v>123.0</v>
      </c>
      <c r="H210" s="24">
        <v>13.0</v>
      </c>
      <c r="I210" s="24">
        <v>8501.0</v>
      </c>
      <c r="J210" s="24">
        <v>0.0</v>
      </c>
      <c r="K210" s="23" t="s">
        <v>34</v>
      </c>
      <c r="L210" s="25">
        <v>42928.02783564814</v>
      </c>
      <c r="M210" s="26" t="s">
        <v>628</v>
      </c>
      <c r="N210" s="26" t="s">
        <v>629</v>
      </c>
      <c r="O210" s="22" t="str">
        <f>HYPERLINK("https://pbs.twimg.com/profile_images/886453628000776192/LnKfVfN__normal.jpg","View")</f>
        <v>View</v>
      </c>
      <c r="P210" s="27"/>
    </row>
    <row r="211">
      <c r="A211" s="14">
        <v>43031.066782407404</v>
      </c>
      <c r="B211" s="20" t="str">
        <f>HYPERLINK("https://twitter.com/Mikatan14344872","@Mikatan14344872")</f>
        <v>@Mikatan14344872</v>
      </c>
      <c r="C211" s="21" t="s">
        <v>630</v>
      </c>
      <c r="D211" s="21" t="s">
        <v>126</v>
      </c>
      <c r="E211" s="22" t="str">
        <f>HYPERLINK("https://twitter.com/Mikatan14344872/status/922381120750084097","922381120750084097")</f>
        <v>922381120750084097</v>
      </c>
      <c r="F211" s="23" t="s">
        <v>33</v>
      </c>
      <c r="G211" s="24">
        <v>207.0</v>
      </c>
      <c r="H211" s="24">
        <v>280.0</v>
      </c>
      <c r="I211" s="24">
        <v>62.0</v>
      </c>
      <c r="J211" s="24">
        <v>0.0</v>
      </c>
      <c r="K211" s="23" t="s">
        <v>34</v>
      </c>
      <c r="L211" s="25">
        <v>43007.380000000005</v>
      </c>
      <c r="M211" s="26" t="s">
        <v>631</v>
      </c>
      <c r="N211" s="26" t="s">
        <v>632</v>
      </c>
      <c r="O211" s="22" t="str">
        <f>HYPERLINK("https://pbs.twimg.com/profile_images/915054454767890432/xtc6dGaB_normal.jpg","View")</f>
        <v>View</v>
      </c>
      <c r="P211" s="27"/>
    </row>
    <row r="212">
      <c r="A212" s="14">
        <v>43031.066875000004</v>
      </c>
      <c r="B212" s="20" t="str">
        <f>HYPERLINK("https://twitter.com/ashishv7479","@ashishv7479")</f>
        <v>@ashishv7479</v>
      </c>
      <c r="C212" s="21" t="s">
        <v>633</v>
      </c>
      <c r="D212" s="21" t="s">
        <v>42</v>
      </c>
      <c r="E212" s="22" t="str">
        <f>HYPERLINK("https://twitter.com/ashishv7479/status/922381153171992577","922381153171992577")</f>
        <v>922381153171992577</v>
      </c>
      <c r="F212" s="23" t="s">
        <v>33</v>
      </c>
      <c r="G212" s="24">
        <v>11.0</v>
      </c>
      <c r="H212" s="24">
        <v>93.0</v>
      </c>
      <c r="I212" s="24">
        <v>8501.0</v>
      </c>
      <c r="J212" s="24">
        <v>0.0</v>
      </c>
      <c r="K212" s="23" t="s">
        <v>34</v>
      </c>
      <c r="L212" s="25">
        <v>42900.11755787037</v>
      </c>
      <c r="M212" s="28"/>
      <c r="N212" s="28"/>
      <c r="O212" s="22" t="str">
        <f>HYPERLINK("https://pbs.twimg.com/profile_images/909249657171091456/gOKgN8qx_normal.jpg","View")</f>
        <v>View</v>
      </c>
      <c r="P212" s="27"/>
    </row>
    <row r="213">
      <c r="A213" s="14">
        <v>43031.06690972223</v>
      </c>
      <c r="B213" s="20" t="str">
        <f>HYPERLINK("https://twitter.com/WUKEFlVem7CIfzR","@WUKEFlVem7CIfzR")</f>
        <v>@WUKEFlVem7CIfzR</v>
      </c>
      <c r="C213" s="21" t="s">
        <v>634</v>
      </c>
      <c r="D213" s="21" t="s">
        <v>213</v>
      </c>
      <c r="E213" s="22" t="str">
        <f>HYPERLINK("https://twitter.com/WUKEFlVem7CIfzR/status/922381167134851072","922381167134851072")</f>
        <v>922381167134851072</v>
      </c>
      <c r="F213" s="23" t="s">
        <v>635</v>
      </c>
      <c r="G213" s="24">
        <v>1.0</v>
      </c>
      <c r="H213" s="24">
        <v>43.0</v>
      </c>
      <c r="I213" s="24">
        <v>94.0</v>
      </c>
      <c r="J213" s="24">
        <v>0.0</v>
      </c>
      <c r="K213" s="23" t="s">
        <v>34</v>
      </c>
      <c r="L213" s="25">
        <v>43002.17002314815</v>
      </c>
      <c r="M213" s="28"/>
      <c r="N213" s="28"/>
      <c r="O213" s="22" t="str">
        <f>HYPERLINK("https://pbs.twimg.com/profile_images/922740987281096705/bEEWPTCF_normal.jpg","View")</f>
        <v>View</v>
      </c>
      <c r="P213" s="27"/>
    </row>
    <row r="214">
      <c r="A214" s="14">
        <v>43031.067025462966</v>
      </c>
      <c r="B214" s="20" t="str">
        <f>HYPERLINK("https://twitter.com/cnilker","@cnilker")</f>
        <v>@cnilker</v>
      </c>
      <c r="C214" s="21" t="s">
        <v>636</v>
      </c>
      <c r="D214" s="21" t="s">
        <v>637</v>
      </c>
      <c r="E214" s="22" t="str">
        <f>HYPERLINK("https://twitter.com/cnilker/status/922381208952229888","922381208952229888")</f>
        <v>922381208952229888</v>
      </c>
      <c r="F214" s="23" t="s">
        <v>55</v>
      </c>
      <c r="G214" s="24">
        <v>211.0</v>
      </c>
      <c r="H214" s="24">
        <v>557.0</v>
      </c>
      <c r="I214" s="24">
        <v>0.0</v>
      </c>
      <c r="J214" s="24">
        <v>0.0</v>
      </c>
      <c r="K214" s="23" t="s">
        <v>34</v>
      </c>
      <c r="L214" s="25">
        <v>40613.79614583333</v>
      </c>
      <c r="M214" s="26" t="s">
        <v>638</v>
      </c>
      <c r="N214" s="26" t="s">
        <v>639</v>
      </c>
      <c r="O214" s="22" t="str">
        <f>HYPERLINK("https://pbs.twimg.com/profile_images/2566842193/408336_10100532801084257_1359774060_n_normal.jpg","View")</f>
        <v>View</v>
      </c>
      <c r="P214" s="27"/>
    </row>
    <row r="215">
      <c r="A215" s="14">
        <v>43031.06711805555</v>
      </c>
      <c r="B215" s="20" t="str">
        <f>HYPERLINK("https://twitter.com/Nihira1","@Nihira1")</f>
        <v>@Nihira1</v>
      </c>
      <c r="C215" s="21" t="s">
        <v>640</v>
      </c>
      <c r="D215" s="21" t="s">
        <v>641</v>
      </c>
      <c r="E215" s="22" t="str">
        <f>HYPERLINK("https://twitter.com/Nihira1/status/922381242514804736","922381242514804736")</f>
        <v>922381242514804736</v>
      </c>
      <c r="F215" s="23" t="s">
        <v>55</v>
      </c>
      <c r="G215" s="24">
        <v>1012.0</v>
      </c>
      <c r="H215" s="24">
        <v>1177.0</v>
      </c>
      <c r="I215" s="24">
        <v>0.0</v>
      </c>
      <c r="J215" s="24">
        <v>0.0</v>
      </c>
      <c r="K215" s="23" t="s">
        <v>34</v>
      </c>
      <c r="L215" s="25">
        <v>40742.0709375</v>
      </c>
      <c r="M215" s="26" t="s">
        <v>418</v>
      </c>
      <c r="N215" s="26" t="s">
        <v>642</v>
      </c>
      <c r="O215" s="22" t="str">
        <f>HYPERLINK("https://pbs.twimg.com/profile_images/895505826911145986/zdeE7ulv_normal.jpg","View")</f>
        <v>View</v>
      </c>
      <c r="P215" s="27"/>
    </row>
    <row r="216">
      <c r="A216" s="14">
        <v>43031.06717592593</v>
      </c>
      <c r="B216" s="20" t="str">
        <f>HYPERLINK("https://twitter.com/satish_ssn","@satish_ssn")</f>
        <v>@satish_ssn</v>
      </c>
      <c r="C216" s="21" t="s">
        <v>643</v>
      </c>
      <c r="D216" s="21" t="s">
        <v>42</v>
      </c>
      <c r="E216" s="22" t="str">
        <f>HYPERLINK("https://twitter.com/satish_ssn/status/922381261645037569","922381261645037569")</f>
        <v>922381261645037569</v>
      </c>
      <c r="F216" s="23" t="s">
        <v>33</v>
      </c>
      <c r="G216" s="24">
        <v>301.0</v>
      </c>
      <c r="H216" s="24">
        <v>3560.0</v>
      </c>
      <c r="I216" s="24">
        <v>8501.0</v>
      </c>
      <c r="J216" s="24">
        <v>0.0</v>
      </c>
      <c r="K216" s="23" t="s">
        <v>34</v>
      </c>
      <c r="L216" s="25">
        <v>40900.444398148145</v>
      </c>
      <c r="M216" s="26" t="s">
        <v>644</v>
      </c>
      <c r="N216" s="26" t="s">
        <v>645</v>
      </c>
      <c r="O216" s="22" t="str">
        <f>HYPERLINK("https://pbs.twimg.com/profile_images/378800000603122696/150b115f2c1943f79bdf1a72517038e3_normal.jpeg","View")</f>
        <v>View</v>
      </c>
      <c r="P216" s="27"/>
    </row>
    <row r="217">
      <c r="A217" s="14">
        <v>43031.067245370374</v>
      </c>
      <c r="B217" s="20" t="str">
        <f>HYPERLINK("https://twitter.com/avinashsingh77","@avinashsingh77")</f>
        <v>@avinashsingh77</v>
      </c>
      <c r="C217" s="21" t="s">
        <v>646</v>
      </c>
      <c r="D217" s="21" t="s">
        <v>42</v>
      </c>
      <c r="E217" s="22" t="str">
        <f>HYPERLINK("https://twitter.com/avinashsingh77/status/922381284977946629","922381284977946629")</f>
        <v>922381284977946629</v>
      </c>
      <c r="F217" s="23" t="s">
        <v>43</v>
      </c>
      <c r="G217" s="24">
        <v>34.0</v>
      </c>
      <c r="H217" s="24">
        <v>112.0</v>
      </c>
      <c r="I217" s="24">
        <v>8501.0</v>
      </c>
      <c r="J217" s="24">
        <v>0.0</v>
      </c>
      <c r="K217" s="23" t="s">
        <v>34</v>
      </c>
      <c r="L217" s="25">
        <v>40802.42438657407</v>
      </c>
      <c r="M217" s="26" t="s">
        <v>575</v>
      </c>
      <c r="N217" s="26" t="s">
        <v>647</v>
      </c>
      <c r="O217" s="22" t="str">
        <f>HYPERLINK("https://pbs.twimg.com/profile_images/827068099954356224/wwgxc64u_normal.jpg","View")</f>
        <v>View</v>
      </c>
      <c r="P217" s="27"/>
    </row>
    <row r="218">
      <c r="A218" s="14">
        <v>43031.06732638889</v>
      </c>
      <c r="B218" s="20" t="str">
        <f>HYPERLINK("https://twitter.com/Libreinfo","@Libreinfo")</f>
        <v>@Libreinfo</v>
      </c>
      <c r="C218" s="21" t="s">
        <v>648</v>
      </c>
      <c r="D218" s="21" t="s">
        <v>649</v>
      </c>
      <c r="E218" s="22" t="str">
        <f>HYPERLINK("https://twitter.com/Libreinfo/status/922381315567001600","922381315567001600")</f>
        <v>922381315567001600</v>
      </c>
      <c r="F218" s="23" t="s">
        <v>650</v>
      </c>
      <c r="G218" s="24">
        <v>1717.0</v>
      </c>
      <c r="H218" s="24">
        <v>1129.0</v>
      </c>
      <c r="I218" s="24">
        <v>0.0</v>
      </c>
      <c r="J218" s="24">
        <v>0.0</v>
      </c>
      <c r="K218" s="23" t="s">
        <v>34</v>
      </c>
      <c r="L218" s="25">
        <v>40679.84496527778</v>
      </c>
      <c r="M218" s="26" t="s">
        <v>651</v>
      </c>
      <c r="N218" s="26" t="s">
        <v>652</v>
      </c>
      <c r="O218" s="22" t="str">
        <f>HYPERLINK("https://pbs.twimg.com/profile_images/454648246795661312/qjcuabqX_normal.png","View")</f>
        <v>View</v>
      </c>
      <c r="P218" s="27"/>
    </row>
    <row r="219">
      <c r="A219" s="14">
        <v>43031.06737268518</v>
      </c>
      <c r="B219" s="20" t="str">
        <f>HYPERLINK("https://twitter.com/malobasm","@malobasm")</f>
        <v>@malobasm</v>
      </c>
      <c r="C219" s="21" t="s">
        <v>653</v>
      </c>
      <c r="D219" s="21" t="s">
        <v>32</v>
      </c>
      <c r="E219" s="22" t="str">
        <f>HYPERLINK("https://twitter.com/malobasm/status/922381332063444992","922381332063444992")</f>
        <v>922381332063444992</v>
      </c>
      <c r="F219" s="23" t="s">
        <v>33</v>
      </c>
      <c r="G219" s="24">
        <v>216.0</v>
      </c>
      <c r="H219" s="24">
        <v>213.0</v>
      </c>
      <c r="I219" s="24">
        <v>471.0</v>
      </c>
      <c r="J219" s="24">
        <v>0.0</v>
      </c>
      <c r="K219" s="23" t="s">
        <v>34</v>
      </c>
      <c r="L219" s="25">
        <v>42143.44982638889</v>
      </c>
      <c r="M219" s="26" t="s">
        <v>654</v>
      </c>
      <c r="N219" s="26" t="s">
        <v>655</v>
      </c>
      <c r="O219" s="22" t="str">
        <f>HYPERLINK("https://pbs.twimg.com/profile_images/662730803449716736/BlnhqeW2_normal.jpg","View")</f>
        <v>View</v>
      </c>
      <c r="P219" s="27"/>
    </row>
    <row r="220">
      <c r="A220" s="14">
        <v>43031.06763888889</v>
      </c>
      <c r="B220" s="20" t="str">
        <f>HYPERLINK("https://twitter.com/mahiti_somnath","@mahiti_somnath")</f>
        <v>@mahiti_somnath</v>
      </c>
      <c r="C220" s="21" t="s">
        <v>656</v>
      </c>
      <c r="D220" s="21" t="s">
        <v>42</v>
      </c>
      <c r="E220" s="22" t="str">
        <f>HYPERLINK("https://twitter.com/mahiti_somnath/status/922381428578545664","922381428578545664")</f>
        <v>922381428578545664</v>
      </c>
      <c r="F220" s="23" t="s">
        <v>55</v>
      </c>
      <c r="G220" s="24">
        <v>78.0</v>
      </c>
      <c r="H220" s="24">
        <v>37.0</v>
      </c>
      <c r="I220" s="24">
        <v>8501.0</v>
      </c>
      <c r="J220" s="24">
        <v>0.0</v>
      </c>
      <c r="K220" s="23" t="s">
        <v>34</v>
      </c>
      <c r="L220" s="25">
        <v>42885.019328703704</v>
      </c>
      <c r="M220" s="28"/>
      <c r="N220" s="28"/>
      <c r="O220" s="22" t="str">
        <f>HYPERLINK("https://pbs.twimg.com/profile_images/869459590068412417/sHB77PsV_normal.jpg","View")</f>
        <v>View</v>
      </c>
      <c r="P220" s="27"/>
    </row>
    <row r="221">
      <c r="A221" s="14">
        <v>43031.067662037036</v>
      </c>
      <c r="B221" s="20" t="str">
        <f>HYPERLINK("https://twitter.com/jostaryoutube10","@jostaryoutube10")</f>
        <v>@jostaryoutube10</v>
      </c>
      <c r="C221" s="21" t="s">
        <v>657</v>
      </c>
      <c r="D221" s="21" t="s">
        <v>658</v>
      </c>
      <c r="E221" s="22" t="str">
        <f>HYPERLINK("https://twitter.com/jostaryoutube10/status/922381436627271681","922381436627271681")</f>
        <v>922381436627271681</v>
      </c>
      <c r="F221" s="30" t="s">
        <v>659</v>
      </c>
      <c r="G221" s="24">
        <v>98.0</v>
      </c>
      <c r="H221" s="24">
        <v>19.0</v>
      </c>
      <c r="I221" s="24">
        <v>0.0</v>
      </c>
      <c r="J221" s="24">
        <v>0.0</v>
      </c>
      <c r="K221" s="23" t="s">
        <v>34</v>
      </c>
      <c r="L221" s="25">
        <v>42604.23983796296</v>
      </c>
      <c r="M221" s="26" t="s">
        <v>660</v>
      </c>
      <c r="N221" s="26" t="s">
        <v>661</v>
      </c>
      <c r="O221" s="22" t="str">
        <f>HYPERLINK("https://pbs.twimg.com/profile_images/767704600623276032/zkTy4oIh_normal.jpg","View")</f>
        <v>View</v>
      </c>
      <c r="P221" s="27"/>
    </row>
    <row r="222">
      <c r="A222" s="14">
        <v>43031.06769675926</v>
      </c>
      <c r="B222" s="20" t="str">
        <f>HYPERLINK("https://twitter.com/orsoraggiante","@orsoraggiante")</f>
        <v>@orsoraggiante</v>
      </c>
      <c r="C222" s="21" t="s">
        <v>662</v>
      </c>
      <c r="D222" s="21" t="s">
        <v>42</v>
      </c>
      <c r="E222" s="22" t="str">
        <f>HYPERLINK("https://twitter.com/orsoraggiante/status/922381448945926144","922381448945926144")</f>
        <v>922381448945926144</v>
      </c>
      <c r="F222" s="23" t="s">
        <v>55</v>
      </c>
      <c r="G222" s="24">
        <v>5885.0</v>
      </c>
      <c r="H222" s="24">
        <v>95.0</v>
      </c>
      <c r="I222" s="24">
        <v>8501.0</v>
      </c>
      <c r="J222" s="24">
        <v>0.0</v>
      </c>
      <c r="K222" s="23" t="s">
        <v>34</v>
      </c>
      <c r="L222" s="25">
        <v>40723.87626157407</v>
      </c>
      <c r="M222" s="32" t="s">
        <v>663</v>
      </c>
      <c r="N222" s="26" t="s">
        <v>664</v>
      </c>
      <c r="O222" s="22" t="str">
        <f>HYPERLINK("https://pbs.twimg.com/profile_images/873664082217279489/MtphQJx4_normal.jpg","View")</f>
        <v>View</v>
      </c>
      <c r="P222" s="27"/>
    </row>
    <row r="223">
      <c r="A223" s="14">
        <v>43031.06770833333</v>
      </c>
      <c r="B223" s="20" t="str">
        <f>HYPERLINK("https://twitter.com/AmiteshK01","@AmiteshK01")</f>
        <v>@AmiteshK01</v>
      </c>
      <c r="C223" s="21" t="s">
        <v>665</v>
      </c>
      <c r="D223" s="21" t="s">
        <v>42</v>
      </c>
      <c r="E223" s="22" t="str">
        <f>HYPERLINK("https://twitter.com/AmiteshK01/status/922381454184562688","922381454184562688")</f>
        <v>922381454184562688</v>
      </c>
      <c r="F223" s="23" t="s">
        <v>55</v>
      </c>
      <c r="G223" s="24">
        <v>2055.0</v>
      </c>
      <c r="H223" s="24">
        <v>820.0</v>
      </c>
      <c r="I223" s="24">
        <v>8501.0</v>
      </c>
      <c r="J223" s="24">
        <v>0.0</v>
      </c>
      <c r="K223" s="23" t="s">
        <v>34</v>
      </c>
      <c r="L223" s="25">
        <v>41378.248136574075</v>
      </c>
      <c r="M223" s="28"/>
      <c r="N223" s="26" t="s">
        <v>666</v>
      </c>
      <c r="O223" s="22" t="str">
        <f>HYPERLINK("https://pbs.twimg.com/profile_images/580414547145539584/JKsqMHzQ_normal.jpg","View")</f>
        <v>View</v>
      </c>
      <c r="P223" s="27"/>
    </row>
    <row r="224">
      <c r="A224" s="14">
        <v>43031.06775462963</v>
      </c>
      <c r="B224" s="20" t="str">
        <f>HYPERLINK("https://twitter.com/fidelmmoja","@fidelmmoja")</f>
        <v>@fidelmmoja</v>
      </c>
      <c r="C224" s="21" t="s">
        <v>667</v>
      </c>
      <c r="D224" s="21" t="s">
        <v>32</v>
      </c>
      <c r="E224" s="22" t="str">
        <f>HYPERLINK("https://twitter.com/fidelmmoja/status/922381472866164736","922381472866164736")</f>
        <v>922381472866164736</v>
      </c>
      <c r="F224" s="23" t="s">
        <v>33</v>
      </c>
      <c r="G224" s="24">
        <v>1784.0</v>
      </c>
      <c r="H224" s="24">
        <v>2060.0</v>
      </c>
      <c r="I224" s="24">
        <v>471.0</v>
      </c>
      <c r="J224" s="24">
        <v>0.0</v>
      </c>
      <c r="K224" s="23" t="s">
        <v>34</v>
      </c>
      <c r="L224" s="25">
        <v>40852.077418981484</v>
      </c>
      <c r="M224" s="26" t="s">
        <v>668</v>
      </c>
      <c r="N224" s="26" t="s">
        <v>669</v>
      </c>
      <c r="O224" s="22" t="str">
        <f>HYPERLINK("https://pbs.twimg.com/profile_images/891214039820509184/nmwghnzs_normal.jpg","View")</f>
        <v>View</v>
      </c>
      <c r="P224" s="27"/>
    </row>
    <row r="225">
      <c r="A225" s="14">
        <v>43031.067766203705</v>
      </c>
      <c r="B225" s="20" t="str">
        <f>HYPERLINK("https://twitter.com/ramavenu","@ramavenu")</f>
        <v>@ramavenu</v>
      </c>
      <c r="C225" s="21" t="s">
        <v>670</v>
      </c>
      <c r="D225" s="21" t="s">
        <v>42</v>
      </c>
      <c r="E225" s="22" t="str">
        <f>HYPERLINK("https://twitter.com/ramavenu/status/922381476120772609","922381476120772609")</f>
        <v>922381476120772609</v>
      </c>
      <c r="F225" s="23" t="s">
        <v>33</v>
      </c>
      <c r="G225" s="24">
        <v>2120.0</v>
      </c>
      <c r="H225" s="24">
        <v>2167.0</v>
      </c>
      <c r="I225" s="24">
        <v>8501.0</v>
      </c>
      <c r="J225" s="24">
        <v>0.0</v>
      </c>
      <c r="K225" s="23" t="s">
        <v>34</v>
      </c>
      <c r="L225" s="25">
        <v>40554.04232638889</v>
      </c>
      <c r="M225" s="26" t="s">
        <v>56</v>
      </c>
      <c r="N225" s="26" t="s">
        <v>671</v>
      </c>
      <c r="O225" s="22" t="str">
        <f>HYPERLINK("https://pbs.twimg.com/profile_images/821321794220982272/Zs1GHARR_normal.jpg","View")</f>
        <v>View</v>
      </c>
      <c r="P225" s="27"/>
    </row>
    <row r="226">
      <c r="A226" s="14">
        <v>43031.067777777775</v>
      </c>
      <c r="B226" s="20" t="str">
        <f>HYPERLINK("https://twitter.com/janakpjani","@janakpjani")</f>
        <v>@janakpjani</v>
      </c>
      <c r="C226" s="21" t="s">
        <v>672</v>
      </c>
      <c r="D226" s="21" t="s">
        <v>42</v>
      </c>
      <c r="E226" s="22" t="str">
        <f>HYPERLINK("https://twitter.com/janakpjani/status/922381481963606016","922381481963606016")</f>
        <v>922381481963606016</v>
      </c>
      <c r="F226" s="23" t="s">
        <v>39</v>
      </c>
      <c r="G226" s="24">
        <v>263.0</v>
      </c>
      <c r="H226" s="24">
        <v>182.0</v>
      </c>
      <c r="I226" s="24">
        <v>8501.0</v>
      </c>
      <c r="J226" s="24">
        <v>0.0</v>
      </c>
      <c r="K226" s="23" t="s">
        <v>34</v>
      </c>
      <c r="L226" s="25">
        <v>42100.323483796295</v>
      </c>
      <c r="M226" s="28"/>
      <c r="N226" s="26" t="s">
        <v>673</v>
      </c>
      <c r="O226" s="22" t="str">
        <f>HYPERLINK("https://pbs.twimg.com/profile_images/731388496535912448/HJop8ZAs_normal.jpg","View")</f>
        <v>View</v>
      </c>
      <c r="P226" s="27"/>
    </row>
    <row r="227">
      <c r="A227" s="14">
        <v>43031.06784722222</v>
      </c>
      <c r="B227" s="20" t="str">
        <f>HYPERLINK("https://twitter.com/pkokoloso","@pkokoloso")</f>
        <v>@pkokoloso</v>
      </c>
      <c r="C227" s="21" t="s">
        <v>674</v>
      </c>
      <c r="D227" s="21" t="s">
        <v>32</v>
      </c>
      <c r="E227" s="22" t="str">
        <f>HYPERLINK("https://twitter.com/pkokoloso/status/922381503505534976","922381503505534976")</f>
        <v>922381503505534976</v>
      </c>
      <c r="F227" s="23" t="s">
        <v>86</v>
      </c>
      <c r="G227" s="24">
        <v>429.0</v>
      </c>
      <c r="H227" s="24">
        <v>324.0</v>
      </c>
      <c r="I227" s="24">
        <v>471.0</v>
      </c>
      <c r="J227" s="24">
        <v>0.0</v>
      </c>
      <c r="K227" s="23" t="s">
        <v>34</v>
      </c>
      <c r="L227" s="25">
        <v>40850.34517361111</v>
      </c>
      <c r="M227" s="26" t="s">
        <v>675</v>
      </c>
      <c r="N227" s="26" t="s">
        <v>676</v>
      </c>
      <c r="O227" s="22" t="str">
        <f>HYPERLINK("https://pbs.twimg.com/profile_images/378800000697438043/ba58e0cb536a14b4bf357208fde857c8_normal.jpeg","View")</f>
        <v>View</v>
      </c>
      <c r="P227" s="27"/>
    </row>
    <row r="228">
      <c r="A228" s="14">
        <v>43031.06792824074</v>
      </c>
      <c r="B228" s="20" t="str">
        <f>HYPERLINK("https://twitter.com/John_Pollock22","@John_Pollock22")</f>
        <v>@John_Pollock22</v>
      </c>
      <c r="C228" s="21" t="s">
        <v>677</v>
      </c>
      <c r="D228" s="21" t="s">
        <v>42</v>
      </c>
      <c r="E228" s="22" t="str">
        <f>HYPERLINK("https://twitter.com/John_Pollock22/status/922381533947809792","922381533947809792")</f>
        <v>922381533947809792</v>
      </c>
      <c r="F228" s="23" t="s">
        <v>39</v>
      </c>
      <c r="G228" s="24">
        <v>539.0</v>
      </c>
      <c r="H228" s="24">
        <v>1502.0</v>
      </c>
      <c r="I228" s="24">
        <v>8501.0</v>
      </c>
      <c r="J228" s="24">
        <v>0.0</v>
      </c>
      <c r="K228" s="23" t="s">
        <v>34</v>
      </c>
      <c r="L228" s="25">
        <v>40793.60716435185</v>
      </c>
      <c r="M228" s="26" t="s">
        <v>334</v>
      </c>
      <c r="N228" s="26" t="s">
        <v>678</v>
      </c>
      <c r="O228" s="22" t="str">
        <f>HYPERLINK("https://pbs.twimg.com/profile_images/800409462158872576/fnIfmKby_normal.jpg","View")</f>
        <v>View</v>
      </c>
      <c r="P228" s="27"/>
    </row>
    <row r="229">
      <c r="A229" s="14">
        <v>43031.06792824074</v>
      </c>
      <c r="B229" s="20" t="str">
        <f>HYPERLINK("https://twitter.com/ROYALSHREYASH","@ROYALSHREYASH")</f>
        <v>@ROYALSHREYASH</v>
      </c>
      <c r="C229" s="21" t="s">
        <v>679</v>
      </c>
      <c r="D229" s="21" t="s">
        <v>42</v>
      </c>
      <c r="E229" s="22" t="str">
        <f>HYPERLINK("https://twitter.com/ROYALSHREYASH/status/922381534719459328","922381534719459328")</f>
        <v>922381534719459328</v>
      </c>
      <c r="F229" s="23" t="s">
        <v>43</v>
      </c>
      <c r="G229" s="24">
        <v>10.0</v>
      </c>
      <c r="H229" s="24">
        <v>51.0</v>
      </c>
      <c r="I229" s="24">
        <v>8501.0</v>
      </c>
      <c r="J229" s="24">
        <v>0.0</v>
      </c>
      <c r="K229" s="23" t="s">
        <v>34</v>
      </c>
      <c r="L229" s="25">
        <v>42368.330358796295</v>
      </c>
      <c r="M229" s="26" t="s">
        <v>680</v>
      </c>
      <c r="N229" s="28"/>
      <c r="O229" s="22" t="str">
        <f>HYPERLINK("https://pbs.twimg.com/profile_images/685171029786767361/KWyH2nw2_normal.jpg","View")</f>
        <v>View</v>
      </c>
      <c r="P229" s="27"/>
    </row>
    <row r="230">
      <c r="A230" s="14">
        <v>43031.06792824074</v>
      </c>
      <c r="B230" s="20" t="str">
        <f>HYPERLINK("https://twitter.com/dpkshrm989","@dpkshrm989")</f>
        <v>@dpkshrm989</v>
      </c>
      <c r="C230" s="21" t="s">
        <v>681</v>
      </c>
      <c r="D230" s="21" t="s">
        <v>42</v>
      </c>
      <c r="E230" s="22" t="str">
        <f>HYPERLINK("https://twitter.com/dpkshrm989/status/922381535298273280","922381535298273280")</f>
        <v>922381535298273280</v>
      </c>
      <c r="F230" s="23" t="s">
        <v>33</v>
      </c>
      <c r="G230" s="24">
        <v>11.0</v>
      </c>
      <c r="H230" s="24">
        <v>152.0</v>
      </c>
      <c r="I230" s="24">
        <v>8501.0</v>
      </c>
      <c r="J230" s="24">
        <v>0.0</v>
      </c>
      <c r="K230" s="23" t="s">
        <v>34</v>
      </c>
      <c r="L230" s="25">
        <v>42680.24564814815</v>
      </c>
      <c r="M230" s="26" t="s">
        <v>227</v>
      </c>
      <c r="N230" s="26" t="s">
        <v>682</v>
      </c>
      <c r="O230" s="22" t="str">
        <f>HYPERLINK("https://abs.twimg.com/sticky/default_profile_images/default_profile_normal.png","View")</f>
        <v>View</v>
      </c>
      <c r="P230" s="27"/>
    </row>
    <row r="231">
      <c r="A231" s="14">
        <v>43031.06806712963</v>
      </c>
      <c r="B231" s="20" t="str">
        <f>HYPERLINK("https://twitter.com/OneNdOniyV","@OneNdOniyV")</f>
        <v>@OneNdOniyV</v>
      </c>
      <c r="C231" s="21" t="s">
        <v>683</v>
      </c>
      <c r="D231" s="21" t="s">
        <v>51</v>
      </c>
      <c r="E231" s="22" t="str">
        <f>HYPERLINK("https://twitter.com/OneNdOniyV/status/922381585072222208","922381585072222208")</f>
        <v>922381585072222208</v>
      </c>
      <c r="F231" s="23" t="s">
        <v>33</v>
      </c>
      <c r="G231" s="24">
        <v>44.0</v>
      </c>
      <c r="H231" s="24">
        <v>1462.0</v>
      </c>
      <c r="I231" s="24">
        <v>16.0</v>
      </c>
      <c r="J231" s="24">
        <v>0.0</v>
      </c>
      <c r="K231" s="23" t="s">
        <v>34</v>
      </c>
      <c r="L231" s="25">
        <v>41742.43372685185</v>
      </c>
      <c r="M231" s="26" t="s">
        <v>684</v>
      </c>
      <c r="N231" s="26" t="s">
        <v>685</v>
      </c>
      <c r="O231" s="22" t="str">
        <f>HYPERLINK("https://pbs.twimg.com/profile_images/750420794606518272/kVZyAZM3_normal.jpg","View")</f>
        <v>View</v>
      </c>
      <c r="P231" s="27"/>
    </row>
    <row r="232">
      <c r="A232" s="14">
        <v>43031.06810185185</v>
      </c>
      <c r="B232" s="20" t="str">
        <f>HYPERLINK("https://twitter.com/WaIlstreetWire","@WaIlstreetWire")</f>
        <v>@WaIlstreetWire</v>
      </c>
      <c r="C232" s="21" t="s">
        <v>686</v>
      </c>
      <c r="D232" s="21" t="s">
        <v>687</v>
      </c>
      <c r="E232" s="22" t="str">
        <f>HYPERLINK("https://twitter.com/WaIlstreetWire/status/922381597642407936","922381597642407936")</f>
        <v>922381597642407936</v>
      </c>
      <c r="F232" s="30" t="s">
        <v>411</v>
      </c>
      <c r="G232" s="24">
        <v>86.0</v>
      </c>
      <c r="H232" s="24">
        <v>11.0</v>
      </c>
      <c r="I232" s="24">
        <v>0.0</v>
      </c>
      <c r="J232" s="24">
        <v>0.0</v>
      </c>
      <c r="K232" s="23" t="s">
        <v>34</v>
      </c>
      <c r="L232" s="25">
        <v>41268.324895833335</v>
      </c>
      <c r="M232" s="28"/>
      <c r="N232" s="28"/>
      <c r="O232" s="22" t="str">
        <f>HYPERLINK("https://pbs.twimg.com/profile_images/3019864591/9566566bfa4aefc5459d6825c083be0d_normal.jpeg","View")</f>
        <v>View</v>
      </c>
      <c r="P232" s="27"/>
    </row>
    <row r="233">
      <c r="A233" s="14">
        <v>43031.06831018519</v>
      </c>
      <c r="B233" s="20" t="str">
        <f>HYPERLINK("https://twitter.com/VIJAYBHAKAR5","@VIJAYBHAKAR5")</f>
        <v>@VIJAYBHAKAR5</v>
      </c>
      <c r="C233" s="21" t="s">
        <v>688</v>
      </c>
      <c r="D233" s="21" t="s">
        <v>42</v>
      </c>
      <c r="E233" s="22" t="str">
        <f>HYPERLINK("https://twitter.com/VIJAYBHAKAR5/status/922381670866669568","922381670866669568")</f>
        <v>922381670866669568</v>
      </c>
      <c r="F233" s="23" t="s">
        <v>33</v>
      </c>
      <c r="G233" s="24">
        <v>24.0</v>
      </c>
      <c r="H233" s="24">
        <v>31.0</v>
      </c>
      <c r="I233" s="24">
        <v>8501.0</v>
      </c>
      <c r="J233" s="24">
        <v>0.0</v>
      </c>
      <c r="K233" s="23" t="s">
        <v>34</v>
      </c>
      <c r="L233" s="25">
        <v>42652.088229166664</v>
      </c>
      <c r="M233" s="26" t="s">
        <v>575</v>
      </c>
      <c r="N233" s="26" t="s">
        <v>689</v>
      </c>
      <c r="O233" s="22" t="str">
        <f>HYPERLINK("https://pbs.twimg.com/profile_images/909985807384981506/QMrV6hyY_normal.jpg","View")</f>
        <v>View</v>
      </c>
      <c r="P233" s="27"/>
    </row>
    <row r="234">
      <c r="A234" s="14">
        <v>43031.06833333333</v>
      </c>
      <c r="B234" s="20" t="str">
        <f>HYPERLINK("https://twitter.com/oB3MkUsRcfoltkH","@oB3MkUsRcfoltkH")</f>
        <v>@oB3MkUsRcfoltkH</v>
      </c>
      <c r="C234" s="21" t="s">
        <v>690</v>
      </c>
      <c r="D234" s="21" t="s">
        <v>213</v>
      </c>
      <c r="E234" s="22" t="str">
        <f>HYPERLINK("https://twitter.com/oB3MkUsRcfoltkH/status/922381681587208192","922381681587208192")</f>
        <v>922381681587208192</v>
      </c>
      <c r="F234" s="23" t="s">
        <v>635</v>
      </c>
      <c r="G234" s="24">
        <v>4.0</v>
      </c>
      <c r="H234" s="24">
        <v>27.0</v>
      </c>
      <c r="I234" s="24">
        <v>94.0</v>
      </c>
      <c r="J234" s="24">
        <v>0.0</v>
      </c>
      <c r="K234" s="23" t="s">
        <v>34</v>
      </c>
      <c r="L234" s="25">
        <v>43002.17300925926</v>
      </c>
      <c r="M234" s="28"/>
      <c r="N234" s="28"/>
      <c r="O234" s="22" t="str">
        <f>HYPERLINK("https://pbs.twimg.com/profile_images/921708307970011136/5naagYPv_normal.jpg","View")</f>
        <v>View</v>
      </c>
      <c r="P234" s="27"/>
    </row>
    <row r="235">
      <c r="A235" s="14">
        <v>43031.06836805555</v>
      </c>
      <c r="B235" s="20" t="str">
        <f>HYPERLINK("https://twitter.com/insumit","@insumit")</f>
        <v>@insumit</v>
      </c>
      <c r="C235" s="21" t="s">
        <v>691</v>
      </c>
      <c r="D235" s="21" t="s">
        <v>163</v>
      </c>
      <c r="E235" s="22" t="str">
        <f>HYPERLINK("https://twitter.com/insumit/status/922381691938684929","922381691938684929")</f>
        <v>922381691938684929</v>
      </c>
      <c r="F235" s="23" t="s">
        <v>33</v>
      </c>
      <c r="G235" s="24">
        <v>1224.0</v>
      </c>
      <c r="H235" s="24">
        <v>658.0</v>
      </c>
      <c r="I235" s="24">
        <v>1005.0</v>
      </c>
      <c r="J235" s="24">
        <v>0.0</v>
      </c>
      <c r="K235" s="23" t="s">
        <v>34</v>
      </c>
      <c r="L235" s="25">
        <v>40219.976018518515</v>
      </c>
      <c r="M235" s="28"/>
      <c r="N235" s="26" t="s">
        <v>692</v>
      </c>
      <c r="O235" s="22" t="str">
        <f>HYPERLINK("https://pbs.twimg.com/profile_images/700617361393516545/DTGLhGD4_normal.jpg","View")</f>
        <v>View</v>
      </c>
      <c r="P235" s="27"/>
    </row>
    <row r="236">
      <c r="A236" s="14">
        <v>43031.06837962963</v>
      </c>
      <c r="B236" s="20" t="str">
        <f>HYPERLINK("https://twitter.com/sakitsunekotori","@sakitsunekotori")</f>
        <v>@sakitsunekotori</v>
      </c>
      <c r="C236" s="21" t="s">
        <v>693</v>
      </c>
      <c r="D236" s="21" t="s">
        <v>42</v>
      </c>
      <c r="E236" s="22" t="str">
        <f>HYPERLINK("https://twitter.com/sakitsunekotori/status/922381696019841024","922381696019841024")</f>
        <v>922381696019841024</v>
      </c>
      <c r="F236" s="23" t="s">
        <v>33</v>
      </c>
      <c r="G236" s="24">
        <v>522.0</v>
      </c>
      <c r="H236" s="24">
        <v>579.0</v>
      </c>
      <c r="I236" s="24">
        <v>8501.0</v>
      </c>
      <c r="J236" s="24">
        <v>0.0</v>
      </c>
      <c r="K236" s="23" t="s">
        <v>34</v>
      </c>
      <c r="L236" s="25">
        <v>41124.86759259259</v>
      </c>
      <c r="M236" s="26" t="s">
        <v>694</v>
      </c>
      <c r="N236" s="26" t="s">
        <v>695</v>
      </c>
      <c r="O236" s="22" t="str">
        <f>HYPERLINK("https://pbs.twimg.com/profile_images/910763504717619200/GLBZlP0s_normal.jpg","View")</f>
        <v>View</v>
      </c>
      <c r="P236" s="27"/>
    </row>
    <row r="237">
      <c r="A237" s="14">
        <v>43031.068402777775</v>
      </c>
      <c r="B237" s="20" t="str">
        <f>HYPERLINK("https://twitter.com/Shona15000","@Shona15000")</f>
        <v>@Shona15000</v>
      </c>
      <c r="C237" s="21" t="s">
        <v>696</v>
      </c>
      <c r="D237" s="21" t="s">
        <v>42</v>
      </c>
      <c r="E237" s="22" t="str">
        <f>HYPERLINK("https://twitter.com/Shona15000/status/922381708434972672","922381708434972672")</f>
        <v>922381708434972672</v>
      </c>
      <c r="F237" s="23" t="s">
        <v>33</v>
      </c>
      <c r="G237" s="24">
        <v>25.0</v>
      </c>
      <c r="H237" s="24">
        <v>109.0</v>
      </c>
      <c r="I237" s="24">
        <v>8501.0</v>
      </c>
      <c r="J237" s="24">
        <v>0.0</v>
      </c>
      <c r="K237" s="23" t="s">
        <v>34</v>
      </c>
      <c r="L237" s="25">
        <v>42943.27819444444</v>
      </c>
      <c r="M237" s="28"/>
      <c r="N237" s="28"/>
      <c r="O237" s="22" t="str">
        <f>HYPERLINK("https://abs.twimg.com/sticky/default_profile_images/default_profile_normal.png","View")</f>
        <v>View</v>
      </c>
      <c r="P237" s="27"/>
    </row>
    <row r="238">
      <c r="A238" s="14">
        <v>43031.06841435185</v>
      </c>
      <c r="B238" s="20" t="str">
        <f>HYPERLINK("https://twitter.com/vsarrulmozhy","@vsarrulmozhy")</f>
        <v>@vsarrulmozhy</v>
      </c>
      <c r="C238" s="21" t="s">
        <v>697</v>
      </c>
      <c r="D238" s="21" t="s">
        <v>698</v>
      </c>
      <c r="E238" s="22" t="str">
        <f>HYPERLINK("https://twitter.com/vsarrulmozhy/status/922381711610204160","922381711610204160")</f>
        <v>922381711610204160</v>
      </c>
      <c r="F238" s="23" t="s">
        <v>55</v>
      </c>
      <c r="G238" s="24">
        <v>629.0</v>
      </c>
      <c r="H238" s="24">
        <v>612.0</v>
      </c>
      <c r="I238" s="24">
        <v>0.0</v>
      </c>
      <c r="J238" s="24">
        <v>0.0</v>
      </c>
      <c r="K238" s="23" t="s">
        <v>34</v>
      </c>
      <c r="L238" s="25">
        <v>42797.959016203706</v>
      </c>
      <c r="M238" s="26" t="s">
        <v>699</v>
      </c>
      <c r="N238" s="26" t="s">
        <v>700</v>
      </c>
      <c r="O238" s="22" t="str">
        <f>HYPERLINK("https://pbs.twimg.com/profile_images/892434173943848966/7APY8YFN_normal.jpg","View")</f>
        <v>View</v>
      </c>
      <c r="P238" s="27"/>
    </row>
    <row r="239">
      <c r="A239" s="14">
        <v>43031.06846064815</v>
      </c>
      <c r="B239" s="20" t="str">
        <f>HYPERLINK("https://twitter.com/hungryShinchan","@hungryShinchan")</f>
        <v>@hungryShinchan</v>
      </c>
      <c r="C239" s="21" t="s">
        <v>701</v>
      </c>
      <c r="D239" s="21" t="s">
        <v>42</v>
      </c>
      <c r="E239" s="22" t="str">
        <f>HYPERLINK("https://twitter.com/hungryShinchan/status/922381728584417281","922381728584417281")</f>
        <v>922381728584417281</v>
      </c>
      <c r="F239" s="23" t="s">
        <v>33</v>
      </c>
      <c r="G239" s="24">
        <v>2.0</v>
      </c>
      <c r="H239" s="24">
        <v>8.0</v>
      </c>
      <c r="I239" s="24">
        <v>8501.0</v>
      </c>
      <c r="J239" s="24">
        <v>0.0</v>
      </c>
      <c r="K239" s="23" t="s">
        <v>34</v>
      </c>
      <c r="L239" s="25">
        <v>42820.48469907408</v>
      </c>
      <c r="M239" s="28"/>
      <c r="N239" s="26" t="s">
        <v>702</v>
      </c>
      <c r="O239" s="22" t="str">
        <f>HYPERLINK("https://pbs.twimg.com/profile_images/846079526492934144/O9ktH1Tb_normal.jpg","View")</f>
        <v>View</v>
      </c>
      <c r="P239" s="27"/>
    </row>
    <row r="240">
      <c r="A240" s="14">
        <v>43031.06858796296</v>
      </c>
      <c r="B240" s="20" t="str">
        <f>HYPERLINK("https://twitter.com/jostaryoutube40","@jostaryoutube40")</f>
        <v>@jostaryoutube40</v>
      </c>
      <c r="C240" s="21" t="s">
        <v>703</v>
      </c>
      <c r="D240" s="21" t="s">
        <v>704</v>
      </c>
      <c r="E240" s="22" t="str">
        <f>HYPERLINK("https://twitter.com/jostaryoutube40/status/922381772792373248","922381772792373248")</f>
        <v>922381772792373248</v>
      </c>
      <c r="F240" s="30" t="s">
        <v>659</v>
      </c>
      <c r="G240" s="24">
        <v>63.0</v>
      </c>
      <c r="H240" s="24">
        <v>41.0</v>
      </c>
      <c r="I240" s="24">
        <v>0.0</v>
      </c>
      <c r="J240" s="24">
        <v>0.0</v>
      </c>
      <c r="K240" s="23" t="s">
        <v>34</v>
      </c>
      <c r="L240" s="25">
        <v>42687.98856481482</v>
      </c>
      <c r="M240" s="26" t="s">
        <v>660</v>
      </c>
      <c r="N240" s="26" t="s">
        <v>705</v>
      </c>
      <c r="O240" s="22" t="str">
        <f>HYPERLINK("https://pbs.twimg.com/profile_images/798078516680007680/lIGUVhuP_normal.jpg","View")</f>
        <v>View</v>
      </c>
      <c r="P240" s="27"/>
    </row>
    <row r="241">
      <c r="A241" s="14">
        <v>43031.06863425926</v>
      </c>
      <c r="B241" s="20" t="str">
        <f>HYPERLINK("https://twitter.com/BrooksMacdonald","@BrooksMacdonald")</f>
        <v>@BrooksMacdonald</v>
      </c>
      <c r="C241" s="21" t="s">
        <v>706</v>
      </c>
      <c r="D241" s="21" t="s">
        <v>707</v>
      </c>
      <c r="E241" s="22" t="str">
        <f>HYPERLINK("https://twitter.com/BrooksMacdonald/status/922381789271920640","922381789271920640")</f>
        <v>922381789271920640</v>
      </c>
      <c r="F241" s="23" t="s">
        <v>55</v>
      </c>
      <c r="G241" s="24">
        <v>1771.0</v>
      </c>
      <c r="H241" s="24">
        <v>1106.0</v>
      </c>
      <c r="I241" s="24">
        <v>2.0</v>
      </c>
      <c r="J241" s="24">
        <v>3.0</v>
      </c>
      <c r="K241" s="23" t="s">
        <v>34</v>
      </c>
      <c r="L241" s="25">
        <v>41158.15920138889</v>
      </c>
      <c r="M241" s="26" t="s">
        <v>708</v>
      </c>
      <c r="N241" s="26" t="s">
        <v>709</v>
      </c>
      <c r="O241" s="22" t="str">
        <f>HYPERLINK("https://pbs.twimg.com/profile_images/877101053602398208/L7SS2DOa_normal.jpg","View")</f>
        <v>View</v>
      </c>
      <c r="P241" s="27"/>
    </row>
    <row r="242">
      <c r="A242" s="14">
        <v>43031.068657407406</v>
      </c>
      <c r="B242" s="20" t="str">
        <f>HYPERLINK("https://twitter.com/RameshPatibanda","@RameshPatibanda")</f>
        <v>@RameshPatibanda</v>
      </c>
      <c r="C242" s="21" t="s">
        <v>391</v>
      </c>
      <c r="D242" s="21" t="s">
        <v>163</v>
      </c>
      <c r="E242" s="22" t="str">
        <f>HYPERLINK("https://twitter.com/RameshPatibanda/status/922381797974880261","922381797974880261")</f>
        <v>922381797974880261</v>
      </c>
      <c r="F242" s="23" t="s">
        <v>33</v>
      </c>
      <c r="G242" s="24">
        <v>35.0</v>
      </c>
      <c r="H242" s="24">
        <v>181.0</v>
      </c>
      <c r="I242" s="24">
        <v>1005.0</v>
      </c>
      <c r="J242" s="24">
        <v>0.0</v>
      </c>
      <c r="K242" s="23" t="s">
        <v>34</v>
      </c>
      <c r="L242" s="25">
        <v>41042.118993055556</v>
      </c>
      <c r="M242" s="28"/>
      <c r="N242" s="26" t="s">
        <v>392</v>
      </c>
      <c r="O242" s="22" t="str">
        <f>HYPERLINK("https://abs.twimg.com/sticky/default_profile_images/default_profile_normal.png","View")</f>
        <v>View</v>
      </c>
      <c r="P242" s="27"/>
    </row>
    <row r="243">
      <c r="A243" s="14">
        <v>43031.06869212963</v>
      </c>
      <c r="B243" s="20" t="str">
        <f>HYPERLINK("https://twitter.com/ArvindK8881212","@ArvindK8881212")</f>
        <v>@ArvindK8881212</v>
      </c>
      <c r="C243" s="21" t="s">
        <v>710</v>
      </c>
      <c r="D243" s="21" t="s">
        <v>42</v>
      </c>
      <c r="E243" s="22" t="str">
        <f>HYPERLINK("https://twitter.com/ArvindK8881212/status/922381810398584833","922381810398584833")</f>
        <v>922381810398584833</v>
      </c>
      <c r="F243" s="23" t="s">
        <v>33</v>
      </c>
      <c r="G243" s="24">
        <v>269.0</v>
      </c>
      <c r="H243" s="24">
        <v>295.0</v>
      </c>
      <c r="I243" s="24">
        <v>8501.0</v>
      </c>
      <c r="J243" s="24">
        <v>0.0</v>
      </c>
      <c r="K243" s="23" t="s">
        <v>34</v>
      </c>
      <c r="L243" s="25">
        <v>42646.41643518519</v>
      </c>
      <c r="M243" s="28"/>
      <c r="N243" s="26" t="s">
        <v>711</v>
      </c>
      <c r="O243" s="22" t="str">
        <f>HYPERLINK("https://pbs.twimg.com/profile_images/789131308794417152/jvkd8F6g_normal.jpg","View")</f>
        <v>View</v>
      </c>
      <c r="P243" s="27"/>
    </row>
    <row r="244">
      <c r="A244" s="14">
        <v>43031.06875</v>
      </c>
      <c r="B244" s="20" t="str">
        <f>HYPERLINK("https://twitter.com/nav_nirvana","@nav_nirvana")</f>
        <v>@nav_nirvana</v>
      </c>
      <c r="C244" s="21" t="s">
        <v>712</v>
      </c>
      <c r="D244" s="21" t="s">
        <v>42</v>
      </c>
      <c r="E244" s="22" t="str">
        <f>HYPERLINK("https://twitter.com/nav_nirvana/status/922381831604809728","922381831604809728")</f>
        <v>922381831604809728</v>
      </c>
      <c r="F244" s="23" t="s">
        <v>33</v>
      </c>
      <c r="G244" s="24">
        <v>1735.0</v>
      </c>
      <c r="H244" s="24">
        <v>1095.0</v>
      </c>
      <c r="I244" s="24">
        <v>8501.0</v>
      </c>
      <c r="J244" s="24">
        <v>0.0</v>
      </c>
      <c r="K244" s="23" t="s">
        <v>34</v>
      </c>
      <c r="L244" s="25">
        <v>41136.06591435185</v>
      </c>
      <c r="M244" s="26" t="s">
        <v>713</v>
      </c>
      <c r="N244" s="26" t="s">
        <v>714</v>
      </c>
      <c r="O244" s="22" t="str">
        <f>HYPERLINK("https://pbs.twimg.com/profile_images/713968125113446400/chwpFhZ9_normal.jpg","View")</f>
        <v>View</v>
      </c>
      <c r="P244" s="27"/>
    </row>
    <row r="245">
      <c r="A245" s="14">
        <v>43031.06878472222</v>
      </c>
      <c r="B245" s="20" t="str">
        <f>HYPERLINK("https://twitter.com/ozanktarman","@ozanktarman")</f>
        <v>@ozanktarman</v>
      </c>
      <c r="C245" s="21" t="s">
        <v>715</v>
      </c>
      <c r="D245" s="21" t="s">
        <v>716</v>
      </c>
      <c r="E245" s="22" t="str">
        <f>HYPERLINK("https://twitter.com/ozanktarman/status/922381845177815040","922381845177815040")</f>
        <v>922381845177815040</v>
      </c>
      <c r="F245" s="23" t="s">
        <v>39</v>
      </c>
      <c r="G245" s="24">
        <v>1418.0</v>
      </c>
      <c r="H245" s="24">
        <v>978.0</v>
      </c>
      <c r="I245" s="24">
        <v>9.0</v>
      </c>
      <c r="J245" s="24">
        <v>0.0</v>
      </c>
      <c r="K245" s="23" t="s">
        <v>34</v>
      </c>
      <c r="L245" s="25">
        <v>40029.60631944444</v>
      </c>
      <c r="M245" s="28"/>
      <c r="N245" s="28"/>
      <c r="O245" s="22" t="str">
        <f>HYPERLINK("https://pbs.twimg.com/profile_images/1223909337/image_normal.jpg","View")</f>
        <v>View</v>
      </c>
      <c r="P245" s="27"/>
    </row>
    <row r="246">
      <c r="A246" s="14">
        <v>43031.06878472222</v>
      </c>
      <c r="B246" s="20" t="str">
        <f>HYPERLINK("https://twitter.com/BasantMewada","@BasantMewada")</f>
        <v>@BasantMewada</v>
      </c>
      <c r="C246" s="21" t="s">
        <v>717</v>
      </c>
      <c r="D246" s="21" t="s">
        <v>42</v>
      </c>
      <c r="E246" s="22" t="str">
        <f>HYPERLINK("https://twitter.com/BasantMewada/status/922381846872129536","922381846872129536")</f>
        <v>922381846872129536</v>
      </c>
      <c r="F246" s="23" t="s">
        <v>33</v>
      </c>
      <c r="G246" s="24">
        <v>80.0</v>
      </c>
      <c r="H246" s="24">
        <v>292.0</v>
      </c>
      <c r="I246" s="24">
        <v>8501.0</v>
      </c>
      <c r="J246" s="24">
        <v>0.0</v>
      </c>
      <c r="K246" s="23" t="s">
        <v>34</v>
      </c>
      <c r="L246" s="25">
        <v>42916.29414351852</v>
      </c>
      <c r="M246" s="26" t="s">
        <v>227</v>
      </c>
      <c r="N246" s="26" t="s">
        <v>718</v>
      </c>
      <c r="O246" s="22" t="str">
        <f>HYPERLINK("https://pbs.twimg.com/profile_images/922000992832389120/hd3MMwBG_normal.jpg","View")</f>
        <v>View</v>
      </c>
      <c r="P246" s="27"/>
    </row>
    <row r="247">
      <c r="A247" s="14">
        <v>43031.06880787037</v>
      </c>
      <c r="B247" s="20" t="str">
        <f>HYPERLINK("https://twitter.com/jeegarshah0602","@jeegarshah0602")</f>
        <v>@jeegarshah0602</v>
      </c>
      <c r="C247" s="21" t="s">
        <v>719</v>
      </c>
      <c r="D247" s="21" t="s">
        <v>42</v>
      </c>
      <c r="E247" s="22" t="str">
        <f>HYPERLINK("https://twitter.com/jeegarshah0602/status/922381854061182976","922381854061182976")</f>
        <v>922381854061182976</v>
      </c>
      <c r="F247" s="23" t="s">
        <v>33</v>
      </c>
      <c r="G247" s="24">
        <v>31.0</v>
      </c>
      <c r="H247" s="24">
        <v>137.0</v>
      </c>
      <c r="I247" s="24">
        <v>8501.0</v>
      </c>
      <c r="J247" s="24">
        <v>0.0</v>
      </c>
      <c r="K247" s="23" t="s">
        <v>34</v>
      </c>
      <c r="L247" s="25">
        <v>42263.035208333335</v>
      </c>
      <c r="M247" s="28"/>
      <c r="N247" s="28"/>
      <c r="O247" s="22" t="str">
        <f>HYPERLINK("https://pbs.twimg.com/profile_images/857038065457668098/qQrhat8Y_normal.jpg","View")</f>
        <v>View</v>
      </c>
      <c r="P247" s="27"/>
    </row>
    <row r="248">
      <c r="A248" s="14">
        <v>43031.068819444445</v>
      </c>
      <c r="B248" s="20" t="str">
        <f>HYPERLINK("https://twitter.com/StateOfNetwork","@StateOfNetwork")</f>
        <v>@StateOfNetwork</v>
      </c>
      <c r="C248" s="21" t="s">
        <v>720</v>
      </c>
      <c r="D248" s="21" t="s">
        <v>721</v>
      </c>
      <c r="E248" s="22" t="str">
        <f>HYPERLINK("https://twitter.com/StateOfNetwork/status/922381855873294336","922381855873294336")</f>
        <v>922381855873294336</v>
      </c>
      <c r="F248" s="23" t="s">
        <v>91</v>
      </c>
      <c r="G248" s="24">
        <v>84.0</v>
      </c>
      <c r="H248" s="24">
        <v>2.0</v>
      </c>
      <c r="I248" s="24">
        <v>0.0</v>
      </c>
      <c r="J248" s="24">
        <v>0.0</v>
      </c>
      <c r="K248" s="23" t="s">
        <v>34</v>
      </c>
      <c r="L248" s="25">
        <v>42591.626747685186</v>
      </c>
      <c r="M248" s="26" t="s">
        <v>722</v>
      </c>
      <c r="N248" s="26" t="s">
        <v>723</v>
      </c>
      <c r="O248" s="22" t="str">
        <f>HYPERLINK("https://pbs.twimg.com/profile_images/857770319620263936/CpVum0Np_normal.jpg","View")</f>
        <v>View</v>
      </c>
      <c r="P248" s="27"/>
    </row>
    <row r="249">
      <c r="A249" s="14">
        <v>43031.06885416667</v>
      </c>
      <c r="B249" s="20" t="str">
        <f>HYPERLINK("https://twitter.com/McHarryboyy","@McHarryboyy")</f>
        <v>@McHarryboyy</v>
      </c>
      <c r="C249" s="21" t="s">
        <v>724</v>
      </c>
      <c r="D249" s="21" t="s">
        <v>725</v>
      </c>
      <c r="E249" s="22" t="str">
        <f>HYPERLINK("https://twitter.com/McHarryboyy/status/922381869219565568","922381869219565568")</f>
        <v>922381869219565568</v>
      </c>
      <c r="F249" s="23" t="s">
        <v>91</v>
      </c>
      <c r="G249" s="24">
        <v>349.0</v>
      </c>
      <c r="H249" s="24">
        <v>447.0</v>
      </c>
      <c r="I249" s="24">
        <v>0.0</v>
      </c>
      <c r="J249" s="24">
        <v>0.0</v>
      </c>
      <c r="K249" s="23" t="s">
        <v>34</v>
      </c>
      <c r="L249" s="25">
        <v>40965.951261574075</v>
      </c>
      <c r="M249" s="26" t="s">
        <v>726</v>
      </c>
      <c r="N249" s="26" t="s">
        <v>727</v>
      </c>
      <c r="O249" s="22" t="str">
        <f>HYPERLINK("https://pbs.twimg.com/profile_images/742452919866396672/KrreM7Hd_normal.jpg","View")</f>
        <v>View</v>
      </c>
      <c r="P249" s="27"/>
    </row>
    <row r="250">
      <c r="A250" s="14">
        <v>43031.068865740745</v>
      </c>
      <c r="B250" s="20" t="str">
        <f>HYPERLINK("https://twitter.com/gyanabehera2013","@gyanabehera2013")</f>
        <v>@gyanabehera2013</v>
      </c>
      <c r="C250" s="21" t="s">
        <v>728</v>
      </c>
      <c r="D250" s="21" t="s">
        <v>42</v>
      </c>
      <c r="E250" s="22" t="str">
        <f>HYPERLINK("https://twitter.com/gyanabehera2013/status/922381875607322624","922381875607322624")</f>
        <v>922381875607322624</v>
      </c>
      <c r="F250" s="23" t="s">
        <v>33</v>
      </c>
      <c r="G250" s="24">
        <v>53.0</v>
      </c>
      <c r="H250" s="24">
        <v>371.0</v>
      </c>
      <c r="I250" s="24">
        <v>8501.0</v>
      </c>
      <c r="J250" s="24">
        <v>0.0</v>
      </c>
      <c r="K250" s="23" t="s">
        <v>34</v>
      </c>
      <c r="L250" s="25">
        <v>41666.874386574076</v>
      </c>
      <c r="M250" s="26" t="s">
        <v>68</v>
      </c>
      <c r="N250" s="26" t="s">
        <v>729</v>
      </c>
      <c r="O250" s="22" t="str">
        <f>HYPERLINK("https://pbs.twimg.com/profile_images/919603967587315712/znsPqlSO_normal.jpg","View")</f>
        <v>View</v>
      </c>
      <c r="P250" s="27"/>
    </row>
    <row r="251">
      <c r="A251" s="14">
        <v>43031.06888888888</v>
      </c>
      <c r="B251" s="20" t="str">
        <f>HYPERLINK("https://twitter.com/AshishChatterji","@AshishChatterji")</f>
        <v>@AshishChatterji</v>
      </c>
      <c r="C251" s="21" t="s">
        <v>730</v>
      </c>
      <c r="D251" s="21" t="s">
        <v>42</v>
      </c>
      <c r="E251" s="22" t="str">
        <f>HYPERLINK("https://twitter.com/AshishChatterji/status/922381883538784257","922381883538784257")</f>
        <v>922381883538784257</v>
      </c>
      <c r="F251" s="23" t="s">
        <v>33</v>
      </c>
      <c r="G251" s="24">
        <v>502.0</v>
      </c>
      <c r="H251" s="24">
        <v>325.0</v>
      </c>
      <c r="I251" s="24">
        <v>8501.0</v>
      </c>
      <c r="J251" s="24">
        <v>0.0</v>
      </c>
      <c r="K251" s="23" t="s">
        <v>34</v>
      </c>
      <c r="L251" s="25">
        <v>41787.12886574074</v>
      </c>
      <c r="M251" s="26" t="s">
        <v>731</v>
      </c>
      <c r="N251" s="26" t="s">
        <v>732</v>
      </c>
      <c r="O251" s="22" t="str">
        <f>HYPERLINK("https://pbs.twimg.com/profile_images/695860591945129984/SPkh1vuY_normal.jpg","View")</f>
        <v>View</v>
      </c>
      <c r="P251" s="27"/>
    </row>
    <row r="252">
      <c r="A252" s="14">
        <v>43031.06899305555</v>
      </c>
      <c r="B252" s="20" t="str">
        <f>HYPERLINK("https://twitter.com/baygui","@baygui")</f>
        <v>@baygui</v>
      </c>
      <c r="C252" s="21" t="s">
        <v>403</v>
      </c>
      <c r="D252" s="21" t="s">
        <v>291</v>
      </c>
      <c r="E252" s="22" t="str">
        <f>HYPERLINK("https://twitter.com/baygui/status/922381921442844673","922381921442844673")</f>
        <v>922381921442844673</v>
      </c>
      <c r="F252" s="23" t="s">
        <v>33</v>
      </c>
      <c r="G252" s="24">
        <v>1188.0</v>
      </c>
      <c r="H252" s="24">
        <v>1212.0</v>
      </c>
      <c r="I252" s="24">
        <v>3.0</v>
      </c>
      <c r="J252" s="24">
        <v>0.0</v>
      </c>
      <c r="K252" s="23" t="s">
        <v>34</v>
      </c>
      <c r="L252" s="25">
        <v>41574.79048611111</v>
      </c>
      <c r="M252" s="26" t="s">
        <v>405</v>
      </c>
      <c r="N252" s="26" t="s">
        <v>406</v>
      </c>
      <c r="O252" s="22" t="str">
        <f>HYPERLINK("https://pbs.twimg.com/profile_images/716120290695192576/yCipZdVs_normal.jpg","View")</f>
        <v>View</v>
      </c>
      <c r="P252" s="27"/>
    </row>
    <row r="253">
      <c r="A253" s="14">
        <v>43031.06900462963</v>
      </c>
      <c r="B253" s="20" t="str">
        <f>HYPERLINK("https://twitter.com/suraj_Hindustan","@suraj_Hindustan")</f>
        <v>@suraj_Hindustan</v>
      </c>
      <c r="C253" s="21" t="s">
        <v>733</v>
      </c>
      <c r="D253" s="21" t="s">
        <v>42</v>
      </c>
      <c r="E253" s="22" t="str">
        <f>HYPERLINK("https://twitter.com/suraj_Hindustan/status/922381925053898752","922381925053898752")</f>
        <v>922381925053898752</v>
      </c>
      <c r="F253" s="23" t="s">
        <v>43</v>
      </c>
      <c r="G253" s="24">
        <v>148.0</v>
      </c>
      <c r="H253" s="24">
        <v>47.0</v>
      </c>
      <c r="I253" s="24">
        <v>8501.0</v>
      </c>
      <c r="J253" s="24">
        <v>0.0</v>
      </c>
      <c r="K253" s="23" t="s">
        <v>34</v>
      </c>
      <c r="L253" s="25">
        <v>41273.09442129629</v>
      </c>
      <c r="M253" s="26" t="s">
        <v>734</v>
      </c>
      <c r="N253" s="26" t="s">
        <v>735</v>
      </c>
      <c r="O253" s="22" t="str">
        <f>HYPERLINK("https://abs.twimg.com/sticky/default_profile_images/default_profile_normal.png","View")</f>
        <v>View</v>
      </c>
      <c r="P253" s="27"/>
    </row>
    <row r="254">
      <c r="A254" s="14">
        <v>43031.069016203706</v>
      </c>
      <c r="B254" s="20" t="str">
        <f>HYPERLINK("https://twitter.com/RonnieChopra1","@RonnieChopra1")</f>
        <v>@RonnieChopra1</v>
      </c>
      <c r="C254" s="21" t="s">
        <v>736</v>
      </c>
      <c r="D254" s="21" t="s">
        <v>737</v>
      </c>
      <c r="E254" s="22" t="str">
        <f>HYPERLINK("https://twitter.com/RonnieChopra1/status/922381929021952000","922381929021952000")</f>
        <v>922381929021952000</v>
      </c>
      <c r="F254" s="23" t="s">
        <v>55</v>
      </c>
      <c r="G254" s="24">
        <v>331.0</v>
      </c>
      <c r="H254" s="24">
        <v>328.0</v>
      </c>
      <c r="I254" s="24">
        <v>2.0</v>
      </c>
      <c r="J254" s="24">
        <v>0.0</v>
      </c>
      <c r="K254" s="23" t="s">
        <v>34</v>
      </c>
      <c r="L254" s="25">
        <v>41331.9768287037</v>
      </c>
      <c r="M254" s="26" t="s">
        <v>40</v>
      </c>
      <c r="N254" s="26" t="s">
        <v>738</v>
      </c>
      <c r="O254" s="22" t="str">
        <f>HYPERLINK("https://pbs.twimg.com/profile_images/3313936859/e9c0e1009ee15e8f9e5d5f37ffa845a5_normal.jpeg","View")</f>
        <v>View</v>
      </c>
      <c r="P254" s="27"/>
    </row>
    <row r="255">
      <c r="A255" s="14">
        <v>43031.06903935185</v>
      </c>
      <c r="B255" s="20" t="str">
        <f>HYPERLINK("https://twitter.com/108PP4","@108PP4")</f>
        <v>@108PP4</v>
      </c>
      <c r="C255" s="21" t="s">
        <v>739</v>
      </c>
      <c r="D255" s="21" t="s">
        <v>740</v>
      </c>
      <c r="E255" s="22" t="str">
        <f>HYPERLINK("https://twitter.com/108PP4/status/922381937909448707","922381937909448707")</f>
        <v>922381937909448707</v>
      </c>
      <c r="F255" s="23" t="s">
        <v>33</v>
      </c>
      <c r="G255" s="24">
        <v>312.0</v>
      </c>
      <c r="H255" s="24">
        <v>330.0</v>
      </c>
      <c r="I255" s="24">
        <v>87.0</v>
      </c>
      <c r="J255" s="24">
        <v>0.0</v>
      </c>
      <c r="K255" s="23" t="s">
        <v>34</v>
      </c>
      <c r="L255" s="25">
        <v>41123.698217592595</v>
      </c>
      <c r="M255" s="26" t="s">
        <v>741</v>
      </c>
      <c r="N255" s="26" t="s">
        <v>742</v>
      </c>
      <c r="O255" s="22" t="str">
        <f>HYPERLINK("https://pbs.twimg.com/profile_images/708908417117609984/v4NTJNSI_normal.jpg","View")</f>
        <v>View</v>
      </c>
      <c r="P255" s="27"/>
    </row>
    <row r="256">
      <c r="A256" s="14">
        <v>43031.069236111114</v>
      </c>
      <c r="B256" s="20" t="str">
        <f>HYPERLINK("https://twitter.com/RamananadSwami1","@RamananadSwami1")</f>
        <v>@RamananadSwami1</v>
      </c>
      <c r="C256" s="21" t="s">
        <v>743</v>
      </c>
      <c r="D256" s="21" t="s">
        <v>744</v>
      </c>
      <c r="E256" s="22" t="str">
        <f>HYPERLINK("https://twitter.com/RamananadSwami1/status/922382010353512454","922382010353512454")</f>
        <v>922382010353512454</v>
      </c>
      <c r="F256" s="23" t="s">
        <v>33</v>
      </c>
      <c r="G256" s="24">
        <v>4.0</v>
      </c>
      <c r="H256" s="24">
        <v>0.0</v>
      </c>
      <c r="I256" s="24">
        <v>0.0</v>
      </c>
      <c r="J256" s="24">
        <v>1.0</v>
      </c>
      <c r="K256" s="23" t="s">
        <v>34</v>
      </c>
      <c r="L256" s="25">
        <v>42849.174733796295</v>
      </c>
      <c r="M256" s="28"/>
      <c r="N256" s="28"/>
      <c r="O256" s="22" t="str">
        <f>HYPERLINK("https://pbs.twimg.com/profile_images/894801748145065984/eZPfm62b_normal.jpg","View")</f>
        <v>View</v>
      </c>
      <c r="P256" s="27"/>
    </row>
    <row r="257">
      <c r="A257" s="14">
        <v>43031.0693287037</v>
      </c>
      <c r="B257" s="20" t="str">
        <f>HYPERLINK("https://twitter.com/NurMohammadMan","@NurMohammadMan")</f>
        <v>@NurMohammadMan</v>
      </c>
      <c r="C257" s="21" t="s">
        <v>745</v>
      </c>
      <c r="D257" s="21" t="s">
        <v>746</v>
      </c>
      <c r="E257" s="22" t="str">
        <f>HYPERLINK("https://twitter.com/NurMohammadMan/status/922382042385412099","922382042385412099")</f>
        <v>922382042385412099</v>
      </c>
      <c r="F257" s="23" t="s">
        <v>55</v>
      </c>
      <c r="G257" s="24">
        <v>1578.0</v>
      </c>
      <c r="H257" s="24">
        <v>5001.0</v>
      </c>
      <c r="I257" s="24">
        <v>0.0</v>
      </c>
      <c r="J257" s="24">
        <v>1.0</v>
      </c>
      <c r="K257" s="23" t="s">
        <v>34</v>
      </c>
      <c r="L257" s="25">
        <v>42748.036886574075</v>
      </c>
      <c r="M257" s="26" t="s">
        <v>747</v>
      </c>
      <c r="N257" s="26" t="s">
        <v>748</v>
      </c>
      <c r="O257" s="22" t="str">
        <f>HYPERLINK("https://pbs.twimg.com/profile_images/918323975243022337/0n2XH-Zs_normal.jpg","View")</f>
        <v>View</v>
      </c>
      <c r="P257" s="27"/>
    </row>
    <row r="258">
      <c r="A258" s="14">
        <v>43031.06936342592</v>
      </c>
      <c r="B258" s="20" t="str">
        <f>HYPERLINK("https://twitter.com/yakumo623","@yakumo623")</f>
        <v>@yakumo623</v>
      </c>
      <c r="C258" s="21" t="s">
        <v>749</v>
      </c>
      <c r="D258" s="21" t="s">
        <v>42</v>
      </c>
      <c r="E258" s="22" t="str">
        <f>HYPERLINK("https://twitter.com/yakumo623/status/922382052569243650","922382052569243650")</f>
        <v>922382052569243650</v>
      </c>
      <c r="F258" s="23" t="s">
        <v>55</v>
      </c>
      <c r="G258" s="24">
        <v>372.0</v>
      </c>
      <c r="H258" s="24">
        <v>76.0</v>
      </c>
      <c r="I258" s="24">
        <v>8501.0</v>
      </c>
      <c r="J258" s="24">
        <v>0.0</v>
      </c>
      <c r="K258" s="23" t="s">
        <v>34</v>
      </c>
      <c r="L258" s="25">
        <v>42270.94730324074</v>
      </c>
      <c r="M258" s="26" t="s">
        <v>71</v>
      </c>
      <c r="N258" s="26" t="s">
        <v>750</v>
      </c>
      <c r="O258" s="22" t="str">
        <f>HYPERLINK("https://pbs.twimg.com/profile_images/647301847200325633/2QvNDdJl_normal.jpg","View")</f>
        <v>View</v>
      </c>
      <c r="P258" s="27"/>
    </row>
    <row r="259">
      <c r="A259" s="14">
        <v>43031.06936342592</v>
      </c>
      <c r="B259" s="20" t="str">
        <f>HYPERLINK("https://twitter.com/27amit","@27amit")</f>
        <v>@27amit</v>
      </c>
      <c r="C259" s="21" t="s">
        <v>751</v>
      </c>
      <c r="D259" s="21" t="s">
        <v>42</v>
      </c>
      <c r="E259" s="22" t="str">
        <f>HYPERLINK("https://twitter.com/27amit/status/922382053819084801","922382053819084801")</f>
        <v>922382053819084801</v>
      </c>
      <c r="F259" s="23" t="s">
        <v>39</v>
      </c>
      <c r="G259" s="24">
        <v>100.0</v>
      </c>
      <c r="H259" s="24">
        <v>140.0</v>
      </c>
      <c r="I259" s="24">
        <v>8501.0</v>
      </c>
      <c r="J259" s="24">
        <v>0.0</v>
      </c>
      <c r="K259" s="23" t="s">
        <v>34</v>
      </c>
      <c r="L259" s="25">
        <v>40065.317777777775</v>
      </c>
      <c r="M259" s="26" t="s">
        <v>752</v>
      </c>
      <c r="N259" s="26" t="s">
        <v>753</v>
      </c>
      <c r="O259" s="22" t="str">
        <f>HYPERLINK("https://pbs.twimg.com/profile_images/684147590967894017/ug_wTgH1_normal.jpg","View")</f>
        <v>View</v>
      </c>
      <c r="P259" s="27"/>
    </row>
    <row r="260">
      <c r="A260" s="14">
        <v>43031.069490740745</v>
      </c>
      <c r="B260" s="20" t="str">
        <f>HYPERLINK("https://twitter.com/Reuters","@Reuters")</f>
        <v>@Reuters</v>
      </c>
      <c r="C260" s="21" t="s">
        <v>754</v>
      </c>
      <c r="D260" s="21" t="s">
        <v>755</v>
      </c>
      <c r="E260" s="22" t="str">
        <f>HYPERLINK("https://twitter.com/Reuters/status/922382101411979264","922382101411979264")</f>
        <v>922382101411979264</v>
      </c>
      <c r="F260" s="23" t="s">
        <v>756</v>
      </c>
      <c r="G260" s="24">
        <v>1.8914241E7</v>
      </c>
      <c r="H260" s="24">
        <v>1063.0</v>
      </c>
      <c r="I260" s="24">
        <v>62.0</v>
      </c>
      <c r="J260" s="24">
        <v>85.0</v>
      </c>
      <c r="K260" s="23" t="s">
        <v>34</v>
      </c>
      <c r="L260" s="25">
        <v>39161.44866898148</v>
      </c>
      <c r="M260" s="26" t="s">
        <v>757</v>
      </c>
      <c r="N260" s="26" t="s">
        <v>758</v>
      </c>
      <c r="O260" s="22" t="str">
        <f>HYPERLINK("https://pbs.twimg.com/profile_images/877554927932891136/ZBEs235N_normal.jpg","View")</f>
        <v>View</v>
      </c>
      <c r="P260" s="27"/>
    </row>
    <row r="261">
      <c r="A261" s="14">
        <v>43031.069513888884</v>
      </c>
      <c r="B261" s="20" t="str">
        <f>HYPERLINK("https://twitter.com/News365247live","@News365247live")</f>
        <v>@News365247live</v>
      </c>
      <c r="C261" s="21" t="s">
        <v>759</v>
      </c>
      <c r="D261" s="21" t="s">
        <v>760</v>
      </c>
      <c r="E261" s="22" t="str">
        <f>HYPERLINK("https://twitter.com/News365247live/status/922382109913751552","922382109913751552")</f>
        <v>922382109913751552</v>
      </c>
      <c r="F261" s="23" t="s">
        <v>761</v>
      </c>
      <c r="G261" s="24">
        <v>1497.0</v>
      </c>
      <c r="H261" s="24">
        <v>4734.0</v>
      </c>
      <c r="I261" s="24">
        <v>62.0</v>
      </c>
      <c r="J261" s="24">
        <v>0.0</v>
      </c>
      <c r="K261" s="23" t="s">
        <v>34</v>
      </c>
      <c r="L261" s="25">
        <v>42728.342094907406</v>
      </c>
      <c r="M261" s="26" t="s">
        <v>762</v>
      </c>
      <c r="N261" s="26" t="s">
        <v>763</v>
      </c>
      <c r="O261" s="22" t="str">
        <f>HYPERLINK("https://pbs.twimg.com/profile_images/813047771091472384/ZtakiWrG_normal.jpg","View")</f>
        <v>View</v>
      </c>
      <c r="P261" s="27"/>
    </row>
    <row r="262">
      <c r="A262" s="14">
        <v>43031.06953703704</v>
      </c>
      <c r="B262" s="20" t="str">
        <f>HYPERLINK("https://twitter.com/EBertolaccini","@EBertolaccini")</f>
        <v>@EBertolaccini</v>
      </c>
      <c r="C262" s="21" t="s">
        <v>764</v>
      </c>
      <c r="D262" s="21" t="s">
        <v>765</v>
      </c>
      <c r="E262" s="22" t="str">
        <f>HYPERLINK("https://twitter.com/EBertolaccini/status/922382119288164353","922382119288164353")</f>
        <v>922382119288164353</v>
      </c>
      <c r="F262" s="23" t="s">
        <v>187</v>
      </c>
      <c r="G262" s="24">
        <v>1179.0</v>
      </c>
      <c r="H262" s="24">
        <v>1881.0</v>
      </c>
      <c r="I262" s="24">
        <v>0.0</v>
      </c>
      <c r="J262" s="24">
        <v>0.0</v>
      </c>
      <c r="K262" s="23" t="s">
        <v>34</v>
      </c>
      <c r="L262" s="25">
        <v>40636.36203703703</v>
      </c>
      <c r="M262" s="26" t="s">
        <v>766</v>
      </c>
      <c r="N262" s="26" t="s">
        <v>767</v>
      </c>
      <c r="O262" s="22" t="str">
        <f>HYPERLINK("https://pbs.twimg.com/profile_images/522805721537466368/cbIOXjsD_normal.jpeg","View")</f>
        <v>View</v>
      </c>
      <c r="P262" s="27"/>
    </row>
    <row r="263">
      <c r="A263" s="14">
        <v>43031.06961805555</v>
      </c>
      <c r="B263" s="20" t="str">
        <f>HYPERLINK("https://twitter.com/Streitapfel","@Streitapfel")</f>
        <v>@Streitapfel</v>
      </c>
      <c r="C263" s="21" t="s">
        <v>768</v>
      </c>
      <c r="D263" s="21" t="s">
        <v>760</v>
      </c>
      <c r="E263" s="22" t="str">
        <f>HYPERLINK("https://twitter.com/Streitapfel/status/922382146093944832","922382146093944832")</f>
        <v>922382146093944832</v>
      </c>
      <c r="F263" s="23" t="s">
        <v>769</v>
      </c>
      <c r="G263" s="24">
        <v>1398.0</v>
      </c>
      <c r="H263" s="24">
        <v>2076.0</v>
      </c>
      <c r="I263" s="24">
        <v>62.0</v>
      </c>
      <c r="J263" s="24">
        <v>0.0</v>
      </c>
      <c r="K263" s="23" t="s">
        <v>34</v>
      </c>
      <c r="L263" s="25">
        <v>39985.30291666667</v>
      </c>
      <c r="M263" s="28"/>
      <c r="N263" s="28"/>
      <c r="O263" s="22" t="str">
        <f>HYPERLINK("https://pbs.twimg.com/profile_images/3439426516/a2c29c1bc212169003d11ae6396ebbde_normal.png","View")</f>
        <v>View</v>
      </c>
      <c r="P263" s="27"/>
    </row>
    <row r="264">
      <c r="A264" s="14">
        <v>43031.06962962963</v>
      </c>
      <c r="B264" s="20" t="str">
        <f>HYPERLINK("https://twitter.com/AdStar14","@AdStar14")</f>
        <v>@AdStar14</v>
      </c>
      <c r="C264" s="21" t="s">
        <v>770</v>
      </c>
      <c r="D264" s="21" t="s">
        <v>760</v>
      </c>
      <c r="E264" s="22" t="str">
        <f>HYPERLINK("https://twitter.com/AdStar14/status/922382149914910721","922382149914910721")</f>
        <v>922382149914910721</v>
      </c>
      <c r="F264" s="23" t="s">
        <v>33</v>
      </c>
      <c r="G264" s="24">
        <v>239.0</v>
      </c>
      <c r="H264" s="24">
        <v>731.0</v>
      </c>
      <c r="I264" s="24">
        <v>62.0</v>
      </c>
      <c r="J264" s="24">
        <v>0.0</v>
      </c>
      <c r="K264" s="23" t="s">
        <v>34</v>
      </c>
      <c r="L264" s="25">
        <v>41642.63569444444</v>
      </c>
      <c r="M264" s="26" t="s">
        <v>771</v>
      </c>
      <c r="N264" s="26" t="s">
        <v>772</v>
      </c>
      <c r="O264" s="22" t="str">
        <f>HYPERLINK("https://pbs.twimg.com/profile_images/633303297722597376/GBvels4Z_normal.jpg","View")</f>
        <v>View</v>
      </c>
      <c r="P264" s="27"/>
    </row>
    <row r="265">
      <c r="A265" s="14">
        <v>43031.06967592593</v>
      </c>
      <c r="B265" s="20" t="str">
        <f>HYPERLINK("https://twitter.com/Essay_Lords","@Essay_Lords")</f>
        <v>@Essay_Lords</v>
      </c>
      <c r="C265" s="21" t="s">
        <v>773</v>
      </c>
      <c r="D265" s="21" t="s">
        <v>774</v>
      </c>
      <c r="E265" s="22" t="str">
        <f>HYPERLINK("https://twitter.com/Essay_Lords/status/922382169808523264","922382169808523264")</f>
        <v>922382169808523264</v>
      </c>
      <c r="F265" s="23" t="s">
        <v>187</v>
      </c>
      <c r="G265" s="24">
        <v>4311.0</v>
      </c>
      <c r="H265" s="24">
        <v>3617.0</v>
      </c>
      <c r="I265" s="24">
        <v>0.0</v>
      </c>
      <c r="J265" s="24">
        <v>0.0</v>
      </c>
      <c r="K265" s="23" t="s">
        <v>34</v>
      </c>
      <c r="L265" s="25">
        <v>41982.42165509259</v>
      </c>
      <c r="M265" s="26" t="s">
        <v>567</v>
      </c>
      <c r="N265" s="26" t="s">
        <v>775</v>
      </c>
      <c r="O265" s="22" t="str">
        <f>HYPERLINK("https://pbs.twimg.com/profile_images/722066414362894336/kHUvL0fA_normal.jpg","View")</f>
        <v>View</v>
      </c>
      <c r="P265" s="27"/>
    </row>
    <row r="266">
      <c r="A266" s="14">
        <v>43031.06972222222</v>
      </c>
      <c r="B266" s="20" t="str">
        <f>HYPERLINK("https://twitter.com/Subhop83","@Subhop83")</f>
        <v>@Subhop83</v>
      </c>
      <c r="C266" s="21" t="s">
        <v>776</v>
      </c>
      <c r="D266" s="21" t="s">
        <v>42</v>
      </c>
      <c r="E266" s="22" t="str">
        <f>HYPERLINK("https://twitter.com/Subhop83/status/922382183058337793","922382183058337793")</f>
        <v>922382183058337793</v>
      </c>
      <c r="F266" s="23" t="s">
        <v>33</v>
      </c>
      <c r="G266" s="24">
        <v>5.0</v>
      </c>
      <c r="H266" s="24">
        <v>57.0</v>
      </c>
      <c r="I266" s="24">
        <v>8501.0</v>
      </c>
      <c r="J266" s="24">
        <v>0.0</v>
      </c>
      <c r="K266" s="23" t="s">
        <v>34</v>
      </c>
      <c r="L266" s="25">
        <v>42998.34199074074</v>
      </c>
      <c r="M266" s="28"/>
      <c r="N266" s="28"/>
      <c r="O266" s="22" t="str">
        <f>HYPERLINK("https://abs.twimg.com/sticky/default_profile_images/default_profile_normal.png","View")</f>
        <v>View</v>
      </c>
      <c r="P266" s="27"/>
    </row>
    <row r="267">
      <c r="A267" s="14">
        <v>43031.06974537037</v>
      </c>
      <c r="B267" s="20" t="str">
        <f>HYPERLINK("https://twitter.com/KPGanesh","@KPGanesh")</f>
        <v>@KPGanesh</v>
      </c>
      <c r="C267" s="21" t="s">
        <v>777</v>
      </c>
      <c r="D267" s="21" t="s">
        <v>163</v>
      </c>
      <c r="E267" s="22" t="str">
        <f>HYPERLINK("https://twitter.com/KPGanesh/status/922382193946607617","922382193946607617")</f>
        <v>922382193946607617</v>
      </c>
      <c r="F267" s="23" t="s">
        <v>33</v>
      </c>
      <c r="G267" s="24">
        <v>3574.0</v>
      </c>
      <c r="H267" s="24">
        <v>947.0</v>
      </c>
      <c r="I267" s="24">
        <v>1005.0</v>
      </c>
      <c r="J267" s="24">
        <v>0.0</v>
      </c>
      <c r="K267" s="23" t="s">
        <v>34</v>
      </c>
      <c r="L267" s="25">
        <v>40743.27699074074</v>
      </c>
      <c r="M267" s="28"/>
      <c r="N267" s="26" t="s">
        <v>778</v>
      </c>
      <c r="O267" s="22" t="str">
        <f>HYPERLINK("https://pbs.twimg.com/profile_images/708212599968501760/m8e44drn_normal.jpg","View")</f>
        <v>View</v>
      </c>
      <c r="P267" s="27"/>
    </row>
    <row r="268">
      <c r="A268" s="14">
        <v>43031.06982638889</v>
      </c>
      <c r="B268" s="20" t="str">
        <f>HYPERLINK("https://twitter.com/Bi2Mishra","@Bi2Mishra")</f>
        <v>@Bi2Mishra</v>
      </c>
      <c r="C268" s="21" t="s">
        <v>779</v>
      </c>
      <c r="D268" s="21" t="s">
        <v>42</v>
      </c>
      <c r="E268" s="22" t="str">
        <f>HYPERLINK("https://twitter.com/Bi2Mishra/status/922382221540974592","922382221540974592")</f>
        <v>922382221540974592</v>
      </c>
      <c r="F268" s="23" t="s">
        <v>780</v>
      </c>
      <c r="G268" s="24">
        <v>239.0</v>
      </c>
      <c r="H268" s="24">
        <v>119.0</v>
      </c>
      <c r="I268" s="24">
        <v>8501.0</v>
      </c>
      <c r="J268" s="24">
        <v>0.0</v>
      </c>
      <c r="K268" s="23" t="s">
        <v>34</v>
      </c>
      <c r="L268" s="25">
        <v>41183.49644675926</v>
      </c>
      <c r="M268" s="28"/>
      <c r="N268" s="26" t="s">
        <v>781</v>
      </c>
      <c r="O268" s="22" t="str">
        <f>HYPERLINK("https://pbs.twimg.com/profile_images/809658531242590208/1zqlqV6C_normal.jpg","View")</f>
        <v>View</v>
      </c>
      <c r="P268" s="27"/>
    </row>
    <row r="269">
      <c r="A269" s="14">
        <v>43031.06983796296</v>
      </c>
      <c r="B269" s="20" t="str">
        <f>HYPERLINK("https://twitter.com/gigglemug","@gigglemug")</f>
        <v>@gigglemug</v>
      </c>
      <c r="C269" s="21" t="s">
        <v>782</v>
      </c>
      <c r="D269" s="21" t="s">
        <v>42</v>
      </c>
      <c r="E269" s="22" t="str">
        <f>HYPERLINK("https://twitter.com/gigglemug/status/922382227010240512","922382227010240512")</f>
        <v>922382227010240512</v>
      </c>
      <c r="F269" s="23" t="s">
        <v>33</v>
      </c>
      <c r="G269" s="24">
        <v>178.0</v>
      </c>
      <c r="H269" s="24">
        <v>639.0</v>
      </c>
      <c r="I269" s="24">
        <v>8501.0</v>
      </c>
      <c r="J269" s="24">
        <v>0.0</v>
      </c>
      <c r="K269" s="23" t="s">
        <v>34</v>
      </c>
      <c r="L269" s="25">
        <v>41740.011921296296</v>
      </c>
      <c r="M269" s="26" t="s">
        <v>783</v>
      </c>
      <c r="N269" s="26" t="s">
        <v>784</v>
      </c>
      <c r="O269" s="22" t="str">
        <f>HYPERLINK("https://pbs.twimg.com/profile_images/921105984335917056/wfdKwSx2_normal.jpg","View")</f>
        <v>View</v>
      </c>
      <c r="P269" s="27"/>
    </row>
    <row r="270">
      <c r="A270" s="14">
        <v>43031.06983796296</v>
      </c>
      <c r="B270" s="20" t="str">
        <f>HYPERLINK("https://twitter.com/gryffindreamt","@gryffindreamt")</f>
        <v>@gryffindreamt</v>
      </c>
      <c r="C270" s="21" t="s">
        <v>785</v>
      </c>
      <c r="D270" s="21" t="s">
        <v>760</v>
      </c>
      <c r="E270" s="22" t="str">
        <f>HYPERLINK("https://twitter.com/gryffindreamt/status/922382227266084864","922382227266084864")</f>
        <v>922382227266084864</v>
      </c>
      <c r="F270" s="23" t="s">
        <v>39</v>
      </c>
      <c r="G270" s="24">
        <v>3417.0</v>
      </c>
      <c r="H270" s="24">
        <v>1168.0</v>
      </c>
      <c r="I270" s="24">
        <v>62.0</v>
      </c>
      <c r="J270" s="24">
        <v>0.0</v>
      </c>
      <c r="K270" s="23" t="s">
        <v>34</v>
      </c>
      <c r="L270" s="25">
        <v>40039.05662037037</v>
      </c>
      <c r="M270" s="26" t="s">
        <v>786</v>
      </c>
      <c r="N270" s="26" t="s">
        <v>787</v>
      </c>
      <c r="O270" s="22" t="str">
        <f>HYPERLINK("https://pbs.twimg.com/profile_images/909340597227368449/Rv--Hv25_normal.jpg","View")</f>
        <v>View</v>
      </c>
      <c r="P270" s="27"/>
    </row>
    <row r="271">
      <c r="A271" s="14">
        <v>43031.06989583334</v>
      </c>
      <c r="B271" s="20" t="str">
        <f>HYPERLINK("https://twitter.com/Kingmakertweet","@Kingmakertweet")</f>
        <v>@Kingmakertweet</v>
      </c>
      <c r="C271" s="21" t="s">
        <v>788</v>
      </c>
      <c r="D271" s="21" t="s">
        <v>760</v>
      </c>
      <c r="E271" s="22" t="str">
        <f>HYPERLINK("https://twitter.com/Kingmakertweet/status/922382247600074752","922382247600074752")</f>
        <v>922382247600074752</v>
      </c>
      <c r="F271" s="23" t="s">
        <v>55</v>
      </c>
      <c r="G271" s="24">
        <v>126.0</v>
      </c>
      <c r="H271" s="24">
        <v>66.0</v>
      </c>
      <c r="I271" s="24">
        <v>62.0</v>
      </c>
      <c r="J271" s="24">
        <v>0.0</v>
      </c>
      <c r="K271" s="23" t="s">
        <v>34</v>
      </c>
      <c r="L271" s="25">
        <v>41053.04650462963</v>
      </c>
      <c r="M271" s="28"/>
      <c r="N271" s="26" t="s">
        <v>789</v>
      </c>
      <c r="O271" s="22" t="str">
        <f>HYPERLINK("https://pbs.twimg.com/profile_images/836959111707123712/vw98l-VT_normal.jpg","View")</f>
        <v>View</v>
      </c>
      <c r="P271" s="27"/>
    </row>
    <row r="272">
      <c r="A272" s="14">
        <v>43031.06989583334</v>
      </c>
      <c r="B272" s="20" t="str">
        <f>HYPERLINK("https://twitter.com/RamjankiA","@RamjankiA")</f>
        <v>@RamjankiA</v>
      </c>
      <c r="C272" s="21" t="s">
        <v>790</v>
      </c>
      <c r="D272" s="21" t="s">
        <v>791</v>
      </c>
      <c r="E272" s="22" t="str">
        <f>HYPERLINK("https://twitter.com/RamjankiA/status/922382249168736257","922382249168736257")</f>
        <v>922382249168736257</v>
      </c>
      <c r="F272" s="23" t="s">
        <v>33</v>
      </c>
      <c r="G272" s="24">
        <v>15.0</v>
      </c>
      <c r="H272" s="24">
        <v>3.0</v>
      </c>
      <c r="I272" s="24">
        <v>1.0</v>
      </c>
      <c r="J272" s="24">
        <v>2.0</v>
      </c>
      <c r="K272" s="23" t="s">
        <v>34</v>
      </c>
      <c r="L272" s="25">
        <v>42294.91315972222</v>
      </c>
      <c r="M272" s="28"/>
      <c r="N272" s="28"/>
      <c r="O272" s="22" t="str">
        <f>HYPERLINK("https://pbs.twimg.com/profile_images/891982096205438977/84x30Lf-_normal.jpg","View")</f>
        <v>View</v>
      </c>
      <c r="P272" s="27"/>
    </row>
    <row r="273">
      <c r="A273" s="14">
        <v>43031.06996527778</v>
      </c>
      <c r="B273" s="20" t="str">
        <f>HYPERLINK("https://twitter.com/sambyal_puneet","@sambyal_puneet")</f>
        <v>@sambyal_puneet</v>
      </c>
      <c r="C273" s="21" t="s">
        <v>792</v>
      </c>
      <c r="D273" s="21" t="s">
        <v>42</v>
      </c>
      <c r="E273" s="22" t="str">
        <f>HYPERLINK("https://twitter.com/sambyal_puneet/status/922382270962552832","922382270962552832")</f>
        <v>922382270962552832</v>
      </c>
      <c r="F273" s="23" t="s">
        <v>33</v>
      </c>
      <c r="G273" s="24">
        <v>224.0</v>
      </c>
      <c r="H273" s="24">
        <v>284.0</v>
      </c>
      <c r="I273" s="24">
        <v>8501.0</v>
      </c>
      <c r="J273" s="24">
        <v>0.0</v>
      </c>
      <c r="K273" s="23" t="s">
        <v>34</v>
      </c>
      <c r="L273" s="25">
        <v>42455.93546296297</v>
      </c>
      <c r="M273" s="26" t="s">
        <v>575</v>
      </c>
      <c r="N273" s="26" t="s">
        <v>793</v>
      </c>
      <c r="O273" s="22" t="str">
        <f>HYPERLINK("https://pbs.twimg.com/profile_images/868892817740967936/5k85dBBx_normal.jpg","View")</f>
        <v>View</v>
      </c>
      <c r="P273" s="27"/>
    </row>
    <row r="274">
      <c r="A274" s="14">
        <v>43031.06997685185</v>
      </c>
      <c r="B274" s="20" t="str">
        <f>HYPERLINK("https://twitter.com/NoktsungL","@NoktsungL")</f>
        <v>@NoktsungL</v>
      </c>
      <c r="C274" s="21" t="s">
        <v>794</v>
      </c>
      <c r="D274" s="21" t="s">
        <v>67</v>
      </c>
      <c r="E274" s="22" t="str">
        <f>HYPERLINK("https://twitter.com/NoktsungL/status/922382276616339462","922382276616339462")</f>
        <v>922382276616339462</v>
      </c>
      <c r="F274" s="23" t="s">
        <v>33</v>
      </c>
      <c r="G274" s="24">
        <v>29.0</v>
      </c>
      <c r="H274" s="24">
        <v>138.0</v>
      </c>
      <c r="I274" s="24">
        <v>169.0</v>
      </c>
      <c r="J274" s="24">
        <v>0.0</v>
      </c>
      <c r="K274" s="23" t="s">
        <v>34</v>
      </c>
      <c r="L274" s="25">
        <v>41319.90222222223</v>
      </c>
      <c r="M274" s="28"/>
      <c r="N274" s="26" t="s">
        <v>795</v>
      </c>
      <c r="O274" s="22" t="str">
        <f>HYPERLINK("https://pbs.twimg.com/profile_images/478661619547795456/1J5zNZ1b_normal.jpeg","View")</f>
        <v>View</v>
      </c>
      <c r="P274" s="27"/>
    </row>
    <row r="275">
      <c r="A275" s="14">
        <v>43031.06997685185</v>
      </c>
      <c r="B275" s="20" t="str">
        <f>HYPERLINK("https://twitter.com/z_noboru","@z_noboru")</f>
        <v>@z_noboru</v>
      </c>
      <c r="C275" s="21" t="s">
        <v>796</v>
      </c>
      <c r="D275" s="21" t="s">
        <v>179</v>
      </c>
      <c r="E275" s="22" t="str">
        <f>HYPERLINK("https://twitter.com/z_noboru/status/922382277283233792","922382277283233792")</f>
        <v>922382277283233792</v>
      </c>
      <c r="F275" s="23" t="s">
        <v>230</v>
      </c>
      <c r="G275" s="24">
        <v>452.0</v>
      </c>
      <c r="H275" s="24">
        <v>518.0</v>
      </c>
      <c r="I275" s="24">
        <v>30.0</v>
      </c>
      <c r="J275" s="24">
        <v>0.0</v>
      </c>
      <c r="K275" s="23" t="s">
        <v>34</v>
      </c>
      <c r="L275" s="25">
        <v>41066.75414351852</v>
      </c>
      <c r="M275" s="28"/>
      <c r="N275" s="26" t="s">
        <v>797</v>
      </c>
      <c r="O275" s="22" t="str">
        <f>HYPERLINK("https://pbs.twimg.com/profile_images/3765043791/1fd560cb3ae11d46af27a4eac89f8711_normal.jpeg","View")</f>
        <v>View</v>
      </c>
      <c r="P275" s="27"/>
    </row>
    <row r="276">
      <c r="A276" s="14">
        <v>43031.06998842592</v>
      </c>
      <c r="B276" s="20" t="str">
        <f>HYPERLINK("https://twitter.com/Lohit74557236","@Lohit74557236")</f>
        <v>@Lohit74557236</v>
      </c>
      <c r="C276" s="21" t="s">
        <v>798</v>
      </c>
      <c r="D276" s="21" t="s">
        <v>42</v>
      </c>
      <c r="E276" s="22" t="str">
        <f>HYPERLINK("https://twitter.com/Lohit74557236/status/922382279434833920","922382279434833920")</f>
        <v>922382279434833920</v>
      </c>
      <c r="F276" s="23" t="s">
        <v>33</v>
      </c>
      <c r="G276" s="24">
        <v>2.0</v>
      </c>
      <c r="H276" s="24">
        <v>101.0</v>
      </c>
      <c r="I276" s="24">
        <v>8501.0</v>
      </c>
      <c r="J276" s="24">
        <v>0.0</v>
      </c>
      <c r="K276" s="23" t="s">
        <v>34</v>
      </c>
      <c r="L276" s="25">
        <v>42936.54256944444</v>
      </c>
      <c r="M276" s="28"/>
      <c r="N276" s="28"/>
      <c r="O276" s="22" t="str">
        <f>HYPERLINK("https://abs.twimg.com/sticky/default_profile_images/default_profile_normal.png","View")</f>
        <v>View</v>
      </c>
      <c r="P276" s="27"/>
    </row>
    <row r="277">
      <c r="A277" s="14">
        <v>43031.07003472222</v>
      </c>
      <c r="B277" s="20" t="str">
        <f>HYPERLINK("https://twitter.com/Basseylives","@Basseylives")</f>
        <v>@Basseylives</v>
      </c>
      <c r="C277" s="21" t="s">
        <v>799</v>
      </c>
      <c r="D277" s="21" t="s">
        <v>760</v>
      </c>
      <c r="E277" s="22" t="str">
        <f>HYPERLINK("https://twitter.com/Basseylives/status/922382299865509890","922382299865509890")</f>
        <v>922382299865509890</v>
      </c>
      <c r="F277" s="23" t="s">
        <v>55</v>
      </c>
      <c r="G277" s="24">
        <v>2405.0</v>
      </c>
      <c r="H277" s="24">
        <v>1386.0</v>
      </c>
      <c r="I277" s="24">
        <v>62.0</v>
      </c>
      <c r="J277" s="24">
        <v>0.0</v>
      </c>
      <c r="K277" s="23" t="s">
        <v>34</v>
      </c>
      <c r="L277" s="25">
        <v>40535.10252314815</v>
      </c>
      <c r="M277" s="26" t="s">
        <v>800</v>
      </c>
      <c r="N277" s="26" t="s">
        <v>801</v>
      </c>
      <c r="O277" s="22" t="str">
        <f>HYPERLINK("https://pbs.twimg.com/profile_images/897227292363063297/sHSLlrTP_normal.jpg","View")</f>
        <v>View</v>
      </c>
      <c r="P277" s="27"/>
    </row>
    <row r="278">
      <c r="A278" s="14">
        <v>43031.07009259259</v>
      </c>
      <c r="B278" s="20" t="str">
        <f>HYPERLINK("https://twitter.com/drWilda","@drWilda")</f>
        <v>@drWilda</v>
      </c>
      <c r="C278" s="21" t="s">
        <v>802</v>
      </c>
      <c r="D278" s="21" t="s">
        <v>803</v>
      </c>
      <c r="E278" s="22" t="str">
        <f>HYPERLINK("https://twitter.com/drWilda/status/922382319536635904","922382319536635904")</f>
        <v>922382319536635904</v>
      </c>
      <c r="F278" s="23" t="s">
        <v>33</v>
      </c>
      <c r="G278" s="24">
        <v>2730.0</v>
      </c>
      <c r="H278" s="24">
        <v>2185.0</v>
      </c>
      <c r="I278" s="24">
        <v>1.0</v>
      </c>
      <c r="J278" s="24">
        <v>0.0</v>
      </c>
      <c r="K278" s="23" t="s">
        <v>34</v>
      </c>
      <c r="L278" s="25">
        <v>39962.04603009259</v>
      </c>
      <c r="M278" s="26" t="s">
        <v>804</v>
      </c>
      <c r="N278" s="26" t="s">
        <v>805</v>
      </c>
      <c r="O278" s="22" t="str">
        <f>HYPERLINK("https://pbs.twimg.com/profile_images/1539204901/MC900439592_normal.PNG","View")</f>
        <v>View</v>
      </c>
      <c r="P278" s="27"/>
    </row>
    <row r="279">
      <c r="A279" s="14">
        <v>43031.07010416666</v>
      </c>
      <c r="B279" s="20" t="str">
        <f>HYPERLINK("https://twitter.com/StandardKenya","@StandardKenya")</f>
        <v>@StandardKenya</v>
      </c>
      <c r="C279" s="21" t="s">
        <v>806</v>
      </c>
      <c r="D279" s="21" t="s">
        <v>807</v>
      </c>
      <c r="E279" s="22" t="str">
        <f>HYPERLINK("https://twitter.com/StandardKenya/status/922382323693309952","922382323693309952")</f>
        <v>922382323693309952</v>
      </c>
      <c r="F279" s="23" t="s">
        <v>769</v>
      </c>
      <c r="G279" s="24">
        <v>861426.0</v>
      </c>
      <c r="H279" s="24">
        <v>115.0</v>
      </c>
      <c r="I279" s="24">
        <v>7.0</v>
      </c>
      <c r="J279" s="24">
        <v>5.0</v>
      </c>
      <c r="K279" s="23" t="s">
        <v>34</v>
      </c>
      <c r="L279" s="25">
        <v>39996.18670138889</v>
      </c>
      <c r="M279" s="26" t="s">
        <v>808</v>
      </c>
      <c r="N279" s="26" t="s">
        <v>809</v>
      </c>
      <c r="O279" s="22" t="str">
        <f>HYPERLINK("https://pbs.twimg.com/profile_images/458516690435715072/zGEfBbUv_normal.png","View")</f>
        <v>View</v>
      </c>
      <c r="P279" s="27"/>
    </row>
    <row r="280">
      <c r="A280" s="14">
        <v>43031.07010416666</v>
      </c>
      <c r="B280" s="20" t="str">
        <f>HYPERLINK("https://twitter.com/KTNKenya","@KTNKenya")</f>
        <v>@KTNKenya</v>
      </c>
      <c r="C280" s="21" t="s">
        <v>810</v>
      </c>
      <c r="D280" s="21" t="s">
        <v>811</v>
      </c>
      <c r="E280" s="22" t="str">
        <f>HYPERLINK("https://twitter.com/KTNKenya/status/922382323726856193","922382323726856193")</f>
        <v>922382323726856193</v>
      </c>
      <c r="F280" s="23" t="s">
        <v>769</v>
      </c>
      <c r="G280" s="24">
        <v>1477203.0</v>
      </c>
      <c r="H280" s="24">
        <v>88.0</v>
      </c>
      <c r="I280" s="24">
        <v>2.0</v>
      </c>
      <c r="J280" s="24">
        <v>6.0</v>
      </c>
      <c r="K280" s="23" t="s">
        <v>34</v>
      </c>
      <c r="L280" s="25">
        <v>40226.457500000004</v>
      </c>
      <c r="M280" s="26" t="s">
        <v>114</v>
      </c>
      <c r="N280" s="26" t="s">
        <v>812</v>
      </c>
      <c r="O280" s="22" t="str">
        <f>HYPERLINK("https://pbs.twimg.com/profile_images/803462362485424128/1_maie9z_normal.jpg","View")</f>
        <v>View</v>
      </c>
      <c r="P280" s="27"/>
    </row>
    <row r="281">
      <c r="A281" s="14">
        <v>43031.07017361111</v>
      </c>
      <c r="B281" s="20" t="str">
        <f>HYPERLINK("https://twitter.com/drWilda","@drWilda")</f>
        <v>@drWilda</v>
      </c>
      <c r="C281" s="21" t="s">
        <v>802</v>
      </c>
      <c r="D281" s="21" t="s">
        <v>813</v>
      </c>
      <c r="E281" s="22" t="str">
        <f>HYPERLINK("https://twitter.com/drWilda/status/922382347391057921","922382347391057921")</f>
        <v>922382347391057921</v>
      </c>
      <c r="F281" s="23" t="s">
        <v>48</v>
      </c>
      <c r="G281" s="24">
        <v>2730.0</v>
      </c>
      <c r="H281" s="24">
        <v>2185.0</v>
      </c>
      <c r="I281" s="24">
        <v>0.0</v>
      </c>
      <c r="J281" s="24">
        <v>0.0</v>
      </c>
      <c r="K281" s="23" t="s">
        <v>34</v>
      </c>
      <c r="L281" s="25">
        <v>39962.04603009259</v>
      </c>
      <c r="M281" s="26" t="s">
        <v>804</v>
      </c>
      <c r="N281" s="26" t="s">
        <v>805</v>
      </c>
      <c r="O281" s="22" t="str">
        <f>HYPERLINK("https://pbs.twimg.com/profile_images/1539204901/MC900439592_normal.PNG","View")</f>
        <v>View</v>
      </c>
      <c r="P281" s="27"/>
    </row>
    <row r="282">
      <c r="A282" s="14">
        <v>43031.070231481484</v>
      </c>
      <c r="B282" s="20" t="str">
        <f>HYPERLINK("https://twitter.com/AmitTri37259584","@AmitTri37259584")</f>
        <v>@AmitTri37259584</v>
      </c>
      <c r="C282" s="21" t="s">
        <v>814</v>
      </c>
      <c r="D282" s="21" t="s">
        <v>42</v>
      </c>
      <c r="E282" s="22" t="str">
        <f>HYPERLINK("https://twitter.com/AmitTri37259584/status/922382370887557120","922382370887557120")</f>
        <v>922382370887557120</v>
      </c>
      <c r="F282" s="23" t="s">
        <v>33</v>
      </c>
      <c r="G282" s="24">
        <v>24.0</v>
      </c>
      <c r="H282" s="24">
        <v>251.0</v>
      </c>
      <c r="I282" s="24">
        <v>8501.0</v>
      </c>
      <c r="J282" s="24">
        <v>0.0</v>
      </c>
      <c r="K282" s="23" t="s">
        <v>34</v>
      </c>
      <c r="L282" s="25">
        <v>42959.931759259256</v>
      </c>
      <c r="M282" s="26" t="s">
        <v>227</v>
      </c>
      <c r="N282" s="26" t="s">
        <v>815</v>
      </c>
      <c r="O282" s="22" t="str">
        <f>HYPERLINK("https://pbs.twimg.com/profile_images/896604671061630976/ymjnwLAX_normal.jpg","View")</f>
        <v>View</v>
      </c>
      <c r="P282" s="27"/>
    </row>
    <row r="283">
      <c r="A283" s="14">
        <v>43031.070243055554</v>
      </c>
      <c r="B283" s="20" t="str">
        <f>HYPERLINK("https://twitter.com/eu504","@eu504")</f>
        <v>@eu504</v>
      </c>
      <c r="C283" s="21" t="s">
        <v>816</v>
      </c>
      <c r="D283" s="21" t="s">
        <v>760</v>
      </c>
      <c r="E283" s="22" t="str">
        <f>HYPERLINK("https://twitter.com/eu504/status/922382372204695552","922382372204695552")</f>
        <v>922382372204695552</v>
      </c>
      <c r="F283" s="23" t="s">
        <v>33</v>
      </c>
      <c r="G283" s="24">
        <v>719.0</v>
      </c>
      <c r="H283" s="24">
        <v>679.0</v>
      </c>
      <c r="I283" s="24">
        <v>62.0</v>
      </c>
      <c r="J283" s="24">
        <v>0.0</v>
      </c>
      <c r="K283" s="23" t="s">
        <v>34</v>
      </c>
      <c r="L283" s="25">
        <v>41100.522824074076</v>
      </c>
      <c r="M283" s="26" t="s">
        <v>817</v>
      </c>
      <c r="N283" s="26" t="s">
        <v>818</v>
      </c>
      <c r="O283" s="22" t="str">
        <f>HYPERLINK("https://pbs.twimg.com/profile_images/917200424008126473/KzsIWQdm_normal.jpg","View")</f>
        <v>View</v>
      </c>
      <c r="P283" s="27"/>
    </row>
    <row r="284">
      <c r="A284" s="14">
        <v>43031.070243055554</v>
      </c>
      <c r="B284" s="20" t="str">
        <f>HYPERLINK("https://twitter.com/Gk16081994","@Gk16081994")</f>
        <v>@Gk16081994</v>
      </c>
      <c r="C284" s="21" t="s">
        <v>819</v>
      </c>
      <c r="D284" s="21" t="s">
        <v>42</v>
      </c>
      <c r="E284" s="22" t="str">
        <f>HYPERLINK("https://twitter.com/Gk16081994/status/922382375400570880","922382375400570880")</f>
        <v>922382375400570880</v>
      </c>
      <c r="F284" s="23" t="s">
        <v>33</v>
      </c>
      <c r="G284" s="24">
        <v>16.0</v>
      </c>
      <c r="H284" s="24">
        <v>102.0</v>
      </c>
      <c r="I284" s="24">
        <v>8501.0</v>
      </c>
      <c r="J284" s="24">
        <v>0.0</v>
      </c>
      <c r="K284" s="23" t="s">
        <v>34</v>
      </c>
      <c r="L284" s="25">
        <v>42601.47814814815</v>
      </c>
      <c r="M284" s="28"/>
      <c r="N284" s="28"/>
      <c r="O284" s="22" t="str">
        <f>HYPERLINK("https://abs.twimg.com/sticky/default_profile_images/default_profile_normal.png","View")</f>
        <v>View</v>
      </c>
      <c r="P284" s="27"/>
    </row>
    <row r="285">
      <c r="A285" s="14">
        <v>43031.07026620371</v>
      </c>
      <c r="B285" s="20" t="str">
        <f>HYPERLINK("https://twitter.com/pawansinghranaG","@pawansinghranaG")</f>
        <v>@pawansinghranaG</v>
      </c>
      <c r="C285" s="21" t="s">
        <v>820</v>
      </c>
      <c r="D285" s="21" t="s">
        <v>42</v>
      </c>
      <c r="E285" s="22" t="str">
        <f>HYPERLINK("https://twitter.com/pawansinghranaG/status/922382381587271680","922382381587271680")</f>
        <v>922382381587271680</v>
      </c>
      <c r="F285" s="23" t="s">
        <v>33</v>
      </c>
      <c r="G285" s="24">
        <v>7.0</v>
      </c>
      <c r="H285" s="24">
        <v>49.0</v>
      </c>
      <c r="I285" s="24">
        <v>8501.0</v>
      </c>
      <c r="J285" s="24">
        <v>0.0</v>
      </c>
      <c r="K285" s="23" t="s">
        <v>34</v>
      </c>
      <c r="L285" s="25">
        <v>42417.89399305556</v>
      </c>
      <c r="M285" s="28"/>
      <c r="N285" s="28"/>
      <c r="O285" s="22" t="str">
        <f>HYPERLINK("https://pbs.twimg.com/profile_images/700199546152833025/5ScVmLe5_normal.jpg","View")</f>
        <v>View</v>
      </c>
      <c r="P285" s="27"/>
    </row>
    <row r="286">
      <c r="A286" s="14">
        <v>43031.07033564815</v>
      </c>
      <c r="B286" s="20" t="str">
        <f>HYPERLINK("https://twitter.com/Ron_Bourne","@Ron_Bourne")</f>
        <v>@Ron_Bourne</v>
      </c>
      <c r="C286" s="21" t="s">
        <v>821</v>
      </c>
      <c r="D286" s="21" t="s">
        <v>822</v>
      </c>
      <c r="E286" s="22" t="str">
        <f>HYPERLINK("https://twitter.com/Ron_Bourne/status/922382406610509825","922382406610509825")</f>
        <v>922382406610509825</v>
      </c>
      <c r="F286" s="23" t="s">
        <v>187</v>
      </c>
      <c r="G286" s="24">
        <v>352.0</v>
      </c>
      <c r="H286" s="24">
        <v>240.0</v>
      </c>
      <c r="I286" s="24">
        <v>0.0</v>
      </c>
      <c r="J286" s="24">
        <v>0.0</v>
      </c>
      <c r="K286" s="23" t="s">
        <v>34</v>
      </c>
      <c r="L286" s="25">
        <v>39367.5259375</v>
      </c>
      <c r="M286" s="26" t="s">
        <v>590</v>
      </c>
      <c r="N286" s="26" t="s">
        <v>823</v>
      </c>
      <c r="O286" s="22" t="str">
        <f>HYPERLINK("https://pbs.twimg.com/profile_images/922533323825664000/DLCEnlTy_normal.jpg","View")</f>
        <v>View</v>
      </c>
      <c r="P286" s="27"/>
    </row>
    <row r="287">
      <c r="A287" s="14">
        <v>43031.070439814815</v>
      </c>
      <c r="B287" s="20" t="str">
        <f>HYPERLINK("https://twitter.com/Bellatore1978","@Bellatore1978")</f>
        <v>@Bellatore1978</v>
      </c>
      <c r="C287" s="21" t="s">
        <v>824</v>
      </c>
      <c r="D287" s="21" t="s">
        <v>825</v>
      </c>
      <c r="E287" s="22" t="str">
        <f>HYPERLINK("https://twitter.com/Bellatore1978/status/922382442866061312","922382442866061312")</f>
        <v>922382442866061312</v>
      </c>
      <c r="F287" s="23" t="s">
        <v>39</v>
      </c>
      <c r="G287" s="24">
        <v>58.0</v>
      </c>
      <c r="H287" s="24">
        <v>191.0</v>
      </c>
      <c r="I287" s="24">
        <v>109.0</v>
      </c>
      <c r="J287" s="24">
        <v>0.0</v>
      </c>
      <c r="K287" s="23" t="s">
        <v>34</v>
      </c>
      <c r="L287" s="25">
        <v>42832.32356481481</v>
      </c>
      <c r="M287" s="28"/>
      <c r="N287" s="26" t="s">
        <v>826</v>
      </c>
      <c r="O287" s="22" t="str">
        <f>HYPERLINK("https://abs.twimg.com/sticky/default_profile_images/default_profile_normal.png","View")</f>
        <v>View</v>
      </c>
      <c r="P287" s="27"/>
    </row>
    <row r="288">
      <c r="A288" s="14">
        <v>43031.07046296296</v>
      </c>
      <c r="B288" s="20" t="str">
        <f>HYPERLINK("https://twitter.com/TheNewsAlerts","@TheNewsAlerts")</f>
        <v>@TheNewsAlerts</v>
      </c>
      <c r="C288" s="21" t="s">
        <v>827</v>
      </c>
      <c r="D288" s="21" t="s">
        <v>828</v>
      </c>
      <c r="E288" s="22" t="str">
        <f>HYPERLINK("https://twitter.com/TheNewsAlerts/status/922382453423132673","922382453423132673")</f>
        <v>922382453423132673</v>
      </c>
      <c r="F288" s="23" t="s">
        <v>187</v>
      </c>
      <c r="G288" s="24">
        <v>705.0</v>
      </c>
      <c r="H288" s="24">
        <v>566.0</v>
      </c>
      <c r="I288" s="24">
        <v>0.0</v>
      </c>
      <c r="J288" s="24">
        <v>0.0</v>
      </c>
      <c r="K288" s="23" t="s">
        <v>34</v>
      </c>
      <c r="L288" s="25">
        <v>40368.59261574074</v>
      </c>
      <c r="M288" s="26" t="s">
        <v>829</v>
      </c>
      <c r="N288" s="26" t="s">
        <v>830</v>
      </c>
      <c r="O288" s="22" t="str">
        <f>HYPERLINK("https://pbs.twimg.com/profile_images/824973109522464768/RosVlZDx_normal.jpg","View")</f>
        <v>View</v>
      </c>
      <c r="P288" s="27"/>
    </row>
    <row r="289">
      <c r="A289" s="14">
        <v>43031.070486111115</v>
      </c>
      <c r="B289" s="20" t="str">
        <f>HYPERLINK("https://twitter.com/bdnews24","@bdnews24")</f>
        <v>@bdnews24</v>
      </c>
      <c r="C289" s="21" t="s">
        <v>831</v>
      </c>
      <c r="D289" s="21" t="s">
        <v>832</v>
      </c>
      <c r="E289" s="22" t="str">
        <f>HYPERLINK("https://twitter.com/bdnews24/status/922382462419980289","922382462419980289")</f>
        <v>922382462419980289</v>
      </c>
      <c r="F289" s="23" t="s">
        <v>187</v>
      </c>
      <c r="G289" s="24">
        <v>215301.0</v>
      </c>
      <c r="H289" s="24">
        <v>67843.0</v>
      </c>
      <c r="I289" s="24">
        <v>0.0</v>
      </c>
      <c r="J289" s="24">
        <v>1.0</v>
      </c>
      <c r="K289" s="23" t="s">
        <v>34</v>
      </c>
      <c r="L289" s="25">
        <v>39844.468043981484</v>
      </c>
      <c r="M289" s="26" t="s">
        <v>833</v>
      </c>
      <c r="N289" s="26" t="s">
        <v>834</v>
      </c>
      <c r="O289" s="22" t="str">
        <f>HYPERLINK("https://pbs.twimg.com/profile_images/718433521509994497/4iW9RC_r_normal.jpg","View")</f>
        <v>View</v>
      </c>
      <c r="P289" s="27"/>
    </row>
    <row r="290">
      <c r="A290" s="14">
        <v>43031.07052083334</v>
      </c>
      <c r="B290" s="20" t="str">
        <f>HYPERLINK("https://twitter.com/AfricaElects","@AfricaElects")</f>
        <v>@AfricaElects</v>
      </c>
      <c r="C290" s="21" t="s">
        <v>835</v>
      </c>
      <c r="D290" s="21" t="s">
        <v>836</v>
      </c>
      <c r="E290" s="22" t="str">
        <f>HYPERLINK("https://twitter.com/AfricaElects/status/922382472502902784","922382472502902784")</f>
        <v>922382472502902784</v>
      </c>
      <c r="F290" s="23" t="s">
        <v>86</v>
      </c>
      <c r="G290" s="24">
        <v>1183.0</v>
      </c>
      <c r="H290" s="24">
        <v>2065.0</v>
      </c>
      <c r="I290" s="24">
        <v>7.0</v>
      </c>
      <c r="J290" s="24">
        <v>0.0</v>
      </c>
      <c r="K290" s="23" t="s">
        <v>34</v>
      </c>
      <c r="L290" s="25">
        <v>42841.43125</v>
      </c>
      <c r="M290" s="28"/>
      <c r="N290" s="26" t="s">
        <v>837</v>
      </c>
      <c r="O290" s="22" t="str">
        <f>HYPERLINK("https://pbs.twimg.com/profile_images/859689614394753024/U5C7Bkbv_normal.jpg","View")</f>
        <v>View</v>
      </c>
      <c r="P290" s="27"/>
    </row>
    <row r="291">
      <c r="A291" s="14">
        <v>43031.07056712963</v>
      </c>
      <c r="B291" s="20" t="str">
        <f>HYPERLINK("https://twitter.com/GKZorbas_PhD","@GKZorbas_PhD")</f>
        <v>@GKZorbas_PhD</v>
      </c>
      <c r="C291" s="21" t="s">
        <v>838</v>
      </c>
      <c r="D291" s="21" t="s">
        <v>839</v>
      </c>
      <c r="E291" s="22" t="str">
        <f>HYPERLINK("https://twitter.com/GKZorbas_PhD/status/922382491339689984","922382491339689984")</f>
        <v>922382491339689984</v>
      </c>
      <c r="F291" s="23" t="s">
        <v>43</v>
      </c>
      <c r="G291" s="24">
        <v>11949.0</v>
      </c>
      <c r="H291" s="24">
        <v>420.0</v>
      </c>
      <c r="I291" s="24">
        <v>17.0</v>
      </c>
      <c r="J291" s="24">
        <v>0.0</v>
      </c>
      <c r="K291" s="23" t="s">
        <v>34</v>
      </c>
      <c r="L291" s="25">
        <v>40006.183541666665</v>
      </c>
      <c r="M291" s="26" t="s">
        <v>840</v>
      </c>
      <c r="N291" s="26" t="s">
        <v>841</v>
      </c>
      <c r="O291" s="22" t="str">
        <f>HYPERLINK("https://pbs.twimg.com/profile_images/1795474125/853002ff-7dcd-4de2-a2fe-0846dd2e5d4f_normal.png","View")</f>
        <v>View</v>
      </c>
      <c r="P291" s="27"/>
    </row>
    <row r="292">
      <c r="A292" s="14">
        <v>43031.070601851854</v>
      </c>
      <c r="B292" s="20" t="str">
        <f>HYPERLINK("https://twitter.com/Ericc_Mwiti","@Ericc_Mwiti")</f>
        <v>@Ericc_Mwiti</v>
      </c>
      <c r="C292" s="21" t="s">
        <v>842</v>
      </c>
      <c r="D292" s="21" t="s">
        <v>32</v>
      </c>
      <c r="E292" s="22" t="str">
        <f>HYPERLINK("https://twitter.com/Ericc_Mwiti/status/922382503595401216","922382503595401216")</f>
        <v>922382503595401216</v>
      </c>
      <c r="F292" s="23" t="s">
        <v>33</v>
      </c>
      <c r="G292" s="24">
        <v>42589.0</v>
      </c>
      <c r="H292" s="24">
        <v>9844.0</v>
      </c>
      <c r="I292" s="24">
        <v>471.0</v>
      </c>
      <c r="J292" s="24">
        <v>0.0</v>
      </c>
      <c r="K292" s="23" t="s">
        <v>34</v>
      </c>
      <c r="L292" s="25">
        <v>41153.53640046297</v>
      </c>
      <c r="M292" s="26" t="s">
        <v>843</v>
      </c>
      <c r="N292" s="26" t="s">
        <v>844</v>
      </c>
      <c r="O292" s="22" t="str">
        <f>HYPERLINK("https://pbs.twimg.com/profile_images/863083818797891584/BSy5X1T6_normal.jpg","View")</f>
        <v>View</v>
      </c>
      <c r="P292" s="27"/>
    </row>
    <row r="293">
      <c r="A293" s="14">
        <v>43031.070601851854</v>
      </c>
      <c r="B293" s="20" t="str">
        <f>HYPERLINK("https://twitter.com/cajainpranav","@cajainpranav")</f>
        <v>@cajainpranav</v>
      </c>
      <c r="C293" s="21" t="s">
        <v>845</v>
      </c>
      <c r="D293" s="21" t="s">
        <v>163</v>
      </c>
      <c r="E293" s="22" t="str">
        <f>HYPERLINK("https://twitter.com/cajainpranav/status/922382505323274241","922382505323274241")</f>
        <v>922382505323274241</v>
      </c>
      <c r="F293" s="23" t="s">
        <v>39</v>
      </c>
      <c r="G293" s="24">
        <v>126.0</v>
      </c>
      <c r="H293" s="24">
        <v>40.0</v>
      </c>
      <c r="I293" s="24">
        <v>1005.0</v>
      </c>
      <c r="J293" s="24">
        <v>0.0</v>
      </c>
      <c r="K293" s="23" t="s">
        <v>34</v>
      </c>
      <c r="L293" s="25">
        <v>40786.013032407405</v>
      </c>
      <c r="M293" s="26" t="s">
        <v>575</v>
      </c>
      <c r="N293" s="26" t="s">
        <v>846</v>
      </c>
      <c r="O293" s="22" t="str">
        <f>HYPERLINK("https://pbs.twimg.com/profile_images/880445630543523840/zt1xfTvk_normal.jpg","View")</f>
        <v>View</v>
      </c>
      <c r="P293" s="27"/>
    </row>
    <row r="294">
      <c r="A294" s="14">
        <v>43031.07061342592</v>
      </c>
      <c r="B294" s="20" t="str">
        <f>HYPERLINK("https://twitter.com/choonsikyoo","@choonsikyoo")</f>
        <v>@choonsikyoo</v>
      </c>
      <c r="C294" s="21" t="s">
        <v>847</v>
      </c>
      <c r="D294" s="21" t="s">
        <v>848</v>
      </c>
      <c r="E294" s="22" t="str">
        <f>HYPERLINK("https://twitter.com/choonsikyoo/status/922382507336720384","922382507336720384")</f>
        <v>922382507336720384</v>
      </c>
      <c r="F294" s="23" t="s">
        <v>187</v>
      </c>
      <c r="G294" s="24">
        <v>1709.0</v>
      </c>
      <c r="H294" s="24">
        <v>1891.0</v>
      </c>
      <c r="I294" s="24">
        <v>0.0</v>
      </c>
      <c r="J294" s="24">
        <v>0.0</v>
      </c>
      <c r="K294" s="23" t="s">
        <v>34</v>
      </c>
      <c r="L294" s="25">
        <v>40224.817523148144</v>
      </c>
      <c r="M294" s="26" t="s">
        <v>849</v>
      </c>
      <c r="N294" s="26" t="s">
        <v>850</v>
      </c>
      <c r="O294" s="22" t="str">
        <f>HYPERLINK("https://pbs.twimg.com/profile_images/2545270141/dwadjp2rsl27tumivfew_normal.jpeg","View")</f>
        <v>View</v>
      </c>
      <c r="P294" s="27"/>
    </row>
    <row r="295">
      <c r="A295" s="14">
        <v>43031.0706712963</v>
      </c>
      <c r="B295" s="20" t="str">
        <f>HYPERLINK("https://twitter.com/_YukaKimura_","@_YukaKimura_")</f>
        <v>@_YukaKimura_</v>
      </c>
      <c r="C295" s="21" t="s">
        <v>851</v>
      </c>
      <c r="D295" s="21" t="s">
        <v>852</v>
      </c>
      <c r="E295" s="22" t="str">
        <f>HYPERLINK("https://twitter.com/_YukaKimura_/status/922382527792234497","922382527792234497")</f>
        <v>922382527792234497</v>
      </c>
      <c r="F295" s="23" t="s">
        <v>39</v>
      </c>
      <c r="G295" s="24">
        <v>61.0</v>
      </c>
      <c r="H295" s="24">
        <v>135.0</v>
      </c>
      <c r="I295" s="24">
        <v>1.0</v>
      </c>
      <c r="J295" s="24">
        <v>2.0</v>
      </c>
      <c r="K295" s="23" t="s">
        <v>34</v>
      </c>
      <c r="L295" s="25">
        <v>42849.306435185186</v>
      </c>
      <c r="M295" s="26" t="s">
        <v>853</v>
      </c>
      <c r="N295" s="26" t="s">
        <v>854</v>
      </c>
      <c r="O295" s="22" t="str">
        <f>HYPERLINK("https://pbs.twimg.com/profile_images/921533200916033536/t7lK4fK0_normal.jpg","View")</f>
        <v>View</v>
      </c>
      <c r="P295" s="27"/>
    </row>
    <row r="296">
      <c r="A296" s="14">
        <v>43031.07071759259</v>
      </c>
      <c r="B296" s="20" t="str">
        <f>HYPERLINK("https://twitter.com/NewYearsDani","@NewYearsDani")</f>
        <v>@NewYearsDani</v>
      </c>
      <c r="C296" s="21" t="s">
        <v>855</v>
      </c>
      <c r="D296" s="21" t="s">
        <v>42</v>
      </c>
      <c r="E296" s="22" t="str">
        <f>HYPERLINK("https://twitter.com/NewYearsDani/status/922382543629975552","922382543629975552")</f>
        <v>922382543629975552</v>
      </c>
      <c r="F296" s="23" t="s">
        <v>33</v>
      </c>
      <c r="G296" s="24">
        <v>1614.0</v>
      </c>
      <c r="H296" s="24">
        <v>2993.0</v>
      </c>
      <c r="I296" s="24">
        <v>8501.0</v>
      </c>
      <c r="J296" s="24">
        <v>0.0</v>
      </c>
      <c r="K296" s="23" t="s">
        <v>34</v>
      </c>
      <c r="L296" s="25">
        <v>39997.61141203703</v>
      </c>
      <c r="M296" s="26" t="s">
        <v>856</v>
      </c>
      <c r="N296" s="26" t="s">
        <v>857</v>
      </c>
      <c r="O296" s="22" t="str">
        <f>HYPERLINK("https://pbs.twimg.com/profile_images/921433598481354752/oxlEPy9m_normal.jpg","View")</f>
        <v>View</v>
      </c>
      <c r="P296" s="27"/>
    </row>
    <row r="297">
      <c r="A297" s="14">
        <v>43031.07071759259</v>
      </c>
      <c r="B297" s="20" t="str">
        <f>HYPERLINK("https://twitter.com/nneusj","@nneusj")</f>
        <v>@nneusj</v>
      </c>
      <c r="C297" s="21" t="s">
        <v>858</v>
      </c>
      <c r="D297" s="21" t="s">
        <v>760</v>
      </c>
      <c r="E297" s="22" t="str">
        <f>HYPERLINK("https://twitter.com/nneusj/status/922382545915924480","922382545915924480")</f>
        <v>922382545915924480</v>
      </c>
      <c r="F297" s="23" t="s">
        <v>33</v>
      </c>
      <c r="G297" s="24">
        <v>248.0</v>
      </c>
      <c r="H297" s="24">
        <v>1887.0</v>
      </c>
      <c r="I297" s="24">
        <v>62.0</v>
      </c>
      <c r="J297" s="24">
        <v>0.0</v>
      </c>
      <c r="K297" s="23" t="s">
        <v>34</v>
      </c>
      <c r="L297" s="25">
        <v>42310.521898148145</v>
      </c>
      <c r="M297" s="28"/>
      <c r="N297" s="28"/>
      <c r="O297" s="22" t="str">
        <f>HYPERLINK("https://pbs.twimg.com/profile_images/661281424570454016/IY6X6O9R_normal.jpg","View")</f>
        <v>View</v>
      </c>
      <c r="P297" s="27"/>
    </row>
    <row r="298">
      <c r="A298" s="14">
        <v>43031.07071759259</v>
      </c>
      <c r="B298" s="20" t="str">
        <f>HYPERLINK("https://twitter.com/BlackJesuus","@BlackJesuus")</f>
        <v>@BlackJesuus</v>
      </c>
      <c r="C298" s="21" t="s">
        <v>859</v>
      </c>
      <c r="D298" s="21" t="s">
        <v>67</v>
      </c>
      <c r="E298" s="22" t="str">
        <f>HYPERLINK("https://twitter.com/BlackJesuus/status/922382546016628737","922382546016628737")</f>
        <v>922382546016628737</v>
      </c>
      <c r="F298" s="23" t="s">
        <v>55</v>
      </c>
      <c r="G298" s="24">
        <v>995.0</v>
      </c>
      <c r="H298" s="24">
        <v>2312.0</v>
      </c>
      <c r="I298" s="24">
        <v>169.0</v>
      </c>
      <c r="J298" s="24">
        <v>0.0</v>
      </c>
      <c r="K298" s="23" t="s">
        <v>34</v>
      </c>
      <c r="L298" s="25">
        <v>41106.4318287037</v>
      </c>
      <c r="M298" s="26" t="s">
        <v>860</v>
      </c>
      <c r="N298" s="26" t="s">
        <v>861</v>
      </c>
      <c r="O298" s="22" t="str">
        <f>HYPERLINK("https://pbs.twimg.com/profile_images/558689185112920064/5fshesdx_normal.png","View")</f>
        <v>View</v>
      </c>
      <c r="P298" s="27"/>
    </row>
    <row r="299">
      <c r="A299" s="14">
        <v>43031.07078703704</v>
      </c>
      <c r="B299" s="20" t="str">
        <f>HYPERLINK("https://twitter.com/amitm44","@amitm44")</f>
        <v>@amitm44</v>
      </c>
      <c r="C299" s="21" t="s">
        <v>862</v>
      </c>
      <c r="D299" s="21" t="s">
        <v>42</v>
      </c>
      <c r="E299" s="22" t="str">
        <f>HYPERLINK("https://twitter.com/amitm44/status/922382570838462467","922382570838462467")</f>
        <v>922382570838462467</v>
      </c>
      <c r="F299" s="23" t="s">
        <v>33</v>
      </c>
      <c r="G299" s="24">
        <v>32.0</v>
      </c>
      <c r="H299" s="24">
        <v>134.0</v>
      </c>
      <c r="I299" s="24">
        <v>8501.0</v>
      </c>
      <c r="J299" s="24">
        <v>0.0</v>
      </c>
      <c r="K299" s="23" t="s">
        <v>34</v>
      </c>
      <c r="L299" s="25">
        <v>40762.24460648148</v>
      </c>
      <c r="M299" s="26" t="s">
        <v>207</v>
      </c>
      <c r="N299" s="26" t="s">
        <v>863</v>
      </c>
      <c r="O299" s="22" t="str">
        <f>HYPERLINK("https://pbs.twimg.com/profile_images/3589985690/25c227eca08d637479c22373972d223f_normal.jpeg","View")</f>
        <v>View</v>
      </c>
      <c r="P299" s="27"/>
    </row>
    <row r="300">
      <c r="A300" s="14">
        <v>43031.07084490741</v>
      </c>
      <c r="B300" s="20" t="str">
        <f>HYPERLINK("https://twitter.com/spcd65b9","@spcd65b9")</f>
        <v>@spcd65b9</v>
      </c>
      <c r="C300" s="21" t="s">
        <v>864</v>
      </c>
      <c r="D300" s="21" t="s">
        <v>126</v>
      </c>
      <c r="E300" s="22" t="str">
        <f>HYPERLINK("https://twitter.com/spcd65b9/status/922382589712785408","922382589712785408")</f>
        <v>922382589712785408</v>
      </c>
      <c r="F300" s="23" t="s">
        <v>55</v>
      </c>
      <c r="G300" s="24">
        <v>141.0</v>
      </c>
      <c r="H300" s="24">
        <v>214.0</v>
      </c>
      <c r="I300" s="24">
        <v>62.0</v>
      </c>
      <c r="J300" s="24">
        <v>0.0</v>
      </c>
      <c r="K300" s="23" t="s">
        <v>34</v>
      </c>
      <c r="L300" s="25">
        <v>42857.159791666665</v>
      </c>
      <c r="M300" s="28"/>
      <c r="N300" s="26" t="s">
        <v>865</v>
      </c>
      <c r="O300" s="22" t="str">
        <f>HYPERLINK("https://pbs.twimg.com/profile_images/859858966830043146/tmMkuCtm_normal.jpg","View")</f>
        <v>View</v>
      </c>
      <c r="P300" s="27"/>
    </row>
    <row r="301">
      <c r="A301" s="14">
        <v>43031.07087962963</v>
      </c>
      <c r="B301" s="20" t="str">
        <f>HYPERLINK("https://twitter.com/ram_tiwari1","@ram_tiwari1")</f>
        <v>@ram_tiwari1</v>
      </c>
      <c r="C301" s="21" t="s">
        <v>866</v>
      </c>
      <c r="D301" s="21" t="s">
        <v>42</v>
      </c>
      <c r="E301" s="22" t="str">
        <f>HYPERLINK("https://twitter.com/ram_tiwari1/status/922382603986104320","922382603986104320")</f>
        <v>922382603986104320</v>
      </c>
      <c r="F301" s="23" t="s">
        <v>33</v>
      </c>
      <c r="G301" s="24">
        <v>25.0</v>
      </c>
      <c r="H301" s="24">
        <v>130.0</v>
      </c>
      <c r="I301" s="24">
        <v>8501.0</v>
      </c>
      <c r="J301" s="24">
        <v>0.0</v>
      </c>
      <c r="K301" s="23" t="s">
        <v>34</v>
      </c>
      <c r="L301" s="25">
        <v>41458.18748842592</v>
      </c>
      <c r="M301" s="26" t="s">
        <v>575</v>
      </c>
      <c r="N301" s="26" t="s">
        <v>867</v>
      </c>
      <c r="O301" s="22" t="str">
        <f>HYPERLINK("https://abs.twimg.com/sticky/default_profile_images/default_profile_normal.png","View")</f>
        <v>View</v>
      </c>
      <c r="P301" s="27"/>
    </row>
    <row r="302">
      <c r="A302" s="14">
        <v>43031.07092592593</v>
      </c>
      <c r="B302" s="20" t="str">
        <f>HYPERLINK("https://twitter.com/EarlOfCornwall","@EarlOfCornwall")</f>
        <v>@EarlOfCornwall</v>
      </c>
      <c r="C302" s="21" t="s">
        <v>868</v>
      </c>
      <c r="D302" s="21" t="s">
        <v>869</v>
      </c>
      <c r="E302" s="22" t="str">
        <f>HYPERLINK("https://twitter.com/EarlOfCornwall/status/922382618762588160","922382618762588160")</f>
        <v>922382618762588160</v>
      </c>
      <c r="F302" s="23" t="s">
        <v>187</v>
      </c>
      <c r="G302" s="24">
        <v>355.0</v>
      </c>
      <c r="H302" s="24">
        <v>269.0</v>
      </c>
      <c r="I302" s="24">
        <v>0.0</v>
      </c>
      <c r="J302" s="24">
        <v>0.0</v>
      </c>
      <c r="K302" s="23" t="s">
        <v>34</v>
      </c>
      <c r="L302" s="25">
        <v>42139.73423611111</v>
      </c>
      <c r="M302" s="26" t="s">
        <v>870</v>
      </c>
      <c r="N302" s="26" t="s">
        <v>871</v>
      </c>
      <c r="O302" s="22" t="str">
        <f>HYPERLINK("https://pbs.twimg.com/profile_images/599373664975343616/f36YKczK_normal.jpg","View")</f>
        <v>View</v>
      </c>
      <c r="P302" s="27"/>
    </row>
    <row r="303">
      <c r="A303" s="14">
        <v>43031.0709375</v>
      </c>
      <c r="B303" s="20" t="str">
        <f>HYPERLINK("https://twitter.com/GgNewsCA","@GgNewsCA")</f>
        <v>@GgNewsCA</v>
      </c>
      <c r="C303" s="21" t="s">
        <v>872</v>
      </c>
      <c r="D303" s="21" t="s">
        <v>873</v>
      </c>
      <c r="E303" s="22" t="str">
        <f>HYPERLINK("https://twitter.com/GgNewsCA/status/922382623112138754","922382623112138754")</f>
        <v>922382623112138754</v>
      </c>
      <c r="F303" s="23" t="s">
        <v>187</v>
      </c>
      <c r="G303" s="24">
        <v>799.0</v>
      </c>
      <c r="H303" s="24">
        <v>119.0</v>
      </c>
      <c r="I303" s="24">
        <v>0.0</v>
      </c>
      <c r="J303" s="24">
        <v>0.0</v>
      </c>
      <c r="K303" s="23" t="s">
        <v>34</v>
      </c>
      <c r="L303" s="25">
        <v>41680.73829861111</v>
      </c>
      <c r="M303" s="28"/>
      <c r="N303" s="26" t="s">
        <v>874</v>
      </c>
      <c r="O303" s="22" t="str">
        <f>HYPERLINK("https://pbs.twimg.com/profile_images/433054278446366720/6TSJYgRu_normal.png","View")</f>
        <v>View</v>
      </c>
      <c r="P303" s="27"/>
    </row>
    <row r="304">
      <c r="A304" s="14">
        <v>43031.07100694445</v>
      </c>
      <c r="B304" s="20" t="str">
        <f>HYPERLINK("https://twitter.com/SitaramJoshi18","@SitaramJoshi18")</f>
        <v>@SitaramJoshi18</v>
      </c>
      <c r="C304" s="21" t="s">
        <v>875</v>
      </c>
      <c r="D304" s="21" t="s">
        <v>42</v>
      </c>
      <c r="E304" s="22" t="str">
        <f>HYPERLINK("https://twitter.com/SitaramJoshi18/status/922382651675127808","922382651675127808")</f>
        <v>922382651675127808</v>
      </c>
      <c r="F304" s="23" t="s">
        <v>33</v>
      </c>
      <c r="G304" s="24">
        <v>40.0</v>
      </c>
      <c r="H304" s="24">
        <v>190.0</v>
      </c>
      <c r="I304" s="24">
        <v>8501.0</v>
      </c>
      <c r="J304" s="24">
        <v>0.0</v>
      </c>
      <c r="K304" s="23" t="s">
        <v>34</v>
      </c>
      <c r="L304" s="25">
        <v>42980.13359953703</v>
      </c>
      <c r="M304" s="26" t="s">
        <v>876</v>
      </c>
      <c r="N304" s="26" t="s">
        <v>877</v>
      </c>
      <c r="O304" s="22" t="str">
        <f>HYPERLINK("https://pbs.twimg.com/profile_images/903925348630282240/ow26mzDK_normal.jpg","View")</f>
        <v>View</v>
      </c>
      <c r="P304" s="27"/>
    </row>
    <row r="305">
      <c r="A305" s="14">
        <v>43031.071111111116</v>
      </c>
      <c r="B305" s="20" t="str">
        <f>HYPERLINK("https://twitter.com/dn44ia","@dn44ia")</f>
        <v>@dn44ia</v>
      </c>
      <c r="C305" s="21" t="s">
        <v>878</v>
      </c>
      <c r="D305" s="21" t="s">
        <v>42</v>
      </c>
      <c r="E305" s="22" t="str">
        <f>HYPERLINK("https://twitter.com/dn44ia/status/922382688119488512","922382688119488512")</f>
        <v>922382688119488512</v>
      </c>
      <c r="F305" s="23" t="s">
        <v>39</v>
      </c>
      <c r="G305" s="24">
        <v>196.0</v>
      </c>
      <c r="H305" s="24">
        <v>264.0</v>
      </c>
      <c r="I305" s="24">
        <v>8501.0</v>
      </c>
      <c r="J305" s="24">
        <v>0.0</v>
      </c>
      <c r="K305" s="23" t="s">
        <v>34</v>
      </c>
      <c r="L305" s="25">
        <v>42949.096238425926</v>
      </c>
      <c r="M305" s="26" t="s">
        <v>71</v>
      </c>
      <c r="N305" s="26" t="s">
        <v>879</v>
      </c>
      <c r="O305" s="22" t="str">
        <f>HYPERLINK("https://pbs.twimg.com/profile_images/892678444328263681/8BG2ggJ2_normal.jpg","View")</f>
        <v>View</v>
      </c>
      <c r="P305" s="27"/>
    </row>
    <row r="306">
      <c r="A306" s="14">
        <v>43031.071122685185</v>
      </c>
      <c r="B306" s="20" t="str">
        <f>HYPERLINK("https://twitter.com/Tir1212","@Tir1212")</f>
        <v>@Tir1212</v>
      </c>
      <c r="C306" s="21" t="s">
        <v>880</v>
      </c>
      <c r="D306" s="21" t="s">
        <v>760</v>
      </c>
      <c r="E306" s="22" t="str">
        <f>HYPERLINK("https://twitter.com/Tir1212/status/922382693555306497","922382693555306497")</f>
        <v>922382693555306497</v>
      </c>
      <c r="F306" s="23" t="s">
        <v>55</v>
      </c>
      <c r="G306" s="24">
        <v>52.0</v>
      </c>
      <c r="H306" s="24">
        <v>70.0</v>
      </c>
      <c r="I306" s="24">
        <v>62.0</v>
      </c>
      <c r="J306" s="24">
        <v>0.0</v>
      </c>
      <c r="K306" s="23" t="s">
        <v>34</v>
      </c>
      <c r="L306" s="25">
        <v>42811.776921296296</v>
      </c>
      <c r="M306" s="26" t="s">
        <v>853</v>
      </c>
      <c r="N306" s="26" t="s">
        <v>881</v>
      </c>
      <c r="O306" s="22" t="str">
        <f>HYPERLINK("https://pbs.twimg.com/profile_images/846603060969320448/iszkkh9D_normal.jpg","View")</f>
        <v>View</v>
      </c>
      <c r="P306" s="27"/>
    </row>
    <row r="307">
      <c r="A307" s="14">
        <v>43031.07115740741</v>
      </c>
      <c r="B307" s="20" t="str">
        <f>HYPERLINK("https://twitter.com/Ajay1801","@Ajay1801")</f>
        <v>@Ajay1801</v>
      </c>
      <c r="C307" s="21" t="s">
        <v>882</v>
      </c>
      <c r="D307" s="21" t="s">
        <v>42</v>
      </c>
      <c r="E307" s="22" t="str">
        <f>HYPERLINK("https://twitter.com/Ajay1801/status/922382704489803776","922382704489803776")</f>
        <v>922382704489803776</v>
      </c>
      <c r="F307" s="23" t="s">
        <v>33</v>
      </c>
      <c r="G307" s="24">
        <v>178.0</v>
      </c>
      <c r="H307" s="24">
        <v>336.0</v>
      </c>
      <c r="I307" s="24">
        <v>8501.0</v>
      </c>
      <c r="J307" s="24">
        <v>0.0</v>
      </c>
      <c r="K307" s="23" t="s">
        <v>34</v>
      </c>
      <c r="L307" s="25">
        <v>41575.95523148148</v>
      </c>
      <c r="M307" s="26" t="s">
        <v>883</v>
      </c>
      <c r="N307" s="26" t="s">
        <v>884</v>
      </c>
      <c r="O307" s="22" t="str">
        <f>HYPERLINK("https://pbs.twimg.com/profile_images/920553146308427776/1lguAQX8_normal.jpg","View")</f>
        <v>View</v>
      </c>
      <c r="P307" s="27"/>
    </row>
    <row r="308">
      <c r="A308" s="14">
        <v>43031.0712037037</v>
      </c>
      <c r="B308" s="20" t="str">
        <f>HYPERLINK("https://twitter.com/kohtaloh","@kohtaloh")</f>
        <v>@kohtaloh</v>
      </c>
      <c r="C308" s="21" t="s">
        <v>885</v>
      </c>
      <c r="D308" s="21" t="s">
        <v>42</v>
      </c>
      <c r="E308" s="22" t="str">
        <f>HYPERLINK("https://twitter.com/kohtaloh/status/922382722768580608","922382722768580608")</f>
        <v>922382722768580608</v>
      </c>
      <c r="F308" s="23" t="s">
        <v>39</v>
      </c>
      <c r="G308" s="24">
        <v>1526.0</v>
      </c>
      <c r="H308" s="24">
        <v>2093.0</v>
      </c>
      <c r="I308" s="24">
        <v>8501.0</v>
      </c>
      <c r="J308" s="24">
        <v>0.0</v>
      </c>
      <c r="K308" s="23" t="s">
        <v>34</v>
      </c>
      <c r="L308" s="25">
        <v>41418.997199074074</v>
      </c>
      <c r="M308" s="28"/>
      <c r="N308" s="26" t="s">
        <v>886</v>
      </c>
      <c r="O308" s="22" t="str">
        <f>HYPERLINK("https://pbs.twimg.com/profile_images/521210306165358592/3HKKLpOD_normal.jpeg","View")</f>
        <v>View</v>
      </c>
      <c r="P308" s="27"/>
    </row>
    <row r="309">
      <c r="A309" s="14">
        <v>43031.07121527778</v>
      </c>
      <c r="B309" s="20" t="str">
        <f>HYPERLINK("https://twitter.com/rahulbatta14","@rahulbatta14")</f>
        <v>@rahulbatta14</v>
      </c>
      <c r="C309" s="21" t="s">
        <v>887</v>
      </c>
      <c r="D309" s="21" t="s">
        <v>42</v>
      </c>
      <c r="E309" s="22" t="str">
        <f>HYPERLINK("https://twitter.com/rahulbatta14/status/922382724626706432","922382724626706432")</f>
        <v>922382724626706432</v>
      </c>
      <c r="F309" s="23" t="s">
        <v>39</v>
      </c>
      <c r="G309" s="24">
        <v>59.0</v>
      </c>
      <c r="H309" s="24">
        <v>255.0</v>
      </c>
      <c r="I309" s="24">
        <v>8501.0</v>
      </c>
      <c r="J309" s="24">
        <v>0.0</v>
      </c>
      <c r="K309" s="23" t="s">
        <v>34</v>
      </c>
      <c r="L309" s="25">
        <v>41479.19311342593</v>
      </c>
      <c r="M309" s="26" t="s">
        <v>888</v>
      </c>
      <c r="N309" s="28"/>
      <c r="O309" s="22" t="str">
        <f>HYPERLINK("https://pbs.twimg.com/profile_images/378800000180626287/38316ccb27cb1e82295e38436647e749_normal.jpeg","View")</f>
        <v>View</v>
      </c>
      <c r="P309" s="27"/>
    </row>
    <row r="310">
      <c r="A310" s="14">
        <v>43031.07121527778</v>
      </c>
      <c r="B310" s="20" t="str">
        <f>HYPERLINK("https://twitter.com/HSVoss_","@HSVoss_")</f>
        <v>@HSVoss_</v>
      </c>
      <c r="C310" s="21" t="s">
        <v>889</v>
      </c>
      <c r="D310" s="21" t="s">
        <v>890</v>
      </c>
      <c r="E310" s="22" t="str">
        <f>HYPERLINK("https://twitter.com/HSVoss_/status/922382725117632512","922382725117632512")</f>
        <v>922382725117632512</v>
      </c>
      <c r="F310" s="23" t="s">
        <v>55</v>
      </c>
      <c r="G310" s="24">
        <v>50.0</v>
      </c>
      <c r="H310" s="24">
        <v>147.0</v>
      </c>
      <c r="I310" s="24">
        <v>0.0</v>
      </c>
      <c r="J310" s="24">
        <v>0.0</v>
      </c>
      <c r="K310" s="23" t="s">
        <v>34</v>
      </c>
      <c r="L310" s="25">
        <v>41237.41912037037</v>
      </c>
      <c r="M310" s="28"/>
      <c r="N310" s="26" t="s">
        <v>891</v>
      </c>
      <c r="O310" s="22" t="str">
        <f>HYPERLINK("https://pbs.twimg.com/profile_images/895909548065792000/lCA93SFV_normal.jpg","View")</f>
        <v>View</v>
      </c>
      <c r="P310" s="27"/>
    </row>
    <row r="311">
      <c r="A311" s="14">
        <v>43031.071226851855</v>
      </c>
      <c r="B311" s="20" t="str">
        <f>HYPERLINK("https://twitter.com/tracyashish","@tracyashish")</f>
        <v>@tracyashish</v>
      </c>
      <c r="C311" s="21" t="s">
        <v>892</v>
      </c>
      <c r="D311" s="21" t="s">
        <v>463</v>
      </c>
      <c r="E311" s="22" t="str">
        <f>HYPERLINK("https://twitter.com/tracyashish/status/922382731308183552","922382731308183552")</f>
        <v>922382731308183552</v>
      </c>
      <c r="F311" s="23" t="s">
        <v>43</v>
      </c>
      <c r="G311" s="24">
        <v>407.0</v>
      </c>
      <c r="H311" s="24">
        <v>1970.0</v>
      </c>
      <c r="I311" s="24">
        <v>4.0</v>
      </c>
      <c r="J311" s="24">
        <v>0.0</v>
      </c>
      <c r="K311" s="23" t="s">
        <v>34</v>
      </c>
      <c r="L311" s="25">
        <v>42209.92612268518</v>
      </c>
      <c r="M311" s="26" t="s">
        <v>893</v>
      </c>
      <c r="N311" s="26" t="s">
        <v>894</v>
      </c>
      <c r="O311" s="22" t="str">
        <f>HYPERLINK("https://pbs.twimg.com/profile_images/874504814838898688/G59yhvU2_normal.jpg","View")</f>
        <v>View</v>
      </c>
      <c r="P311" s="27"/>
    </row>
    <row r="312">
      <c r="A312" s="14">
        <v>43031.071238425924</v>
      </c>
      <c r="B312" s="20" t="str">
        <f>HYPERLINK("https://twitter.com/phaxyn","@phaxyn")</f>
        <v>@phaxyn</v>
      </c>
      <c r="C312" s="21" t="s">
        <v>895</v>
      </c>
      <c r="D312" s="21" t="s">
        <v>896</v>
      </c>
      <c r="E312" s="22" t="str">
        <f>HYPERLINK("https://twitter.com/phaxyn/status/922382735066398720","922382735066398720")</f>
        <v>922382735066398720</v>
      </c>
      <c r="F312" s="23" t="s">
        <v>187</v>
      </c>
      <c r="G312" s="24">
        <v>2543.0</v>
      </c>
      <c r="H312" s="24">
        <v>2019.0</v>
      </c>
      <c r="I312" s="24">
        <v>0.0</v>
      </c>
      <c r="J312" s="24">
        <v>0.0</v>
      </c>
      <c r="K312" s="23" t="s">
        <v>34</v>
      </c>
      <c r="L312" s="25">
        <v>39990.304861111115</v>
      </c>
      <c r="M312" s="26" t="s">
        <v>897</v>
      </c>
      <c r="N312" s="26" t="s">
        <v>898</v>
      </c>
      <c r="O312" s="22" t="str">
        <f>HYPERLINK("https://pbs.twimg.com/profile_images/823182659983736832/XAaQ7I1U_normal.jpg","View")</f>
        <v>View</v>
      </c>
      <c r="P312" s="27"/>
    </row>
    <row r="313">
      <c r="A313" s="14">
        <v>43031.07127314815</v>
      </c>
      <c r="B313" s="20" t="str">
        <f>HYPERLINK("https://twitter.com/AntiEU2","@AntiEU2")</f>
        <v>@AntiEU2</v>
      </c>
      <c r="C313" s="21" t="s">
        <v>899</v>
      </c>
      <c r="D313" s="21" t="s">
        <v>900</v>
      </c>
      <c r="E313" s="22" t="str">
        <f>HYPERLINK("https://twitter.com/AntiEU2/status/922382747972272128","922382747972272128")</f>
        <v>922382747972272128</v>
      </c>
      <c r="F313" s="23" t="s">
        <v>43</v>
      </c>
      <c r="G313" s="24">
        <v>165.0</v>
      </c>
      <c r="H313" s="24">
        <v>27.0</v>
      </c>
      <c r="I313" s="24">
        <v>8.0</v>
      </c>
      <c r="J313" s="24">
        <v>0.0</v>
      </c>
      <c r="K313" s="23" t="s">
        <v>34</v>
      </c>
      <c r="L313" s="25">
        <v>42376.340729166666</v>
      </c>
      <c r="M313" s="28"/>
      <c r="N313" s="28"/>
      <c r="O313" s="22" t="str">
        <f>HYPERLINK("https://abs.twimg.com/sticky/default_profile_images/default_profile_normal.png","View")</f>
        <v>View</v>
      </c>
      <c r="P313" s="27"/>
    </row>
    <row r="314">
      <c r="A314" s="14">
        <v>43031.07136574074</v>
      </c>
      <c r="B314" s="20" t="str">
        <f>HYPERLINK("https://twitter.com/lesterroberts19","@lesterroberts19")</f>
        <v>@lesterroberts19</v>
      </c>
      <c r="C314" s="21" t="s">
        <v>901</v>
      </c>
      <c r="D314" s="21" t="s">
        <v>760</v>
      </c>
      <c r="E314" s="22" t="str">
        <f>HYPERLINK("https://twitter.com/lesterroberts19/status/922382782155943936","922382782155943936")</f>
        <v>922382782155943936</v>
      </c>
      <c r="F314" s="23" t="s">
        <v>33</v>
      </c>
      <c r="G314" s="24">
        <v>2.0</v>
      </c>
      <c r="H314" s="24">
        <v>25.0</v>
      </c>
      <c r="I314" s="24">
        <v>62.0</v>
      </c>
      <c r="J314" s="24">
        <v>0.0</v>
      </c>
      <c r="K314" s="23" t="s">
        <v>34</v>
      </c>
      <c r="L314" s="25">
        <v>42280.394907407404</v>
      </c>
      <c r="M314" s="26" t="s">
        <v>902</v>
      </c>
      <c r="N314" s="28"/>
      <c r="O314" s="22" t="str">
        <f>HYPERLINK("https://pbs.twimg.com/profile_images/650348435883712513/5VVVFkpA_normal.jpg","View")</f>
        <v>View</v>
      </c>
      <c r="P314" s="27"/>
    </row>
    <row r="315">
      <c r="A315" s="14">
        <v>43031.07140046296</v>
      </c>
      <c r="B315" s="20" t="str">
        <f>HYPERLINK("https://twitter.com/channel1america","@channel1america")</f>
        <v>@channel1america</v>
      </c>
      <c r="C315" s="21" t="s">
        <v>903</v>
      </c>
      <c r="D315" s="21" t="s">
        <v>904</v>
      </c>
      <c r="E315" s="22" t="str">
        <f>HYPERLINK("https://twitter.com/channel1america/status/922382791031050240","922382791031050240")</f>
        <v>922382791031050240</v>
      </c>
      <c r="F315" s="23" t="s">
        <v>187</v>
      </c>
      <c r="G315" s="24">
        <v>574.0</v>
      </c>
      <c r="H315" s="24">
        <v>1093.0</v>
      </c>
      <c r="I315" s="24">
        <v>0.0</v>
      </c>
      <c r="J315" s="24">
        <v>0.0</v>
      </c>
      <c r="K315" s="23" t="s">
        <v>34</v>
      </c>
      <c r="L315" s="25">
        <v>41490.48872685185</v>
      </c>
      <c r="M315" s="26" t="s">
        <v>905</v>
      </c>
      <c r="N315" s="26" t="s">
        <v>906</v>
      </c>
      <c r="O315" s="22" t="str">
        <f>HYPERLINK("https://pbs.twimg.com/profile_images/419040982844207104/Rlky9pGx_normal.jpeg","View")</f>
        <v>View</v>
      </c>
      <c r="P315" s="27"/>
    </row>
    <row r="316">
      <c r="A316" s="14">
        <v>43031.07141203704</v>
      </c>
      <c r="B316" s="20" t="str">
        <f>HYPERLINK("https://twitter.com/Flora52georgie","@Flora52georgie")</f>
        <v>@Flora52georgie</v>
      </c>
      <c r="C316" s="21" t="s">
        <v>907</v>
      </c>
      <c r="D316" s="21" t="s">
        <v>760</v>
      </c>
      <c r="E316" s="22" t="str">
        <f>HYPERLINK("https://twitter.com/Flora52georgie/status/922382798631051265","922382798631051265")</f>
        <v>922382798631051265</v>
      </c>
      <c r="F316" s="23" t="s">
        <v>39</v>
      </c>
      <c r="G316" s="24">
        <v>401.0</v>
      </c>
      <c r="H316" s="24">
        <v>1696.0</v>
      </c>
      <c r="I316" s="24">
        <v>62.0</v>
      </c>
      <c r="J316" s="24">
        <v>0.0</v>
      </c>
      <c r="K316" s="23" t="s">
        <v>34</v>
      </c>
      <c r="L316" s="25">
        <v>41715.12923611111</v>
      </c>
      <c r="M316" s="28"/>
      <c r="N316" s="26" t="s">
        <v>908</v>
      </c>
      <c r="O316" s="22" t="str">
        <f>HYPERLINK("https://pbs.twimg.com/profile_images/773383038008819712/8kP0Dn30_normal.jpg","View")</f>
        <v>View</v>
      </c>
      <c r="P316" s="27"/>
    </row>
    <row r="317">
      <c r="A317" s="14">
        <v>43031.071435185186</v>
      </c>
      <c r="B317" s="20" t="str">
        <f>HYPERLINK("https://twitter.com/kuboalex46","@kuboalex46")</f>
        <v>@kuboalex46</v>
      </c>
      <c r="C317" s="21" t="s">
        <v>909</v>
      </c>
      <c r="D317" s="21" t="s">
        <v>910</v>
      </c>
      <c r="E317" s="22" t="str">
        <f>HYPERLINK("https://twitter.com/kuboalex46/status/922382807258804224","922382807258804224")</f>
        <v>922382807258804224</v>
      </c>
      <c r="F317" s="23" t="s">
        <v>33</v>
      </c>
      <c r="G317" s="24">
        <v>622.0</v>
      </c>
      <c r="H317" s="24">
        <v>999.0</v>
      </c>
      <c r="I317" s="24">
        <v>2.0</v>
      </c>
      <c r="J317" s="24">
        <v>0.0</v>
      </c>
      <c r="K317" s="23" t="s">
        <v>34</v>
      </c>
      <c r="L317" s="25">
        <v>42024.33063657407</v>
      </c>
      <c r="M317" s="26" t="s">
        <v>911</v>
      </c>
      <c r="N317" s="26" t="s">
        <v>912</v>
      </c>
      <c r="O317" s="22" t="str">
        <f>HYPERLINK("https://pbs.twimg.com/profile_images/718429049056600064/GWqVFtPn_normal.jpg","View")</f>
        <v>View</v>
      </c>
      <c r="P317" s="27"/>
    </row>
    <row r="318">
      <c r="A318" s="14">
        <v>43031.071550925924</v>
      </c>
      <c r="B318" s="20" t="str">
        <f>HYPERLINK("https://twitter.com/avanishmishra97","@avanishmishra97")</f>
        <v>@avanishmishra97</v>
      </c>
      <c r="C318" s="21" t="s">
        <v>913</v>
      </c>
      <c r="D318" s="21" t="s">
        <v>42</v>
      </c>
      <c r="E318" s="22" t="str">
        <f>HYPERLINK("https://twitter.com/avanishmishra97/status/922382848555761665","922382848555761665")</f>
        <v>922382848555761665</v>
      </c>
      <c r="F318" s="23" t="s">
        <v>33</v>
      </c>
      <c r="G318" s="24">
        <v>1658.0</v>
      </c>
      <c r="H318" s="24">
        <v>165.0</v>
      </c>
      <c r="I318" s="24">
        <v>8501.0</v>
      </c>
      <c r="J318" s="24">
        <v>0.0</v>
      </c>
      <c r="K318" s="23" t="s">
        <v>34</v>
      </c>
      <c r="L318" s="25">
        <v>41888.06190972222</v>
      </c>
      <c r="M318" s="26" t="s">
        <v>914</v>
      </c>
      <c r="N318" s="26" t="s">
        <v>915</v>
      </c>
      <c r="O318" s="22" t="str">
        <f>HYPERLINK("https://pbs.twimg.com/profile_images/835519776764084224/ieKNir43_normal.jpg","View")</f>
        <v>View</v>
      </c>
      <c r="P318" s="27"/>
    </row>
    <row r="319">
      <c r="A319" s="14">
        <v>43031.07164351852</v>
      </c>
      <c r="B319" s="20" t="str">
        <f>HYPERLINK("https://twitter.com/DayaRamChaudha8","@DayaRamChaudha8")</f>
        <v>@DayaRamChaudha8</v>
      </c>
      <c r="C319" s="21" t="s">
        <v>916</v>
      </c>
      <c r="D319" s="21" t="s">
        <v>42</v>
      </c>
      <c r="E319" s="22" t="str">
        <f>HYPERLINK("https://twitter.com/DayaRamChaudha8/status/922382880663150593","922382880663150593")</f>
        <v>922382880663150593</v>
      </c>
      <c r="F319" s="23" t="s">
        <v>33</v>
      </c>
      <c r="G319" s="24">
        <v>1.0</v>
      </c>
      <c r="H319" s="24">
        <v>20.0</v>
      </c>
      <c r="I319" s="24">
        <v>8501.0</v>
      </c>
      <c r="J319" s="24">
        <v>0.0</v>
      </c>
      <c r="K319" s="23" t="s">
        <v>34</v>
      </c>
      <c r="L319" s="25">
        <v>42647.87349537037</v>
      </c>
      <c r="M319" s="26" t="s">
        <v>917</v>
      </c>
      <c r="N319" s="28"/>
      <c r="O319" s="22" t="str">
        <f>HYPERLINK("https://pbs.twimg.com/profile_images/783855996678639625/Q3Czx2zk_normal.jpg","View")</f>
        <v>View</v>
      </c>
      <c r="P319" s="27"/>
    </row>
    <row r="320">
      <c r="A320" s="14">
        <v>43031.07164351852</v>
      </c>
      <c r="B320" s="20" t="str">
        <f>HYPERLINK("https://twitter.com/FOCNOW","@FOCNOW")</f>
        <v>@FOCNOW</v>
      </c>
      <c r="C320" s="21" t="s">
        <v>918</v>
      </c>
      <c r="D320" s="34" t="s">
        <v>919</v>
      </c>
      <c r="E320" s="22" t="str">
        <f>HYPERLINK("https://twitter.com/FOCNOW/status/922382882298982401","922382882298982401")</f>
        <v>922382882298982401</v>
      </c>
      <c r="F320" s="23" t="s">
        <v>55</v>
      </c>
      <c r="G320" s="24">
        <v>66.0</v>
      </c>
      <c r="H320" s="24">
        <v>149.0</v>
      </c>
      <c r="I320" s="24">
        <v>0.0</v>
      </c>
      <c r="J320" s="24">
        <v>0.0</v>
      </c>
      <c r="K320" s="23" t="s">
        <v>34</v>
      </c>
      <c r="L320" s="25">
        <v>42181.95880787037</v>
      </c>
      <c r="M320" s="26" t="s">
        <v>920</v>
      </c>
      <c r="N320" s="26" t="s">
        <v>921</v>
      </c>
      <c r="O320" s="22" t="str">
        <f>HYPERLINK("https://pbs.twimg.com/profile_images/831635880334864384/Jrw7FSCl_normal.jpg","View")</f>
        <v>View</v>
      </c>
      <c r="P320" s="27"/>
    </row>
    <row r="321">
      <c r="A321" s="14">
        <v>43031.07165509259</v>
      </c>
      <c r="B321" s="20" t="str">
        <f>HYPERLINK("https://twitter.com/EleniNumber5","@EleniNumber5")</f>
        <v>@EleniNumber5</v>
      </c>
      <c r="C321" s="21" t="s">
        <v>922</v>
      </c>
      <c r="D321" s="21" t="s">
        <v>42</v>
      </c>
      <c r="E321" s="22" t="str">
        <f>HYPERLINK("https://twitter.com/EleniNumber5/status/922382883360141312","922382883360141312")</f>
        <v>922382883360141312</v>
      </c>
      <c r="F321" s="23" t="s">
        <v>39</v>
      </c>
      <c r="G321" s="24">
        <v>498.0</v>
      </c>
      <c r="H321" s="24">
        <v>580.0</v>
      </c>
      <c r="I321" s="24">
        <v>8501.0</v>
      </c>
      <c r="J321" s="24">
        <v>0.0</v>
      </c>
      <c r="K321" s="23" t="s">
        <v>34</v>
      </c>
      <c r="L321" s="25">
        <v>42470.36984953703</v>
      </c>
      <c r="M321" s="26" t="s">
        <v>923</v>
      </c>
      <c r="N321" s="26" t="s">
        <v>924</v>
      </c>
      <c r="O321" s="22" t="str">
        <f>HYPERLINK("https://pbs.twimg.com/profile_images/753917274650648577/2XBsqoqG_normal.jpg","View")</f>
        <v>View</v>
      </c>
      <c r="P321" s="27"/>
    </row>
    <row r="322">
      <c r="A322" s="14">
        <v>43031.07165509259</v>
      </c>
      <c r="B322" s="20" t="str">
        <f>HYPERLINK("https://twitter.com/mlnangalama","@mlnangalama")</f>
        <v>@mlnangalama</v>
      </c>
      <c r="C322" s="21" t="s">
        <v>925</v>
      </c>
      <c r="D322" s="21" t="s">
        <v>926</v>
      </c>
      <c r="E322" s="22" t="str">
        <f>HYPERLINK("https://twitter.com/mlnangalama/status/922382883502854145","922382883502854145")</f>
        <v>922382883502854145</v>
      </c>
      <c r="F322" s="23" t="s">
        <v>187</v>
      </c>
      <c r="G322" s="24">
        <v>2366.0</v>
      </c>
      <c r="H322" s="24">
        <v>1582.0</v>
      </c>
      <c r="I322" s="24">
        <v>0.0</v>
      </c>
      <c r="J322" s="24">
        <v>0.0</v>
      </c>
      <c r="K322" s="23" t="s">
        <v>34</v>
      </c>
      <c r="L322" s="25">
        <v>41041.54378472222</v>
      </c>
      <c r="M322" s="26" t="s">
        <v>927</v>
      </c>
      <c r="N322" s="26" t="s">
        <v>928</v>
      </c>
      <c r="O322" s="22" t="str">
        <f>HYPERLINK("https://pbs.twimg.com/profile_images/900915882444173313/biUHzvpx_normal.jpg","View")</f>
        <v>View</v>
      </c>
      <c r="P322" s="27"/>
    </row>
    <row r="323">
      <c r="A323" s="14">
        <v>43031.07171296296</v>
      </c>
      <c r="B323" s="20" t="str">
        <f>HYPERLINK("https://twitter.com/OccuWorld","@OccuWorld")</f>
        <v>@OccuWorld</v>
      </c>
      <c r="C323" s="21" t="s">
        <v>929</v>
      </c>
      <c r="D323" s="21" t="s">
        <v>930</v>
      </c>
      <c r="E323" s="22" t="str">
        <f>HYPERLINK("https://twitter.com/OccuWorld/status/922382905896325120","922382905896325120")</f>
        <v>922382905896325120</v>
      </c>
      <c r="F323" s="23" t="s">
        <v>931</v>
      </c>
      <c r="G323" s="24">
        <v>7744.0</v>
      </c>
      <c r="H323" s="24">
        <v>981.0</v>
      </c>
      <c r="I323" s="24">
        <v>0.0</v>
      </c>
      <c r="J323" s="24">
        <v>0.0</v>
      </c>
      <c r="K323" s="23" t="s">
        <v>34</v>
      </c>
      <c r="L323" s="25">
        <v>41319.360625</v>
      </c>
      <c r="M323" s="26" t="s">
        <v>92</v>
      </c>
      <c r="N323" s="26" t="s">
        <v>932</v>
      </c>
      <c r="O323" s="22" t="str">
        <f>HYPERLINK("https://pbs.twimg.com/profile_images/563724232287211520/sEoE-N6j_normal.jpeg","View")</f>
        <v>View</v>
      </c>
      <c r="P323" s="27"/>
    </row>
    <row r="324">
      <c r="A324" s="14">
        <v>43031.07172453703</v>
      </c>
      <c r="B324" s="20" t="str">
        <f>HYPERLINK("https://twitter.com/EyejiiRubani","@EyejiiRubani")</f>
        <v>@EyejiiRubani</v>
      </c>
      <c r="C324" s="21" t="s">
        <v>933</v>
      </c>
      <c r="D324" s="21" t="s">
        <v>32</v>
      </c>
      <c r="E324" s="22" t="str">
        <f>HYPERLINK("https://twitter.com/EyejiiRubani/status/922382909155282944","922382909155282944")</f>
        <v>922382909155282944</v>
      </c>
      <c r="F324" s="23" t="s">
        <v>33</v>
      </c>
      <c r="G324" s="24">
        <v>429.0</v>
      </c>
      <c r="H324" s="24">
        <v>2315.0</v>
      </c>
      <c r="I324" s="24">
        <v>471.0</v>
      </c>
      <c r="J324" s="24">
        <v>0.0</v>
      </c>
      <c r="K324" s="23" t="s">
        <v>34</v>
      </c>
      <c r="L324" s="25">
        <v>41836.30284722222</v>
      </c>
      <c r="M324" s="26" t="s">
        <v>114</v>
      </c>
      <c r="N324" s="26" t="s">
        <v>934</v>
      </c>
      <c r="O324" s="22" t="str">
        <f>HYPERLINK("https://pbs.twimg.com/profile_images/922734275367198721/oUBpo877_normal.jpg","View")</f>
        <v>View</v>
      </c>
      <c r="P324" s="27"/>
    </row>
    <row r="325">
      <c r="A325" s="14">
        <v>43031.071759259255</v>
      </c>
      <c r="B325" s="20" t="str">
        <f>HYPERLINK("https://twitter.com/SimplyIshank","@SimplyIshank")</f>
        <v>@SimplyIshank</v>
      </c>
      <c r="C325" s="21" t="s">
        <v>935</v>
      </c>
      <c r="D325" s="21" t="s">
        <v>42</v>
      </c>
      <c r="E325" s="22" t="str">
        <f>HYPERLINK("https://twitter.com/SimplyIshank/status/922382921780158464","922382921780158464")</f>
        <v>922382921780158464</v>
      </c>
      <c r="F325" s="23" t="s">
        <v>39</v>
      </c>
      <c r="G325" s="24">
        <v>5284.0</v>
      </c>
      <c r="H325" s="24">
        <v>226.0</v>
      </c>
      <c r="I325" s="24">
        <v>8501.0</v>
      </c>
      <c r="J325" s="24">
        <v>0.0</v>
      </c>
      <c r="K325" s="23" t="s">
        <v>34</v>
      </c>
      <c r="L325" s="25">
        <v>42328.02413194445</v>
      </c>
      <c r="M325" s="26" t="s">
        <v>603</v>
      </c>
      <c r="N325" s="26" t="s">
        <v>936</v>
      </c>
      <c r="O325" s="22" t="str">
        <f>HYPERLINK("https://pbs.twimg.com/profile_images/768440114385031168/0Px9mDfx_normal.jpg","View")</f>
        <v>View</v>
      </c>
      <c r="P325" s="27"/>
    </row>
    <row r="326">
      <c r="A326" s="14">
        <v>43031.07178240741</v>
      </c>
      <c r="B326" s="20" t="str">
        <f>HYPERLINK("https://twitter.com/TulsiRajeshTiw1","@TulsiRajeshTiw1")</f>
        <v>@TulsiRajeshTiw1</v>
      </c>
      <c r="C326" s="21" t="s">
        <v>937</v>
      </c>
      <c r="D326" s="21" t="s">
        <v>42</v>
      </c>
      <c r="E326" s="22" t="str">
        <f>HYPERLINK("https://twitter.com/TulsiRajeshTiw1/status/922382929149308928","922382929149308928")</f>
        <v>922382929149308928</v>
      </c>
      <c r="F326" s="23" t="s">
        <v>33</v>
      </c>
      <c r="G326" s="24">
        <v>193.0</v>
      </c>
      <c r="H326" s="24">
        <v>16.0</v>
      </c>
      <c r="I326" s="24">
        <v>8501.0</v>
      </c>
      <c r="J326" s="24">
        <v>0.0</v>
      </c>
      <c r="K326" s="23" t="s">
        <v>34</v>
      </c>
      <c r="L326" s="25">
        <v>42755.12447916667</v>
      </c>
      <c r="M326" s="26" t="s">
        <v>938</v>
      </c>
      <c r="N326" s="26" t="s">
        <v>939</v>
      </c>
      <c r="O326" s="22" t="str">
        <f>HYPERLINK("https://pbs.twimg.com/profile_images/822399996473446401/7045fTcc_normal.jpg","View")</f>
        <v>View</v>
      </c>
      <c r="P326" s="27"/>
    </row>
    <row r="327">
      <c r="A327" s="14">
        <v>43031.071805555555</v>
      </c>
      <c r="B327" s="20" t="str">
        <f>HYPERLINK("https://twitter.com/Pink_Knight25","@Pink_Knight25")</f>
        <v>@Pink_Knight25</v>
      </c>
      <c r="C327" s="21" t="s">
        <v>940</v>
      </c>
      <c r="D327" s="21" t="s">
        <v>67</v>
      </c>
      <c r="E327" s="22" t="str">
        <f>HYPERLINK("https://twitter.com/Pink_Knight25/status/922382939597324288","922382939597324288")</f>
        <v>922382939597324288</v>
      </c>
      <c r="F327" s="23" t="s">
        <v>33</v>
      </c>
      <c r="G327" s="24">
        <v>109.0</v>
      </c>
      <c r="H327" s="24">
        <v>100.0</v>
      </c>
      <c r="I327" s="24">
        <v>169.0</v>
      </c>
      <c r="J327" s="24">
        <v>0.0</v>
      </c>
      <c r="K327" s="23" t="s">
        <v>34</v>
      </c>
      <c r="L327" s="25">
        <v>40673.01888888889</v>
      </c>
      <c r="M327" s="26" t="s">
        <v>941</v>
      </c>
      <c r="N327" s="26" t="s">
        <v>942</v>
      </c>
      <c r="O327" s="22" t="str">
        <f>HYPERLINK("https://pbs.twimg.com/profile_images/921725630013566977/ifuLYb3i_normal.jpg","View")</f>
        <v>View</v>
      </c>
      <c r="P327" s="27"/>
    </row>
    <row r="328">
      <c r="A328" s="14">
        <v>43031.07181712963</v>
      </c>
      <c r="B328" s="20" t="str">
        <f>HYPERLINK("https://twitter.com/TheBFRoom","@TheBFRoom")</f>
        <v>@TheBFRoom</v>
      </c>
      <c r="C328" s="21" t="s">
        <v>943</v>
      </c>
      <c r="D328" s="21" t="s">
        <v>944</v>
      </c>
      <c r="E328" s="22" t="str">
        <f>HYPERLINK("https://twitter.com/TheBFRoom/status/922382941845688320","922382941845688320")</f>
        <v>922382941845688320</v>
      </c>
      <c r="F328" s="23" t="s">
        <v>187</v>
      </c>
      <c r="G328" s="24">
        <v>3193.0</v>
      </c>
      <c r="H328" s="24">
        <v>3873.0</v>
      </c>
      <c r="I328" s="24">
        <v>0.0</v>
      </c>
      <c r="J328" s="24">
        <v>0.0</v>
      </c>
      <c r="K328" s="23" t="s">
        <v>34</v>
      </c>
      <c r="L328" s="25">
        <v>42761.325162037036</v>
      </c>
      <c r="M328" s="26" t="s">
        <v>68</v>
      </c>
      <c r="N328" s="26" t="s">
        <v>945</v>
      </c>
      <c r="O328" s="22" t="str">
        <f>HYPERLINK("https://pbs.twimg.com/profile_images/898379268778020864/0u1zlj_B_normal.jpg","View")</f>
        <v>View</v>
      </c>
      <c r="P328" s="27"/>
    </row>
    <row r="329">
      <c r="A329" s="14">
        <v>43031.07184027778</v>
      </c>
      <c r="B329" s="20" t="str">
        <f>HYPERLINK("https://twitter.com/christophe022","@christophe022")</f>
        <v>@christophe022</v>
      </c>
      <c r="C329" s="21" t="s">
        <v>946</v>
      </c>
      <c r="D329" s="21" t="s">
        <v>760</v>
      </c>
      <c r="E329" s="22" t="str">
        <f>HYPERLINK("https://twitter.com/christophe022/status/922382951874150400","922382951874150400")</f>
        <v>922382951874150400</v>
      </c>
      <c r="F329" s="23" t="s">
        <v>33</v>
      </c>
      <c r="G329" s="24">
        <v>409.0</v>
      </c>
      <c r="H329" s="24">
        <v>1295.0</v>
      </c>
      <c r="I329" s="24">
        <v>62.0</v>
      </c>
      <c r="J329" s="24">
        <v>0.0</v>
      </c>
      <c r="K329" s="23" t="s">
        <v>34</v>
      </c>
      <c r="L329" s="25">
        <v>41246.66909722222</v>
      </c>
      <c r="M329" s="26" t="s">
        <v>947</v>
      </c>
      <c r="N329" s="26" t="s">
        <v>948</v>
      </c>
      <c r="O329" s="22" t="str">
        <f>HYPERLINK("https://pbs.twimg.com/profile_images/378800000377063113/878caee4436c2485f849746b76dc8742_normal.png","View")</f>
        <v>View</v>
      </c>
      <c r="P329" s="27"/>
    </row>
    <row r="330">
      <c r="A330" s="14">
        <v>43031.071851851855</v>
      </c>
      <c r="B330" s="20" t="str">
        <f>HYPERLINK("https://twitter.com/dibakarme","@dibakarme")</f>
        <v>@dibakarme</v>
      </c>
      <c r="C330" s="21" t="s">
        <v>949</v>
      </c>
      <c r="D330" s="21" t="s">
        <v>950</v>
      </c>
      <c r="E330" s="22" t="str">
        <f>HYPERLINK("https://twitter.com/dibakarme/status/922382956370546689","922382956370546689")</f>
        <v>922382956370546689</v>
      </c>
      <c r="F330" s="23" t="s">
        <v>187</v>
      </c>
      <c r="G330" s="24">
        <v>1414.0</v>
      </c>
      <c r="H330" s="24">
        <v>4850.0</v>
      </c>
      <c r="I330" s="24">
        <v>0.0</v>
      </c>
      <c r="J330" s="24">
        <v>0.0</v>
      </c>
      <c r="K330" s="23" t="s">
        <v>34</v>
      </c>
      <c r="L330" s="25">
        <v>41314.12306712963</v>
      </c>
      <c r="M330" s="26" t="s">
        <v>951</v>
      </c>
      <c r="N330" s="26" t="s">
        <v>952</v>
      </c>
      <c r="O330" s="22" t="str">
        <f>HYPERLINK("https://pbs.twimg.com/profile_images/916070941481951232/hiUaouzl_normal.jpg","View")</f>
        <v>View</v>
      </c>
      <c r="P330" s="27"/>
    </row>
    <row r="331">
      <c r="A331" s="14">
        <v>43031.07199074074</v>
      </c>
      <c r="B331" s="20" t="str">
        <f>HYPERLINK("https://twitter.com/fuzzyguest","@fuzzyguest")</f>
        <v>@fuzzyguest</v>
      </c>
      <c r="C331" s="21" t="s">
        <v>953</v>
      </c>
      <c r="D331" s="21" t="s">
        <v>760</v>
      </c>
      <c r="E331" s="22" t="str">
        <f>HYPERLINK("https://twitter.com/fuzzyguest/status/922383005531889666","922383005531889666")</f>
        <v>922383005531889666</v>
      </c>
      <c r="F331" s="23" t="s">
        <v>55</v>
      </c>
      <c r="G331" s="24">
        <v>56.0</v>
      </c>
      <c r="H331" s="24">
        <v>815.0</v>
      </c>
      <c r="I331" s="24">
        <v>62.0</v>
      </c>
      <c r="J331" s="24">
        <v>0.0</v>
      </c>
      <c r="K331" s="23" t="s">
        <v>34</v>
      </c>
      <c r="L331" s="25">
        <v>41335.81833333333</v>
      </c>
      <c r="M331" s="26" t="s">
        <v>271</v>
      </c>
      <c r="N331" s="28"/>
      <c r="O331" s="22" t="str">
        <f>HYPERLINK("https://pbs.twimg.com/profile_images/378800000310251208/39e3ef268e83d4457361db41b199ea80_normal.jpeg","View")</f>
        <v>View</v>
      </c>
      <c r="P331" s="27"/>
    </row>
    <row r="332">
      <c r="A332" s="14">
        <v>43031.07203703704</v>
      </c>
      <c r="B332" s="20" t="str">
        <f>HYPERLINK("https://twitter.com/strike_surgical","@strike_surgical")</f>
        <v>@strike_surgical</v>
      </c>
      <c r="C332" s="21" t="s">
        <v>954</v>
      </c>
      <c r="D332" s="21" t="s">
        <v>42</v>
      </c>
      <c r="E332" s="22" t="str">
        <f>HYPERLINK("https://twitter.com/strike_surgical/status/922383021424115712","922383021424115712")</f>
        <v>922383021424115712</v>
      </c>
      <c r="F332" s="23" t="s">
        <v>39</v>
      </c>
      <c r="G332" s="24">
        <v>10.0</v>
      </c>
      <c r="H332" s="24">
        <v>11.0</v>
      </c>
      <c r="I332" s="24">
        <v>8501.0</v>
      </c>
      <c r="J332" s="24">
        <v>0.0</v>
      </c>
      <c r="K332" s="23" t="s">
        <v>34</v>
      </c>
      <c r="L332" s="25">
        <v>42689.15762731481</v>
      </c>
      <c r="M332" s="28"/>
      <c r="N332" s="28"/>
      <c r="O332" s="22" t="str">
        <f>HYPERLINK("https://abs.twimg.com/sticky/default_profile_images/default_profile_normal.png","View")</f>
        <v>View</v>
      </c>
      <c r="P332" s="27"/>
    </row>
    <row r="333">
      <c r="A333" s="14">
        <v>43031.07203703704</v>
      </c>
      <c r="B333" s="20" t="str">
        <f>HYPERLINK("https://twitter.com/mahmoodhaffy","@mahmoodhaffy")</f>
        <v>@mahmoodhaffy</v>
      </c>
      <c r="C333" s="21" t="s">
        <v>955</v>
      </c>
      <c r="D333" s="21" t="s">
        <v>760</v>
      </c>
      <c r="E333" s="22" t="str">
        <f>HYPERLINK("https://twitter.com/mahmoodhaffy/status/922383024267890688","922383024267890688")</f>
        <v>922383024267890688</v>
      </c>
      <c r="F333" s="23" t="s">
        <v>39</v>
      </c>
      <c r="G333" s="24">
        <v>257.0</v>
      </c>
      <c r="H333" s="24">
        <v>231.0</v>
      </c>
      <c r="I333" s="24">
        <v>62.0</v>
      </c>
      <c r="J333" s="24">
        <v>0.0</v>
      </c>
      <c r="K333" s="23" t="s">
        <v>34</v>
      </c>
      <c r="L333" s="25">
        <v>39968.119733796295</v>
      </c>
      <c r="M333" s="28"/>
      <c r="N333" s="28"/>
      <c r="O333" s="22" t="str">
        <f>HYPERLINK("https://pbs.twimg.com/profile_images/850359461780873218/0ql9396D_normal.jpg","View")</f>
        <v>View</v>
      </c>
      <c r="P333" s="27"/>
    </row>
    <row r="334">
      <c r="A334" s="14">
        <v>43031.07207175926</v>
      </c>
      <c r="B334" s="20" t="str">
        <f>HYPERLINK("https://twitter.com/AliwaOkello","@AliwaOkello")</f>
        <v>@AliwaOkello</v>
      </c>
      <c r="C334" s="21" t="s">
        <v>956</v>
      </c>
      <c r="D334" s="21" t="s">
        <v>957</v>
      </c>
      <c r="E334" s="22" t="str">
        <f>HYPERLINK("https://twitter.com/AliwaOkello/status/922383034799788032","922383034799788032")</f>
        <v>922383034799788032</v>
      </c>
      <c r="F334" s="30" t="s">
        <v>191</v>
      </c>
      <c r="G334" s="24">
        <v>197.0</v>
      </c>
      <c r="H334" s="24">
        <v>30.0</v>
      </c>
      <c r="I334" s="24">
        <v>0.0</v>
      </c>
      <c r="J334" s="24">
        <v>0.0</v>
      </c>
      <c r="K334" s="23" t="s">
        <v>34</v>
      </c>
      <c r="L334" s="25">
        <v>41411.1703587963</v>
      </c>
      <c r="M334" s="26" t="s">
        <v>114</v>
      </c>
      <c r="N334" s="26" t="s">
        <v>958</v>
      </c>
      <c r="O334" s="22" t="str">
        <f>HYPERLINK("https://pbs.twimg.com/profile_images/796582872782094337/y1nb7iEB_normal.jpg","View")</f>
        <v>View</v>
      </c>
      <c r="P334" s="27"/>
    </row>
    <row r="335">
      <c r="A335" s="14">
        <v>43031.07207175926</v>
      </c>
      <c r="B335" s="20" t="str">
        <f>HYPERLINK("https://twitter.com/poupu2017simabu","@poupu2017simabu")</f>
        <v>@poupu2017simabu</v>
      </c>
      <c r="C335" s="21" t="s">
        <v>959</v>
      </c>
      <c r="D335" s="21" t="s">
        <v>42</v>
      </c>
      <c r="E335" s="22" t="str">
        <f>HYPERLINK("https://twitter.com/poupu2017simabu/status/922383034892001281","922383034892001281")</f>
        <v>922383034892001281</v>
      </c>
      <c r="F335" s="23" t="s">
        <v>39</v>
      </c>
      <c r="G335" s="24">
        <v>165.0</v>
      </c>
      <c r="H335" s="24">
        <v>232.0</v>
      </c>
      <c r="I335" s="24">
        <v>8501.0</v>
      </c>
      <c r="J335" s="24">
        <v>0.0</v>
      </c>
      <c r="K335" s="23" t="s">
        <v>34</v>
      </c>
      <c r="L335" s="25">
        <v>42978.276550925926</v>
      </c>
      <c r="M335" s="28"/>
      <c r="N335" s="26" t="s">
        <v>960</v>
      </c>
      <c r="O335" s="22" t="str">
        <f>HYPERLINK("https://pbs.twimg.com/profile_images/905671718806663169/AXHjTXIw_normal.jpg","View")</f>
        <v>View</v>
      </c>
      <c r="P335" s="27"/>
    </row>
    <row r="336">
      <c r="A336" s="14">
        <v>43031.0720949074</v>
      </c>
      <c r="B336" s="20" t="str">
        <f>HYPERLINK("https://twitter.com/Eastasianewsnet","@Eastasianewsnet")</f>
        <v>@Eastasianewsnet</v>
      </c>
      <c r="C336" s="21" t="s">
        <v>961</v>
      </c>
      <c r="D336" s="21" t="s">
        <v>962</v>
      </c>
      <c r="E336" s="22" t="str">
        <f>HYPERLINK("https://twitter.com/Eastasianewsnet/status/922383043943206912","922383043943206912")</f>
        <v>922383043943206912</v>
      </c>
      <c r="F336" s="23" t="s">
        <v>963</v>
      </c>
      <c r="G336" s="24">
        <v>978.0</v>
      </c>
      <c r="H336" s="24">
        <v>749.0</v>
      </c>
      <c r="I336" s="24">
        <v>0.0</v>
      </c>
      <c r="J336" s="24">
        <v>0.0</v>
      </c>
      <c r="K336" s="23" t="s">
        <v>34</v>
      </c>
      <c r="L336" s="25">
        <v>41607.224444444444</v>
      </c>
      <c r="M336" s="26" t="s">
        <v>71</v>
      </c>
      <c r="N336" s="26" t="s">
        <v>964</v>
      </c>
      <c r="O336" s="22" t="str">
        <f>HYPERLINK("https://pbs.twimg.com/profile_images/378800000809605806/f5179eb39984c67c55fd2ad0d06a6532_normal.png","View")</f>
        <v>View</v>
      </c>
      <c r="P336" s="27"/>
    </row>
    <row r="337">
      <c r="A337" s="14">
        <v>43031.07216435185</v>
      </c>
      <c r="B337" s="20" t="str">
        <f>HYPERLINK("https://twitter.com/Crisp_Views","@Crisp_Views")</f>
        <v>@Crisp_Views</v>
      </c>
      <c r="C337" s="21" t="s">
        <v>965</v>
      </c>
      <c r="D337" s="21" t="s">
        <v>42</v>
      </c>
      <c r="E337" s="22" t="str">
        <f>HYPERLINK("https://twitter.com/Crisp_Views/status/922383068953960450","922383068953960450")</f>
        <v>922383068953960450</v>
      </c>
      <c r="F337" s="23" t="s">
        <v>33</v>
      </c>
      <c r="G337" s="24">
        <v>76.0</v>
      </c>
      <c r="H337" s="24">
        <v>208.0</v>
      </c>
      <c r="I337" s="24">
        <v>8501.0</v>
      </c>
      <c r="J337" s="24">
        <v>0.0</v>
      </c>
      <c r="K337" s="23" t="s">
        <v>34</v>
      </c>
      <c r="L337" s="25">
        <v>42126.25984953703</v>
      </c>
      <c r="M337" s="26" t="s">
        <v>204</v>
      </c>
      <c r="N337" s="26" t="s">
        <v>966</v>
      </c>
      <c r="O337" s="22" t="str">
        <f>HYPERLINK("https://pbs.twimg.com/profile_images/784876462629355520/bPrRIInh_normal.jpg","View")</f>
        <v>View</v>
      </c>
      <c r="P337" s="27"/>
    </row>
    <row r="338">
      <c r="A338" s="14">
        <v>43031.07216435185</v>
      </c>
      <c r="B338" s="20" t="str">
        <f>HYPERLINK("https://twitter.com/vj_2100","@vj_2100")</f>
        <v>@vj_2100</v>
      </c>
      <c r="C338" s="21" t="s">
        <v>967</v>
      </c>
      <c r="D338" s="21" t="s">
        <v>42</v>
      </c>
      <c r="E338" s="22" t="str">
        <f>HYPERLINK("https://twitter.com/vj_2100/status/922383069587283968","922383069587283968")</f>
        <v>922383069587283968</v>
      </c>
      <c r="F338" s="23" t="s">
        <v>33</v>
      </c>
      <c r="G338" s="24">
        <v>202.0</v>
      </c>
      <c r="H338" s="24">
        <v>548.0</v>
      </c>
      <c r="I338" s="24">
        <v>8501.0</v>
      </c>
      <c r="J338" s="24">
        <v>0.0</v>
      </c>
      <c r="K338" s="23" t="s">
        <v>34</v>
      </c>
      <c r="L338" s="25">
        <v>40976.30048611111</v>
      </c>
      <c r="M338" s="26" t="s">
        <v>204</v>
      </c>
      <c r="N338" s="26" t="s">
        <v>968</v>
      </c>
      <c r="O338" s="22" t="str">
        <f>HYPERLINK("https://pbs.twimg.com/profile_images/876304309054574597/uMNfUSn3_normal.jpg","View")</f>
        <v>View</v>
      </c>
      <c r="P338" s="27"/>
    </row>
    <row r="339">
      <c r="A339" s="14">
        <v>43031.072233796294</v>
      </c>
      <c r="B339" s="20" t="str">
        <f>HYPERLINK("https://twitter.com/iamchetand","@iamchetand")</f>
        <v>@iamchetand</v>
      </c>
      <c r="C339" s="21" t="s">
        <v>969</v>
      </c>
      <c r="D339" s="21" t="s">
        <v>42</v>
      </c>
      <c r="E339" s="22" t="str">
        <f>HYPERLINK("https://twitter.com/iamchetand/status/922383094513942529","922383094513942529")</f>
        <v>922383094513942529</v>
      </c>
      <c r="F339" s="23" t="s">
        <v>33</v>
      </c>
      <c r="G339" s="24">
        <v>178.0</v>
      </c>
      <c r="H339" s="24">
        <v>90.0</v>
      </c>
      <c r="I339" s="24">
        <v>8501.0</v>
      </c>
      <c r="J339" s="24">
        <v>0.0</v>
      </c>
      <c r="K339" s="23" t="s">
        <v>34</v>
      </c>
      <c r="L339" s="25">
        <v>41366.89892361111</v>
      </c>
      <c r="M339" s="26" t="s">
        <v>970</v>
      </c>
      <c r="N339" s="26" t="s">
        <v>971</v>
      </c>
      <c r="O339" s="22" t="str">
        <f>HYPERLINK("https://pbs.twimg.com/profile_images/911640158813822976/nks0_aCG_normal.jpg","View")</f>
        <v>View</v>
      </c>
      <c r="P339" s="27"/>
    </row>
    <row r="340">
      <c r="A340" s="14">
        <v>43031.072233796294</v>
      </c>
      <c r="B340" s="20" t="str">
        <f>HYPERLINK("https://twitter.com/InvestDiva","@InvestDiva")</f>
        <v>@InvestDiva</v>
      </c>
      <c r="C340" s="21" t="s">
        <v>972</v>
      </c>
      <c r="D340" s="21" t="s">
        <v>973</v>
      </c>
      <c r="E340" s="22" t="str">
        <f>HYPERLINK("https://twitter.com/InvestDiva/status/922383094706929664","922383094706929664")</f>
        <v>922383094706929664</v>
      </c>
      <c r="F340" s="23" t="s">
        <v>769</v>
      </c>
      <c r="G340" s="24">
        <v>4894.0</v>
      </c>
      <c r="H340" s="24">
        <v>108.0</v>
      </c>
      <c r="I340" s="24">
        <v>10.0</v>
      </c>
      <c r="J340" s="24">
        <v>11.0</v>
      </c>
      <c r="K340" s="23" t="s">
        <v>34</v>
      </c>
      <c r="L340" s="25">
        <v>41118.368252314816</v>
      </c>
      <c r="M340" s="26" t="s">
        <v>974</v>
      </c>
      <c r="N340" s="26" t="s">
        <v>975</v>
      </c>
      <c r="O340" s="22" t="str">
        <f>HYPERLINK("https://pbs.twimg.com/profile_images/686940605465948161/NCNT1VIM_normal.jpg","View")</f>
        <v>View</v>
      </c>
      <c r="P340" s="27"/>
    </row>
    <row r="341">
      <c r="A341" s="14">
        <v>43031.0724537037</v>
      </c>
      <c r="B341" s="20" t="str">
        <f>HYPERLINK("https://twitter.com/mgandigiddy","@mgandigiddy")</f>
        <v>@mgandigiddy</v>
      </c>
      <c r="C341" s="21" t="s">
        <v>976</v>
      </c>
      <c r="D341" s="21" t="s">
        <v>32</v>
      </c>
      <c r="E341" s="22" t="str">
        <f>HYPERLINK("https://twitter.com/mgandigiddy/status/922383175313186816","922383175313186816")</f>
        <v>922383175313186816</v>
      </c>
      <c r="F341" s="23" t="s">
        <v>33</v>
      </c>
      <c r="G341" s="24">
        <v>946.0</v>
      </c>
      <c r="H341" s="24">
        <v>797.0</v>
      </c>
      <c r="I341" s="24">
        <v>471.0</v>
      </c>
      <c r="J341" s="24">
        <v>0.0</v>
      </c>
      <c r="K341" s="23" t="s">
        <v>34</v>
      </c>
      <c r="L341" s="25">
        <v>40583.306851851856</v>
      </c>
      <c r="M341" s="26" t="s">
        <v>977</v>
      </c>
      <c r="N341" s="26" t="s">
        <v>978</v>
      </c>
      <c r="O341" s="22" t="str">
        <f>HYPERLINK("https://pbs.twimg.com/profile_images/678649100183707648/tJl7eSc8_normal.jpg","View")</f>
        <v>View</v>
      </c>
      <c r="P341" s="27"/>
    </row>
    <row r="342">
      <c r="A342" s="14">
        <v>43031.07246527778</v>
      </c>
      <c r="B342" s="20" t="str">
        <f>HYPERLINK("https://twitter.com/AbbiejAbbieja","@AbbiejAbbieja")</f>
        <v>@AbbiejAbbieja</v>
      </c>
      <c r="C342" s="21" t="s">
        <v>979</v>
      </c>
      <c r="D342" s="21" t="s">
        <v>980</v>
      </c>
      <c r="E342" s="22" t="str">
        <f>HYPERLINK("https://twitter.com/AbbiejAbbieja/status/922383177037082625","922383177037082625")</f>
        <v>922383177037082625</v>
      </c>
      <c r="F342" s="23" t="s">
        <v>187</v>
      </c>
      <c r="G342" s="24">
        <v>1293.0</v>
      </c>
      <c r="H342" s="24">
        <v>1320.0</v>
      </c>
      <c r="I342" s="24">
        <v>0.0</v>
      </c>
      <c r="J342" s="24">
        <v>0.0</v>
      </c>
      <c r="K342" s="23" t="s">
        <v>34</v>
      </c>
      <c r="L342" s="25">
        <v>42803.79164351852</v>
      </c>
      <c r="M342" s="26" t="s">
        <v>920</v>
      </c>
      <c r="N342" s="26" t="s">
        <v>981</v>
      </c>
      <c r="O342" s="22" t="str">
        <f>HYPERLINK("https://pbs.twimg.com/profile_images/860496478065774593/Ti_AHgwa_normal.jpg","View")</f>
        <v>View</v>
      </c>
      <c r="P342" s="27"/>
    </row>
    <row r="343">
      <c r="A343" s="14">
        <v>43031.07251157408</v>
      </c>
      <c r="B343" s="20" t="str">
        <f>HYPERLINK("https://twitter.com/karentas6k","@karentas6k")</f>
        <v>@karentas6k</v>
      </c>
      <c r="C343" s="21" t="s">
        <v>982</v>
      </c>
      <c r="D343" s="21" t="s">
        <v>983</v>
      </c>
      <c r="E343" s="22" t="str">
        <f>HYPERLINK("https://twitter.com/karentas6k/status/922383193826717696","922383193826717696")</f>
        <v>922383193826717696</v>
      </c>
      <c r="F343" s="23" t="s">
        <v>39</v>
      </c>
      <c r="G343" s="24">
        <v>292.0</v>
      </c>
      <c r="H343" s="24">
        <v>1342.0</v>
      </c>
      <c r="I343" s="24">
        <v>1.0</v>
      </c>
      <c r="J343" s="24">
        <v>0.0</v>
      </c>
      <c r="K343" s="23" t="s">
        <v>34</v>
      </c>
      <c r="L343" s="25">
        <v>40977.52678240741</v>
      </c>
      <c r="M343" s="28"/>
      <c r="N343" s="26" t="s">
        <v>984</v>
      </c>
      <c r="O343" s="22" t="str">
        <f>HYPERLINK("https://pbs.twimg.com/profile_images/898380499583811584/f2HPu3wL_normal.jpg","View")</f>
        <v>View</v>
      </c>
      <c r="P343" s="27"/>
    </row>
    <row r="344">
      <c r="A344" s="14">
        <v>43031.07253472222</v>
      </c>
      <c r="B344" s="20" t="str">
        <f>HYPERLINK("https://twitter.com/xavvypls","@xavvypls")</f>
        <v>@xavvypls</v>
      </c>
      <c r="C344" s="21" t="s">
        <v>985</v>
      </c>
      <c r="D344" s="21" t="s">
        <v>986</v>
      </c>
      <c r="E344" s="22" t="str">
        <f>HYPERLINK("https://twitter.com/xavvypls/status/922383203712864257","922383203712864257")</f>
        <v>922383203712864257</v>
      </c>
      <c r="F344" s="23" t="s">
        <v>187</v>
      </c>
      <c r="G344" s="24">
        <v>2703.0</v>
      </c>
      <c r="H344" s="24">
        <v>2991.0</v>
      </c>
      <c r="I344" s="24">
        <v>0.0</v>
      </c>
      <c r="J344" s="24">
        <v>0.0</v>
      </c>
      <c r="K344" s="23" t="s">
        <v>34</v>
      </c>
      <c r="L344" s="25">
        <v>40108.985497685186</v>
      </c>
      <c r="M344" s="26" t="s">
        <v>987</v>
      </c>
      <c r="N344" s="26" t="s">
        <v>988</v>
      </c>
      <c r="O344" s="22" t="str">
        <f>HYPERLINK("https://pbs.twimg.com/profile_images/730121330276892672/QGTLrj5q_normal.jpg","View")</f>
        <v>View</v>
      </c>
      <c r="P344" s="27"/>
    </row>
    <row r="345">
      <c r="A345" s="14">
        <v>43031.072604166664</v>
      </c>
      <c r="B345" s="20" t="str">
        <f>HYPERLINK("https://twitter.com/VishalK20096764","@VishalK20096764")</f>
        <v>@VishalK20096764</v>
      </c>
      <c r="C345" s="21" t="s">
        <v>989</v>
      </c>
      <c r="D345" s="21" t="s">
        <v>42</v>
      </c>
      <c r="E345" s="22" t="str">
        <f>HYPERLINK("https://twitter.com/VishalK20096764/status/922383229700706305","922383229700706305")</f>
        <v>922383229700706305</v>
      </c>
      <c r="F345" s="23" t="s">
        <v>33</v>
      </c>
      <c r="G345" s="24">
        <v>104.0</v>
      </c>
      <c r="H345" s="24">
        <v>4.0</v>
      </c>
      <c r="I345" s="24">
        <v>8501.0</v>
      </c>
      <c r="J345" s="24">
        <v>0.0</v>
      </c>
      <c r="K345" s="23" t="s">
        <v>34</v>
      </c>
      <c r="L345" s="25">
        <v>42900.63673611111</v>
      </c>
      <c r="M345" s="26" t="s">
        <v>990</v>
      </c>
      <c r="N345" s="26" t="s">
        <v>991</v>
      </c>
      <c r="O345" s="22" t="str">
        <f>HYPERLINK("https://abs.twimg.com/sticky/default_profile_images/default_profile_normal.png","View")</f>
        <v>View</v>
      </c>
      <c r="P345" s="27"/>
    </row>
    <row r="346">
      <c r="A346" s="14">
        <v>43031.072650462964</v>
      </c>
      <c r="B346" s="20" t="str">
        <f>HYPERLINK("https://twitter.com/Nagrajsi","@Nagrajsi")</f>
        <v>@Nagrajsi</v>
      </c>
      <c r="C346" s="21" t="s">
        <v>992</v>
      </c>
      <c r="D346" s="21" t="s">
        <v>42</v>
      </c>
      <c r="E346" s="22" t="str">
        <f>HYPERLINK("https://twitter.com/Nagrajsi/status/922383245655674886","922383245655674886")</f>
        <v>922383245655674886</v>
      </c>
      <c r="F346" s="23" t="s">
        <v>33</v>
      </c>
      <c r="G346" s="24">
        <v>7.0</v>
      </c>
      <c r="H346" s="24">
        <v>22.0</v>
      </c>
      <c r="I346" s="24">
        <v>8501.0</v>
      </c>
      <c r="J346" s="24">
        <v>0.0</v>
      </c>
      <c r="K346" s="23" t="s">
        <v>34</v>
      </c>
      <c r="L346" s="25">
        <v>43028.30209490741</v>
      </c>
      <c r="M346" s="26" t="s">
        <v>993</v>
      </c>
      <c r="N346" s="26" t="s">
        <v>994</v>
      </c>
      <c r="O346" s="22" t="str">
        <f>HYPERLINK("https://pbs.twimg.com/profile_images/922077600729612290/ABtG806s_normal.jpg","View")</f>
        <v>View</v>
      </c>
      <c r="P346" s="27"/>
    </row>
    <row r="347">
      <c r="A347" s="14">
        <v>43031.07273148149</v>
      </c>
      <c r="B347" s="20" t="str">
        <f>HYPERLINK("https://twitter.com/JSChauhanBJP","@JSChauhanBJP")</f>
        <v>@JSChauhanBJP</v>
      </c>
      <c r="C347" s="21" t="s">
        <v>995</v>
      </c>
      <c r="D347" s="21" t="s">
        <v>42</v>
      </c>
      <c r="E347" s="22" t="str">
        <f>HYPERLINK("https://twitter.com/JSChauhanBJP/status/922383276261724160","922383276261724160")</f>
        <v>922383276261724160</v>
      </c>
      <c r="F347" s="23" t="s">
        <v>39</v>
      </c>
      <c r="G347" s="24">
        <v>565.0</v>
      </c>
      <c r="H347" s="24">
        <v>4999.0</v>
      </c>
      <c r="I347" s="24">
        <v>8501.0</v>
      </c>
      <c r="J347" s="24">
        <v>0.0</v>
      </c>
      <c r="K347" s="23" t="s">
        <v>34</v>
      </c>
      <c r="L347" s="25">
        <v>42453.00719907407</v>
      </c>
      <c r="M347" s="26" t="s">
        <v>575</v>
      </c>
      <c r="N347" s="26" t="s">
        <v>996</v>
      </c>
      <c r="O347" s="22" t="str">
        <f>HYPERLINK("https://pbs.twimg.com/profile_images/908712798741557248/JXta4L8X_normal.jpg","View")</f>
        <v>View</v>
      </c>
      <c r="P347" s="27"/>
    </row>
    <row r="348">
      <c r="A348" s="14">
        <v>43031.072754629626</v>
      </c>
      <c r="B348" s="20" t="str">
        <f>HYPERLINK("https://twitter.com/karentas6k","@karentas6k")</f>
        <v>@karentas6k</v>
      </c>
      <c r="C348" s="21" t="s">
        <v>982</v>
      </c>
      <c r="D348" s="21" t="s">
        <v>997</v>
      </c>
      <c r="E348" s="22" t="str">
        <f>HYPERLINK("https://twitter.com/karentas6k/status/922383284109066241","922383284109066241")</f>
        <v>922383284109066241</v>
      </c>
      <c r="F348" s="23" t="s">
        <v>39</v>
      </c>
      <c r="G348" s="24">
        <v>292.0</v>
      </c>
      <c r="H348" s="24">
        <v>1342.0</v>
      </c>
      <c r="I348" s="24">
        <v>1.0</v>
      </c>
      <c r="J348" s="24">
        <v>0.0</v>
      </c>
      <c r="K348" s="23" t="s">
        <v>34</v>
      </c>
      <c r="L348" s="25">
        <v>40977.52678240741</v>
      </c>
      <c r="M348" s="28"/>
      <c r="N348" s="26" t="s">
        <v>984</v>
      </c>
      <c r="O348" s="22" t="str">
        <f>HYPERLINK("https://pbs.twimg.com/profile_images/898380499583811584/f2HPu3wL_normal.jpg","View")</f>
        <v>View</v>
      </c>
      <c r="P348" s="27"/>
    </row>
    <row r="349">
      <c r="A349" s="14">
        <v>43031.07278935185</v>
      </c>
      <c r="B349" s="20" t="str">
        <f>HYPERLINK("https://twitter.com/mercury_fx_ltd","@mercury_fx_ltd")</f>
        <v>@mercury_fx_ltd</v>
      </c>
      <c r="C349" s="21" t="s">
        <v>998</v>
      </c>
      <c r="D349" s="21" t="s">
        <v>999</v>
      </c>
      <c r="E349" s="22" t="str">
        <f>HYPERLINK("https://twitter.com/mercury_fx_ltd/status/922383296180473857","922383296180473857")</f>
        <v>922383296180473857</v>
      </c>
      <c r="F349" s="23" t="s">
        <v>427</v>
      </c>
      <c r="G349" s="24">
        <v>118.0</v>
      </c>
      <c r="H349" s="24">
        <v>177.0</v>
      </c>
      <c r="I349" s="24">
        <v>0.0</v>
      </c>
      <c r="J349" s="24">
        <v>0.0</v>
      </c>
      <c r="K349" s="23" t="s">
        <v>34</v>
      </c>
      <c r="L349" s="25">
        <v>42160.10009259259</v>
      </c>
      <c r="M349" s="26" t="s">
        <v>40</v>
      </c>
      <c r="N349" s="26" t="s">
        <v>1000</v>
      </c>
      <c r="O349" s="22" t="str">
        <f>HYPERLINK("https://pbs.twimg.com/profile_images/606759370706329600/zdgZ-wyG_normal.jpg","View")</f>
        <v>View</v>
      </c>
      <c r="P349" s="27"/>
    </row>
    <row r="350">
      <c r="A350" s="14">
        <v>43031.07287037037</v>
      </c>
      <c r="B350" s="20" t="str">
        <f>HYPERLINK("https://twitter.com/hallymam","@hallymam")</f>
        <v>@hallymam</v>
      </c>
      <c r="C350" s="21" t="s">
        <v>1001</v>
      </c>
      <c r="D350" s="21" t="s">
        <v>42</v>
      </c>
      <c r="E350" s="22" t="str">
        <f>HYPERLINK("https://twitter.com/hallymam/status/922383326488309761","922383326488309761")</f>
        <v>922383326488309761</v>
      </c>
      <c r="F350" s="23" t="s">
        <v>55</v>
      </c>
      <c r="G350" s="24">
        <v>3105.0</v>
      </c>
      <c r="H350" s="24">
        <v>3066.0</v>
      </c>
      <c r="I350" s="24">
        <v>8501.0</v>
      </c>
      <c r="J350" s="24">
        <v>0.0</v>
      </c>
      <c r="K350" s="23" t="s">
        <v>34</v>
      </c>
      <c r="L350" s="25">
        <v>41192.89454861111</v>
      </c>
      <c r="M350" s="28"/>
      <c r="N350" s="26" t="s">
        <v>1002</v>
      </c>
      <c r="O350" s="22" t="str">
        <f>HYPERLINK("https://pbs.twimg.com/profile_images/914162274973057024/FrTnGoWj_normal.jpg","View")</f>
        <v>View</v>
      </c>
      <c r="P350" s="27"/>
    </row>
    <row r="351">
      <c r="A351" s="14">
        <v>43031.07289351852</v>
      </c>
      <c r="B351" s="20" t="str">
        <f>HYPERLINK("https://twitter.com/hassanfahad888","@hassanfahad888")</f>
        <v>@hassanfahad888</v>
      </c>
      <c r="C351" s="21" t="s">
        <v>1003</v>
      </c>
      <c r="D351" s="21" t="s">
        <v>1004</v>
      </c>
      <c r="E351" s="22" t="str">
        <f>HYPERLINK("https://twitter.com/hassanfahad888/status/922383335468552192","922383335468552192")</f>
        <v>922383335468552192</v>
      </c>
      <c r="F351" s="23" t="s">
        <v>33</v>
      </c>
      <c r="G351" s="24">
        <v>46.0</v>
      </c>
      <c r="H351" s="24">
        <v>128.0</v>
      </c>
      <c r="I351" s="24">
        <v>0.0</v>
      </c>
      <c r="J351" s="24">
        <v>0.0</v>
      </c>
      <c r="K351" s="23" t="s">
        <v>34</v>
      </c>
      <c r="L351" s="25">
        <v>41322.00701388889</v>
      </c>
      <c r="M351" s="26" t="s">
        <v>1005</v>
      </c>
      <c r="N351" s="26" t="s">
        <v>1006</v>
      </c>
      <c r="O351" s="22" t="str">
        <f>HYPERLINK("https://pbs.twimg.com/profile_images/884333819909767168/gnHmvL96_normal.jpg","View")</f>
        <v>View</v>
      </c>
      <c r="P351" s="27"/>
    </row>
    <row r="352">
      <c r="A352" s="14">
        <v>43031.07297453703</v>
      </c>
      <c r="B352" s="20" t="str">
        <f>HYPERLINK("https://twitter.com/newslivenetwork","@newslivenetwork")</f>
        <v>@newslivenetwork</v>
      </c>
      <c r="C352" s="21" t="s">
        <v>89</v>
      </c>
      <c r="D352" s="21" t="s">
        <v>1007</v>
      </c>
      <c r="E352" s="22" t="str">
        <f>HYPERLINK("https://twitter.com/newslivenetwork/status/922383362920255488","922383362920255488")</f>
        <v>922383362920255488</v>
      </c>
      <c r="F352" s="23" t="s">
        <v>91</v>
      </c>
      <c r="G352" s="24">
        <v>271.0</v>
      </c>
      <c r="H352" s="24">
        <v>87.0</v>
      </c>
      <c r="I352" s="24">
        <v>0.0</v>
      </c>
      <c r="J352" s="24">
        <v>0.0</v>
      </c>
      <c r="K352" s="23" t="s">
        <v>34</v>
      </c>
      <c r="L352" s="25">
        <v>42741.47196759259</v>
      </c>
      <c r="M352" s="26" t="s">
        <v>92</v>
      </c>
      <c r="N352" s="26" t="s">
        <v>93</v>
      </c>
      <c r="O352" s="22" t="str">
        <f>HYPERLINK("https://pbs.twimg.com/profile_images/877414144424660992/scfhocj3_normal.jpg","View")</f>
        <v>View</v>
      </c>
      <c r="P352" s="27"/>
    </row>
    <row r="353">
      <c r="A353" s="14">
        <v>43031.07297453703</v>
      </c>
      <c r="B353" s="20" t="str">
        <f>HYPERLINK("https://twitter.com/kalaimagal_mag","@kalaimagal_mag")</f>
        <v>@kalaimagal_mag</v>
      </c>
      <c r="C353" s="21" t="s">
        <v>1008</v>
      </c>
      <c r="D353" s="21" t="s">
        <v>42</v>
      </c>
      <c r="E353" s="22" t="str">
        <f>HYPERLINK("https://twitter.com/kalaimagal_mag/status/922383363771580416","922383363771580416")</f>
        <v>922383363771580416</v>
      </c>
      <c r="F353" s="23" t="s">
        <v>33</v>
      </c>
      <c r="G353" s="24">
        <v>1.0</v>
      </c>
      <c r="H353" s="24">
        <v>31.0</v>
      </c>
      <c r="I353" s="24">
        <v>8501.0</v>
      </c>
      <c r="J353" s="24">
        <v>0.0</v>
      </c>
      <c r="K353" s="23" t="s">
        <v>34</v>
      </c>
      <c r="L353" s="25">
        <v>42847.30819444444</v>
      </c>
      <c r="M353" s="26" t="s">
        <v>1009</v>
      </c>
      <c r="N353" s="26" t="s">
        <v>1010</v>
      </c>
      <c r="O353" s="22" t="str">
        <f>HYPERLINK("https://pbs.twimg.com/profile_images/908250601355583489/5lDIAKHX_normal.jpg","View")</f>
        <v>View</v>
      </c>
      <c r="P353" s="27"/>
    </row>
    <row r="354">
      <c r="A354" s="14">
        <v>43031.07299768519</v>
      </c>
      <c r="B354" s="20" t="str">
        <f>HYPERLINK("https://twitter.com/newslivenetwork","@newslivenetwork")</f>
        <v>@newslivenetwork</v>
      </c>
      <c r="C354" s="21" t="s">
        <v>89</v>
      </c>
      <c r="D354" s="21" t="s">
        <v>1011</v>
      </c>
      <c r="E354" s="22" t="str">
        <f>HYPERLINK("https://twitter.com/newslivenetwork/status/922383371040370689","922383371040370689")</f>
        <v>922383371040370689</v>
      </c>
      <c r="F354" s="23" t="s">
        <v>91</v>
      </c>
      <c r="G354" s="24">
        <v>271.0</v>
      </c>
      <c r="H354" s="24">
        <v>87.0</v>
      </c>
      <c r="I354" s="24">
        <v>0.0</v>
      </c>
      <c r="J354" s="24">
        <v>0.0</v>
      </c>
      <c r="K354" s="23" t="s">
        <v>34</v>
      </c>
      <c r="L354" s="25">
        <v>42741.47196759259</v>
      </c>
      <c r="M354" s="26" t="s">
        <v>92</v>
      </c>
      <c r="N354" s="26" t="s">
        <v>93</v>
      </c>
      <c r="O354" s="22" t="str">
        <f>HYPERLINK("https://pbs.twimg.com/profile_images/877414144424660992/scfhocj3_normal.jpg","View")</f>
        <v>View</v>
      </c>
      <c r="P354" s="27"/>
    </row>
    <row r="355">
      <c r="A355" s="14">
        <v>43031.07299768519</v>
      </c>
      <c r="B355" s="20" t="str">
        <f>HYPERLINK("https://twitter.com/notiven","@notiven")</f>
        <v>@notiven</v>
      </c>
      <c r="C355" s="21" t="s">
        <v>1012</v>
      </c>
      <c r="D355" s="21" t="s">
        <v>1013</v>
      </c>
      <c r="E355" s="22" t="str">
        <f>HYPERLINK("https://twitter.com/notiven/status/922383371057156098","922383371057156098")</f>
        <v>922383371057156098</v>
      </c>
      <c r="F355" s="23" t="s">
        <v>1014</v>
      </c>
      <c r="G355" s="24">
        <v>51324.0</v>
      </c>
      <c r="H355" s="24">
        <v>194.0</v>
      </c>
      <c r="I355" s="24">
        <v>0.0</v>
      </c>
      <c r="J355" s="24">
        <v>0.0</v>
      </c>
      <c r="K355" s="23" t="s">
        <v>34</v>
      </c>
      <c r="L355" s="25">
        <v>39235.5805787037</v>
      </c>
      <c r="M355" s="26" t="s">
        <v>1015</v>
      </c>
      <c r="N355" s="26" t="s">
        <v>1016</v>
      </c>
      <c r="O355" s="22" t="str">
        <f>HYPERLINK("https://pbs.twimg.com/profile_images/799317731648606208/vbXQCdts_normal.jpg","View")</f>
        <v>View</v>
      </c>
      <c r="P355" s="27"/>
    </row>
    <row r="356">
      <c r="A356" s="14">
        <v>43031.07305555556</v>
      </c>
      <c r="B356" s="20" t="str">
        <f>HYPERLINK("https://twitter.com/nareshkudaram","@nareshkudaram")</f>
        <v>@nareshkudaram</v>
      </c>
      <c r="C356" s="21" t="s">
        <v>1017</v>
      </c>
      <c r="D356" s="21" t="s">
        <v>42</v>
      </c>
      <c r="E356" s="22" t="str">
        <f>HYPERLINK("https://twitter.com/nareshkudaram/status/922383393899335680","922383393899335680")</f>
        <v>922383393899335680</v>
      </c>
      <c r="F356" s="23" t="s">
        <v>33</v>
      </c>
      <c r="G356" s="24">
        <v>2.0</v>
      </c>
      <c r="H356" s="24">
        <v>82.0</v>
      </c>
      <c r="I356" s="24">
        <v>8501.0</v>
      </c>
      <c r="J356" s="24">
        <v>0.0</v>
      </c>
      <c r="K356" s="23" t="s">
        <v>34</v>
      </c>
      <c r="L356" s="25">
        <v>43014.98694444445</v>
      </c>
      <c r="M356" s="28"/>
      <c r="N356" s="28"/>
      <c r="O356" s="22" t="str">
        <f>HYPERLINK("https://abs.twimg.com/sticky/default_profile_images/default_profile_normal.png","View")</f>
        <v>View</v>
      </c>
      <c r="P356" s="27"/>
    </row>
    <row r="357">
      <c r="A357" s="14">
        <v>43031.07306712963</v>
      </c>
      <c r="B357" s="20" t="str">
        <f>HYPERLINK("https://twitter.com/Tulsa_News_","@Tulsa_News_")</f>
        <v>@Tulsa_News_</v>
      </c>
      <c r="C357" s="21" t="s">
        <v>1018</v>
      </c>
      <c r="D357" s="21" t="s">
        <v>1019</v>
      </c>
      <c r="E357" s="22" t="str">
        <f>HYPERLINK("https://twitter.com/Tulsa_News_/status/922383397552521219","922383397552521219")</f>
        <v>922383397552521219</v>
      </c>
      <c r="F357" s="23" t="s">
        <v>1020</v>
      </c>
      <c r="G357" s="24">
        <v>320.0</v>
      </c>
      <c r="H357" s="24">
        <v>426.0</v>
      </c>
      <c r="I357" s="24">
        <v>0.0</v>
      </c>
      <c r="J357" s="24">
        <v>0.0</v>
      </c>
      <c r="K357" s="23" t="s">
        <v>34</v>
      </c>
      <c r="L357" s="25">
        <v>41977.11850694445</v>
      </c>
      <c r="M357" s="28"/>
      <c r="N357" s="26" t="s">
        <v>1021</v>
      </c>
      <c r="O357" s="22" t="str">
        <f>HYPERLINK("https://pbs.twimg.com/profile_images/540458386517929984/XxNaezsL_normal.png","View")</f>
        <v>View</v>
      </c>
      <c r="P357" s="27"/>
    </row>
    <row r="358">
      <c r="A358" s="14">
        <v>43031.073101851856</v>
      </c>
      <c r="B358" s="20" t="str">
        <f>HYPERLINK("https://twitter.com/blue_democrats","@blue_democrats")</f>
        <v>@blue_democrats</v>
      </c>
      <c r="C358" s="21" t="s">
        <v>1022</v>
      </c>
      <c r="D358" s="21" t="s">
        <v>1023</v>
      </c>
      <c r="E358" s="22" t="str">
        <f>HYPERLINK("https://twitter.com/blue_democrats/status/922383409313300480","922383409313300480")</f>
        <v>922383409313300480</v>
      </c>
      <c r="F358" s="23" t="s">
        <v>55</v>
      </c>
      <c r="G358" s="24">
        <v>2401.0</v>
      </c>
      <c r="H358" s="24">
        <v>5000.0</v>
      </c>
      <c r="I358" s="24">
        <v>0.0</v>
      </c>
      <c r="J358" s="24">
        <v>2.0</v>
      </c>
      <c r="K358" s="23" t="s">
        <v>34</v>
      </c>
      <c r="L358" s="25">
        <v>42671.30502314815</v>
      </c>
      <c r="M358" s="26" t="s">
        <v>1024</v>
      </c>
      <c r="N358" s="26" t="s">
        <v>1025</v>
      </c>
      <c r="O358" s="22" t="str">
        <f>HYPERLINK("https://pbs.twimg.com/profile_images/922184790056378369/Om6TE_9P_normal.png","View")</f>
        <v>View</v>
      </c>
      <c r="P358" s="27"/>
    </row>
    <row r="359">
      <c r="A359" s="14">
        <v>43031.07315972222</v>
      </c>
      <c r="B359" s="20" t="str">
        <f>HYPERLINK("https://twitter.com/BuzzNation2010","@BuzzNation2010")</f>
        <v>@BuzzNation2010</v>
      </c>
      <c r="C359" s="21" t="s">
        <v>1026</v>
      </c>
      <c r="D359" s="21" t="s">
        <v>1027</v>
      </c>
      <c r="E359" s="22" t="str">
        <f>HYPERLINK("https://twitter.com/BuzzNation2010/status/922383431757172736","922383431757172736")</f>
        <v>922383431757172736</v>
      </c>
      <c r="F359" s="23" t="s">
        <v>427</v>
      </c>
      <c r="G359" s="24">
        <v>1418.0</v>
      </c>
      <c r="H359" s="24">
        <v>1010.0</v>
      </c>
      <c r="I359" s="24">
        <v>0.0</v>
      </c>
      <c r="J359" s="24">
        <v>0.0</v>
      </c>
      <c r="K359" s="23" t="s">
        <v>34</v>
      </c>
      <c r="L359" s="25">
        <v>40348.41792824074</v>
      </c>
      <c r="M359" s="26" t="s">
        <v>1028</v>
      </c>
      <c r="N359" s="26" t="s">
        <v>1029</v>
      </c>
      <c r="O359" s="22" t="str">
        <f>HYPERLINK("https://pbs.twimg.com/profile_images/1668747785/2011-12-02_0040irman_normal.png","View")</f>
        <v>View</v>
      </c>
      <c r="P359" s="27"/>
    </row>
    <row r="360">
      <c r="A360" s="14">
        <v>43031.073171296295</v>
      </c>
      <c r="B360" s="20" t="str">
        <f>HYPERLINK("https://twitter.com/esken_h","@esken_h")</f>
        <v>@esken_h</v>
      </c>
      <c r="C360" s="21" t="s">
        <v>1030</v>
      </c>
      <c r="D360" s="21" t="s">
        <v>760</v>
      </c>
      <c r="E360" s="22" t="str">
        <f>HYPERLINK("https://twitter.com/esken_h/status/922383435762716673","922383435762716673")</f>
        <v>922383435762716673</v>
      </c>
      <c r="F360" s="23" t="s">
        <v>55</v>
      </c>
      <c r="G360" s="24">
        <v>2125.0</v>
      </c>
      <c r="H360" s="24">
        <v>232.0</v>
      </c>
      <c r="I360" s="24">
        <v>62.0</v>
      </c>
      <c r="J360" s="24">
        <v>0.0</v>
      </c>
      <c r="K360" s="23" t="s">
        <v>34</v>
      </c>
      <c r="L360" s="25">
        <v>40778.52373842592</v>
      </c>
      <c r="M360" s="26" t="s">
        <v>1031</v>
      </c>
      <c r="N360" s="26" t="s">
        <v>1032</v>
      </c>
      <c r="O360" s="22" t="str">
        <f>HYPERLINK("https://pbs.twimg.com/profile_images/758122455701549057/Vyx-4F2w_normal.jpg","View")</f>
        <v>View</v>
      </c>
      <c r="P360" s="27"/>
    </row>
    <row r="361">
      <c r="A361" s="14">
        <v>43031.07318287037</v>
      </c>
      <c r="B361" s="20" t="str">
        <f>HYPERLINK("https://twitter.com/ZyiteGadgets","@ZyiteGadgets")</f>
        <v>@ZyiteGadgets</v>
      </c>
      <c r="C361" s="21" t="s">
        <v>1033</v>
      </c>
      <c r="D361" s="21" t="s">
        <v>1034</v>
      </c>
      <c r="E361" s="22" t="str">
        <f>HYPERLINK("https://twitter.com/ZyiteGadgets/status/922383437452980226","922383437452980226")</f>
        <v>922383437452980226</v>
      </c>
      <c r="F361" s="23" t="s">
        <v>427</v>
      </c>
      <c r="G361" s="24">
        <v>3531.0</v>
      </c>
      <c r="H361" s="24">
        <v>4846.0</v>
      </c>
      <c r="I361" s="24">
        <v>0.0</v>
      </c>
      <c r="J361" s="24">
        <v>0.0</v>
      </c>
      <c r="K361" s="23" t="s">
        <v>34</v>
      </c>
      <c r="L361" s="25">
        <v>41470.61478009259</v>
      </c>
      <c r="M361" s="35" t="s">
        <v>1035</v>
      </c>
      <c r="N361" s="26" t="s">
        <v>1036</v>
      </c>
      <c r="O361" s="22" t="str">
        <f>HYPERLINK("https://pbs.twimg.com/profile_images/487701633489313793/pIxJHFt5_normal.jpeg","View")</f>
        <v>View</v>
      </c>
      <c r="P361" s="27"/>
    </row>
    <row r="362">
      <c r="A362" s="14">
        <v>43031.07319444444</v>
      </c>
      <c r="B362" s="20" t="str">
        <f>HYPERLINK("https://twitter.com/Mattison_MA","@Mattison_MA")</f>
        <v>@Mattison_MA</v>
      </c>
      <c r="C362" s="21" t="s">
        <v>1037</v>
      </c>
      <c r="D362" s="21" t="s">
        <v>513</v>
      </c>
      <c r="E362" s="22" t="str">
        <f>HYPERLINK("https://twitter.com/Mattison_MA/status/922383443689967618","922383443689967618")</f>
        <v>922383443689967618</v>
      </c>
      <c r="F362" s="23" t="s">
        <v>39</v>
      </c>
      <c r="G362" s="24">
        <v>339.0</v>
      </c>
      <c r="H362" s="24">
        <v>2757.0</v>
      </c>
      <c r="I362" s="24">
        <v>101.0</v>
      </c>
      <c r="J362" s="24">
        <v>0.0</v>
      </c>
      <c r="K362" s="23" t="s">
        <v>34</v>
      </c>
      <c r="L362" s="25">
        <v>42542.99271990741</v>
      </c>
      <c r="M362" s="26" t="s">
        <v>1038</v>
      </c>
      <c r="N362" s="28"/>
      <c r="O362" s="22" t="str">
        <f>HYPERLINK("https://pbs.twimg.com/profile_images/745520816025014272/cA944Q8H_normal.jpg","View")</f>
        <v>View</v>
      </c>
      <c r="P362" s="27"/>
    </row>
    <row r="363">
      <c r="A363" s="14">
        <v>43031.073217592595</v>
      </c>
      <c r="B363" s="20" t="str">
        <f>HYPERLINK("https://twitter.com/Social_Media_b5","@Social_Media_b5")</f>
        <v>@Social_Media_b5</v>
      </c>
      <c r="C363" s="21" t="s">
        <v>1039</v>
      </c>
      <c r="D363" s="21" t="s">
        <v>1040</v>
      </c>
      <c r="E363" s="22" t="str">
        <f>HYPERLINK("https://twitter.com/Social_Media_b5/status/922383451738857472","922383451738857472")</f>
        <v>922383451738857472</v>
      </c>
      <c r="F363" s="23" t="s">
        <v>427</v>
      </c>
      <c r="G363" s="24">
        <v>16696.0</v>
      </c>
      <c r="H363" s="24">
        <v>16658.0</v>
      </c>
      <c r="I363" s="24">
        <v>0.0</v>
      </c>
      <c r="J363" s="24">
        <v>0.0</v>
      </c>
      <c r="K363" s="23" t="s">
        <v>34</v>
      </c>
      <c r="L363" s="25">
        <v>42347.94079861111</v>
      </c>
      <c r="M363" s="28"/>
      <c r="N363" s="26" t="s">
        <v>1041</v>
      </c>
      <c r="O363" s="22" t="str">
        <f>HYPERLINK("https://pbs.twimg.com/profile_images/858238301408329729/3opANdRx_normal.jpg","View")</f>
        <v>View</v>
      </c>
      <c r="P363" s="27"/>
    </row>
    <row r="364">
      <c r="A364" s="14">
        <v>43031.073229166665</v>
      </c>
      <c r="B364" s="20" t="str">
        <f>HYPERLINK("https://twitter.com/DINESHS70695076","@DINESHS70695076")</f>
        <v>@DINESHS70695076</v>
      </c>
      <c r="C364" s="21" t="s">
        <v>1042</v>
      </c>
      <c r="D364" s="21" t="s">
        <v>42</v>
      </c>
      <c r="E364" s="22" t="str">
        <f>HYPERLINK("https://twitter.com/DINESHS70695076/status/922383457350586368","922383457350586368")</f>
        <v>922383457350586368</v>
      </c>
      <c r="F364" s="23" t="s">
        <v>33</v>
      </c>
      <c r="G364" s="24">
        <v>7.0</v>
      </c>
      <c r="H364" s="24">
        <v>107.0</v>
      </c>
      <c r="I364" s="24">
        <v>8501.0</v>
      </c>
      <c r="J364" s="24">
        <v>0.0</v>
      </c>
      <c r="K364" s="23" t="s">
        <v>34</v>
      </c>
      <c r="L364" s="25">
        <v>42985.350543981476</v>
      </c>
      <c r="M364" s="28"/>
      <c r="N364" s="28"/>
      <c r="O364" s="22" t="str">
        <f>HYPERLINK("https://abs.twimg.com/sticky/default_profile_images/default_profile_normal.png","View")</f>
        <v>View</v>
      </c>
      <c r="P364" s="27"/>
    </row>
    <row r="365">
      <c r="A365" s="14">
        <v>43031.07328703704</v>
      </c>
      <c r="B365" s="20" t="str">
        <f>HYPERLINK("https://twitter.com/cforce4success","@cforce4success")</f>
        <v>@cforce4success</v>
      </c>
      <c r="C365" s="21" t="s">
        <v>1043</v>
      </c>
      <c r="D365" s="21" t="s">
        <v>760</v>
      </c>
      <c r="E365" s="22" t="str">
        <f>HYPERLINK("https://twitter.com/cforce4success/status/922383475046539265","922383475046539265")</f>
        <v>922383475046539265</v>
      </c>
      <c r="F365" s="23" t="s">
        <v>33</v>
      </c>
      <c r="G365" s="24">
        <v>408.0</v>
      </c>
      <c r="H365" s="24">
        <v>1804.0</v>
      </c>
      <c r="I365" s="24">
        <v>62.0</v>
      </c>
      <c r="J365" s="24">
        <v>0.0</v>
      </c>
      <c r="K365" s="23" t="s">
        <v>34</v>
      </c>
      <c r="L365" s="25">
        <v>39916.929074074076</v>
      </c>
      <c r="M365" s="26" t="s">
        <v>905</v>
      </c>
      <c r="N365" s="28"/>
      <c r="O365" s="22" t="str">
        <f>HYPERLINK("https://pbs.twimg.com/profile_images/633974529237323776/PHNktHoD_normal.jpg","View")</f>
        <v>View</v>
      </c>
      <c r="P365" s="27"/>
    </row>
    <row r="366">
      <c r="A366" s="14">
        <v>43031.073321759264</v>
      </c>
      <c r="B366" s="20" t="str">
        <f>HYPERLINK("https://twitter.com/EvansAlisonS","@EvansAlisonS")</f>
        <v>@EvansAlisonS</v>
      </c>
      <c r="C366" s="21" t="s">
        <v>1044</v>
      </c>
      <c r="D366" s="21" t="s">
        <v>1045</v>
      </c>
      <c r="E366" s="22" t="str">
        <f>HYPERLINK("https://twitter.com/EvansAlisonS/status/922383490783555584","922383490783555584")</f>
        <v>922383490783555584</v>
      </c>
      <c r="F366" s="23" t="s">
        <v>55</v>
      </c>
      <c r="G366" s="24">
        <v>495.0</v>
      </c>
      <c r="H366" s="24">
        <v>217.0</v>
      </c>
      <c r="I366" s="24">
        <v>5.0</v>
      </c>
      <c r="J366" s="24">
        <v>0.0</v>
      </c>
      <c r="K366" s="23" t="s">
        <v>34</v>
      </c>
      <c r="L366" s="25">
        <v>41814.203298611115</v>
      </c>
      <c r="M366" s="26" t="s">
        <v>1046</v>
      </c>
      <c r="N366" s="26" t="s">
        <v>1047</v>
      </c>
      <c r="O366" s="22" t="str">
        <f>HYPERLINK("https://pbs.twimg.com/profile_images/557132915474051072/TW90Weey_normal.jpeg","View")</f>
        <v>View</v>
      </c>
      <c r="P366" s="27"/>
    </row>
    <row r="367">
      <c r="A367" s="14">
        <v>43031.07335648148</v>
      </c>
      <c r="B367" s="20" t="str">
        <f>HYPERLINK("https://twitter.com/Bijunair19Nair","@Bijunair19Nair")</f>
        <v>@Bijunair19Nair</v>
      </c>
      <c r="C367" s="21" t="s">
        <v>1048</v>
      </c>
      <c r="D367" s="21" t="s">
        <v>42</v>
      </c>
      <c r="E367" s="22" t="str">
        <f>HYPERLINK("https://twitter.com/Bijunair19Nair/status/922383499536896002","922383499536896002")</f>
        <v>922383499536896002</v>
      </c>
      <c r="F367" s="23" t="s">
        <v>86</v>
      </c>
      <c r="G367" s="24">
        <v>7.0</v>
      </c>
      <c r="H367" s="24">
        <v>28.0</v>
      </c>
      <c r="I367" s="24">
        <v>8501.0</v>
      </c>
      <c r="J367" s="24">
        <v>0.0</v>
      </c>
      <c r="K367" s="23" t="s">
        <v>34</v>
      </c>
      <c r="L367" s="25">
        <v>41116.84315972222</v>
      </c>
      <c r="M367" s="28"/>
      <c r="N367" s="28"/>
      <c r="O367" s="22" t="str">
        <f>HYPERLINK("https://pbs.twimg.com/profile_images/893896248117219328/j8kDih4M_normal.jpg","View")</f>
        <v>View</v>
      </c>
      <c r="P367" s="27"/>
    </row>
    <row r="368">
      <c r="A368" s="14">
        <v>43031.07335648148</v>
      </c>
      <c r="B368" s="20" t="str">
        <f>HYPERLINK("https://twitter.com/LloydZiel","@LloydZiel")</f>
        <v>@LloydZiel</v>
      </c>
      <c r="C368" s="21" t="s">
        <v>1049</v>
      </c>
      <c r="D368" s="21" t="s">
        <v>1050</v>
      </c>
      <c r="E368" s="22" t="str">
        <f>HYPERLINK("https://twitter.com/LloydZiel/status/922383501831426048","922383501831426048")</f>
        <v>922383501831426048</v>
      </c>
      <c r="F368" s="23" t="s">
        <v>187</v>
      </c>
      <c r="G368" s="24">
        <v>757.0</v>
      </c>
      <c r="H368" s="24">
        <v>843.0</v>
      </c>
      <c r="I368" s="24">
        <v>0.0</v>
      </c>
      <c r="J368" s="24">
        <v>0.0</v>
      </c>
      <c r="K368" s="23" t="s">
        <v>34</v>
      </c>
      <c r="L368" s="25">
        <v>40816.290509259255</v>
      </c>
      <c r="M368" s="26" t="s">
        <v>435</v>
      </c>
      <c r="N368" s="26" t="s">
        <v>1051</v>
      </c>
      <c r="O368" s="22" t="str">
        <f>HYPERLINK("https://pbs.twimg.com/profile_images/378800000163294226/f9483ee13c6a6f32086253635d758cc6_normal.jpeg","View")</f>
        <v>View</v>
      </c>
      <c r="P368" s="27"/>
    </row>
    <row r="369">
      <c r="A369" s="14">
        <v>43031.07336805556</v>
      </c>
      <c r="B369" s="20" t="str">
        <f>HYPERLINK("https://twitter.com/HFukada","@HFukada")</f>
        <v>@HFukada</v>
      </c>
      <c r="C369" s="21" t="s">
        <v>1052</v>
      </c>
      <c r="D369" s="21" t="s">
        <v>82</v>
      </c>
      <c r="E369" s="22" t="str">
        <f>HYPERLINK("https://twitter.com/HFukada/status/922383504104501248","922383504104501248")</f>
        <v>922383504104501248</v>
      </c>
      <c r="F369" s="23" t="s">
        <v>43</v>
      </c>
      <c r="G369" s="24">
        <v>493.0</v>
      </c>
      <c r="H369" s="24">
        <v>1223.0</v>
      </c>
      <c r="I369" s="24">
        <v>38.0</v>
      </c>
      <c r="J369" s="24">
        <v>0.0</v>
      </c>
      <c r="K369" s="23" t="s">
        <v>34</v>
      </c>
      <c r="L369" s="25">
        <v>41116.194699074076</v>
      </c>
      <c r="M369" s="28"/>
      <c r="N369" s="28"/>
      <c r="O369" s="22" t="str">
        <f>HYPERLINK("https://pbs.twimg.com/profile_images/2784319513/72b1b03646b308a94e299fad43829451_normal.jpeg","View")</f>
        <v>View</v>
      </c>
      <c r="P369" s="27"/>
    </row>
    <row r="370">
      <c r="A370" s="14">
        <v>43031.07336805556</v>
      </c>
      <c r="B370" s="20" t="str">
        <f>HYPERLINK("https://twitter.com/Beduac","@Beduac")</f>
        <v>@Beduac</v>
      </c>
      <c r="C370" s="21" t="s">
        <v>1053</v>
      </c>
      <c r="D370" s="21" t="s">
        <v>1054</v>
      </c>
      <c r="E370" s="22" t="str">
        <f>HYPERLINK("https://twitter.com/Beduac/status/922383505836904449","922383505836904449")</f>
        <v>922383505836904449</v>
      </c>
      <c r="F370" s="23" t="s">
        <v>427</v>
      </c>
      <c r="G370" s="24">
        <v>1972.0</v>
      </c>
      <c r="H370" s="24">
        <v>988.0</v>
      </c>
      <c r="I370" s="24">
        <v>0.0</v>
      </c>
      <c r="J370" s="24">
        <v>0.0</v>
      </c>
      <c r="K370" s="23" t="s">
        <v>34</v>
      </c>
      <c r="L370" s="25">
        <v>39666.29788194445</v>
      </c>
      <c r="M370" s="28"/>
      <c r="N370" s="28"/>
      <c r="O370" s="22" t="str">
        <f>HYPERLINK("https://pbs.twimg.com/profile_images/220645146/P-01_normal.jpg","View")</f>
        <v>View</v>
      </c>
      <c r="P370" s="27"/>
    </row>
    <row r="371">
      <c r="A371" s="14">
        <v>43031.07341435185</v>
      </c>
      <c r="B371" s="20" t="str">
        <f>HYPERLINK("https://twitter.com/sume_et","@sume_et")</f>
        <v>@sume_et</v>
      </c>
      <c r="C371" s="21" t="s">
        <v>1055</v>
      </c>
      <c r="D371" s="21" t="s">
        <v>42</v>
      </c>
      <c r="E371" s="22" t="str">
        <f>HYPERLINK("https://twitter.com/sume_et/status/922383520953016320","922383520953016320")</f>
        <v>922383520953016320</v>
      </c>
      <c r="F371" s="23" t="s">
        <v>33</v>
      </c>
      <c r="G371" s="24">
        <v>1481.0</v>
      </c>
      <c r="H371" s="24">
        <v>3652.0</v>
      </c>
      <c r="I371" s="24">
        <v>8501.0</v>
      </c>
      <c r="J371" s="24">
        <v>0.0</v>
      </c>
      <c r="K371" s="23" t="s">
        <v>34</v>
      </c>
      <c r="L371" s="25">
        <v>40124.18792824074</v>
      </c>
      <c r="M371" s="26" t="s">
        <v>1056</v>
      </c>
      <c r="N371" s="26" t="s">
        <v>1057</v>
      </c>
      <c r="O371" s="22" t="str">
        <f>HYPERLINK("https://pbs.twimg.com/profile_images/921068961696923648/wStsIXLx_normal.jpg","View")</f>
        <v>View</v>
      </c>
      <c r="P371" s="27"/>
    </row>
    <row r="372">
      <c r="A372" s="14">
        <v>43031.07344907407</v>
      </c>
      <c r="B372" s="20" t="str">
        <f>HYPERLINK("https://twitter.com/Chiragsevak6","@Chiragsevak6")</f>
        <v>@Chiragsevak6</v>
      </c>
      <c r="C372" s="21" t="s">
        <v>1058</v>
      </c>
      <c r="D372" s="21" t="s">
        <v>42</v>
      </c>
      <c r="E372" s="22" t="str">
        <f>HYPERLINK("https://twitter.com/Chiragsevak6/status/922383537252155392","922383537252155392")</f>
        <v>922383537252155392</v>
      </c>
      <c r="F372" s="23" t="s">
        <v>33</v>
      </c>
      <c r="G372" s="24">
        <v>745.0</v>
      </c>
      <c r="H372" s="24">
        <v>2948.0</v>
      </c>
      <c r="I372" s="24">
        <v>8501.0</v>
      </c>
      <c r="J372" s="24">
        <v>0.0</v>
      </c>
      <c r="K372" s="23" t="s">
        <v>34</v>
      </c>
      <c r="L372" s="25">
        <v>42910.36634259259</v>
      </c>
      <c r="M372" s="26" t="s">
        <v>1059</v>
      </c>
      <c r="N372" s="26" t="s">
        <v>1060</v>
      </c>
      <c r="O372" s="22" t="str">
        <f>HYPERLINK("https://pbs.twimg.com/profile_images/898634379454332929/keGdWIA-_normal.jpg","View")</f>
        <v>View</v>
      </c>
      <c r="P372" s="27"/>
    </row>
    <row r="373">
      <c r="A373" s="14">
        <v>43031.073483796295</v>
      </c>
      <c r="B373" s="20" t="str">
        <f>HYPERLINK("https://twitter.com/MarthaKarua","@MarthaKarua")</f>
        <v>@MarthaKarua</v>
      </c>
      <c r="C373" s="21" t="s">
        <v>1061</v>
      </c>
      <c r="D373" s="21" t="s">
        <v>836</v>
      </c>
      <c r="E373" s="22" t="str">
        <f>HYPERLINK("https://twitter.com/MarthaKarua/status/922383549252231168","922383549252231168")</f>
        <v>922383549252231168</v>
      </c>
      <c r="F373" s="23" t="s">
        <v>230</v>
      </c>
      <c r="G373" s="24">
        <v>677916.0</v>
      </c>
      <c r="H373" s="24">
        <v>256.0</v>
      </c>
      <c r="I373" s="24">
        <v>7.0</v>
      </c>
      <c r="J373" s="24">
        <v>0.0</v>
      </c>
      <c r="K373" s="23" t="s">
        <v>34</v>
      </c>
      <c r="L373" s="25">
        <v>40241.75494212963</v>
      </c>
      <c r="M373" s="26" t="s">
        <v>843</v>
      </c>
      <c r="N373" s="26" t="s">
        <v>1062</v>
      </c>
      <c r="O373" s="22" t="str">
        <f>HYPERLINK("https://pbs.twimg.com/profile_images/870387144677883904/czUtEKl5_normal.jpg","View")</f>
        <v>View</v>
      </c>
      <c r="P373" s="27"/>
    </row>
    <row r="374">
      <c r="A374" s="14">
        <v>43031.073495370365</v>
      </c>
      <c r="B374" s="20" t="str">
        <f>HYPERLINK("https://twitter.com/peterkipchir","@peterkipchir")</f>
        <v>@peterkipchir</v>
      </c>
      <c r="C374" s="21" t="s">
        <v>1063</v>
      </c>
      <c r="D374" s="21" t="s">
        <v>42</v>
      </c>
      <c r="E374" s="22" t="str">
        <f>HYPERLINK("https://twitter.com/peterkipchir/status/922383549902311424","922383549902311424")</f>
        <v>922383549902311424</v>
      </c>
      <c r="F374" s="23" t="s">
        <v>33</v>
      </c>
      <c r="G374" s="24">
        <v>4759.0</v>
      </c>
      <c r="H374" s="24">
        <v>4967.0</v>
      </c>
      <c r="I374" s="24">
        <v>8501.0</v>
      </c>
      <c r="J374" s="24">
        <v>0.0</v>
      </c>
      <c r="K374" s="23" t="s">
        <v>34</v>
      </c>
      <c r="L374" s="25">
        <v>42739.47732638889</v>
      </c>
      <c r="M374" s="26" t="s">
        <v>1064</v>
      </c>
      <c r="N374" s="26" t="s">
        <v>1065</v>
      </c>
      <c r="O374" s="22" t="str">
        <f>HYPERLINK("https://pbs.twimg.com/profile_images/920204305818439681/ClZIFAZT_normal.jpg","View")</f>
        <v>View</v>
      </c>
      <c r="P374" s="27"/>
    </row>
    <row r="375">
      <c r="A375" s="14">
        <v>43031.07354166667</v>
      </c>
      <c r="B375" s="20" t="str">
        <f>HYPERLINK("https://twitter.com/bdNewsTweet","@bdNewsTweet")</f>
        <v>@bdNewsTweet</v>
      </c>
      <c r="C375" s="21" t="s">
        <v>1066</v>
      </c>
      <c r="D375" s="21" t="s">
        <v>1067</v>
      </c>
      <c r="E375" s="22" t="str">
        <f>HYPERLINK("https://twitter.com/bdNewsTweet/status/922383567187075072","922383567187075072")</f>
        <v>922383567187075072</v>
      </c>
      <c r="F375" s="23" t="s">
        <v>187</v>
      </c>
      <c r="G375" s="24">
        <v>77.0</v>
      </c>
      <c r="H375" s="24">
        <v>25.0</v>
      </c>
      <c r="I375" s="24">
        <v>0.0</v>
      </c>
      <c r="J375" s="24">
        <v>0.0</v>
      </c>
      <c r="K375" s="23" t="s">
        <v>34</v>
      </c>
      <c r="L375" s="25">
        <v>42516.37630787037</v>
      </c>
      <c r="M375" s="26" t="s">
        <v>747</v>
      </c>
      <c r="N375" s="26" t="s">
        <v>1068</v>
      </c>
      <c r="O375" s="22" t="str">
        <f>HYPERLINK("https://pbs.twimg.com/profile_images/902421074008084481/fXS9jF8X_normal.jpg","View")</f>
        <v>View</v>
      </c>
      <c r="P375" s="27"/>
    </row>
    <row r="376">
      <c r="A376" s="14">
        <v>43031.07354166667</v>
      </c>
      <c r="B376" s="20" t="str">
        <f>HYPERLINK("https://twitter.com/tokyokochisho","@tokyokochisho")</f>
        <v>@tokyokochisho</v>
      </c>
      <c r="C376" s="21" t="s">
        <v>1069</v>
      </c>
      <c r="D376" s="21" t="s">
        <v>42</v>
      </c>
      <c r="E376" s="22" t="str">
        <f>HYPERLINK("https://twitter.com/tokyokochisho/status/922383569799888896","922383569799888896")</f>
        <v>922383569799888896</v>
      </c>
      <c r="F376" s="23" t="s">
        <v>39</v>
      </c>
      <c r="G376" s="24">
        <v>476.0</v>
      </c>
      <c r="H376" s="24">
        <v>638.0</v>
      </c>
      <c r="I376" s="24">
        <v>8501.0</v>
      </c>
      <c r="J376" s="24">
        <v>0.0</v>
      </c>
      <c r="K376" s="23" t="s">
        <v>34</v>
      </c>
      <c r="L376" s="25">
        <v>40143.218622685185</v>
      </c>
      <c r="M376" s="26" t="s">
        <v>1070</v>
      </c>
      <c r="N376" s="26" t="s">
        <v>1071</v>
      </c>
      <c r="O376" s="22" t="str">
        <f>HYPERLINK("https://pbs.twimg.com/profile_images/1076091211/__________normal.JPG","View")</f>
        <v>View</v>
      </c>
      <c r="P376" s="27"/>
    </row>
    <row r="377">
      <c r="A377" s="14">
        <v>43031.07354166667</v>
      </c>
      <c r="B377" s="20" t="str">
        <f>HYPERLINK("https://twitter.com/PHindu12","@PHindu12")</f>
        <v>@PHindu12</v>
      </c>
      <c r="C377" s="21" t="s">
        <v>1072</v>
      </c>
      <c r="D377" s="21" t="s">
        <v>42</v>
      </c>
      <c r="E377" s="22" t="str">
        <f>HYPERLINK("https://twitter.com/PHindu12/status/922383570265501696","922383570265501696")</f>
        <v>922383570265501696</v>
      </c>
      <c r="F377" s="23" t="s">
        <v>33</v>
      </c>
      <c r="G377" s="24">
        <v>567.0</v>
      </c>
      <c r="H377" s="24">
        <v>27.0</v>
      </c>
      <c r="I377" s="24">
        <v>8501.0</v>
      </c>
      <c r="J377" s="24">
        <v>0.0</v>
      </c>
      <c r="K377" s="23" t="s">
        <v>34</v>
      </c>
      <c r="L377" s="25">
        <v>42293.06792824074</v>
      </c>
      <c r="M377" s="26" t="s">
        <v>1073</v>
      </c>
      <c r="N377" s="26" t="s">
        <v>1074</v>
      </c>
      <c r="O377" s="22" t="str">
        <f>HYPERLINK("https://pbs.twimg.com/profile_images/921638662617513985/okAMm5C__normal.jpg","View")</f>
        <v>View</v>
      </c>
      <c r="P377" s="27"/>
    </row>
    <row r="378">
      <c r="A378" s="14">
        <v>43031.07362268519</v>
      </c>
      <c r="B378" s="20" t="str">
        <f>HYPERLINK("https://twitter.com/newsonjapan","@newsonjapan")</f>
        <v>@newsonjapan</v>
      </c>
      <c r="C378" s="21" t="s">
        <v>1075</v>
      </c>
      <c r="D378" s="21" t="s">
        <v>1076</v>
      </c>
      <c r="E378" s="22" t="str">
        <f>HYPERLINK("https://twitter.com/newsonjapan/status/922383599130644480","922383599130644480")</f>
        <v>922383599130644480</v>
      </c>
      <c r="F378" s="30" t="s">
        <v>411</v>
      </c>
      <c r="G378" s="24">
        <v>13140.0</v>
      </c>
      <c r="H378" s="24">
        <v>176.0</v>
      </c>
      <c r="I378" s="24">
        <v>0.0</v>
      </c>
      <c r="J378" s="24">
        <v>0.0</v>
      </c>
      <c r="K378" s="23" t="s">
        <v>34</v>
      </c>
      <c r="L378" s="25">
        <v>39946.02825231481</v>
      </c>
      <c r="M378" s="26" t="s">
        <v>923</v>
      </c>
      <c r="N378" s="26" t="s">
        <v>1077</v>
      </c>
      <c r="O378" s="22" t="str">
        <f>HYPERLINK("https://pbs.twimg.com/profile_images/211286653/Picture_1_normal.png","View")</f>
        <v>View</v>
      </c>
      <c r="P378" s="27"/>
    </row>
    <row r="379">
      <c r="A379" s="14">
        <v>43031.07365740741</v>
      </c>
      <c r="B379" s="20" t="str">
        <f>HYPERLINK("https://twitter.com/newslivenetwork","@newslivenetwork")</f>
        <v>@newslivenetwork</v>
      </c>
      <c r="C379" s="21" t="s">
        <v>89</v>
      </c>
      <c r="D379" s="21" t="s">
        <v>1078</v>
      </c>
      <c r="E379" s="22" t="str">
        <f>HYPERLINK("https://twitter.com/newslivenetwork/status/922383609088167937","922383609088167937")</f>
        <v>922383609088167937</v>
      </c>
      <c r="F379" s="23" t="s">
        <v>91</v>
      </c>
      <c r="G379" s="24">
        <v>271.0</v>
      </c>
      <c r="H379" s="24">
        <v>87.0</v>
      </c>
      <c r="I379" s="24">
        <v>0.0</v>
      </c>
      <c r="J379" s="24">
        <v>0.0</v>
      </c>
      <c r="K379" s="23" t="s">
        <v>34</v>
      </c>
      <c r="L379" s="25">
        <v>42741.47196759259</v>
      </c>
      <c r="M379" s="26" t="s">
        <v>92</v>
      </c>
      <c r="N379" s="26" t="s">
        <v>93</v>
      </c>
      <c r="O379" s="22" t="str">
        <f>HYPERLINK("https://pbs.twimg.com/profile_images/877414144424660992/scfhocj3_normal.jpg","View")</f>
        <v>View</v>
      </c>
      <c r="P379" s="27"/>
    </row>
    <row r="380">
      <c r="A380" s="14">
        <v>43031.0737037037</v>
      </c>
      <c r="B380" s="20" t="str">
        <f>HYPERLINK("https://twitter.com/ya200903","@ya200903")</f>
        <v>@ya200903</v>
      </c>
      <c r="C380" s="21" t="s">
        <v>1079</v>
      </c>
      <c r="D380" s="21" t="s">
        <v>42</v>
      </c>
      <c r="E380" s="22" t="str">
        <f>HYPERLINK("https://twitter.com/ya200903/status/922383628033703936","922383628033703936")</f>
        <v>922383628033703936</v>
      </c>
      <c r="F380" s="23" t="s">
        <v>39</v>
      </c>
      <c r="G380" s="24">
        <v>81.0</v>
      </c>
      <c r="H380" s="24">
        <v>95.0</v>
      </c>
      <c r="I380" s="24">
        <v>8501.0</v>
      </c>
      <c r="J380" s="24">
        <v>0.0</v>
      </c>
      <c r="K380" s="23" t="s">
        <v>34</v>
      </c>
      <c r="L380" s="25">
        <v>42801.09633101852</v>
      </c>
      <c r="M380" s="28"/>
      <c r="N380" s="28"/>
      <c r="O380" s="22" t="str">
        <f>HYPERLINK("https://pbs.twimg.com/profile_images/839100154661654528/_J5tZEcm_normal.jpg","View")</f>
        <v>View</v>
      </c>
      <c r="P380" s="27"/>
    </row>
    <row r="381">
      <c r="A381" s="14">
        <v>43031.07371527777</v>
      </c>
      <c r="B381" s="20" t="str">
        <f>HYPERLINK("https://twitter.com/LuanaElena7","@LuanaElena7")</f>
        <v>@LuanaElena7</v>
      </c>
      <c r="C381" s="21" t="s">
        <v>1080</v>
      </c>
      <c r="D381" s="21" t="s">
        <v>760</v>
      </c>
      <c r="E381" s="22" t="str">
        <f>HYPERLINK("https://twitter.com/LuanaElena7/status/922383632727023617","922383632727023617")</f>
        <v>922383632727023617</v>
      </c>
      <c r="F381" s="23" t="s">
        <v>33</v>
      </c>
      <c r="G381" s="24">
        <v>891.0</v>
      </c>
      <c r="H381" s="24">
        <v>1212.0</v>
      </c>
      <c r="I381" s="24">
        <v>62.0</v>
      </c>
      <c r="J381" s="24">
        <v>0.0</v>
      </c>
      <c r="K381" s="23" t="s">
        <v>34</v>
      </c>
      <c r="L381" s="25">
        <v>42743.80789351852</v>
      </c>
      <c r="M381" s="26" t="s">
        <v>1081</v>
      </c>
      <c r="N381" s="26" t="s">
        <v>1082</v>
      </c>
      <c r="O381" s="22" t="str">
        <f>HYPERLINK("https://pbs.twimg.com/profile_images/836818199895240705/CCjzUMTy_normal.jpg","View")</f>
        <v>View</v>
      </c>
      <c r="P381" s="27"/>
    </row>
    <row r="382">
      <c r="A382" s="14">
        <v>43031.07371527777</v>
      </c>
      <c r="B382" s="20" t="str">
        <f>HYPERLINK("https://twitter.com/Sh07509514","@Sh07509514")</f>
        <v>@Sh07509514</v>
      </c>
      <c r="C382" s="21" t="s">
        <v>1083</v>
      </c>
      <c r="D382" s="21" t="s">
        <v>42</v>
      </c>
      <c r="E382" s="22" t="str">
        <f>HYPERLINK("https://twitter.com/Sh07509514/status/922383632727269376","922383632727269376")</f>
        <v>922383632727269376</v>
      </c>
      <c r="F382" s="23" t="s">
        <v>33</v>
      </c>
      <c r="G382" s="24">
        <v>1122.0</v>
      </c>
      <c r="H382" s="24">
        <v>443.0</v>
      </c>
      <c r="I382" s="24">
        <v>8501.0</v>
      </c>
      <c r="J382" s="24">
        <v>0.0</v>
      </c>
      <c r="K382" s="23" t="s">
        <v>34</v>
      </c>
      <c r="L382" s="25">
        <v>41315.08892361111</v>
      </c>
      <c r="M382" s="26" t="s">
        <v>1084</v>
      </c>
      <c r="N382" s="26" t="s">
        <v>1085</v>
      </c>
      <c r="O382" s="22" t="str">
        <f>HYPERLINK("https://pbs.twimg.com/profile_images/378800000454876194/cb188c974220d59acf768e68454f8c68_normal.jpeg","View")</f>
        <v>View</v>
      </c>
      <c r="P382" s="27"/>
    </row>
    <row r="383">
      <c r="A383" s="14">
        <v>43031.07377314815</v>
      </c>
      <c r="B383" s="20" t="str">
        <f>HYPERLINK("https://twitter.com/sanjayjangu9","@sanjayjangu9")</f>
        <v>@sanjayjangu9</v>
      </c>
      <c r="C383" s="21" t="s">
        <v>1086</v>
      </c>
      <c r="D383" s="21" t="s">
        <v>42</v>
      </c>
      <c r="E383" s="22" t="str">
        <f>HYPERLINK("https://twitter.com/sanjayjangu9/status/922383652276899845","922383652276899845")</f>
        <v>922383652276899845</v>
      </c>
      <c r="F383" s="23" t="s">
        <v>33</v>
      </c>
      <c r="G383" s="24">
        <v>12.0</v>
      </c>
      <c r="H383" s="24">
        <v>227.0</v>
      </c>
      <c r="I383" s="24">
        <v>8501.0</v>
      </c>
      <c r="J383" s="24">
        <v>0.0</v>
      </c>
      <c r="K383" s="23" t="s">
        <v>34</v>
      </c>
      <c r="L383" s="25">
        <v>43005.18988425926</v>
      </c>
      <c r="M383" s="28"/>
      <c r="N383" s="26" t="s">
        <v>1087</v>
      </c>
      <c r="O383" s="22" t="str">
        <f>HYPERLINK("https://pbs.twimg.com/profile_images/923027326144741377/CR7jBFh5_normal.jpg","View")</f>
        <v>View</v>
      </c>
      <c r="P383" s="27"/>
    </row>
    <row r="384">
      <c r="A384" s="14">
        <v>43031.07378472222</v>
      </c>
      <c r="B384" s="20" t="str">
        <f>HYPERLINK("https://twitter.com/unseen_wall","@unseen_wall")</f>
        <v>@unseen_wall</v>
      </c>
      <c r="C384" s="21" t="s">
        <v>1088</v>
      </c>
      <c r="D384" s="21" t="s">
        <v>179</v>
      </c>
      <c r="E384" s="22" t="str">
        <f>HYPERLINK("https://twitter.com/unseen_wall/status/922383656714252288","922383656714252288")</f>
        <v>922383656714252288</v>
      </c>
      <c r="F384" s="23" t="s">
        <v>55</v>
      </c>
      <c r="G384" s="24">
        <v>255.0</v>
      </c>
      <c r="H384" s="24">
        <v>285.0</v>
      </c>
      <c r="I384" s="24">
        <v>30.0</v>
      </c>
      <c r="J384" s="24">
        <v>0.0</v>
      </c>
      <c r="K384" s="23" t="s">
        <v>34</v>
      </c>
      <c r="L384" s="25">
        <v>40403.773935185185</v>
      </c>
      <c r="M384" s="26" t="s">
        <v>1089</v>
      </c>
      <c r="N384" s="26" t="s">
        <v>1090</v>
      </c>
      <c r="O384" s="22" t="str">
        <f>HYPERLINK("https://pbs.twimg.com/profile_images/1215883961/______normal.jpg","View")</f>
        <v>View</v>
      </c>
      <c r="P384" s="27"/>
    </row>
    <row r="385">
      <c r="A385" s="14">
        <v>43031.07380787037</v>
      </c>
      <c r="B385" s="20" t="str">
        <f>HYPERLINK("https://twitter.com/NTtweeting","@NTtweeting")</f>
        <v>@NTtweeting</v>
      </c>
      <c r="C385" s="21" t="s">
        <v>1091</v>
      </c>
      <c r="D385" s="21" t="s">
        <v>1092</v>
      </c>
      <c r="E385" s="22" t="str">
        <f>HYPERLINK("https://twitter.com/NTtweeting/status/922383664465489920","922383664465489920")</f>
        <v>922383664465489920</v>
      </c>
      <c r="F385" s="23" t="s">
        <v>39</v>
      </c>
      <c r="G385" s="24">
        <v>958.0</v>
      </c>
      <c r="H385" s="24">
        <v>1522.0</v>
      </c>
      <c r="I385" s="24">
        <v>0.0</v>
      </c>
      <c r="J385" s="24">
        <v>0.0</v>
      </c>
      <c r="K385" s="23" t="s">
        <v>34</v>
      </c>
      <c r="L385" s="25">
        <v>40800.49256944445</v>
      </c>
      <c r="M385" s="28"/>
      <c r="N385" s="26" t="s">
        <v>1093</v>
      </c>
      <c r="O385" s="22" t="str">
        <f>HYPERLINK("https://pbs.twimg.com/profile_images/894549063659655169/1Yx4Va1W_normal.jpg","View")</f>
        <v>View</v>
      </c>
      <c r="P385" s="27"/>
    </row>
    <row r="386">
      <c r="A386" s="14">
        <v>43031.07380787037</v>
      </c>
      <c r="B386" s="20" t="str">
        <f>HYPERLINK("https://twitter.com/aqytha_joobjip","@aqytha_joobjip")</f>
        <v>@aqytha_joobjip</v>
      </c>
      <c r="C386" s="21" t="s">
        <v>1094</v>
      </c>
      <c r="D386" s="21" t="s">
        <v>1095</v>
      </c>
      <c r="E386" s="22" t="str">
        <f>HYPERLINK("https://twitter.com/aqytha_joobjip/status/922383666780794881","922383666780794881")</f>
        <v>922383666780794881</v>
      </c>
      <c r="F386" s="23" t="s">
        <v>187</v>
      </c>
      <c r="G386" s="24">
        <v>1336.0</v>
      </c>
      <c r="H386" s="24">
        <v>1329.0</v>
      </c>
      <c r="I386" s="24">
        <v>0.0</v>
      </c>
      <c r="J386" s="24">
        <v>0.0</v>
      </c>
      <c r="K386" s="23" t="s">
        <v>34</v>
      </c>
      <c r="L386" s="25">
        <v>42816.851064814815</v>
      </c>
      <c r="M386" s="26" t="s">
        <v>1096</v>
      </c>
      <c r="N386" s="26" t="s">
        <v>1097</v>
      </c>
      <c r="O386" s="22" t="str">
        <f>HYPERLINK("https://pbs.twimg.com/profile_images/858603371510542336/I0ZwCR8u_normal.jpg","View")</f>
        <v>View</v>
      </c>
      <c r="P386" s="27"/>
    </row>
    <row r="387">
      <c r="A387" s="14">
        <v>43031.07383101852</v>
      </c>
      <c r="B387" s="20" t="str">
        <f>HYPERLINK("https://twitter.com/NickD72601197","@NickD72601197")</f>
        <v>@NickD72601197</v>
      </c>
      <c r="C387" s="21" t="s">
        <v>1098</v>
      </c>
      <c r="D387" s="21" t="s">
        <v>103</v>
      </c>
      <c r="E387" s="22" t="str">
        <f>HYPERLINK("https://twitter.com/NickD72601197/status/922383675148374016","922383675148374016")</f>
        <v>922383675148374016</v>
      </c>
      <c r="F387" s="23" t="s">
        <v>1099</v>
      </c>
      <c r="G387" s="24">
        <v>258.0</v>
      </c>
      <c r="H387" s="24">
        <v>2314.0</v>
      </c>
      <c r="I387" s="24">
        <v>7.0</v>
      </c>
      <c r="J387" s="24">
        <v>0.0</v>
      </c>
      <c r="K387" s="23" t="s">
        <v>34</v>
      </c>
      <c r="L387" s="25">
        <v>42904.52740740741</v>
      </c>
      <c r="M387" s="26" t="s">
        <v>68</v>
      </c>
      <c r="N387" s="26" t="s">
        <v>1100</v>
      </c>
      <c r="O387" s="22" t="str">
        <f>HYPERLINK("https://pbs.twimg.com/profile_images/876525064207966210/JF-OGieZ_normal.jpg","View")</f>
        <v>View</v>
      </c>
      <c r="P387" s="27"/>
    </row>
    <row r="388">
      <c r="A388" s="14">
        <v>43031.07383101852</v>
      </c>
      <c r="B388" s="20" t="str">
        <f>HYPERLINK("https://twitter.com/TIMEWorld","@TIMEWorld")</f>
        <v>@TIMEWorld</v>
      </c>
      <c r="C388" s="21" t="s">
        <v>1101</v>
      </c>
      <c r="D388" s="21" t="s">
        <v>1102</v>
      </c>
      <c r="E388" s="22" t="str">
        <f>HYPERLINK("https://twitter.com/TIMEWorld/status/922383675395903488","922383675395903488")</f>
        <v>922383675395903488</v>
      </c>
      <c r="F388" s="23" t="s">
        <v>1103</v>
      </c>
      <c r="G388" s="24">
        <v>63969.0</v>
      </c>
      <c r="H388" s="24">
        <v>118.0</v>
      </c>
      <c r="I388" s="24">
        <v>4.0</v>
      </c>
      <c r="J388" s="24">
        <v>0.0</v>
      </c>
      <c r="K388" s="23" t="s">
        <v>34</v>
      </c>
      <c r="L388" s="25">
        <v>39664.348391203705</v>
      </c>
      <c r="M388" s="28"/>
      <c r="N388" s="26" t="s">
        <v>1104</v>
      </c>
      <c r="O388" s="22" t="str">
        <f>HYPERLINK("https://pbs.twimg.com/profile_images/481138361441079298/97ZgTF1Y_normal.jpeg","View")</f>
        <v>View</v>
      </c>
      <c r="P388" s="27"/>
    </row>
    <row r="389">
      <c r="A389" s="14">
        <v>43031.07383101852</v>
      </c>
      <c r="B389" s="20" t="str">
        <f>HYPERLINK("https://twitter.com/Lennon2861","@Lennon2861")</f>
        <v>@Lennon2861</v>
      </c>
      <c r="C389" s="21" t="s">
        <v>1105</v>
      </c>
      <c r="D389" s="21" t="s">
        <v>42</v>
      </c>
      <c r="E389" s="22" t="str">
        <f>HYPERLINK("https://twitter.com/Lennon2861/status/922383675420848128","922383675420848128")</f>
        <v>922383675420848128</v>
      </c>
      <c r="F389" s="23" t="s">
        <v>39</v>
      </c>
      <c r="G389" s="24">
        <v>270.0</v>
      </c>
      <c r="H389" s="24">
        <v>578.0</v>
      </c>
      <c r="I389" s="24">
        <v>8501.0</v>
      </c>
      <c r="J389" s="24">
        <v>0.0</v>
      </c>
      <c r="K389" s="23" t="s">
        <v>34</v>
      </c>
      <c r="L389" s="25">
        <v>42471.24539351852</v>
      </c>
      <c r="M389" s="28"/>
      <c r="N389" s="26" t="s">
        <v>1106</v>
      </c>
      <c r="O389" s="22" t="str">
        <f>HYPERLINK("https://pbs.twimg.com/profile_images/851196710629945344/59Ey9pi-_normal.jpg","View")</f>
        <v>View</v>
      </c>
      <c r="P389" s="27"/>
    </row>
    <row r="390">
      <c r="A390" s="14">
        <v>43031.07387731482</v>
      </c>
      <c r="B390" s="20" t="str">
        <f>HYPERLINK("https://twitter.com/anand1jain","@anand1jain")</f>
        <v>@anand1jain</v>
      </c>
      <c r="C390" s="21" t="s">
        <v>1107</v>
      </c>
      <c r="D390" s="21" t="s">
        <v>42</v>
      </c>
      <c r="E390" s="22" t="str">
        <f>HYPERLINK("https://twitter.com/anand1jain/status/922383691841724416","922383691841724416")</f>
        <v>922383691841724416</v>
      </c>
      <c r="F390" s="23" t="s">
        <v>39</v>
      </c>
      <c r="G390" s="24">
        <v>30.0</v>
      </c>
      <c r="H390" s="24">
        <v>275.0</v>
      </c>
      <c r="I390" s="24">
        <v>8501.0</v>
      </c>
      <c r="J390" s="24">
        <v>0.0</v>
      </c>
      <c r="K390" s="23" t="s">
        <v>34</v>
      </c>
      <c r="L390" s="25">
        <v>41770.84684027778</v>
      </c>
      <c r="M390" s="28"/>
      <c r="N390" s="28"/>
      <c r="O390" s="22" t="str">
        <f>HYPERLINK("https://pbs.twimg.com/profile_images/703761033006022656/Yq8TfxIh_normal.jpg","View")</f>
        <v>View</v>
      </c>
      <c r="P390" s="27"/>
    </row>
    <row r="391">
      <c r="A391" s="14">
        <v>43031.07388888889</v>
      </c>
      <c r="B391" s="20" t="str">
        <f>HYPERLINK("https://twitter.com/AmauryBETS","@AmauryBETS")</f>
        <v>@AmauryBETS</v>
      </c>
      <c r="C391" s="21" t="s">
        <v>1108</v>
      </c>
      <c r="D391" s="21" t="s">
        <v>1109</v>
      </c>
      <c r="E391" s="22" t="str">
        <f>HYPERLINK("https://twitter.com/AmauryBETS/status/922383694580649985","922383694580649985")</f>
        <v>922383694580649985</v>
      </c>
      <c r="F391" s="23" t="s">
        <v>39</v>
      </c>
      <c r="G391" s="24">
        <v>1063.0</v>
      </c>
      <c r="H391" s="24">
        <v>1064.0</v>
      </c>
      <c r="I391" s="24">
        <v>71.0</v>
      </c>
      <c r="J391" s="24">
        <v>0.0</v>
      </c>
      <c r="K391" s="23" t="s">
        <v>34</v>
      </c>
      <c r="L391" s="25">
        <v>40928.22634259259</v>
      </c>
      <c r="M391" s="26" t="s">
        <v>1110</v>
      </c>
      <c r="N391" s="26" t="s">
        <v>1111</v>
      </c>
      <c r="O391" s="22" t="str">
        <f>HYPERLINK("https://pbs.twimg.com/profile_images/908523636767694848/zG5Kqajm_normal.jpg","View")</f>
        <v>View</v>
      </c>
      <c r="P391" s="27"/>
    </row>
    <row r="392">
      <c r="A392" s="14">
        <v>43031.07393518518</v>
      </c>
      <c r="B392" s="20" t="str">
        <f>HYPERLINK("https://twitter.com/NagrathRob","@NagrathRob")</f>
        <v>@NagrathRob</v>
      </c>
      <c r="C392" s="21" t="s">
        <v>1112</v>
      </c>
      <c r="D392" s="21" t="s">
        <v>163</v>
      </c>
      <c r="E392" s="22" t="str">
        <f>HYPERLINK("https://twitter.com/NagrathRob/status/922383709273124864","922383709273124864")</f>
        <v>922383709273124864</v>
      </c>
      <c r="F392" s="23" t="s">
        <v>39</v>
      </c>
      <c r="G392" s="24">
        <v>222.0</v>
      </c>
      <c r="H392" s="24">
        <v>30.0</v>
      </c>
      <c r="I392" s="24">
        <v>1005.0</v>
      </c>
      <c r="J392" s="24">
        <v>0.0</v>
      </c>
      <c r="K392" s="23" t="s">
        <v>34</v>
      </c>
      <c r="L392" s="25">
        <v>42083.74023148148</v>
      </c>
      <c r="M392" s="28"/>
      <c r="N392" s="26" t="s">
        <v>1113</v>
      </c>
      <c r="O392" s="22" t="str">
        <f>HYPERLINK("https://pbs.twimg.com/profile_images/905034890185326592/PfmPt-Zw_normal.jpg","View")</f>
        <v>View</v>
      </c>
      <c r="P392" s="27"/>
    </row>
    <row r="393">
      <c r="A393" s="14">
        <v>43031.07393518518</v>
      </c>
      <c r="B393" s="20" t="str">
        <f>HYPERLINK("https://twitter.com/Momojo_808","@Momojo_808")</f>
        <v>@Momojo_808</v>
      </c>
      <c r="C393" s="21" t="s">
        <v>1114</v>
      </c>
      <c r="D393" s="21" t="s">
        <v>1115</v>
      </c>
      <c r="E393" s="22" t="str">
        <f>HYPERLINK("https://twitter.com/Momojo_808/status/922383710996938752","922383710996938752")</f>
        <v>922383710996938752</v>
      </c>
      <c r="F393" s="23" t="s">
        <v>33</v>
      </c>
      <c r="G393" s="24">
        <v>13.0</v>
      </c>
      <c r="H393" s="24">
        <v>85.0</v>
      </c>
      <c r="I393" s="24">
        <v>16.0</v>
      </c>
      <c r="J393" s="24">
        <v>0.0</v>
      </c>
      <c r="K393" s="23" t="s">
        <v>34</v>
      </c>
      <c r="L393" s="25">
        <v>42186.09809027778</v>
      </c>
      <c r="M393" s="28"/>
      <c r="N393" s="26" t="s">
        <v>1116</v>
      </c>
      <c r="O393" s="22" t="str">
        <f>HYPERLINK("https://pbs.twimg.com/profile_images/889734047999565824/D3ueISuG_normal.jpg","View")</f>
        <v>View</v>
      </c>
      <c r="P393" s="27"/>
    </row>
    <row r="394">
      <c r="A394" s="14">
        <v>43031.073958333334</v>
      </c>
      <c r="B394" s="20" t="str">
        <f>HYPERLINK("https://twitter.com/EagleStarNET","@EagleStarNET")</f>
        <v>@EagleStarNET</v>
      </c>
      <c r="C394" s="29" t="s">
        <v>1117</v>
      </c>
      <c r="D394" s="21" t="s">
        <v>1118</v>
      </c>
      <c r="E394" s="22" t="str">
        <f>HYPERLINK("https://twitter.com/EagleStarNET/status/922383721642283008","922383721642283008")</f>
        <v>922383721642283008</v>
      </c>
      <c r="F394" s="23" t="s">
        <v>1119</v>
      </c>
      <c r="G394" s="24">
        <v>112988.0</v>
      </c>
      <c r="H394" s="24">
        <v>10481.0</v>
      </c>
      <c r="I394" s="24">
        <v>0.0</v>
      </c>
      <c r="J394" s="24">
        <v>0.0</v>
      </c>
      <c r="K394" s="23" t="s">
        <v>34</v>
      </c>
      <c r="L394" s="25">
        <v>39863.63824074074</v>
      </c>
      <c r="M394" s="26" t="s">
        <v>1120</v>
      </c>
      <c r="N394" s="26" t="s">
        <v>1121</v>
      </c>
      <c r="O394" s="22" t="str">
        <f>HYPERLINK("https://pbs.twimg.com/profile_images/1281792618/es_logo_metallic_gold_2_normal.jpg","View")</f>
        <v>View</v>
      </c>
      <c r="P394" s="27"/>
    </row>
    <row r="395">
      <c r="A395" s="14">
        <v>43031.07400462963</v>
      </c>
      <c r="B395" s="20" t="str">
        <f>HYPERLINK("https://twitter.com/Sorgitzak","@Sorgitzak")</f>
        <v>@Sorgitzak</v>
      </c>
      <c r="C395" s="21" t="s">
        <v>1122</v>
      </c>
      <c r="D395" s="21" t="s">
        <v>1123</v>
      </c>
      <c r="E395" s="22" t="str">
        <f>HYPERLINK("https://twitter.com/Sorgitzak/status/922383735689007104","922383735689007104")</f>
        <v>922383735689007104</v>
      </c>
      <c r="F395" s="23" t="s">
        <v>187</v>
      </c>
      <c r="G395" s="24">
        <v>723.0</v>
      </c>
      <c r="H395" s="24">
        <v>1309.0</v>
      </c>
      <c r="I395" s="24">
        <v>0.0</v>
      </c>
      <c r="J395" s="24">
        <v>0.0</v>
      </c>
      <c r="K395" s="23" t="s">
        <v>34</v>
      </c>
      <c r="L395" s="25">
        <v>39990.552152777775</v>
      </c>
      <c r="M395" s="26" t="s">
        <v>1124</v>
      </c>
      <c r="N395" s="28"/>
      <c r="O395" s="22" t="str">
        <f>HYPERLINK("https://pbs.twimg.com/profile_images/284404970/sorgitzak_normal.JPG","View")</f>
        <v>View</v>
      </c>
      <c r="P395" s="27"/>
    </row>
    <row r="396">
      <c r="A396" s="14">
        <v>43031.074016203704</v>
      </c>
      <c r="B396" s="20" t="str">
        <f>HYPERLINK("https://twitter.com/DannyAxL","@DannyAxL")</f>
        <v>@DannyAxL</v>
      </c>
      <c r="C396" s="21" t="s">
        <v>1125</v>
      </c>
      <c r="D396" s="21" t="s">
        <v>760</v>
      </c>
      <c r="E396" s="22" t="str">
        <f>HYPERLINK("https://twitter.com/DannyAxL/status/922383738713051138","922383738713051138")</f>
        <v>922383738713051138</v>
      </c>
      <c r="F396" s="23" t="s">
        <v>55</v>
      </c>
      <c r="G396" s="24">
        <v>1425.0</v>
      </c>
      <c r="H396" s="24">
        <v>2123.0</v>
      </c>
      <c r="I396" s="24">
        <v>62.0</v>
      </c>
      <c r="J396" s="24">
        <v>0.0</v>
      </c>
      <c r="K396" s="23" t="s">
        <v>34</v>
      </c>
      <c r="L396" s="25">
        <v>40100.97591435185</v>
      </c>
      <c r="M396" s="26" t="s">
        <v>1126</v>
      </c>
      <c r="N396" s="26" t="s">
        <v>1127</v>
      </c>
      <c r="O396" s="22" t="str">
        <f>HYPERLINK("https://pbs.twimg.com/profile_images/919762453482815488/_CFkDLsa_normal.jpg","View")</f>
        <v>View</v>
      </c>
      <c r="P396" s="27"/>
    </row>
    <row r="397">
      <c r="A397" s="14">
        <v>43031.07408564815</v>
      </c>
      <c r="B397" s="20" t="str">
        <f>HYPERLINK("https://twitter.com/mehulmakwana181","@mehulmakwana181")</f>
        <v>@mehulmakwana181</v>
      </c>
      <c r="C397" s="21" t="s">
        <v>1128</v>
      </c>
      <c r="D397" s="21" t="s">
        <v>42</v>
      </c>
      <c r="E397" s="22" t="str">
        <f>HYPERLINK("https://twitter.com/mehulmakwana181/status/922383766051545088","922383766051545088")</f>
        <v>922383766051545088</v>
      </c>
      <c r="F397" s="23" t="s">
        <v>33</v>
      </c>
      <c r="G397" s="24">
        <v>426.0</v>
      </c>
      <c r="H397" s="24">
        <v>2270.0</v>
      </c>
      <c r="I397" s="24">
        <v>8501.0</v>
      </c>
      <c r="J397" s="24">
        <v>0.0</v>
      </c>
      <c r="K397" s="23" t="s">
        <v>34</v>
      </c>
      <c r="L397" s="25">
        <v>41767.06869212963</v>
      </c>
      <c r="M397" s="26" t="s">
        <v>1129</v>
      </c>
      <c r="N397" s="26" t="s">
        <v>1130</v>
      </c>
      <c r="O397" s="22" t="str">
        <f>HYPERLINK("https://pbs.twimg.com/profile_images/921217239537238018/QZo1vc8C_normal.jpg","View")</f>
        <v>View</v>
      </c>
      <c r="P397" s="27"/>
    </row>
    <row r="398">
      <c r="A398" s="14">
        <v>43031.07409722223</v>
      </c>
      <c r="B398" s="20" t="str">
        <f>HYPERLINK("https://twitter.com/valvane","@valvane")</f>
        <v>@valvane</v>
      </c>
      <c r="C398" s="21" t="s">
        <v>1131</v>
      </c>
      <c r="D398" s="21" t="s">
        <v>1132</v>
      </c>
      <c r="E398" s="22" t="str">
        <f>HYPERLINK("https://twitter.com/valvane/status/922383771869044736","922383771869044736")</f>
        <v>922383771869044736</v>
      </c>
      <c r="F398" s="23" t="s">
        <v>43</v>
      </c>
      <c r="G398" s="24">
        <v>542.0</v>
      </c>
      <c r="H398" s="24">
        <v>86.0</v>
      </c>
      <c r="I398" s="24">
        <v>7.0</v>
      </c>
      <c r="J398" s="24">
        <v>0.0</v>
      </c>
      <c r="K398" s="23" t="s">
        <v>34</v>
      </c>
      <c r="L398" s="25">
        <v>39561.40950231481</v>
      </c>
      <c r="M398" s="26" t="s">
        <v>1133</v>
      </c>
      <c r="N398" s="26" t="s">
        <v>1134</v>
      </c>
      <c r="O398" s="22" t="str">
        <f>HYPERLINK("https://pbs.twimg.com/profile_images/531366324887228416/tMiXKXPb_normal.jpeg","View")</f>
        <v>View</v>
      </c>
      <c r="P398" s="27"/>
    </row>
    <row r="399">
      <c r="A399" s="14">
        <v>43031.07425925926</v>
      </c>
      <c r="B399" s="20" t="str">
        <f>HYPERLINK("https://twitter.com/1bxZjslVxtLMptn","@1bxZjslVxtLMptn")</f>
        <v>@1bxZjslVxtLMptn</v>
      </c>
      <c r="C399" s="21" t="s">
        <v>1135</v>
      </c>
      <c r="D399" s="21" t="s">
        <v>213</v>
      </c>
      <c r="E399" s="22" t="str">
        <f>HYPERLINK("https://twitter.com/1bxZjslVxtLMptn/status/922383830824108032","922383830824108032")</f>
        <v>922383830824108032</v>
      </c>
      <c r="F399" s="23" t="s">
        <v>635</v>
      </c>
      <c r="G399" s="24">
        <v>1.0</v>
      </c>
      <c r="H399" s="24">
        <v>32.0</v>
      </c>
      <c r="I399" s="24">
        <v>94.0</v>
      </c>
      <c r="J399" s="24">
        <v>0.0</v>
      </c>
      <c r="K399" s="23" t="s">
        <v>34</v>
      </c>
      <c r="L399" s="25">
        <v>43002.17413194444</v>
      </c>
      <c r="M399" s="28"/>
      <c r="N399" s="28"/>
      <c r="O399" s="22" t="str">
        <f>HYPERLINK("https://pbs.twimg.com/profile_images/921708493286940672/XOsWC-WO_normal.jpg","View")</f>
        <v>View</v>
      </c>
      <c r="P399" s="27"/>
    </row>
    <row r="400">
      <c r="A400" s="14">
        <v>43031.074270833335</v>
      </c>
      <c r="B400" s="20" t="str">
        <f>HYPERLINK("https://twitter.com/BaibhavDasgupta","@BaibhavDasgupta")</f>
        <v>@BaibhavDasgupta</v>
      </c>
      <c r="C400" s="21" t="s">
        <v>1136</v>
      </c>
      <c r="D400" s="21" t="s">
        <v>42</v>
      </c>
      <c r="E400" s="22" t="str">
        <f>HYPERLINK("https://twitter.com/BaibhavDasgupta/status/922383834196336640","922383834196336640")</f>
        <v>922383834196336640</v>
      </c>
      <c r="F400" s="23" t="s">
        <v>33</v>
      </c>
      <c r="G400" s="24">
        <v>1153.0</v>
      </c>
      <c r="H400" s="24">
        <v>508.0</v>
      </c>
      <c r="I400" s="24">
        <v>8501.0</v>
      </c>
      <c r="J400" s="24">
        <v>0.0</v>
      </c>
      <c r="K400" s="23" t="s">
        <v>34</v>
      </c>
      <c r="L400" s="25">
        <v>42954.16159722222</v>
      </c>
      <c r="M400" s="26" t="s">
        <v>1137</v>
      </c>
      <c r="N400" s="26" t="s">
        <v>1138</v>
      </c>
      <c r="O400" s="22" t="str">
        <f>HYPERLINK("https://pbs.twimg.com/profile_images/923044326271205377/S88XxeJy_normal.jpg","View")</f>
        <v>View</v>
      </c>
      <c r="P400" s="27"/>
    </row>
    <row r="401">
      <c r="A401" s="14">
        <v>43031.07443287037</v>
      </c>
      <c r="B401" s="20" t="str">
        <f>HYPERLINK("https://twitter.com/11spdubey","@11spdubey")</f>
        <v>@11spdubey</v>
      </c>
      <c r="C401" s="21" t="s">
        <v>1139</v>
      </c>
      <c r="D401" s="21" t="s">
        <v>430</v>
      </c>
      <c r="E401" s="22" t="str">
        <f>HYPERLINK("https://twitter.com/11spdubey/status/922383889598791682","922383889598791682")</f>
        <v>922383889598791682</v>
      </c>
      <c r="F401" s="23" t="s">
        <v>780</v>
      </c>
      <c r="G401" s="24">
        <v>258.0</v>
      </c>
      <c r="H401" s="24">
        <v>218.0</v>
      </c>
      <c r="I401" s="24">
        <v>62.0</v>
      </c>
      <c r="J401" s="24">
        <v>0.0</v>
      </c>
      <c r="K401" s="23" t="s">
        <v>34</v>
      </c>
      <c r="L401" s="25">
        <v>41965.08679398148</v>
      </c>
      <c r="M401" s="26" t="s">
        <v>195</v>
      </c>
      <c r="N401" s="26">
        <v>8.896969651E9</v>
      </c>
      <c r="O401" s="22" t="str">
        <f>HYPERLINK("https://pbs.twimg.com/profile_images/892876490416693253/vjaOK5i9_normal.jpg","View")</f>
        <v>View</v>
      </c>
      <c r="P401" s="27"/>
    </row>
    <row r="402">
      <c r="A402" s="14">
        <v>43031.07445601852</v>
      </c>
      <c r="B402" s="20" t="str">
        <f>HYPERLINK("https://twitter.com/SOCIO34050","@SOCIO34050")</f>
        <v>@SOCIO34050</v>
      </c>
      <c r="C402" s="21" t="s">
        <v>1140</v>
      </c>
      <c r="D402" s="21" t="s">
        <v>760</v>
      </c>
      <c r="E402" s="22" t="str">
        <f>HYPERLINK("https://twitter.com/SOCIO34050/status/922383900759834624","922383900759834624")</f>
        <v>922383900759834624</v>
      </c>
      <c r="F402" s="23" t="s">
        <v>55</v>
      </c>
      <c r="G402" s="24">
        <v>1274.0</v>
      </c>
      <c r="H402" s="24">
        <v>2044.0</v>
      </c>
      <c r="I402" s="24">
        <v>62.0</v>
      </c>
      <c r="J402" s="24">
        <v>0.0</v>
      </c>
      <c r="K402" s="23" t="s">
        <v>34</v>
      </c>
      <c r="L402" s="25">
        <v>39984.280625</v>
      </c>
      <c r="M402" s="26" t="s">
        <v>1141</v>
      </c>
      <c r="N402" s="26" t="s">
        <v>1142</v>
      </c>
      <c r="O402" s="22" t="str">
        <f>HYPERLINK("https://pbs.twimg.com/profile_images/900966175495958529/59vtdDVc_normal.jpg","View")</f>
        <v>View</v>
      </c>
      <c r="P402" s="27"/>
    </row>
    <row r="403">
      <c r="A403" s="14">
        <v>43031.07449074074</v>
      </c>
      <c r="B403" s="20" t="str">
        <f>HYPERLINK("https://twitter.com/Jinycoung","@Jinycoung")</f>
        <v>@Jinycoung</v>
      </c>
      <c r="C403" s="21" t="s">
        <v>1143</v>
      </c>
      <c r="D403" s="21" t="s">
        <v>1144</v>
      </c>
      <c r="E403" s="22" t="str">
        <f>HYPERLINK("https://twitter.com/Jinycoung/status/922383911098961920","922383911098961920")</f>
        <v>922383911098961920</v>
      </c>
      <c r="F403" s="23" t="s">
        <v>187</v>
      </c>
      <c r="G403" s="24">
        <v>74.0</v>
      </c>
      <c r="H403" s="24">
        <v>49.0</v>
      </c>
      <c r="I403" s="24">
        <v>0.0</v>
      </c>
      <c r="J403" s="24">
        <v>0.0</v>
      </c>
      <c r="K403" s="23" t="s">
        <v>34</v>
      </c>
      <c r="L403" s="25">
        <v>40922.25519675926</v>
      </c>
      <c r="M403" s="28"/>
      <c r="N403" s="26" t="s">
        <v>1145</v>
      </c>
      <c r="O403" s="22" t="str">
        <f>HYPERLINK("https://pbs.twimg.com/profile_images/893469567678205952/VgdXEOgi_normal.jpg","View")</f>
        <v>View</v>
      </c>
      <c r="P403" s="27"/>
    </row>
    <row r="404">
      <c r="A404" s="14">
        <v>43031.07449074074</v>
      </c>
      <c r="B404" s="20" t="str">
        <f>HYPERLINK("https://twitter.com/Sohamprasad1","@Sohamprasad1")</f>
        <v>@Sohamprasad1</v>
      </c>
      <c r="C404" s="21" t="s">
        <v>1146</v>
      </c>
      <c r="D404" s="21" t="s">
        <v>42</v>
      </c>
      <c r="E404" s="22" t="str">
        <f>HYPERLINK("https://twitter.com/Sohamprasad1/status/922383912810176512","922383912810176512")</f>
        <v>922383912810176512</v>
      </c>
      <c r="F404" s="23" t="s">
        <v>39</v>
      </c>
      <c r="G404" s="24">
        <v>197.0</v>
      </c>
      <c r="H404" s="24">
        <v>731.0</v>
      </c>
      <c r="I404" s="24">
        <v>8501.0</v>
      </c>
      <c r="J404" s="24">
        <v>0.0</v>
      </c>
      <c r="K404" s="23" t="s">
        <v>34</v>
      </c>
      <c r="L404" s="25">
        <v>42223.21554398148</v>
      </c>
      <c r="M404" s="28"/>
      <c r="N404" s="26" t="s">
        <v>1147</v>
      </c>
      <c r="O404" s="22" t="str">
        <f>HYPERLINK("https://pbs.twimg.com/profile_images/905783164420816896/mcctwOv0_normal.jpg","View")</f>
        <v>View</v>
      </c>
      <c r="P404" s="27"/>
    </row>
    <row r="405">
      <c r="A405" s="14">
        <v>43031.07451388889</v>
      </c>
      <c r="B405" s="20" t="str">
        <f>HYPERLINK("https://twitter.com/oluochvaron","@oluochvaron")</f>
        <v>@oluochvaron</v>
      </c>
      <c r="C405" s="21" t="s">
        <v>1148</v>
      </c>
      <c r="D405" s="21" t="s">
        <v>32</v>
      </c>
      <c r="E405" s="22" t="str">
        <f>HYPERLINK("https://twitter.com/oluochvaron/status/922383922859671553","922383922859671553")</f>
        <v>922383922859671553</v>
      </c>
      <c r="F405" s="23" t="s">
        <v>43</v>
      </c>
      <c r="G405" s="24">
        <v>215.0</v>
      </c>
      <c r="H405" s="24">
        <v>543.0</v>
      </c>
      <c r="I405" s="24">
        <v>471.0</v>
      </c>
      <c r="J405" s="24">
        <v>0.0</v>
      </c>
      <c r="K405" s="23" t="s">
        <v>34</v>
      </c>
      <c r="L405" s="25">
        <v>41540.31450231482</v>
      </c>
      <c r="M405" s="26" t="s">
        <v>114</v>
      </c>
      <c r="N405" s="26" t="s">
        <v>1149</v>
      </c>
      <c r="O405" s="22" t="str">
        <f>HYPERLINK("https://pbs.twimg.com/profile_images/887181680393564160/9D86Horz_normal.jpg","View")</f>
        <v>View</v>
      </c>
      <c r="P405" s="27"/>
    </row>
    <row r="406">
      <c r="A406" s="14">
        <v>43031.07453703704</v>
      </c>
      <c r="B406" s="20" t="str">
        <f>HYPERLINK("https://twitter.com/vmarillanca","@vmarillanca")</f>
        <v>@vmarillanca</v>
      </c>
      <c r="C406" s="21" t="s">
        <v>1150</v>
      </c>
      <c r="D406" s="21" t="s">
        <v>1151</v>
      </c>
      <c r="E406" s="22" t="str">
        <f>HYPERLINK("https://twitter.com/vmarillanca/status/922383930237403136","922383930237403136")</f>
        <v>922383930237403136</v>
      </c>
      <c r="F406" s="23" t="s">
        <v>55</v>
      </c>
      <c r="G406" s="24">
        <v>208.0</v>
      </c>
      <c r="H406" s="24">
        <v>798.0</v>
      </c>
      <c r="I406" s="24">
        <v>0.0</v>
      </c>
      <c r="J406" s="24">
        <v>0.0</v>
      </c>
      <c r="K406" s="23" t="s">
        <v>34</v>
      </c>
      <c r="L406" s="25">
        <v>41025.960231481484</v>
      </c>
      <c r="M406" s="26" t="s">
        <v>1152</v>
      </c>
      <c r="N406" s="28"/>
      <c r="O406" s="22" t="str">
        <f>HYPERLINK("https://pbs.twimg.com/profile_images/2968463303/8e723b48b59e6631f56818d43dd9c89d_normal.jpeg","View")</f>
        <v>View</v>
      </c>
      <c r="P406" s="27"/>
    </row>
    <row r="407">
      <c r="A407" s="14">
        <v>43031.07453703704</v>
      </c>
      <c r="B407" s="20" t="str">
        <f>HYPERLINK("https://twitter.com/NoorFatima1434","@NoorFatima1434")</f>
        <v>@NoorFatima1434</v>
      </c>
      <c r="C407" s="21" t="s">
        <v>1153</v>
      </c>
      <c r="D407" s="21" t="s">
        <v>1154</v>
      </c>
      <c r="E407" s="22" t="str">
        <f>HYPERLINK("https://twitter.com/NoorFatima1434/status/922383930996740096","922383930996740096")</f>
        <v>922383930996740096</v>
      </c>
      <c r="F407" s="23" t="s">
        <v>187</v>
      </c>
      <c r="G407" s="24">
        <v>183.0</v>
      </c>
      <c r="H407" s="24">
        <v>654.0</v>
      </c>
      <c r="I407" s="24">
        <v>0.0</v>
      </c>
      <c r="J407" s="24">
        <v>0.0</v>
      </c>
      <c r="K407" s="23" t="s">
        <v>34</v>
      </c>
      <c r="L407" s="25">
        <v>41950.33269675926</v>
      </c>
      <c r="M407" s="28"/>
      <c r="N407" s="28"/>
      <c r="O407" s="22" t="str">
        <f>HYPERLINK("https://pbs.twimg.com/profile_images/530755413008863232/c5ySEuI6_normal.jpeg","View")</f>
        <v>View</v>
      </c>
      <c r="P407" s="27"/>
    </row>
    <row r="408">
      <c r="A408" s="14">
        <v>43031.074583333335</v>
      </c>
      <c r="B408" s="20" t="str">
        <f>HYPERLINK("https://twitter.com/shoonya_0","@shoonya_0")</f>
        <v>@shoonya_0</v>
      </c>
      <c r="C408" s="21" t="s">
        <v>1155</v>
      </c>
      <c r="D408" s="21" t="s">
        <v>163</v>
      </c>
      <c r="E408" s="22" t="str">
        <f>HYPERLINK("https://twitter.com/shoonya_0/status/922383945521434624","922383945521434624")</f>
        <v>922383945521434624</v>
      </c>
      <c r="F408" s="23" t="s">
        <v>55</v>
      </c>
      <c r="G408" s="24">
        <v>1944.0</v>
      </c>
      <c r="H408" s="24">
        <v>933.0</v>
      </c>
      <c r="I408" s="24">
        <v>1005.0</v>
      </c>
      <c r="J408" s="24">
        <v>0.0</v>
      </c>
      <c r="K408" s="23" t="s">
        <v>34</v>
      </c>
      <c r="L408" s="25">
        <v>41470.259305555555</v>
      </c>
      <c r="M408" s="26" t="s">
        <v>1156</v>
      </c>
      <c r="N408" s="26" t="s">
        <v>1157</v>
      </c>
      <c r="O408" s="22" t="str">
        <f>HYPERLINK("https://pbs.twimg.com/profile_images/860483718053412864/59WuD6Lp_normal.jpg","View")</f>
        <v>View</v>
      </c>
      <c r="P408" s="27"/>
    </row>
    <row r="409">
      <c r="A409" s="14">
        <v>43031.07461805556</v>
      </c>
      <c r="B409" s="20" t="str">
        <f>HYPERLINK("https://twitter.com/Monsterr_19","@Monsterr_19")</f>
        <v>@Monsterr_19</v>
      </c>
      <c r="C409" s="21" t="s">
        <v>1158</v>
      </c>
      <c r="D409" s="21" t="s">
        <v>42</v>
      </c>
      <c r="E409" s="22" t="str">
        <f>HYPERLINK("https://twitter.com/Monsterr_19/status/922383960415412224","922383960415412224")</f>
        <v>922383960415412224</v>
      </c>
      <c r="F409" s="23" t="s">
        <v>33</v>
      </c>
      <c r="G409" s="24">
        <v>29.0</v>
      </c>
      <c r="H409" s="24">
        <v>139.0</v>
      </c>
      <c r="I409" s="24">
        <v>8501.0</v>
      </c>
      <c r="J409" s="24">
        <v>0.0</v>
      </c>
      <c r="K409" s="23" t="s">
        <v>34</v>
      </c>
      <c r="L409" s="25">
        <v>43019.086759259255</v>
      </c>
      <c r="M409" s="26" t="s">
        <v>1159</v>
      </c>
      <c r="N409" s="33" t="s">
        <v>1160</v>
      </c>
      <c r="O409" s="22" t="str">
        <f>HYPERLINK("https://pbs.twimg.com/profile_images/920232448209723392/hlfmdLTT_normal.jpg","View")</f>
        <v>View</v>
      </c>
      <c r="P409" s="27"/>
    </row>
    <row r="410">
      <c r="A410" s="14">
        <v>43031.07467592593</v>
      </c>
      <c r="B410" s="20" t="str">
        <f>HYPERLINK("https://twitter.com/adwaitsav","@adwaitsav")</f>
        <v>@adwaitsav</v>
      </c>
      <c r="C410" s="21" t="s">
        <v>1161</v>
      </c>
      <c r="D410" s="21" t="s">
        <v>42</v>
      </c>
      <c r="E410" s="22" t="str">
        <f>HYPERLINK("https://twitter.com/adwaitsav/status/922383979189116929","922383979189116929")</f>
        <v>922383979189116929</v>
      </c>
      <c r="F410" s="23" t="s">
        <v>33</v>
      </c>
      <c r="G410" s="24">
        <v>272.0</v>
      </c>
      <c r="H410" s="24">
        <v>305.0</v>
      </c>
      <c r="I410" s="24">
        <v>8501.0</v>
      </c>
      <c r="J410" s="24">
        <v>0.0</v>
      </c>
      <c r="K410" s="23" t="s">
        <v>34</v>
      </c>
      <c r="L410" s="25">
        <v>40687.115277777775</v>
      </c>
      <c r="M410" s="26" t="s">
        <v>1162</v>
      </c>
      <c r="N410" s="26" t="s">
        <v>1163</v>
      </c>
      <c r="O410" s="22" t="str">
        <f>HYPERLINK("https://pbs.twimg.com/profile_images/661930381415960576/g9RThNdn_normal.jpg","View")</f>
        <v>View</v>
      </c>
      <c r="P410" s="27"/>
    </row>
    <row r="411">
      <c r="A411" s="14">
        <v>43031.07475694444</v>
      </c>
      <c r="B411" s="20" t="str">
        <f>HYPERLINK("https://twitter.com/muraliks_11","@muraliks_11")</f>
        <v>@muraliks_11</v>
      </c>
      <c r="C411" s="21" t="s">
        <v>1164</v>
      </c>
      <c r="D411" s="21" t="s">
        <v>163</v>
      </c>
      <c r="E411" s="22" t="str">
        <f>HYPERLINK("https://twitter.com/muraliks_11/status/922384011040665600","922384011040665600")</f>
        <v>922384011040665600</v>
      </c>
      <c r="F411" s="23" t="s">
        <v>33</v>
      </c>
      <c r="G411" s="24">
        <v>430.0</v>
      </c>
      <c r="H411" s="24">
        <v>670.0</v>
      </c>
      <c r="I411" s="24">
        <v>1005.0</v>
      </c>
      <c r="J411" s="24">
        <v>0.0</v>
      </c>
      <c r="K411" s="23" t="s">
        <v>34</v>
      </c>
      <c r="L411" s="25">
        <v>42699.19542824074</v>
      </c>
      <c r="M411" s="26" t="s">
        <v>1165</v>
      </c>
      <c r="N411" s="26" t="s">
        <v>1166</v>
      </c>
      <c r="O411" s="22" t="str">
        <f>HYPERLINK("https://pbs.twimg.com/profile_images/922154007883218945/ZVh24l1d_normal.jpg","View")</f>
        <v>View</v>
      </c>
      <c r="P411" s="27"/>
    </row>
    <row r="412">
      <c r="A412" s="14">
        <v>43031.07481481481</v>
      </c>
      <c r="B412" s="20" t="str">
        <f>HYPERLINK("https://twitter.com/Grifferin","@Grifferin")</f>
        <v>@Grifferin</v>
      </c>
      <c r="C412" s="21" t="s">
        <v>1167</v>
      </c>
      <c r="D412" s="21" t="s">
        <v>32</v>
      </c>
      <c r="E412" s="22" t="str">
        <f>HYPERLINK("https://twitter.com/Grifferin/status/922384031299366912","922384031299366912")</f>
        <v>922384031299366912</v>
      </c>
      <c r="F412" s="23" t="s">
        <v>230</v>
      </c>
      <c r="G412" s="24">
        <v>683.0</v>
      </c>
      <c r="H412" s="24">
        <v>417.0</v>
      </c>
      <c r="I412" s="24">
        <v>471.0</v>
      </c>
      <c r="J412" s="24">
        <v>0.0</v>
      </c>
      <c r="K412" s="23" t="s">
        <v>34</v>
      </c>
      <c r="L412" s="25">
        <v>40234.03895833333</v>
      </c>
      <c r="M412" s="26" t="s">
        <v>1168</v>
      </c>
      <c r="N412" s="26" t="s">
        <v>1169</v>
      </c>
      <c r="O412" s="22" t="str">
        <f>HYPERLINK("https://pbs.twimg.com/profile_images/912049807719522304/EMZZAuGN_normal.jpg","View")</f>
        <v>View</v>
      </c>
      <c r="P412" s="27"/>
    </row>
    <row r="413">
      <c r="A413" s="14">
        <v>43031.07491898148</v>
      </c>
      <c r="B413" s="20" t="str">
        <f>HYPERLINK("https://twitter.com/parmarkant9918","@parmarkant9918")</f>
        <v>@parmarkant9918</v>
      </c>
      <c r="C413" s="21" t="s">
        <v>1170</v>
      </c>
      <c r="D413" s="21" t="s">
        <v>42</v>
      </c>
      <c r="E413" s="22" t="str">
        <f>HYPERLINK("https://twitter.com/parmarkant9918/status/922384066782961664","922384066782961664")</f>
        <v>922384066782961664</v>
      </c>
      <c r="F413" s="23" t="s">
        <v>33</v>
      </c>
      <c r="G413" s="24">
        <v>2300.0</v>
      </c>
      <c r="H413" s="24">
        <v>1474.0</v>
      </c>
      <c r="I413" s="24">
        <v>8501.0</v>
      </c>
      <c r="J413" s="24">
        <v>0.0</v>
      </c>
      <c r="K413" s="23" t="s">
        <v>34</v>
      </c>
      <c r="L413" s="25">
        <v>41921.32225694445</v>
      </c>
      <c r="M413" s="26" t="s">
        <v>1171</v>
      </c>
      <c r="N413" s="26" t="s">
        <v>1172</v>
      </c>
      <c r="O413" s="22" t="str">
        <f>HYPERLINK("https://pbs.twimg.com/profile_images/852799808586657792/Gb5p9SL6_normal.jpg","View")</f>
        <v>View</v>
      </c>
      <c r="P413" s="27"/>
    </row>
    <row r="414">
      <c r="A414" s="14">
        <v>43031.075</v>
      </c>
      <c r="B414" s="20" t="str">
        <f>HYPERLINK("https://twitter.com/BritishaPatrick","@BritishaPatrick")</f>
        <v>@BritishaPatrick</v>
      </c>
      <c r="C414" s="21" t="s">
        <v>1173</v>
      </c>
      <c r="D414" s="21" t="s">
        <v>42</v>
      </c>
      <c r="E414" s="22" t="str">
        <f>HYPERLINK("https://twitter.com/BritishaPatrick/status/922384098785669120","922384098785669120")</f>
        <v>922384098785669120</v>
      </c>
      <c r="F414" s="23" t="s">
        <v>33</v>
      </c>
      <c r="G414" s="24">
        <v>21272.0</v>
      </c>
      <c r="H414" s="24">
        <v>3685.0</v>
      </c>
      <c r="I414" s="24">
        <v>8501.0</v>
      </c>
      <c r="J414" s="24">
        <v>0.0</v>
      </c>
      <c r="K414" s="23" t="s">
        <v>34</v>
      </c>
      <c r="L414" s="25">
        <v>41685.373344907406</v>
      </c>
      <c r="M414" s="26" t="s">
        <v>1174</v>
      </c>
      <c r="N414" s="26" t="s">
        <v>1175</v>
      </c>
      <c r="O414" s="22" t="str">
        <f>HYPERLINK("https://pbs.twimg.com/profile_images/922441669391323136/tO9Lr_4E_normal.jpg","View")</f>
        <v>View</v>
      </c>
      <c r="P414" s="27"/>
    </row>
    <row r="415">
      <c r="A415" s="14">
        <v>43031.07502314815</v>
      </c>
      <c r="B415" s="20" t="str">
        <f>HYPERLINK("https://twitter.com/BoF","@BoF")</f>
        <v>@BoF</v>
      </c>
      <c r="C415" s="21" t="s">
        <v>1176</v>
      </c>
      <c r="D415" s="21" t="s">
        <v>1177</v>
      </c>
      <c r="E415" s="22" t="str">
        <f>HYPERLINK("https://twitter.com/BoF/status/922384104783515648","922384104783515648")</f>
        <v>922384104783515648</v>
      </c>
      <c r="F415" s="23" t="s">
        <v>55</v>
      </c>
      <c r="G415" s="24">
        <v>1812911.0</v>
      </c>
      <c r="H415" s="24">
        <v>866.0</v>
      </c>
      <c r="I415" s="24">
        <v>29.0</v>
      </c>
      <c r="J415" s="24">
        <v>239.0</v>
      </c>
      <c r="K415" s="23" t="s">
        <v>34</v>
      </c>
      <c r="L415" s="25">
        <v>39808.43884259259</v>
      </c>
      <c r="M415" s="26" t="s">
        <v>334</v>
      </c>
      <c r="N415" s="26" t="s">
        <v>1178</v>
      </c>
      <c r="O415" s="22" t="str">
        <f>HYPERLINK("https://pbs.twimg.com/profile_images/730428739474051073/DUfkV6Kq_normal.jpg","View")</f>
        <v>View</v>
      </c>
      <c r="P415" s="27"/>
    </row>
    <row r="416">
      <c r="A416" s="14">
        <v>43031.07506944444</v>
      </c>
      <c r="B416" s="20" t="str">
        <f>HYPERLINK("https://twitter.com/latikia","@latikia")</f>
        <v>@latikia</v>
      </c>
      <c r="C416" s="21" t="s">
        <v>1179</v>
      </c>
      <c r="D416" s="21" t="s">
        <v>1180</v>
      </c>
      <c r="E416" s="22" t="str">
        <f>HYPERLINK("https://twitter.com/latikia/status/922384123410505729","922384123410505729")</f>
        <v>922384123410505729</v>
      </c>
      <c r="F416" s="23" t="s">
        <v>187</v>
      </c>
      <c r="G416" s="24">
        <v>2660.0</v>
      </c>
      <c r="H416" s="24">
        <v>1598.0</v>
      </c>
      <c r="I416" s="24">
        <v>0.0</v>
      </c>
      <c r="J416" s="24">
        <v>0.0</v>
      </c>
      <c r="K416" s="23" t="s">
        <v>34</v>
      </c>
      <c r="L416" s="25">
        <v>41313.91615740741</v>
      </c>
      <c r="M416" s="26" t="s">
        <v>1181</v>
      </c>
      <c r="N416" s="26" t="s">
        <v>1182</v>
      </c>
      <c r="O416" s="22" t="str">
        <f>HYPERLINK("https://pbs.twimg.com/profile_images/885991071833964544/8biPz_h0_normal.jpg","View")</f>
        <v>View</v>
      </c>
      <c r="P416" s="27"/>
    </row>
    <row r="417">
      <c r="A417" s="14">
        <v>43031.07508101852</v>
      </c>
      <c r="B417" s="20" t="str">
        <f>HYPERLINK("https://twitter.com/TimothySmithSFO","@TimothySmithSFO")</f>
        <v>@TimothySmithSFO</v>
      </c>
      <c r="C417" s="21" t="s">
        <v>1183</v>
      </c>
      <c r="D417" s="21" t="s">
        <v>1184</v>
      </c>
      <c r="E417" s="22" t="str">
        <f>HYPERLINK("https://twitter.com/TimothySmithSFO/status/922384127499882497","922384127499882497")</f>
        <v>922384127499882497</v>
      </c>
      <c r="F417" s="23" t="s">
        <v>1185</v>
      </c>
      <c r="G417" s="24">
        <v>3004.0</v>
      </c>
      <c r="H417" s="24">
        <v>1546.0</v>
      </c>
      <c r="I417" s="24">
        <v>0.0</v>
      </c>
      <c r="J417" s="24">
        <v>0.0</v>
      </c>
      <c r="K417" s="23" t="s">
        <v>34</v>
      </c>
      <c r="L417" s="25">
        <v>40529.60854166667</v>
      </c>
      <c r="M417" s="26" t="s">
        <v>1186</v>
      </c>
      <c r="N417" s="26" t="s">
        <v>1187</v>
      </c>
      <c r="O417" s="22" t="str">
        <f>HYPERLINK("https://pbs.twimg.com/profile_images/559147211066339328/eKrplQwt_normal.jpeg","View")</f>
        <v>View</v>
      </c>
      <c r="P417" s="27"/>
    </row>
    <row r="418">
      <c r="A418" s="14">
        <v>43031.07508101852</v>
      </c>
      <c r="B418" s="20" t="str">
        <f>HYPERLINK("https://twitter.com/RamPrakriya","@RamPrakriya")</f>
        <v>@RamPrakriya</v>
      </c>
      <c r="C418" s="21" t="s">
        <v>1188</v>
      </c>
      <c r="D418" s="21" t="s">
        <v>42</v>
      </c>
      <c r="E418" s="22" t="str">
        <f>HYPERLINK("https://twitter.com/RamPrakriya/status/922384128095305728","922384128095305728")</f>
        <v>922384128095305728</v>
      </c>
      <c r="F418" s="23" t="s">
        <v>39</v>
      </c>
      <c r="G418" s="24">
        <v>356.0</v>
      </c>
      <c r="H418" s="24">
        <v>748.0</v>
      </c>
      <c r="I418" s="24">
        <v>8501.0</v>
      </c>
      <c r="J418" s="24">
        <v>0.0</v>
      </c>
      <c r="K418" s="23" t="s">
        <v>34</v>
      </c>
      <c r="L418" s="25">
        <v>40337.02165509259</v>
      </c>
      <c r="M418" s="26" t="s">
        <v>1189</v>
      </c>
      <c r="N418" s="26" t="s">
        <v>1190</v>
      </c>
      <c r="O418" s="22" t="str">
        <f>HYPERLINK("https://pbs.twimg.com/profile_images/2434875627/44r41fusgfonx5atx4eh_normal.jpeg","View")</f>
        <v>View</v>
      </c>
      <c r="P418" s="27"/>
    </row>
    <row r="419">
      <c r="A419" s="14">
        <v>43031.075104166666</v>
      </c>
      <c r="B419" s="20" t="str">
        <f>HYPERLINK("https://twitter.com/PetroLucrum","@PetroLucrum")</f>
        <v>@PetroLucrum</v>
      </c>
      <c r="C419" s="21" t="s">
        <v>1191</v>
      </c>
      <c r="D419" s="21" t="s">
        <v>1192</v>
      </c>
      <c r="E419" s="22" t="str">
        <f>HYPERLINK("https://twitter.com/PetroLucrum/status/922384134969978880","922384134969978880")</f>
        <v>922384134969978880</v>
      </c>
      <c r="F419" s="23" t="s">
        <v>1185</v>
      </c>
      <c r="G419" s="24">
        <v>7251.0</v>
      </c>
      <c r="H419" s="24">
        <v>4376.0</v>
      </c>
      <c r="I419" s="24">
        <v>0.0</v>
      </c>
      <c r="J419" s="24">
        <v>0.0</v>
      </c>
      <c r="K419" s="23" t="s">
        <v>34</v>
      </c>
      <c r="L419" s="25">
        <v>40363.315034722225</v>
      </c>
      <c r="M419" s="26" t="s">
        <v>1193</v>
      </c>
      <c r="N419" s="26" t="s">
        <v>1194</v>
      </c>
      <c r="O419" s="22" t="str">
        <f>HYPERLINK("https://pbs.twimg.com/profile_images/589267545716183040/vjgNxzOq_normal.jpg","View")</f>
        <v>View</v>
      </c>
      <c r="P419" s="27"/>
    </row>
    <row r="420">
      <c r="A420" s="14">
        <v>43031.07513888889</v>
      </c>
      <c r="B420" s="20" t="str">
        <f>HYPERLINK("https://twitter.com/BrandingShirts","@BrandingShirts")</f>
        <v>@BrandingShirts</v>
      </c>
      <c r="C420" s="21" t="s">
        <v>1195</v>
      </c>
      <c r="D420" s="21" t="s">
        <v>1196</v>
      </c>
      <c r="E420" s="22" t="str">
        <f>HYPERLINK("https://twitter.com/BrandingShirts/status/922384147158589440","922384147158589440")</f>
        <v>922384147158589440</v>
      </c>
      <c r="F420" s="23" t="s">
        <v>187</v>
      </c>
      <c r="G420" s="24">
        <v>817.0</v>
      </c>
      <c r="H420" s="24">
        <v>1037.0</v>
      </c>
      <c r="I420" s="24">
        <v>0.0</v>
      </c>
      <c r="J420" s="24">
        <v>0.0</v>
      </c>
      <c r="K420" s="23" t="s">
        <v>34</v>
      </c>
      <c r="L420" s="25">
        <v>42536.56013888889</v>
      </c>
      <c r="M420" s="28"/>
      <c r="N420" s="26" t="s">
        <v>1197</v>
      </c>
      <c r="O420" s="22" t="str">
        <f>HYPERLINK("https://pbs.twimg.com/profile_images/874006739380842496/la4FZ9-l_normal.jpg","View")</f>
        <v>View</v>
      </c>
      <c r="P420" s="27"/>
    </row>
    <row r="421">
      <c r="A421" s="14">
        <v>43031.07517361111</v>
      </c>
      <c r="B421" s="20" t="str">
        <f>HYPERLINK("https://twitter.com/ROCKANGELICAINF","@ROCKANGELICAINF")</f>
        <v>@ROCKANGELICAINF</v>
      </c>
      <c r="C421" s="21" t="s">
        <v>1198</v>
      </c>
      <c r="D421" s="21" t="s">
        <v>760</v>
      </c>
      <c r="E421" s="22" t="str">
        <f>HYPERLINK("https://twitter.com/ROCKANGELICAINF/status/922384160370573318","922384160370573318")</f>
        <v>922384160370573318</v>
      </c>
      <c r="F421" s="23" t="s">
        <v>39</v>
      </c>
      <c r="G421" s="24">
        <v>873.0</v>
      </c>
      <c r="H421" s="24">
        <v>96.0</v>
      </c>
      <c r="I421" s="24">
        <v>62.0</v>
      </c>
      <c r="J421" s="24">
        <v>0.0</v>
      </c>
      <c r="K421" s="23" t="s">
        <v>34</v>
      </c>
      <c r="L421" s="25">
        <v>40285.925891203704</v>
      </c>
      <c r="M421" s="28"/>
      <c r="N421" s="26" t="s">
        <v>1199</v>
      </c>
      <c r="O421" s="22" t="str">
        <f>HYPERLINK("https://pbs.twimg.com/profile_images/910663445036466176/xqZJH4Wt_normal.jpg","View")</f>
        <v>View</v>
      </c>
      <c r="P421" s="27"/>
    </row>
    <row r="422">
      <c r="A422" s="14">
        <v>43031.075208333335</v>
      </c>
      <c r="B422" s="20" t="str">
        <f>HYPERLINK("https://twitter.com/pramster","@pramster")</f>
        <v>@pramster</v>
      </c>
      <c r="C422" s="21" t="s">
        <v>1200</v>
      </c>
      <c r="D422" s="21" t="s">
        <v>42</v>
      </c>
      <c r="E422" s="22" t="str">
        <f>HYPERLINK("https://twitter.com/pramster/status/922384174538883072","922384174538883072")</f>
        <v>922384174538883072</v>
      </c>
      <c r="F422" s="23" t="s">
        <v>33</v>
      </c>
      <c r="G422" s="24">
        <v>368.0</v>
      </c>
      <c r="H422" s="24">
        <v>677.0</v>
      </c>
      <c r="I422" s="24">
        <v>8501.0</v>
      </c>
      <c r="J422" s="24">
        <v>0.0</v>
      </c>
      <c r="K422" s="23" t="s">
        <v>34</v>
      </c>
      <c r="L422" s="25">
        <v>40184.132685185185</v>
      </c>
      <c r="M422" s="26" t="s">
        <v>1201</v>
      </c>
      <c r="N422" s="26" t="s">
        <v>1202</v>
      </c>
      <c r="O422" s="22" t="str">
        <f>HYPERLINK("https://pbs.twimg.com/profile_images/915589555591421952/Cn6P9SWD_normal.jpg","View")</f>
        <v>View</v>
      </c>
      <c r="P422" s="27"/>
    </row>
    <row r="423">
      <c r="A423" s="14">
        <v>43031.07524305556</v>
      </c>
      <c r="B423" s="20" t="str">
        <f>HYPERLINK("https://twitter.com/brihum","@brihum")</f>
        <v>@brihum</v>
      </c>
      <c r="C423" s="21" t="s">
        <v>1203</v>
      </c>
      <c r="D423" s="21" t="s">
        <v>32</v>
      </c>
      <c r="E423" s="22" t="str">
        <f>HYPERLINK("https://twitter.com/brihum/status/922384185905569792","922384185905569792")</f>
        <v>922384185905569792</v>
      </c>
      <c r="F423" s="23" t="s">
        <v>86</v>
      </c>
      <c r="G423" s="24">
        <v>3489.0</v>
      </c>
      <c r="H423" s="24">
        <v>3790.0</v>
      </c>
      <c r="I423" s="24">
        <v>471.0</v>
      </c>
      <c r="J423" s="24">
        <v>0.0</v>
      </c>
      <c r="K423" s="23" t="s">
        <v>34</v>
      </c>
      <c r="L423" s="25">
        <v>40072.35018518518</v>
      </c>
      <c r="M423" s="26" t="s">
        <v>1204</v>
      </c>
      <c r="N423" s="26" t="s">
        <v>1205</v>
      </c>
      <c r="O423" s="22" t="str">
        <f>HYPERLINK("https://pbs.twimg.com/profile_images/829452189424873478/ElfweWOY_normal.jpg","View")</f>
        <v>View</v>
      </c>
      <c r="P423" s="27"/>
    </row>
    <row r="424">
      <c r="A424" s="14">
        <v>43031.07528935185</v>
      </c>
      <c r="B424" s="20" t="str">
        <f>HYPERLINK("https://twitter.com/pablorodas","@pablorodas")</f>
        <v>@pablorodas</v>
      </c>
      <c r="C424" s="21" t="s">
        <v>1206</v>
      </c>
      <c r="D424" s="21" t="s">
        <v>67</v>
      </c>
      <c r="E424" s="22" t="str">
        <f>HYPERLINK("https://twitter.com/pablorodas/status/922384200224903169","922384200224903169")</f>
        <v>922384200224903169</v>
      </c>
      <c r="F424" s="23" t="s">
        <v>39</v>
      </c>
      <c r="G424" s="24">
        <v>45357.0</v>
      </c>
      <c r="H424" s="24">
        <v>36846.0</v>
      </c>
      <c r="I424" s="24">
        <v>169.0</v>
      </c>
      <c r="J424" s="24">
        <v>0.0</v>
      </c>
      <c r="K424" s="23" t="s">
        <v>34</v>
      </c>
      <c r="L424" s="25">
        <v>39993.426203703704</v>
      </c>
      <c r="M424" s="26" t="s">
        <v>1207</v>
      </c>
      <c r="N424" s="26" t="s">
        <v>1208</v>
      </c>
      <c r="O424" s="22" t="str">
        <f>HYPERLINK("https://pbs.twimg.com/profile_images/921490387625267201/HIuoXZV9_normal.jpg","View")</f>
        <v>View</v>
      </c>
      <c r="P424" s="27"/>
    </row>
    <row r="425">
      <c r="A425" s="14">
        <v>43031.07528935185</v>
      </c>
      <c r="B425" s="20" t="str">
        <f>HYPERLINK("https://twitter.com/Jawahargoel","@Jawahargoel")</f>
        <v>@Jawahargoel</v>
      </c>
      <c r="C425" s="21" t="s">
        <v>1209</v>
      </c>
      <c r="D425" s="21" t="s">
        <v>42</v>
      </c>
      <c r="E425" s="22" t="str">
        <f>HYPERLINK("https://twitter.com/Jawahargoel/status/922384201147547648","922384201147547648")</f>
        <v>922384201147547648</v>
      </c>
      <c r="F425" s="23" t="s">
        <v>39</v>
      </c>
      <c r="G425" s="24">
        <v>2226.0</v>
      </c>
      <c r="H425" s="24">
        <v>534.0</v>
      </c>
      <c r="I425" s="24">
        <v>8501.0</v>
      </c>
      <c r="J425" s="24">
        <v>0.0</v>
      </c>
      <c r="K425" s="23" t="s">
        <v>34</v>
      </c>
      <c r="L425" s="25">
        <v>41498.14571759259</v>
      </c>
      <c r="M425" s="26" t="s">
        <v>1210</v>
      </c>
      <c r="N425" s="26" t="s">
        <v>1211</v>
      </c>
      <c r="O425" s="22" t="str">
        <f>HYPERLINK("https://pbs.twimg.com/profile_images/378800000279311554/2c1d105d784a19170dff0d645a4947fe_normal.jpeg","View")</f>
        <v>View</v>
      </c>
      <c r="P425" s="27"/>
    </row>
    <row r="426">
      <c r="A426" s="14">
        <v>43031.07534722222</v>
      </c>
      <c r="B426" s="20" t="str">
        <f>HYPERLINK("https://twitter.com/rhitesh711","@rhitesh711")</f>
        <v>@rhitesh711</v>
      </c>
      <c r="C426" s="21" t="s">
        <v>1212</v>
      </c>
      <c r="D426" s="21" t="s">
        <v>42</v>
      </c>
      <c r="E426" s="22" t="str">
        <f>HYPERLINK("https://twitter.com/rhitesh711/status/922384223452913664","922384223452913664")</f>
        <v>922384223452913664</v>
      </c>
      <c r="F426" s="23" t="s">
        <v>33</v>
      </c>
      <c r="G426" s="24">
        <v>143.0</v>
      </c>
      <c r="H426" s="24">
        <v>923.0</v>
      </c>
      <c r="I426" s="24">
        <v>8501.0</v>
      </c>
      <c r="J426" s="24">
        <v>0.0</v>
      </c>
      <c r="K426" s="23" t="s">
        <v>34</v>
      </c>
      <c r="L426" s="25">
        <v>41362.21251157408</v>
      </c>
      <c r="M426" s="26" t="s">
        <v>246</v>
      </c>
      <c r="N426" s="26" t="s">
        <v>1213</v>
      </c>
      <c r="O426" s="22" t="str">
        <f>HYPERLINK("https://pbs.twimg.com/profile_images/848828592280621057/te-S_G0c_normal.jpg","View")</f>
        <v>View</v>
      </c>
      <c r="P426" s="27"/>
    </row>
    <row r="427">
      <c r="A427" s="14">
        <v>43031.0753587963</v>
      </c>
      <c r="B427" s="20" t="str">
        <f>HYPERLINK("https://twitter.com/FD_News","@FD_News")</f>
        <v>@FD_News</v>
      </c>
      <c r="C427" s="21" t="s">
        <v>1214</v>
      </c>
      <c r="D427" s="21" t="s">
        <v>1215</v>
      </c>
      <c r="E427" s="22" t="str">
        <f>HYPERLINK("https://twitter.com/FD_News/status/922384227332775936","922384227332775936")</f>
        <v>922384227332775936</v>
      </c>
      <c r="F427" s="23" t="s">
        <v>1216</v>
      </c>
      <c r="G427" s="24">
        <v>77.0</v>
      </c>
      <c r="H427" s="24">
        <v>0.0</v>
      </c>
      <c r="I427" s="24">
        <v>0.0</v>
      </c>
      <c r="J427" s="24">
        <v>0.0</v>
      </c>
      <c r="K427" s="23" t="s">
        <v>34</v>
      </c>
      <c r="L427" s="25">
        <v>42288.49700231482</v>
      </c>
      <c r="M427" s="28"/>
      <c r="N427" s="28"/>
      <c r="O427" s="22" t="str">
        <f>HYPERLINK("https://pbs.twimg.com/profile_images/653285147169558528/ArEhmzZz_normal.jpg","View")</f>
        <v>View</v>
      </c>
      <c r="P427" s="27"/>
    </row>
    <row r="428">
      <c r="A428" s="14">
        <v>43031.07540509259</v>
      </c>
      <c r="B428" s="20" t="str">
        <f>HYPERLINK("https://twitter.com/MindYourBiz001","@MindYourBiz001")</f>
        <v>@MindYourBiz001</v>
      </c>
      <c r="C428" s="21" t="s">
        <v>1217</v>
      </c>
      <c r="D428" s="21" t="s">
        <v>42</v>
      </c>
      <c r="E428" s="22" t="str">
        <f>HYPERLINK("https://twitter.com/MindYourBiz001/status/922384244051025920","922384244051025920")</f>
        <v>922384244051025920</v>
      </c>
      <c r="F428" s="23" t="s">
        <v>33</v>
      </c>
      <c r="G428" s="24">
        <v>560.0</v>
      </c>
      <c r="H428" s="24">
        <v>2059.0</v>
      </c>
      <c r="I428" s="24">
        <v>8501.0</v>
      </c>
      <c r="J428" s="24">
        <v>0.0</v>
      </c>
      <c r="K428" s="23" t="s">
        <v>34</v>
      </c>
      <c r="L428" s="25">
        <v>40195.31575231481</v>
      </c>
      <c r="M428" s="28"/>
      <c r="N428" s="26" t="s">
        <v>1218</v>
      </c>
      <c r="O428" s="22" t="str">
        <f>HYPERLINK("https://pbs.twimg.com/profile_images/710300591092707329/Zpqcr1eK_normal.jpg","View")</f>
        <v>View</v>
      </c>
      <c r="P428" s="27"/>
    </row>
    <row r="429">
      <c r="A429" s="14">
        <v>43031.075625</v>
      </c>
      <c r="B429" s="20" t="str">
        <f>HYPERLINK("https://twitter.com/sassenvanelsloo","@sassenvanelsloo")</f>
        <v>@sassenvanelsloo</v>
      </c>
      <c r="C429" s="21" t="s">
        <v>1219</v>
      </c>
      <c r="D429" s="21" t="s">
        <v>1220</v>
      </c>
      <c r="E429" s="22" t="str">
        <f>HYPERLINK("https://twitter.com/sassenvanelsloo/status/922384323575255042","922384323575255042")</f>
        <v>922384323575255042</v>
      </c>
      <c r="F429" s="23" t="s">
        <v>33</v>
      </c>
      <c r="G429" s="24">
        <v>4809.0</v>
      </c>
      <c r="H429" s="24">
        <v>5208.0</v>
      </c>
      <c r="I429" s="24">
        <v>26.0</v>
      </c>
      <c r="J429" s="24">
        <v>0.0</v>
      </c>
      <c r="K429" s="23" t="s">
        <v>34</v>
      </c>
      <c r="L429" s="25">
        <v>40618.1193287037</v>
      </c>
      <c r="M429" s="28"/>
      <c r="N429" s="26" t="s">
        <v>1221</v>
      </c>
      <c r="O429" s="22" t="str">
        <f>HYPERLINK("https://pbs.twimg.com/profile_images/887988029264203776/zNQtwZJg_normal.jpg","View")</f>
        <v>View</v>
      </c>
      <c r="P429" s="27"/>
    </row>
    <row r="430">
      <c r="A430" s="14">
        <v>43031.075636574074</v>
      </c>
      <c r="B430" s="20" t="str">
        <f>HYPERLINK("https://twitter.com/iamkarenpang","@iamkarenpang")</f>
        <v>@iamkarenpang</v>
      </c>
      <c r="C430" s="21" t="s">
        <v>1222</v>
      </c>
      <c r="D430" s="21" t="s">
        <v>1223</v>
      </c>
      <c r="E430" s="22" t="str">
        <f>HYPERLINK("https://twitter.com/iamkarenpang/status/922384326670479361","922384326670479361")</f>
        <v>922384326670479361</v>
      </c>
      <c r="F430" s="23" t="s">
        <v>55</v>
      </c>
      <c r="G430" s="24">
        <v>29.0</v>
      </c>
      <c r="H430" s="24">
        <v>59.0</v>
      </c>
      <c r="I430" s="24">
        <v>0.0</v>
      </c>
      <c r="J430" s="24">
        <v>0.0</v>
      </c>
      <c r="K430" s="23" t="s">
        <v>34</v>
      </c>
      <c r="L430" s="25">
        <v>40036.964374999996</v>
      </c>
      <c r="M430" s="26" t="s">
        <v>1224</v>
      </c>
      <c r="N430" s="26" t="s">
        <v>1225</v>
      </c>
      <c r="O430" s="22" t="str">
        <f>HYPERLINK("https://pbs.twimg.com/profile_images/922488848726102016/3fPEPkCl_normal.jpg","View")</f>
        <v>View</v>
      </c>
      <c r="P430" s="27"/>
    </row>
    <row r="431">
      <c r="A431" s="14">
        <v>43031.0756712963</v>
      </c>
      <c r="B431" s="20" t="str">
        <f>HYPERLINK("https://twitter.com/rob3knews","@rob3knews")</f>
        <v>@rob3knews</v>
      </c>
      <c r="C431" s="21" t="s">
        <v>1226</v>
      </c>
      <c r="D431" s="21" t="s">
        <v>1227</v>
      </c>
      <c r="E431" s="22" t="str">
        <f>HYPERLINK("https://twitter.com/rob3knews/status/922384338632704000","922384338632704000")</f>
        <v>922384338632704000</v>
      </c>
      <c r="F431" s="23" t="s">
        <v>91</v>
      </c>
      <c r="G431" s="24">
        <v>24.0</v>
      </c>
      <c r="H431" s="24">
        <v>0.0</v>
      </c>
      <c r="I431" s="24">
        <v>0.0</v>
      </c>
      <c r="J431" s="24">
        <v>0.0</v>
      </c>
      <c r="K431" s="23" t="s">
        <v>34</v>
      </c>
      <c r="L431" s="25">
        <v>40659.28465277778</v>
      </c>
      <c r="M431" s="28"/>
      <c r="N431" s="28"/>
      <c r="O431" s="22" t="str">
        <f>HYPERLINK("https://abs.twimg.com/sticky/default_profile_images/default_profile_normal.png","View")</f>
        <v>View</v>
      </c>
      <c r="P431" s="27"/>
    </row>
    <row r="432">
      <c r="A432" s="14">
        <v>43031.075682870374</v>
      </c>
      <c r="B432" s="20" t="str">
        <f>HYPERLINK("https://twitter.com/libertad717","@libertad717")</f>
        <v>@libertad717</v>
      </c>
      <c r="C432" s="21" t="s">
        <v>1228</v>
      </c>
      <c r="D432" s="21" t="s">
        <v>1229</v>
      </c>
      <c r="E432" s="22" t="str">
        <f>HYPERLINK("https://twitter.com/libertad717/status/922384343980564480","922384343980564480")</f>
        <v>922384343980564480</v>
      </c>
      <c r="F432" s="23" t="s">
        <v>33</v>
      </c>
      <c r="G432" s="24">
        <v>1043.0</v>
      </c>
      <c r="H432" s="24">
        <v>1058.0</v>
      </c>
      <c r="I432" s="24">
        <v>10.0</v>
      </c>
      <c r="J432" s="24">
        <v>0.0</v>
      </c>
      <c r="K432" s="23" t="s">
        <v>34</v>
      </c>
      <c r="L432" s="25">
        <v>40681.701203703706</v>
      </c>
      <c r="M432" s="28"/>
      <c r="N432" s="28"/>
      <c r="O432" s="22" t="str">
        <f>HYPERLINK("https://pbs.twimg.com/profile_images/378800000709612949/cfd1435ac2c89df971f95fff2d2610a6_normal.jpeg","View")</f>
        <v>View</v>
      </c>
      <c r="P432" s="27"/>
    </row>
    <row r="433">
      <c r="A433" s="14">
        <v>43031.07575231481</v>
      </c>
      <c r="B433" s="20" t="str">
        <f>HYPERLINK("https://twitter.com/RohitpatelCE","@RohitpatelCE")</f>
        <v>@RohitpatelCE</v>
      </c>
      <c r="C433" s="21" t="s">
        <v>1230</v>
      </c>
      <c r="D433" s="21" t="s">
        <v>42</v>
      </c>
      <c r="E433" s="22" t="str">
        <f>HYPERLINK("https://twitter.com/RohitpatelCE/status/922384367846023168","922384367846023168")</f>
        <v>922384367846023168</v>
      </c>
      <c r="F433" s="23" t="s">
        <v>33</v>
      </c>
      <c r="G433" s="24">
        <v>3.0</v>
      </c>
      <c r="H433" s="24">
        <v>87.0</v>
      </c>
      <c r="I433" s="24">
        <v>8501.0</v>
      </c>
      <c r="J433" s="24">
        <v>0.0</v>
      </c>
      <c r="K433" s="23" t="s">
        <v>34</v>
      </c>
      <c r="L433" s="25">
        <v>42984.55710648149</v>
      </c>
      <c r="M433" s="28"/>
      <c r="N433" s="28"/>
      <c r="O433" s="22" t="str">
        <f>HYPERLINK("https://abs.twimg.com/sticky/default_profile_images/default_profile_normal.png","View")</f>
        <v>View</v>
      </c>
      <c r="P433" s="27"/>
    </row>
    <row r="434">
      <c r="A434" s="14">
        <v>43031.07577546296</v>
      </c>
      <c r="B434" s="20" t="str">
        <f>HYPERLINK("https://twitter.com/libertad717","@libertad717")</f>
        <v>@libertad717</v>
      </c>
      <c r="C434" s="21" t="s">
        <v>1228</v>
      </c>
      <c r="D434" s="21" t="s">
        <v>1231</v>
      </c>
      <c r="E434" s="22" t="str">
        <f>HYPERLINK("https://twitter.com/libertad717/status/922384378969378816","922384378969378816")</f>
        <v>922384378969378816</v>
      </c>
      <c r="F434" s="23" t="s">
        <v>33</v>
      </c>
      <c r="G434" s="24">
        <v>1043.0</v>
      </c>
      <c r="H434" s="24">
        <v>1058.0</v>
      </c>
      <c r="I434" s="24">
        <v>10.0</v>
      </c>
      <c r="J434" s="24">
        <v>0.0</v>
      </c>
      <c r="K434" s="23" t="s">
        <v>34</v>
      </c>
      <c r="L434" s="25">
        <v>40681.701203703706</v>
      </c>
      <c r="M434" s="28"/>
      <c r="N434" s="28"/>
      <c r="O434" s="22" t="str">
        <f>HYPERLINK("https://pbs.twimg.com/profile_images/378800000709612949/cfd1435ac2c89df971f95fff2d2610a6_normal.jpeg","View")</f>
        <v>View</v>
      </c>
      <c r="P434" s="27"/>
    </row>
    <row r="435">
      <c r="A435" s="14">
        <v>43031.07586805556</v>
      </c>
      <c r="B435" s="20" t="str">
        <f>HYPERLINK("https://twitter.com/NickD72601197","@NickD72601197")</f>
        <v>@NickD72601197</v>
      </c>
      <c r="C435" s="21" t="s">
        <v>1098</v>
      </c>
      <c r="D435" s="21" t="s">
        <v>1232</v>
      </c>
      <c r="E435" s="22" t="str">
        <f>HYPERLINK("https://twitter.com/NickD72601197/status/922384413123543041","922384413123543041")</f>
        <v>922384413123543041</v>
      </c>
      <c r="F435" s="23" t="s">
        <v>1099</v>
      </c>
      <c r="G435" s="24">
        <v>258.0</v>
      </c>
      <c r="H435" s="24">
        <v>2314.0</v>
      </c>
      <c r="I435" s="24">
        <v>7.0</v>
      </c>
      <c r="J435" s="24">
        <v>0.0</v>
      </c>
      <c r="K435" s="23" t="s">
        <v>34</v>
      </c>
      <c r="L435" s="25">
        <v>42904.52740740741</v>
      </c>
      <c r="M435" s="26" t="s">
        <v>68</v>
      </c>
      <c r="N435" s="26" t="s">
        <v>1100</v>
      </c>
      <c r="O435" s="22" t="str">
        <f>HYPERLINK("https://pbs.twimg.com/profile_images/876525064207966210/JF-OGieZ_normal.jpg","View")</f>
        <v>View</v>
      </c>
      <c r="P435" s="27"/>
    </row>
    <row r="436">
      <c r="A436" s="14">
        <v>43031.07587962963</v>
      </c>
      <c r="B436" s="20" t="str">
        <f>HYPERLINK("https://twitter.com/Ivanevans254","@Ivanevans254")</f>
        <v>@Ivanevans254</v>
      </c>
      <c r="C436" s="21" t="s">
        <v>1233</v>
      </c>
      <c r="D436" s="21" t="s">
        <v>910</v>
      </c>
      <c r="E436" s="22" t="str">
        <f>HYPERLINK("https://twitter.com/Ivanevans254/status/922384414797172737","922384414797172737")</f>
        <v>922384414797172737</v>
      </c>
      <c r="F436" s="23" t="s">
        <v>33</v>
      </c>
      <c r="G436" s="24">
        <v>235.0</v>
      </c>
      <c r="H436" s="24">
        <v>813.0</v>
      </c>
      <c r="I436" s="24">
        <v>2.0</v>
      </c>
      <c r="J436" s="24">
        <v>0.0</v>
      </c>
      <c r="K436" s="23" t="s">
        <v>34</v>
      </c>
      <c r="L436" s="25">
        <v>42923.227476851855</v>
      </c>
      <c r="M436" s="26" t="s">
        <v>1234</v>
      </c>
      <c r="N436" s="26" t="s">
        <v>1235</v>
      </c>
      <c r="O436" s="22" t="str">
        <f>HYPERLINK("https://pbs.twimg.com/profile_images/920652937709477888/CrgzEEMq_normal.jpg","View")</f>
        <v>View</v>
      </c>
      <c r="P436" s="27"/>
    </row>
    <row r="437">
      <c r="A437" s="14">
        <v>43031.07587962963</v>
      </c>
      <c r="B437" s="20" t="str">
        <f>HYPERLINK("https://twitter.com/JudithAkolo","@JudithAkolo")</f>
        <v>@JudithAkolo</v>
      </c>
      <c r="C437" s="21" t="s">
        <v>1236</v>
      </c>
      <c r="D437" s="21" t="s">
        <v>1237</v>
      </c>
      <c r="E437" s="22" t="str">
        <f>HYPERLINK("https://twitter.com/JudithAkolo/status/922384415635931136","922384415635931136")</f>
        <v>922384415635931136</v>
      </c>
      <c r="F437" s="23" t="s">
        <v>55</v>
      </c>
      <c r="G437" s="24">
        <v>3474.0</v>
      </c>
      <c r="H437" s="24">
        <v>999.0</v>
      </c>
      <c r="I437" s="24">
        <v>4.0</v>
      </c>
      <c r="J437" s="24">
        <v>0.0</v>
      </c>
      <c r="K437" s="23" t="s">
        <v>34</v>
      </c>
      <c r="L437" s="25">
        <v>40738.13922453704</v>
      </c>
      <c r="M437" s="26" t="s">
        <v>282</v>
      </c>
      <c r="N437" s="26" t="s">
        <v>1238</v>
      </c>
      <c r="O437" s="22" t="str">
        <f>HYPERLINK("https://pbs.twimg.com/profile_images/862594393743785985/9UN7ab-r_normal.jpg","View")</f>
        <v>View</v>
      </c>
      <c r="P437" s="27"/>
    </row>
    <row r="438">
      <c r="A438" s="14">
        <v>43031.075891203705</v>
      </c>
      <c r="B438" s="20" t="str">
        <f>HYPERLINK("https://twitter.com/Spurrconsult","@Spurrconsult")</f>
        <v>@Spurrconsult</v>
      </c>
      <c r="C438" s="21" t="s">
        <v>1239</v>
      </c>
      <c r="D438" s="21" t="s">
        <v>1240</v>
      </c>
      <c r="E438" s="22" t="str">
        <f>HYPERLINK("https://twitter.com/Spurrconsult/status/922384419083685888","922384419083685888")</f>
        <v>922384419083685888</v>
      </c>
      <c r="F438" s="23" t="s">
        <v>55</v>
      </c>
      <c r="G438" s="24">
        <v>532.0</v>
      </c>
      <c r="H438" s="24">
        <v>470.0</v>
      </c>
      <c r="I438" s="24">
        <v>13.0</v>
      </c>
      <c r="J438" s="24">
        <v>0.0</v>
      </c>
      <c r="K438" s="23" t="s">
        <v>34</v>
      </c>
      <c r="L438" s="25">
        <v>42535.26868055556</v>
      </c>
      <c r="M438" s="26" t="s">
        <v>1241</v>
      </c>
      <c r="N438" s="26" t="s">
        <v>1242</v>
      </c>
      <c r="O438" s="22" t="str">
        <f>HYPERLINK("https://pbs.twimg.com/profile_images/748245440408264705/KTJdsgll_normal.jpg","View")</f>
        <v>View</v>
      </c>
      <c r="P438" s="27"/>
    </row>
    <row r="439">
      <c r="A439" s="14">
        <v>43031.07591435185</v>
      </c>
      <c r="B439" s="20" t="str">
        <f>HYPERLINK("https://twitter.com/Opulu_tom","@Opulu_tom")</f>
        <v>@Opulu_tom</v>
      </c>
      <c r="C439" s="21" t="s">
        <v>1243</v>
      </c>
      <c r="D439" s="21" t="s">
        <v>32</v>
      </c>
      <c r="E439" s="22" t="str">
        <f>HYPERLINK("https://twitter.com/Opulu_tom/status/922384427036106752","922384427036106752")</f>
        <v>922384427036106752</v>
      </c>
      <c r="F439" s="23" t="s">
        <v>43</v>
      </c>
      <c r="G439" s="24">
        <v>175.0</v>
      </c>
      <c r="H439" s="24">
        <v>430.0</v>
      </c>
      <c r="I439" s="24">
        <v>471.0</v>
      </c>
      <c r="J439" s="24">
        <v>0.0</v>
      </c>
      <c r="K439" s="23" t="s">
        <v>34</v>
      </c>
      <c r="L439" s="25">
        <v>41667.479155092595</v>
      </c>
      <c r="M439" s="28"/>
      <c r="N439" s="26" t="s">
        <v>1244</v>
      </c>
      <c r="O439" s="22" t="str">
        <f>HYPERLINK("https://pbs.twimg.com/profile_images/911511143079964673/HtbLuljb_normal.jpg","View")</f>
        <v>View</v>
      </c>
      <c r="P439" s="27"/>
    </row>
    <row r="440">
      <c r="A440" s="14">
        <v>43031.07599537037</v>
      </c>
      <c r="B440" s="20" t="str">
        <f>HYPERLINK("https://twitter.com/LeAnneTancred","@LeAnneTancred")</f>
        <v>@LeAnneTancred</v>
      </c>
      <c r="C440" s="21" t="s">
        <v>1245</v>
      </c>
      <c r="D440" s="21" t="s">
        <v>760</v>
      </c>
      <c r="E440" s="22" t="str">
        <f>HYPERLINK("https://twitter.com/LeAnneTancred/status/922384458984181760","922384458984181760")</f>
        <v>922384458984181760</v>
      </c>
      <c r="F440" s="23" t="s">
        <v>55</v>
      </c>
      <c r="G440" s="24">
        <v>1125.0</v>
      </c>
      <c r="H440" s="24">
        <v>5001.0</v>
      </c>
      <c r="I440" s="24">
        <v>62.0</v>
      </c>
      <c r="J440" s="24">
        <v>0.0</v>
      </c>
      <c r="K440" s="23" t="s">
        <v>34</v>
      </c>
      <c r="L440" s="25">
        <v>39723.74212962963</v>
      </c>
      <c r="M440" s="26" t="s">
        <v>1246</v>
      </c>
      <c r="N440" s="26" t="s">
        <v>1247</v>
      </c>
      <c r="O440" s="22" t="str">
        <f>HYPERLINK("https://abs.twimg.com/sticky/default_profile_images/default_profile_normal.png","View")</f>
        <v>View</v>
      </c>
      <c r="P440" s="27"/>
    </row>
    <row r="441">
      <c r="A441" s="14">
        <v>43031.076053240744</v>
      </c>
      <c r="B441" s="20" t="str">
        <f>HYPERLINK("https://twitter.com/BSAFunds","@BSAFunds")</f>
        <v>@BSAFunds</v>
      </c>
      <c r="C441" s="21" t="s">
        <v>1248</v>
      </c>
      <c r="D441" s="21" t="s">
        <v>1249</v>
      </c>
      <c r="E441" s="22" t="str">
        <f>HYPERLINK("https://twitter.com/BSAFunds/status/922384479804588032","922384479804588032")</f>
        <v>922384479804588032</v>
      </c>
      <c r="F441" s="23" t="s">
        <v>187</v>
      </c>
      <c r="G441" s="24">
        <v>20910.0</v>
      </c>
      <c r="H441" s="24">
        <v>8929.0</v>
      </c>
      <c r="I441" s="24">
        <v>0.0</v>
      </c>
      <c r="J441" s="24">
        <v>0.0</v>
      </c>
      <c r="K441" s="23" t="s">
        <v>34</v>
      </c>
      <c r="L441" s="25">
        <v>42601.94818287037</v>
      </c>
      <c r="M441" s="26" t="s">
        <v>1250</v>
      </c>
      <c r="N441" s="26" t="s">
        <v>1251</v>
      </c>
      <c r="O441" s="22" t="str">
        <f>HYPERLINK("https://pbs.twimg.com/profile_images/912769166960033792/N4LAmrTs_normal.jpg","View")</f>
        <v>View</v>
      </c>
      <c r="P441" s="27"/>
    </row>
    <row r="442">
      <c r="A442" s="14">
        <v>43031.07606481481</v>
      </c>
      <c r="B442" s="20" t="str">
        <f>HYPERLINK("https://twitter.com/BreakingNewPak","@BreakingNewPak")</f>
        <v>@BreakingNewPak</v>
      </c>
      <c r="C442" s="21" t="s">
        <v>1252</v>
      </c>
      <c r="D442" s="21" t="s">
        <v>1253</v>
      </c>
      <c r="E442" s="22" t="str">
        <f>HYPERLINK("https://twitter.com/BreakingNewPak/status/922384481054367744","922384481054367744")</f>
        <v>922384481054367744</v>
      </c>
      <c r="F442" s="23" t="s">
        <v>1254</v>
      </c>
      <c r="G442" s="24">
        <v>13467.0</v>
      </c>
      <c r="H442" s="24">
        <v>1024.0</v>
      </c>
      <c r="I442" s="24">
        <v>0.0</v>
      </c>
      <c r="J442" s="24">
        <v>0.0</v>
      </c>
      <c r="K442" s="23" t="s">
        <v>34</v>
      </c>
      <c r="L442" s="25">
        <v>41782.94883101852</v>
      </c>
      <c r="M442" s="26" t="s">
        <v>1255</v>
      </c>
      <c r="N442" s="26" t="s">
        <v>1256</v>
      </c>
      <c r="O442" s="22" t="str">
        <f>HYPERLINK("https://pbs.twimg.com/profile_images/474265073175650304/OT06rItA_normal.png","View")</f>
        <v>View</v>
      </c>
      <c r="P442" s="27"/>
    </row>
    <row r="443">
      <c r="A443" s="14">
        <v>43031.07606481481</v>
      </c>
      <c r="B443" s="20" t="str">
        <f>HYPERLINK("https://twitter.com/bhumharit","@bhumharit")</f>
        <v>@bhumharit</v>
      </c>
      <c r="C443" s="21" t="s">
        <v>1257</v>
      </c>
      <c r="D443" s="21" t="s">
        <v>1258</v>
      </c>
      <c r="E443" s="22" t="str">
        <f>HYPERLINK("https://twitter.com/bhumharit/status/922384482329681920","922384482329681920")</f>
        <v>922384482329681920</v>
      </c>
      <c r="F443" s="23" t="s">
        <v>187</v>
      </c>
      <c r="G443" s="24">
        <v>3094.0</v>
      </c>
      <c r="H443" s="24">
        <v>836.0</v>
      </c>
      <c r="I443" s="24">
        <v>0.0</v>
      </c>
      <c r="J443" s="24">
        <v>0.0</v>
      </c>
      <c r="K443" s="23" t="s">
        <v>34</v>
      </c>
      <c r="L443" s="25">
        <v>40455.84903935185</v>
      </c>
      <c r="M443" s="26" t="s">
        <v>1259</v>
      </c>
      <c r="N443" s="26" t="s">
        <v>1260</v>
      </c>
      <c r="O443" s="22" t="str">
        <f>HYPERLINK("https://pbs.twimg.com/profile_images/883544896505868288/Rs4TbB0G_normal.jpg","View")</f>
        <v>View</v>
      </c>
      <c r="P443" s="27"/>
    </row>
    <row r="444">
      <c r="A444" s="14">
        <v>43031.07607638889</v>
      </c>
      <c r="B444" s="20" t="str">
        <f>HYPERLINK("https://twitter.com/HareshMirchand6","@HareshMirchand6")</f>
        <v>@HareshMirchand6</v>
      </c>
      <c r="C444" s="21" t="s">
        <v>1261</v>
      </c>
      <c r="D444" s="21" t="s">
        <v>42</v>
      </c>
      <c r="E444" s="22" t="str">
        <f>HYPERLINK("https://twitter.com/HareshMirchand6/status/922384488293912576","922384488293912576")</f>
        <v>922384488293912576</v>
      </c>
      <c r="F444" s="23" t="s">
        <v>33</v>
      </c>
      <c r="G444" s="24">
        <v>1.0</v>
      </c>
      <c r="H444" s="24">
        <v>31.0</v>
      </c>
      <c r="I444" s="24">
        <v>8501.0</v>
      </c>
      <c r="J444" s="24">
        <v>0.0</v>
      </c>
      <c r="K444" s="23" t="s">
        <v>34</v>
      </c>
      <c r="L444" s="25">
        <v>43010.08868055556</v>
      </c>
      <c r="M444" s="28"/>
      <c r="N444" s="28"/>
      <c r="O444" s="22" t="str">
        <f>HYPERLINK("https://abs.twimg.com/sticky/default_profile_images/default_profile_normal.png","View")</f>
        <v>View</v>
      </c>
      <c r="P444" s="27"/>
    </row>
    <row r="445">
      <c r="A445" s="14">
        <v>43031.076215277775</v>
      </c>
      <c r="B445" s="20" t="str">
        <f>HYPERLINK("https://twitter.com/Monalisazelf","@Monalisazelf")</f>
        <v>@Monalisazelf</v>
      </c>
      <c r="C445" s="21" t="s">
        <v>1262</v>
      </c>
      <c r="D445" s="21" t="s">
        <v>108</v>
      </c>
      <c r="E445" s="22" t="str">
        <f>HYPERLINK("https://twitter.com/Monalisazelf/status/922384538206130177","922384538206130177")</f>
        <v>922384538206130177</v>
      </c>
      <c r="F445" s="23" t="s">
        <v>33</v>
      </c>
      <c r="G445" s="24">
        <v>1541.0</v>
      </c>
      <c r="H445" s="24">
        <v>4392.0</v>
      </c>
      <c r="I445" s="24">
        <v>88.0</v>
      </c>
      <c r="J445" s="24">
        <v>0.0</v>
      </c>
      <c r="K445" s="23" t="s">
        <v>34</v>
      </c>
      <c r="L445" s="25">
        <v>40142.19084490741</v>
      </c>
      <c r="M445" s="28"/>
      <c r="N445" s="26" t="s">
        <v>1263</v>
      </c>
      <c r="O445" s="22" t="str">
        <f>HYPERLINK("https://pbs.twimg.com/profile_images/843806789003042816/_YrsHDLc_normal.jpg","View")</f>
        <v>View</v>
      </c>
      <c r="P445" s="27"/>
    </row>
    <row r="446">
      <c r="A446" s="14">
        <v>43031.076261574075</v>
      </c>
      <c r="B446" s="20" t="str">
        <f>HYPERLINK("https://twitter.com/shivay_ashutosh","@shivay_ashutosh")</f>
        <v>@shivay_ashutosh</v>
      </c>
      <c r="C446" s="21" t="s">
        <v>1264</v>
      </c>
      <c r="D446" s="21" t="s">
        <v>42</v>
      </c>
      <c r="E446" s="22" t="str">
        <f>HYPERLINK("https://twitter.com/shivay_ashutosh/status/922384552861097984","922384552861097984")</f>
        <v>922384552861097984</v>
      </c>
      <c r="F446" s="23" t="s">
        <v>33</v>
      </c>
      <c r="G446" s="24">
        <v>71.0</v>
      </c>
      <c r="H446" s="24">
        <v>110.0</v>
      </c>
      <c r="I446" s="24">
        <v>8501.0</v>
      </c>
      <c r="J446" s="24">
        <v>0.0</v>
      </c>
      <c r="K446" s="23" t="s">
        <v>34</v>
      </c>
      <c r="L446" s="25">
        <v>40594.25408564815</v>
      </c>
      <c r="M446" s="26" t="s">
        <v>204</v>
      </c>
      <c r="N446" s="26" t="s">
        <v>1265</v>
      </c>
      <c r="O446" s="22" t="str">
        <f>HYPERLINK("https://pbs.twimg.com/profile_images/884099236848992257/PAFqqDu4_normal.jpg","View")</f>
        <v>View</v>
      </c>
      <c r="P446" s="27"/>
    </row>
    <row r="447">
      <c r="A447" s="14">
        <v>43031.0762962963</v>
      </c>
      <c r="B447" s="20" t="str">
        <f>HYPERLINK("https://twitter.com/AkshatV84884850","@AkshatV84884850")</f>
        <v>@AkshatV84884850</v>
      </c>
      <c r="C447" s="21" t="s">
        <v>1266</v>
      </c>
      <c r="D447" s="21" t="s">
        <v>42</v>
      </c>
      <c r="E447" s="22" t="str">
        <f>HYPERLINK("https://twitter.com/AkshatV84884850/status/922384568400846849","922384568400846849")</f>
        <v>922384568400846849</v>
      </c>
      <c r="F447" s="23" t="s">
        <v>33</v>
      </c>
      <c r="G447" s="24">
        <v>89.0</v>
      </c>
      <c r="H447" s="24">
        <v>181.0</v>
      </c>
      <c r="I447" s="24">
        <v>8501.0</v>
      </c>
      <c r="J447" s="24">
        <v>0.0</v>
      </c>
      <c r="K447" s="23" t="s">
        <v>34</v>
      </c>
      <c r="L447" s="25">
        <v>42925.31579861111</v>
      </c>
      <c r="M447" s="26" t="s">
        <v>1267</v>
      </c>
      <c r="N447" s="26" t="s">
        <v>1268</v>
      </c>
      <c r="O447" s="22" t="str">
        <f>HYPERLINK("https://pbs.twimg.com/profile_images/908267607173718016/3EveOSvW_normal.jpg","View")</f>
        <v>View</v>
      </c>
      <c r="P447" s="27"/>
    </row>
    <row r="448">
      <c r="A448" s="14">
        <v>43031.07640046296</v>
      </c>
      <c r="B448" s="20" t="str">
        <f>HYPERLINK("https://twitter.com/Pgrills24","@Pgrills24")</f>
        <v>@Pgrills24</v>
      </c>
      <c r="C448" s="21" t="s">
        <v>1269</v>
      </c>
      <c r="D448" s="21" t="s">
        <v>760</v>
      </c>
      <c r="E448" s="22" t="str">
        <f>HYPERLINK("https://twitter.com/Pgrills24/status/922384604530659330","922384604530659330")</f>
        <v>922384604530659330</v>
      </c>
      <c r="F448" s="23" t="s">
        <v>230</v>
      </c>
      <c r="G448" s="24">
        <v>459.0</v>
      </c>
      <c r="H448" s="24">
        <v>633.0</v>
      </c>
      <c r="I448" s="24">
        <v>62.0</v>
      </c>
      <c r="J448" s="24">
        <v>0.0</v>
      </c>
      <c r="K448" s="23" t="s">
        <v>34</v>
      </c>
      <c r="L448" s="25">
        <v>40467.50952546296</v>
      </c>
      <c r="M448" s="26" t="s">
        <v>1270</v>
      </c>
      <c r="N448" s="26" t="s">
        <v>1271</v>
      </c>
      <c r="O448" s="22" t="str">
        <f>HYPERLINK("https://pbs.twimg.com/profile_images/686310147681988608/3M3S4-5b_normal.jpg","View")</f>
        <v>View</v>
      </c>
      <c r="P448" s="27"/>
    </row>
    <row r="449">
      <c r="A449" s="14">
        <v>43031.07640046296</v>
      </c>
      <c r="B449" s="20" t="str">
        <f>HYPERLINK("https://twitter.com/Ig2mg2E6k7E05an","@Ig2mg2E6k7E05an")</f>
        <v>@Ig2mg2E6k7E05an</v>
      </c>
      <c r="C449" s="21" t="s">
        <v>1272</v>
      </c>
      <c r="D449" s="21" t="s">
        <v>213</v>
      </c>
      <c r="E449" s="22" t="str">
        <f>HYPERLINK("https://twitter.com/Ig2mg2E6k7E05an/status/922384605906214912","922384605906214912")</f>
        <v>922384605906214912</v>
      </c>
      <c r="F449" s="23" t="s">
        <v>635</v>
      </c>
      <c r="G449" s="24">
        <v>1.0</v>
      </c>
      <c r="H449" s="24">
        <v>45.0</v>
      </c>
      <c r="I449" s="24">
        <v>94.0</v>
      </c>
      <c r="J449" s="24">
        <v>0.0</v>
      </c>
      <c r="K449" s="23" t="s">
        <v>34</v>
      </c>
      <c r="L449" s="25">
        <v>43002.17621527778</v>
      </c>
      <c r="M449" s="28"/>
      <c r="N449" s="28"/>
      <c r="O449" s="22" t="str">
        <f>HYPERLINK("https://pbs.twimg.com/profile_images/921708604415131648/3PQe7DVu_normal.jpg","View")</f>
        <v>View</v>
      </c>
      <c r="P449" s="27"/>
    </row>
    <row r="450">
      <c r="A450" s="14">
        <v>43031.07650462963</v>
      </c>
      <c r="B450" s="20" t="str">
        <f>HYPERLINK("https://twitter.com/billah0077","@billah0077")</f>
        <v>@billah0077</v>
      </c>
      <c r="C450" s="21" t="s">
        <v>1273</v>
      </c>
      <c r="D450" s="21" t="s">
        <v>1274</v>
      </c>
      <c r="E450" s="22" t="str">
        <f>HYPERLINK("https://twitter.com/billah0077/status/922384641390243845","922384641390243845")</f>
        <v>922384641390243845</v>
      </c>
      <c r="F450" s="23" t="s">
        <v>187</v>
      </c>
      <c r="G450" s="24">
        <v>234.0</v>
      </c>
      <c r="H450" s="24">
        <v>342.0</v>
      </c>
      <c r="I450" s="24">
        <v>0.0</v>
      </c>
      <c r="J450" s="24">
        <v>0.0</v>
      </c>
      <c r="K450" s="23" t="s">
        <v>34</v>
      </c>
      <c r="L450" s="25">
        <v>42887.27517361111</v>
      </c>
      <c r="M450" s="28"/>
      <c r="N450" s="26" t="s">
        <v>1275</v>
      </c>
      <c r="O450" s="22" t="str">
        <f>HYPERLINK("https://pbs.twimg.com/profile_images/907382964912136192/AkVFJHnp_normal.jpg","View")</f>
        <v>View</v>
      </c>
      <c r="P450" s="27"/>
    </row>
    <row r="451">
      <c r="A451" s="14">
        <v>43031.0765162037</v>
      </c>
      <c r="B451" s="20" t="str">
        <f>HYPERLINK("https://twitter.com/BarunKumarSah7","@BarunKumarSah7")</f>
        <v>@BarunKumarSah7</v>
      </c>
      <c r="C451" s="21" t="s">
        <v>1276</v>
      </c>
      <c r="D451" s="21" t="s">
        <v>42</v>
      </c>
      <c r="E451" s="22" t="str">
        <f>HYPERLINK("https://twitter.com/BarunKumarSah7/status/922384645718601728","922384645718601728")</f>
        <v>922384645718601728</v>
      </c>
      <c r="F451" s="23" t="s">
        <v>33</v>
      </c>
      <c r="G451" s="24">
        <v>38.0</v>
      </c>
      <c r="H451" s="24">
        <v>101.0</v>
      </c>
      <c r="I451" s="24">
        <v>8501.0</v>
      </c>
      <c r="J451" s="24">
        <v>0.0</v>
      </c>
      <c r="K451" s="23" t="s">
        <v>34</v>
      </c>
      <c r="L451" s="25">
        <v>42969.12107638889</v>
      </c>
      <c r="M451" s="26" t="s">
        <v>1277</v>
      </c>
      <c r="N451" s="26" t="s">
        <v>1278</v>
      </c>
      <c r="O451" s="22" t="str">
        <f>HYPERLINK("https://pbs.twimg.com/profile_images/914007461798883328/qUyDNXIG_normal.jpg","View")</f>
        <v>View</v>
      </c>
      <c r="P451" s="27"/>
    </row>
    <row r="452">
      <c r="A452" s="14">
        <v>43031.07652777778</v>
      </c>
      <c r="B452" s="20" t="str">
        <f>HYPERLINK("https://twitter.com/usyername","@usyername")</f>
        <v>@usyername</v>
      </c>
      <c r="C452" s="21" t="s">
        <v>1279</v>
      </c>
      <c r="D452" s="21" t="s">
        <v>1280</v>
      </c>
      <c r="E452" s="22" t="str">
        <f>HYPERLINK("https://twitter.com/usyername/status/922384650349268992","922384650349268992")</f>
        <v>922384650349268992</v>
      </c>
      <c r="F452" s="23" t="s">
        <v>187</v>
      </c>
      <c r="G452" s="24">
        <v>8.0</v>
      </c>
      <c r="H452" s="24">
        <v>0.0</v>
      </c>
      <c r="I452" s="24">
        <v>0.0</v>
      </c>
      <c r="J452" s="24">
        <v>0.0</v>
      </c>
      <c r="K452" s="23" t="s">
        <v>34</v>
      </c>
      <c r="L452" s="25">
        <v>43009.781076388885</v>
      </c>
      <c r="M452" s="28"/>
      <c r="N452" s="28"/>
      <c r="O452" s="22" t="str">
        <f>HYPERLINK("https://pbs.twimg.com/profile_images/916502409580392448/6PpLTsL5_normal.jpg","View")</f>
        <v>View</v>
      </c>
      <c r="P452" s="27"/>
    </row>
    <row r="453">
      <c r="A453" s="14">
        <v>43031.07652777778</v>
      </c>
      <c r="B453" s="20" t="str">
        <f>HYPERLINK("https://twitter.com/Chanakya_74","@Chanakya_74")</f>
        <v>@Chanakya_74</v>
      </c>
      <c r="C453" s="21" t="s">
        <v>1281</v>
      </c>
      <c r="D453" s="21" t="s">
        <v>42</v>
      </c>
      <c r="E453" s="22" t="str">
        <f>HYPERLINK("https://twitter.com/Chanakya_74/status/922384651104043008","922384651104043008")</f>
        <v>922384651104043008</v>
      </c>
      <c r="F453" s="23" t="s">
        <v>39</v>
      </c>
      <c r="G453" s="24">
        <v>547.0</v>
      </c>
      <c r="H453" s="24">
        <v>307.0</v>
      </c>
      <c r="I453" s="24">
        <v>8501.0</v>
      </c>
      <c r="J453" s="24">
        <v>0.0</v>
      </c>
      <c r="K453" s="23" t="s">
        <v>34</v>
      </c>
      <c r="L453" s="25">
        <v>41153.38128472222</v>
      </c>
      <c r="M453" s="28"/>
      <c r="N453" s="26" t="s">
        <v>1282</v>
      </c>
      <c r="O453" s="22" t="str">
        <f>HYPERLINK("https://pbs.twimg.com/profile_images/543413894790647808/uhblBrIN_normal.png","View")</f>
        <v>View</v>
      </c>
      <c r="P453" s="27"/>
    </row>
    <row r="454">
      <c r="A454" s="14">
        <v>43031.076574074075</v>
      </c>
      <c r="B454" s="20" t="str">
        <f>HYPERLINK("https://twitter.com/NaMo_SARKAAR","@NaMo_SARKAAR")</f>
        <v>@NaMo_SARKAAR</v>
      </c>
      <c r="C454" s="21" t="s">
        <v>1283</v>
      </c>
      <c r="D454" s="21" t="s">
        <v>42</v>
      </c>
      <c r="E454" s="22" t="str">
        <f>HYPERLINK("https://twitter.com/NaMo_SARKAAR/status/922384667491287041","922384667491287041")</f>
        <v>922384667491287041</v>
      </c>
      <c r="F454" s="23" t="s">
        <v>33</v>
      </c>
      <c r="G454" s="24">
        <v>848.0</v>
      </c>
      <c r="H454" s="24">
        <v>600.0</v>
      </c>
      <c r="I454" s="24">
        <v>8501.0</v>
      </c>
      <c r="J454" s="24">
        <v>0.0</v>
      </c>
      <c r="K454" s="23" t="s">
        <v>34</v>
      </c>
      <c r="L454" s="25">
        <v>40935.31135416667</v>
      </c>
      <c r="M454" s="26" t="s">
        <v>1284</v>
      </c>
      <c r="N454" s="26" t="s">
        <v>1285</v>
      </c>
      <c r="O454" s="22" t="str">
        <f>HYPERLINK("https://pbs.twimg.com/profile_images/902085263643443202/LBfZsVPp_normal.jpg","View")</f>
        <v>View</v>
      </c>
      <c r="P454" s="27"/>
    </row>
    <row r="455">
      <c r="A455" s="14">
        <v>43031.07659722222</v>
      </c>
      <c r="B455" s="20" t="str">
        <f>HYPERLINK("https://twitter.com/Arun20291143","@Arun20291143")</f>
        <v>@Arun20291143</v>
      </c>
      <c r="C455" s="21" t="s">
        <v>1286</v>
      </c>
      <c r="D455" s="21" t="s">
        <v>42</v>
      </c>
      <c r="E455" s="22" t="str">
        <f>HYPERLINK("https://twitter.com/Arun20291143/status/922384675049316352","922384675049316352")</f>
        <v>922384675049316352</v>
      </c>
      <c r="F455" s="23" t="s">
        <v>33</v>
      </c>
      <c r="G455" s="24">
        <v>168.0</v>
      </c>
      <c r="H455" s="24">
        <v>297.0</v>
      </c>
      <c r="I455" s="24">
        <v>8501.0</v>
      </c>
      <c r="J455" s="24">
        <v>0.0</v>
      </c>
      <c r="K455" s="23" t="s">
        <v>34</v>
      </c>
      <c r="L455" s="25">
        <v>42858.921805555554</v>
      </c>
      <c r="M455" s="28"/>
      <c r="N455" s="28"/>
      <c r="O455" s="22" t="str">
        <f>HYPERLINK("https://pbs.twimg.com/profile_images/921408353443594240/5QwRSMVj_normal.jpg","View")</f>
        <v>View</v>
      </c>
      <c r="P455" s="27"/>
    </row>
    <row r="456">
      <c r="A456" s="14">
        <v>43031.0766087963</v>
      </c>
      <c r="B456" s="20" t="str">
        <f>HYPERLINK("https://twitter.com/bhanotkummar","@bhanotkummar")</f>
        <v>@bhanotkummar</v>
      </c>
      <c r="C456" s="21" t="s">
        <v>1287</v>
      </c>
      <c r="D456" s="21" t="s">
        <v>42</v>
      </c>
      <c r="E456" s="22" t="str">
        <f>HYPERLINK("https://twitter.com/bhanotkummar/status/922384680887902208","922384680887902208")</f>
        <v>922384680887902208</v>
      </c>
      <c r="F456" s="23" t="s">
        <v>33</v>
      </c>
      <c r="G456" s="24">
        <v>23.0</v>
      </c>
      <c r="H456" s="24">
        <v>806.0</v>
      </c>
      <c r="I456" s="24">
        <v>8501.0</v>
      </c>
      <c r="J456" s="24">
        <v>0.0</v>
      </c>
      <c r="K456" s="23" t="s">
        <v>34</v>
      </c>
      <c r="L456" s="25">
        <v>42945.949212962965</v>
      </c>
      <c r="M456" s="26" t="s">
        <v>1288</v>
      </c>
      <c r="N456" s="26" t="s">
        <v>1289</v>
      </c>
      <c r="O456" s="22" t="str">
        <f>HYPERLINK("https://pbs.twimg.com/profile_images/894999986030510080/Tl3qIybn_normal.jpg","View")</f>
        <v>View</v>
      </c>
      <c r="P456" s="27"/>
    </row>
    <row r="457">
      <c r="A457" s="14">
        <v>43031.076631944445</v>
      </c>
      <c r="B457" s="20" t="str">
        <f>HYPERLINK("https://twitter.com/ungubunugu1274","@ungubunugu1274")</f>
        <v>@ungubunugu1274</v>
      </c>
      <c r="C457" s="21" t="s">
        <v>1290</v>
      </c>
      <c r="D457" s="21" t="s">
        <v>67</v>
      </c>
      <c r="E457" s="22" t="str">
        <f>HYPERLINK("https://twitter.com/ungubunugu1274/status/922384690471948288","922384690471948288")</f>
        <v>922384690471948288</v>
      </c>
      <c r="F457" s="23" t="s">
        <v>33</v>
      </c>
      <c r="G457" s="24">
        <v>920.0</v>
      </c>
      <c r="H457" s="24">
        <v>1583.0</v>
      </c>
      <c r="I457" s="24">
        <v>169.0</v>
      </c>
      <c r="J457" s="24">
        <v>0.0</v>
      </c>
      <c r="K457" s="23" t="s">
        <v>34</v>
      </c>
      <c r="L457" s="25">
        <v>42575.69021990741</v>
      </c>
      <c r="M457" s="26" t="s">
        <v>1291</v>
      </c>
      <c r="N457" s="26" t="s">
        <v>1292</v>
      </c>
      <c r="O457" s="22" t="str">
        <f>HYPERLINK("https://pbs.twimg.com/profile_images/819018184644849664/MDkBTuFz_normal.jpg","View")</f>
        <v>View</v>
      </c>
      <c r="P457" s="27"/>
    </row>
    <row r="458">
      <c r="A458" s="14">
        <v>43031.07664351852</v>
      </c>
      <c r="B458" s="20" t="str">
        <f>HYPERLINK("https://twitter.com/abshizu","@abshizu")</f>
        <v>@abshizu</v>
      </c>
      <c r="C458" s="21" t="s">
        <v>1293</v>
      </c>
      <c r="D458" s="21" t="s">
        <v>82</v>
      </c>
      <c r="E458" s="22" t="str">
        <f>HYPERLINK("https://twitter.com/abshizu/status/922384692204019713","922384692204019713")</f>
        <v>922384692204019713</v>
      </c>
      <c r="F458" s="23" t="s">
        <v>55</v>
      </c>
      <c r="G458" s="24">
        <v>147.0</v>
      </c>
      <c r="H458" s="24">
        <v>253.0</v>
      </c>
      <c r="I458" s="24">
        <v>38.0</v>
      </c>
      <c r="J458" s="24">
        <v>0.0</v>
      </c>
      <c r="K458" s="23" t="s">
        <v>34</v>
      </c>
      <c r="L458" s="25">
        <v>40554.157743055555</v>
      </c>
      <c r="M458" s="28"/>
      <c r="N458" s="26" t="s">
        <v>1294</v>
      </c>
      <c r="O458" s="22" t="str">
        <f>HYPERLINK("https://pbs.twimg.com/profile_images/1216395997/free_Gaza_normal.jpg","View")</f>
        <v>View</v>
      </c>
      <c r="P458" s="27"/>
    </row>
    <row r="459">
      <c r="A459" s="14">
        <v>43031.07665509259</v>
      </c>
      <c r="B459" s="20" t="str">
        <f>HYPERLINK("https://twitter.com/biren_b","@biren_b")</f>
        <v>@biren_b</v>
      </c>
      <c r="C459" s="21" t="s">
        <v>1295</v>
      </c>
      <c r="D459" s="21" t="s">
        <v>163</v>
      </c>
      <c r="E459" s="22" t="str">
        <f>HYPERLINK("https://twitter.com/biren_b/status/922384697774129152","922384697774129152")</f>
        <v>922384697774129152</v>
      </c>
      <c r="F459" s="23" t="s">
        <v>33</v>
      </c>
      <c r="G459" s="24">
        <v>332.0</v>
      </c>
      <c r="H459" s="24">
        <v>718.0</v>
      </c>
      <c r="I459" s="24">
        <v>1005.0</v>
      </c>
      <c r="J459" s="24">
        <v>0.0</v>
      </c>
      <c r="K459" s="23" t="s">
        <v>34</v>
      </c>
      <c r="L459" s="25">
        <v>41680.256840277776</v>
      </c>
      <c r="M459" s="28"/>
      <c r="N459" s="26" t="s">
        <v>1296</v>
      </c>
      <c r="O459" s="22" t="str">
        <f>HYPERLINK("https://pbs.twimg.com/profile_images/835388689530380289/s_IZO5zM_normal.jpg","View")</f>
        <v>View</v>
      </c>
      <c r="P459" s="27"/>
    </row>
    <row r="460">
      <c r="A460" s="14">
        <v>43031.07670138888</v>
      </c>
      <c r="B460" s="20" t="str">
        <f>HYPERLINK("https://twitter.com/sunofbakabon","@sunofbakabon")</f>
        <v>@sunofbakabon</v>
      </c>
      <c r="C460" s="21" t="s">
        <v>1297</v>
      </c>
      <c r="D460" s="21" t="s">
        <v>42</v>
      </c>
      <c r="E460" s="22" t="str">
        <f>HYPERLINK("https://twitter.com/sunofbakabon/status/922384713716719616","922384713716719616")</f>
        <v>922384713716719616</v>
      </c>
      <c r="F460" s="23" t="s">
        <v>230</v>
      </c>
      <c r="G460" s="24">
        <v>1382.0</v>
      </c>
      <c r="H460" s="24">
        <v>1762.0</v>
      </c>
      <c r="I460" s="24">
        <v>8501.0</v>
      </c>
      <c r="J460" s="24">
        <v>0.0</v>
      </c>
      <c r="K460" s="23" t="s">
        <v>34</v>
      </c>
      <c r="L460" s="25">
        <v>41311.25806712963</v>
      </c>
      <c r="M460" s="28"/>
      <c r="N460" s="26" t="s">
        <v>1298</v>
      </c>
      <c r="O460" s="22" t="str">
        <f>HYPERLINK("https://pbs.twimg.com/profile_images/3216077448/5eba0f7a6ca1a98b2f97153d6b16cc3a_normal.jpeg","View")</f>
        <v>View</v>
      </c>
      <c r="P460" s="27"/>
    </row>
    <row r="461">
      <c r="A461" s="14">
        <v>43031.07670138888</v>
      </c>
      <c r="B461" s="20" t="str">
        <f>HYPERLINK("https://twitter.com/twittFliy","@twittFliy")</f>
        <v>@twittFliy</v>
      </c>
      <c r="C461" s="21" t="s">
        <v>1299</v>
      </c>
      <c r="D461" s="21" t="s">
        <v>108</v>
      </c>
      <c r="E461" s="22" t="str">
        <f>HYPERLINK("https://twitter.com/twittFliy/status/922384714933178369","922384714933178369")</f>
        <v>922384714933178369</v>
      </c>
      <c r="F461" s="23" t="s">
        <v>1300</v>
      </c>
      <c r="G461" s="24">
        <v>5611.0</v>
      </c>
      <c r="H461" s="24">
        <v>1772.0</v>
      </c>
      <c r="I461" s="24">
        <v>88.0</v>
      </c>
      <c r="J461" s="24">
        <v>0.0</v>
      </c>
      <c r="K461" s="23" t="s">
        <v>34</v>
      </c>
      <c r="L461" s="25">
        <v>42240.491898148146</v>
      </c>
      <c r="M461" s="28"/>
      <c r="N461" s="26" t="s">
        <v>1301</v>
      </c>
      <c r="O461" s="22" t="str">
        <f>HYPERLINK("https://pbs.twimg.com/profile_images/635931039215583232/NLUpEzNY_normal.jpg","View")</f>
        <v>View</v>
      </c>
      <c r="P461" s="27"/>
    </row>
    <row r="462">
      <c r="A462" s="14">
        <v>43031.07671296297</v>
      </c>
      <c r="B462" s="20" t="str">
        <f>HYPERLINK("https://twitter.com/Reuters","@Reuters")</f>
        <v>@Reuters</v>
      </c>
      <c r="C462" s="21" t="s">
        <v>754</v>
      </c>
      <c r="D462" s="21" t="s">
        <v>1302</v>
      </c>
      <c r="E462" s="22" t="str">
        <f>HYPERLINK("https://twitter.com/Reuters/status/922384716547985409","922384716547985409")</f>
        <v>922384716547985409</v>
      </c>
      <c r="F462" s="23" t="s">
        <v>1103</v>
      </c>
      <c r="G462" s="24">
        <v>1.8914241E7</v>
      </c>
      <c r="H462" s="24">
        <v>1063.0</v>
      </c>
      <c r="I462" s="24">
        <v>22.0</v>
      </c>
      <c r="J462" s="24">
        <v>25.0</v>
      </c>
      <c r="K462" s="23" t="s">
        <v>34</v>
      </c>
      <c r="L462" s="25">
        <v>39161.44866898148</v>
      </c>
      <c r="M462" s="26" t="s">
        <v>757</v>
      </c>
      <c r="N462" s="26" t="s">
        <v>758</v>
      </c>
      <c r="O462" s="22" t="str">
        <f>HYPERLINK("https://pbs.twimg.com/profile_images/877554927932891136/ZBEs235N_normal.jpg","View")</f>
        <v>View</v>
      </c>
      <c r="P462" s="27"/>
    </row>
    <row r="463">
      <c r="A463" s="14">
        <v>43031.07671296297</v>
      </c>
      <c r="B463" s="20" t="str">
        <f>HYPERLINK("https://twitter.com/ReutersWorld","@ReutersWorld")</f>
        <v>@ReutersWorld</v>
      </c>
      <c r="C463" s="21" t="s">
        <v>1303</v>
      </c>
      <c r="D463" s="21" t="s">
        <v>1304</v>
      </c>
      <c r="E463" s="22" t="str">
        <f>HYPERLINK("https://twitter.com/ReutersWorld/status/922384716682153984","922384716682153984")</f>
        <v>922384716682153984</v>
      </c>
      <c r="F463" s="23" t="s">
        <v>1103</v>
      </c>
      <c r="G463" s="24">
        <v>228027.0</v>
      </c>
      <c r="H463" s="24">
        <v>170.0</v>
      </c>
      <c r="I463" s="24">
        <v>12.0</v>
      </c>
      <c r="J463" s="24">
        <v>8.0</v>
      </c>
      <c r="K463" s="23" t="s">
        <v>34</v>
      </c>
      <c r="L463" s="25">
        <v>40738.472650462965</v>
      </c>
      <c r="M463" s="26" t="s">
        <v>974</v>
      </c>
      <c r="N463" s="26" t="s">
        <v>1305</v>
      </c>
      <c r="O463" s="22" t="str">
        <f>HYPERLINK("https://pbs.twimg.com/profile_images/877266356730712064/FmOQMMyG_normal.jpg","View")</f>
        <v>View</v>
      </c>
      <c r="P463" s="27"/>
    </row>
    <row r="464">
      <c r="A464" s="14">
        <v>43031.07671296297</v>
      </c>
      <c r="B464" s="20" t="str">
        <f>HYPERLINK("https://twitter.com/ReutersUK","@ReutersUK")</f>
        <v>@ReutersUK</v>
      </c>
      <c r="C464" s="21" t="s">
        <v>1306</v>
      </c>
      <c r="D464" s="21" t="s">
        <v>1307</v>
      </c>
      <c r="E464" s="22" t="str">
        <f>HYPERLINK("https://twitter.com/ReutersUK/status/922384717370003456","922384717370003456")</f>
        <v>922384717370003456</v>
      </c>
      <c r="F464" s="23" t="s">
        <v>1103</v>
      </c>
      <c r="G464" s="24">
        <v>91178.0</v>
      </c>
      <c r="H464" s="24">
        <v>482.0</v>
      </c>
      <c r="I464" s="24">
        <v>1.0</v>
      </c>
      <c r="J464" s="24">
        <v>0.0</v>
      </c>
      <c r="K464" s="23" t="s">
        <v>34</v>
      </c>
      <c r="L464" s="25">
        <v>39750.07152777778</v>
      </c>
      <c r="M464" s="26" t="s">
        <v>1308</v>
      </c>
      <c r="N464" s="26" t="s">
        <v>1309</v>
      </c>
      <c r="O464" s="22" t="str">
        <f>HYPERLINK("https://pbs.twimg.com/profile_images/877448884787838976/VzLMhDg3_normal.jpg","View")</f>
        <v>View</v>
      </c>
      <c r="P464" s="27"/>
    </row>
    <row r="465">
      <c r="A465" s="14">
        <v>43031.07673611111</v>
      </c>
      <c r="B465" s="20" t="str">
        <f>HYPERLINK("https://twitter.com/arunkum37049562","@arunkum37049562")</f>
        <v>@arunkum37049562</v>
      </c>
      <c r="C465" s="21" t="s">
        <v>1310</v>
      </c>
      <c r="D465" s="21" t="s">
        <v>42</v>
      </c>
      <c r="E465" s="22" t="str">
        <f>HYPERLINK("https://twitter.com/arunkum37049562/status/922384727729827840","922384727729827840")</f>
        <v>922384727729827840</v>
      </c>
      <c r="F465" s="23" t="s">
        <v>33</v>
      </c>
      <c r="G465" s="24">
        <v>169.0</v>
      </c>
      <c r="H465" s="24">
        <v>770.0</v>
      </c>
      <c r="I465" s="24">
        <v>8501.0</v>
      </c>
      <c r="J465" s="24">
        <v>0.0</v>
      </c>
      <c r="K465" s="23" t="s">
        <v>34</v>
      </c>
      <c r="L465" s="25">
        <v>41215.23793981482</v>
      </c>
      <c r="M465" s="26" t="s">
        <v>1311</v>
      </c>
      <c r="N465" s="26" t="s">
        <v>1312</v>
      </c>
      <c r="O465" s="22" t="str">
        <f>HYPERLINK("https://pbs.twimg.com/profile_images/421933973468487680/Pn3abXyJ_normal.jpeg","View")</f>
        <v>View</v>
      </c>
      <c r="P465" s="27"/>
    </row>
    <row r="466">
      <c r="A466" s="14">
        <v>43031.07678240741</v>
      </c>
      <c r="B466" s="20" t="str">
        <f>HYPERLINK("https://twitter.com/Essay_Lords","@Essay_Lords")</f>
        <v>@Essay_Lords</v>
      </c>
      <c r="C466" s="21" t="s">
        <v>773</v>
      </c>
      <c r="D466" s="21" t="s">
        <v>1313</v>
      </c>
      <c r="E466" s="22" t="str">
        <f>HYPERLINK("https://twitter.com/Essay_Lords/status/922384741063684096","922384741063684096")</f>
        <v>922384741063684096</v>
      </c>
      <c r="F466" s="23" t="s">
        <v>187</v>
      </c>
      <c r="G466" s="24">
        <v>4311.0</v>
      </c>
      <c r="H466" s="24">
        <v>3617.0</v>
      </c>
      <c r="I466" s="24">
        <v>0.0</v>
      </c>
      <c r="J466" s="24">
        <v>0.0</v>
      </c>
      <c r="K466" s="23" t="s">
        <v>34</v>
      </c>
      <c r="L466" s="25">
        <v>41982.42165509259</v>
      </c>
      <c r="M466" s="26" t="s">
        <v>567</v>
      </c>
      <c r="N466" s="26" t="s">
        <v>775</v>
      </c>
      <c r="O466" s="22" t="str">
        <f>HYPERLINK("https://pbs.twimg.com/profile_images/722066414362894336/kHUvL0fA_normal.jpg","View")</f>
        <v>View</v>
      </c>
      <c r="P466" s="27"/>
    </row>
    <row r="467">
      <c r="A467" s="14">
        <v>43031.07679398148</v>
      </c>
      <c r="B467" s="20" t="str">
        <f>HYPERLINK("https://twitter.com/Shan25k","@Shan25k")</f>
        <v>@Shan25k</v>
      </c>
      <c r="C467" s="21" t="s">
        <v>1314</v>
      </c>
      <c r="D467" s="21" t="s">
        <v>42</v>
      </c>
      <c r="E467" s="22" t="str">
        <f>HYPERLINK("https://twitter.com/Shan25k/status/922384748776792066","922384748776792066")</f>
        <v>922384748776792066</v>
      </c>
      <c r="F467" s="23" t="s">
        <v>39</v>
      </c>
      <c r="G467" s="24">
        <v>145.0</v>
      </c>
      <c r="H467" s="24">
        <v>153.0</v>
      </c>
      <c r="I467" s="24">
        <v>8501.0</v>
      </c>
      <c r="J467" s="24">
        <v>0.0</v>
      </c>
      <c r="K467" s="23" t="s">
        <v>34</v>
      </c>
      <c r="L467" s="25">
        <v>41135.096400462964</v>
      </c>
      <c r="M467" s="28"/>
      <c r="N467" s="26" t="s">
        <v>1315</v>
      </c>
      <c r="O467" s="22" t="str">
        <f>HYPERLINK("https://pbs.twimg.com/profile_images/804195913195405312/Q1a3BBIK_normal.jpg","View")</f>
        <v>View</v>
      </c>
      <c r="P467" s="27"/>
    </row>
    <row r="468">
      <c r="A468" s="14">
        <v>43031.07680555555</v>
      </c>
      <c r="B468" s="20" t="str">
        <f>HYPERLINK("https://twitter.com/MonopointAmy","@MonopointAmy")</f>
        <v>@MonopointAmy</v>
      </c>
      <c r="C468" s="21" t="s">
        <v>1316</v>
      </c>
      <c r="D468" s="21" t="s">
        <v>760</v>
      </c>
      <c r="E468" s="22" t="str">
        <f>HYPERLINK("https://twitter.com/MonopointAmy/status/922384751352201216","922384751352201216")</f>
        <v>922384751352201216</v>
      </c>
      <c r="F468" s="23" t="s">
        <v>33</v>
      </c>
      <c r="G468" s="24">
        <v>2669.0</v>
      </c>
      <c r="H468" s="24">
        <v>1805.0</v>
      </c>
      <c r="I468" s="24">
        <v>62.0</v>
      </c>
      <c r="J468" s="24">
        <v>0.0</v>
      </c>
      <c r="K468" s="23" t="s">
        <v>34</v>
      </c>
      <c r="L468" s="25">
        <v>42171.64350694444</v>
      </c>
      <c r="M468" s="26" t="s">
        <v>1317</v>
      </c>
      <c r="N468" s="26" t="s">
        <v>1318</v>
      </c>
      <c r="O468" s="22" t="str">
        <f>HYPERLINK("https://pbs.twimg.com/profile_images/815301066388406272/dp0fPS1D_normal.jpg","View")</f>
        <v>View</v>
      </c>
      <c r="P468" s="27"/>
    </row>
    <row r="469">
      <c r="A469" s="14">
        <v>43031.07681712963</v>
      </c>
      <c r="B469" s="20" t="str">
        <f>HYPERLINK("https://twitter.com/EBertolaccini","@EBertolaccini")</f>
        <v>@EBertolaccini</v>
      </c>
      <c r="C469" s="21" t="s">
        <v>764</v>
      </c>
      <c r="D469" s="21" t="s">
        <v>1319</v>
      </c>
      <c r="E469" s="22" t="str">
        <f>HYPERLINK("https://twitter.com/EBertolaccini/status/922384754086903809","922384754086903809")</f>
        <v>922384754086903809</v>
      </c>
      <c r="F469" s="23" t="s">
        <v>187</v>
      </c>
      <c r="G469" s="24">
        <v>1179.0</v>
      </c>
      <c r="H469" s="24">
        <v>1881.0</v>
      </c>
      <c r="I469" s="24">
        <v>0.0</v>
      </c>
      <c r="J469" s="24">
        <v>0.0</v>
      </c>
      <c r="K469" s="23" t="s">
        <v>34</v>
      </c>
      <c r="L469" s="25">
        <v>40636.36203703703</v>
      </c>
      <c r="M469" s="26" t="s">
        <v>766</v>
      </c>
      <c r="N469" s="26" t="s">
        <v>767</v>
      </c>
      <c r="O469" s="22" t="str">
        <f>HYPERLINK("https://pbs.twimg.com/profile_images/522805721537466368/cbIOXjsD_normal.jpeg","View")</f>
        <v>View</v>
      </c>
      <c r="P469" s="27"/>
    </row>
    <row r="470">
      <c r="A470" s="14">
        <v>43031.07681712963</v>
      </c>
      <c r="B470" s="20" t="str">
        <f>HYPERLINK("https://twitter.com/jkd_v1","@jkd_v1")</f>
        <v>@jkd_v1</v>
      </c>
      <c r="C470" s="21" t="s">
        <v>1320</v>
      </c>
      <c r="D470" s="21" t="s">
        <v>108</v>
      </c>
      <c r="E470" s="22" t="str">
        <f>HYPERLINK("https://twitter.com/jkd_v1/status/922384756922130432","922384756922130432")</f>
        <v>922384756922130432</v>
      </c>
      <c r="F470" s="23" t="s">
        <v>33</v>
      </c>
      <c r="G470" s="24">
        <v>99.0</v>
      </c>
      <c r="H470" s="24">
        <v>212.0</v>
      </c>
      <c r="I470" s="24">
        <v>88.0</v>
      </c>
      <c r="J470" s="24">
        <v>0.0</v>
      </c>
      <c r="K470" s="23" t="s">
        <v>34</v>
      </c>
      <c r="L470" s="25">
        <v>41121.96020833333</v>
      </c>
      <c r="M470" s="28"/>
      <c r="N470" s="26" t="s">
        <v>1321</v>
      </c>
      <c r="O470" s="22" t="str">
        <f>HYPERLINK("https://pbs.twimg.com/profile_images/922929731258822656/pKYUqD3S_normal.jpg","View")</f>
        <v>View</v>
      </c>
      <c r="P470" s="27"/>
    </row>
    <row r="471">
      <c r="A471" s="14">
        <v>43031.07685185185</v>
      </c>
      <c r="B471" s="20" t="str">
        <f>HYPERLINK("https://twitter.com/MAXBennette","@MAXBennette")</f>
        <v>@MAXBennette</v>
      </c>
      <c r="C471" s="21" t="s">
        <v>1322</v>
      </c>
      <c r="D471" s="21" t="s">
        <v>1323</v>
      </c>
      <c r="E471" s="22" t="str">
        <f>HYPERLINK("https://twitter.com/MAXBennette/status/922384770100875264","922384770100875264")</f>
        <v>922384770100875264</v>
      </c>
      <c r="F471" s="23" t="s">
        <v>33</v>
      </c>
      <c r="G471" s="24">
        <v>50.0</v>
      </c>
      <c r="H471" s="24">
        <v>26.0</v>
      </c>
      <c r="I471" s="24">
        <v>0.0</v>
      </c>
      <c r="J471" s="24">
        <v>0.0</v>
      </c>
      <c r="K471" s="23" t="s">
        <v>34</v>
      </c>
      <c r="L471" s="25">
        <v>42651.382060185184</v>
      </c>
      <c r="M471" s="26" t="s">
        <v>1250</v>
      </c>
      <c r="N471" s="26" t="s">
        <v>1324</v>
      </c>
      <c r="O471" s="22" t="str">
        <f>HYPERLINK("https://pbs.twimg.com/profile_images/785565943216926720/bYfOE733_normal.jpg","View")</f>
        <v>View</v>
      </c>
      <c r="P471" s="27"/>
    </row>
    <row r="472">
      <c r="A472" s="14">
        <v>43031.076886574076</v>
      </c>
      <c r="B472" s="20" t="str">
        <f>HYPERLINK("https://twitter.com/AslfwbttJkehXOG","@AslfwbttJkehXOG")</f>
        <v>@AslfwbttJkehXOG</v>
      </c>
      <c r="C472" s="21" t="s">
        <v>1325</v>
      </c>
      <c r="D472" s="21" t="s">
        <v>42</v>
      </c>
      <c r="E472" s="22" t="str">
        <f>HYPERLINK("https://twitter.com/AslfwbttJkehXOG/status/922384782691991552","922384782691991552")</f>
        <v>922384782691991552</v>
      </c>
      <c r="F472" s="23" t="s">
        <v>230</v>
      </c>
      <c r="G472" s="24">
        <v>129.0</v>
      </c>
      <c r="H472" s="24">
        <v>272.0</v>
      </c>
      <c r="I472" s="24">
        <v>8501.0</v>
      </c>
      <c r="J472" s="24">
        <v>0.0</v>
      </c>
      <c r="K472" s="23" t="s">
        <v>34</v>
      </c>
      <c r="L472" s="25">
        <v>42915.19445601852</v>
      </c>
      <c r="M472" s="28"/>
      <c r="N472" s="28"/>
      <c r="O472" s="22" t="str">
        <f>HYPERLINK("https://pbs.twimg.com/profile_images/882519661849362434/E432_TQJ_normal.jpg","View")</f>
        <v>View</v>
      </c>
      <c r="P472" s="27"/>
    </row>
    <row r="473">
      <c r="A473" s="14">
        <v>43031.076956018514</v>
      </c>
      <c r="B473" s="20" t="str">
        <f>HYPERLINK("https://twitter.com/fxzoneofficial","@fxzoneofficial")</f>
        <v>@fxzoneofficial</v>
      </c>
      <c r="C473" s="21" t="s">
        <v>1326</v>
      </c>
      <c r="D473" s="21" t="s">
        <v>1327</v>
      </c>
      <c r="E473" s="22" t="str">
        <f>HYPERLINK("https://twitter.com/fxzoneofficial/status/922384806784233472","922384806784233472")</f>
        <v>922384806784233472</v>
      </c>
      <c r="F473" s="23" t="s">
        <v>1328</v>
      </c>
      <c r="G473" s="24">
        <v>496.0</v>
      </c>
      <c r="H473" s="24">
        <v>209.0</v>
      </c>
      <c r="I473" s="24">
        <v>0.0</v>
      </c>
      <c r="J473" s="24">
        <v>0.0</v>
      </c>
      <c r="K473" s="23" t="s">
        <v>34</v>
      </c>
      <c r="L473" s="25">
        <v>41987.21666666667</v>
      </c>
      <c r="M473" s="28"/>
      <c r="N473" s="26" t="s">
        <v>1329</v>
      </c>
      <c r="O473" s="22" t="str">
        <f>HYPERLINK("https://pbs.twimg.com/profile_images/898679417635045376/0ecZuQDQ_normal.jpg","View")</f>
        <v>View</v>
      </c>
      <c r="P473" s="27"/>
    </row>
    <row r="474">
      <c r="A474" s="14">
        <v>43031.07697916667</v>
      </c>
      <c r="B474" s="20" t="str">
        <f>HYPERLINK("https://twitter.com/rjsarkaroff","@rjsarkaroff")</f>
        <v>@rjsarkaroff</v>
      </c>
      <c r="C474" s="21" t="s">
        <v>1330</v>
      </c>
      <c r="D474" s="21" t="s">
        <v>42</v>
      </c>
      <c r="E474" s="22" t="str">
        <f>HYPERLINK("https://twitter.com/rjsarkaroff/status/922384815654973441","922384815654973441")</f>
        <v>922384815654973441</v>
      </c>
      <c r="F474" s="23" t="s">
        <v>39</v>
      </c>
      <c r="G474" s="24">
        <v>2696.0</v>
      </c>
      <c r="H474" s="24">
        <v>4994.0</v>
      </c>
      <c r="I474" s="24">
        <v>8501.0</v>
      </c>
      <c r="J474" s="24">
        <v>0.0</v>
      </c>
      <c r="K474" s="23" t="s">
        <v>34</v>
      </c>
      <c r="L474" s="25">
        <v>42512.38827546296</v>
      </c>
      <c r="M474" s="26" t="s">
        <v>204</v>
      </c>
      <c r="N474" s="26" t="s">
        <v>1331</v>
      </c>
      <c r="O474" s="22" t="str">
        <f>HYPERLINK("https://pbs.twimg.com/profile_images/923025058498355200/VNBYPVnK_normal.jpg","View")</f>
        <v>View</v>
      </c>
      <c r="P474" s="27"/>
    </row>
    <row r="475">
      <c r="A475" s="14">
        <v>43031.07697916667</v>
      </c>
      <c r="B475" s="20" t="str">
        <f>HYPERLINK("https://twitter.com/epsilonc2","@epsilonc2")</f>
        <v>@epsilonc2</v>
      </c>
      <c r="C475" s="21" t="s">
        <v>1332</v>
      </c>
      <c r="D475" s="21" t="s">
        <v>1333</v>
      </c>
      <c r="E475" s="22" t="str">
        <f>HYPERLINK("https://twitter.com/epsilonc2/status/922384815881678848","922384815881678848")</f>
        <v>922384815881678848</v>
      </c>
      <c r="F475" s="23" t="s">
        <v>55</v>
      </c>
      <c r="G475" s="24">
        <v>99.0</v>
      </c>
      <c r="H475" s="24">
        <v>873.0</v>
      </c>
      <c r="I475" s="24">
        <v>0.0</v>
      </c>
      <c r="J475" s="24">
        <v>0.0</v>
      </c>
      <c r="K475" s="23" t="s">
        <v>34</v>
      </c>
      <c r="L475" s="25">
        <v>41561.61178240741</v>
      </c>
      <c r="M475" s="26" t="s">
        <v>1334</v>
      </c>
      <c r="N475" s="28"/>
      <c r="O475" s="22" t="str">
        <f>HYPERLINK("https://pbs.twimg.com/profile_images/443011134186979328/6PoqVovc_normal.jpeg","View")</f>
        <v>View</v>
      </c>
      <c r="P475" s="27"/>
    </row>
    <row r="476">
      <c r="A476" s="14">
        <v>43031.07699074074</v>
      </c>
      <c r="B476" s="20" t="str">
        <f>HYPERLINK("https://twitter.com/heliovoyage","@heliovoyage")</f>
        <v>@heliovoyage</v>
      </c>
      <c r="C476" s="21" t="s">
        <v>1335</v>
      </c>
      <c r="D476" s="21" t="s">
        <v>760</v>
      </c>
      <c r="E476" s="22" t="str">
        <f>HYPERLINK("https://twitter.com/heliovoyage/status/922384817504755712","922384817504755712")</f>
        <v>922384817504755712</v>
      </c>
      <c r="F476" s="23" t="s">
        <v>55</v>
      </c>
      <c r="G476" s="24">
        <v>1033.0</v>
      </c>
      <c r="H476" s="24">
        <v>78.0</v>
      </c>
      <c r="I476" s="24">
        <v>62.0</v>
      </c>
      <c r="J476" s="24">
        <v>0.0</v>
      </c>
      <c r="K476" s="23" t="s">
        <v>34</v>
      </c>
      <c r="L476" s="25">
        <v>40246.57821759259</v>
      </c>
      <c r="M476" s="26" t="s">
        <v>1336</v>
      </c>
      <c r="N476" s="26" t="s">
        <v>1337</v>
      </c>
      <c r="O476" s="22" t="str">
        <f>HYPERLINK("https://pbs.twimg.com/profile_images/2735473527/c37a03a72e0ec0c8f02ab493d2973077_normal.jpeg","View")</f>
        <v>View</v>
      </c>
      <c r="P476" s="27"/>
    </row>
    <row r="477">
      <c r="A477" s="14">
        <v>43031.077002314814</v>
      </c>
      <c r="B477" s="20" t="str">
        <f>HYPERLINK("https://twitter.com/chitrabhai","@chitrabhai")</f>
        <v>@chitrabhai</v>
      </c>
      <c r="C477" s="21" t="s">
        <v>1338</v>
      </c>
      <c r="D477" s="21" t="s">
        <v>42</v>
      </c>
      <c r="E477" s="22" t="str">
        <f>HYPERLINK("https://twitter.com/chitrabhai/status/922384822328111104","922384822328111104")</f>
        <v>922384822328111104</v>
      </c>
      <c r="F477" s="23" t="s">
        <v>33</v>
      </c>
      <c r="G477" s="24">
        <v>627.0</v>
      </c>
      <c r="H477" s="24">
        <v>56.0</v>
      </c>
      <c r="I477" s="24">
        <v>8501.0</v>
      </c>
      <c r="J477" s="24">
        <v>0.0</v>
      </c>
      <c r="K477" s="23" t="s">
        <v>34</v>
      </c>
      <c r="L477" s="25">
        <v>42589.55291666667</v>
      </c>
      <c r="M477" s="28"/>
      <c r="N477" s="26" t="s">
        <v>1339</v>
      </c>
      <c r="O477" s="22" t="str">
        <f>HYPERLINK("https://pbs.twimg.com/profile_images/859120288658845697/Y2Lo1cqy_normal.jpg","View")</f>
        <v>View</v>
      </c>
      <c r="P477" s="27"/>
    </row>
    <row r="478">
      <c r="A478" s="14">
        <v>43031.077002314814</v>
      </c>
      <c r="B478" s="20" t="str">
        <f>HYPERLINK("https://twitter.com/YodaCon","@YodaCon")</f>
        <v>@YodaCon</v>
      </c>
      <c r="C478" s="21" t="s">
        <v>1340</v>
      </c>
      <c r="D478" s="21" t="s">
        <v>1341</v>
      </c>
      <c r="E478" s="22" t="str">
        <f>HYPERLINK("https://twitter.com/YodaCon/status/922384822810677248","922384822810677248")</f>
        <v>922384822810677248</v>
      </c>
      <c r="F478" s="30" t="s">
        <v>1342</v>
      </c>
      <c r="G478" s="24">
        <v>8622.0</v>
      </c>
      <c r="H478" s="24">
        <v>5662.0</v>
      </c>
      <c r="I478" s="24">
        <v>23.0</v>
      </c>
      <c r="J478" s="24">
        <v>20.0</v>
      </c>
      <c r="K478" s="23" t="s">
        <v>34</v>
      </c>
      <c r="L478" s="25">
        <v>41487.43429398148</v>
      </c>
      <c r="M478" s="26" t="s">
        <v>1343</v>
      </c>
      <c r="N478" s="26" t="s">
        <v>1344</v>
      </c>
      <c r="O478" s="22" t="str">
        <f>HYPERLINK("https://pbs.twimg.com/profile_images/378800000706993634/5042f1290b2454b25e0cecc47d97ee29_normal.jpeg","View")</f>
        <v>View</v>
      </c>
      <c r="P478" s="27"/>
    </row>
    <row r="479">
      <c r="A479" s="14">
        <v>43031.07701388889</v>
      </c>
      <c r="B479" s="20" t="str">
        <f>HYPERLINK("https://twitter.com/Kingmakertweet","@Kingmakertweet")</f>
        <v>@Kingmakertweet</v>
      </c>
      <c r="C479" s="21" t="s">
        <v>788</v>
      </c>
      <c r="D479" s="21" t="s">
        <v>1345</v>
      </c>
      <c r="E479" s="22" t="str">
        <f>HYPERLINK("https://twitter.com/Kingmakertweet/status/922384825461305344","922384825461305344")</f>
        <v>922384825461305344</v>
      </c>
      <c r="F479" s="23" t="s">
        <v>55</v>
      </c>
      <c r="G479" s="24">
        <v>126.0</v>
      </c>
      <c r="H479" s="24">
        <v>66.0</v>
      </c>
      <c r="I479" s="24">
        <v>22.0</v>
      </c>
      <c r="J479" s="24">
        <v>0.0</v>
      </c>
      <c r="K479" s="23" t="s">
        <v>34</v>
      </c>
      <c r="L479" s="25">
        <v>41053.04650462963</v>
      </c>
      <c r="M479" s="28"/>
      <c r="N479" s="26" t="s">
        <v>789</v>
      </c>
      <c r="O479" s="22" t="str">
        <f>HYPERLINK("https://pbs.twimg.com/profile_images/836959111707123712/vw98l-VT_normal.jpg","View")</f>
        <v>View</v>
      </c>
      <c r="P479" s="27"/>
    </row>
    <row r="480">
      <c r="A480" s="14">
        <v>43031.07701388889</v>
      </c>
      <c r="B480" s="20" t="str">
        <f>HYPERLINK("https://twitter.com/expressideas","@expressideas")</f>
        <v>@expressideas</v>
      </c>
      <c r="C480" s="21" t="s">
        <v>1346</v>
      </c>
      <c r="D480" s="21" t="s">
        <v>760</v>
      </c>
      <c r="E480" s="22" t="str">
        <f>HYPERLINK("https://twitter.com/expressideas/status/922384827826835456","922384827826835456")</f>
        <v>922384827826835456</v>
      </c>
      <c r="F480" s="23" t="s">
        <v>33</v>
      </c>
      <c r="G480" s="24">
        <v>110.0</v>
      </c>
      <c r="H480" s="24">
        <v>83.0</v>
      </c>
      <c r="I480" s="24">
        <v>62.0</v>
      </c>
      <c r="J480" s="24">
        <v>0.0</v>
      </c>
      <c r="K480" s="23" t="s">
        <v>34</v>
      </c>
      <c r="L480" s="25">
        <v>40036.902870370366</v>
      </c>
      <c r="M480" s="26" t="s">
        <v>1347</v>
      </c>
      <c r="N480" s="26" t="s">
        <v>1348</v>
      </c>
      <c r="O480" s="22" t="str">
        <f>HYPERLINK("https://pbs.twimg.com/profile_images/922723694698414082/Zwz_GoFp_normal.jpg","View")</f>
        <v>View</v>
      </c>
      <c r="P480" s="27"/>
    </row>
    <row r="481">
      <c r="A481" s="14">
        <v>43031.07702546296</v>
      </c>
      <c r="B481" s="20" t="str">
        <f>HYPERLINK("https://twitter.com/SHIVPRATAPTOMA9","@SHIVPRATAPTOMA9")</f>
        <v>@SHIVPRATAPTOMA9</v>
      </c>
      <c r="C481" s="21" t="s">
        <v>1349</v>
      </c>
      <c r="D481" s="21" t="s">
        <v>42</v>
      </c>
      <c r="E481" s="22" t="str">
        <f>HYPERLINK("https://twitter.com/SHIVPRATAPTOMA9/status/922384829227745280","922384829227745280")</f>
        <v>922384829227745280</v>
      </c>
      <c r="F481" s="23" t="s">
        <v>33</v>
      </c>
      <c r="G481" s="24">
        <v>2.0</v>
      </c>
      <c r="H481" s="24">
        <v>109.0</v>
      </c>
      <c r="I481" s="24">
        <v>8501.0</v>
      </c>
      <c r="J481" s="24">
        <v>0.0</v>
      </c>
      <c r="K481" s="23" t="s">
        <v>34</v>
      </c>
      <c r="L481" s="25">
        <v>43030.38694444444</v>
      </c>
      <c r="M481" s="28"/>
      <c r="N481" s="28"/>
      <c r="O481" s="22" t="str">
        <f>HYPERLINK("https://abs.twimg.com/sticky/default_profile_images/default_profile_normal.png","View")</f>
        <v>View</v>
      </c>
      <c r="P481" s="27"/>
    </row>
    <row r="482">
      <c r="A482" s="14">
        <v>43031.07702546296</v>
      </c>
      <c r="B482" s="20" t="str">
        <f>HYPERLINK("https://twitter.com/GopalLalSutha15","@GopalLalSutha15")</f>
        <v>@GopalLalSutha15</v>
      </c>
      <c r="C482" s="21" t="s">
        <v>1350</v>
      </c>
      <c r="D482" s="21" t="s">
        <v>42</v>
      </c>
      <c r="E482" s="22" t="str">
        <f>HYPERLINK("https://twitter.com/GopalLalSutha15/status/922384833086611457","922384833086611457")</f>
        <v>922384833086611457</v>
      </c>
      <c r="F482" s="23" t="s">
        <v>33</v>
      </c>
      <c r="G482" s="24">
        <v>17.0</v>
      </c>
      <c r="H482" s="24">
        <v>326.0</v>
      </c>
      <c r="I482" s="24">
        <v>8501.0</v>
      </c>
      <c r="J482" s="24">
        <v>0.0</v>
      </c>
      <c r="K482" s="23" t="s">
        <v>34</v>
      </c>
      <c r="L482" s="25">
        <v>42965.40314814815</v>
      </c>
      <c r="M482" s="28"/>
      <c r="N482" s="28"/>
      <c r="O482" s="22" t="str">
        <f>HYPERLINK("https://pbs.twimg.com/profile_images/920949666258096129/U0isHW6P_normal.jpg","View")</f>
        <v>View</v>
      </c>
      <c r="P482" s="27"/>
    </row>
    <row r="483">
      <c r="A483" s="14">
        <v>43031.07707175926</v>
      </c>
      <c r="B483" s="20" t="str">
        <f>HYPERLINK("https://twitter.com/tsumayouji002","@tsumayouji002")</f>
        <v>@tsumayouji002</v>
      </c>
      <c r="C483" s="21" t="s">
        <v>1351</v>
      </c>
      <c r="D483" s="21" t="s">
        <v>42</v>
      </c>
      <c r="E483" s="22" t="str">
        <f>HYPERLINK("https://twitter.com/tsumayouji002/status/922384849188536320","922384849188536320")</f>
        <v>922384849188536320</v>
      </c>
      <c r="F483" s="23" t="s">
        <v>39</v>
      </c>
      <c r="G483" s="24">
        <v>228.0</v>
      </c>
      <c r="H483" s="24">
        <v>124.0</v>
      </c>
      <c r="I483" s="24">
        <v>8501.0</v>
      </c>
      <c r="J483" s="24">
        <v>0.0</v>
      </c>
      <c r="K483" s="23" t="s">
        <v>34</v>
      </c>
      <c r="L483" s="25">
        <v>42824.346192129626</v>
      </c>
      <c r="M483" s="28"/>
      <c r="N483" s="26" t="s">
        <v>1352</v>
      </c>
      <c r="O483" s="22" t="str">
        <f>HYPERLINK("https://pbs.twimg.com/profile_images/847468948249378816/cyr9lxHX_normal.jpg","View")</f>
        <v>View</v>
      </c>
      <c r="P483" s="27"/>
    </row>
    <row r="484">
      <c r="A484" s="14">
        <v>43031.07709490741</v>
      </c>
      <c r="B484" s="20" t="str">
        <f>HYPERLINK("https://twitter.com/SUSANTAHSE","@SUSANTAHSE")</f>
        <v>@SUSANTAHSE</v>
      </c>
      <c r="C484" s="21" t="s">
        <v>1353</v>
      </c>
      <c r="D484" s="21" t="s">
        <v>42</v>
      </c>
      <c r="E484" s="22" t="str">
        <f>HYPERLINK("https://twitter.com/SUSANTAHSE/status/922384854364307456","922384854364307456")</f>
        <v>922384854364307456</v>
      </c>
      <c r="F484" s="23" t="s">
        <v>55</v>
      </c>
      <c r="G484" s="24">
        <v>61.0</v>
      </c>
      <c r="H484" s="24">
        <v>764.0</v>
      </c>
      <c r="I484" s="24">
        <v>8501.0</v>
      </c>
      <c r="J484" s="24">
        <v>0.0</v>
      </c>
      <c r="K484" s="23" t="s">
        <v>34</v>
      </c>
      <c r="L484" s="25">
        <v>42273.29168981481</v>
      </c>
      <c r="M484" s="26" t="s">
        <v>1354</v>
      </c>
      <c r="N484" s="26" t="s">
        <v>1355</v>
      </c>
      <c r="O484" s="22" t="str">
        <f>HYPERLINK("https://pbs.twimg.com/profile_images/647776430097457152/Zv0BrfsD_normal.jpg","View")</f>
        <v>View</v>
      </c>
      <c r="P484" s="27"/>
    </row>
    <row r="485">
      <c r="A485" s="14">
        <v>43031.07712962963</v>
      </c>
      <c r="B485" s="20" t="str">
        <f>HYPERLINK("https://twitter.com/Zero_Cult","@Zero_Cult")</f>
        <v>@Zero_Cult</v>
      </c>
      <c r="C485" s="21" t="s">
        <v>1356</v>
      </c>
      <c r="D485" s="21" t="s">
        <v>1345</v>
      </c>
      <c r="E485" s="22" t="str">
        <f>HYPERLINK("https://twitter.com/Zero_Cult/status/922384869346463744","922384869346463744")</f>
        <v>922384869346463744</v>
      </c>
      <c r="F485" s="23" t="s">
        <v>55</v>
      </c>
      <c r="G485" s="24">
        <v>1739.0</v>
      </c>
      <c r="H485" s="24">
        <v>2111.0</v>
      </c>
      <c r="I485" s="24">
        <v>22.0</v>
      </c>
      <c r="J485" s="24">
        <v>0.0</v>
      </c>
      <c r="K485" s="23" t="s">
        <v>34</v>
      </c>
      <c r="L485" s="25">
        <v>40049.42957175926</v>
      </c>
      <c r="M485" s="28"/>
      <c r="N485" s="26" t="s">
        <v>1357</v>
      </c>
      <c r="O485" s="22" t="str">
        <f>HYPERLINK("https://pbs.twimg.com/profile_images/915079665110351872/2Z7VkpkU_normal.jpg","View")</f>
        <v>View</v>
      </c>
      <c r="P485" s="27"/>
    </row>
    <row r="486">
      <c r="A486" s="14">
        <v>43031.077152777776</v>
      </c>
      <c r="B486" s="20" t="str">
        <f>HYPERLINK("https://twitter.com/RoberCurtis","@RoberCurtis")</f>
        <v>@RoberCurtis</v>
      </c>
      <c r="C486" s="21" t="s">
        <v>1358</v>
      </c>
      <c r="D486" s="21" t="s">
        <v>1345</v>
      </c>
      <c r="E486" s="22" t="str">
        <f>HYPERLINK("https://twitter.com/RoberCurtis/status/922384875528900608","922384875528900608")</f>
        <v>922384875528900608</v>
      </c>
      <c r="F486" s="23" t="s">
        <v>33</v>
      </c>
      <c r="G486" s="24">
        <v>82.0</v>
      </c>
      <c r="H486" s="24">
        <v>363.0</v>
      </c>
      <c r="I486" s="24">
        <v>22.0</v>
      </c>
      <c r="J486" s="24">
        <v>0.0</v>
      </c>
      <c r="K486" s="23" t="s">
        <v>34</v>
      </c>
      <c r="L486" s="25">
        <v>42979.247812500005</v>
      </c>
      <c r="M486" s="28"/>
      <c r="N486" s="28"/>
      <c r="O486" s="22" t="str">
        <f>HYPERLINK("https://pbs.twimg.com/profile_images/903644722362814465/gNfQDZKb_normal.jpg","View")</f>
        <v>View</v>
      </c>
      <c r="P486" s="27"/>
    </row>
    <row r="487">
      <c r="A487" s="14">
        <v>43031.077152777776</v>
      </c>
      <c r="B487" s="20" t="str">
        <f>HYPERLINK("https://twitter.com/Ron_Bourne","@Ron_Bourne")</f>
        <v>@Ron_Bourne</v>
      </c>
      <c r="C487" s="21" t="s">
        <v>821</v>
      </c>
      <c r="D487" s="21" t="s">
        <v>1359</v>
      </c>
      <c r="E487" s="22" t="str">
        <f>HYPERLINK("https://twitter.com/Ron_Bourne/status/922384877957320704","922384877957320704")</f>
        <v>922384877957320704</v>
      </c>
      <c r="F487" s="23" t="s">
        <v>187</v>
      </c>
      <c r="G487" s="24">
        <v>352.0</v>
      </c>
      <c r="H487" s="24">
        <v>240.0</v>
      </c>
      <c r="I487" s="24">
        <v>0.0</v>
      </c>
      <c r="J487" s="24">
        <v>0.0</v>
      </c>
      <c r="K487" s="23" t="s">
        <v>34</v>
      </c>
      <c r="L487" s="25">
        <v>39367.5259375</v>
      </c>
      <c r="M487" s="26" t="s">
        <v>590</v>
      </c>
      <c r="N487" s="26" t="s">
        <v>823</v>
      </c>
      <c r="O487" s="22" t="str">
        <f>HYPERLINK("https://pbs.twimg.com/profile_images/922533323825664000/DLCEnlTy_normal.jpg","View")</f>
        <v>View</v>
      </c>
      <c r="P487" s="27"/>
    </row>
    <row r="488">
      <c r="A488" s="14">
        <v>43031.0771875</v>
      </c>
      <c r="B488" s="20" t="str">
        <f>HYPERLINK("https://twitter.com/kamoljojoo111","@kamoljojoo111")</f>
        <v>@kamoljojoo111</v>
      </c>
      <c r="C488" s="21" t="s">
        <v>1360</v>
      </c>
      <c r="D488" s="21" t="s">
        <v>1361</v>
      </c>
      <c r="E488" s="22" t="str">
        <f>HYPERLINK("https://twitter.com/kamoljojoo111/status/922384888296361986","922384888296361986")</f>
        <v>922384888296361986</v>
      </c>
      <c r="F488" s="23" t="s">
        <v>187</v>
      </c>
      <c r="G488" s="24">
        <v>1882.0</v>
      </c>
      <c r="H488" s="24">
        <v>2159.0</v>
      </c>
      <c r="I488" s="24">
        <v>0.0</v>
      </c>
      <c r="J488" s="24">
        <v>0.0</v>
      </c>
      <c r="K488" s="23" t="s">
        <v>34</v>
      </c>
      <c r="L488" s="25">
        <v>42431.02429398148</v>
      </c>
      <c r="M488" s="26" t="s">
        <v>1362</v>
      </c>
      <c r="N488" s="26" t="s">
        <v>1363</v>
      </c>
      <c r="O488" s="22" t="str">
        <f>HYPERLINK("https://pbs.twimg.com/profile_images/853604509477519360/aC9IzpuY_normal.jpg","View")</f>
        <v>View</v>
      </c>
      <c r="P488" s="27"/>
    </row>
    <row r="489">
      <c r="A489" s="14">
        <v>43031.0771875</v>
      </c>
      <c r="B489" s="20" t="str">
        <f>HYPERLINK("https://twitter.com/bdnews24","@bdnews24")</f>
        <v>@bdnews24</v>
      </c>
      <c r="C489" s="21" t="s">
        <v>831</v>
      </c>
      <c r="D489" s="21" t="s">
        <v>1364</v>
      </c>
      <c r="E489" s="22" t="str">
        <f>HYPERLINK("https://twitter.com/bdnews24/status/922384888556392448","922384888556392448")</f>
        <v>922384888556392448</v>
      </c>
      <c r="F489" s="23" t="s">
        <v>187</v>
      </c>
      <c r="G489" s="24">
        <v>215301.0</v>
      </c>
      <c r="H489" s="24">
        <v>67843.0</v>
      </c>
      <c r="I489" s="24">
        <v>0.0</v>
      </c>
      <c r="J489" s="24">
        <v>0.0</v>
      </c>
      <c r="K489" s="23" t="s">
        <v>34</v>
      </c>
      <c r="L489" s="25">
        <v>39844.468043981484</v>
      </c>
      <c r="M489" s="26" t="s">
        <v>833</v>
      </c>
      <c r="N489" s="26" t="s">
        <v>834</v>
      </c>
      <c r="O489" s="22" t="str">
        <f>HYPERLINK("https://pbs.twimg.com/profile_images/718433521509994497/4iW9RC_r_normal.jpg","View")</f>
        <v>View</v>
      </c>
      <c r="P489" s="27"/>
    </row>
    <row r="490">
      <c r="A490" s="14">
        <v>43031.0771875</v>
      </c>
      <c r="B490" s="20" t="str">
        <f>HYPERLINK("https://twitter.com/TheNewsAlerts","@TheNewsAlerts")</f>
        <v>@TheNewsAlerts</v>
      </c>
      <c r="C490" s="21" t="s">
        <v>827</v>
      </c>
      <c r="D490" s="21" t="s">
        <v>1365</v>
      </c>
      <c r="E490" s="22" t="str">
        <f>HYPERLINK("https://twitter.com/TheNewsAlerts/status/922384890083110913","922384890083110913")</f>
        <v>922384890083110913</v>
      </c>
      <c r="F490" s="23" t="s">
        <v>187</v>
      </c>
      <c r="G490" s="24">
        <v>705.0</v>
      </c>
      <c r="H490" s="24">
        <v>566.0</v>
      </c>
      <c r="I490" s="24">
        <v>0.0</v>
      </c>
      <c r="J490" s="24">
        <v>0.0</v>
      </c>
      <c r="K490" s="23" t="s">
        <v>34</v>
      </c>
      <c r="L490" s="25">
        <v>40368.59261574074</v>
      </c>
      <c r="M490" s="26" t="s">
        <v>829</v>
      </c>
      <c r="N490" s="26" t="s">
        <v>830</v>
      </c>
      <c r="O490" s="22" t="str">
        <f>HYPERLINK("https://pbs.twimg.com/profile_images/824973109522464768/RosVlZDx_normal.jpg","View")</f>
        <v>View</v>
      </c>
      <c r="P490" s="27"/>
    </row>
    <row r="491">
      <c r="A491" s="14">
        <v>43031.07722222222</v>
      </c>
      <c r="B491" s="20" t="str">
        <f>HYPERLINK("https://twitter.com/kumarayyan","@kumarayyan")</f>
        <v>@kumarayyan</v>
      </c>
      <c r="C491" s="21" t="s">
        <v>1366</v>
      </c>
      <c r="D491" s="21" t="s">
        <v>42</v>
      </c>
      <c r="E491" s="22" t="str">
        <f>HYPERLINK("https://twitter.com/kumarayyan/status/922384902816808960","922384902816808960")</f>
        <v>922384902816808960</v>
      </c>
      <c r="F491" s="23" t="s">
        <v>33</v>
      </c>
      <c r="G491" s="24">
        <v>260.0</v>
      </c>
      <c r="H491" s="24">
        <v>595.0</v>
      </c>
      <c r="I491" s="24">
        <v>8501.0</v>
      </c>
      <c r="J491" s="24">
        <v>0.0</v>
      </c>
      <c r="K491" s="23" t="s">
        <v>34</v>
      </c>
      <c r="L491" s="25">
        <v>42778.29165509259</v>
      </c>
      <c r="M491" s="26" t="s">
        <v>1367</v>
      </c>
      <c r="N491" s="28"/>
      <c r="O491" s="22" t="str">
        <f>HYPERLINK("https://pbs.twimg.com/profile_images/896237784641323008/KlhcAgge_normal.jpg","View")</f>
        <v>View</v>
      </c>
      <c r="P491" s="27"/>
    </row>
    <row r="492">
      <c r="A492" s="14">
        <v>43031.077256944445</v>
      </c>
      <c r="B492" s="20" t="str">
        <f>HYPERLINK("https://twitter.com/ravikbhagatmrl","@ravikbhagatmrl")</f>
        <v>@ravikbhagatmrl</v>
      </c>
      <c r="C492" s="21" t="s">
        <v>1368</v>
      </c>
      <c r="D492" s="21" t="s">
        <v>42</v>
      </c>
      <c r="E492" s="22" t="str">
        <f>HYPERLINK("https://twitter.com/ravikbhagatmrl/status/922384917106868224","922384917106868224")</f>
        <v>922384917106868224</v>
      </c>
      <c r="F492" s="23" t="s">
        <v>33</v>
      </c>
      <c r="G492" s="24">
        <v>49.0</v>
      </c>
      <c r="H492" s="24">
        <v>170.0</v>
      </c>
      <c r="I492" s="24">
        <v>8501.0</v>
      </c>
      <c r="J492" s="24">
        <v>0.0</v>
      </c>
      <c r="K492" s="23" t="s">
        <v>34</v>
      </c>
      <c r="L492" s="25">
        <v>42148.137835648144</v>
      </c>
      <c r="M492" s="28"/>
      <c r="N492" s="28"/>
      <c r="O492" s="22" t="str">
        <f>HYPERLINK("https://pbs.twimg.com/profile_images/922082868917977089/I4o218mw_normal.jpg","View")</f>
        <v>View</v>
      </c>
      <c r="P492" s="27"/>
    </row>
    <row r="493">
      <c r="A493" s="14">
        <v>43031.077314814815</v>
      </c>
      <c r="B493" s="20" t="str">
        <f>HYPERLINK("https://twitter.com/TheMediaIgnores","@TheMediaIgnores")</f>
        <v>@TheMediaIgnores</v>
      </c>
      <c r="C493" s="21" t="s">
        <v>1369</v>
      </c>
      <c r="D493" s="21" t="s">
        <v>1370</v>
      </c>
      <c r="E493" s="22" t="str">
        <f>HYPERLINK("https://twitter.com/TheMediaIgnores/status/922384935603855360","922384935603855360")</f>
        <v>922384935603855360</v>
      </c>
      <c r="F493" s="23" t="s">
        <v>187</v>
      </c>
      <c r="G493" s="24">
        <v>4167.0</v>
      </c>
      <c r="H493" s="24">
        <v>3931.0</v>
      </c>
      <c r="I493" s="24">
        <v>0.0</v>
      </c>
      <c r="J493" s="24">
        <v>0.0</v>
      </c>
      <c r="K493" s="23" t="s">
        <v>34</v>
      </c>
      <c r="L493" s="25">
        <v>39989.104375</v>
      </c>
      <c r="M493" s="28"/>
      <c r="N493" s="28"/>
      <c r="O493" s="22" t="str">
        <f>HYPERLINK("https://pbs.twimg.com/profile_images/580918345215688704/RY-H6QSt_normal.jpg","View")</f>
        <v>View</v>
      </c>
      <c r="P493" s="27"/>
    </row>
    <row r="494">
      <c r="A494" s="14">
        <v>43031.07734953704</v>
      </c>
      <c r="B494" s="20" t="str">
        <f>HYPERLINK("https://twitter.com/iambmane","@iambmane")</f>
        <v>@iambmane</v>
      </c>
      <c r="C494" s="21" t="s">
        <v>1371</v>
      </c>
      <c r="D494" s="21" t="s">
        <v>42</v>
      </c>
      <c r="E494" s="22" t="str">
        <f>HYPERLINK("https://twitter.com/iambmane/status/922384947637141505","922384947637141505")</f>
        <v>922384947637141505</v>
      </c>
      <c r="F494" s="23" t="s">
        <v>33</v>
      </c>
      <c r="G494" s="24">
        <v>10291.0</v>
      </c>
      <c r="H494" s="24">
        <v>2799.0</v>
      </c>
      <c r="I494" s="24">
        <v>8501.0</v>
      </c>
      <c r="J494" s="24">
        <v>0.0</v>
      </c>
      <c r="K494" s="23" t="s">
        <v>34</v>
      </c>
      <c r="L494" s="25">
        <v>41641.522152777776</v>
      </c>
      <c r="M494" s="26" t="s">
        <v>1372</v>
      </c>
      <c r="N494" s="26" t="s">
        <v>1373</v>
      </c>
      <c r="O494" s="22" t="str">
        <f>HYPERLINK("https://pbs.twimg.com/profile_images/877953432400805888/ZyfxmShM_normal.jpg","View")</f>
        <v>View</v>
      </c>
      <c r="P494" s="27"/>
    </row>
    <row r="495">
      <c r="A495" s="14">
        <v>43031.077372685184</v>
      </c>
      <c r="B495" s="20" t="str">
        <f>HYPERLINK("https://twitter.com/tqeV9Wgz5Sr5WtA","@tqeV9Wgz5Sr5WtA")</f>
        <v>@tqeV9Wgz5Sr5WtA</v>
      </c>
      <c r="C495" s="21" t="s">
        <v>1374</v>
      </c>
      <c r="D495" s="21" t="s">
        <v>760</v>
      </c>
      <c r="E495" s="22" t="str">
        <f>HYPERLINK("https://twitter.com/tqeV9Wgz5Sr5WtA/status/922384957938417664","922384957938417664")</f>
        <v>922384957938417664</v>
      </c>
      <c r="F495" s="23" t="s">
        <v>33</v>
      </c>
      <c r="G495" s="24">
        <v>33.0</v>
      </c>
      <c r="H495" s="24">
        <v>102.0</v>
      </c>
      <c r="I495" s="24">
        <v>62.0</v>
      </c>
      <c r="J495" s="24">
        <v>0.0</v>
      </c>
      <c r="K495" s="23" t="s">
        <v>34</v>
      </c>
      <c r="L495" s="25">
        <v>43025.15708333333</v>
      </c>
      <c r="M495" s="28"/>
      <c r="N495" s="26" t="s">
        <v>1375</v>
      </c>
      <c r="O495" s="22" t="str">
        <f>HYPERLINK("https://pbs.twimg.com/profile_images/920658747071938561/h8Usj-r0_normal.jpg","View")</f>
        <v>View</v>
      </c>
      <c r="P495" s="27"/>
    </row>
    <row r="496">
      <c r="A496" s="14">
        <v>43031.077372685184</v>
      </c>
      <c r="B496" s="20" t="str">
        <f>HYPERLINK("https://twitter.com/ermani325","@ermani325")</f>
        <v>@ermani325</v>
      </c>
      <c r="C496" s="21" t="s">
        <v>1376</v>
      </c>
      <c r="D496" s="21" t="s">
        <v>42</v>
      </c>
      <c r="E496" s="22" t="str">
        <f>HYPERLINK("https://twitter.com/ermani325/status/922384958768889856","922384958768889856")</f>
        <v>922384958768889856</v>
      </c>
      <c r="F496" s="23" t="s">
        <v>43</v>
      </c>
      <c r="G496" s="24">
        <v>11.0</v>
      </c>
      <c r="H496" s="24">
        <v>60.0</v>
      </c>
      <c r="I496" s="24">
        <v>8501.0</v>
      </c>
      <c r="J496" s="24">
        <v>0.0</v>
      </c>
      <c r="K496" s="23" t="s">
        <v>34</v>
      </c>
      <c r="L496" s="25">
        <v>40914.199270833335</v>
      </c>
      <c r="M496" s="26" t="s">
        <v>1377</v>
      </c>
      <c r="N496" s="26" t="s">
        <v>1378</v>
      </c>
      <c r="O496" s="22" t="str">
        <f>HYPERLINK("https://pbs.twimg.com/profile_images/855106373608251393/7DM2jQJh_normal.jpg","View")</f>
        <v>View</v>
      </c>
      <c r="P496" s="27"/>
    </row>
    <row r="497">
      <c r="A497" s="14">
        <v>43031.077418981484</v>
      </c>
      <c r="B497" s="20" t="str">
        <f>HYPERLINK("https://twitter.com/Sorgitzak","@Sorgitzak")</f>
        <v>@Sorgitzak</v>
      </c>
      <c r="C497" s="21" t="s">
        <v>1122</v>
      </c>
      <c r="D497" s="21" t="s">
        <v>1379</v>
      </c>
      <c r="E497" s="22" t="str">
        <f>HYPERLINK("https://twitter.com/Sorgitzak/status/922384971918082048","922384971918082048")</f>
        <v>922384971918082048</v>
      </c>
      <c r="F497" s="23" t="s">
        <v>187</v>
      </c>
      <c r="G497" s="24">
        <v>723.0</v>
      </c>
      <c r="H497" s="24">
        <v>1309.0</v>
      </c>
      <c r="I497" s="24">
        <v>0.0</v>
      </c>
      <c r="J497" s="24">
        <v>0.0</v>
      </c>
      <c r="K497" s="23" t="s">
        <v>34</v>
      </c>
      <c r="L497" s="25">
        <v>39990.552152777775</v>
      </c>
      <c r="M497" s="26" t="s">
        <v>1124</v>
      </c>
      <c r="N497" s="28"/>
      <c r="O497" s="22" t="str">
        <f>HYPERLINK("https://pbs.twimg.com/profile_images/284404970/sorgitzak_normal.JPG","View")</f>
        <v>View</v>
      </c>
      <c r="P497" s="27"/>
    </row>
    <row r="498">
      <c r="A498" s="14">
        <v>43031.077418981484</v>
      </c>
      <c r="B498" s="20" t="str">
        <f>HYPERLINK("https://twitter.com/alps1401m","@alps1401m")</f>
        <v>@alps1401m</v>
      </c>
      <c r="C498" s="21" t="s">
        <v>1380</v>
      </c>
      <c r="D498" s="21" t="s">
        <v>1381</v>
      </c>
      <c r="E498" s="22" t="str">
        <f>HYPERLINK("https://twitter.com/alps1401m/status/922384972433956864","922384972433956864")</f>
        <v>922384972433956864</v>
      </c>
      <c r="F498" s="23" t="s">
        <v>55</v>
      </c>
      <c r="G498" s="24">
        <v>345.0</v>
      </c>
      <c r="H498" s="24">
        <v>109.0</v>
      </c>
      <c r="I498" s="24">
        <v>0.0</v>
      </c>
      <c r="J498" s="24">
        <v>0.0</v>
      </c>
      <c r="K498" s="23" t="s">
        <v>34</v>
      </c>
      <c r="L498" s="25">
        <v>40480.738125</v>
      </c>
      <c r="M498" s="26" t="s">
        <v>1382</v>
      </c>
      <c r="N498" s="26" t="s">
        <v>1383</v>
      </c>
      <c r="O498" s="22" t="str">
        <f>HYPERLINK("https://pbs.twimg.com/profile_images/2929803061/ecccebfa4599ccb77081fd09ef654888_normal.jpeg","View")</f>
        <v>View</v>
      </c>
      <c r="P498" s="27"/>
    </row>
    <row r="499">
      <c r="A499" s="14">
        <v>43031.07769675926</v>
      </c>
      <c r="B499" s="20" t="str">
        <f>HYPERLINK("https://twitter.com/DhritabrataC","@DhritabrataC")</f>
        <v>@DhritabrataC</v>
      </c>
      <c r="C499" s="21" t="s">
        <v>1384</v>
      </c>
      <c r="D499" s="21" t="s">
        <v>716</v>
      </c>
      <c r="E499" s="22" t="str">
        <f>HYPERLINK("https://twitter.com/DhritabrataC/status/922385075265667072","922385075265667072")</f>
        <v>922385075265667072</v>
      </c>
      <c r="F499" s="23" t="s">
        <v>33</v>
      </c>
      <c r="G499" s="24">
        <v>250.0</v>
      </c>
      <c r="H499" s="24">
        <v>128.0</v>
      </c>
      <c r="I499" s="24">
        <v>9.0</v>
      </c>
      <c r="J499" s="24">
        <v>0.0</v>
      </c>
      <c r="K499" s="23" t="s">
        <v>34</v>
      </c>
      <c r="L499" s="25">
        <v>40676.85706018518</v>
      </c>
      <c r="M499" s="28"/>
      <c r="N499" s="26" t="s">
        <v>1385</v>
      </c>
      <c r="O499" s="22" t="str">
        <f>HYPERLINK("https://pbs.twimg.com/profile_images/898276955316862976/XQQ8Hlh4_normal.jpg","View")</f>
        <v>View</v>
      </c>
      <c r="P499" s="27"/>
    </row>
    <row r="500">
      <c r="A500" s="14">
        <v>43031.07771990741</v>
      </c>
      <c r="B500" s="20" t="str">
        <f>HYPERLINK("https://twitter.com/NabiyaBB","@NabiyaBB")</f>
        <v>@NabiyaBB</v>
      </c>
      <c r="C500" s="21" t="s">
        <v>1386</v>
      </c>
      <c r="D500" s="21" t="s">
        <v>99</v>
      </c>
      <c r="E500" s="22" t="str">
        <f>HYPERLINK("https://twitter.com/NabiyaBB/status/922385082958036992","922385082958036992")</f>
        <v>922385082958036992</v>
      </c>
      <c r="F500" s="23" t="s">
        <v>39</v>
      </c>
      <c r="G500" s="24">
        <v>440.0</v>
      </c>
      <c r="H500" s="24">
        <v>118.0</v>
      </c>
      <c r="I500" s="24">
        <v>72.0</v>
      </c>
      <c r="J500" s="24">
        <v>0.0</v>
      </c>
      <c r="K500" s="23" t="s">
        <v>34</v>
      </c>
      <c r="L500" s="25">
        <v>41294.63519675926</v>
      </c>
      <c r="M500" s="26" t="s">
        <v>1387</v>
      </c>
      <c r="N500" s="26" t="s">
        <v>1388</v>
      </c>
      <c r="O500" s="22" t="str">
        <f>HYPERLINK("https://pbs.twimg.com/profile_images/871250352271572993/W1hKCMDl_normal.jpg","View")</f>
        <v>View</v>
      </c>
      <c r="P500" s="27"/>
    </row>
    <row r="501">
      <c r="A501" s="14">
        <v>43031.0777662037</v>
      </c>
      <c r="B501" s="20" t="str">
        <f>HYPERLINK("https://twitter.com/EstherLenArbizu","@EstherLenArbizu")</f>
        <v>@EstherLenArbizu</v>
      </c>
      <c r="C501" s="21" t="s">
        <v>1389</v>
      </c>
      <c r="D501" s="21" t="s">
        <v>1345</v>
      </c>
      <c r="E501" s="22" t="str">
        <f>HYPERLINK("https://twitter.com/EstherLenArbizu/status/922385098904866816","922385098904866816")</f>
        <v>922385098904866816</v>
      </c>
      <c r="F501" s="23" t="s">
        <v>55</v>
      </c>
      <c r="G501" s="24">
        <v>6.0</v>
      </c>
      <c r="H501" s="24">
        <v>94.0</v>
      </c>
      <c r="I501" s="24">
        <v>22.0</v>
      </c>
      <c r="J501" s="24">
        <v>0.0</v>
      </c>
      <c r="K501" s="23" t="s">
        <v>34</v>
      </c>
      <c r="L501" s="25">
        <v>40847.16443287037</v>
      </c>
      <c r="M501" s="28"/>
      <c r="N501" s="28"/>
      <c r="O501" s="22" t="str">
        <f>HYPERLINK("https://abs.twimg.com/sticky/default_profile_images/default_profile_normal.png","View")</f>
        <v>View</v>
      </c>
      <c r="P501" s="27"/>
    </row>
    <row r="502">
      <c r="A502" s="14">
        <v>43031.0777662037</v>
      </c>
      <c r="B502" s="20" t="str">
        <f>HYPERLINK("https://twitter.com/Tusk8rman","@Tusk8rman")</f>
        <v>@Tusk8rman</v>
      </c>
      <c r="C502" s="21" t="s">
        <v>1390</v>
      </c>
      <c r="D502" s="21" t="s">
        <v>836</v>
      </c>
      <c r="E502" s="22" t="str">
        <f>HYPERLINK("https://twitter.com/Tusk8rman/status/922385101211734016","922385101211734016")</f>
        <v>922385101211734016</v>
      </c>
      <c r="F502" s="23" t="s">
        <v>39</v>
      </c>
      <c r="G502" s="24">
        <v>3053.0</v>
      </c>
      <c r="H502" s="24">
        <v>1032.0</v>
      </c>
      <c r="I502" s="24">
        <v>7.0</v>
      </c>
      <c r="J502" s="24">
        <v>0.0</v>
      </c>
      <c r="K502" s="23" t="s">
        <v>34</v>
      </c>
      <c r="L502" s="25">
        <v>40036.4014699074</v>
      </c>
      <c r="M502" s="26" t="s">
        <v>1391</v>
      </c>
      <c r="N502" s="26" t="s">
        <v>1392</v>
      </c>
      <c r="O502" s="22" t="str">
        <f>HYPERLINK("https://pbs.twimg.com/profile_images/873348900127727616/GncNTv5b_normal.jpg","View")</f>
        <v>View</v>
      </c>
      <c r="P502" s="27"/>
    </row>
    <row r="503">
      <c r="A503" s="14">
        <v>43031.0778125</v>
      </c>
      <c r="B503" s="20" t="str">
        <f>HYPERLINK("https://twitter.com/AHA1R","@AHA1R")</f>
        <v>@AHA1R</v>
      </c>
      <c r="C503" s="21" t="s">
        <v>1393</v>
      </c>
      <c r="D503" s="21" t="s">
        <v>1394</v>
      </c>
      <c r="E503" s="22" t="str">
        <f>HYPERLINK("https://twitter.com/AHA1R/status/922385118383235072","922385118383235072")</f>
        <v>922385118383235072</v>
      </c>
      <c r="F503" s="23" t="s">
        <v>187</v>
      </c>
      <c r="G503" s="24">
        <v>6020.0</v>
      </c>
      <c r="H503" s="24">
        <v>294.0</v>
      </c>
      <c r="I503" s="24">
        <v>0.0</v>
      </c>
      <c r="J503" s="24">
        <v>0.0</v>
      </c>
      <c r="K503" s="23" t="s">
        <v>34</v>
      </c>
      <c r="L503" s="25">
        <v>41866.11546296296</v>
      </c>
      <c r="M503" s="26" t="s">
        <v>1395</v>
      </c>
      <c r="N503" s="26" t="s">
        <v>1396</v>
      </c>
      <c r="O503" s="22" t="str">
        <f>HYPERLINK("https://pbs.twimg.com/profile_images/921412196591996928/bAd4X5Yt_normal.jpg","View")</f>
        <v>View</v>
      </c>
      <c r="P503" s="27"/>
    </row>
    <row r="504">
      <c r="A504" s="14">
        <v>43031.07787037037</v>
      </c>
      <c r="B504" s="20" t="str">
        <f>HYPERLINK("https://twitter.com/TIME","@TIME")</f>
        <v>@TIME</v>
      </c>
      <c r="C504" s="21" t="s">
        <v>1397</v>
      </c>
      <c r="D504" s="21" t="s">
        <v>1398</v>
      </c>
      <c r="E504" s="22" t="str">
        <f>HYPERLINK("https://twitter.com/TIME/status/922385135592443904","922385135592443904")</f>
        <v>922385135592443904</v>
      </c>
      <c r="F504" s="23" t="s">
        <v>1103</v>
      </c>
      <c r="G504" s="24">
        <v>1.4830928E7</v>
      </c>
      <c r="H504" s="24">
        <v>849.0</v>
      </c>
      <c r="I504" s="24">
        <v>50.0</v>
      </c>
      <c r="J504" s="24">
        <v>63.0</v>
      </c>
      <c r="K504" s="23" t="s">
        <v>34</v>
      </c>
      <c r="L504" s="25">
        <v>39541.28784722222</v>
      </c>
      <c r="M504" s="28"/>
      <c r="N504" s="26" t="s">
        <v>1399</v>
      </c>
      <c r="O504" s="22" t="str">
        <f>HYPERLINK("https://pbs.twimg.com/profile_images/1700796190/Picture_24_normal.png","View")</f>
        <v>View</v>
      </c>
      <c r="P504" s="27"/>
    </row>
    <row r="505">
      <c r="A505" s="14">
        <v>43031.07789351852</v>
      </c>
      <c r="B505" s="20" t="str">
        <f>HYPERLINK("https://twitter.com/WorldNews7777","@WorldNews7777")</f>
        <v>@WorldNews7777</v>
      </c>
      <c r="C505" s="21" t="s">
        <v>1400</v>
      </c>
      <c r="D505" s="21" t="s">
        <v>1401</v>
      </c>
      <c r="E505" s="22" t="str">
        <f>HYPERLINK("https://twitter.com/WorldNews7777/status/922385146178867200","922385146178867200")</f>
        <v>922385146178867200</v>
      </c>
      <c r="F505" s="23" t="s">
        <v>187</v>
      </c>
      <c r="G505" s="24">
        <v>6454.0</v>
      </c>
      <c r="H505" s="24">
        <v>6322.0</v>
      </c>
      <c r="I505" s="24">
        <v>1.0</v>
      </c>
      <c r="J505" s="24">
        <v>0.0</v>
      </c>
      <c r="K505" s="23" t="s">
        <v>34</v>
      </c>
      <c r="L505" s="25">
        <v>42489.131944444445</v>
      </c>
      <c r="M505" s="26" t="s">
        <v>68</v>
      </c>
      <c r="N505" s="26" t="s">
        <v>1402</v>
      </c>
      <c r="O505" s="22" t="str">
        <f>HYPERLINK("https://pbs.twimg.com/profile_images/736884749566889984/BtAvBgS4_normal.jpg","View")</f>
        <v>View</v>
      </c>
      <c r="P505" s="27"/>
    </row>
    <row r="506">
      <c r="A506" s="14">
        <v>43031.07789351852</v>
      </c>
      <c r="B506" s="20" t="str">
        <f>HYPERLINK("https://twitter.com/ajit9865","@ajit9865")</f>
        <v>@ajit9865</v>
      </c>
      <c r="C506" s="21" t="s">
        <v>1403</v>
      </c>
      <c r="D506" s="21" t="s">
        <v>42</v>
      </c>
      <c r="E506" s="22" t="str">
        <f>HYPERLINK("https://twitter.com/ajit9865/status/922385146807967746","922385146807967746")</f>
        <v>922385146807967746</v>
      </c>
      <c r="F506" s="23" t="s">
        <v>33</v>
      </c>
      <c r="G506" s="24">
        <v>115.0</v>
      </c>
      <c r="H506" s="24">
        <v>283.0</v>
      </c>
      <c r="I506" s="24">
        <v>8501.0</v>
      </c>
      <c r="J506" s="24">
        <v>0.0</v>
      </c>
      <c r="K506" s="23" t="s">
        <v>34</v>
      </c>
      <c r="L506" s="25">
        <v>40229.40487268518</v>
      </c>
      <c r="M506" s="26" t="s">
        <v>1404</v>
      </c>
      <c r="N506" s="28"/>
      <c r="O506" s="22" t="str">
        <f>HYPERLINK("https://pbs.twimg.com/profile_images/894243045037580288/kSrdLAUl_normal.jpg","View")</f>
        <v>View</v>
      </c>
      <c r="P506" s="27"/>
    </row>
    <row r="507">
      <c r="A507" s="14">
        <v>43031.07791666666</v>
      </c>
      <c r="B507" s="20" t="str">
        <f>HYPERLINK("https://twitter.com/lucchaoui","@lucchaoui")</f>
        <v>@lucchaoui</v>
      </c>
      <c r="C507" s="21" t="s">
        <v>1405</v>
      </c>
      <c r="D507" s="21" t="s">
        <v>1406</v>
      </c>
      <c r="E507" s="22" t="str">
        <f>HYPERLINK("https://twitter.com/lucchaoui/status/922385154538123266","922385154538123266")</f>
        <v>922385154538123266</v>
      </c>
      <c r="F507" s="23" t="s">
        <v>187</v>
      </c>
      <c r="G507" s="24">
        <v>397521.0</v>
      </c>
      <c r="H507" s="24">
        <v>390.0</v>
      </c>
      <c r="I507" s="24">
        <v>0.0</v>
      </c>
      <c r="J507" s="24">
        <v>0.0</v>
      </c>
      <c r="K507" s="23" t="s">
        <v>34</v>
      </c>
      <c r="L507" s="25">
        <v>39932.40519675926</v>
      </c>
      <c r="M507" s="26" t="s">
        <v>1407</v>
      </c>
      <c r="N507" s="26" t="s">
        <v>1408</v>
      </c>
      <c r="O507" s="22" t="str">
        <f>HYPERLINK("https://pbs.twimg.com/profile_images/845679875734196224/DS22r1ae_normal.jpg","View")</f>
        <v>View</v>
      </c>
      <c r="P507" s="27"/>
    </row>
    <row r="508">
      <c r="A508" s="14">
        <v>43031.077928240746</v>
      </c>
      <c r="B508" s="20" t="str">
        <f>HYPERLINK("https://twitter.com/EarlOfCornwall","@EarlOfCornwall")</f>
        <v>@EarlOfCornwall</v>
      </c>
      <c r="C508" s="21" t="s">
        <v>868</v>
      </c>
      <c r="D508" s="21" t="s">
        <v>1409</v>
      </c>
      <c r="E508" s="22" t="str">
        <f>HYPERLINK("https://twitter.com/EarlOfCornwall/status/922385158430449664","922385158430449664")</f>
        <v>922385158430449664</v>
      </c>
      <c r="F508" s="23" t="s">
        <v>187</v>
      </c>
      <c r="G508" s="24">
        <v>355.0</v>
      </c>
      <c r="H508" s="24">
        <v>269.0</v>
      </c>
      <c r="I508" s="24">
        <v>0.0</v>
      </c>
      <c r="J508" s="24">
        <v>0.0</v>
      </c>
      <c r="K508" s="23" t="s">
        <v>34</v>
      </c>
      <c r="L508" s="25">
        <v>42139.73423611111</v>
      </c>
      <c r="M508" s="26" t="s">
        <v>870</v>
      </c>
      <c r="N508" s="26" t="s">
        <v>871</v>
      </c>
      <c r="O508" s="22" t="str">
        <f>HYPERLINK("https://pbs.twimg.com/profile_images/599373664975343616/f36YKczK_normal.jpg","View")</f>
        <v>View</v>
      </c>
      <c r="P508" s="27"/>
    </row>
    <row r="509">
      <c r="A509" s="14">
        <v>43031.077939814815</v>
      </c>
      <c r="B509" s="20" t="str">
        <f>HYPERLINK("https://twitter.com/ISHWARLALSAHU4","@ISHWARLALSAHU4")</f>
        <v>@ISHWARLALSAHU4</v>
      </c>
      <c r="C509" s="21" t="s">
        <v>1410</v>
      </c>
      <c r="D509" s="21" t="s">
        <v>42</v>
      </c>
      <c r="E509" s="22" t="str">
        <f>HYPERLINK("https://twitter.com/ISHWARLALSAHU4/status/922385162255589376","922385162255589376")</f>
        <v>922385162255589376</v>
      </c>
      <c r="F509" s="23" t="s">
        <v>33</v>
      </c>
      <c r="G509" s="24">
        <v>5409.0</v>
      </c>
      <c r="H509" s="24">
        <v>198.0</v>
      </c>
      <c r="I509" s="24">
        <v>8501.0</v>
      </c>
      <c r="J509" s="24">
        <v>0.0</v>
      </c>
      <c r="K509" s="23" t="s">
        <v>34</v>
      </c>
      <c r="L509" s="25">
        <v>42464.81957175926</v>
      </c>
      <c r="M509" s="26" t="s">
        <v>1411</v>
      </c>
      <c r="N509" s="26" t="s">
        <v>1412</v>
      </c>
      <c r="O509" s="22" t="str">
        <f>HYPERLINK("https://pbs.twimg.com/profile_images/911397040822796288/W3c4cnrW_normal.jpg","View")</f>
        <v>View</v>
      </c>
      <c r="P509" s="27"/>
    </row>
    <row r="510">
      <c r="A510" s="14">
        <v>43031.077951388885</v>
      </c>
      <c r="B510" s="20" t="str">
        <f>HYPERLINK("https://twitter.com/phaxyn","@phaxyn")</f>
        <v>@phaxyn</v>
      </c>
      <c r="C510" s="21" t="s">
        <v>895</v>
      </c>
      <c r="D510" s="21" t="s">
        <v>1413</v>
      </c>
      <c r="E510" s="22" t="str">
        <f>HYPERLINK("https://twitter.com/phaxyn/status/922385165581680640","922385165581680640")</f>
        <v>922385165581680640</v>
      </c>
      <c r="F510" s="23" t="s">
        <v>187</v>
      </c>
      <c r="G510" s="24">
        <v>2543.0</v>
      </c>
      <c r="H510" s="24">
        <v>2019.0</v>
      </c>
      <c r="I510" s="24">
        <v>0.0</v>
      </c>
      <c r="J510" s="24">
        <v>0.0</v>
      </c>
      <c r="K510" s="23" t="s">
        <v>34</v>
      </c>
      <c r="L510" s="25">
        <v>39990.304861111115</v>
      </c>
      <c r="M510" s="26" t="s">
        <v>897</v>
      </c>
      <c r="N510" s="26" t="s">
        <v>898</v>
      </c>
      <c r="O510" s="22" t="str">
        <f>HYPERLINK("https://pbs.twimg.com/profile_images/823182659983736832/XAaQ7I1U_normal.jpg","View")</f>
        <v>View</v>
      </c>
      <c r="P510" s="27"/>
    </row>
    <row r="511">
      <c r="A511" s="14">
        <v>43031.077951388885</v>
      </c>
      <c r="B511" s="20" t="str">
        <f>HYPERLINK("https://twitter.com/NewzBoxOffice","@NewzBoxOffice")</f>
        <v>@NewzBoxOffice</v>
      </c>
      <c r="C511" s="21" t="s">
        <v>595</v>
      </c>
      <c r="D511" s="21" t="s">
        <v>1414</v>
      </c>
      <c r="E511" s="22" t="str">
        <f>HYPERLINK("https://twitter.com/NewzBoxOffice/status/922385168626868224","922385168626868224")</f>
        <v>922385168626868224</v>
      </c>
      <c r="F511" s="23" t="s">
        <v>597</v>
      </c>
      <c r="G511" s="24">
        <v>2236.0</v>
      </c>
      <c r="H511" s="24">
        <v>874.0</v>
      </c>
      <c r="I511" s="24">
        <v>1.0</v>
      </c>
      <c r="J511" s="24">
        <v>1.0</v>
      </c>
      <c r="K511" s="23" t="s">
        <v>34</v>
      </c>
      <c r="L511" s="25">
        <v>41327.32587962963</v>
      </c>
      <c r="M511" s="28"/>
      <c r="N511" s="26" t="s">
        <v>598</v>
      </c>
      <c r="O511" s="22" t="str">
        <f>HYPERLINK("https://pbs.twimg.com/profile_images/3771449721/283f324d48438c2b267d1ed9b229f675_normal.jpeg","View")</f>
        <v>View</v>
      </c>
      <c r="P511" s="27"/>
    </row>
    <row r="512">
      <c r="A512" s="14">
        <v>43031.07796296296</v>
      </c>
      <c r="B512" s="20" t="str">
        <f>HYPERLINK("https://twitter.com/caohaipeng2016","@caohaipeng2016")</f>
        <v>@caohaipeng2016</v>
      </c>
      <c r="C512" s="21" t="s">
        <v>1415</v>
      </c>
      <c r="D512" s="21" t="s">
        <v>1416</v>
      </c>
      <c r="E512" s="22" t="str">
        <f>HYPERLINK("https://twitter.com/caohaipeng2016/status/922385169348202496","922385169348202496")</f>
        <v>922385169348202496</v>
      </c>
      <c r="F512" s="23" t="s">
        <v>187</v>
      </c>
      <c r="G512" s="24">
        <v>7.0</v>
      </c>
      <c r="H512" s="24">
        <v>61.0</v>
      </c>
      <c r="I512" s="24">
        <v>0.0</v>
      </c>
      <c r="J512" s="24">
        <v>0.0</v>
      </c>
      <c r="K512" s="23" t="s">
        <v>34</v>
      </c>
      <c r="L512" s="25">
        <v>42467.34737268518</v>
      </c>
      <c r="M512" s="28"/>
      <c r="N512" s="28"/>
      <c r="O512" s="22" t="str">
        <f>HYPERLINK("https://pbs.twimg.com/profile_images/718096830941147137/RTz9IcNB_normal.jpg","View")</f>
        <v>View</v>
      </c>
      <c r="P512" s="27"/>
    </row>
    <row r="513">
      <c r="A513" s="14">
        <v>43031.07797453704</v>
      </c>
      <c r="B513" s="20" t="str">
        <f>HYPERLINK("https://twitter.com/PrivateTeacher","@PrivateTeacher")</f>
        <v>@PrivateTeacher</v>
      </c>
      <c r="C513" s="21" t="s">
        <v>1417</v>
      </c>
      <c r="D513" s="21" t="s">
        <v>1418</v>
      </c>
      <c r="E513" s="22" t="str">
        <f>HYPERLINK("https://twitter.com/PrivateTeacher/status/922385174087774208","922385174087774208")</f>
        <v>922385174087774208</v>
      </c>
      <c r="F513" s="23" t="s">
        <v>187</v>
      </c>
      <c r="G513" s="24">
        <v>79384.0</v>
      </c>
      <c r="H513" s="24">
        <v>72488.0</v>
      </c>
      <c r="I513" s="24">
        <v>0.0</v>
      </c>
      <c r="J513" s="24">
        <v>0.0</v>
      </c>
      <c r="K513" s="23" t="s">
        <v>34</v>
      </c>
      <c r="L513" s="25">
        <v>40013.494629629626</v>
      </c>
      <c r="M513" s="26" t="s">
        <v>1419</v>
      </c>
      <c r="N513" s="26" t="s">
        <v>1420</v>
      </c>
      <c r="O513" s="22" t="str">
        <f>HYPERLINK("https://pbs.twimg.com/profile_images/795794703337816065/ji5gptzj_normal.jpg","View")</f>
        <v>View</v>
      </c>
      <c r="P513" s="27"/>
    </row>
    <row r="514">
      <c r="A514" s="14">
        <v>43031.07802083333</v>
      </c>
      <c r="B514" s="20" t="str">
        <f>HYPERLINK("https://twitter.com/Yongbiyn","@Yongbiyn")</f>
        <v>@Yongbiyn</v>
      </c>
      <c r="C514" s="21" t="s">
        <v>1421</v>
      </c>
      <c r="D514" s="21" t="s">
        <v>1422</v>
      </c>
      <c r="E514" s="22" t="str">
        <f>HYPERLINK("https://twitter.com/Yongbiyn/status/922385190437244929","922385190437244929")</f>
        <v>922385190437244929</v>
      </c>
      <c r="F514" s="23" t="s">
        <v>187</v>
      </c>
      <c r="G514" s="24">
        <v>4.0</v>
      </c>
      <c r="H514" s="24">
        <v>0.0</v>
      </c>
      <c r="I514" s="24">
        <v>0.0</v>
      </c>
      <c r="J514" s="24">
        <v>0.0</v>
      </c>
      <c r="K514" s="23" t="s">
        <v>34</v>
      </c>
      <c r="L514" s="25">
        <v>40627.19998842593</v>
      </c>
      <c r="M514" s="28"/>
      <c r="N514" s="28"/>
      <c r="O514" s="22" t="str">
        <f>HYPERLINK("https://pbs.twimg.com/profile_images/891142706415542272/ebuXhLzE_normal.jpg","View")</f>
        <v>View</v>
      </c>
      <c r="P514" s="27"/>
    </row>
    <row r="515">
      <c r="A515" s="14">
        <v>43031.07802083333</v>
      </c>
      <c r="B515" s="20" t="str">
        <f>HYPERLINK("https://twitter.com/boytoy0001","@boytoy0001")</f>
        <v>@boytoy0001</v>
      </c>
      <c r="C515" s="21" t="s">
        <v>1423</v>
      </c>
      <c r="D515" s="21" t="s">
        <v>42</v>
      </c>
      <c r="E515" s="22" t="str">
        <f>HYPERLINK("https://twitter.com/boytoy0001/status/922385193880768512","922385193880768512")</f>
        <v>922385193880768512</v>
      </c>
      <c r="F515" s="23" t="s">
        <v>39</v>
      </c>
      <c r="G515" s="24">
        <v>1200.0</v>
      </c>
      <c r="H515" s="24">
        <v>3598.0</v>
      </c>
      <c r="I515" s="24">
        <v>8501.0</v>
      </c>
      <c r="J515" s="24">
        <v>0.0</v>
      </c>
      <c r="K515" s="23" t="s">
        <v>34</v>
      </c>
      <c r="L515" s="25">
        <v>41861.66631944444</v>
      </c>
      <c r="M515" s="28"/>
      <c r="N515" s="26" t="s">
        <v>1424</v>
      </c>
      <c r="O515" s="22" t="str">
        <f>HYPERLINK("https://pbs.twimg.com/profile_images/860893202080870400/S5N5aEvR_normal.jpg","View")</f>
        <v>View</v>
      </c>
      <c r="P515" s="27"/>
    </row>
    <row r="516">
      <c r="A516" s="14">
        <v>43031.07803240741</v>
      </c>
      <c r="B516" s="20" t="str">
        <f>HYPERLINK("https://twitter.com/dahilsayoanak","@dahilsayoanak")</f>
        <v>@dahilsayoanak</v>
      </c>
      <c r="C516" s="21" t="s">
        <v>1425</v>
      </c>
      <c r="D516" s="21" t="s">
        <v>1426</v>
      </c>
      <c r="E516" s="22" t="str">
        <f>HYPERLINK("https://twitter.com/dahilsayoanak/status/922385196388835328","922385196388835328")</f>
        <v>922385196388835328</v>
      </c>
      <c r="F516" s="23" t="s">
        <v>39</v>
      </c>
      <c r="G516" s="24">
        <v>68.0</v>
      </c>
      <c r="H516" s="24">
        <v>66.0</v>
      </c>
      <c r="I516" s="24">
        <v>29.0</v>
      </c>
      <c r="J516" s="24">
        <v>0.0</v>
      </c>
      <c r="K516" s="23" t="s">
        <v>34</v>
      </c>
      <c r="L516" s="25">
        <v>42769.919444444444</v>
      </c>
      <c r="M516" s="28"/>
      <c r="N516" s="26" t="s">
        <v>1427</v>
      </c>
      <c r="O516" s="22" t="str">
        <f>HYPERLINK("https://pbs.twimg.com/profile_images/842931189522423808/5mtD8c4k_normal.jpg","View")</f>
        <v>View</v>
      </c>
      <c r="P516" s="27"/>
    </row>
    <row r="517">
      <c r="A517" s="14">
        <v>43031.078055555554</v>
      </c>
      <c r="B517" s="20" t="str">
        <f>HYPERLINK("https://twitter.com/alishaw041788","@alishaw041788")</f>
        <v>@alishaw041788</v>
      </c>
      <c r="C517" s="21" t="s">
        <v>1428</v>
      </c>
      <c r="D517" s="21" t="s">
        <v>1429</v>
      </c>
      <c r="E517" s="22" t="str">
        <f>HYPERLINK("https://twitter.com/alishaw041788/status/922385205050175489","922385205050175489")</f>
        <v>922385205050175489</v>
      </c>
      <c r="F517" s="23" t="s">
        <v>187</v>
      </c>
      <c r="G517" s="24">
        <v>34.0</v>
      </c>
      <c r="H517" s="24">
        <v>251.0</v>
      </c>
      <c r="I517" s="24">
        <v>0.0</v>
      </c>
      <c r="J517" s="24">
        <v>0.0</v>
      </c>
      <c r="K517" s="23" t="s">
        <v>34</v>
      </c>
      <c r="L517" s="25">
        <v>40346.28778935185</v>
      </c>
      <c r="M517" s="28"/>
      <c r="N517" s="28"/>
      <c r="O517" s="22" t="str">
        <f>HYPERLINK("https://pbs.twimg.com/profile_images/892890491473219584/zDIwf7Ts_normal.jpg","View")</f>
        <v>View</v>
      </c>
      <c r="P517" s="27"/>
    </row>
    <row r="518">
      <c r="A518" s="14">
        <v>43031.07807870371</v>
      </c>
      <c r="B518" s="20" t="str">
        <f>HYPERLINK("https://twitter.com/mentalediciones","@mentalediciones")</f>
        <v>@mentalediciones</v>
      </c>
      <c r="C518" s="21" t="s">
        <v>1430</v>
      </c>
      <c r="D518" s="21" t="s">
        <v>1431</v>
      </c>
      <c r="E518" s="22" t="str">
        <f>HYPERLINK("https://twitter.com/mentalediciones/status/922385211530399745","922385211530399745")</f>
        <v>922385211530399745</v>
      </c>
      <c r="F518" s="23" t="s">
        <v>187</v>
      </c>
      <c r="G518" s="24">
        <v>50.0</v>
      </c>
      <c r="H518" s="24">
        <v>138.0</v>
      </c>
      <c r="I518" s="24">
        <v>0.0</v>
      </c>
      <c r="J518" s="24">
        <v>0.0</v>
      </c>
      <c r="K518" s="23" t="s">
        <v>34</v>
      </c>
      <c r="L518" s="25">
        <v>42569.10581018518</v>
      </c>
      <c r="M518" s="26" t="s">
        <v>1432</v>
      </c>
      <c r="N518" s="26" t="s">
        <v>1433</v>
      </c>
      <c r="O518" s="22" t="str">
        <f>HYPERLINK("https://pbs.twimg.com/profile_images/755342682084499456/be5GD_eF_normal.jpg","View")</f>
        <v>View</v>
      </c>
      <c r="P518" s="27"/>
    </row>
    <row r="519">
      <c r="A519" s="14">
        <v>43031.07809027778</v>
      </c>
      <c r="B519" s="20" t="str">
        <f>HYPERLINK("https://twitter.com/Selenetheone","@Selenetheone")</f>
        <v>@Selenetheone</v>
      </c>
      <c r="C519" s="21" t="s">
        <v>1434</v>
      </c>
      <c r="D519" s="21" t="s">
        <v>1435</v>
      </c>
      <c r="E519" s="22" t="str">
        <f>HYPERLINK("https://twitter.com/Selenetheone/status/922385215921803264","922385215921803264")</f>
        <v>922385215921803264</v>
      </c>
      <c r="F519" s="23" t="s">
        <v>187</v>
      </c>
      <c r="G519" s="24">
        <v>13624.0</v>
      </c>
      <c r="H519" s="24">
        <v>12683.0</v>
      </c>
      <c r="I519" s="24">
        <v>0.0</v>
      </c>
      <c r="J519" s="24">
        <v>0.0</v>
      </c>
      <c r="K519" s="23" t="s">
        <v>34</v>
      </c>
      <c r="L519" s="25">
        <v>41591.60938657408</v>
      </c>
      <c r="M519" s="26" t="s">
        <v>1436</v>
      </c>
      <c r="N519" s="26" t="s">
        <v>1437</v>
      </c>
      <c r="O519" s="22" t="str">
        <f>HYPERLINK("https://pbs.twimg.com/profile_images/888727222416179201/TwwKx7dB_normal.jpg","View")</f>
        <v>View</v>
      </c>
      <c r="P519" s="27"/>
    </row>
    <row r="520">
      <c r="A520" s="14">
        <v>43031.07811342593</v>
      </c>
      <c r="B520" s="20" t="str">
        <f>HYPERLINK("https://twitter.com/kot","@kot")</f>
        <v>@kot</v>
      </c>
      <c r="C520" s="21" t="s">
        <v>1438</v>
      </c>
      <c r="D520" s="21" t="s">
        <v>32</v>
      </c>
      <c r="E520" s="22" t="str">
        <f>HYPERLINK("https://twitter.com/kot/status/922385227418304512","922385227418304512")</f>
        <v>922385227418304512</v>
      </c>
      <c r="F520" s="23" t="s">
        <v>33</v>
      </c>
      <c r="G520" s="24">
        <v>91361.0</v>
      </c>
      <c r="H520" s="24">
        <v>163.0</v>
      </c>
      <c r="I520" s="24">
        <v>471.0</v>
      </c>
      <c r="J520" s="24">
        <v>0.0</v>
      </c>
      <c r="K520" s="23" t="s">
        <v>34</v>
      </c>
      <c r="L520" s="25">
        <v>40281.394062499996</v>
      </c>
      <c r="M520" s="26" t="s">
        <v>843</v>
      </c>
      <c r="N520" s="26" t="s">
        <v>1439</v>
      </c>
      <c r="O520" s="22" t="str">
        <f>HYPERLINK("https://pbs.twimg.com/profile_images/547083128053833729/dI6dNJ0J_normal.png","View")</f>
        <v>View</v>
      </c>
      <c r="P520" s="27"/>
    </row>
    <row r="521">
      <c r="A521" s="14">
        <v>43031.07814814815</v>
      </c>
      <c r="B521" s="20" t="str">
        <f>HYPERLINK("https://twitter.com/mirogeorgiev97","@mirogeorgiev97")</f>
        <v>@mirogeorgiev97</v>
      </c>
      <c r="C521" s="21" t="s">
        <v>1440</v>
      </c>
      <c r="D521" s="21" t="s">
        <v>1441</v>
      </c>
      <c r="E521" s="22" t="str">
        <f>HYPERLINK("https://twitter.com/mirogeorgiev97/status/922385237153402880","922385237153402880")</f>
        <v>922385237153402880</v>
      </c>
      <c r="F521" s="23" t="s">
        <v>187</v>
      </c>
      <c r="G521" s="24">
        <v>950.0</v>
      </c>
      <c r="H521" s="24">
        <v>4974.0</v>
      </c>
      <c r="I521" s="24">
        <v>0.0</v>
      </c>
      <c r="J521" s="24">
        <v>0.0</v>
      </c>
      <c r="K521" s="23" t="s">
        <v>34</v>
      </c>
      <c r="L521" s="25">
        <v>41999.38021990741</v>
      </c>
      <c r="M521" s="26" t="s">
        <v>1442</v>
      </c>
      <c r="N521" s="26" t="s">
        <v>1443</v>
      </c>
      <c r="O521" s="22" t="str">
        <f>HYPERLINK("https://pbs.twimg.com/profile_images/790650212452802560/yknMqKWs_normal.jpg","View")</f>
        <v>View</v>
      </c>
      <c r="P521" s="27"/>
    </row>
    <row r="522">
      <c r="A522" s="14">
        <v>43031.07815972222</v>
      </c>
      <c r="B522" s="20" t="str">
        <f>HYPERLINK("https://twitter.com/Kingmakertweet","@Kingmakertweet")</f>
        <v>@Kingmakertweet</v>
      </c>
      <c r="C522" s="21" t="s">
        <v>788</v>
      </c>
      <c r="D522" s="21" t="s">
        <v>1444</v>
      </c>
      <c r="E522" s="22" t="str">
        <f>HYPERLINK("https://twitter.com/Kingmakertweet/status/922385243247493121","922385243247493121")</f>
        <v>922385243247493121</v>
      </c>
      <c r="F522" s="23" t="s">
        <v>55</v>
      </c>
      <c r="G522" s="24">
        <v>126.0</v>
      </c>
      <c r="H522" s="24">
        <v>66.0</v>
      </c>
      <c r="I522" s="24">
        <v>50.0</v>
      </c>
      <c r="J522" s="24">
        <v>0.0</v>
      </c>
      <c r="K522" s="23" t="s">
        <v>34</v>
      </c>
      <c r="L522" s="25">
        <v>41053.04650462963</v>
      </c>
      <c r="M522" s="28"/>
      <c r="N522" s="26" t="s">
        <v>789</v>
      </c>
      <c r="O522" s="22" t="str">
        <f>HYPERLINK("https://pbs.twimg.com/profile_images/836959111707123712/vw98l-VT_normal.jpg","View")</f>
        <v>View</v>
      </c>
      <c r="P522" s="27"/>
    </row>
    <row r="523">
      <c r="A523" s="14">
        <v>43031.07817129629</v>
      </c>
      <c r="B523" s="20" t="str">
        <f>HYPERLINK("https://twitter.com/ashukp","@ashukp")</f>
        <v>@ashukp</v>
      </c>
      <c r="C523" s="21" t="s">
        <v>1445</v>
      </c>
      <c r="D523" s="21" t="s">
        <v>42</v>
      </c>
      <c r="E523" s="22" t="str">
        <f>HYPERLINK("https://twitter.com/ashukp/status/922385246271676416","922385246271676416")</f>
        <v>922385246271676416</v>
      </c>
      <c r="F523" s="23" t="s">
        <v>39</v>
      </c>
      <c r="G523" s="24">
        <v>41.0</v>
      </c>
      <c r="H523" s="24">
        <v>161.0</v>
      </c>
      <c r="I523" s="24">
        <v>8501.0</v>
      </c>
      <c r="J523" s="24">
        <v>0.0</v>
      </c>
      <c r="K523" s="23" t="s">
        <v>34</v>
      </c>
      <c r="L523" s="25">
        <v>40070.12844907407</v>
      </c>
      <c r="M523" s="26" t="s">
        <v>1446</v>
      </c>
      <c r="N523" s="26" t="s">
        <v>1447</v>
      </c>
      <c r="O523" s="22" t="str">
        <f>HYPERLINK("https://pbs.twimg.com/profile_images/920931363187933185/zXQCuoMk_normal.jpg","View")</f>
        <v>View</v>
      </c>
      <c r="P523" s="27"/>
    </row>
    <row r="524">
      <c r="A524" s="14">
        <v>43031.078206018516</v>
      </c>
      <c r="B524" s="20" t="str">
        <f>HYPERLINK("https://twitter.com/JROSENBERG1","@JROSENBERG1")</f>
        <v>@JROSENBERG1</v>
      </c>
      <c r="C524" s="21" t="s">
        <v>1448</v>
      </c>
      <c r="D524" s="21" t="s">
        <v>1449</v>
      </c>
      <c r="E524" s="22" t="str">
        <f>HYPERLINK("https://twitter.com/JROSENBERG1/status/922385259546673152","922385259546673152")</f>
        <v>922385259546673152</v>
      </c>
      <c r="F524" s="23" t="s">
        <v>187</v>
      </c>
      <c r="G524" s="24">
        <v>1715.0</v>
      </c>
      <c r="H524" s="24">
        <v>863.0</v>
      </c>
      <c r="I524" s="24">
        <v>0.0</v>
      </c>
      <c r="J524" s="24">
        <v>0.0</v>
      </c>
      <c r="K524" s="23" t="s">
        <v>34</v>
      </c>
      <c r="L524" s="25">
        <v>39856.59244212963</v>
      </c>
      <c r="M524" s="26" t="s">
        <v>1450</v>
      </c>
      <c r="N524" s="26" t="s">
        <v>1451</v>
      </c>
      <c r="O524" s="22" t="str">
        <f>HYPERLINK("https://pbs.twimg.com/profile_images/922524098403631104/4Dbls7sh_normal.jpg","View")</f>
        <v>View</v>
      </c>
      <c r="P524" s="27"/>
    </row>
    <row r="525">
      <c r="A525" s="14">
        <v>43031.07821759259</v>
      </c>
      <c r="B525" s="20" t="str">
        <f>HYPERLINK("https://twitter.com/imsteveduncan","@imsteveduncan")</f>
        <v>@imsteveduncan</v>
      </c>
      <c r="C525" s="21" t="s">
        <v>1452</v>
      </c>
      <c r="D525" s="21" t="s">
        <v>1453</v>
      </c>
      <c r="E525" s="22" t="str">
        <f>HYPERLINK("https://twitter.com/imsteveduncan/status/922385262558236672","922385262558236672")</f>
        <v>922385262558236672</v>
      </c>
      <c r="F525" s="23" t="s">
        <v>187</v>
      </c>
      <c r="G525" s="24">
        <v>210.0</v>
      </c>
      <c r="H525" s="24">
        <v>817.0</v>
      </c>
      <c r="I525" s="24">
        <v>0.0</v>
      </c>
      <c r="J525" s="24">
        <v>0.0</v>
      </c>
      <c r="K525" s="23" t="s">
        <v>34</v>
      </c>
      <c r="L525" s="25">
        <v>42783.32604166667</v>
      </c>
      <c r="M525" s="26" t="s">
        <v>1454</v>
      </c>
      <c r="N525" s="26" t="s">
        <v>1455</v>
      </c>
      <c r="O525" s="22" t="str">
        <f>HYPERLINK("https://pbs.twimg.com/profile_images/874135066510729216/gr5-jG8u_normal.jpg","View")</f>
        <v>View</v>
      </c>
      <c r="P525" s="27"/>
    </row>
    <row r="526">
      <c r="A526" s="14">
        <v>43031.07824074074</v>
      </c>
      <c r="B526" s="20" t="str">
        <f>HYPERLINK("https://twitter.com/Jumaondego","@Jumaondego")</f>
        <v>@Jumaondego</v>
      </c>
      <c r="C526" s="21" t="s">
        <v>1456</v>
      </c>
      <c r="D526" s="21" t="s">
        <v>32</v>
      </c>
      <c r="E526" s="22" t="str">
        <f>HYPERLINK("https://twitter.com/Jumaondego/status/922385271592714240","922385271592714240")</f>
        <v>922385271592714240</v>
      </c>
      <c r="F526" s="23" t="s">
        <v>33</v>
      </c>
      <c r="G526" s="24">
        <v>23.0</v>
      </c>
      <c r="H526" s="24">
        <v>187.0</v>
      </c>
      <c r="I526" s="24">
        <v>471.0</v>
      </c>
      <c r="J526" s="24">
        <v>0.0</v>
      </c>
      <c r="K526" s="23" t="s">
        <v>34</v>
      </c>
      <c r="L526" s="25">
        <v>41192.14212962963</v>
      </c>
      <c r="M526" s="26" t="s">
        <v>1457</v>
      </c>
      <c r="N526" s="26" t="s">
        <v>1458</v>
      </c>
      <c r="O526" s="22" t="str">
        <f>HYPERLINK("https://pbs.twimg.com/profile_images/715285241074683904/D99M1DFB_normal.jpg","View")</f>
        <v>View</v>
      </c>
      <c r="P526" s="27"/>
    </row>
    <row r="527">
      <c r="A527" s="14">
        <v>43031.07826388889</v>
      </c>
      <c r="B527" s="20" t="str">
        <f>HYPERLINK("https://twitter.com/dahilsayoanak","@dahilsayoanak")</f>
        <v>@dahilsayoanak</v>
      </c>
      <c r="C527" s="21" t="s">
        <v>1425</v>
      </c>
      <c r="D527" s="21" t="s">
        <v>105</v>
      </c>
      <c r="E527" s="22" t="str">
        <f>HYPERLINK("https://twitter.com/dahilsayoanak/status/922385278588743681","922385278588743681")</f>
        <v>922385278588743681</v>
      </c>
      <c r="F527" s="23" t="s">
        <v>39</v>
      </c>
      <c r="G527" s="24">
        <v>68.0</v>
      </c>
      <c r="H527" s="24">
        <v>66.0</v>
      </c>
      <c r="I527" s="24">
        <v>69.0</v>
      </c>
      <c r="J527" s="24">
        <v>0.0</v>
      </c>
      <c r="K527" s="23" t="s">
        <v>34</v>
      </c>
      <c r="L527" s="25">
        <v>42769.919444444444</v>
      </c>
      <c r="M527" s="28"/>
      <c r="N527" s="26" t="s">
        <v>1427</v>
      </c>
      <c r="O527" s="22" t="str">
        <f>HYPERLINK("https://pbs.twimg.com/profile_images/842931189522423808/5mtD8c4k_normal.jpg","View")</f>
        <v>View</v>
      </c>
      <c r="P527" s="27"/>
    </row>
    <row r="528">
      <c r="A528" s="14">
        <v>43031.07833333334</v>
      </c>
      <c r="B528" s="20" t="str">
        <f>HYPERLINK("https://twitter.com/News_Screamer","@News_Screamer")</f>
        <v>@News_Screamer</v>
      </c>
      <c r="C528" s="21" t="s">
        <v>1459</v>
      </c>
      <c r="D528" s="21" t="s">
        <v>1460</v>
      </c>
      <c r="E528" s="22" t="str">
        <f>HYPERLINK("https://twitter.com/News_Screamer/status/922385304694255616","922385304694255616")</f>
        <v>922385304694255616</v>
      </c>
      <c r="F528" s="23" t="s">
        <v>187</v>
      </c>
      <c r="G528" s="24">
        <v>251.0</v>
      </c>
      <c r="H528" s="24">
        <v>14.0</v>
      </c>
      <c r="I528" s="24">
        <v>0.0</v>
      </c>
      <c r="J528" s="24">
        <v>0.0</v>
      </c>
      <c r="K528" s="23" t="s">
        <v>34</v>
      </c>
      <c r="L528" s="25">
        <v>42566.84606481482</v>
      </c>
      <c r="M528" s="28"/>
      <c r="N528" s="26" t="s">
        <v>1461</v>
      </c>
      <c r="O528" s="22" t="str">
        <f>HYPERLINK("https://pbs.twimg.com/profile_images/779131500012802049/ICMO9SDW_normal.jpg","View")</f>
        <v>View</v>
      </c>
      <c r="P528" s="27"/>
    </row>
    <row r="529">
      <c r="A529" s="14">
        <v>43031.07834490741</v>
      </c>
      <c r="B529" s="20" t="str">
        <f>HYPERLINK("https://twitter.com/Sujeet_87","@Sujeet_87")</f>
        <v>@Sujeet_87</v>
      </c>
      <c r="C529" s="21" t="s">
        <v>1462</v>
      </c>
      <c r="D529" s="21" t="s">
        <v>42</v>
      </c>
      <c r="E529" s="22" t="str">
        <f>HYPERLINK("https://twitter.com/Sujeet_87/status/922385310498963459","922385310498963459")</f>
        <v>922385310498963459</v>
      </c>
      <c r="F529" s="23" t="s">
        <v>33</v>
      </c>
      <c r="G529" s="24">
        <v>3.0</v>
      </c>
      <c r="H529" s="24">
        <v>16.0</v>
      </c>
      <c r="I529" s="24">
        <v>8501.0</v>
      </c>
      <c r="J529" s="24">
        <v>0.0</v>
      </c>
      <c r="K529" s="23" t="s">
        <v>34</v>
      </c>
      <c r="L529" s="25">
        <v>42459.423668981486</v>
      </c>
      <c r="M529" s="28"/>
      <c r="N529" s="26" t="s">
        <v>1463</v>
      </c>
      <c r="O529" s="22" t="str">
        <f>HYPERLINK("https://pbs.twimg.com/profile_images/758656812543377408/fvUJExFN_normal.jpg","View")</f>
        <v>View</v>
      </c>
      <c r="P529" s="27"/>
    </row>
    <row r="530">
      <c r="A530" s="14">
        <v>43031.07837962963</v>
      </c>
      <c r="B530" s="20" t="str">
        <f>HYPERLINK("https://twitter.com/DjDas17","@DjDas17")</f>
        <v>@DjDas17</v>
      </c>
      <c r="C530" s="21" t="s">
        <v>1464</v>
      </c>
      <c r="D530" s="21" t="s">
        <v>42</v>
      </c>
      <c r="E530" s="22" t="str">
        <f>HYPERLINK("https://twitter.com/DjDas17/status/922385322544996353","922385322544996353")</f>
        <v>922385322544996353</v>
      </c>
      <c r="F530" s="23" t="s">
        <v>33</v>
      </c>
      <c r="G530" s="24">
        <v>4.0</v>
      </c>
      <c r="H530" s="24">
        <v>20.0</v>
      </c>
      <c r="I530" s="24">
        <v>8501.0</v>
      </c>
      <c r="J530" s="24">
        <v>0.0</v>
      </c>
      <c r="K530" s="23" t="s">
        <v>34</v>
      </c>
      <c r="L530" s="25">
        <v>43030.4234837963</v>
      </c>
      <c r="M530" s="26" t="s">
        <v>1465</v>
      </c>
      <c r="N530" s="26" t="s">
        <v>1466</v>
      </c>
      <c r="O530" s="22" t="str">
        <f>HYPERLINK("https://pbs.twimg.com/profile_images/922148693440045056/-9P5zbSj_normal.jpg","View")</f>
        <v>View</v>
      </c>
      <c r="P530" s="27"/>
    </row>
    <row r="531">
      <c r="A531" s="14">
        <v>43031.07840277778</v>
      </c>
      <c r="B531" s="20" t="str">
        <f>HYPERLINK("https://twitter.com/sonujisinghisk1","@sonujisinghisk1")</f>
        <v>@sonujisinghisk1</v>
      </c>
      <c r="C531" s="21" t="s">
        <v>1467</v>
      </c>
      <c r="D531" s="21" t="s">
        <v>42</v>
      </c>
      <c r="E531" s="22" t="str">
        <f>HYPERLINK("https://twitter.com/sonujisinghisk1/status/922385328698097665","922385328698097665")</f>
        <v>922385328698097665</v>
      </c>
      <c r="F531" s="23" t="s">
        <v>33</v>
      </c>
      <c r="G531" s="24">
        <v>135.0</v>
      </c>
      <c r="H531" s="24">
        <v>410.0</v>
      </c>
      <c r="I531" s="24">
        <v>8501.0</v>
      </c>
      <c r="J531" s="24">
        <v>0.0</v>
      </c>
      <c r="K531" s="23" t="s">
        <v>34</v>
      </c>
      <c r="L531" s="25">
        <v>42810.34721064815</v>
      </c>
      <c r="M531" s="28"/>
      <c r="N531" s="26" t="s">
        <v>1468</v>
      </c>
      <c r="O531" s="22" t="str">
        <f>HYPERLINK("https://pbs.twimg.com/profile_images/886131100829057024/IvODa1EQ_normal.jpg","View")</f>
        <v>View</v>
      </c>
      <c r="P531" s="27"/>
    </row>
    <row r="532">
      <c r="A532" s="14">
        <v>43031.07842592592</v>
      </c>
      <c r="B532" s="20" t="str">
        <f>HYPERLINK("https://twitter.com/mahadevrdesai","@mahadevrdesai")</f>
        <v>@mahadevrdesai</v>
      </c>
      <c r="C532" s="21" t="s">
        <v>1469</v>
      </c>
      <c r="D532" s="21" t="s">
        <v>42</v>
      </c>
      <c r="E532" s="22" t="str">
        <f>HYPERLINK("https://twitter.com/mahadevrdesai/status/922385339301466112","922385339301466112")</f>
        <v>922385339301466112</v>
      </c>
      <c r="F532" s="23" t="s">
        <v>33</v>
      </c>
      <c r="G532" s="24">
        <v>4178.0</v>
      </c>
      <c r="H532" s="24">
        <v>952.0</v>
      </c>
      <c r="I532" s="24">
        <v>8501.0</v>
      </c>
      <c r="J532" s="24">
        <v>0.0</v>
      </c>
      <c r="K532" s="23" t="s">
        <v>34</v>
      </c>
      <c r="L532" s="25">
        <v>40447.18005787037</v>
      </c>
      <c r="M532" s="26" t="s">
        <v>1470</v>
      </c>
      <c r="N532" s="26" t="s">
        <v>1471</v>
      </c>
      <c r="O532" s="22" t="str">
        <f>HYPERLINK("https://pbs.twimg.com/profile_images/2873426150/e96896904eff72a033b821d9f0f50a3d_normal.jpeg","View")</f>
        <v>View</v>
      </c>
      <c r="P532" s="27"/>
    </row>
    <row r="533">
      <c r="A533" s="14">
        <v>43031.07844907408</v>
      </c>
      <c r="B533" s="20" t="str">
        <f>HYPERLINK("https://twitter.com/AJAYGUP66000862","@AJAYGUP66000862")</f>
        <v>@AJAYGUP66000862</v>
      </c>
      <c r="C533" s="21" t="s">
        <v>1472</v>
      </c>
      <c r="D533" s="21" t="s">
        <v>42</v>
      </c>
      <c r="E533" s="22" t="str">
        <f>HYPERLINK("https://twitter.com/AJAYGUP66000862/status/922385348440735744","922385348440735744")</f>
        <v>922385348440735744</v>
      </c>
      <c r="F533" s="23" t="s">
        <v>33</v>
      </c>
      <c r="G533" s="24">
        <v>25.0</v>
      </c>
      <c r="H533" s="24">
        <v>228.0</v>
      </c>
      <c r="I533" s="24">
        <v>8501.0</v>
      </c>
      <c r="J533" s="24">
        <v>0.0</v>
      </c>
      <c r="K533" s="23" t="s">
        <v>34</v>
      </c>
      <c r="L533" s="25">
        <v>42927.292604166665</v>
      </c>
      <c r="M533" s="28"/>
      <c r="N533" s="28"/>
      <c r="O533" s="22" t="str">
        <f>HYPERLINK("https://pbs.twimg.com/profile_images/898570828568076288/m905EPhs_normal.jpg","View")</f>
        <v>View</v>
      </c>
      <c r="P533" s="27"/>
    </row>
    <row r="534">
      <c r="A534" s="14">
        <v>43031.07847222222</v>
      </c>
      <c r="B534" s="20" t="str">
        <f>HYPERLINK("https://twitter.com/camelin7","@camelin7")</f>
        <v>@camelin7</v>
      </c>
      <c r="C534" s="31" t="s">
        <v>1473</v>
      </c>
      <c r="D534" s="21" t="s">
        <v>1474</v>
      </c>
      <c r="E534" s="22" t="str">
        <f>HYPERLINK("https://twitter.com/camelin7/status/922385354409291777","922385354409291777")</f>
        <v>922385354409291777</v>
      </c>
      <c r="F534" s="23" t="s">
        <v>39</v>
      </c>
      <c r="G534" s="24">
        <v>89.0</v>
      </c>
      <c r="H534" s="24">
        <v>315.0</v>
      </c>
      <c r="I534" s="24">
        <v>29.0</v>
      </c>
      <c r="J534" s="24">
        <v>0.0</v>
      </c>
      <c r="K534" s="23" t="s">
        <v>34</v>
      </c>
      <c r="L534" s="25">
        <v>41871.90046296296</v>
      </c>
      <c r="M534" s="28"/>
      <c r="N534" s="32" t="s">
        <v>1475</v>
      </c>
      <c r="O534" s="22" t="str">
        <f>HYPERLINK("https://pbs.twimg.com/profile_images/581564781146046464/6yqXH5ZG_normal.jpg","View")</f>
        <v>View</v>
      </c>
      <c r="P534" s="27"/>
    </row>
    <row r="535">
      <c r="A535" s="14">
        <v>43031.07850694444</v>
      </c>
      <c r="B535" s="20" t="str">
        <f>HYPERLINK("https://twitter.com/mrsmagmag090125","@mrsmagmag090125")</f>
        <v>@mrsmagmag090125</v>
      </c>
      <c r="C535" s="21" t="s">
        <v>1476</v>
      </c>
      <c r="D535" s="21" t="s">
        <v>740</v>
      </c>
      <c r="E535" s="22" t="str">
        <f>HYPERLINK("https://twitter.com/mrsmagmag090125/status/922385367751208961","922385367751208961")</f>
        <v>922385367751208961</v>
      </c>
      <c r="F535" s="23" t="s">
        <v>39</v>
      </c>
      <c r="G535" s="24">
        <v>179.0</v>
      </c>
      <c r="H535" s="24">
        <v>287.0</v>
      </c>
      <c r="I535" s="24">
        <v>87.0</v>
      </c>
      <c r="J535" s="24">
        <v>0.0</v>
      </c>
      <c r="K535" s="23" t="s">
        <v>34</v>
      </c>
      <c r="L535" s="25">
        <v>40751.29109953703</v>
      </c>
      <c r="M535" s="28"/>
      <c r="N535" s="26" t="s">
        <v>1477</v>
      </c>
      <c r="O535" s="22" t="str">
        <f>HYPERLINK("https://pbs.twimg.com/profile_images/877148399300091905/-4yOimja_normal.jpg","View")</f>
        <v>View</v>
      </c>
      <c r="P535" s="27"/>
    </row>
    <row r="536">
      <c r="A536" s="14">
        <v>43031.07855324074</v>
      </c>
      <c r="B536" s="20" t="str">
        <f>HYPERLINK("https://twitter.com/kenything","@kenything")</f>
        <v>@kenything</v>
      </c>
      <c r="C536" s="21" t="s">
        <v>1478</v>
      </c>
      <c r="D536" s="21" t="s">
        <v>1479</v>
      </c>
      <c r="E536" s="22" t="str">
        <f>HYPERLINK("https://twitter.com/kenything/status/922385383903567873","922385383903567873")</f>
        <v>922385383903567873</v>
      </c>
      <c r="F536" s="23" t="s">
        <v>39</v>
      </c>
      <c r="G536" s="24">
        <v>24.0</v>
      </c>
      <c r="H536" s="24">
        <v>12.0</v>
      </c>
      <c r="I536" s="24">
        <v>2.0</v>
      </c>
      <c r="J536" s="24">
        <v>1.0</v>
      </c>
      <c r="K536" s="23" t="s">
        <v>34</v>
      </c>
      <c r="L536" s="25">
        <v>42867.80298611111</v>
      </c>
      <c r="M536" s="28"/>
      <c r="N536" s="28"/>
      <c r="O536" s="22" t="str">
        <f>HYPERLINK("https://pbs.twimg.com/profile_images/873164099751772161/-25ab9-b_normal.jpg","View")</f>
        <v>View</v>
      </c>
      <c r="P536" s="27"/>
    </row>
    <row r="537">
      <c r="A537" s="14">
        <v>43031.07855324074</v>
      </c>
      <c r="B537" s="20" t="str">
        <f>HYPERLINK("https://twitter.com/alps1401m","@alps1401m")</f>
        <v>@alps1401m</v>
      </c>
      <c r="C537" s="21" t="s">
        <v>1380</v>
      </c>
      <c r="D537" s="21" t="s">
        <v>1480</v>
      </c>
      <c r="E537" s="22" t="str">
        <f>HYPERLINK("https://twitter.com/alps1401m/status/922385384788525057","922385384788525057")</f>
        <v>922385384788525057</v>
      </c>
      <c r="F537" s="23" t="s">
        <v>55</v>
      </c>
      <c r="G537" s="24">
        <v>345.0</v>
      </c>
      <c r="H537" s="24">
        <v>109.0</v>
      </c>
      <c r="I537" s="24">
        <v>0.0</v>
      </c>
      <c r="J537" s="24">
        <v>1.0</v>
      </c>
      <c r="K537" s="23" t="s">
        <v>34</v>
      </c>
      <c r="L537" s="25">
        <v>40480.738125</v>
      </c>
      <c r="M537" s="26" t="s">
        <v>1382</v>
      </c>
      <c r="N537" s="26" t="s">
        <v>1383</v>
      </c>
      <c r="O537" s="22" t="str">
        <f>HYPERLINK("https://pbs.twimg.com/profile_images/2929803061/ecccebfa4599ccb77081fd09ef654888_normal.jpeg","View")</f>
        <v>View</v>
      </c>
      <c r="P537" s="27"/>
    </row>
    <row r="538">
      <c r="A538" s="14">
        <v>43031.078622685185</v>
      </c>
      <c r="B538" s="20" t="str">
        <f>HYPERLINK("https://twitter.com/GboruM","@GboruM")</f>
        <v>@GboruM</v>
      </c>
      <c r="C538" s="21" t="s">
        <v>1481</v>
      </c>
      <c r="D538" s="21" t="s">
        <v>1482</v>
      </c>
      <c r="E538" s="22" t="str">
        <f>HYPERLINK("https://twitter.com/GboruM/status/922385408608129024","922385408608129024")</f>
        <v>922385408608129024</v>
      </c>
      <c r="F538" s="23" t="s">
        <v>91</v>
      </c>
      <c r="G538" s="24">
        <v>12140.0</v>
      </c>
      <c r="H538" s="24">
        <v>287.0</v>
      </c>
      <c r="I538" s="24">
        <v>0.0</v>
      </c>
      <c r="J538" s="24">
        <v>0.0</v>
      </c>
      <c r="K538" s="23" t="s">
        <v>34</v>
      </c>
      <c r="L538" s="25">
        <v>41246.92685185185</v>
      </c>
      <c r="M538" s="26" t="s">
        <v>1483</v>
      </c>
      <c r="N538" s="26" t="s">
        <v>1484</v>
      </c>
      <c r="O538" s="22" t="str">
        <f>HYPERLINK("https://pbs.twimg.com/profile_images/916061586640470016/W_06rU48_normal.jpg","View")</f>
        <v>View</v>
      </c>
      <c r="P538" s="27"/>
    </row>
    <row r="539">
      <c r="A539" s="14">
        <v>43031.07864583333</v>
      </c>
      <c r="B539" s="20" t="str">
        <f>HYPERLINK("https://twitter.com/cc3_3","@cc3_3")</f>
        <v>@cc3_3</v>
      </c>
      <c r="C539" s="21" t="s">
        <v>1485</v>
      </c>
      <c r="D539" s="21" t="s">
        <v>42</v>
      </c>
      <c r="E539" s="22" t="str">
        <f>HYPERLINK("https://twitter.com/cc3_3/status/922385420087738368","922385420087738368")</f>
        <v>922385420087738368</v>
      </c>
      <c r="F539" s="23" t="s">
        <v>230</v>
      </c>
      <c r="G539" s="24">
        <v>8564.0</v>
      </c>
      <c r="H539" s="24">
        <v>8041.0</v>
      </c>
      <c r="I539" s="24">
        <v>8501.0</v>
      </c>
      <c r="J539" s="24">
        <v>0.0</v>
      </c>
      <c r="K539" s="23" t="s">
        <v>34</v>
      </c>
      <c r="L539" s="25">
        <v>39981.07064814815</v>
      </c>
      <c r="M539" s="26" t="s">
        <v>1486</v>
      </c>
      <c r="N539" s="26" t="s">
        <v>1487</v>
      </c>
      <c r="O539" s="22" t="str">
        <f>HYPERLINK("https://pbs.twimg.com/profile_images/908347627120427008/uRCzrOOM_normal.jpg","View")</f>
        <v>View</v>
      </c>
      <c r="P539" s="27"/>
    </row>
    <row r="540">
      <c r="A540" s="14">
        <v>43031.07865740741</v>
      </c>
      <c r="B540" s="20" t="str">
        <f>HYPERLINK("https://twitter.com/TheBFRoom","@TheBFRoom")</f>
        <v>@TheBFRoom</v>
      </c>
      <c r="C540" s="21" t="s">
        <v>943</v>
      </c>
      <c r="D540" s="21" t="s">
        <v>1488</v>
      </c>
      <c r="E540" s="22" t="str">
        <f>HYPERLINK("https://twitter.com/TheBFRoom/status/922385423565025280","922385423565025280")</f>
        <v>922385423565025280</v>
      </c>
      <c r="F540" s="23" t="s">
        <v>187</v>
      </c>
      <c r="G540" s="24">
        <v>3193.0</v>
      </c>
      <c r="H540" s="24">
        <v>3873.0</v>
      </c>
      <c r="I540" s="24">
        <v>0.0</v>
      </c>
      <c r="J540" s="24">
        <v>0.0</v>
      </c>
      <c r="K540" s="23" t="s">
        <v>34</v>
      </c>
      <c r="L540" s="25">
        <v>42761.325162037036</v>
      </c>
      <c r="M540" s="26" t="s">
        <v>68</v>
      </c>
      <c r="N540" s="26" t="s">
        <v>945</v>
      </c>
      <c r="O540" s="22" t="str">
        <f>HYPERLINK("https://pbs.twimg.com/profile_images/898379268778020864/0u1zlj_B_normal.jpg","View")</f>
        <v>View</v>
      </c>
      <c r="P540" s="27"/>
    </row>
    <row r="541">
      <c r="A541" s="14">
        <v>43031.078668981485</v>
      </c>
      <c r="B541" s="20" t="str">
        <f>HYPERLINK("https://twitter.com/choonsikyoo","@choonsikyoo")</f>
        <v>@choonsikyoo</v>
      </c>
      <c r="C541" s="21" t="s">
        <v>847</v>
      </c>
      <c r="D541" s="21" t="s">
        <v>1489</v>
      </c>
      <c r="E541" s="22" t="str">
        <f>HYPERLINK("https://twitter.com/choonsikyoo/status/922385424986836992","922385424986836992")</f>
        <v>922385424986836992</v>
      </c>
      <c r="F541" s="23" t="s">
        <v>187</v>
      </c>
      <c r="G541" s="24">
        <v>1709.0</v>
      </c>
      <c r="H541" s="24">
        <v>1891.0</v>
      </c>
      <c r="I541" s="24">
        <v>0.0</v>
      </c>
      <c r="J541" s="24">
        <v>0.0</v>
      </c>
      <c r="K541" s="23" t="s">
        <v>34</v>
      </c>
      <c r="L541" s="25">
        <v>40224.817523148144</v>
      </c>
      <c r="M541" s="26" t="s">
        <v>849</v>
      </c>
      <c r="N541" s="26" t="s">
        <v>850</v>
      </c>
      <c r="O541" s="22" t="str">
        <f>HYPERLINK("https://pbs.twimg.com/profile_images/2545270141/dwadjp2rsl27tumivfew_normal.jpeg","View")</f>
        <v>View</v>
      </c>
      <c r="P541" s="27"/>
    </row>
    <row r="542">
      <c r="A542" s="14">
        <v>43031.07870370371</v>
      </c>
      <c r="B542" s="20" t="str">
        <f>HYPERLINK("https://twitter.com/mlnangalama","@mlnangalama")</f>
        <v>@mlnangalama</v>
      </c>
      <c r="C542" s="21" t="s">
        <v>925</v>
      </c>
      <c r="D542" s="21" t="s">
        <v>1490</v>
      </c>
      <c r="E542" s="22" t="str">
        <f>HYPERLINK("https://twitter.com/mlnangalama/status/922385439566245888","922385439566245888")</f>
        <v>922385439566245888</v>
      </c>
      <c r="F542" s="23" t="s">
        <v>187</v>
      </c>
      <c r="G542" s="24">
        <v>2366.0</v>
      </c>
      <c r="H542" s="24">
        <v>1582.0</v>
      </c>
      <c r="I542" s="24">
        <v>0.0</v>
      </c>
      <c r="J542" s="24">
        <v>0.0</v>
      </c>
      <c r="K542" s="23" t="s">
        <v>34</v>
      </c>
      <c r="L542" s="25">
        <v>41041.54378472222</v>
      </c>
      <c r="M542" s="26" t="s">
        <v>927</v>
      </c>
      <c r="N542" s="26" t="s">
        <v>928</v>
      </c>
      <c r="O542" s="22" t="str">
        <f>HYPERLINK("https://pbs.twimg.com/profile_images/900915882444173313/biUHzvpx_normal.jpg","View")</f>
        <v>View</v>
      </c>
      <c r="P542" s="27"/>
    </row>
    <row r="543">
      <c r="A543" s="14">
        <v>43031.07871527778</v>
      </c>
      <c r="B543" s="20" t="str">
        <f>HYPERLINK("https://twitter.com/satyendradb","@satyendradb")</f>
        <v>@satyendradb</v>
      </c>
      <c r="C543" s="21" t="s">
        <v>1491</v>
      </c>
      <c r="D543" s="21" t="s">
        <v>42</v>
      </c>
      <c r="E543" s="22" t="str">
        <f>HYPERLINK("https://twitter.com/satyendradb/status/922385445433962496","922385445433962496")</f>
        <v>922385445433962496</v>
      </c>
      <c r="F543" s="23" t="s">
        <v>33</v>
      </c>
      <c r="G543" s="24">
        <v>113.0</v>
      </c>
      <c r="H543" s="24">
        <v>61.0</v>
      </c>
      <c r="I543" s="24">
        <v>8501.0</v>
      </c>
      <c r="J543" s="24">
        <v>0.0</v>
      </c>
      <c r="K543" s="23" t="s">
        <v>34</v>
      </c>
      <c r="L543" s="25">
        <v>42370.073472222226</v>
      </c>
      <c r="M543" s="26" t="s">
        <v>204</v>
      </c>
      <c r="N543" s="26" t="s">
        <v>1492</v>
      </c>
      <c r="O543" s="22" t="str">
        <f>HYPERLINK("https://pbs.twimg.com/profile_images/837954832774352896/UDl4yaa1_normal.jpg","View")</f>
        <v>View</v>
      </c>
      <c r="P543" s="27"/>
    </row>
    <row r="544">
      <c r="A544" s="14">
        <v>43031.07872685185</v>
      </c>
      <c r="B544" s="20" t="str">
        <f>HYPERLINK("https://twitter.com/cforce4success","@cforce4success")</f>
        <v>@cforce4success</v>
      </c>
      <c r="C544" s="21" t="s">
        <v>1043</v>
      </c>
      <c r="D544" s="21" t="s">
        <v>1444</v>
      </c>
      <c r="E544" s="22" t="str">
        <f>HYPERLINK("https://twitter.com/cforce4success/status/922385449783525376","922385449783525376")</f>
        <v>922385449783525376</v>
      </c>
      <c r="F544" s="23" t="s">
        <v>33</v>
      </c>
      <c r="G544" s="24">
        <v>408.0</v>
      </c>
      <c r="H544" s="24">
        <v>1804.0</v>
      </c>
      <c r="I544" s="24">
        <v>50.0</v>
      </c>
      <c r="J544" s="24">
        <v>0.0</v>
      </c>
      <c r="K544" s="23" t="s">
        <v>34</v>
      </c>
      <c r="L544" s="25">
        <v>39916.929074074076</v>
      </c>
      <c r="M544" s="26" t="s">
        <v>905</v>
      </c>
      <c r="N544" s="28"/>
      <c r="O544" s="22" t="str">
        <f>HYPERLINK("https://pbs.twimg.com/profile_images/633974529237323776/PHNktHoD_normal.jpg","View")</f>
        <v>View</v>
      </c>
      <c r="P544" s="27"/>
    </row>
    <row r="545">
      <c r="A545" s="14">
        <v>43031.07876157407</v>
      </c>
      <c r="B545" s="20" t="str">
        <f>HYPERLINK("https://twitter.com/ZAbdoolcarim","@ZAbdoolcarim")</f>
        <v>@ZAbdoolcarim</v>
      </c>
      <c r="C545" s="21" t="s">
        <v>1493</v>
      </c>
      <c r="D545" s="21" t="s">
        <v>1444</v>
      </c>
      <c r="E545" s="22" t="str">
        <f>HYPERLINK("https://twitter.com/ZAbdoolcarim/status/922385460390903808","922385460390903808")</f>
        <v>922385460390903808</v>
      </c>
      <c r="F545" s="23" t="s">
        <v>55</v>
      </c>
      <c r="G545" s="24">
        <v>1587.0</v>
      </c>
      <c r="H545" s="24">
        <v>455.0</v>
      </c>
      <c r="I545" s="24">
        <v>50.0</v>
      </c>
      <c r="J545" s="24">
        <v>0.0</v>
      </c>
      <c r="K545" s="23" t="s">
        <v>34</v>
      </c>
      <c r="L545" s="25">
        <v>41451.06736111111</v>
      </c>
      <c r="M545" s="28"/>
      <c r="N545" s="26" t="s">
        <v>1494</v>
      </c>
      <c r="O545" s="22" t="str">
        <f>HYPERLINK("https://pbs.twimg.com/profile_images/378800000049162639/a69946cacb61ff0a8a2be8c5ba4076c2_normal.jpeg","View")</f>
        <v>View</v>
      </c>
      <c r="P545" s="27"/>
    </row>
    <row r="546">
      <c r="A546" s="14">
        <v>43031.078784722224</v>
      </c>
      <c r="B546" s="20" t="str">
        <f>HYPERLINK("https://twitter.com/sharmilagharpur","@sharmilagharpur")</f>
        <v>@sharmilagharpur</v>
      </c>
      <c r="C546" s="21" t="s">
        <v>1495</v>
      </c>
      <c r="D546" s="21" t="s">
        <v>42</v>
      </c>
      <c r="E546" s="22" t="str">
        <f>HYPERLINK("https://twitter.com/sharmilagharpur/status/922385467940540416","922385467940540416")</f>
        <v>922385467940540416</v>
      </c>
      <c r="F546" s="23" t="s">
        <v>33</v>
      </c>
      <c r="G546" s="24">
        <v>1382.0</v>
      </c>
      <c r="H546" s="24">
        <v>1308.0</v>
      </c>
      <c r="I546" s="24">
        <v>8501.0</v>
      </c>
      <c r="J546" s="24">
        <v>0.0</v>
      </c>
      <c r="K546" s="23" t="s">
        <v>34</v>
      </c>
      <c r="L546" s="25">
        <v>40640.94616898148</v>
      </c>
      <c r="M546" s="26" t="s">
        <v>207</v>
      </c>
      <c r="N546" s="26" t="s">
        <v>1496</v>
      </c>
      <c r="O546" s="22" t="str">
        <f>HYPERLINK("https://pbs.twimg.com/profile_images/824521580705230851/6xNAw2bK_normal.jpg","View")</f>
        <v>View</v>
      </c>
      <c r="P546" s="27"/>
    </row>
    <row r="547">
      <c r="A547" s="14">
        <v>43031.07880787037</v>
      </c>
      <c r="B547" s="20" t="str">
        <f>HYPERLINK("https://twitter.com/KonetiSantosh","@KonetiSantosh")</f>
        <v>@KonetiSantosh</v>
      </c>
      <c r="C547" s="21" t="s">
        <v>1497</v>
      </c>
      <c r="D547" s="21" t="s">
        <v>42</v>
      </c>
      <c r="E547" s="22" t="str">
        <f>HYPERLINK("https://twitter.com/KonetiSantosh/status/922385476585013248","922385476585013248")</f>
        <v>922385476585013248</v>
      </c>
      <c r="F547" s="23" t="s">
        <v>33</v>
      </c>
      <c r="G547" s="24">
        <v>18.0</v>
      </c>
      <c r="H547" s="24">
        <v>486.0</v>
      </c>
      <c r="I547" s="24">
        <v>8501.0</v>
      </c>
      <c r="J547" s="24">
        <v>0.0</v>
      </c>
      <c r="K547" s="23" t="s">
        <v>34</v>
      </c>
      <c r="L547" s="25">
        <v>40984.27674768519</v>
      </c>
      <c r="M547" s="26" t="s">
        <v>1498</v>
      </c>
      <c r="N547" s="28"/>
      <c r="O547" s="22" t="str">
        <f>HYPERLINK("https://pbs.twimg.com/profile_images/898192422131318786/zRjzBboL_normal.jpg","View")</f>
        <v>View</v>
      </c>
      <c r="P547" s="27"/>
    </row>
    <row r="548">
      <c r="A548" s="14">
        <v>43031.07884259259</v>
      </c>
      <c r="B548" s="20" t="str">
        <f>HYPERLINK("https://twitter.com/libertad717","@libertad717")</f>
        <v>@libertad717</v>
      </c>
      <c r="C548" s="21" t="s">
        <v>1228</v>
      </c>
      <c r="D548" s="21" t="s">
        <v>1499</v>
      </c>
      <c r="E548" s="22" t="str">
        <f>HYPERLINK("https://twitter.com/libertad717/status/922385487708545025","922385487708545025")</f>
        <v>922385487708545025</v>
      </c>
      <c r="F548" s="23" t="s">
        <v>33</v>
      </c>
      <c r="G548" s="24">
        <v>1043.0</v>
      </c>
      <c r="H548" s="24">
        <v>1058.0</v>
      </c>
      <c r="I548" s="24">
        <v>3.0</v>
      </c>
      <c r="J548" s="24">
        <v>0.0</v>
      </c>
      <c r="K548" s="23" t="s">
        <v>34</v>
      </c>
      <c r="L548" s="25">
        <v>40681.701203703706</v>
      </c>
      <c r="M548" s="28"/>
      <c r="N548" s="28"/>
      <c r="O548" s="22" t="str">
        <f>HYPERLINK("https://pbs.twimg.com/profile_images/378800000709612949/cfd1435ac2c89df971f95fff2d2610a6_normal.jpeg","View")</f>
        <v>View</v>
      </c>
      <c r="P548" s="27"/>
    </row>
    <row r="549">
      <c r="A549" s="14">
        <v>43031.078877314816</v>
      </c>
      <c r="B549" s="20" t="str">
        <f>HYPERLINK("https://twitter.com/davieskasyoki1","@davieskasyoki1")</f>
        <v>@davieskasyoki1</v>
      </c>
      <c r="C549" s="21" t="s">
        <v>1500</v>
      </c>
      <c r="D549" s="21" t="s">
        <v>32</v>
      </c>
      <c r="E549" s="22" t="str">
        <f>HYPERLINK("https://twitter.com/davieskasyoki1/status/922385500958228480","922385500958228480")</f>
        <v>922385500958228480</v>
      </c>
      <c r="F549" s="23" t="s">
        <v>33</v>
      </c>
      <c r="G549" s="24">
        <v>41.0</v>
      </c>
      <c r="H549" s="24">
        <v>493.0</v>
      </c>
      <c r="I549" s="24">
        <v>471.0</v>
      </c>
      <c r="J549" s="24">
        <v>0.0</v>
      </c>
      <c r="K549" s="23" t="s">
        <v>34</v>
      </c>
      <c r="L549" s="25">
        <v>42399.19546296296</v>
      </c>
      <c r="M549" s="28"/>
      <c r="N549" s="28"/>
      <c r="O549" s="22" t="str">
        <f>HYPERLINK("https://pbs.twimg.com/profile_images/909857110208516096/BX87bf2y_normal.jpg","View")</f>
        <v>View</v>
      </c>
      <c r="P549" s="27"/>
    </row>
    <row r="550">
      <c r="A550" s="14">
        <v>43031.078923611116</v>
      </c>
      <c r="B550" s="20" t="str">
        <f>HYPERLINK("https://twitter.com/Charliec2ndward","@Charliec2ndward")</f>
        <v>@Charliec2ndward</v>
      </c>
      <c r="C550" s="21" t="s">
        <v>1501</v>
      </c>
      <c r="D550" s="21" t="s">
        <v>1345</v>
      </c>
      <c r="E550" s="22" t="str">
        <f>HYPERLINK("https://twitter.com/Charliec2ndward/status/922385518880546817","922385518880546817")</f>
        <v>922385518880546817</v>
      </c>
      <c r="F550" s="23" t="s">
        <v>33</v>
      </c>
      <c r="G550" s="24">
        <v>984.0</v>
      </c>
      <c r="H550" s="24">
        <v>2680.0</v>
      </c>
      <c r="I550" s="24">
        <v>22.0</v>
      </c>
      <c r="J550" s="24">
        <v>0.0</v>
      </c>
      <c r="K550" s="23" t="s">
        <v>34</v>
      </c>
      <c r="L550" s="25">
        <v>40879.49319444445</v>
      </c>
      <c r="M550" s="26" t="s">
        <v>1502</v>
      </c>
      <c r="N550" s="26" t="s">
        <v>1503</v>
      </c>
      <c r="O550" s="22" t="str">
        <f>HYPERLINK("https://pbs.twimg.com/profile_images/863034426313371648/AAAqSPBV_normal.jpg","View")</f>
        <v>View</v>
      </c>
      <c r="P550" s="27"/>
    </row>
    <row r="551">
      <c r="A551" s="14">
        <v>43031.078923611116</v>
      </c>
      <c r="B551" s="20" t="str">
        <f>HYPERLINK("https://twitter.com/timothyjoreilly","@timothyjoreilly")</f>
        <v>@timothyjoreilly</v>
      </c>
      <c r="C551" s="21" t="s">
        <v>1504</v>
      </c>
      <c r="D551" s="21" t="s">
        <v>67</v>
      </c>
      <c r="E551" s="22" t="str">
        <f>HYPERLINK("https://twitter.com/timothyjoreilly/status/922385519115255810","922385519115255810")</f>
        <v>922385519115255810</v>
      </c>
      <c r="F551" s="23" t="s">
        <v>39</v>
      </c>
      <c r="G551" s="24">
        <v>1065.0</v>
      </c>
      <c r="H551" s="24">
        <v>335.0</v>
      </c>
      <c r="I551" s="24">
        <v>169.0</v>
      </c>
      <c r="J551" s="24">
        <v>0.0</v>
      </c>
      <c r="K551" s="23" t="s">
        <v>34</v>
      </c>
      <c r="L551" s="25">
        <v>40518.79375</v>
      </c>
      <c r="M551" s="26" t="s">
        <v>68</v>
      </c>
      <c r="N551" s="26" t="s">
        <v>1505</v>
      </c>
      <c r="O551" s="22" t="str">
        <f>HYPERLINK("https://pbs.twimg.com/profile_images/673020953564082176/7p9UGHFK_normal.jpg","View")</f>
        <v>View</v>
      </c>
      <c r="P551" s="27"/>
    </row>
    <row r="552">
      <c r="A552" s="14">
        <v>43031.078923611116</v>
      </c>
      <c r="B552" s="20" t="str">
        <f>HYPERLINK("https://twitter.com/LOVELETTERS0716","@LOVELETTERS0716")</f>
        <v>@LOVELETTERS0716</v>
      </c>
      <c r="C552" s="21" t="s">
        <v>1506</v>
      </c>
      <c r="D552" s="21" t="s">
        <v>1444</v>
      </c>
      <c r="E552" s="22" t="str">
        <f>HYPERLINK("https://twitter.com/LOVELETTERS0716/status/922385519475957760","922385519475957760")</f>
        <v>922385519475957760</v>
      </c>
      <c r="F552" s="23" t="s">
        <v>39</v>
      </c>
      <c r="G552" s="24">
        <v>617.0</v>
      </c>
      <c r="H552" s="24">
        <v>285.0</v>
      </c>
      <c r="I552" s="24">
        <v>50.0</v>
      </c>
      <c r="J552" s="24">
        <v>0.0</v>
      </c>
      <c r="K552" s="23" t="s">
        <v>34</v>
      </c>
      <c r="L552" s="25">
        <v>40586.0187037037</v>
      </c>
      <c r="M552" s="26" t="s">
        <v>92</v>
      </c>
      <c r="N552" s="26" t="s">
        <v>1507</v>
      </c>
      <c r="O552" s="22" t="str">
        <f>HYPERLINK("https://pbs.twimg.com/profile_images/903633060121288705/mPQveTR0_normal.jpg","View")</f>
        <v>View</v>
      </c>
      <c r="P552" s="27"/>
    </row>
    <row r="553">
      <c r="A553" s="14">
        <v>43031.078923611116</v>
      </c>
      <c r="B553" s="20" t="str">
        <f>HYPERLINK("https://twitter.com/sunilsriv","@sunilsriv")</f>
        <v>@sunilsriv</v>
      </c>
      <c r="C553" s="21" t="s">
        <v>1508</v>
      </c>
      <c r="D553" s="21" t="s">
        <v>42</v>
      </c>
      <c r="E553" s="22" t="str">
        <f>HYPERLINK("https://twitter.com/sunilsriv/status/922385520226742272","922385520226742272")</f>
        <v>922385520226742272</v>
      </c>
      <c r="F553" s="23" t="s">
        <v>33</v>
      </c>
      <c r="G553" s="24">
        <v>61.0</v>
      </c>
      <c r="H553" s="24">
        <v>1012.0</v>
      </c>
      <c r="I553" s="24">
        <v>8501.0</v>
      </c>
      <c r="J553" s="24">
        <v>0.0</v>
      </c>
      <c r="K553" s="23" t="s">
        <v>34</v>
      </c>
      <c r="L553" s="25">
        <v>39777.947754629626</v>
      </c>
      <c r="M553" s="28"/>
      <c r="N553" s="28"/>
      <c r="O553" s="22" t="str">
        <f>HYPERLINK("https://pbs.twimg.com/profile_images/913474138118905856/gNwxjiZj_normal.jpg","View")</f>
        <v>View</v>
      </c>
      <c r="P553" s="27"/>
    </row>
    <row r="554">
      <c r="A554" s="14">
        <v>43031.07898148148</v>
      </c>
      <c r="B554" s="20" t="str">
        <f>HYPERLINK("https://twitter.com/Gjallarhornet","@Gjallarhornet")</f>
        <v>@Gjallarhornet</v>
      </c>
      <c r="C554" s="21" t="s">
        <v>1509</v>
      </c>
      <c r="D554" s="21" t="s">
        <v>1510</v>
      </c>
      <c r="E554" s="22" t="str">
        <f>HYPERLINK("https://twitter.com/Gjallarhornet/status/922385541634711557","922385541634711557")</f>
        <v>922385541634711557</v>
      </c>
      <c r="F554" s="23" t="s">
        <v>55</v>
      </c>
      <c r="G554" s="24">
        <v>6053.0</v>
      </c>
      <c r="H554" s="24">
        <v>6106.0</v>
      </c>
      <c r="I554" s="24">
        <v>0.0</v>
      </c>
      <c r="J554" s="24">
        <v>2.0</v>
      </c>
      <c r="K554" s="23" t="s">
        <v>34</v>
      </c>
      <c r="L554" s="25">
        <v>40133.48635416667</v>
      </c>
      <c r="M554" s="26" t="s">
        <v>1511</v>
      </c>
      <c r="N554" s="26" t="s">
        <v>1512</v>
      </c>
      <c r="O554" s="22" t="str">
        <f>HYPERLINK("https://pbs.twimg.com/profile_images/876168357564870656/_siEO4zd_normal.jpg","View")</f>
        <v>View</v>
      </c>
      <c r="P554" s="27"/>
    </row>
    <row r="555">
      <c r="A555" s="14">
        <v>43031.07902777778</v>
      </c>
      <c r="B555" s="20" t="str">
        <f>HYPERLINK("https://twitter.com/cdior777","@cdior777")</f>
        <v>@cdior777</v>
      </c>
      <c r="C555" s="21" t="s">
        <v>1513</v>
      </c>
      <c r="D555" s="21" t="s">
        <v>42</v>
      </c>
      <c r="E555" s="22" t="str">
        <f>HYPERLINK("https://twitter.com/cdior777/status/922385556515860485","922385556515860485")</f>
        <v>922385556515860485</v>
      </c>
      <c r="F555" s="23" t="s">
        <v>39</v>
      </c>
      <c r="G555" s="24">
        <v>370.0</v>
      </c>
      <c r="H555" s="24">
        <v>484.0</v>
      </c>
      <c r="I555" s="24">
        <v>8501.0</v>
      </c>
      <c r="J555" s="24">
        <v>0.0</v>
      </c>
      <c r="K555" s="23" t="s">
        <v>34</v>
      </c>
      <c r="L555" s="25">
        <v>40958.650717592594</v>
      </c>
      <c r="M555" s="28"/>
      <c r="N555" s="26" t="s">
        <v>1514</v>
      </c>
      <c r="O555" s="22" t="str">
        <f>HYPERLINK("https://pbs.twimg.com/profile_images/764980139486621696/x53GyW3J_normal.jpg","View")</f>
        <v>View</v>
      </c>
      <c r="P555" s="27"/>
    </row>
    <row r="556">
      <c r="A556" s="14">
        <v>43031.079050925924</v>
      </c>
      <c r="B556" s="20" t="str">
        <f>HYPERLINK("https://twitter.com/Rick4312","@Rick4312")</f>
        <v>@Rick4312</v>
      </c>
      <c r="C556" s="21" t="s">
        <v>1515</v>
      </c>
      <c r="D556" s="21" t="s">
        <v>1444</v>
      </c>
      <c r="E556" s="22" t="str">
        <f>HYPERLINK("https://twitter.com/Rick4312/status/922385566049685504","922385566049685504")</f>
        <v>922385566049685504</v>
      </c>
      <c r="F556" s="23" t="s">
        <v>33</v>
      </c>
      <c r="G556" s="24">
        <v>350.0</v>
      </c>
      <c r="H556" s="24">
        <v>341.0</v>
      </c>
      <c r="I556" s="24">
        <v>50.0</v>
      </c>
      <c r="J556" s="24">
        <v>0.0</v>
      </c>
      <c r="K556" s="23" t="s">
        <v>34</v>
      </c>
      <c r="L556" s="25">
        <v>39926.19918981481</v>
      </c>
      <c r="M556" s="28"/>
      <c r="N556" s="26" t="s">
        <v>1516</v>
      </c>
      <c r="O556" s="22" t="str">
        <f>HYPERLINK("https://pbs.twimg.com/profile_images/378800000606169554/baf9e73de18cf5538945e01f8656543c_normal.png","View")</f>
        <v>View</v>
      </c>
      <c r="P556" s="27"/>
    </row>
    <row r="557">
      <c r="A557" s="14">
        <v>43031.07907407408</v>
      </c>
      <c r="B557" s="20" t="str">
        <f>HYPERLINK("https://twitter.com/ambushdesign","@ambushdesign")</f>
        <v>@ambushdesign</v>
      </c>
      <c r="C557" s="21" t="s">
        <v>1517</v>
      </c>
      <c r="D557" s="21" t="s">
        <v>1474</v>
      </c>
      <c r="E557" s="22" t="str">
        <f>HYPERLINK("https://twitter.com/ambushdesign/status/922385575109214214","922385575109214214")</f>
        <v>922385575109214214</v>
      </c>
      <c r="F557" s="23" t="s">
        <v>55</v>
      </c>
      <c r="G557" s="24">
        <v>24497.0</v>
      </c>
      <c r="H557" s="24">
        <v>60.0</v>
      </c>
      <c r="I557" s="24">
        <v>29.0</v>
      </c>
      <c r="J557" s="24">
        <v>0.0</v>
      </c>
      <c r="K557" s="23" t="s">
        <v>34</v>
      </c>
      <c r="L557" s="25">
        <v>39948.331655092596</v>
      </c>
      <c r="M557" s="26" t="s">
        <v>1518</v>
      </c>
      <c r="N557" s="26" t="s">
        <v>1519</v>
      </c>
      <c r="O557" s="22" t="str">
        <f>HYPERLINK("https://pbs.twimg.com/profile_images/662475020128509953/z1TbffMM_normal.jpg","View")</f>
        <v>View</v>
      </c>
      <c r="P557" s="27"/>
    </row>
    <row r="558">
      <c r="A558" s="14">
        <v>43031.07908564815</v>
      </c>
      <c r="B558" s="20" t="str">
        <f>HYPERLINK("https://twitter.com/amenboruirui","@amenboruirui")</f>
        <v>@amenboruirui</v>
      </c>
      <c r="C558" s="21" t="s">
        <v>1520</v>
      </c>
      <c r="D558" s="21" t="s">
        <v>42</v>
      </c>
      <c r="E558" s="22" t="str">
        <f>HYPERLINK("https://twitter.com/amenboruirui/status/922385577344868352","922385577344868352")</f>
        <v>922385577344868352</v>
      </c>
      <c r="F558" s="23" t="s">
        <v>55</v>
      </c>
      <c r="G558" s="24">
        <v>64.0</v>
      </c>
      <c r="H558" s="24">
        <v>116.0</v>
      </c>
      <c r="I558" s="24">
        <v>8501.0</v>
      </c>
      <c r="J558" s="24">
        <v>0.0</v>
      </c>
      <c r="K558" s="23" t="s">
        <v>34</v>
      </c>
      <c r="L558" s="25">
        <v>41691.93784722222</v>
      </c>
      <c r="M558" s="28"/>
      <c r="N558" s="26" t="s">
        <v>1521</v>
      </c>
      <c r="O558" s="22" t="str">
        <f>HYPERLINK("https://abs.twimg.com/sticky/default_profile_images/default_profile_normal.png","View")</f>
        <v>View</v>
      </c>
      <c r="P558" s="27"/>
    </row>
    <row r="559">
      <c r="A559" s="14">
        <v>43031.07908564815</v>
      </c>
      <c r="B559" s="20" t="str">
        <f>HYPERLINK("https://twitter.com/ohiomary","@ohiomary")</f>
        <v>@ohiomary</v>
      </c>
      <c r="C559" s="21" t="s">
        <v>1522</v>
      </c>
      <c r="D559" s="21" t="s">
        <v>1345</v>
      </c>
      <c r="E559" s="22" t="str">
        <f>HYPERLINK("https://twitter.com/ohiomary/status/922385578976477184","922385578976477184")</f>
        <v>922385578976477184</v>
      </c>
      <c r="F559" s="23" t="s">
        <v>769</v>
      </c>
      <c r="G559" s="24">
        <v>1405.0</v>
      </c>
      <c r="H559" s="24">
        <v>574.0</v>
      </c>
      <c r="I559" s="24">
        <v>22.0</v>
      </c>
      <c r="J559" s="24">
        <v>0.0</v>
      </c>
      <c r="K559" s="23" t="s">
        <v>34</v>
      </c>
      <c r="L559" s="25">
        <v>39262.380023148144</v>
      </c>
      <c r="M559" s="26" t="s">
        <v>1523</v>
      </c>
      <c r="N559" s="26" t="s">
        <v>1524</v>
      </c>
      <c r="O559" s="22" t="str">
        <f>HYPERLINK("https://pbs.twimg.com/profile_images/459496233149542400/9r1j10CL_normal.jpeg","View")</f>
        <v>View</v>
      </c>
      <c r="P559" s="27"/>
    </row>
    <row r="560">
      <c r="A560" s="14">
        <v>43031.079097222224</v>
      </c>
      <c r="B560" s="20" t="str">
        <f>HYPERLINK("https://twitter.com/getcashquick","@getcashquick")</f>
        <v>@getcashquick</v>
      </c>
      <c r="C560" s="21" t="s">
        <v>1525</v>
      </c>
      <c r="D560" s="21" t="s">
        <v>1526</v>
      </c>
      <c r="E560" s="22" t="str">
        <f>HYPERLINK("https://twitter.com/getcashquick/status/922385582491426816","922385582491426816")</f>
        <v>922385582491426816</v>
      </c>
      <c r="F560" s="23" t="s">
        <v>91</v>
      </c>
      <c r="G560" s="24">
        <v>2188.0</v>
      </c>
      <c r="H560" s="24">
        <v>2409.0</v>
      </c>
      <c r="I560" s="24">
        <v>0.0</v>
      </c>
      <c r="J560" s="24">
        <v>0.0</v>
      </c>
      <c r="K560" s="23" t="s">
        <v>34</v>
      </c>
      <c r="L560" s="25">
        <v>40485.53039351852</v>
      </c>
      <c r="M560" s="26" t="s">
        <v>1527</v>
      </c>
      <c r="N560" s="26" t="s">
        <v>1528</v>
      </c>
      <c r="O560" s="22" t="str">
        <f>HYPERLINK("https://pbs.twimg.com/profile_images/378800000416643928/edaee0346bf1d9dead42ead903cc2332_normal.jpeg","View")</f>
        <v>View</v>
      </c>
      <c r="P560" s="27"/>
    </row>
    <row r="561">
      <c r="A561" s="14">
        <v>43031.07912037037</v>
      </c>
      <c r="B561" s="20" t="str">
        <f>HYPERLINK("https://twitter.com/Prabhakar2July","@Prabhakar2July")</f>
        <v>@Prabhakar2July</v>
      </c>
      <c r="C561" s="21" t="s">
        <v>1529</v>
      </c>
      <c r="D561" s="21" t="s">
        <v>42</v>
      </c>
      <c r="E561" s="22" t="str">
        <f>HYPERLINK("https://twitter.com/Prabhakar2July/status/922385590800195584","922385590800195584")</f>
        <v>922385590800195584</v>
      </c>
      <c r="F561" s="23" t="s">
        <v>33</v>
      </c>
      <c r="G561" s="24">
        <v>22849.0</v>
      </c>
      <c r="H561" s="24">
        <v>1573.0</v>
      </c>
      <c r="I561" s="24">
        <v>8501.0</v>
      </c>
      <c r="J561" s="24">
        <v>0.0</v>
      </c>
      <c r="K561" s="23" t="s">
        <v>34</v>
      </c>
      <c r="L561" s="25">
        <v>40192.215266203704</v>
      </c>
      <c r="M561" s="26" t="s">
        <v>815</v>
      </c>
      <c r="N561" s="26" t="s">
        <v>1530</v>
      </c>
      <c r="O561" s="22" t="str">
        <f>HYPERLINK("https://pbs.twimg.com/profile_images/914384290246361089/sNhA-Fs__normal.jpg","View")</f>
        <v>View</v>
      </c>
      <c r="P561" s="27"/>
    </row>
    <row r="562">
      <c r="A562" s="14">
        <v>43031.07915509259</v>
      </c>
      <c r="B562" s="20" t="str">
        <f>HYPERLINK("https://twitter.com/_amarjeetsingh1","@_amarjeetsingh1")</f>
        <v>@_amarjeetsingh1</v>
      </c>
      <c r="C562" s="21" t="s">
        <v>1531</v>
      </c>
      <c r="D562" s="21" t="s">
        <v>42</v>
      </c>
      <c r="E562" s="22" t="str">
        <f>HYPERLINK("https://twitter.com/_amarjeetsingh1/status/922385602443542528","922385602443542528")</f>
        <v>922385602443542528</v>
      </c>
      <c r="F562" s="23" t="s">
        <v>39</v>
      </c>
      <c r="G562" s="24">
        <v>107.0</v>
      </c>
      <c r="H562" s="24">
        <v>208.0</v>
      </c>
      <c r="I562" s="24">
        <v>8501.0</v>
      </c>
      <c r="J562" s="24">
        <v>0.0</v>
      </c>
      <c r="K562" s="23" t="s">
        <v>34</v>
      </c>
      <c r="L562" s="25">
        <v>42790.31517361111</v>
      </c>
      <c r="M562" s="26" t="s">
        <v>1532</v>
      </c>
      <c r="N562" s="26" t="s">
        <v>1533</v>
      </c>
      <c r="O562" s="22" t="str">
        <f>HYPERLINK("https://pbs.twimg.com/profile_images/893704696799543296/s_VCb3bM_normal.jpg","View")</f>
        <v>View</v>
      </c>
      <c r="P562" s="27"/>
    </row>
    <row r="563">
      <c r="A563" s="14">
        <v>43031.07916666666</v>
      </c>
      <c r="B563" s="20" t="str">
        <f>HYPERLINK("https://twitter.com/SwaraSingh14","@SwaraSingh14")</f>
        <v>@SwaraSingh14</v>
      </c>
      <c r="C563" s="21" t="s">
        <v>1534</v>
      </c>
      <c r="D563" s="21" t="s">
        <v>42</v>
      </c>
      <c r="E563" s="22" t="str">
        <f>HYPERLINK("https://twitter.com/SwaraSingh14/status/922385605375426561","922385605375426561")</f>
        <v>922385605375426561</v>
      </c>
      <c r="F563" s="23" t="s">
        <v>33</v>
      </c>
      <c r="G563" s="24">
        <v>12.0</v>
      </c>
      <c r="H563" s="24">
        <v>9.0</v>
      </c>
      <c r="I563" s="24">
        <v>8501.0</v>
      </c>
      <c r="J563" s="24">
        <v>0.0</v>
      </c>
      <c r="K563" s="23" t="s">
        <v>34</v>
      </c>
      <c r="L563" s="25">
        <v>43001.168703703705</v>
      </c>
      <c r="M563" s="28"/>
      <c r="N563" s="26" t="s">
        <v>1535</v>
      </c>
      <c r="O563" s="22" t="str">
        <f>HYPERLINK("https://pbs.twimg.com/profile_images/912117856980025344/jngVqjir_normal.jpg","View")</f>
        <v>View</v>
      </c>
      <c r="P563" s="27"/>
    </row>
    <row r="564">
      <c r="A564" s="14">
        <v>43031.07917824074</v>
      </c>
      <c r="B564" s="20" t="str">
        <f>HYPERLINK("https://twitter.com/UnmeiNihongoCtr","@UnmeiNihongoCtr")</f>
        <v>@UnmeiNihongoCtr</v>
      </c>
      <c r="C564" s="21" t="s">
        <v>1536</v>
      </c>
      <c r="D564" s="21" t="s">
        <v>1537</v>
      </c>
      <c r="E564" s="22" t="str">
        <f>HYPERLINK("https://twitter.com/UnmeiNihongoCtr/status/922385611016884225","922385611016884225")</f>
        <v>922385611016884225</v>
      </c>
      <c r="F564" s="23" t="s">
        <v>48</v>
      </c>
      <c r="G564" s="24">
        <v>235.0</v>
      </c>
      <c r="H564" s="24">
        <v>197.0</v>
      </c>
      <c r="I564" s="24">
        <v>0.0</v>
      </c>
      <c r="J564" s="24">
        <v>0.0</v>
      </c>
      <c r="K564" s="23" t="s">
        <v>34</v>
      </c>
      <c r="L564" s="25">
        <v>40122.05347222222</v>
      </c>
      <c r="M564" s="26" t="s">
        <v>1538</v>
      </c>
      <c r="N564" s="26" t="s">
        <v>1539</v>
      </c>
      <c r="O564" s="22" t="str">
        <f>HYPERLINK("https://pbs.twimg.com/profile_images/344513261575605891/e41af79b90d75a1e48d2c6cac7bfea3e_normal.jpeg","View")</f>
        <v>View</v>
      </c>
      <c r="P564" s="27"/>
    </row>
    <row r="565">
      <c r="A565" s="14">
        <v>43031.07923611111</v>
      </c>
      <c r="B565" s="20" t="str">
        <f>HYPERLINK("https://twitter.com/Ipserviceskenya","@Ipserviceskenya")</f>
        <v>@Ipserviceskenya</v>
      </c>
      <c r="C565" s="21" t="s">
        <v>1540</v>
      </c>
      <c r="D565" s="21" t="s">
        <v>32</v>
      </c>
      <c r="E565" s="22" t="str">
        <f>HYPERLINK("https://twitter.com/Ipserviceskenya/status/922385632709705729","922385632709705729")</f>
        <v>922385632709705729</v>
      </c>
      <c r="F565" s="23" t="s">
        <v>39</v>
      </c>
      <c r="G565" s="24">
        <v>539.0</v>
      </c>
      <c r="H565" s="24">
        <v>567.0</v>
      </c>
      <c r="I565" s="24">
        <v>471.0</v>
      </c>
      <c r="J565" s="24">
        <v>0.0</v>
      </c>
      <c r="K565" s="23" t="s">
        <v>34</v>
      </c>
      <c r="L565" s="25">
        <v>40956.495844907404</v>
      </c>
      <c r="M565" s="26" t="s">
        <v>1541</v>
      </c>
      <c r="N565" s="26" t="s">
        <v>1542</v>
      </c>
      <c r="O565" s="22" t="str">
        <f>HYPERLINK("https://pbs.twimg.com/profile_images/914817633752698880/GbjQA9IP_normal.jpg","View")</f>
        <v>View</v>
      </c>
      <c r="P565" s="27"/>
    </row>
    <row r="566">
      <c r="A566" s="14">
        <v>43031.079247685186</v>
      </c>
      <c r="B566" s="20" t="str">
        <f>HYPERLINK("https://twitter.com/LloydZiel","@LloydZiel")</f>
        <v>@LloydZiel</v>
      </c>
      <c r="C566" s="21" t="s">
        <v>1049</v>
      </c>
      <c r="D566" s="21" t="s">
        <v>1543</v>
      </c>
      <c r="E566" s="22" t="str">
        <f>HYPERLINK("https://twitter.com/LloydZiel/status/922385638158225408","922385638158225408")</f>
        <v>922385638158225408</v>
      </c>
      <c r="F566" s="23" t="s">
        <v>187</v>
      </c>
      <c r="G566" s="24">
        <v>757.0</v>
      </c>
      <c r="H566" s="24">
        <v>843.0</v>
      </c>
      <c r="I566" s="24">
        <v>0.0</v>
      </c>
      <c r="J566" s="24">
        <v>0.0</v>
      </c>
      <c r="K566" s="23" t="s">
        <v>34</v>
      </c>
      <c r="L566" s="25">
        <v>40816.290509259255</v>
      </c>
      <c r="M566" s="26" t="s">
        <v>435</v>
      </c>
      <c r="N566" s="26" t="s">
        <v>1051</v>
      </c>
      <c r="O566" s="22" t="str">
        <f>HYPERLINK("https://pbs.twimg.com/profile_images/378800000163294226/f9483ee13c6a6f32086253635d758cc6_normal.jpeg","View")</f>
        <v>View</v>
      </c>
      <c r="P566" s="27"/>
    </row>
    <row r="567">
      <c r="A567" s="14">
        <v>43031.07927083333</v>
      </c>
      <c r="B567" s="20" t="str">
        <f>HYPERLINK("https://twitter.com/Claritymay16","@Claritymay16")</f>
        <v>@Claritymay16</v>
      </c>
      <c r="C567" s="21" t="s">
        <v>1544</v>
      </c>
      <c r="D567" s="21" t="s">
        <v>42</v>
      </c>
      <c r="E567" s="22" t="str">
        <f>HYPERLINK("https://twitter.com/Claritymay16/status/922385645762260992","922385645762260992")</f>
        <v>922385645762260992</v>
      </c>
      <c r="F567" s="23" t="s">
        <v>39</v>
      </c>
      <c r="G567" s="24">
        <v>1142.0</v>
      </c>
      <c r="H567" s="24">
        <v>315.0</v>
      </c>
      <c r="I567" s="24">
        <v>8501.0</v>
      </c>
      <c r="J567" s="24">
        <v>0.0</v>
      </c>
      <c r="K567" s="23" t="s">
        <v>34</v>
      </c>
      <c r="L567" s="25">
        <v>41598.01476851852</v>
      </c>
      <c r="M567" s="26" t="s">
        <v>1545</v>
      </c>
      <c r="N567" s="26" t="s">
        <v>1546</v>
      </c>
      <c r="O567" s="22" t="str">
        <f>HYPERLINK("https://pbs.twimg.com/profile_images/888823566384250880/ZIhkdkcd_normal.jpg","View")</f>
        <v>View</v>
      </c>
      <c r="P567" s="27"/>
    </row>
    <row r="568">
      <c r="A568" s="14">
        <v>43031.07928240741</v>
      </c>
      <c r="B568" s="20" t="str">
        <f>HYPERLINK("https://twitter.com/AnySourceNews","@AnySourceNews")</f>
        <v>@AnySourceNews</v>
      </c>
      <c r="C568" s="21" t="s">
        <v>1547</v>
      </c>
      <c r="D568" s="21" t="s">
        <v>1548</v>
      </c>
      <c r="E568" s="22" t="str">
        <f>HYPERLINK("https://twitter.com/AnySourceNews/status/922385648333541376","922385648333541376")</f>
        <v>922385648333541376</v>
      </c>
      <c r="F568" s="23" t="s">
        <v>187</v>
      </c>
      <c r="G568" s="24">
        <v>50.0</v>
      </c>
      <c r="H568" s="24">
        <v>78.0</v>
      </c>
      <c r="I568" s="24">
        <v>0.0</v>
      </c>
      <c r="J568" s="24">
        <v>0.0</v>
      </c>
      <c r="K568" s="23" t="s">
        <v>34</v>
      </c>
      <c r="L568" s="25">
        <v>42878.489953703705</v>
      </c>
      <c r="M568" s="26" t="s">
        <v>708</v>
      </c>
      <c r="N568" s="26" t="s">
        <v>1549</v>
      </c>
      <c r="O568" s="22" t="str">
        <f>HYPERLINK("https://pbs.twimg.com/profile_images/867089544172236801/fImA4bGB_normal.jpg","View")</f>
        <v>View</v>
      </c>
      <c r="P568" s="27"/>
    </row>
    <row r="569">
      <c r="A569" s="14">
        <v>43031.07928240741</v>
      </c>
      <c r="B569" s="20" t="str">
        <f>HYPERLINK("https://twitter.com/lynx55","@lynx55")</f>
        <v>@lynx55</v>
      </c>
      <c r="C569" s="21" t="s">
        <v>1550</v>
      </c>
      <c r="D569" s="21" t="s">
        <v>67</v>
      </c>
      <c r="E569" s="22" t="str">
        <f>HYPERLINK("https://twitter.com/lynx55/status/922385649747013633","922385649747013633")</f>
        <v>922385649747013633</v>
      </c>
      <c r="F569" s="23" t="s">
        <v>33</v>
      </c>
      <c r="G569" s="24">
        <v>4214.0</v>
      </c>
      <c r="H569" s="24">
        <v>4422.0</v>
      </c>
      <c r="I569" s="24">
        <v>169.0</v>
      </c>
      <c r="J569" s="24">
        <v>0.0</v>
      </c>
      <c r="K569" s="23" t="s">
        <v>34</v>
      </c>
      <c r="L569" s="25">
        <v>39363.899872685186</v>
      </c>
      <c r="M569" s="26" t="s">
        <v>1551</v>
      </c>
      <c r="N569" s="26" t="s">
        <v>1552</v>
      </c>
      <c r="O569" s="22" t="str">
        <f>HYPERLINK("https://pbs.twimg.com/profile_images/917384747403370496/4k9Tip0C_normal.jpg","View")</f>
        <v>View</v>
      </c>
      <c r="P569" s="27"/>
    </row>
    <row r="570">
      <c r="A570" s="14">
        <v>43031.079293981486</v>
      </c>
      <c r="B570" s="20" t="str">
        <f>HYPERLINK("https://twitter.com/Amit_Kamath","@Amit_Kamath")</f>
        <v>@Amit_Kamath</v>
      </c>
      <c r="C570" s="21" t="s">
        <v>1553</v>
      </c>
      <c r="D570" s="21" t="s">
        <v>42</v>
      </c>
      <c r="E570" s="22" t="str">
        <f>HYPERLINK("https://twitter.com/Amit_Kamath/status/922385653152628736","922385653152628736")</f>
        <v>922385653152628736</v>
      </c>
      <c r="F570" s="23" t="s">
        <v>33</v>
      </c>
      <c r="G570" s="24">
        <v>47.0</v>
      </c>
      <c r="H570" s="24">
        <v>145.0</v>
      </c>
      <c r="I570" s="24">
        <v>8501.0</v>
      </c>
      <c r="J570" s="24">
        <v>0.0</v>
      </c>
      <c r="K570" s="23" t="s">
        <v>34</v>
      </c>
      <c r="L570" s="25">
        <v>40096.080555555556</v>
      </c>
      <c r="M570" s="26" t="s">
        <v>1554</v>
      </c>
      <c r="N570" s="26" t="s">
        <v>1555</v>
      </c>
      <c r="O570" s="22" t="str">
        <f>HYPERLINK("https://pbs.twimg.com/profile_images/684369197384646656/BrqJ0wLn_normal.jpg","View")</f>
        <v>View</v>
      </c>
      <c r="P570" s="27"/>
    </row>
    <row r="571">
      <c r="A571" s="14">
        <v>43031.079293981486</v>
      </c>
      <c r="B571" s="20" t="str">
        <f>HYPERLINK("https://twitter.com/onlyrocknrose","@onlyrocknrose")</f>
        <v>@onlyrocknrose</v>
      </c>
      <c r="C571" s="21" t="s">
        <v>1556</v>
      </c>
      <c r="D571" s="21" t="s">
        <v>1345</v>
      </c>
      <c r="E571" s="22" t="str">
        <f>HYPERLINK("https://twitter.com/onlyrocknrose/status/922385653207355392","922385653207355392")</f>
        <v>922385653207355392</v>
      </c>
      <c r="F571" s="23" t="s">
        <v>39</v>
      </c>
      <c r="G571" s="24">
        <v>44.0</v>
      </c>
      <c r="H571" s="24">
        <v>150.0</v>
      </c>
      <c r="I571" s="24">
        <v>22.0</v>
      </c>
      <c r="J571" s="24">
        <v>0.0</v>
      </c>
      <c r="K571" s="23" t="s">
        <v>34</v>
      </c>
      <c r="L571" s="25">
        <v>42401.53659722222</v>
      </c>
      <c r="M571" s="28"/>
      <c r="N571" s="28"/>
      <c r="O571" s="22" t="str">
        <f>HYPERLINK("https://pbs.twimg.com/profile_images/908991302863335425/La1sMFy3_normal.jpg","View")</f>
        <v>View</v>
      </c>
      <c r="P571" s="27"/>
    </row>
    <row r="572">
      <c r="A572" s="14">
        <v>43031.079305555555</v>
      </c>
      <c r="B572" s="20" t="str">
        <f>HYPERLINK("https://twitter.com/Hayley_Wright8","@Hayley_Wright8")</f>
        <v>@Hayley_Wright8</v>
      </c>
      <c r="C572" s="21" t="s">
        <v>1557</v>
      </c>
      <c r="D572" s="21" t="s">
        <v>213</v>
      </c>
      <c r="E572" s="22" t="str">
        <f>HYPERLINK("https://twitter.com/Hayley_Wright8/status/922385655472168960","922385655472168960")</f>
        <v>922385655472168960</v>
      </c>
      <c r="F572" s="23" t="s">
        <v>55</v>
      </c>
      <c r="G572" s="24">
        <v>2.0</v>
      </c>
      <c r="H572" s="24">
        <v>1.0</v>
      </c>
      <c r="I572" s="24">
        <v>94.0</v>
      </c>
      <c r="J572" s="24">
        <v>0.0</v>
      </c>
      <c r="K572" s="23" t="s">
        <v>34</v>
      </c>
      <c r="L572" s="25">
        <v>43027.22630787037</v>
      </c>
      <c r="M572" s="28"/>
      <c r="N572" s="28"/>
      <c r="O572" s="22" t="str">
        <f>HYPERLINK("https://pbs.twimg.com/profile_images/920991441354080257/78FBz8rQ_normal.jpg","View")</f>
        <v>View</v>
      </c>
      <c r="P572" s="27"/>
    </row>
    <row r="573">
      <c r="A573" s="14">
        <v>43031.079317129625</v>
      </c>
      <c r="B573" s="20" t="str">
        <f>HYPERLINK("https://twitter.com/xavvypls","@xavvypls")</f>
        <v>@xavvypls</v>
      </c>
      <c r="C573" s="21" t="s">
        <v>985</v>
      </c>
      <c r="D573" s="21" t="s">
        <v>1558</v>
      </c>
      <c r="E573" s="22" t="str">
        <f>HYPERLINK("https://twitter.com/xavvypls/status/922385662174810113","922385662174810113")</f>
        <v>922385662174810113</v>
      </c>
      <c r="F573" s="23" t="s">
        <v>187</v>
      </c>
      <c r="G573" s="24">
        <v>2703.0</v>
      </c>
      <c r="H573" s="24">
        <v>2991.0</v>
      </c>
      <c r="I573" s="24">
        <v>0.0</v>
      </c>
      <c r="J573" s="24">
        <v>0.0</v>
      </c>
      <c r="K573" s="23" t="s">
        <v>34</v>
      </c>
      <c r="L573" s="25">
        <v>40108.985497685186</v>
      </c>
      <c r="M573" s="26" t="s">
        <v>987</v>
      </c>
      <c r="N573" s="26" t="s">
        <v>988</v>
      </c>
      <c r="O573" s="22" t="str">
        <f>HYPERLINK("https://pbs.twimg.com/profile_images/730121330276892672/QGTLrj5q_normal.jpg","View")</f>
        <v>View</v>
      </c>
      <c r="P573" s="27"/>
    </row>
    <row r="574">
      <c r="A574" s="14">
        <v>43031.079317129625</v>
      </c>
      <c r="B574" s="20" t="str">
        <f>HYPERLINK("https://twitter.com/SwagNationalist","@SwagNationalist")</f>
        <v>@SwagNationalist</v>
      </c>
      <c r="C574" s="21" t="s">
        <v>1559</v>
      </c>
      <c r="D574" s="21" t="s">
        <v>42</v>
      </c>
      <c r="E574" s="22" t="str">
        <f>HYPERLINK("https://twitter.com/SwagNationalist/status/922385662313095174","922385662313095174")</f>
        <v>922385662313095174</v>
      </c>
      <c r="F574" s="23" t="s">
        <v>39</v>
      </c>
      <c r="G574" s="24">
        <v>27.0</v>
      </c>
      <c r="H574" s="24">
        <v>263.0</v>
      </c>
      <c r="I574" s="24">
        <v>8501.0</v>
      </c>
      <c r="J574" s="24">
        <v>0.0</v>
      </c>
      <c r="K574" s="23" t="s">
        <v>34</v>
      </c>
      <c r="L574" s="25">
        <v>42329.91096064815</v>
      </c>
      <c r="M574" s="28"/>
      <c r="N574" s="26" t="s">
        <v>1560</v>
      </c>
      <c r="O574" s="22" t="str">
        <f>HYPERLINK("https://pbs.twimg.com/profile_images/708271594817257473/VBEyXMXL_normal.jpg","View")</f>
        <v>View</v>
      </c>
      <c r="P574" s="27"/>
    </row>
    <row r="575">
      <c r="A575" s="14">
        <v>43031.079409722224</v>
      </c>
      <c r="B575" s="20" t="str">
        <f>HYPERLINK("https://twitter.com/SocialLifeLA","@SocialLifeLA")</f>
        <v>@SocialLifeLA</v>
      </c>
      <c r="C575" s="21" t="s">
        <v>1561</v>
      </c>
      <c r="D575" s="21" t="s">
        <v>1562</v>
      </c>
      <c r="E575" s="22" t="str">
        <f>HYPERLINK("https://twitter.com/SocialLifeLA/status/922385695095885824","922385695095885824")</f>
        <v>922385695095885824</v>
      </c>
      <c r="F575" s="23" t="s">
        <v>187</v>
      </c>
      <c r="G575" s="24">
        <v>193.0</v>
      </c>
      <c r="H575" s="24">
        <v>60.0</v>
      </c>
      <c r="I575" s="24">
        <v>0.0</v>
      </c>
      <c r="J575" s="24">
        <v>0.0</v>
      </c>
      <c r="K575" s="23" t="s">
        <v>34</v>
      </c>
      <c r="L575" s="25">
        <v>42604.753807870366</v>
      </c>
      <c r="M575" s="26" t="s">
        <v>1563</v>
      </c>
      <c r="N575" s="26" t="s">
        <v>1564</v>
      </c>
      <c r="O575" s="22" t="str">
        <f>HYPERLINK("https://pbs.twimg.com/profile_images/767891928948023296/dUdnMBLO_normal.jpg","View")</f>
        <v>View</v>
      </c>
      <c r="P575" s="27"/>
    </row>
    <row r="576">
      <c r="A576" s="14">
        <v>43031.07943287037</v>
      </c>
      <c r="B576" s="20" t="str">
        <f>HYPERLINK("https://twitter.com/zoquaiy","@zoquaiy")</f>
        <v>@zoquaiy</v>
      </c>
      <c r="C576" s="21" t="s">
        <v>1565</v>
      </c>
      <c r="D576" s="21" t="s">
        <v>1566</v>
      </c>
      <c r="E576" s="22" t="str">
        <f>HYPERLINK("https://twitter.com/zoquaiy/status/922385704906137601","922385704906137601")</f>
        <v>922385704906137601</v>
      </c>
      <c r="F576" s="23" t="s">
        <v>33</v>
      </c>
      <c r="G576" s="24">
        <v>236.0</v>
      </c>
      <c r="H576" s="24">
        <v>79.0</v>
      </c>
      <c r="I576" s="24">
        <v>93.0</v>
      </c>
      <c r="J576" s="24">
        <v>0.0</v>
      </c>
      <c r="K576" s="23" t="s">
        <v>34</v>
      </c>
      <c r="L576" s="25">
        <v>42943.302939814814</v>
      </c>
      <c r="M576" s="26">
        <v>5034.0</v>
      </c>
      <c r="N576" s="26" t="s">
        <v>1567</v>
      </c>
      <c r="O576" s="22" t="str">
        <f>HYPERLINK("https://pbs.twimg.com/profile_images/914820528665325568/gk_EH6Ki_normal.jpg","View")</f>
        <v>View</v>
      </c>
      <c r="P576" s="27"/>
    </row>
    <row r="577">
      <c r="A577" s="14">
        <v>43031.07950231481</v>
      </c>
      <c r="B577" s="20" t="str">
        <f>HYPERLINK("https://twitter.com/Scratchings","@Scratchings")</f>
        <v>@Scratchings</v>
      </c>
      <c r="C577" s="21" t="s">
        <v>1568</v>
      </c>
      <c r="D577" s="21" t="s">
        <v>1569</v>
      </c>
      <c r="E577" s="22" t="str">
        <f>HYPERLINK("https://twitter.com/Scratchings/status/922385727626735616","922385727626735616")</f>
        <v>922385727626735616</v>
      </c>
      <c r="F577" s="23" t="s">
        <v>1570</v>
      </c>
      <c r="G577" s="24">
        <v>770.0</v>
      </c>
      <c r="H577" s="24">
        <v>1939.0</v>
      </c>
      <c r="I577" s="24">
        <v>0.0</v>
      </c>
      <c r="J577" s="24">
        <v>0.0</v>
      </c>
      <c r="K577" s="23" t="s">
        <v>34</v>
      </c>
      <c r="L577" s="25">
        <v>39896.37174768519</v>
      </c>
      <c r="M577" s="26" t="s">
        <v>1571</v>
      </c>
      <c r="N577" s="26" t="s">
        <v>1572</v>
      </c>
      <c r="O577" s="22" t="str">
        <f>HYPERLINK("https://pbs.twimg.com/profile_images/114452978/HEC_mini_for_blog_normal.jpg","View")</f>
        <v>View</v>
      </c>
      <c r="P577" s="27"/>
    </row>
    <row r="578">
      <c r="A578" s="14">
        <v>43031.0796412037</v>
      </c>
      <c r="B578" s="20" t="str">
        <f>HYPERLINK("https://twitter.com/jammax_1","@jammax_1")</f>
        <v>@jammax_1</v>
      </c>
      <c r="C578" s="21" t="s">
        <v>1573</v>
      </c>
      <c r="D578" s="21" t="s">
        <v>32</v>
      </c>
      <c r="E578" s="22" t="str">
        <f>HYPERLINK("https://twitter.com/jammax_1/status/922385778331840513","922385778331840513")</f>
        <v>922385778331840513</v>
      </c>
      <c r="F578" s="23" t="s">
        <v>33</v>
      </c>
      <c r="G578" s="24">
        <v>717.0</v>
      </c>
      <c r="H578" s="24">
        <v>834.0</v>
      </c>
      <c r="I578" s="24">
        <v>471.0</v>
      </c>
      <c r="J578" s="24">
        <v>0.0</v>
      </c>
      <c r="K578" s="23" t="s">
        <v>34</v>
      </c>
      <c r="L578" s="25">
        <v>39930.05847222223</v>
      </c>
      <c r="M578" s="26" t="s">
        <v>843</v>
      </c>
      <c r="N578" s="26" t="s">
        <v>1574</v>
      </c>
      <c r="O578" s="22" t="str">
        <f>HYPERLINK("https://pbs.twimg.com/profile_images/911230939140907008/UoeZvWJz_normal.jpg","View")</f>
        <v>View</v>
      </c>
      <c r="P578" s="27"/>
    </row>
    <row r="579">
      <c r="A579" s="14">
        <v>43031.0796412037</v>
      </c>
      <c r="B579" s="20" t="str">
        <f>HYPERLINK("https://twitter.com/reuters_once","@reuters_once")</f>
        <v>@reuters_once</v>
      </c>
      <c r="C579" s="21" t="s">
        <v>1575</v>
      </c>
      <c r="D579" s="21" t="s">
        <v>1345</v>
      </c>
      <c r="E579" s="22" t="str">
        <f>HYPERLINK("https://twitter.com/reuters_once/status/922385778700902400","922385778700902400")</f>
        <v>922385778700902400</v>
      </c>
      <c r="F579" s="23" t="s">
        <v>1576</v>
      </c>
      <c r="G579" s="24">
        <v>89.0</v>
      </c>
      <c r="H579" s="24">
        <v>0.0</v>
      </c>
      <c r="I579" s="24">
        <v>22.0</v>
      </c>
      <c r="J579" s="24">
        <v>0.0</v>
      </c>
      <c r="K579" s="23" t="s">
        <v>34</v>
      </c>
      <c r="L579" s="25">
        <v>42767.84443287037</v>
      </c>
      <c r="M579" s="28"/>
      <c r="N579" s="26" t="s">
        <v>1577</v>
      </c>
      <c r="O579" s="22" t="str">
        <f>HYPERLINK("https://pbs.twimg.com/profile_images/827009244520148996/PpVBEKC2_normal.jpg","View")</f>
        <v>View</v>
      </c>
      <c r="P579" s="27"/>
    </row>
    <row r="580">
      <c r="A580" s="14">
        <v>43031.0796875</v>
      </c>
      <c r="B580" s="20" t="str">
        <f>HYPERLINK("https://twitter.com/Ivanevans254","@Ivanevans254")</f>
        <v>@Ivanevans254</v>
      </c>
      <c r="C580" s="21" t="s">
        <v>1233</v>
      </c>
      <c r="D580" s="21" t="s">
        <v>836</v>
      </c>
      <c r="E580" s="22" t="str">
        <f>HYPERLINK("https://twitter.com/Ivanevans254/status/922385794823806976","922385794823806976")</f>
        <v>922385794823806976</v>
      </c>
      <c r="F580" s="23" t="s">
        <v>33</v>
      </c>
      <c r="G580" s="24">
        <v>235.0</v>
      </c>
      <c r="H580" s="24">
        <v>813.0</v>
      </c>
      <c r="I580" s="24">
        <v>7.0</v>
      </c>
      <c r="J580" s="24">
        <v>0.0</v>
      </c>
      <c r="K580" s="23" t="s">
        <v>34</v>
      </c>
      <c r="L580" s="25">
        <v>42923.227476851855</v>
      </c>
      <c r="M580" s="26" t="s">
        <v>1234</v>
      </c>
      <c r="N580" s="26" t="s">
        <v>1235</v>
      </c>
      <c r="O580" s="22" t="str">
        <f>HYPERLINK("https://pbs.twimg.com/profile_images/920652937709477888/CrgzEEMq_normal.jpg","View")</f>
        <v>View</v>
      </c>
      <c r="P580" s="27"/>
    </row>
    <row r="581">
      <c r="A581" s="14">
        <v>43031.0796875</v>
      </c>
      <c r="B581" s="20" t="str">
        <f>HYPERLINK("https://twitter.com/Gmanreformer","@Gmanreformer")</f>
        <v>@Gmanreformer</v>
      </c>
      <c r="C581" s="21" t="s">
        <v>1578</v>
      </c>
      <c r="D581" s="21" t="s">
        <v>32</v>
      </c>
      <c r="E581" s="22" t="str">
        <f>HYPERLINK("https://twitter.com/Gmanreformer/status/922385796014968833","922385796014968833")</f>
        <v>922385796014968833</v>
      </c>
      <c r="F581" s="23" t="s">
        <v>33</v>
      </c>
      <c r="G581" s="24">
        <v>40.0</v>
      </c>
      <c r="H581" s="24">
        <v>169.0</v>
      </c>
      <c r="I581" s="24">
        <v>471.0</v>
      </c>
      <c r="J581" s="24">
        <v>0.0</v>
      </c>
      <c r="K581" s="23" t="s">
        <v>34</v>
      </c>
      <c r="L581" s="25">
        <v>43020.449212962965</v>
      </c>
      <c r="M581" s="28"/>
      <c r="N581" s="28"/>
      <c r="O581" s="22" t="str">
        <f>HYPERLINK("https://abs.twimg.com/sticky/default_profile_images/default_profile_normal.png","View")</f>
        <v>View</v>
      </c>
      <c r="P581" s="27"/>
    </row>
    <row r="582">
      <c r="A582" s="14">
        <v>43031.07971064815</v>
      </c>
      <c r="B582" s="20" t="str">
        <f>HYPERLINK("https://twitter.com/gnngnngg","@gnngnngg")</f>
        <v>@gnngnngg</v>
      </c>
      <c r="C582" s="21" t="s">
        <v>1579</v>
      </c>
      <c r="D582" s="21" t="s">
        <v>1444</v>
      </c>
      <c r="E582" s="22" t="str">
        <f>HYPERLINK("https://twitter.com/gnngnngg/status/922385804856406016","922385804856406016")</f>
        <v>922385804856406016</v>
      </c>
      <c r="F582" s="23" t="s">
        <v>39</v>
      </c>
      <c r="G582" s="24">
        <v>185.0</v>
      </c>
      <c r="H582" s="24">
        <v>249.0</v>
      </c>
      <c r="I582" s="24">
        <v>50.0</v>
      </c>
      <c r="J582" s="24">
        <v>0.0</v>
      </c>
      <c r="K582" s="23" t="s">
        <v>34</v>
      </c>
      <c r="L582" s="25">
        <v>42797.904236111106</v>
      </c>
      <c r="M582" s="26" t="s">
        <v>1580</v>
      </c>
      <c r="N582" s="26" t="s">
        <v>1581</v>
      </c>
      <c r="O582" s="22" t="str">
        <f>HYPERLINK("https://pbs.twimg.com/profile_images/910682760288772097/fusKyK4y_normal.jpg","View")</f>
        <v>View</v>
      </c>
      <c r="P582" s="27"/>
    </row>
    <row r="583">
      <c r="A583" s="14">
        <v>43031.07974537037</v>
      </c>
      <c r="B583" s="20" t="str">
        <f>HYPERLINK("https://twitter.com/15MikeMike15","@15MikeMike15")</f>
        <v>@15MikeMike15</v>
      </c>
      <c r="C583" s="21" t="s">
        <v>1582</v>
      </c>
      <c r="D583" s="21" t="s">
        <v>1583</v>
      </c>
      <c r="E583" s="22" t="str">
        <f>HYPERLINK("https://twitter.com/15MikeMike15/status/922385817800192001","922385817800192001")</f>
        <v>922385817800192001</v>
      </c>
      <c r="F583" s="23" t="s">
        <v>1584</v>
      </c>
      <c r="G583" s="24">
        <v>1034.0</v>
      </c>
      <c r="H583" s="24">
        <v>1951.0</v>
      </c>
      <c r="I583" s="24">
        <v>12.0</v>
      </c>
      <c r="J583" s="24">
        <v>0.0</v>
      </c>
      <c r="K583" s="23" t="s">
        <v>34</v>
      </c>
      <c r="L583" s="25">
        <v>42809.583402777775</v>
      </c>
      <c r="M583" s="28"/>
      <c r="N583" s="28"/>
      <c r="O583" s="22" t="str">
        <f>HYPERLINK("https://pbs.twimg.com/profile_images/864951920045289473/bAoGibet_normal.jpg","View")</f>
        <v>View</v>
      </c>
      <c r="P583" s="27"/>
    </row>
    <row r="584">
      <c r="A584" s="14">
        <v>43031.07984953704</v>
      </c>
      <c r="B584" s="20" t="str">
        <f>HYPERLINK("https://twitter.com/abosife2010","@abosife2010")</f>
        <v>@abosife2010</v>
      </c>
      <c r="C584" s="21" t="s">
        <v>1585</v>
      </c>
      <c r="D584" s="21" t="s">
        <v>1444</v>
      </c>
      <c r="E584" s="22" t="str">
        <f>HYPERLINK("https://twitter.com/abosife2010/status/922385856685625345","922385856685625345")</f>
        <v>922385856685625345</v>
      </c>
      <c r="F584" s="23" t="s">
        <v>43</v>
      </c>
      <c r="G584" s="24">
        <v>1145.0</v>
      </c>
      <c r="H584" s="24">
        <v>3102.0</v>
      </c>
      <c r="I584" s="24">
        <v>50.0</v>
      </c>
      <c r="J584" s="24">
        <v>0.0</v>
      </c>
      <c r="K584" s="23" t="s">
        <v>34</v>
      </c>
      <c r="L584" s="25">
        <v>40712.519224537034</v>
      </c>
      <c r="M584" s="32" t="s">
        <v>1586</v>
      </c>
      <c r="N584" s="26" t="s">
        <v>1587</v>
      </c>
      <c r="O584" s="22" t="str">
        <f>HYPERLINK("https://pbs.twimg.com/profile_images/869146010953682944/tD96CxJ8_normal.jpg","View")</f>
        <v>View</v>
      </c>
      <c r="P584" s="27"/>
    </row>
    <row r="585">
      <c r="A585" s="14">
        <v>43031.07986111111</v>
      </c>
      <c r="B585" s="20" t="str">
        <f>HYPERLINK("https://twitter.com/nakashima1106","@nakashima1106")</f>
        <v>@nakashima1106</v>
      </c>
      <c r="C585" s="21" t="s">
        <v>1588</v>
      </c>
      <c r="D585" s="21" t="s">
        <v>1444</v>
      </c>
      <c r="E585" s="22" t="str">
        <f>HYPERLINK("https://twitter.com/nakashima1106/status/922385856819691520","922385856819691520")</f>
        <v>922385856819691520</v>
      </c>
      <c r="F585" s="23" t="s">
        <v>230</v>
      </c>
      <c r="G585" s="24">
        <v>1011.0</v>
      </c>
      <c r="H585" s="24">
        <v>1892.0</v>
      </c>
      <c r="I585" s="24">
        <v>50.0</v>
      </c>
      <c r="J585" s="24">
        <v>0.0</v>
      </c>
      <c r="K585" s="23" t="s">
        <v>34</v>
      </c>
      <c r="L585" s="25">
        <v>40870.00510416667</v>
      </c>
      <c r="M585" s="26" t="s">
        <v>1589</v>
      </c>
      <c r="N585" s="26" t="s">
        <v>1590</v>
      </c>
      <c r="O585" s="22" t="str">
        <f>HYPERLINK("https://pbs.twimg.com/profile_images/673135978073067520/iNAt7cIB_normal.jpg","View")</f>
        <v>View</v>
      </c>
      <c r="P585" s="27"/>
    </row>
    <row r="586">
      <c r="A586" s="14">
        <v>43031.079988425925</v>
      </c>
      <c r="B586" s="20" t="str">
        <f>HYPERLINK("https://twitter.com/manmohan1978","@manmohan1978")</f>
        <v>@manmohan1978</v>
      </c>
      <c r="C586" s="21" t="s">
        <v>1591</v>
      </c>
      <c r="D586" s="21" t="s">
        <v>42</v>
      </c>
      <c r="E586" s="22" t="str">
        <f>HYPERLINK("https://twitter.com/manmohan1978/status/922385906597748737","922385906597748737")</f>
        <v>922385906597748737</v>
      </c>
      <c r="F586" s="23" t="s">
        <v>33</v>
      </c>
      <c r="G586" s="24">
        <v>274.0</v>
      </c>
      <c r="H586" s="24">
        <v>869.0</v>
      </c>
      <c r="I586" s="24">
        <v>8501.0</v>
      </c>
      <c r="J586" s="24">
        <v>0.0</v>
      </c>
      <c r="K586" s="23" t="s">
        <v>34</v>
      </c>
      <c r="L586" s="25">
        <v>41008.32372685185</v>
      </c>
      <c r="M586" s="28"/>
      <c r="N586" s="26" t="s">
        <v>1592</v>
      </c>
      <c r="O586" s="22" t="str">
        <f>HYPERLINK("https://pbs.twimg.com/profile_images/922142157057679361/XIhc6Cf8_normal.jpg","View")</f>
        <v>View</v>
      </c>
      <c r="P586" s="27"/>
    </row>
    <row r="587">
      <c r="A587" s="14">
        <v>43031.08008101852</v>
      </c>
      <c r="B587" s="20" t="str">
        <f>HYPERLINK("https://twitter.com/zoquaiy","@zoquaiy")</f>
        <v>@zoquaiy</v>
      </c>
      <c r="C587" s="21" t="s">
        <v>1565</v>
      </c>
      <c r="D587" s="21" t="s">
        <v>1593</v>
      </c>
      <c r="E587" s="22" t="str">
        <f>HYPERLINK("https://twitter.com/zoquaiy/status/922385938990243840","922385938990243840")</f>
        <v>922385938990243840</v>
      </c>
      <c r="F587" s="23" t="s">
        <v>33</v>
      </c>
      <c r="G587" s="24">
        <v>236.0</v>
      </c>
      <c r="H587" s="24">
        <v>79.0</v>
      </c>
      <c r="I587" s="24">
        <v>110.0</v>
      </c>
      <c r="J587" s="24">
        <v>0.0</v>
      </c>
      <c r="K587" s="23" t="s">
        <v>34</v>
      </c>
      <c r="L587" s="25">
        <v>42943.302939814814</v>
      </c>
      <c r="M587" s="26">
        <v>5034.0</v>
      </c>
      <c r="N587" s="26" t="s">
        <v>1567</v>
      </c>
      <c r="O587" s="22" t="str">
        <f>HYPERLINK("https://pbs.twimg.com/profile_images/914820528665325568/gk_EH6Ki_normal.jpg","View")</f>
        <v>View</v>
      </c>
      <c r="P587" s="27"/>
    </row>
    <row r="588">
      <c r="A588" s="14">
        <v>43031.08008101852</v>
      </c>
      <c r="B588" s="20" t="str">
        <f>HYPERLINK("https://twitter.com/nakhon224","@nakhon224")</f>
        <v>@nakhon224</v>
      </c>
      <c r="C588" s="21" t="s">
        <v>1594</v>
      </c>
      <c r="D588" s="21" t="s">
        <v>1595</v>
      </c>
      <c r="E588" s="22" t="str">
        <f>HYPERLINK("https://twitter.com/nakhon224/status/922385939577692160","922385939577692160")</f>
        <v>922385939577692160</v>
      </c>
      <c r="F588" s="23" t="s">
        <v>187</v>
      </c>
      <c r="G588" s="24">
        <v>16960.0</v>
      </c>
      <c r="H588" s="24">
        <v>5083.0</v>
      </c>
      <c r="I588" s="24">
        <v>0.0</v>
      </c>
      <c r="J588" s="24">
        <v>0.0</v>
      </c>
      <c r="K588" s="23" t="s">
        <v>34</v>
      </c>
      <c r="L588" s="25">
        <v>40115.902094907404</v>
      </c>
      <c r="M588" s="26" t="s">
        <v>1596</v>
      </c>
      <c r="N588" s="26" t="s">
        <v>1597</v>
      </c>
      <c r="O588" s="22" t="str">
        <f>HYPERLINK("https://pbs.twimg.com/profile_images/2399245020/niwo2t05j664oldr5izd_normal.gif","View")</f>
        <v>View</v>
      </c>
      <c r="P588" s="27"/>
    </row>
    <row r="589">
      <c r="A589" s="14">
        <v>43031.08010416667</v>
      </c>
      <c r="B589" s="20" t="str">
        <f>HYPERLINK("https://twitter.com/Anujpandey1441","@Anujpandey1441")</f>
        <v>@Anujpandey1441</v>
      </c>
      <c r="C589" s="21" t="s">
        <v>1598</v>
      </c>
      <c r="D589" s="21" t="s">
        <v>42</v>
      </c>
      <c r="E589" s="22" t="str">
        <f>HYPERLINK("https://twitter.com/Anujpandey1441/status/922385947399880705","922385947399880705")</f>
        <v>922385947399880705</v>
      </c>
      <c r="F589" s="23" t="s">
        <v>33</v>
      </c>
      <c r="G589" s="24">
        <v>65.0</v>
      </c>
      <c r="H589" s="24">
        <v>109.0</v>
      </c>
      <c r="I589" s="24">
        <v>8501.0</v>
      </c>
      <c r="J589" s="24">
        <v>0.0</v>
      </c>
      <c r="K589" s="23" t="s">
        <v>34</v>
      </c>
      <c r="L589" s="25">
        <v>42795.018414351856</v>
      </c>
      <c r="M589" s="26" t="s">
        <v>1599</v>
      </c>
      <c r="N589" s="26" t="s">
        <v>1600</v>
      </c>
      <c r="O589" s="22" t="str">
        <f>HYPERLINK("https://pbs.twimg.com/profile_images/894225333007798272/MjLkZLDY_normal.jpg","View")</f>
        <v>View</v>
      </c>
      <c r="P589" s="27"/>
    </row>
    <row r="590">
      <c r="A590" s="14">
        <v>43031.08017361111</v>
      </c>
      <c r="B590" s="20" t="str">
        <f>HYPERLINK("https://twitter.com/mazla_n","@mazla_n")</f>
        <v>@mazla_n</v>
      </c>
      <c r="C590" s="21" t="s">
        <v>1601</v>
      </c>
      <c r="D590" s="21" t="s">
        <v>1444</v>
      </c>
      <c r="E590" s="22" t="str">
        <f>HYPERLINK("https://twitter.com/mazla_n/status/922385970019758080","922385970019758080")</f>
        <v>922385970019758080</v>
      </c>
      <c r="F590" s="23" t="s">
        <v>33</v>
      </c>
      <c r="G590" s="24">
        <v>791.0</v>
      </c>
      <c r="H590" s="24">
        <v>2327.0</v>
      </c>
      <c r="I590" s="24">
        <v>50.0</v>
      </c>
      <c r="J590" s="24">
        <v>0.0</v>
      </c>
      <c r="K590" s="23" t="s">
        <v>34</v>
      </c>
      <c r="L590" s="25">
        <v>41722.16486111111</v>
      </c>
      <c r="M590" s="26" t="s">
        <v>1602</v>
      </c>
      <c r="N590" s="26" t="s">
        <v>1603</v>
      </c>
      <c r="O590" s="22" t="str">
        <f>HYPERLINK("https://pbs.twimg.com/profile_images/919615044207353858/WJ7QOPn__normal.jpg","View")</f>
        <v>View</v>
      </c>
      <c r="P590" s="27"/>
    </row>
    <row r="591">
      <c r="A591" s="14">
        <v>43031.080196759256</v>
      </c>
      <c r="B591" s="20" t="str">
        <f>HYPERLINK("https://twitter.com/ramonmorell","@ramonmorell")</f>
        <v>@ramonmorell</v>
      </c>
      <c r="C591" s="21" t="s">
        <v>1604</v>
      </c>
      <c r="D591" s="21" t="s">
        <v>1605</v>
      </c>
      <c r="E591" s="22" t="str">
        <f>HYPERLINK("https://twitter.com/ramonmorell/status/922385982133063681","922385982133063681")</f>
        <v>922385982133063681</v>
      </c>
      <c r="F591" s="23" t="s">
        <v>187</v>
      </c>
      <c r="G591" s="24">
        <v>512.0</v>
      </c>
      <c r="H591" s="24">
        <v>153.0</v>
      </c>
      <c r="I591" s="24">
        <v>0.0</v>
      </c>
      <c r="J591" s="24">
        <v>0.0</v>
      </c>
      <c r="K591" s="23" t="s">
        <v>34</v>
      </c>
      <c r="L591" s="25">
        <v>39927.02479166667</v>
      </c>
      <c r="M591" s="28"/>
      <c r="N591" s="26" t="s">
        <v>1606</v>
      </c>
      <c r="O591" s="22" t="str">
        <f>HYPERLINK("https://pbs.twimg.com/profile_images/842699314514288640/tIUXfMHY_normal.jpg","View")</f>
        <v>View</v>
      </c>
      <c r="P591" s="27"/>
    </row>
    <row r="592">
      <c r="A592" s="14">
        <v>43031.08020833333</v>
      </c>
      <c r="B592" s="20" t="str">
        <f>HYPERLINK("https://twitter.com/christophe022","@christophe022")</f>
        <v>@christophe022</v>
      </c>
      <c r="C592" s="21" t="s">
        <v>946</v>
      </c>
      <c r="D592" s="21" t="s">
        <v>1444</v>
      </c>
      <c r="E592" s="22" t="str">
        <f>HYPERLINK("https://twitter.com/christophe022/status/922385982837596160","922385982837596160")</f>
        <v>922385982837596160</v>
      </c>
      <c r="F592" s="23" t="s">
        <v>33</v>
      </c>
      <c r="G592" s="24">
        <v>409.0</v>
      </c>
      <c r="H592" s="24">
        <v>1295.0</v>
      </c>
      <c r="I592" s="24">
        <v>50.0</v>
      </c>
      <c r="J592" s="24">
        <v>0.0</v>
      </c>
      <c r="K592" s="23" t="s">
        <v>34</v>
      </c>
      <c r="L592" s="25">
        <v>41246.66909722222</v>
      </c>
      <c r="M592" s="26" t="s">
        <v>947</v>
      </c>
      <c r="N592" s="26" t="s">
        <v>948</v>
      </c>
      <c r="O592" s="22" t="str">
        <f>HYPERLINK("https://pbs.twimg.com/profile_images/378800000377063113/878caee4436c2485f849746b76dc8742_normal.png","View")</f>
        <v>View</v>
      </c>
      <c r="P592" s="27"/>
    </row>
    <row r="593">
      <c r="A593" s="14">
        <v>43031.080289351856</v>
      </c>
      <c r="B593" s="20" t="str">
        <f>HYPERLINK("https://twitter.com/20Sheenu","@20Sheenu")</f>
        <v>@20Sheenu</v>
      </c>
      <c r="C593" s="21" t="s">
        <v>1607</v>
      </c>
      <c r="D593" s="21" t="s">
        <v>42</v>
      </c>
      <c r="E593" s="22" t="str">
        <f>HYPERLINK("https://twitter.com/20Sheenu/status/922386013418164224","922386013418164224")</f>
        <v>922386013418164224</v>
      </c>
      <c r="F593" s="23" t="s">
        <v>55</v>
      </c>
      <c r="G593" s="24">
        <v>961.0</v>
      </c>
      <c r="H593" s="24">
        <v>1549.0</v>
      </c>
      <c r="I593" s="24">
        <v>8501.0</v>
      </c>
      <c r="J593" s="24">
        <v>0.0</v>
      </c>
      <c r="K593" s="23" t="s">
        <v>34</v>
      </c>
      <c r="L593" s="25">
        <v>42255.36709490741</v>
      </c>
      <c r="M593" s="26" t="s">
        <v>575</v>
      </c>
      <c r="N593" s="26" t="s">
        <v>1608</v>
      </c>
      <c r="O593" s="22" t="str">
        <f>HYPERLINK("https://pbs.twimg.com/profile_images/913479106162913280/5CE0q7Kx_normal.jpg","View")</f>
        <v>View</v>
      </c>
      <c r="P593" s="27"/>
    </row>
    <row r="594">
      <c r="A594" s="14">
        <v>43031.080300925925</v>
      </c>
      <c r="B594" s="20" t="str">
        <f>HYPERLINK("https://twitter.com/Dieng67","@Dieng67")</f>
        <v>@Dieng67</v>
      </c>
      <c r="C594" s="21" t="s">
        <v>1609</v>
      </c>
      <c r="D594" s="21" t="s">
        <v>1444</v>
      </c>
      <c r="E594" s="22" t="str">
        <f>HYPERLINK("https://twitter.com/Dieng67/status/922386019797708800","922386019797708800")</f>
        <v>922386019797708800</v>
      </c>
      <c r="F594" s="23" t="s">
        <v>33</v>
      </c>
      <c r="G594" s="24">
        <v>689.0</v>
      </c>
      <c r="H594" s="24">
        <v>1128.0</v>
      </c>
      <c r="I594" s="24">
        <v>50.0</v>
      </c>
      <c r="J594" s="24">
        <v>0.0</v>
      </c>
      <c r="K594" s="23" t="s">
        <v>34</v>
      </c>
      <c r="L594" s="25">
        <v>41249.87835648148</v>
      </c>
      <c r="M594" s="26" t="s">
        <v>1610</v>
      </c>
      <c r="N594" s="26" t="s">
        <v>1611</v>
      </c>
      <c r="O594" s="22" t="str">
        <f>HYPERLINK("https://pbs.twimg.com/profile_images/3129843688/e5500180112e68d60587dc38d23e470f_normal.jpeg","View")</f>
        <v>View</v>
      </c>
      <c r="P594" s="27"/>
    </row>
    <row r="595">
      <c r="A595" s="14">
        <v>43031.080312499995</v>
      </c>
      <c r="B595" s="20" t="str">
        <f>HYPERLINK("https://twitter.com/marynicolefox","@marynicolefox")</f>
        <v>@marynicolefox</v>
      </c>
      <c r="C595" s="21" t="s">
        <v>1612</v>
      </c>
      <c r="D595" s="21" t="s">
        <v>1444</v>
      </c>
      <c r="E595" s="22" t="str">
        <f>HYPERLINK("https://twitter.com/marynicolefox/status/922386021429506048","922386021429506048")</f>
        <v>922386021429506048</v>
      </c>
      <c r="F595" s="23" t="s">
        <v>39</v>
      </c>
      <c r="G595" s="24">
        <v>1522.0</v>
      </c>
      <c r="H595" s="24">
        <v>2171.0</v>
      </c>
      <c r="I595" s="24">
        <v>50.0</v>
      </c>
      <c r="J595" s="24">
        <v>0.0</v>
      </c>
      <c r="K595" s="23" t="s">
        <v>34</v>
      </c>
      <c r="L595" s="25">
        <v>40197.55502314815</v>
      </c>
      <c r="M595" s="26" t="s">
        <v>1613</v>
      </c>
      <c r="N595" s="28"/>
      <c r="O595" s="22" t="str">
        <f>HYPERLINK("https://pbs.twimg.com/profile_images/898002956301336576/A7LyZUxv_normal.jpg","View")</f>
        <v>View</v>
      </c>
      <c r="P595" s="27"/>
    </row>
    <row r="596">
      <c r="A596" s="14">
        <v>43031.08033564815</v>
      </c>
      <c r="B596" s="20" t="str">
        <f>HYPERLINK("https://twitter.com/Mash_the_freaks","@Mash_the_freaks")</f>
        <v>@Mash_the_freaks</v>
      </c>
      <c r="C596" s="21" t="s">
        <v>1614</v>
      </c>
      <c r="D596" s="21" t="s">
        <v>1444</v>
      </c>
      <c r="E596" s="22" t="str">
        <f>HYPERLINK("https://twitter.com/Mash_the_freaks/status/922386030027620352","922386030027620352")</f>
        <v>922386030027620352</v>
      </c>
      <c r="F596" s="23" t="s">
        <v>33</v>
      </c>
      <c r="G596" s="24">
        <v>1291.0</v>
      </c>
      <c r="H596" s="24">
        <v>3233.0</v>
      </c>
      <c r="I596" s="24">
        <v>50.0</v>
      </c>
      <c r="J596" s="24">
        <v>0.0</v>
      </c>
      <c r="K596" s="23" t="s">
        <v>34</v>
      </c>
      <c r="L596" s="25">
        <v>40400.34122685185</v>
      </c>
      <c r="M596" s="26" t="s">
        <v>1615</v>
      </c>
      <c r="N596" s="26" t="s">
        <v>1616</v>
      </c>
      <c r="O596" s="22" t="str">
        <f>HYPERLINK("https://pbs.twimg.com/profile_images/589824780896837632/dfaxrmV6_normal.jpg","View")</f>
        <v>View</v>
      </c>
      <c r="P596" s="27"/>
    </row>
    <row r="597">
      <c r="A597" s="14">
        <v>43031.080462962964</v>
      </c>
      <c r="B597" s="20" t="str">
        <f>HYPERLINK("https://twitter.com/CharlieCamp6ell","@CharlieCamp6ell")</f>
        <v>@CharlieCamp6ell</v>
      </c>
      <c r="C597" s="21" t="s">
        <v>1617</v>
      </c>
      <c r="D597" s="21" t="s">
        <v>1618</v>
      </c>
      <c r="E597" s="22" t="str">
        <f>HYPERLINK("https://twitter.com/CharlieCamp6ell/status/922386075271675904","922386075271675904")</f>
        <v>922386075271675904</v>
      </c>
      <c r="F597" s="23" t="s">
        <v>55</v>
      </c>
      <c r="G597" s="24">
        <v>2935.0</v>
      </c>
      <c r="H597" s="24">
        <v>652.0</v>
      </c>
      <c r="I597" s="24">
        <v>0.0</v>
      </c>
      <c r="J597" s="24">
        <v>0.0</v>
      </c>
      <c r="K597" s="23" t="s">
        <v>34</v>
      </c>
      <c r="L597" s="25">
        <v>41250.03528935185</v>
      </c>
      <c r="M597" s="26" t="s">
        <v>1619</v>
      </c>
      <c r="N597" s="26" t="s">
        <v>1620</v>
      </c>
      <c r="O597" s="22" t="str">
        <f>HYPERLINK("https://pbs.twimg.com/profile_images/473840190037848065/7QITZR_o_normal.jpeg","View")</f>
        <v>View</v>
      </c>
      <c r="P597" s="27"/>
    </row>
    <row r="598">
      <c r="A598" s="14">
        <v>43031.0805324074</v>
      </c>
      <c r="B598" s="20" t="str">
        <f>HYPERLINK("https://twitter.com/youth4bihar","@youth4bihar")</f>
        <v>@youth4bihar</v>
      </c>
      <c r="C598" s="21" t="s">
        <v>1621</v>
      </c>
      <c r="D598" s="21" t="s">
        <v>42</v>
      </c>
      <c r="E598" s="22" t="str">
        <f>HYPERLINK("https://twitter.com/youth4bihar/status/922386100697538560","922386100697538560")</f>
        <v>922386100697538560</v>
      </c>
      <c r="F598" s="23" t="s">
        <v>33</v>
      </c>
      <c r="G598" s="24">
        <v>579.0</v>
      </c>
      <c r="H598" s="24">
        <v>3281.0</v>
      </c>
      <c r="I598" s="24">
        <v>8501.0</v>
      </c>
      <c r="J598" s="24">
        <v>0.0</v>
      </c>
      <c r="K598" s="23" t="s">
        <v>34</v>
      </c>
      <c r="L598" s="25">
        <v>42510.30329861111</v>
      </c>
      <c r="M598" s="26" t="s">
        <v>1622</v>
      </c>
      <c r="N598" s="26" t="s">
        <v>1623</v>
      </c>
      <c r="O598" s="22" t="str">
        <f>HYPERLINK("https://pbs.twimg.com/profile_images/777163545385414656/0BlbF6v5_normal.jpg","View")</f>
        <v>View</v>
      </c>
      <c r="P598" s="27"/>
    </row>
    <row r="599">
      <c r="A599" s="14">
        <v>43031.0805324074</v>
      </c>
      <c r="B599" s="20" t="str">
        <f>HYPERLINK("https://twitter.com/vdshry","@vdshry")</f>
        <v>@vdshry</v>
      </c>
      <c r="C599" s="21" t="s">
        <v>1624</v>
      </c>
      <c r="D599" s="21" t="s">
        <v>42</v>
      </c>
      <c r="E599" s="22" t="str">
        <f>HYPERLINK("https://twitter.com/vdshry/status/922386102006272000","922386102006272000")</f>
        <v>922386102006272000</v>
      </c>
      <c r="F599" s="23" t="s">
        <v>39</v>
      </c>
      <c r="G599" s="24">
        <v>112.0</v>
      </c>
      <c r="H599" s="24">
        <v>684.0</v>
      </c>
      <c r="I599" s="24">
        <v>8501.0</v>
      </c>
      <c r="J599" s="24">
        <v>0.0</v>
      </c>
      <c r="K599" s="23" t="s">
        <v>34</v>
      </c>
      <c r="L599" s="25">
        <v>40312.186319444445</v>
      </c>
      <c r="M599" s="26" t="s">
        <v>1625</v>
      </c>
      <c r="N599" s="26" t="s">
        <v>1626</v>
      </c>
      <c r="O599" s="22" t="str">
        <f>HYPERLINK("https://pbs.twimg.com/profile_images/833712336930226176/ishn346R_normal.jpg","View")</f>
        <v>View</v>
      </c>
      <c r="P599" s="27"/>
    </row>
    <row r="600">
      <c r="A600" s="14">
        <v>43031.08059027778</v>
      </c>
      <c r="B600" s="20" t="str">
        <f>HYPERLINK("https://twitter.com/lishih_h","@lishih_h")</f>
        <v>@lishih_h</v>
      </c>
      <c r="C600" s="21" t="s">
        <v>1627</v>
      </c>
      <c r="D600" s="21" t="s">
        <v>42</v>
      </c>
      <c r="E600" s="22" t="str">
        <f>HYPERLINK("https://twitter.com/lishih_h/status/922386122222661632","922386122222661632")</f>
        <v>922386122222661632</v>
      </c>
      <c r="F600" s="23" t="s">
        <v>33</v>
      </c>
      <c r="G600" s="24">
        <v>686.0</v>
      </c>
      <c r="H600" s="24">
        <v>245.0</v>
      </c>
      <c r="I600" s="24">
        <v>8501.0</v>
      </c>
      <c r="J600" s="24">
        <v>0.0</v>
      </c>
      <c r="K600" s="23" t="s">
        <v>34</v>
      </c>
      <c r="L600" s="25">
        <v>40883.93299768519</v>
      </c>
      <c r="M600" s="26" t="s">
        <v>1628</v>
      </c>
      <c r="N600" s="28"/>
      <c r="O600" s="22" t="str">
        <f>HYPERLINK("https://pbs.twimg.com/profile_images/849077104679563264/s4jNbkQd_normal.jpg","View")</f>
        <v>View</v>
      </c>
      <c r="P600" s="27"/>
    </row>
    <row r="601">
      <c r="A601" s="14">
        <v>43031.08059027778</v>
      </c>
      <c r="B601" s="20" t="str">
        <f>HYPERLINK("https://twitter.com/BanankoJanko","@BanankoJanko")</f>
        <v>@BanankoJanko</v>
      </c>
      <c r="C601" s="21" t="s">
        <v>1629</v>
      </c>
      <c r="D601" s="21" t="s">
        <v>1630</v>
      </c>
      <c r="E601" s="22" t="str">
        <f>HYPERLINK("https://twitter.com/BanankoJanko/status/922386122868740099","922386122868740099")</f>
        <v>922386122868740099</v>
      </c>
      <c r="F601" s="23" t="s">
        <v>187</v>
      </c>
      <c r="G601" s="24">
        <v>72.0</v>
      </c>
      <c r="H601" s="24">
        <v>53.0</v>
      </c>
      <c r="I601" s="24">
        <v>0.0</v>
      </c>
      <c r="J601" s="24">
        <v>0.0</v>
      </c>
      <c r="K601" s="23" t="s">
        <v>34</v>
      </c>
      <c r="L601" s="25">
        <v>42837.10114583334</v>
      </c>
      <c r="M601" s="28"/>
      <c r="N601" s="35" t="s">
        <v>1631</v>
      </c>
      <c r="O601" s="22" t="str">
        <f>HYPERLINK("https://pbs.twimg.com/profile_images/852669910123675651/CVUt6bXC_normal.jpg","View")</f>
        <v>View</v>
      </c>
      <c r="P601" s="27"/>
    </row>
    <row r="602">
      <c r="A602" s="14">
        <v>43031.080613425926</v>
      </c>
      <c r="B602" s="20" t="str">
        <f>HYPERLINK("https://twitter.com/MayankP98617867","@MayankP98617867")</f>
        <v>@MayankP98617867</v>
      </c>
      <c r="C602" s="21" t="s">
        <v>1632</v>
      </c>
      <c r="D602" s="21" t="s">
        <v>42</v>
      </c>
      <c r="E602" s="22" t="str">
        <f>HYPERLINK("https://twitter.com/MayankP98617867/status/922386131517181954","922386131517181954")</f>
        <v>922386131517181954</v>
      </c>
      <c r="F602" s="23" t="s">
        <v>33</v>
      </c>
      <c r="G602" s="24">
        <v>210.0</v>
      </c>
      <c r="H602" s="24">
        <v>104.0</v>
      </c>
      <c r="I602" s="24">
        <v>8501.0</v>
      </c>
      <c r="J602" s="24">
        <v>0.0</v>
      </c>
      <c r="K602" s="23" t="s">
        <v>34</v>
      </c>
      <c r="L602" s="25">
        <v>42258.15840277778</v>
      </c>
      <c r="M602" s="26" t="s">
        <v>1633</v>
      </c>
      <c r="N602" s="26" t="s">
        <v>1634</v>
      </c>
      <c r="O602" s="22" t="str">
        <f>HYPERLINK("https://pbs.twimg.com/profile_images/897114060285595649/5cCM0qV6_normal.jpg","View")</f>
        <v>View</v>
      </c>
      <c r="P602" s="27"/>
    </row>
    <row r="603">
      <c r="A603" s="14">
        <v>43031.08063657407</v>
      </c>
      <c r="B603" s="20" t="str">
        <f>HYPERLINK("https://twitter.com/mikeglasgowuk","@mikeglasgowuk")</f>
        <v>@mikeglasgowuk</v>
      </c>
      <c r="C603" s="21" t="s">
        <v>1635</v>
      </c>
      <c r="D603" s="21" t="s">
        <v>1444</v>
      </c>
      <c r="E603" s="22" t="str">
        <f>HYPERLINK("https://twitter.com/mikeglasgowuk/status/922386141076246528","922386141076246528")</f>
        <v>922386141076246528</v>
      </c>
      <c r="F603" s="23" t="s">
        <v>39</v>
      </c>
      <c r="G603" s="24">
        <v>1057.0</v>
      </c>
      <c r="H603" s="24">
        <v>849.0</v>
      </c>
      <c r="I603" s="24">
        <v>50.0</v>
      </c>
      <c r="J603" s="24">
        <v>0.0</v>
      </c>
      <c r="K603" s="23" t="s">
        <v>34</v>
      </c>
      <c r="L603" s="25">
        <v>41525.48394675926</v>
      </c>
      <c r="M603" s="28"/>
      <c r="N603" s="26" t="s">
        <v>1636</v>
      </c>
      <c r="O603" s="22" t="str">
        <f>HYPERLINK("https://pbs.twimg.com/profile_images/569849743292256256/hJvoFUIB_normal.jpeg","View")</f>
        <v>View</v>
      </c>
      <c r="P603" s="27"/>
    </row>
    <row r="604">
      <c r="A604" s="14">
        <v>43031.08068287037</v>
      </c>
      <c r="B604" s="20" t="str">
        <f>HYPERLINK("https://twitter.com/aj_jobs","@aj_jobs")</f>
        <v>@aj_jobs</v>
      </c>
      <c r="C604" s="21" t="s">
        <v>1637</v>
      </c>
      <c r="D604" s="21" t="s">
        <v>1638</v>
      </c>
      <c r="E604" s="22" t="str">
        <f>HYPERLINK("https://twitter.com/aj_jobs/status/922386157761126401","922386157761126401")</f>
        <v>922386157761126401</v>
      </c>
      <c r="F604" s="23" t="s">
        <v>33</v>
      </c>
      <c r="G604" s="24">
        <v>12335.0</v>
      </c>
      <c r="H604" s="24">
        <v>1248.0</v>
      </c>
      <c r="I604" s="24">
        <v>4.0</v>
      </c>
      <c r="J604" s="24">
        <v>1.0</v>
      </c>
      <c r="K604" s="23" t="s">
        <v>34</v>
      </c>
      <c r="L604" s="25">
        <v>40778.12054398148</v>
      </c>
      <c r="M604" s="26" t="s">
        <v>1639</v>
      </c>
      <c r="N604" s="32" t="s">
        <v>1640</v>
      </c>
      <c r="O604" s="22" t="str">
        <f>HYPERLINK("https://pbs.twimg.com/profile_images/914054617989767170/jIg5udZ2_normal.jpg","View")</f>
        <v>View</v>
      </c>
      <c r="P604" s="27"/>
    </row>
    <row r="605">
      <c r="A605" s="14">
        <v>43031.08069444445</v>
      </c>
      <c r="B605" s="20" t="str">
        <f>HYPERLINK("https://twitter.com/exfukayuki","@exfukayuki")</f>
        <v>@exfukayuki</v>
      </c>
      <c r="C605" s="21" t="s">
        <v>1641</v>
      </c>
      <c r="D605" s="21" t="s">
        <v>1642</v>
      </c>
      <c r="E605" s="22" t="str">
        <f>HYPERLINK("https://twitter.com/exfukayuki/status/922386161582014464","922386161582014464")</f>
        <v>922386161582014464</v>
      </c>
      <c r="F605" s="23" t="s">
        <v>55</v>
      </c>
      <c r="G605" s="24">
        <v>257.0</v>
      </c>
      <c r="H605" s="24">
        <v>280.0</v>
      </c>
      <c r="I605" s="24">
        <v>199.0</v>
      </c>
      <c r="J605" s="24">
        <v>0.0</v>
      </c>
      <c r="K605" s="23" t="s">
        <v>34</v>
      </c>
      <c r="L605" s="25">
        <v>40897.4746875</v>
      </c>
      <c r="M605" s="28"/>
      <c r="N605" s="26" t="s">
        <v>1643</v>
      </c>
      <c r="O605" s="22" t="str">
        <f>HYPERLINK("https://pbs.twimg.com/profile_images/602602057434988544/8CMBgkQS_normal.jpg","View")</f>
        <v>View</v>
      </c>
      <c r="P605" s="27"/>
    </row>
    <row r="606">
      <c r="A606" s="14">
        <v>43031.08070601852</v>
      </c>
      <c r="B606" s="20" t="str">
        <f>HYPERLINK("https://twitter.com/aollensa","@aollensa")</f>
        <v>@aollensa</v>
      </c>
      <c r="C606" s="21" t="s">
        <v>1644</v>
      </c>
      <c r="D606" s="21" t="s">
        <v>32</v>
      </c>
      <c r="E606" s="22" t="str">
        <f>HYPERLINK("https://twitter.com/aollensa/status/922386165562593285","922386165562593285")</f>
        <v>922386165562593285</v>
      </c>
      <c r="F606" s="23" t="s">
        <v>33</v>
      </c>
      <c r="G606" s="24">
        <v>1389.0</v>
      </c>
      <c r="H606" s="24">
        <v>327.0</v>
      </c>
      <c r="I606" s="24">
        <v>471.0</v>
      </c>
      <c r="J606" s="24">
        <v>0.0</v>
      </c>
      <c r="K606" s="23" t="s">
        <v>34</v>
      </c>
      <c r="L606" s="25">
        <v>42784.20958333333</v>
      </c>
      <c r="M606" s="26" t="s">
        <v>1645</v>
      </c>
      <c r="N606" s="26" t="s">
        <v>1646</v>
      </c>
      <c r="O606" s="22" t="str">
        <f>HYPERLINK("https://pbs.twimg.com/profile_images/917294691648811008/ZdJmgDD0_normal.jpg","View")</f>
        <v>View</v>
      </c>
      <c r="P606" s="27"/>
    </row>
    <row r="607">
      <c r="A607" s="14">
        <v>43031.08076388889</v>
      </c>
      <c r="B607" s="20" t="str">
        <f>HYPERLINK("https://twitter.com/aqytha_joobjip","@aqytha_joobjip")</f>
        <v>@aqytha_joobjip</v>
      </c>
      <c r="C607" s="21" t="s">
        <v>1094</v>
      </c>
      <c r="D607" s="21" t="s">
        <v>1647</v>
      </c>
      <c r="E607" s="22" t="str">
        <f>HYPERLINK("https://twitter.com/aqytha_joobjip/status/922386184583729152","922386184583729152")</f>
        <v>922386184583729152</v>
      </c>
      <c r="F607" s="23" t="s">
        <v>187</v>
      </c>
      <c r="G607" s="24">
        <v>1336.0</v>
      </c>
      <c r="H607" s="24">
        <v>1329.0</v>
      </c>
      <c r="I607" s="24">
        <v>0.0</v>
      </c>
      <c r="J607" s="24">
        <v>0.0</v>
      </c>
      <c r="K607" s="23" t="s">
        <v>34</v>
      </c>
      <c r="L607" s="25">
        <v>42816.851064814815</v>
      </c>
      <c r="M607" s="26" t="s">
        <v>1096</v>
      </c>
      <c r="N607" s="26" t="s">
        <v>1097</v>
      </c>
      <c r="O607" s="22" t="str">
        <f>HYPERLINK("https://pbs.twimg.com/profile_images/858603371510542336/I0ZwCR8u_normal.jpg","View")</f>
        <v>View</v>
      </c>
      <c r="P607" s="27"/>
    </row>
    <row r="608">
      <c r="A608" s="14">
        <v>43031.08084490741</v>
      </c>
      <c r="B608" s="20" t="str">
        <f>HYPERLINK("https://twitter.com/KarloMdz","@KarloMdz")</f>
        <v>@KarloMdz</v>
      </c>
      <c r="C608" s="21" t="s">
        <v>1648</v>
      </c>
      <c r="D608" s="21" t="s">
        <v>1649</v>
      </c>
      <c r="E608" s="22" t="str">
        <f>HYPERLINK("https://twitter.com/KarloMdz/status/922386216011563009","922386216011563009")</f>
        <v>922386216011563009</v>
      </c>
      <c r="F608" s="23" t="s">
        <v>187</v>
      </c>
      <c r="G608" s="24">
        <v>308.0</v>
      </c>
      <c r="H608" s="24">
        <v>137.0</v>
      </c>
      <c r="I608" s="24">
        <v>0.0</v>
      </c>
      <c r="J608" s="24">
        <v>0.0</v>
      </c>
      <c r="K608" s="23" t="s">
        <v>34</v>
      </c>
      <c r="L608" s="25">
        <v>42132.3644212963</v>
      </c>
      <c r="M608" s="26" t="s">
        <v>1650</v>
      </c>
      <c r="N608" s="26" t="s">
        <v>1651</v>
      </c>
      <c r="O608" s="22" t="str">
        <f>HYPERLINK("https://pbs.twimg.com/profile_images/830713335117127680/Q5qrinGt_normal.jpg","View")</f>
        <v>View</v>
      </c>
      <c r="P608" s="27"/>
    </row>
    <row r="609">
      <c r="A609" s="14">
        <v>43031.08085648148</v>
      </c>
      <c r="B609" s="20" t="str">
        <f>HYPERLINK("https://twitter.com/nairbecca","@nairbecca")</f>
        <v>@nairbecca</v>
      </c>
      <c r="C609" s="21" t="s">
        <v>1652</v>
      </c>
      <c r="D609" s="21" t="s">
        <v>1345</v>
      </c>
      <c r="E609" s="22" t="str">
        <f>HYPERLINK("https://twitter.com/nairbecca/status/922386217668407296","922386217668407296")</f>
        <v>922386217668407296</v>
      </c>
      <c r="F609" s="23" t="s">
        <v>55</v>
      </c>
      <c r="G609" s="24">
        <v>23.0</v>
      </c>
      <c r="H609" s="24">
        <v>102.0</v>
      </c>
      <c r="I609" s="24">
        <v>22.0</v>
      </c>
      <c r="J609" s="24">
        <v>0.0</v>
      </c>
      <c r="K609" s="23" t="s">
        <v>34</v>
      </c>
      <c r="L609" s="25">
        <v>42557.383356481485</v>
      </c>
      <c r="M609" s="26" t="s">
        <v>1653</v>
      </c>
      <c r="N609" s="26" t="s">
        <v>1654</v>
      </c>
      <c r="O609" s="22" t="str">
        <f>HYPERLINK("https://pbs.twimg.com/profile_images/919855639010205696/K8IhXWN2_normal.jpg","View")</f>
        <v>View</v>
      </c>
      <c r="P609" s="27"/>
    </row>
    <row r="610">
      <c r="A610" s="14">
        <v>43031.08087962963</v>
      </c>
      <c r="B610" s="20" t="str">
        <f>HYPERLINK("https://twitter.com/iamToksy","@iamToksy")</f>
        <v>@iamToksy</v>
      </c>
      <c r="C610" s="21" t="s">
        <v>1655</v>
      </c>
      <c r="D610" s="21" t="s">
        <v>1345</v>
      </c>
      <c r="E610" s="22" t="str">
        <f>HYPERLINK("https://twitter.com/iamToksy/status/922386227453681664","922386227453681664")</f>
        <v>922386227453681664</v>
      </c>
      <c r="F610" s="23" t="s">
        <v>33</v>
      </c>
      <c r="G610" s="24">
        <v>1131.0</v>
      </c>
      <c r="H610" s="24">
        <v>2171.0</v>
      </c>
      <c r="I610" s="24">
        <v>22.0</v>
      </c>
      <c r="J610" s="24">
        <v>0.0</v>
      </c>
      <c r="K610" s="23" t="s">
        <v>34</v>
      </c>
      <c r="L610" s="25">
        <v>41433.960868055554</v>
      </c>
      <c r="M610" s="28"/>
      <c r="N610" s="26" t="s">
        <v>1656</v>
      </c>
      <c r="O610" s="22" t="str">
        <f>HYPERLINK("https://pbs.twimg.com/profile_images/601123240480759808/otNH16C8_normal.jpg","View")</f>
        <v>View</v>
      </c>
      <c r="P610" s="27"/>
    </row>
    <row r="611">
      <c r="A611" s="14">
        <v>43031.08096064815</v>
      </c>
      <c r="B611" s="20" t="str">
        <f>HYPERLINK("https://twitter.com/varunsingh03","@varunsingh03")</f>
        <v>@varunsingh03</v>
      </c>
      <c r="C611" s="21" t="s">
        <v>1657</v>
      </c>
      <c r="D611" s="21" t="s">
        <v>163</v>
      </c>
      <c r="E611" s="22" t="str">
        <f>HYPERLINK("https://twitter.com/varunsingh03/status/922386255958048769","922386255958048769")</f>
        <v>922386255958048769</v>
      </c>
      <c r="F611" s="23" t="s">
        <v>33</v>
      </c>
      <c r="G611" s="24">
        <v>61.0</v>
      </c>
      <c r="H611" s="24">
        <v>145.0</v>
      </c>
      <c r="I611" s="24">
        <v>1005.0</v>
      </c>
      <c r="J611" s="24">
        <v>0.0</v>
      </c>
      <c r="K611" s="23" t="s">
        <v>34</v>
      </c>
      <c r="L611" s="25">
        <v>40001.32763888889</v>
      </c>
      <c r="M611" s="26" t="s">
        <v>1658</v>
      </c>
      <c r="N611" s="28"/>
      <c r="O611" s="22" t="str">
        <f>HYPERLINK("https://pbs.twimg.com/profile_images/463310967586033664/gpb8PcYp_normal.jpeg","View")</f>
        <v>View</v>
      </c>
      <c r="P611" s="27"/>
    </row>
    <row r="612">
      <c r="A612" s="14">
        <v>43031.08099537037</v>
      </c>
      <c r="B612" s="20" t="str">
        <f t="shared" ref="B612:B613" si="3">HYPERLINK("https://twitter.com/NewzBoxOffice","@NewzBoxOffice")</f>
        <v>@NewzBoxOffice</v>
      </c>
      <c r="C612" s="21" t="s">
        <v>595</v>
      </c>
      <c r="D612" s="21" t="s">
        <v>1659</v>
      </c>
      <c r="E612" s="22" t="str">
        <f>HYPERLINK("https://twitter.com/NewzBoxOffice/status/922386269690318848","922386269690318848")</f>
        <v>922386269690318848</v>
      </c>
      <c r="F612" s="23" t="s">
        <v>597</v>
      </c>
      <c r="G612" s="24">
        <v>2236.0</v>
      </c>
      <c r="H612" s="24">
        <v>874.0</v>
      </c>
      <c r="I612" s="24">
        <v>0.0</v>
      </c>
      <c r="J612" s="24">
        <v>0.0</v>
      </c>
      <c r="K612" s="23" t="s">
        <v>34</v>
      </c>
      <c r="L612" s="25">
        <v>41327.32587962963</v>
      </c>
      <c r="M612" s="28"/>
      <c r="N612" s="26" t="s">
        <v>598</v>
      </c>
      <c r="O612" s="22" t="str">
        <f t="shared" ref="O612:O613" si="4">HYPERLINK("https://pbs.twimg.com/profile_images/3771449721/283f324d48438c2b267d1ed9b229f675_normal.jpeg","View")</f>
        <v>View</v>
      </c>
      <c r="P612" s="27"/>
    </row>
    <row r="613">
      <c r="A613" s="14">
        <v>43031.08100694444</v>
      </c>
      <c r="B613" s="20" t="str">
        <f t="shared" si="3"/>
        <v>@NewzBoxOffice</v>
      </c>
      <c r="C613" s="21" t="s">
        <v>595</v>
      </c>
      <c r="D613" s="21" t="s">
        <v>1660</v>
      </c>
      <c r="E613" s="22" t="str">
        <f>HYPERLINK("https://twitter.com/NewzBoxOffice/status/922386274979405824","922386274979405824")</f>
        <v>922386274979405824</v>
      </c>
      <c r="F613" s="23" t="s">
        <v>597</v>
      </c>
      <c r="G613" s="24">
        <v>2236.0</v>
      </c>
      <c r="H613" s="24">
        <v>874.0</v>
      </c>
      <c r="I613" s="24">
        <v>0.0</v>
      </c>
      <c r="J613" s="24">
        <v>0.0</v>
      </c>
      <c r="K613" s="23" t="s">
        <v>34</v>
      </c>
      <c r="L613" s="25">
        <v>41327.32587962963</v>
      </c>
      <c r="M613" s="28"/>
      <c r="N613" s="26" t="s">
        <v>598</v>
      </c>
      <c r="O613" s="22" t="str">
        <f t="shared" si="4"/>
        <v>View</v>
      </c>
      <c r="P613" s="27"/>
    </row>
    <row r="614">
      <c r="A614" s="14">
        <v>43031.081041666665</v>
      </c>
      <c r="B614" s="20" t="str">
        <f>HYPERLINK("https://twitter.com/naz_YKH","@naz_YKH")</f>
        <v>@naz_YKH</v>
      </c>
      <c r="C614" s="21" t="s">
        <v>1661</v>
      </c>
      <c r="D614" s="21" t="s">
        <v>1444</v>
      </c>
      <c r="E614" s="22" t="str">
        <f>HYPERLINK("https://twitter.com/naz_YKH/status/922386284751884288","922386284751884288")</f>
        <v>922386284751884288</v>
      </c>
      <c r="F614" s="23" t="s">
        <v>230</v>
      </c>
      <c r="G614" s="24">
        <v>747.0</v>
      </c>
      <c r="H614" s="24">
        <v>2751.0</v>
      </c>
      <c r="I614" s="24">
        <v>50.0</v>
      </c>
      <c r="J614" s="24">
        <v>0.0</v>
      </c>
      <c r="K614" s="23" t="s">
        <v>34</v>
      </c>
      <c r="L614" s="25">
        <v>40341.75414351852</v>
      </c>
      <c r="M614" s="28"/>
      <c r="N614" s="26" t="s">
        <v>1662</v>
      </c>
      <c r="O614" s="22" t="str">
        <f>HYPERLINK("https://pbs.twimg.com/profile_images/854870521204297728/SUuiEFyK_normal.jpg","View")</f>
        <v>View</v>
      </c>
      <c r="P614" s="27"/>
    </row>
    <row r="615">
      <c r="A615" s="14">
        <v>43031.08109953704</v>
      </c>
      <c r="B615" s="20" t="str">
        <f>HYPERLINK("https://twitter.com/ca5fRlw92RAgGPw","@ca5fRlw92RAgGPw")</f>
        <v>@ca5fRlw92RAgGPw</v>
      </c>
      <c r="C615" s="21" t="s">
        <v>1663</v>
      </c>
      <c r="D615" s="21" t="s">
        <v>213</v>
      </c>
      <c r="E615" s="22" t="str">
        <f>HYPERLINK("https://twitter.com/ca5fRlw92RAgGPw/status/922386309305417728","922386309305417728")</f>
        <v>922386309305417728</v>
      </c>
      <c r="F615" s="23" t="s">
        <v>635</v>
      </c>
      <c r="G615" s="24">
        <v>1.0</v>
      </c>
      <c r="H615" s="24">
        <v>25.0</v>
      </c>
      <c r="I615" s="24">
        <v>94.0</v>
      </c>
      <c r="J615" s="24">
        <v>0.0</v>
      </c>
      <c r="K615" s="23" t="s">
        <v>34</v>
      </c>
      <c r="L615" s="25">
        <v>42992.952465277776</v>
      </c>
      <c r="M615" s="28"/>
      <c r="N615" s="28"/>
      <c r="O615" s="22" t="str">
        <f>HYPERLINK("https://pbs.twimg.com/profile_images/922741162556801024/4EtPDwtP_normal.jpg","View")</f>
        <v>View</v>
      </c>
      <c r="P615" s="27"/>
    </row>
    <row r="616">
      <c r="A616" s="14">
        <v>43031.0812037037</v>
      </c>
      <c r="B616" s="20" t="str">
        <f>HYPERLINK("https://twitter.com/Ahurastan","@Ahurastan")</f>
        <v>@Ahurastan</v>
      </c>
      <c r="C616" s="21" t="s">
        <v>1664</v>
      </c>
      <c r="D616" s="21" t="s">
        <v>1444</v>
      </c>
      <c r="E616" s="22" t="str">
        <f>HYPERLINK("https://twitter.com/Ahurastan/status/922386343925346305","922386343925346305")</f>
        <v>922386343925346305</v>
      </c>
      <c r="F616" s="23" t="s">
        <v>1665</v>
      </c>
      <c r="G616" s="24">
        <v>4005.0</v>
      </c>
      <c r="H616" s="24">
        <v>4865.0</v>
      </c>
      <c r="I616" s="24">
        <v>50.0</v>
      </c>
      <c r="J616" s="24">
        <v>0.0</v>
      </c>
      <c r="K616" s="23" t="s">
        <v>34</v>
      </c>
      <c r="L616" s="25">
        <v>41778.410729166666</v>
      </c>
      <c r="M616" s="26" t="s">
        <v>1666</v>
      </c>
      <c r="N616" s="26" t="s">
        <v>1667</v>
      </c>
      <c r="O616" s="22" t="str">
        <f>HYPERLINK("https://pbs.twimg.com/profile_images/901644653660966913/uNoPtfG1_normal.jpg","View")</f>
        <v>View</v>
      </c>
      <c r="P616" s="27"/>
    </row>
    <row r="617">
      <c r="A617" s="14">
        <v>43031.08126157407</v>
      </c>
      <c r="B617" s="20" t="str">
        <f>HYPERLINK("https://twitter.com/NandKishor151","@NandKishor151")</f>
        <v>@NandKishor151</v>
      </c>
      <c r="C617" s="21" t="s">
        <v>1668</v>
      </c>
      <c r="D617" s="21" t="s">
        <v>513</v>
      </c>
      <c r="E617" s="22" t="str">
        <f>HYPERLINK("https://twitter.com/NandKishor151/status/922386367576809472","922386367576809472")</f>
        <v>922386367576809472</v>
      </c>
      <c r="F617" s="23" t="s">
        <v>33</v>
      </c>
      <c r="G617" s="24">
        <v>25.0</v>
      </c>
      <c r="H617" s="24">
        <v>134.0</v>
      </c>
      <c r="I617" s="24">
        <v>101.0</v>
      </c>
      <c r="J617" s="24">
        <v>0.0</v>
      </c>
      <c r="K617" s="23" t="s">
        <v>34</v>
      </c>
      <c r="L617" s="25">
        <v>42999.080243055556</v>
      </c>
      <c r="M617" s="26" t="s">
        <v>1669</v>
      </c>
      <c r="N617" s="26" t="s">
        <v>1670</v>
      </c>
      <c r="O617" s="22" t="str">
        <f>HYPERLINK("https://pbs.twimg.com/profile_images/911109978093527040/LjFZHsEq_normal.jpg","View")</f>
        <v>View</v>
      </c>
      <c r="P617" s="27"/>
    </row>
    <row r="618">
      <c r="A618" s="14">
        <v>43031.08127314815</v>
      </c>
      <c r="B618" s="20" t="str">
        <f>HYPERLINK("https://twitter.com/shashikantvrm","@shashikantvrm")</f>
        <v>@shashikantvrm</v>
      </c>
      <c r="C618" s="21" t="s">
        <v>1671</v>
      </c>
      <c r="D618" s="21" t="s">
        <v>42</v>
      </c>
      <c r="E618" s="22" t="str">
        <f>HYPERLINK("https://twitter.com/shashikantvrm/status/922386372475936768","922386372475936768")</f>
        <v>922386372475936768</v>
      </c>
      <c r="F618" s="23" t="s">
        <v>33</v>
      </c>
      <c r="G618" s="24">
        <v>125.0</v>
      </c>
      <c r="H618" s="24">
        <v>232.0</v>
      </c>
      <c r="I618" s="24">
        <v>8501.0</v>
      </c>
      <c r="J618" s="24">
        <v>0.0</v>
      </c>
      <c r="K618" s="23" t="s">
        <v>34</v>
      </c>
      <c r="L618" s="25">
        <v>40093.90701388889</v>
      </c>
      <c r="M618" s="26" t="s">
        <v>1672</v>
      </c>
      <c r="N618" s="28"/>
      <c r="O618" s="22" t="str">
        <f>HYPERLINK("https://pbs.twimg.com/profile_images/464988591253225472/4RAslAHe_normal.jpeg","View")</f>
        <v>View</v>
      </c>
      <c r="P618" s="27"/>
    </row>
    <row r="619">
      <c r="A619" s="14">
        <v>43031.08131944445</v>
      </c>
      <c r="B619" s="20" t="str">
        <f>HYPERLINK("https://twitter.com/Patrickoguna","@Patrickoguna")</f>
        <v>@Patrickoguna</v>
      </c>
      <c r="C619" s="21" t="s">
        <v>1673</v>
      </c>
      <c r="D619" s="21" t="s">
        <v>32</v>
      </c>
      <c r="E619" s="22" t="str">
        <f>HYPERLINK("https://twitter.com/Patrickoguna/status/922386387256582144","922386387256582144")</f>
        <v>922386387256582144</v>
      </c>
      <c r="F619" s="23" t="s">
        <v>33</v>
      </c>
      <c r="G619" s="24">
        <v>346.0</v>
      </c>
      <c r="H619" s="24">
        <v>566.0</v>
      </c>
      <c r="I619" s="24">
        <v>471.0</v>
      </c>
      <c r="J619" s="24">
        <v>0.0</v>
      </c>
      <c r="K619" s="23" t="s">
        <v>34</v>
      </c>
      <c r="L619" s="25">
        <v>41637.01556712963</v>
      </c>
      <c r="M619" s="26" t="s">
        <v>1674</v>
      </c>
      <c r="N619" s="26" t="s">
        <v>1675</v>
      </c>
      <c r="O619" s="22" t="str">
        <f>HYPERLINK("https://pbs.twimg.com/profile_images/638316220891201537/p6AXc-go_normal.jpg","View")</f>
        <v>View</v>
      </c>
      <c r="P619" s="27"/>
    </row>
    <row r="620">
      <c r="A620" s="14">
        <v>43031.08133101852</v>
      </c>
      <c r="B620" s="20" t="str">
        <f>HYPERLINK("https://twitter.com/Rick4312","@Rick4312")</f>
        <v>@Rick4312</v>
      </c>
      <c r="C620" s="21" t="s">
        <v>1515</v>
      </c>
      <c r="D620" s="21" t="s">
        <v>1237</v>
      </c>
      <c r="E620" s="22" t="str">
        <f>HYPERLINK("https://twitter.com/Rick4312/status/922386391622979584","922386391622979584")</f>
        <v>922386391622979584</v>
      </c>
      <c r="F620" s="23" t="s">
        <v>33</v>
      </c>
      <c r="G620" s="24">
        <v>350.0</v>
      </c>
      <c r="H620" s="24">
        <v>341.0</v>
      </c>
      <c r="I620" s="24">
        <v>4.0</v>
      </c>
      <c r="J620" s="24">
        <v>0.0</v>
      </c>
      <c r="K620" s="23" t="s">
        <v>34</v>
      </c>
      <c r="L620" s="25">
        <v>39926.19918981481</v>
      </c>
      <c r="M620" s="28"/>
      <c r="N620" s="26" t="s">
        <v>1516</v>
      </c>
      <c r="O620" s="22" t="str">
        <f>HYPERLINK("https://pbs.twimg.com/profile_images/378800000606169554/baf9e73de18cf5538945e01f8656543c_normal.png","View")</f>
        <v>View</v>
      </c>
      <c r="P620" s="27"/>
    </row>
    <row r="621">
      <c r="A621" s="14">
        <v>43031.08134259259</v>
      </c>
      <c r="B621" s="20" t="str">
        <f>HYPERLINK("https://twitter.com/Hiteshahirr","@Hiteshahirr")</f>
        <v>@Hiteshahirr</v>
      </c>
      <c r="C621" s="21" t="s">
        <v>1676</v>
      </c>
      <c r="D621" s="21" t="s">
        <v>42</v>
      </c>
      <c r="E621" s="22" t="str">
        <f>HYPERLINK("https://twitter.com/Hiteshahirr/status/922386393879347201","922386393879347201")</f>
        <v>922386393879347201</v>
      </c>
      <c r="F621" s="23" t="s">
        <v>39</v>
      </c>
      <c r="G621" s="24">
        <v>4.0</v>
      </c>
      <c r="H621" s="24">
        <v>4.0</v>
      </c>
      <c r="I621" s="24">
        <v>8501.0</v>
      </c>
      <c r="J621" s="24">
        <v>0.0</v>
      </c>
      <c r="K621" s="23" t="s">
        <v>34</v>
      </c>
      <c r="L621" s="25">
        <v>42847.438472222224</v>
      </c>
      <c r="M621" s="26" t="s">
        <v>1677</v>
      </c>
      <c r="N621" s="28"/>
      <c r="O621" s="22" t="str">
        <f>HYPERLINK("https://pbs.twimg.com/profile_images/855837155264004098/d2R69rOH_normal.jpg","View")</f>
        <v>View</v>
      </c>
      <c r="P621" s="27"/>
    </row>
    <row r="622">
      <c r="A622" s="14">
        <v>43031.08134259259</v>
      </c>
      <c r="B622" s="20" t="str">
        <f>HYPERLINK("https://twitter.com/RahulBurnwal29","@RahulBurnwal29")</f>
        <v>@RahulBurnwal29</v>
      </c>
      <c r="C622" s="21" t="s">
        <v>1678</v>
      </c>
      <c r="D622" s="21" t="s">
        <v>42</v>
      </c>
      <c r="E622" s="22" t="str">
        <f>HYPERLINK("https://twitter.com/RahulBurnwal29/status/922386396404367360","922386396404367360")</f>
        <v>922386396404367360</v>
      </c>
      <c r="F622" s="23" t="s">
        <v>33</v>
      </c>
      <c r="G622" s="24">
        <v>31.0</v>
      </c>
      <c r="H622" s="24">
        <v>154.0</v>
      </c>
      <c r="I622" s="24">
        <v>8501.0</v>
      </c>
      <c r="J622" s="24">
        <v>0.0</v>
      </c>
      <c r="K622" s="23" t="s">
        <v>34</v>
      </c>
      <c r="L622" s="25">
        <v>42634.12269675926</v>
      </c>
      <c r="M622" s="26" t="s">
        <v>1679</v>
      </c>
      <c r="N622" s="26" t="s">
        <v>1680</v>
      </c>
      <c r="O622" s="22" t="str">
        <f>HYPERLINK("https://pbs.twimg.com/profile_images/842802640882974721/7DPLUqJ2_normal.jpg","View")</f>
        <v>View</v>
      </c>
      <c r="P622" s="27"/>
    </row>
    <row r="623">
      <c r="A623" s="14">
        <v>43031.08135416667</v>
      </c>
      <c r="B623" s="20" t="str">
        <f>HYPERLINK("https://twitter.com/ceica_rocha","@ceica_rocha")</f>
        <v>@ceica_rocha</v>
      </c>
      <c r="C623" s="21" t="s">
        <v>1681</v>
      </c>
      <c r="D623" s="21" t="s">
        <v>1444</v>
      </c>
      <c r="E623" s="22" t="str">
        <f>HYPERLINK("https://twitter.com/ceica_rocha/status/922386399508221959","922386399508221959")</f>
        <v>922386399508221959</v>
      </c>
      <c r="F623" s="23" t="s">
        <v>33</v>
      </c>
      <c r="G623" s="24">
        <v>540.0</v>
      </c>
      <c r="H623" s="24">
        <v>1177.0</v>
      </c>
      <c r="I623" s="24">
        <v>50.0</v>
      </c>
      <c r="J623" s="24">
        <v>0.0</v>
      </c>
      <c r="K623" s="23" t="s">
        <v>34</v>
      </c>
      <c r="L623" s="25">
        <v>42158.59177083333</v>
      </c>
      <c r="M623" s="28"/>
      <c r="N623" s="26" t="s">
        <v>1682</v>
      </c>
      <c r="O623" s="22" t="str">
        <f>HYPERLINK("https://pbs.twimg.com/profile_images/804690602738745346/obqwSdO8_normal.jpg","View")</f>
        <v>View</v>
      </c>
      <c r="P623" s="27"/>
    </row>
    <row r="624">
      <c r="A624" s="14">
        <v>43031.08137731481</v>
      </c>
      <c r="B624" s="20" t="str">
        <f>HYPERLINK("https://twitter.com/thaitvnews","@thaitvnews")</f>
        <v>@thaitvnews</v>
      </c>
      <c r="C624" s="21" t="s">
        <v>1683</v>
      </c>
      <c r="D624" s="21" t="s">
        <v>1684</v>
      </c>
      <c r="E624" s="22" t="str">
        <f>HYPERLINK("https://twitter.com/thaitvnews/status/922386406575693824","922386406575693824")</f>
        <v>922386406575693824</v>
      </c>
      <c r="F624" s="23" t="s">
        <v>187</v>
      </c>
      <c r="G624" s="24">
        <v>34592.0</v>
      </c>
      <c r="H624" s="24">
        <v>21909.0</v>
      </c>
      <c r="I624" s="24">
        <v>0.0</v>
      </c>
      <c r="J624" s="24">
        <v>0.0</v>
      </c>
      <c r="K624" s="23" t="s">
        <v>34</v>
      </c>
      <c r="L624" s="25">
        <v>40210.80048611111</v>
      </c>
      <c r="M624" s="28"/>
      <c r="N624" s="26" t="s">
        <v>1685</v>
      </c>
      <c r="O624" s="22" t="str">
        <f>HYPERLINK("https://pbs.twimg.com/profile_images/867228703096532994/JD5niRf4_normal.jpg","View")</f>
        <v>View</v>
      </c>
      <c r="P624" s="27"/>
    </row>
    <row r="625">
      <c r="A625" s="14">
        <v>43031.08142361111</v>
      </c>
      <c r="B625" s="20" t="str">
        <f>HYPERLINK("https://twitter.com/channel1america","@channel1america")</f>
        <v>@channel1america</v>
      </c>
      <c r="C625" s="21" t="s">
        <v>903</v>
      </c>
      <c r="D625" s="21" t="s">
        <v>1686</v>
      </c>
      <c r="E625" s="22" t="str">
        <f>HYPERLINK("https://twitter.com/channel1america/status/922386424896409601","922386424896409601")</f>
        <v>922386424896409601</v>
      </c>
      <c r="F625" s="23" t="s">
        <v>187</v>
      </c>
      <c r="G625" s="24">
        <v>574.0</v>
      </c>
      <c r="H625" s="24">
        <v>1093.0</v>
      </c>
      <c r="I625" s="24">
        <v>0.0</v>
      </c>
      <c r="J625" s="24">
        <v>0.0</v>
      </c>
      <c r="K625" s="23" t="s">
        <v>34</v>
      </c>
      <c r="L625" s="25">
        <v>41490.48872685185</v>
      </c>
      <c r="M625" s="26" t="s">
        <v>905</v>
      </c>
      <c r="N625" s="26" t="s">
        <v>906</v>
      </c>
      <c r="O625" s="22" t="str">
        <f>HYPERLINK("https://pbs.twimg.com/profile_images/419040982844207104/Rlky9pGx_normal.jpeg","View")</f>
        <v>View</v>
      </c>
      <c r="P625" s="27"/>
    </row>
    <row r="626">
      <c r="A626" s="14">
        <v>43031.08143518519</v>
      </c>
      <c r="B626" s="20" t="str">
        <f>HYPERLINK("https://twitter.com/dominic_ruto","@dominic_ruto")</f>
        <v>@dominic_ruto</v>
      </c>
      <c r="C626" s="21" t="s">
        <v>1687</v>
      </c>
      <c r="D626" s="21" t="s">
        <v>32</v>
      </c>
      <c r="E626" s="22" t="str">
        <f>HYPERLINK("https://twitter.com/dominic_ruto/status/922386430172782593","922386430172782593")</f>
        <v>922386430172782593</v>
      </c>
      <c r="F626" s="23" t="s">
        <v>33</v>
      </c>
      <c r="G626" s="24">
        <v>553.0</v>
      </c>
      <c r="H626" s="24">
        <v>936.0</v>
      </c>
      <c r="I626" s="24">
        <v>471.0</v>
      </c>
      <c r="J626" s="24">
        <v>0.0</v>
      </c>
      <c r="K626" s="23" t="s">
        <v>34</v>
      </c>
      <c r="L626" s="25">
        <v>40927.09005787037</v>
      </c>
      <c r="M626" s="28"/>
      <c r="N626" s="26" t="s">
        <v>1688</v>
      </c>
      <c r="O626" s="22" t="str">
        <f>HYPERLINK("https://pbs.twimg.com/profile_images/837941257775218688/_DPP96eh_normal.jpg","View")</f>
        <v>View</v>
      </c>
      <c r="P626" s="27"/>
    </row>
    <row r="627">
      <c r="A627" s="14">
        <v>43031.08146990741</v>
      </c>
      <c r="B627" s="20" t="str">
        <f>HYPERLINK("https://twitter.com/Lawsonbulk","@Lawsonbulk")</f>
        <v>@Lawsonbulk</v>
      </c>
      <c r="C627" s="21" t="s">
        <v>1689</v>
      </c>
      <c r="D627" s="21" t="s">
        <v>1690</v>
      </c>
      <c r="E627" s="22" t="str">
        <f>HYPERLINK("https://twitter.com/Lawsonbulk/status/922386442948632576","922386442948632576")</f>
        <v>922386442948632576</v>
      </c>
      <c r="F627" s="23" t="s">
        <v>55</v>
      </c>
      <c r="G627" s="24">
        <v>11648.0</v>
      </c>
      <c r="H627" s="24">
        <v>8120.0</v>
      </c>
      <c r="I627" s="24">
        <v>1.0</v>
      </c>
      <c r="J627" s="24">
        <v>0.0</v>
      </c>
      <c r="K627" s="23" t="s">
        <v>34</v>
      </c>
      <c r="L627" s="25">
        <v>39892.715219907404</v>
      </c>
      <c r="M627" s="26" t="s">
        <v>1691</v>
      </c>
      <c r="N627" s="26" t="s">
        <v>1692</v>
      </c>
      <c r="O627" s="22" t="str">
        <f>HYPERLINK("https://pbs.twimg.com/profile_images/1165717176/e2fd589b-9cda-4f29-a669-e97f5283d76d_normal.jpg","View")</f>
        <v>View</v>
      </c>
      <c r="P627" s="27"/>
    </row>
    <row r="628">
      <c r="A628" s="14">
        <v>43031.08148148148</v>
      </c>
      <c r="B628" s="20" t="str">
        <f>HYPERLINK("https://twitter.com/flawlessmagazin","@flawlessmagazin")</f>
        <v>@flawlessmagazin</v>
      </c>
      <c r="C628" s="21" t="s">
        <v>1693</v>
      </c>
      <c r="D628" s="21" t="s">
        <v>1694</v>
      </c>
      <c r="E628" s="22" t="str">
        <f>HYPERLINK("https://twitter.com/flawlessmagazin/status/922386444517339137","922386444517339137")</f>
        <v>922386444517339137</v>
      </c>
      <c r="F628" s="23" t="s">
        <v>187</v>
      </c>
      <c r="G628" s="24">
        <v>1787.0</v>
      </c>
      <c r="H628" s="24">
        <v>1950.0</v>
      </c>
      <c r="I628" s="24">
        <v>2.0</v>
      </c>
      <c r="J628" s="24">
        <v>2.0</v>
      </c>
      <c r="K628" s="23" t="s">
        <v>34</v>
      </c>
      <c r="L628" s="25">
        <v>40697.17054398148</v>
      </c>
      <c r="M628" s="26" t="s">
        <v>1695</v>
      </c>
      <c r="N628" s="26" t="s">
        <v>1696</v>
      </c>
      <c r="O628" s="22" t="str">
        <f>HYPERLINK("https://pbs.twimg.com/profile_images/485404294523285505/cSC66Hh__normal.jpeg","View")</f>
        <v>View</v>
      </c>
      <c r="P628" s="27"/>
    </row>
    <row r="629">
      <c r="A629" s="14">
        <v>43031.0815162037</v>
      </c>
      <c r="B629" s="20" t="str">
        <f>HYPERLINK("https://twitter.com/ATHREYAG","@ATHREYAG")</f>
        <v>@ATHREYAG</v>
      </c>
      <c r="C629" s="21" t="s">
        <v>1697</v>
      </c>
      <c r="D629" s="21" t="s">
        <v>42</v>
      </c>
      <c r="E629" s="22" t="str">
        <f>HYPERLINK("https://twitter.com/ATHREYAG/status/922386457796296704","922386457796296704")</f>
        <v>922386457796296704</v>
      </c>
      <c r="F629" s="23" t="s">
        <v>33</v>
      </c>
      <c r="G629" s="24">
        <v>2258.0</v>
      </c>
      <c r="H629" s="24">
        <v>4910.0</v>
      </c>
      <c r="I629" s="24">
        <v>8501.0</v>
      </c>
      <c r="J629" s="24">
        <v>0.0</v>
      </c>
      <c r="K629" s="23" t="s">
        <v>34</v>
      </c>
      <c r="L629" s="25">
        <v>39994.41244212963</v>
      </c>
      <c r="M629" s="26" t="s">
        <v>1698</v>
      </c>
      <c r="N629" s="26" t="s">
        <v>1699</v>
      </c>
      <c r="O629" s="22" t="str">
        <f>HYPERLINK("https://pbs.twimg.com/profile_images/847649866767417345/ZdltsWW8_normal.jpg","View")</f>
        <v>View</v>
      </c>
      <c r="P629" s="27"/>
    </row>
    <row r="630">
      <c r="A630" s="14">
        <v>43031.08153935186</v>
      </c>
      <c r="B630" s="20" t="str">
        <f>HYPERLINK("https://twitter.com/NewzBoxOffice","@NewzBoxOffice")</f>
        <v>@NewzBoxOffice</v>
      </c>
      <c r="C630" s="21" t="s">
        <v>595</v>
      </c>
      <c r="D630" s="21" t="s">
        <v>1700</v>
      </c>
      <c r="E630" s="22" t="str">
        <f>HYPERLINK("https://twitter.com/NewzBoxOffice/status/922386468034826247","922386468034826247")</f>
        <v>922386468034826247</v>
      </c>
      <c r="F630" s="23" t="s">
        <v>597</v>
      </c>
      <c r="G630" s="24">
        <v>2236.0</v>
      </c>
      <c r="H630" s="24">
        <v>874.0</v>
      </c>
      <c r="I630" s="24">
        <v>1.0</v>
      </c>
      <c r="J630" s="24">
        <v>0.0</v>
      </c>
      <c r="K630" s="23" t="s">
        <v>34</v>
      </c>
      <c r="L630" s="25">
        <v>41327.32587962963</v>
      </c>
      <c r="M630" s="28"/>
      <c r="N630" s="26" t="s">
        <v>598</v>
      </c>
      <c r="O630" s="22" t="str">
        <f>HYPERLINK("https://pbs.twimg.com/profile_images/3771449721/283f324d48438c2b267d1ed9b229f675_normal.jpeg","View")</f>
        <v>View</v>
      </c>
      <c r="P630" s="27"/>
    </row>
    <row r="631">
      <c r="A631" s="14">
        <v>43031.08153935186</v>
      </c>
      <c r="B631" s="20" t="str">
        <f>HYPERLINK("https://twitter.com/sarjukalaria","@sarjukalaria")</f>
        <v>@sarjukalaria</v>
      </c>
      <c r="C631" s="21" t="s">
        <v>1701</v>
      </c>
      <c r="D631" s="21" t="s">
        <v>42</v>
      </c>
      <c r="E631" s="22" t="str">
        <f>HYPERLINK("https://twitter.com/sarjukalaria/status/922386468076535808","922386468076535808")</f>
        <v>922386468076535808</v>
      </c>
      <c r="F631" s="23" t="s">
        <v>55</v>
      </c>
      <c r="G631" s="24">
        <v>879.0</v>
      </c>
      <c r="H631" s="24">
        <v>820.0</v>
      </c>
      <c r="I631" s="24">
        <v>8501.0</v>
      </c>
      <c r="J631" s="24">
        <v>0.0</v>
      </c>
      <c r="K631" s="23" t="s">
        <v>34</v>
      </c>
      <c r="L631" s="25">
        <v>40020.00173611111</v>
      </c>
      <c r="M631" s="26" t="s">
        <v>441</v>
      </c>
      <c r="N631" s="26" t="s">
        <v>1702</v>
      </c>
      <c r="O631" s="22" t="str">
        <f>HYPERLINK("https://pbs.twimg.com/profile_images/746575400109752321/6cn73ubE_normal.jpg","View")</f>
        <v>View</v>
      </c>
      <c r="P631" s="27"/>
    </row>
    <row r="632">
      <c r="A632" s="14">
        <v>43031.08157407407</v>
      </c>
      <c r="B632" s="20" t="str">
        <f>HYPERLINK("https://twitter.com/nakashima1106","@nakashima1106")</f>
        <v>@nakashima1106</v>
      </c>
      <c r="C632" s="21" t="s">
        <v>1588</v>
      </c>
      <c r="D632" s="21" t="s">
        <v>1345</v>
      </c>
      <c r="E632" s="22" t="str">
        <f>HYPERLINK("https://twitter.com/nakashima1106/status/922386478058967042","922386478058967042")</f>
        <v>922386478058967042</v>
      </c>
      <c r="F632" s="23" t="s">
        <v>230</v>
      </c>
      <c r="G632" s="24">
        <v>1011.0</v>
      </c>
      <c r="H632" s="24">
        <v>1892.0</v>
      </c>
      <c r="I632" s="24">
        <v>22.0</v>
      </c>
      <c r="J632" s="24">
        <v>0.0</v>
      </c>
      <c r="K632" s="23" t="s">
        <v>34</v>
      </c>
      <c r="L632" s="25">
        <v>40870.00510416667</v>
      </c>
      <c r="M632" s="26" t="s">
        <v>1589</v>
      </c>
      <c r="N632" s="26" t="s">
        <v>1590</v>
      </c>
      <c r="O632" s="22" t="str">
        <f>HYPERLINK("https://pbs.twimg.com/profile_images/673135978073067520/iNAt7cIB_normal.jpg","View")</f>
        <v>View</v>
      </c>
      <c r="P632" s="27"/>
    </row>
    <row r="633">
      <c r="A633" s="14">
        <v>43031.08159722222</v>
      </c>
      <c r="B633" s="20" t="str">
        <f>HYPERLINK("https://twitter.com/neelu1961","@neelu1961")</f>
        <v>@neelu1961</v>
      </c>
      <c r="C633" s="21" t="s">
        <v>1703</v>
      </c>
      <c r="D633" s="21" t="s">
        <v>42</v>
      </c>
      <c r="E633" s="22" t="str">
        <f>HYPERLINK("https://twitter.com/neelu1961/status/922386487676506112","922386487676506112")</f>
        <v>922386487676506112</v>
      </c>
      <c r="F633" s="23" t="s">
        <v>33</v>
      </c>
      <c r="G633" s="24">
        <v>8289.0</v>
      </c>
      <c r="H633" s="24">
        <v>7308.0</v>
      </c>
      <c r="I633" s="24">
        <v>8501.0</v>
      </c>
      <c r="J633" s="24">
        <v>0.0</v>
      </c>
      <c r="K633" s="23" t="s">
        <v>34</v>
      </c>
      <c r="L633" s="25">
        <v>42189.23290509259</v>
      </c>
      <c r="M633" s="26" t="s">
        <v>1704</v>
      </c>
      <c r="N633" s="26" t="s">
        <v>1705</v>
      </c>
      <c r="O633" s="22" t="str">
        <f>HYPERLINK("https://pbs.twimg.com/profile_images/841959699398459392/lLAlpN1U_normal.jpg","View")</f>
        <v>View</v>
      </c>
      <c r="P633" s="27"/>
    </row>
    <row r="634">
      <c r="A634" s="14">
        <v>43031.08162037037</v>
      </c>
      <c r="B634" s="20" t="str">
        <f>HYPERLINK("https://twitter.com/MaganSwami","@MaganSwami")</f>
        <v>@MaganSwami</v>
      </c>
      <c r="C634" s="21" t="s">
        <v>1706</v>
      </c>
      <c r="D634" s="21" t="s">
        <v>42</v>
      </c>
      <c r="E634" s="22" t="str">
        <f>HYPERLINK("https://twitter.com/MaganSwami/status/922386496119742464","922386496119742464")</f>
        <v>922386496119742464</v>
      </c>
      <c r="F634" s="23" t="s">
        <v>39</v>
      </c>
      <c r="G634" s="24">
        <v>107.0</v>
      </c>
      <c r="H634" s="24">
        <v>1324.0</v>
      </c>
      <c r="I634" s="24">
        <v>8501.0</v>
      </c>
      <c r="J634" s="24">
        <v>0.0</v>
      </c>
      <c r="K634" s="23" t="s">
        <v>34</v>
      </c>
      <c r="L634" s="25">
        <v>42336.06878472222</v>
      </c>
      <c r="M634" s="26" t="s">
        <v>1707</v>
      </c>
      <c r="N634" s="26" t="s">
        <v>1708</v>
      </c>
      <c r="O634" s="22" t="str">
        <f>HYPERLINK("https://pbs.twimg.com/profile_images/767256467795771392/ngd6hWt0_normal.jpg","View")</f>
        <v>View</v>
      </c>
      <c r="P634" s="27"/>
    </row>
    <row r="635">
      <c r="A635" s="14">
        <v>43031.08163194444</v>
      </c>
      <c r="B635" s="20" t="str">
        <f>HYPERLINK("https://twitter.com/Selenetheone","@Selenetheone")</f>
        <v>@Selenetheone</v>
      </c>
      <c r="C635" s="21" t="s">
        <v>1434</v>
      </c>
      <c r="D635" s="21" t="s">
        <v>1709</v>
      </c>
      <c r="E635" s="22" t="str">
        <f>HYPERLINK("https://twitter.com/Selenetheone/status/922386500775538688","922386500775538688")</f>
        <v>922386500775538688</v>
      </c>
      <c r="F635" s="23" t="s">
        <v>187</v>
      </c>
      <c r="G635" s="24">
        <v>13624.0</v>
      </c>
      <c r="H635" s="24">
        <v>12683.0</v>
      </c>
      <c r="I635" s="24">
        <v>0.0</v>
      </c>
      <c r="J635" s="24">
        <v>0.0</v>
      </c>
      <c r="K635" s="23" t="s">
        <v>34</v>
      </c>
      <c r="L635" s="25">
        <v>41591.60938657408</v>
      </c>
      <c r="M635" s="26" t="s">
        <v>1436</v>
      </c>
      <c r="N635" s="26" t="s">
        <v>1437</v>
      </c>
      <c r="O635" s="22" t="str">
        <f>HYPERLINK("https://pbs.twimg.com/profile_images/888727222416179201/TwwKx7dB_normal.jpg","View")</f>
        <v>View</v>
      </c>
      <c r="P635" s="27"/>
    </row>
    <row r="636">
      <c r="A636" s="14">
        <v>43031.08167824074</v>
      </c>
      <c r="B636" s="20" t="str">
        <f>HYPERLINK("https://twitter.com/abhi_bpl78","@abhi_bpl78")</f>
        <v>@abhi_bpl78</v>
      </c>
      <c r="C636" s="21" t="s">
        <v>1710</v>
      </c>
      <c r="D636" s="21" t="s">
        <v>42</v>
      </c>
      <c r="E636" s="22" t="str">
        <f>HYPERLINK("https://twitter.com/abhi_bpl78/status/922386517200211968","922386517200211968")</f>
        <v>922386517200211968</v>
      </c>
      <c r="F636" s="23" t="s">
        <v>33</v>
      </c>
      <c r="G636" s="24">
        <v>674.0</v>
      </c>
      <c r="H636" s="24">
        <v>617.0</v>
      </c>
      <c r="I636" s="24">
        <v>8501.0</v>
      </c>
      <c r="J636" s="24">
        <v>0.0</v>
      </c>
      <c r="K636" s="23" t="s">
        <v>34</v>
      </c>
      <c r="L636" s="25">
        <v>42362.330034722225</v>
      </c>
      <c r="M636" s="26" t="s">
        <v>1711</v>
      </c>
      <c r="N636" s="26" t="s">
        <v>1712</v>
      </c>
      <c r="O636" s="22" t="str">
        <f>HYPERLINK("https://pbs.twimg.com/profile_images/916406587136253952/XDlqzKuN_normal.jpg","View")</f>
        <v>View</v>
      </c>
      <c r="P636" s="27"/>
    </row>
    <row r="637">
      <c r="A637" s="14">
        <v>43031.08170138889</v>
      </c>
      <c r="B637" s="20" t="str">
        <f>HYPERLINK("https://twitter.com/VikashVatsa3","@VikashVatsa3")</f>
        <v>@VikashVatsa3</v>
      </c>
      <c r="C637" s="21" t="s">
        <v>1713</v>
      </c>
      <c r="D637" s="21" t="s">
        <v>42</v>
      </c>
      <c r="E637" s="22" t="str">
        <f>HYPERLINK("https://twitter.com/VikashVatsa3/status/922386524653551616","922386524653551616")</f>
        <v>922386524653551616</v>
      </c>
      <c r="F637" s="23" t="s">
        <v>33</v>
      </c>
      <c r="G637" s="24">
        <v>4.0</v>
      </c>
      <c r="H637" s="24">
        <v>146.0</v>
      </c>
      <c r="I637" s="24">
        <v>8501.0</v>
      </c>
      <c r="J637" s="24">
        <v>0.0</v>
      </c>
      <c r="K637" s="23" t="s">
        <v>34</v>
      </c>
      <c r="L637" s="25">
        <v>43030.130625000005</v>
      </c>
      <c r="M637" s="26" t="s">
        <v>1714</v>
      </c>
      <c r="N637" s="26" t="s">
        <v>1715</v>
      </c>
      <c r="O637" s="22" t="str">
        <f>HYPERLINK("https://pbs.twimg.com/profile_images/922122649257390080/tvGxV-Hp_normal.jpg","View")</f>
        <v>View</v>
      </c>
      <c r="P637" s="27"/>
    </row>
    <row r="638">
      <c r="A638" s="14">
        <v>43031.08172453704</v>
      </c>
      <c r="B638" s="20" t="str">
        <f>HYPERLINK("https://twitter.com/keshda","@keshda")</f>
        <v>@keshda</v>
      </c>
      <c r="C638" s="21" t="s">
        <v>1716</v>
      </c>
      <c r="D638" s="21" t="s">
        <v>42</v>
      </c>
      <c r="E638" s="22" t="str">
        <f>HYPERLINK("https://twitter.com/keshda/status/922386532790448128","922386532790448128")</f>
        <v>922386532790448128</v>
      </c>
      <c r="F638" s="23" t="s">
        <v>33</v>
      </c>
      <c r="G638" s="24">
        <v>2200.0</v>
      </c>
      <c r="H638" s="24">
        <v>683.0</v>
      </c>
      <c r="I638" s="24">
        <v>8501.0</v>
      </c>
      <c r="J638" s="24">
        <v>0.0</v>
      </c>
      <c r="K638" s="23" t="s">
        <v>34</v>
      </c>
      <c r="L638" s="25">
        <v>40179.15673611111</v>
      </c>
      <c r="M638" s="28"/>
      <c r="N638" s="26" t="s">
        <v>1717</v>
      </c>
      <c r="O638" s="22" t="str">
        <f>HYPERLINK("https://pbs.twimg.com/profile_images/800594215029702656/Ggoy-JQb_normal.jpg","View")</f>
        <v>View</v>
      </c>
      <c r="P638" s="27"/>
    </row>
    <row r="639">
      <c r="A639" s="14">
        <v>43031.08175925926</v>
      </c>
      <c r="B639" s="20" t="str">
        <f>HYPERLINK("https://twitter.com/chetan_41","@chetan_41")</f>
        <v>@chetan_41</v>
      </c>
      <c r="C639" s="21" t="s">
        <v>1718</v>
      </c>
      <c r="D639" s="21" t="s">
        <v>42</v>
      </c>
      <c r="E639" s="22" t="str">
        <f>HYPERLINK("https://twitter.com/chetan_41/status/922386546480705536","922386546480705536")</f>
        <v>922386546480705536</v>
      </c>
      <c r="F639" s="23" t="s">
        <v>33</v>
      </c>
      <c r="G639" s="24">
        <v>30.0</v>
      </c>
      <c r="H639" s="24">
        <v>298.0</v>
      </c>
      <c r="I639" s="24">
        <v>8501.0</v>
      </c>
      <c r="J639" s="24">
        <v>0.0</v>
      </c>
      <c r="K639" s="23" t="s">
        <v>34</v>
      </c>
      <c r="L639" s="25">
        <v>41715.429756944446</v>
      </c>
      <c r="M639" s="26" t="s">
        <v>1719</v>
      </c>
      <c r="N639" s="28"/>
      <c r="O639" s="22" t="str">
        <f>HYPERLINK("https://pbs.twimg.com/profile_images/867235454424428545/ZibJ_d8j_normal.jpg","View")</f>
        <v>View</v>
      </c>
      <c r="P639" s="27"/>
    </row>
    <row r="640">
      <c r="A640" s="14">
        <v>43031.08180555556</v>
      </c>
      <c r="B640" s="20" t="str">
        <f>HYPERLINK("https://twitter.com/wanjamafitaa","@wanjamafitaa")</f>
        <v>@wanjamafitaa</v>
      </c>
      <c r="C640" s="21" t="s">
        <v>1720</v>
      </c>
      <c r="D640" s="21" t="s">
        <v>32</v>
      </c>
      <c r="E640" s="22" t="str">
        <f>HYPERLINK("https://twitter.com/wanjamafitaa/status/922386562121420800","922386562121420800")</f>
        <v>922386562121420800</v>
      </c>
      <c r="F640" s="23" t="s">
        <v>33</v>
      </c>
      <c r="G640" s="24">
        <v>211.0</v>
      </c>
      <c r="H640" s="24">
        <v>403.0</v>
      </c>
      <c r="I640" s="24">
        <v>471.0</v>
      </c>
      <c r="J640" s="24">
        <v>0.0</v>
      </c>
      <c r="K640" s="23" t="s">
        <v>34</v>
      </c>
      <c r="L640" s="25">
        <v>40879.983553240745</v>
      </c>
      <c r="M640" s="26" t="s">
        <v>1721</v>
      </c>
      <c r="N640" s="26" t="s">
        <v>1722</v>
      </c>
      <c r="O640" s="22" t="str">
        <f>HYPERLINK("https://pbs.twimg.com/profile_images/917092629468327938/3qnQ9uW6_normal.jpg","View")</f>
        <v>View</v>
      </c>
      <c r="P640" s="27"/>
    </row>
    <row r="641">
      <c r="A641" s="14">
        <v>43031.08181712963</v>
      </c>
      <c r="B641" s="20" t="str">
        <f>HYPERLINK("https://twitter.com/BloombergTV","@BloombergTV")</f>
        <v>@BloombergTV</v>
      </c>
      <c r="C641" s="21" t="s">
        <v>1723</v>
      </c>
      <c r="D641" s="21" t="s">
        <v>1724</v>
      </c>
      <c r="E641" s="22" t="str">
        <f>HYPERLINK("https://twitter.com/BloombergTV/status/922386569604026368","922386569604026368")</f>
        <v>922386569604026368</v>
      </c>
      <c r="F641" s="23" t="s">
        <v>1103</v>
      </c>
      <c r="G641" s="24">
        <v>452743.0</v>
      </c>
      <c r="H641" s="24">
        <v>458.0</v>
      </c>
      <c r="I641" s="24">
        <v>1.0</v>
      </c>
      <c r="J641" s="24">
        <v>1.0</v>
      </c>
      <c r="K641" s="23" t="s">
        <v>34</v>
      </c>
      <c r="L641" s="25">
        <v>39927.48997685185</v>
      </c>
      <c r="M641" s="26" t="s">
        <v>389</v>
      </c>
      <c r="N641" s="26" t="s">
        <v>1725</v>
      </c>
      <c r="O641" s="22" t="str">
        <f>HYPERLINK("https://pbs.twimg.com/profile_images/714801760632770560/7My2hMBt_normal.jpg","View")</f>
        <v>View</v>
      </c>
      <c r="P641" s="27"/>
    </row>
    <row r="642">
      <c r="A642" s="14">
        <v>43031.081828703704</v>
      </c>
      <c r="B642" s="20" t="str">
        <f>HYPERLINK("https://twitter.com/BloombergAsia","@BloombergAsia")</f>
        <v>@BloombergAsia</v>
      </c>
      <c r="C642" s="21" t="s">
        <v>1726</v>
      </c>
      <c r="D642" s="21" t="s">
        <v>1727</v>
      </c>
      <c r="E642" s="22" t="str">
        <f>HYPERLINK("https://twitter.com/BloombergAsia/status/922386571164254209","922386571164254209")</f>
        <v>922386571164254209</v>
      </c>
      <c r="F642" s="23" t="s">
        <v>1103</v>
      </c>
      <c r="G642" s="24">
        <v>28807.0</v>
      </c>
      <c r="H642" s="24">
        <v>97.0</v>
      </c>
      <c r="I642" s="24">
        <v>3.0</v>
      </c>
      <c r="J642" s="24">
        <v>2.0</v>
      </c>
      <c r="K642" s="23" t="s">
        <v>34</v>
      </c>
      <c r="L642" s="25">
        <v>41052.238483796296</v>
      </c>
      <c r="M642" s="28"/>
      <c r="N642" s="26" t="s">
        <v>1728</v>
      </c>
      <c r="O642" s="22" t="str">
        <f>HYPERLINK("https://pbs.twimg.com/profile_images/778129630284902401/gXjFkqGM_normal.jpg","View")</f>
        <v>View</v>
      </c>
      <c r="P642" s="27"/>
    </row>
    <row r="643">
      <c r="A643" s="14">
        <v>43031.08184027778</v>
      </c>
      <c r="B643" s="20" t="str">
        <f>HYPERLINK("https://twitter.com/rajeshdubey148","@rajeshdubey148")</f>
        <v>@rajeshdubey148</v>
      </c>
      <c r="C643" s="21" t="s">
        <v>1729</v>
      </c>
      <c r="D643" s="21" t="s">
        <v>42</v>
      </c>
      <c r="E643" s="22" t="str">
        <f>HYPERLINK("https://twitter.com/rajeshdubey148/status/922386575438225409","922386575438225409")</f>
        <v>922386575438225409</v>
      </c>
      <c r="F643" s="23" t="s">
        <v>39</v>
      </c>
      <c r="G643" s="24">
        <v>33.0</v>
      </c>
      <c r="H643" s="24">
        <v>168.0</v>
      </c>
      <c r="I643" s="24">
        <v>8501.0</v>
      </c>
      <c r="J643" s="24">
        <v>0.0</v>
      </c>
      <c r="K643" s="23" t="s">
        <v>34</v>
      </c>
      <c r="L643" s="25">
        <v>40255.49763888889</v>
      </c>
      <c r="M643" s="28"/>
      <c r="N643" s="28"/>
      <c r="O643" s="22" t="str">
        <f>HYPERLINK("https://pbs.twimg.com/profile_images/464473556730912768/5m7jAici_normal.jpeg","View")</f>
        <v>View</v>
      </c>
      <c r="P643" s="27"/>
    </row>
    <row r="644">
      <c r="A644" s="14">
        <v>43031.08188657407</v>
      </c>
      <c r="B644" s="20" t="str">
        <f>HYPERLINK("https://twitter.com/mvkgshinya","@mvkgshinya")</f>
        <v>@mvkgshinya</v>
      </c>
      <c r="C644" s="21" t="s">
        <v>1730</v>
      </c>
      <c r="D644" s="21" t="s">
        <v>1731</v>
      </c>
      <c r="E644" s="22" t="str">
        <f>HYPERLINK("https://twitter.com/mvkgshinya/status/922386590944468993","922386590944468993")</f>
        <v>922386590944468993</v>
      </c>
      <c r="F644" s="23" t="s">
        <v>33</v>
      </c>
      <c r="G644" s="24">
        <v>1013.0</v>
      </c>
      <c r="H644" s="24">
        <v>1109.0</v>
      </c>
      <c r="I644" s="24">
        <v>2.0</v>
      </c>
      <c r="J644" s="24">
        <v>0.0</v>
      </c>
      <c r="K644" s="23" t="s">
        <v>34</v>
      </c>
      <c r="L644" s="25">
        <v>40941.261921296296</v>
      </c>
      <c r="M644" s="26" t="s">
        <v>1732</v>
      </c>
      <c r="N644" s="26" t="s">
        <v>1733</v>
      </c>
      <c r="O644" s="22" t="str">
        <f>HYPERLINK("https://pbs.twimg.com/profile_images/727446279802867712/fivaqPog_normal.jpg","View")</f>
        <v>View</v>
      </c>
      <c r="P644" s="27"/>
    </row>
    <row r="645">
      <c r="A645" s="14">
        <v>43031.081921296296</v>
      </c>
      <c r="B645" s="20" t="str">
        <f>HYPERLINK("https://twitter.com/vedprdubey","@vedprdubey")</f>
        <v>@vedprdubey</v>
      </c>
      <c r="C645" s="21" t="s">
        <v>1734</v>
      </c>
      <c r="D645" s="21" t="s">
        <v>42</v>
      </c>
      <c r="E645" s="22" t="str">
        <f>HYPERLINK("https://twitter.com/vedprdubey/status/922386603586097153","922386603586097153")</f>
        <v>922386603586097153</v>
      </c>
      <c r="F645" s="23" t="s">
        <v>39</v>
      </c>
      <c r="G645" s="24">
        <v>57.0</v>
      </c>
      <c r="H645" s="24">
        <v>167.0</v>
      </c>
      <c r="I645" s="24">
        <v>8501.0</v>
      </c>
      <c r="J645" s="24">
        <v>0.0</v>
      </c>
      <c r="K645" s="23" t="s">
        <v>34</v>
      </c>
      <c r="L645" s="25">
        <v>40749.984201388885</v>
      </c>
      <c r="M645" s="26" t="s">
        <v>1735</v>
      </c>
      <c r="N645" s="26" t="s">
        <v>1736</v>
      </c>
      <c r="O645" s="22" t="str">
        <f>HYPERLINK("https://pbs.twimg.com/profile_images/838775860211560449/XDvO0GsN_normal.jpg","View")</f>
        <v>View</v>
      </c>
      <c r="P645" s="27"/>
    </row>
    <row r="646">
      <c r="A646" s="14">
        <v>43031.081979166665</v>
      </c>
      <c r="B646" s="20" t="str">
        <f>HYPERLINK("https://twitter.com/Chickenrap2","@Chickenrap2")</f>
        <v>@Chickenrap2</v>
      </c>
      <c r="C646" s="21" t="s">
        <v>1737</v>
      </c>
      <c r="D646" s="21" t="s">
        <v>1444</v>
      </c>
      <c r="E646" s="22" t="str">
        <f>HYPERLINK("https://twitter.com/Chickenrap2/status/922386624977108992","922386624977108992")</f>
        <v>922386624977108992</v>
      </c>
      <c r="F646" s="23" t="s">
        <v>33</v>
      </c>
      <c r="G646" s="24">
        <v>34.0</v>
      </c>
      <c r="H646" s="24">
        <v>319.0</v>
      </c>
      <c r="I646" s="24">
        <v>50.0</v>
      </c>
      <c r="J646" s="24">
        <v>0.0</v>
      </c>
      <c r="K646" s="23" t="s">
        <v>34</v>
      </c>
      <c r="L646" s="25">
        <v>43011.13270833333</v>
      </c>
      <c r="M646" s="26" t="s">
        <v>1738</v>
      </c>
      <c r="N646" s="26" t="s">
        <v>1739</v>
      </c>
      <c r="O646" s="22" t="str">
        <f>HYPERLINK("https://pbs.twimg.com/profile_images/922820231889805312/8PzgN8_W_normal.jpg","View")</f>
        <v>View</v>
      </c>
      <c r="P646" s="27"/>
    </row>
    <row r="647">
      <c r="A647" s="14">
        <v>43031.08200231481</v>
      </c>
      <c r="B647" s="20" t="str">
        <f>HYPERLINK("https://twitter.com/hpvarunmehrotra","@hpvarunmehrotra")</f>
        <v>@hpvarunmehrotra</v>
      </c>
      <c r="C647" s="21" t="s">
        <v>1740</v>
      </c>
      <c r="D647" s="21" t="s">
        <v>42</v>
      </c>
      <c r="E647" s="22" t="str">
        <f>HYPERLINK("https://twitter.com/hpvarunmehrotra/status/922386633441161217","922386633441161217")</f>
        <v>922386633441161217</v>
      </c>
      <c r="F647" s="23" t="s">
        <v>39</v>
      </c>
      <c r="G647" s="24">
        <v>722.0</v>
      </c>
      <c r="H647" s="24">
        <v>2610.0</v>
      </c>
      <c r="I647" s="24">
        <v>8501.0</v>
      </c>
      <c r="J647" s="24">
        <v>0.0</v>
      </c>
      <c r="K647" s="23" t="s">
        <v>34</v>
      </c>
      <c r="L647" s="25">
        <v>40319.87832175926</v>
      </c>
      <c r="M647" s="26" t="s">
        <v>1741</v>
      </c>
      <c r="N647" s="26" t="s">
        <v>1742</v>
      </c>
      <c r="O647" s="22" t="str">
        <f>HYPERLINK("https://pbs.twimg.com/profile_images/636483259841417216/nOcJxaY3_normal.jpg","View")</f>
        <v>View</v>
      </c>
      <c r="P647" s="27"/>
    </row>
    <row r="648">
      <c r="A648" s="14">
        <v>43031.082025462965</v>
      </c>
      <c r="B648" s="20" t="str">
        <f>HYPERLINK("https://twitter.com/Reubensullivan9","@Reubensullivan9")</f>
        <v>@Reubensullivan9</v>
      </c>
      <c r="C648" s="21" t="s">
        <v>1743</v>
      </c>
      <c r="D648" s="21" t="s">
        <v>1744</v>
      </c>
      <c r="E648" s="22" t="str">
        <f>HYPERLINK("https://twitter.com/Reubensullivan9/status/922386641599303680","922386641599303680")</f>
        <v>922386641599303680</v>
      </c>
      <c r="F648" s="23" t="s">
        <v>39</v>
      </c>
      <c r="G648" s="24">
        <v>3887.0</v>
      </c>
      <c r="H648" s="24">
        <v>4996.0</v>
      </c>
      <c r="I648" s="24">
        <v>1.0</v>
      </c>
      <c r="J648" s="24">
        <v>0.0</v>
      </c>
      <c r="K648" s="23" t="s">
        <v>34</v>
      </c>
      <c r="L648" s="25">
        <v>42731.75425925926</v>
      </c>
      <c r="M648" s="26" t="s">
        <v>68</v>
      </c>
      <c r="N648" s="26" t="s">
        <v>1745</v>
      </c>
      <c r="O648" s="22" t="str">
        <f>HYPERLINK("https://pbs.twimg.com/profile_images/818518813914386433/fZVkm5k7_normal.jpg","View")</f>
        <v>View</v>
      </c>
      <c r="P648" s="27"/>
    </row>
    <row r="649">
      <c r="A649" s="14">
        <v>43031.082025462965</v>
      </c>
      <c r="B649" s="20" t="str">
        <f>HYPERLINK("https://twitter.com/NoorFuadF1","@NoorFuadF1")</f>
        <v>@NoorFuadF1</v>
      </c>
      <c r="C649" s="21" t="s">
        <v>1746</v>
      </c>
      <c r="D649" s="21" t="s">
        <v>1747</v>
      </c>
      <c r="E649" s="22" t="str">
        <f>HYPERLINK("https://twitter.com/NoorFuadF1/status/922386643226574848","922386643226574848")</f>
        <v>922386643226574848</v>
      </c>
      <c r="F649" s="23" t="s">
        <v>33</v>
      </c>
      <c r="G649" s="24">
        <v>57.0</v>
      </c>
      <c r="H649" s="24">
        <v>524.0</v>
      </c>
      <c r="I649" s="24">
        <v>41.0</v>
      </c>
      <c r="J649" s="24">
        <v>0.0</v>
      </c>
      <c r="K649" s="23" t="s">
        <v>34</v>
      </c>
      <c r="L649" s="25">
        <v>42572.898634259254</v>
      </c>
      <c r="M649" s="26" t="s">
        <v>1748</v>
      </c>
      <c r="N649" s="26" t="s">
        <v>1749</v>
      </c>
      <c r="O649" s="22" t="str">
        <f>HYPERLINK("https://pbs.twimg.com/profile_images/756389333297303552/5KiYaeKq_normal.jpg","View")</f>
        <v>View</v>
      </c>
      <c r="P649" s="27"/>
    </row>
    <row r="650">
      <c r="A650" s="14">
        <v>43031.082025462965</v>
      </c>
      <c r="B650" s="20" t="str">
        <f>HYPERLINK("https://twitter.com/krunox123","@krunox123")</f>
        <v>@krunox123</v>
      </c>
      <c r="C650" s="21" t="s">
        <v>1750</v>
      </c>
      <c r="D650" s="21" t="s">
        <v>1751</v>
      </c>
      <c r="E650" s="22" t="str">
        <f>HYPERLINK("https://twitter.com/krunox123/status/922386643348344832","922386643348344832")</f>
        <v>922386643348344832</v>
      </c>
      <c r="F650" s="23" t="s">
        <v>187</v>
      </c>
      <c r="G650" s="24">
        <v>10220.0</v>
      </c>
      <c r="H650" s="24">
        <v>2.0</v>
      </c>
      <c r="I650" s="24">
        <v>0.0</v>
      </c>
      <c r="J650" s="24">
        <v>0.0</v>
      </c>
      <c r="K650" s="23" t="s">
        <v>34</v>
      </c>
      <c r="L650" s="25">
        <v>40938.22789351852</v>
      </c>
      <c r="M650" s="26" t="s">
        <v>1752</v>
      </c>
      <c r="N650" s="26" t="s">
        <v>1753</v>
      </c>
      <c r="O650" s="22" t="str">
        <f>HYPERLINK("https://pbs.twimg.com/profile_images/824952382618349568/2SFIkM2x_normal.jpg","View")</f>
        <v>View</v>
      </c>
      <c r="P650" s="27"/>
    </row>
    <row r="651">
      <c r="A651" s="14">
        <v>43031.082037037035</v>
      </c>
      <c r="B651" s="20" t="str">
        <f>HYPERLINK("https://twitter.com/TBSingh5","@TBSingh5")</f>
        <v>@TBSingh5</v>
      </c>
      <c r="C651" s="21" t="s">
        <v>1754</v>
      </c>
      <c r="D651" s="21" t="s">
        <v>42</v>
      </c>
      <c r="E651" s="22" t="str">
        <f>HYPERLINK("https://twitter.com/TBSingh5/status/922386649169801217","922386649169801217")</f>
        <v>922386649169801217</v>
      </c>
      <c r="F651" s="23" t="s">
        <v>33</v>
      </c>
      <c r="G651" s="24">
        <v>114.0</v>
      </c>
      <c r="H651" s="24">
        <v>222.0</v>
      </c>
      <c r="I651" s="24">
        <v>8501.0</v>
      </c>
      <c r="J651" s="24">
        <v>0.0</v>
      </c>
      <c r="K651" s="23" t="s">
        <v>34</v>
      </c>
      <c r="L651" s="25">
        <v>42329.03063657407</v>
      </c>
      <c r="M651" s="28"/>
      <c r="N651" s="26" t="s">
        <v>1755</v>
      </c>
      <c r="O651" s="22" t="str">
        <f>HYPERLINK("https://pbs.twimg.com/profile_images/667994131445055488/h51nopkn_normal.jpg","View")</f>
        <v>View</v>
      </c>
      <c r="P651" s="27"/>
    </row>
    <row r="652">
      <c r="A652" s="14">
        <v>43031.082129629634</v>
      </c>
      <c r="B652" s="20" t="str">
        <f>HYPERLINK("https://twitter.com/seina_moe","@seina_moe")</f>
        <v>@seina_moe</v>
      </c>
      <c r="C652" s="21" t="s">
        <v>1756</v>
      </c>
      <c r="D652" s="21" t="s">
        <v>1444</v>
      </c>
      <c r="E652" s="22" t="str">
        <f>HYPERLINK("https://twitter.com/seina_moe/status/922386679884689409","922386679884689409")</f>
        <v>922386679884689409</v>
      </c>
      <c r="F652" s="23" t="s">
        <v>39</v>
      </c>
      <c r="G652" s="24">
        <v>186.0</v>
      </c>
      <c r="H652" s="24">
        <v>368.0</v>
      </c>
      <c r="I652" s="24">
        <v>50.0</v>
      </c>
      <c r="J652" s="24">
        <v>0.0</v>
      </c>
      <c r="K652" s="23" t="s">
        <v>34</v>
      </c>
      <c r="L652" s="25">
        <v>41989.937581018516</v>
      </c>
      <c r="M652" s="26" t="s">
        <v>1757</v>
      </c>
      <c r="N652" s="26" t="s">
        <v>1758</v>
      </c>
      <c r="O652" s="22" t="str">
        <f>HYPERLINK("https://pbs.twimg.com/profile_images/804858446931574784/WWktH1VS_normal.jpg","View")</f>
        <v>View</v>
      </c>
      <c r="P652" s="27"/>
    </row>
    <row r="653">
      <c r="A653" s="14">
        <v>43031.082129629634</v>
      </c>
      <c r="B653" s="20" t="str">
        <f>HYPERLINK("https://twitter.com/jaykushsmodi","@jaykushsmodi")</f>
        <v>@jaykushsmodi</v>
      </c>
      <c r="C653" s="21" t="s">
        <v>1759</v>
      </c>
      <c r="D653" s="21" t="s">
        <v>42</v>
      </c>
      <c r="E653" s="22" t="str">
        <f>HYPERLINK("https://twitter.com/jaykushsmodi/status/922386681201692672","922386681201692672")</f>
        <v>922386681201692672</v>
      </c>
      <c r="F653" s="23" t="s">
        <v>33</v>
      </c>
      <c r="G653" s="24">
        <v>916.0</v>
      </c>
      <c r="H653" s="24">
        <v>1378.0</v>
      </c>
      <c r="I653" s="24">
        <v>8501.0</v>
      </c>
      <c r="J653" s="24">
        <v>0.0</v>
      </c>
      <c r="K653" s="23" t="s">
        <v>34</v>
      </c>
      <c r="L653" s="25">
        <v>40817.03916666667</v>
      </c>
      <c r="M653" s="26" t="s">
        <v>1760</v>
      </c>
      <c r="N653" s="26" t="s">
        <v>1761</v>
      </c>
      <c r="O653" s="22" t="str">
        <f>HYPERLINK("https://pbs.twimg.com/profile_images/887184700179046400/pG1uP0dB_normal.jpg","View")</f>
        <v>View</v>
      </c>
      <c r="P653" s="27"/>
    </row>
    <row r="654">
      <c r="A654" s="14">
        <v>43031.082141203704</v>
      </c>
      <c r="B654" s="20" t="str">
        <f>HYPERLINK("https://twitter.com/sitifatimahnet","@sitifatimahnet")</f>
        <v>@sitifatimahnet</v>
      </c>
      <c r="C654" s="21" t="s">
        <v>1762</v>
      </c>
      <c r="D654" s="21" t="s">
        <v>1763</v>
      </c>
      <c r="E654" s="22" t="str">
        <f>HYPERLINK("https://twitter.com/sitifatimahnet/status/922386684603523072","922386684603523072")</f>
        <v>922386684603523072</v>
      </c>
      <c r="F654" s="23" t="s">
        <v>187</v>
      </c>
      <c r="G654" s="24">
        <v>309.0</v>
      </c>
      <c r="H654" s="24">
        <v>27.0</v>
      </c>
      <c r="I654" s="24">
        <v>0.0</v>
      </c>
      <c r="J654" s="24">
        <v>0.0</v>
      </c>
      <c r="K654" s="23" t="s">
        <v>34</v>
      </c>
      <c r="L654" s="25">
        <v>42698.43719907408</v>
      </c>
      <c r="M654" s="26" t="s">
        <v>1764</v>
      </c>
      <c r="N654" s="26" t="s">
        <v>1765</v>
      </c>
      <c r="O654" s="22" t="str">
        <f>HYPERLINK("https://pbs.twimg.com/profile_images/897683241594912769/-rSDzg9T_normal.jpg","View")</f>
        <v>View</v>
      </c>
      <c r="P654" s="27"/>
    </row>
    <row r="655">
      <c r="A655" s="14">
        <v>43031.08215277777</v>
      </c>
      <c r="B655" s="20" t="str">
        <f>HYPERLINK("https://twitter.com/AnoopSi45495876","@AnoopSi45495876")</f>
        <v>@AnoopSi45495876</v>
      </c>
      <c r="C655" s="21" t="s">
        <v>1766</v>
      </c>
      <c r="D655" s="21" t="s">
        <v>42</v>
      </c>
      <c r="E655" s="22" t="str">
        <f>HYPERLINK("https://twitter.com/AnoopSi45495876/status/922386688269099008","922386688269099008")</f>
        <v>922386688269099008</v>
      </c>
      <c r="F655" s="23" t="s">
        <v>39</v>
      </c>
      <c r="G655" s="24">
        <v>2.0</v>
      </c>
      <c r="H655" s="24">
        <v>103.0</v>
      </c>
      <c r="I655" s="24">
        <v>8501.0</v>
      </c>
      <c r="J655" s="24">
        <v>0.0</v>
      </c>
      <c r="K655" s="23" t="s">
        <v>34</v>
      </c>
      <c r="L655" s="25">
        <v>42976.15383101851</v>
      </c>
      <c r="M655" s="26" t="s">
        <v>195</v>
      </c>
      <c r="N655" s="26" t="s">
        <v>1767</v>
      </c>
      <c r="O655" s="22" t="str">
        <f>HYPERLINK("https://pbs.twimg.com/profile_images/902485229989879808/LXZy3XGR_normal.jpg","View")</f>
        <v>View</v>
      </c>
      <c r="P655" s="27"/>
    </row>
    <row r="656">
      <c r="A656" s="14">
        <v>43031.08216435185</v>
      </c>
      <c r="B656" s="20" t="str">
        <f>HYPERLINK("https://twitter.com/BanankoJanko","@BanankoJanko")</f>
        <v>@BanankoJanko</v>
      </c>
      <c r="C656" s="21" t="s">
        <v>1629</v>
      </c>
      <c r="D656" s="21" t="s">
        <v>1768</v>
      </c>
      <c r="E656" s="22" t="str">
        <f>HYPERLINK("https://twitter.com/BanankoJanko/status/922386693164011520","922386693164011520")</f>
        <v>922386693164011520</v>
      </c>
      <c r="F656" s="23" t="s">
        <v>187</v>
      </c>
      <c r="G656" s="24">
        <v>72.0</v>
      </c>
      <c r="H656" s="24">
        <v>53.0</v>
      </c>
      <c r="I656" s="24">
        <v>0.0</v>
      </c>
      <c r="J656" s="24">
        <v>0.0</v>
      </c>
      <c r="K656" s="23" t="s">
        <v>34</v>
      </c>
      <c r="L656" s="25">
        <v>42837.10114583334</v>
      </c>
      <c r="M656" s="28"/>
      <c r="N656" s="35" t="s">
        <v>1631</v>
      </c>
      <c r="O656" s="22" t="str">
        <f>HYPERLINK("https://pbs.twimg.com/profile_images/852669910123675651/CVUt6bXC_normal.jpg","View")</f>
        <v>View</v>
      </c>
      <c r="P656" s="27"/>
    </row>
    <row r="657">
      <c r="A657" s="14">
        <v>43031.08219907407</v>
      </c>
      <c r="B657" s="20" t="str">
        <f>HYPERLINK("https://twitter.com/tracyashish","@tracyashish")</f>
        <v>@tracyashish</v>
      </c>
      <c r="C657" s="21" t="s">
        <v>892</v>
      </c>
      <c r="D657" s="21" t="s">
        <v>1769</v>
      </c>
      <c r="E657" s="22" t="str">
        <f>HYPERLINK("https://twitter.com/tracyashish/status/922386707269292037","922386707269292037")</f>
        <v>922386707269292037</v>
      </c>
      <c r="F657" s="23" t="s">
        <v>43</v>
      </c>
      <c r="G657" s="24">
        <v>407.0</v>
      </c>
      <c r="H657" s="24">
        <v>1970.0</v>
      </c>
      <c r="I657" s="24">
        <v>2.0</v>
      </c>
      <c r="J657" s="24">
        <v>0.0</v>
      </c>
      <c r="K657" s="23" t="s">
        <v>34</v>
      </c>
      <c r="L657" s="25">
        <v>42209.92612268518</v>
      </c>
      <c r="M657" s="26" t="s">
        <v>893</v>
      </c>
      <c r="N657" s="26" t="s">
        <v>894</v>
      </c>
      <c r="O657" s="22" t="str">
        <f>HYPERLINK("https://pbs.twimg.com/profile_images/874504814838898688/G59yhvU2_normal.jpg","View")</f>
        <v>View</v>
      </c>
      <c r="P657" s="27"/>
    </row>
    <row r="658">
      <c r="A658" s="14">
        <v>43031.08224537037</v>
      </c>
      <c r="B658" s="20" t="str">
        <f>HYPERLINK("https://twitter.com/vrai777","@vrai777")</f>
        <v>@vrai777</v>
      </c>
      <c r="C658" s="21" t="s">
        <v>1770</v>
      </c>
      <c r="D658" s="21" t="s">
        <v>1771</v>
      </c>
      <c r="E658" s="22" t="str">
        <f>HYPERLINK("https://twitter.com/vrai777/status/922386723853754369","922386723853754369")</f>
        <v>922386723853754369</v>
      </c>
      <c r="F658" s="23" t="s">
        <v>187</v>
      </c>
      <c r="G658" s="24">
        <v>7944.0</v>
      </c>
      <c r="H658" s="24">
        <v>71.0</v>
      </c>
      <c r="I658" s="24">
        <v>0.0</v>
      </c>
      <c r="J658" s="24">
        <v>0.0</v>
      </c>
      <c r="K658" s="23" t="s">
        <v>34</v>
      </c>
      <c r="L658" s="25">
        <v>39878.7593287037</v>
      </c>
      <c r="M658" s="26" t="s">
        <v>1024</v>
      </c>
      <c r="N658" s="26" t="s">
        <v>1772</v>
      </c>
      <c r="O658" s="22" t="str">
        <f>HYPERLINK("https://pbs.twimg.com/profile_images/688775800284266496/qhWTo08H_normal.png","View")</f>
        <v>View</v>
      </c>
      <c r="P658" s="27"/>
    </row>
    <row r="659">
      <c r="A659" s="14">
        <v>43031.08230324074</v>
      </c>
      <c r="B659" s="20" t="str">
        <f>HYPERLINK("https://twitter.com/krunox123","@krunox123")</f>
        <v>@krunox123</v>
      </c>
      <c r="C659" s="21" t="s">
        <v>1750</v>
      </c>
      <c r="D659" s="21" t="s">
        <v>1773</v>
      </c>
      <c r="E659" s="22" t="str">
        <f>HYPERLINK("https://twitter.com/krunox123/status/922386745370521600","922386745370521600")</f>
        <v>922386745370521600</v>
      </c>
      <c r="F659" s="23" t="s">
        <v>187</v>
      </c>
      <c r="G659" s="24">
        <v>10220.0</v>
      </c>
      <c r="H659" s="24">
        <v>2.0</v>
      </c>
      <c r="I659" s="24">
        <v>0.0</v>
      </c>
      <c r="J659" s="24">
        <v>0.0</v>
      </c>
      <c r="K659" s="23" t="s">
        <v>34</v>
      </c>
      <c r="L659" s="25">
        <v>40938.22789351852</v>
      </c>
      <c r="M659" s="26" t="s">
        <v>1752</v>
      </c>
      <c r="N659" s="26" t="s">
        <v>1753</v>
      </c>
      <c r="O659" s="22" t="str">
        <f>HYPERLINK("https://pbs.twimg.com/profile_images/824952382618349568/2SFIkM2x_normal.jpg","View")</f>
        <v>View</v>
      </c>
      <c r="P659" s="27"/>
    </row>
    <row r="660">
      <c r="A660" s="14">
        <v>43031.08230324074</v>
      </c>
      <c r="B660" s="20" t="str">
        <f>HYPERLINK("https://twitter.com/iaditiBaghel","@iaditiBaghel")</f>
        <v>@iaditiBaghel</v>
      </c>
      <c r="C660" s="21" t="s">
        <v>1774</v>
      </c>
      <c r="D660" s="21" t="s">
        <v>42</v>
      </c>
      <c r="E660" s="22" t="str">
        <f>HYPERLINK("https://twitter.com/iaditiBaghel/status/922386745739558912","922386745739558912")</f>
        <v>922386745739558912</v>
      </c>
      <c r="F660" s="23" t="s">
        <v>33</v>
      </c>
      <c r="G660" s="24">
        <v>43.0</v>
      </c>
      <c r="H660" s="24">
        <v>459.0</v>
      </c>
      <c r="I660" s="24">
        <v>8501.0</v>
      </c>
      <c r="J660" s="24">
        <v>0.0</v>
      </c>
      <c r="K660" s="23" t="s">
        <v>34</v>
      </c>
      <c r="L660" s="25">
        <v>42855.506006944444</v>
      </c>
      <c r="M660" s="26" t="s">
        <v>575</v>
      </c>
      <c r="N660" s="26" t="s">
        <v>1775</v>
      </c>
      <c r="O660" s="22" t="str">
        <f>HYPERLINK("https://pbs.twimg.com/profile_images/858767680052047872/mXOea5FL_normal.jpg","View")</f>
        <v>View</v>
      </c>
      <c r="P660" s="27"/>
    </row>
    <row r="661">
      <c r="A661" s="14">
        <v>43031.08233796296</v>
      </c>
      <c r="B661" s="20" t="str">
        <f>HYPERLINK("https://twitter.com/BZeTn2FH09xcAMF","@BZeTn2FH09xcAMF")</f>
        <v>@BZeTn2FH09xcAMF</v>
      </c>
      <c r="C661" s="21" t="s">
        <v>1776</v>
      </c>
      <c r="D661" s="21" t="s">
        <v>1444</v>
      </c>
      <c r="E661" s="22" t="str">
        <f>HYPERLINK("https://twitter.com/BZeTn2FH09xcAMF/status/922386754333585408","922386754333585408")</f>
        <v>922386754333585408</v>
      </c>
      <c r="F661" s="23" t="s">
        <v>43</v>
      </c>
      <c r="G661" s="24">
        <v>175.0</v>
      </c>
      <c r="H661" s="24">
        <v>957.0</v>
      </c>
      <c r="I661" s="24">
        <v>50.0</v>
      </c>
      <c r="J661" s="24">
        <v>0.0</v>
      </c>
      <c r="K661" s="23" t="s">
        <v>34</v>
      </c>
      <c r="L661" s="25">
        <v>42908.461747685185</v>
      </c>
      <c r="M661" s="26" t="s">
        <v>1777</v>
      </c>
      <c r="N661" s="28"/>
      <c r="O661" s="22" t="str">
        <f>HYPERLINK("https://pbs.twimg.com/profile_images/908908679994281988/jTPk6rvO_normal.jpg","View")</f>
        <v>View</v>
      </c>
      <c r="P661" s="27"/>
    </row>
    <row r="662">
      <c r="A662" s="14">
        <v>43031.08234953704</v>
      </c>
      <c r="B662" s="20" t="str">
        <f>HYPERLINK("https://twitter.com/sgbreakingnews","@sgbreakingnews")</f>
        <v>@sgbreakingnews</v>
      </c>
      <c r="C662" s="21" t="s">
        <v>1778</v>
      </c>
      <c r="D662" s="21" t="s">
        <v>1779</v>
      </c>
      <c r="E662" s="22" t="str">
        <f>HYPERLINK("https://twitter.com/sgbreakingnews/status/922386761824825344","922386761824825344")</f>
        <v>922386761824825344</v>
      </c>
      <c r="F662" s="23" t="s">
        <v>187</v>
      </c>
      <c r="G662" s="24">
        <v>4254.0</v>
      </c>
      <c r="H662" s="24">
        <v>50.0</v>
      </c>
      <c r="I662" s="24">
        <v>0.0</v>
      </c>
      <c r="J662" s="24">
        <v>0.0</v>
      </c>
      <c r="K662" s="23" t="s">
        <v>34</v>
      </c>
      <c r="L662" s="25">
        <v>40208.21239583333</v>
      </c>
      <c r="M662" s="26" t="s">
        <v>1224</v>
      </c>
      <c r="N662" s="26" t="s">
        <v>1780</v>
      </c>
      <c r="O662" s="22" t="str">
        <f>HYPERLINK("https://pbs.twimg.com/profile_images/667203471/singapore-breaking-news_normal.jpg","View")</f>
        <v>View</v>
      </c>
      <c r="P662" s="27"/>
    </row>
    <row r="663">
      <c r="A663" s="14">
        <v>43031.08247685185</v>
      </c>
      <c r="B663" s="20" t="str">
        <f>HYPERLINK("https://twitter.com/one_luv_1","@one_luv_1")</f>
        <v>@one_luv_1</v>
      </c>
      <c r="C663" s="21" t="s">
        <v>1781</v>
      </c>
      <c r="D663" s="21" t="s">
        <v>1444</v>
      </c>
      <c r="E663" s="22" t="str">
        <f>HYPERLINK("https://twitter.com/one_luv_1/status/922386805906796544","922386805906796544")</f>
        <v>922386805906796544</v>
      </c>
      <c r="F663" s="23" t="s">
        <v>39</v>
      </c>
      <c r="G663" s="24">
        <v>125.0</v>
      </c>
      <c r="H663" s="24">
        <v>234.0</v>
      </c>
      <c r="I663" s="24">
        <v>50.0</v>
      </c>
      <c r="J663" s="24">
        <v>0.0</v>
      </c>
      <c r="K663" s="23" t="s">
        <v>34</v>
      </c>
      <c r="L663" s="25">
        <v>42258.79166666667</v>
      </c>
      <c r="M663" s="28"/>
      <c r="N663" s="26" t="s">
        <v>1782</v>
      </c>
      <c r="O663" s="22" t="str">
        <f>HYPERLINK("https://pbs.twimg.com/profile_images/920291179693989888/C2ZDdkHQ_normal.jpg","View")</f>
        <v>View</v>
      </c>
      <c r="P663" s="27"/>
    </row>
    <row r="664">
      <c r="A664" s="14">
        <v>43031.0825462963</v>
      </c>
      <c r="B664" s="20" t="str">
        <f>HYPERLINK("https://twitter.com/Rooneykatuah","@Rooneykatuah")</f>
        <v>@Rooneykatuah</v>
      </c>
      <c r="C664" s="21" t="s">
        <v>1783</v>
      </c>
      <c r="D664" s="21" t="s">
        <v>32</v>
      </c>
      <c r="E664" s="22" t="str">
        <f>HYPERLINK("https://twitter.com/Rooneykatuah/status/922386831357956097","922386831357956097")</f>
        <v>922386831357956097</v>
      </c>
      <c r="F664" s="23" t="s">
        <v>33</v>
      </c>
      <c r="G664" s="24">
        <v>390.0</v>
      </c>
      <c r="H664" s="24">
        <v>1750.0</v>
      </c>
      <c r="I664" s="24">
        <v>471.0</v>
      </c>
      <c r="J664" s="24">
        <v>0.0</v>
      </c>
      <c r="K664" s="23" t="s">
        <v>34</v>
      </c>
      <c r="L664" s="25">
        <v>41940.56428240741</v>
      </c>
      <c r="M664" s="26" t="s">
        <v>1784</v>
      </c>
      <c r="N664" s="26" t="s">
        <v>1785</v>
      </c>
      <c r="O664" s="22" t="str">
        <f>HYPERLINK("https://pbs.twimg.com/profile_images/851326385159327745/npNA9iq3_normal.jpg","View")</f>
        <v>View</v>
      </c>
      <c r="P664" s="27"/>
    </row>
    <row r="665">
      <c r="A665" s="14">
        <v>43031.08259259259</v>
      </c>
      <c r="B665" s="20" t="str">
        <f>HYPERLINK("https://twitter.com/1914_7","@1914_7")</f>
        <v>@1914_7</v>
      </c>
      <c r="C665" s="21" t="s">
        <v>1786</v>
      </c>
      <c r="D665" s="21" t="s">
        <v>42</v>
      </c>
      <c r="E665" s="22" t="str">
        <f>HYPERLINK("https://twitter.com/1914_7/status/922386848936165376","922386848936165376")</f>
        <v>922386848936165376</v>
      </c>
      <c r="F665" s="23" t="s">
        <v>39</v>
      </c>
      <c r="G665" s="24">
        <v>183.0</v>
      </c>
      <c r="H665" s="24">
        <v>297.0</v>
      </c>
      <c r="I665" s="24">
        <v>8501.0</v>
      </c>
      <c r="J665" s="24">
        <v>0.0</v>
      </c>
      <c r="K665" s="23" t="s">
        <v>34</v>
      </c>
      <c r="L665" s="25">
        <v>41495.2403125</v>
      </c>
      <c r="M665" s="26" t="s">
        <v>660</v>
      </c>
      <c r="N665" s="26" t="s">
        <v>1787</v>
      </c>
      <c r="O665" s="22" t="str">
        <f>HYPERLINK("https://pbs.twimg.com/profile_images/885834352126345216/yquv9XyW_normal.jpg","View")</f>
        <v>View</v>
      </c>
      <c r="P665" s="27"/>
    </row>
    <row r="666">
      <c r="A666" s="14">
        <v>43031.08263888889</v>
      </c>
      <c r="B666" s="20" t="str">
        <f>HYPERLINK("https://twitter.com/arpan1488","@arpan1488")</f>
        <v>@arpan1488</v>
      </c>
      <c r="C666" s="21" t="s">
        <v>1788</v>
      </c>
      <c r="D666" s="21" t="s">
        <v>42</v>
      </c>
      <c r="E666" s="22" t="str">
        <f>HYPERLINK("https://twitter.com/arpan1488/status/922386867173158912","922386867173158912")</f>
        <v>922386867173158912</v>
      </c>
      <c r="F666" s="23" t="s">
        <v>33</v>
      </c>
      <c r="G666" s="24">
        <v>64.0</v>
      </c>
      <c r="H666" s="24">
        <v>124.0</v>
      </c>
      <c r="I666" s="24">
        <v>8501.0</v>
      </c>
      <c r="J666" s="24">
        <v>0.0</v>
      </c>
      <c r="K666" s="23" t="s">
        <v>34</v>
      </c>
      <c r="L666" s="25">
        <v>40780.497835648144</v>
      </c>
      <c r="M666" s="28"/>
      <c r="N666" s="28"/>
      <c r="O666" s="22" t="str">
        <f>HYPERLINK("https://pbs.twimg.com/profile_images/879331657756454915/KnpspQrk_normal.jpg","View")</f>
        <v>View</v>
      </c>
      <c r="P666" s="27"/>
    </row>
    <row r="667">
      <c r="A667" s="14">
        <v>43031.08267361111</v>
      </c>
      <c r="B667" s="20" t="str">
        <f>HYPERLINK("https://twitter.com/baatar05","@baatar05")</f>
        <v>@baatar05</v>
      </c>
      <c r="C667" s="21" t="s">
        <v>1789</v>
      </c>
      <c r="D667" s="21" t="s">
        <v>1790</v>
      </c>
      <c r="E667" s="22" t="str">
        <f>HYPERLINK("https://twitter.com/baatar05/status/922386879365898240","922386879365898240")</f>
        <v>922386879365898240</v>
      </c>
      <c r="F667" s="23" t="s">
        <v>33</v>
      </c>
      <c r="G667" s="24">
        <v>314.0</v>
      </c>
      <c r="H667" s="24">
        <v>190.0</v>
      </c>
      <c r="I667" s="24">
        <v>53.0</v>
      </c>
      <c r="J667" s="24">
        <v>0.0</v>
      </c>
      <c r="K667" s="23" t="s">
        <v>34</v>
      </c>
      <c r="L667" s="25">
        <v>42648.13990740741</v>
      </c>
      <c r="M667" s="28"/>
      <c r="N667" s="28"/>
      <c r="O667" s="22" t="str">
        <f>HYPERLINK("https://pbs.twimg.com/profile_images/783616127331016704/w91y2gss_normal.jpg","View")</f>
        <v>View</v>
      </c>
      <c r="P667" s="27"/>
    </row>
    <row r="668">
      <c r="A668" s="14">
        <v>43031.082754629635</v>
      </c>
      <c r="B668" s="20" t="str">
        <f>HYPERLINK("https://twitter.com/lucchaoui","@lucchaoui")</f>
        <v>@lucchaoui</v>
      </c>
      <c r="C668" s="21" t="s">
        <v>1405</v>
      </c>
      <c r="D668" s="21" t="s">
        <v>1791</v>
      </c>
      <c r="E668" s="22" t="str">
        <f>HYPERLINK("https://twitter.com/lucchaoui/status/922386906389909504","922386906389909504")</f>
        <v>922386906389909504</v>
      </c>
      <c r="F668" s="23" t="s">
        <v>187</v>
      </c>
      <c r="G668" s="24">
        <v>397521.0</v>
      </c>
      <c r="H668" s="24">
        <v>390.0</v>
      </c>
      <c r="I668" s="24">
        <v>0.0</v>
      </c>
      <c r="J668" s="24">
        <v>0.0</v>
      </c>
      <c r="K668" s="23" t="s">
        <v>34</v>
      </c>
      <c r="L668" s="25">
        <v>39932.40519675926</v>
      </c>
      <c r="M668" s="26" t="s">
        <v>1407</v>
      </c>
      <c r="N668" s="26" t="s">
        <v>1408</v>
      </c>
      <c r="O668" s="22" t="str">
        <f>HYPERLINK("https://pbs.twimg.com/profile_images/845679875734196224/DS22r1ae_normal.jpg","View")</f>
        <v>View</v>
      </c>
      <c r="P668" s="27"/>
    </row>
    <row r="669">
      <c r="A669" s="14">
        <v>43031.0828125</v>
      </c>
      <c r="B669" s="20" t="str">
        <f>HYPERLINK("https://twitter.com/newlyjacky","@newlyjacky")</f>
        <v>@newlyjacky</v>
      </c>
      <c r="C669" s="21" t="s">
        <v>1792</v>
      </c>
      <c r="D669" s="21" t="s">
        <v>42</v>
      </c>
      <c r="E669" s="22" t="str">
        <f>HYPERLINK("https://twitter.com/newlyjacky/status/922386928770736129","922386928770736129")</f>
        <v>922386928770736129</v>
      </c>
      <c r="F669" s="23" t="s">
        <v>55</v>
      </c>
      <c r="G669" s="24">
        <v>245.0</v>
      </c>
      <c r="H669" s="24">
        <v>1846.0</v>
      </c>
      <c r="I669" s="24">
        <v>8501.0</v>
      </c>
      <c r="J669" s="24">
        <v>0.0</v>
      </c>
      <c r="K669" s="23" t="s">
        <v>34</v>
      </c>
      <c r="L669" s="25">
        <v>41557.45846064815</v>
      </c>
      <c r="M669" s="26" t="s">
        <v>1793</v>
      </c>
      <c r="N669" s="26" t="s">
        <v>1794</v>
      </c>
      <c r="O669" s="22" t="str">
        <f>HYPERLINK("https://pbs.twimg.com/profile_images/444812983642767360/g7TWxzMz_normal.jpeg","View")</f>
        <v>View</v>
      </c>
      <c r="P669" s="27"/>
    </row>
    <row r="670">
      <c r="A670" s="14">
        <v>43031.082824074074</v>
      </c>
      <c r="B670" s="20" t="str">
        <f>HYPERLINK("https://twitter.com/AbbiejAbbieja","@AbbiejAbbieja")</f>
        <v>@AbbiejAbbieja</v>
      </c>
      <c r="C670" s="21" t="s">
        <v>979</v>
      </c>
      <c r="D670" s="21" t="s">
        <v>1795</v>
      </c>
      <c r="E670" s="22" t="str">
        <f>HYPERLINK("https://twitter.com/AbbiejAbbieja/status/922386932331696128","922386932331696128")</f>
        <v>922386932331696128</v>
      </c>
      <c r="F670" s="23" t="s">
        <v>187</v>
      </c>
      <c r="G670" s="24">
        <v>1293.0</v>
      </c>
      <c r="H670" s="24">
        <v>1320.0</v>
      </c>
      <c r="I670" s="24">
        <v>0.0</v>
      </c>
      <c r="J670" s="24">
        <v>0.0</v>
      </c>
      <c r="K670" s="23" t="s">
        <v>34</v>
      </c>
      <c r="L670" s="25">
        <v>42803.79164351852</v>
      </c>
      <c r="M670" s="26" t="s">
        <v>920</v>
      </c>
      <c r="N670" s="26" t="s">
        <v>981</v>
      </c>
      <c r="O670" s="22" t="str">
        <f>HYPERLINK("https://pbs.twimg.com/profile_images/860496478065774593/Ti_AHgwa_normal.jpg","View")</f>
        <v>View</v>
      </c>
      <c r="P670" s="27"/>
    </row>
    <row r="671">
      <c r="A671" s="14">
        <v>43031.082870370374</v>
      </c>
      <c r="B671" s="20" t="str">
        <f>HYPERLINK("https://twitter.com/BSAFunds","@BSAFunds")</f>
        <v>@BSAFunds</v>
      </c>
      <c r="C671" s="21" t="s">
        <v>1248</v>
      </c>
      <c r="D671" s="21" t="s">
        <v>1796</v>
      </c>
      <c r="E671" s="22" t="str">
        <f>HYPERLINK("https://twitter.com/BSAFunds/status/922386948693594120","922386948693594120")</f>
        <v>922386948693594120</v>
      </c>
      <c r="F671" s="23" t="s">
        <v>187</v>
      </c>
      <c r="G671" s="24">
        <v>20910.0</v>
      </c>
      <c r="H671" s="24">
        <v>8929.0</v>
      </c>
      <c r="I671" s="24">
        <v>0.0</v>
      </c>
      <c r="J671" s="24">
        <v>0.0</v>
      </c>
      <c r="K671" s="23" t="s">
        <v>34</v>
      </c>
      <c r="L671" s="25">
        <v>42601.94818287037</v>
      </c>
      <c r="M671" s="26" t="s">
        <v>1250</v>
      </c>
      <c r="N671" s="26" t="s">
        <v>1251</v>
      </c>
      <c r="O671" s="22" t="str">
        <f>HYPERLINK("https://pbs.twimg.com/profile_images/912769166960033792/N4LAmrTs_normal.jpg","View")</f>
        <v>View</v>
      </c>
      <c r="P671" s="27"/>
    </row>
    <row r="672">
      <c r="A672" s="14">
        <v>43031.08288194444</v>
      </c>
      <c r="B672" s="20" t="str">
        <f>HYPERLINK("https://twitter.com/SaudiLink","@SaudiLink")</f>
        <v>@SaudiLink</v>
      </c>
      <c r="C672" s="31" t="s">
        <v>1797</v>
      </c>
      <c r="D672" s="21" t="s">
        <v>1798</v>
      </c>
      <c r="E672" s="22" t="str">
        <f>HYPERLINK("https://twitter.com/SaudiLink/status/922386952829186048","922386952829186048")</f>
        <v>922386952829186048</v>
      </c>
      <c r="F672" s="23" t="s">
        <v>1799</v>
      </c>
      <c r="G672" s="24">
        <v>2195.0</v>
      </c>
      <c r="H672" s="24">
        <v>3.0</v>
      </c>
      <c r="I672" s="24">
        <v>4.0</v>
      </c>
      <c r="J672" s="24">
        <v>0.0</v>
      </c>
      <c r="K672" s="23" t="s">
        <v>34</v>
      </c>
      <c r="L672" s="25">
        <v>41708.771157407406</v>
      </c>
      <c r="M672" s="26" t="s">
        <v>1800</v>
      </c>
      <c r="N672" s="32" t="s">
        <v>1801</v>
      </c>
      <c r="O672" s="22" t="str">
        <f>HYPERLINK("https://pbs.twimg.com/profile_images/750740496192983040/Lg6Ci7cU_normal.jpg","View")</f>
        <v>View</v>
      </c>
      <c r="P672" s="27"/>
    </row>
    <row r="673">
      <c r="A673" s="14">
        <v>43031.083020833335</v>
      </c>
      <c r="B673" s="20" t="str">
        <f>HYPERLINK("https://twitter.com/PaginaNuova","@PaginaNuova")</f>
        <v>@PaginaNuova</v>
      </c>
      <c r="C673" s="21" t="s">
        <v>1802</v>
      </c>
      <c r="D673" s="21" t="s">
        <v>1803</v>
      </c>
      <c r="E673" s="22" t="str">
        <f>HYPERLINK("https://twitter.com/PaginaNuova/status/922387005408935941","922387005408935941")</f>
        <v>922387005408935941</v>
      </c>
      <c r="F673" s="23" t="s">
        <v>187</v>
      </c>
      <c r="G673" s="24">
        <v>1153.0</v>
      </c>
      <c r="H673" s="24">
        <v>503.0</v>
      </c>
      <c r="I673" s="24">
        <v>0.0</v>
      </c>
      <c r="J673" s="24">
        <v>0.0</v>
      </c>
      <c r="K673" s="23" t="s">
        <v>34</v>
      </c>
      <c r="L673" s="25">
        <v>39795.738541666666</v>
      </c>
      <c r="M673" s="26" t="s">
        <v>1804</v>
      </c>
      <c r="N673" s="26" t="s">
        <v>1805</v>
      </c>
      <c r="O673" s="22" t="str">
        <f>HYPERLINK("https://pbs.twimg.com/profile_images/733085909457993728/CNCcL-S7_normal.jpg","View")</f>
        <v>View</v>
      </c>
      <c r="P673" s="27"/>
    </row>
    <row r="674">
      <c r="A674" s="14">
        <v>43031.083032407405</v>
      </c>
      <c r="B674" s="20" t="str">
        <f>HYPERLINK("https://twitter.com/arigirisu52","@arigirisu52")</f>
        <v>@arigirisu52</v>
      </c>
      <c r="C674" s="21" t="s">
        <v>1806</v>
      </c>
      <c r="D674" s="21" t="s">
        <v>82</v>
      </c>
      <c r="E674" s="22" t="str">
        <f>HYPERLINK("https://twitter.com/arigirisu52/status/922387008906936320","922387008906936320")</f>
        <v>922387008906936320</v>
      </c>
      <c r="F674" s="23" t="s">
        <v>55</v>
      </c>
      <c r="G674" s="24">
        <v>199.0</v>
      </c>
      <c r="H674" s="24">
        <v>49.0</v>
      </c>
      <c r="I674" s="24">
        <v>38.0</v>
      </c>
      <c r="J674" s="24">
        <v>0.0</v>
      </c>
      <c r="K674" s="23" t="s">
        <v>34</v>
      </c>
      <c r="L674" s="25">
        <v>40582.94605324074</v>
      </c>
      <c r="M674" s="28"/>
      <c r="N674" s="26" t="s">
        <v>1807</v>
      </c>
      <c r="O674" s="22" t="str">
        <f>HYPERLINK("https://pbs.twimg.com/profile_images/1530788075/9383190_1280374889_normal.jpg","View")</f>
        <v>View</v>
      </c>
      <c r="P674" s="27"/>
    </row>
    <row r="675">
      <c r="A675" s="14">
        <v>43031.083078703705</v>
      </c>
      <c r="B675" s="20" t="str">
        <f>HYPERLINK("https://twitter.com/sundarmail","@sundarmail")</f>
        <v>@sundarmail</v>
      </c>
      <c r="C675" s="21" t="s">
        <v>53</v>
      </c>
      <c r="D675" s="21" t="s">
        <v>42</v>
      </c>
      <c r="E675" s="22" t="str">
        <f>HYPERLINK("https://twitter.com/sundarmail/status/922387024350289920","922387024350289920")</f>
        <v>922387024350289920</v>
      </c>
      <c r="F675" s="23" t="s">
        <v>55</v>
      </c>
      <c r="G675" s="24">
        <v>1539.0</v>
      </c>
      <c r="H675" s="24">
        <v>4966.0</v>
      </c>
      <c r="I675" s="24">
        <v>8501.0</v>
      </c>
      <c r="J675" s="24">
        <v>0.0</v>
      </c>
      <c r="K675" s="23" t="s">
        <v>34</v>
      </c>
      <c r="L675" s="25">
        <v>40048.43104166667</v>
      </c>
      <c r="M675" s="26" t="s">
        <v>56</v>
      </c>
      <c r="N675" s="26" t="s">
        <v>57</v>
      </c>
      <c r="O675" s="22" t="str">
        <f>HYPERLINK("https://pbs.twimg.com/profile_images/459223730103664640/FvnfSgeU_normal.jpeg","View")</f>
        <v>View</v>
      </c>
      <c r="P675" s="27"/>
    </row>
    <row r="676">
      <c r="A676" s="14">
        <v>43031.08311342592</v>
      </c>
      <c r="B676" s="20" t="str">
        <f>HYPERLINK("https://twitter.com/eshank_goel","@eshank_goel")</f>
        <v>@eshank_goel</v>
      </c>
      <c r="C676" s="21" t="s">
        <v>1808</v>
      </c>
      <c r="D676" s="21" t="s">
        <v>42</v>
      </c>
      <c r="E676" s="22" t="str">
        <f>HYPERLINK("https://twitter.com/eshank_goel/status/922387035981152256","922387035981152256")</f>
        <v>922387035981152256</v>
      </c>
      <c r="F676" s="23" t="s">
        <v>33</v>
      </c>
      <c r="G676" s="24">
        <v>4.0</v>
      </c>
      <c r="H676" s="24">
        <v>190.0</v>
      </c>
      <c r="I676" s="24">
        <v>8501.0</v>
      </c>
      <c r="J676" s="24">
        <v>0.0</v>
      </c>
      <c r="K676" s="23" t="s">
        <v>34</v>
      </c>
      <c r="L676" s="25">
        <v>42807.95924768518</v>
      </c>
      <c r="M676" s="28"/>
      <c r="N676" s="28"/>
      <c r="O676" s="22" t="str">
        <f>HYPERLINK("https://pbs.twimg.com/profile_images/890161044445949952/gHEJd2An_normal.jpg","View")</f>
        <v>View</v>
      </c>
      <c r="P676" s="27"/>
    </row>
    <row r="677">
      <c r="A677" s="14">
        <v>43031.083125000005</v>
      </c>
      <c r="B677" s="20" t="str">
        <f>HYPERLINK("https://twitter.com/charlotte_lee99","@charlotte_lee99")</f>
        <v>@charlotte_lee99</v>
      </c>
      <c r="C677" s="21" t="s">
        <v>1809</v>
      </c>
      <c r="D677" s="21" t="s">
        <v>1474</v>
      </c>
      <c r="E677" s="22" t="str">
        <f>HYPERLINK("https://twitter.com/charlotte_lee99/status/922387041077231617","922387041077231617")</f>
        <v>922387041077231617</v>
      </c>
      <c r="F677" s="23" t="s">
        <v>55</v>
      </c>
      <c r="G677" s="24">
        <v>938.0</v>
      </c>
      <c r="H677" s="24">
        <v>938.0</v>
      </c>
      <c r="I677" s="24">
        <v>29.0</v>
      </c>
      <c r="J677" s="24">
        <v>0.0</v>
      </c>
      <c r="K677" s="23" t="s">
        <v>34</v>
      </c>
      <c r="L677" s="25">
        <v>41514.04104166667</v>
      </c>
      <c r="M677" s="26" t="s">
        <v>1810</v>
      </c>
      <c r="N677" s="26" t="s">
        <v>1811</v>
      </c>
      <c r="O677" s="22" t="str">
        <f>HYPERLINK("https://pbs.twimg.com/profile_images/919033386806603776/24db6OSw_normal.jpg","View")</f>
        <v>View</v>
      </c>
      <c r="P677" s="27"/>
    </row>
    <row r="678">
      <c r="A678" s="14">
        <v>43031.083148148144</v>
      </c>
      <c r="B678" s="20" t="str">
        <f>HYPERLINK("https://twitter.com/FedorovaIW","@FedorovaIW")</f>
        <v>@FedorovaIW</v>
      </c>
      <c r="C678" s="21" t="s">
        <v>1812</v>
      </c>
      <c r="D678" s="21" t="s">
        <v>1813</v>
      </c>
      <c r="E678" s="22" t="str">
        <f>HYPERLINK("https://twitter.com/FedorovaIW/status/922387048086073344","922387048086073344")</f>
        <v>922387048086073344</v>
      </c>
      <c r="F678" s="23" t="s">
        <v>55</v>
      </c>
      <c r="G678" s="24">
        <v>1790.0</v>
      </c>
      <c r="H678" s="24">
        <v>542.0</v>
      </c>
      <c r="I678" s="24">
        <v>1.0</v>
      </c>
      <c r="J678" s="24">
        <v>0.0</v>
      </c>
      <c r="K678" s="23" t="s">
        <v>34</v>
      </c>
      <c r="L678" s="25">
        <v>41276.333020833335</v>
      </c>
      <c r="M678" s="26" t="s">
        <v>334</v>
      </c>
      <c r="N678" s="26" t="s">
        <v>1814</v>
      </c>
      <c r="O678" s="22" t="str">
        <f>HYPERLINK("https://pbs.twimg.com/profile_images/692712847407738880/8Efj_ULY_normal.jpg","View")</f>
        <v>View</v>
      </c>
      <c r="P678" s="27"/>
    </row>
    <row r="679">
      <c r="A679" s="14">
        <v>43031.08321759259</v>
      </c>
      <c r="B679" s="20" t="str">
        <f>HYPERLINK("https://twitter.com/Yjka0103","@Yjka0103")</f>
        <v>@Yjka0103</v>
      </c>
      <c r="C679" s="21" t="s">
        <v>1815</v>
      </c>
      <c r="D679" s="21" t="s">
        <v>179</v>
      </c>
      <c r="E679" s="22" t="str">
        <f>HYPERLINK("https://twitter.com/Yjka0103/status/922387074753314817","922387074753314817")</f>
        <v>922387074753314817</v>
      </c>
      <c r="F679" s="23" t="s">
        <v>39</v>
      </c>
      <c r="G679" s="24">
        <v>50.0</v>
      </c>
      <c r="H679" s="24">
        <v>266.0</v>
      </c>
      <c r="I679" s="24">
        <v>30.0</v>
      </c>
      <c r="J679" s="24">
        <v>0.0</v>
      </c>
      <c r="K679" s="23" t="s">
        <v>34</v>
      </c>
      <c r="L679" s="25">
        <v>42646.837430555555</v>
      </c>
      <c r="M679" s="28"/>
      <c r="N679" s="26" t="s">
        <v>1816</v>
      </c>
      <c r="O679" s="22" t="str">
        <f>HYPERLINK("https://pbs.twimg.com/profile_images/916971174201921537/cKsePEZU_normal.jpg","View")</f>
        <v>View</v>
      </c>
      <c r="P679" s="27"/>
    </row>
    <row r="680">
      <c r="A680" s="14">
        <v>43031.08327546297</v>
      </c>
      <c r="B680" s="20" t="str">
        <f>HYPERLINK("https://twitter.com/prem15951","@prem15951")</f>
        <v>@prem15951</v>
      </c>
      <c r="C680" s="21" t="s">
        <v>1817</v>
      </c>
      <c r="D680" s="21" t="s">
        <v>163</v>
      </c>
      <c r="E680" s="22" t="str">
        <f>HYPERLINK("https://twitter.com/prem15951/status/922387096547020800","922387096547020800")</f>
        <v>922387096547020800</v>
      </c>
      <c r="F680" s="23" t="s">
        <v>33</v>
      </c>
      <c r="G680" s="24">
        <v>210.0</v>
      </c>
      <c r="H680" s="24">
        <v>278.0</v>
      </c>
      <c r="I680" s="24">
        <v>1005.0</v>
      </c>
      <c r="J680" s="24">
        <v>0.0</v>
      </c>
      <c r="K680" s="23" t="s">
        <v>34</v>
      </c>
      <c r="L680" s="25">
        <v>40414.301875</v>
      </c>
      <c r="M680" s="28"/>
      <c r="N680" s="26" t="s">
        <v>1818</v>
      </c>
      <c r="O680" s="22" t="str">
        <f>HYPERLINK("https://pbs.twimg.com/profile_images/901333946314641408/3-vcd-X4_normal.jpg","View")</f>
        <v>View</v>
      </c>
      <c r="P680" s="27"/>
    </row>
    <row r="681">
      <c r="A681" s="14">
        <v>43031.08329861111</v>
      </c>
      <c r="B681" s="20" t="str">
        <f>HYPERLINK("https://twitter.com/Tweet2Sid","@Tweet2Sid")</f>
        <v>@Tweet2Sid</v>
      </c>
      <c r="C681" s="21" t="s">
        <v>1819</v>
      </c>
      <c r="D681" s="21" t="s">
        <v>1820</v>
      </c>
      <c r="E681" s="22" t="str">
        <f>HYPERLINK("https://twitter.com/Tweet2Sid/status/922387104629436416","922387104629436416")</f>
        <v>922387104629436416</v>
      </c>
      <c r="F681" s="23" t="s">
        <v>91</v>
      </c>
      <c r="G681" s="24">
        <v>535.0</v>
      </c>
      <c r="H681" s="24">
        <v>272.0</v>
      </c>
      <c r="I681" s="24">
        <v>0.0</v>
      </c>
      <c r="J681" s="24">
        <v>0.0</v>
      </c>
      <c r="K681" s="23" t="s">
        <v>34</v>
      </c>
      <c r="L681" s="25">
        <v>39999.78965277778</v>
      </c>
      <c r="M681" s="26" t="s">
        <v>204</v>
      </c>
      <c r="N681" s="26" t="s">
        <v>1821</v>
      </c>
      <c r="O681" s="22" t="str">
        <f>HYPERLINK("https://pbs.twimg.com/profile_images/652924587789828096/WSaKMVSf_normal.jpg","View")</f>
        <v>View</v>
      </c>
      <c r="P681" s="27"/>
    </row>
    <row r="682">
      <c r="A682" s="14">
        <v>43031.08329861111</v>
      </c>
      <c r="B682" s="20" t="str">
        <f>HYPERLINK("https://twitter.com/dev_sundeep","@dev_sundeep")</f>
        <v>@dev_sundeep</v>
      </c>
      <c r="C682" s="21" t="s">
        <v>1822</v>
      </c>
      <c r="D682" s="21" t="s">
        <v>163</v>
      </c>
      <c r="E682" s="22" t="str">
        <f>HYPERLINK("https://twitter.com/dev_sundeep/status/922387105665265664","922387105665265664")</f>
        <v>922387105665265664</v>
      </c>
      <c r="F682" s="23" t="s">
        <v>33</v>
      </c>
      <c r="G682" s="24">
        <v>4665.0</v>
      </c>
      <c r="H682" s="24">
        <v>3672.0</v>
      </c>
      <c r="I682" s="24">
        <v>1005.0</v>
      </c>
      <c r="J682" s="24">
        <v>0.0</v>
      </c>
      <c r="K682" s="23" t="s">
        <v>34</v>
      </c>
      <c r="L682" s="25">
        <v>40147.06997685185</v>
      </c>
      <c r="M682" s="26" t="s">
        <v>1823</v>
      </c>
      <c r="N682" s="26" t="s">
        <v>1824</v>
      </c>
      <c r="O682" s="22" t="str">
        <f>HYPERLINK("https://pbs.twimg.com/profile_images/910309196184223745/BMIh9xFS_normal.jpg","View")</f>
        <v>View</v>
      </c>
      <c r="P682" s="27"/>
    </row>
    <row r="683">
      <c r="A683" s="14">
        <v>43031.08336805555</v>
      </c>
      <c r="B683" s="20" t="str">
        <f>HYPERLINK("https://twitter.com/BloombergQuint","@BloombergQuint")</f>
        <v>@BloombergQuint</v>
      </c>
      <c r="C683" s="21" t="s">
        <v>1825</v>
      </c>
      <c r="D683" s="21" t="s">
        <v>1826</v>
      </c>
      <c r="E683" s="22" t="str">
        <f>HYPERLINK("https://twitter.com/BloombergQuint/status/922387128209813504","922387128209813504")</f>
        <v>922387128209813504</v>
      </c>
      <c r="F683" s="23" t="s">
        <v>769</v>
      </c>
      <c r="G683" s="24">
        <v>24294.0</v>
      </c>
      <c r="H683" s="24">
        <v>329.0</v>
      </c>
      <c r="I683" s="24">
        <v>1.0</v>
      </c>
      <c r="J683" s="24">
        <v>4.0</v>
      </c>
      <c r="K683" s="23" t="s">
        <v>34</v>
      </c>
      <c r="L683" s="25">
        <v>42458.06318287037</v>
      </c>
      <c r="M683" s="26" t="s">
        <v>246</v>
      </c>
      <c r="N683" s="26" t="s">
        <v>1827</v>
      </c>
      <c r="O683" s="22" t="str">
        <f>HYPERLINK("https://pbs.twimg.com/profile_images/913063487613440001/oU9k6XU7_normal.jpg","View")</f>
        <v>View</v>
      </c>
      <c r="P683" s="27"/>
    </row>
    <row r="684">
      <c r="A684" s="14">
        <v>43031.083391203705</v>
      </c>
      <c r="B684" s="20" t="str">
        <f>HYPERLINK("https://twitter.com/kiptumjaph","@kiptumjaph")</f>
        <v>@kiptumjaph</v>
      </c>
      <c r="C684" s="21" t="s">
        <v>1828</v>
      </c>
      <c r="D684" s="21" t="s">
        <v>32</v>
      </c>
      <c r="E684" s="22" t="str">
        <f>HYPERLINK("https://twitter.com/kiptumjaph/status/922387139798687744","922387139798687744")</f>
        <v>922387139798687744</v>
      </c>
      <c r="F684" s="23" t="s">
        <v>33</v>
      </c>
      <c r="G684" s="24">
        <v>2001.0</v>
      </c>
      <c r="H684" s="24">
        <v>1657.0</v>
      </c>
      <c r="I684" s="24">
        <v>471.0</v>
      </c>
      <c r="J684" s="24">
        <v>0.0</v>
      </c>
      <c r="K684" s="23" t="s">
        <v>34</v>
      </c>
      <c r="L684" s="25">
        <v>40719.09278935185</v>
      </c>
      <c r="M684" s="26" t="s">
        <v>1829</v>
      </c>
      <c r="N684" s="26" t="s">
        <v>1830</v>
      </c>
      <c r="O684" s="22" t="str">
        <f>HYPERLINK("https://pbs.twimg.com/profile_images/899645924221341696/rQNfGRo7_normal.jpg","View")</f>
        <v>View</v>
      </c>
      <c r="P684" s="27"/>
    </row>
    <row r="685">
      <c r="A685" s="14">
        <v>43031.08342592593</v>
      </c>
      <c r="B685" s="20" t="str">
        <f>HYPERLINK("https://twitter.com/notiven","@notiven")</f>
        <v>@notiven</v>
      </c>
      <c r="C685" s="21" t="s">
        <v>1012</v>
      </c>
      <c r="D685" s="21" t="s">
        <v>1831</v>
      </c>
      <c r="E685" s="22" t="str">
        <f>HYPERLINK("https://twitter.com/notiven/status/922387150808735744","922387150808735744")</f>
        <v>922387150808735744</v>
      </c>
      <c r="F685" s="23" t="s">
        <v>1014</v>
      </c>
      <c r="G685" s="24">
        <v>51324.0</v>
      </c>
      <c r="H685" s="24">
        <v>194.0</v>
      </c>
      <c r="I685" s="24">
        <v>0.0</v>
      </c>
      <c r="J685" s="24">
        <v>0.0</v>
      </c>
      <c r="K685" s="23" t="s">
        <v>34</v>
      </c>
      <c r="L685" s="25">
        <v>39235.5805787037</v>
      </c>
      <c r="M685" s="26" t="s">
        <v>1015</v>
      </c>
      <c r="N685" s="26" t="s">
        <v>1016</v>
      </c>
      <c r="O685" s="22" t="str">
        <f>HYPERLINK("https://pbs.twimg.com/profile_images/799317731648606208/vbXQCdts_normal.jpg","View")</f>
        <v>View</v>
      </c>
      <c r="P685" s="27"/>
    </row>
    <row r="686">
      <c r="A686" s="14">
        <v>43031.0834375</v>
      </c>
      <c r="B686" s="20" t="str">
        <f>HYPERLINK("https://twitter.com/nrb0164","@nrb0164")</f>
        <v>@nrb0164</v>
      </c>
      <c r="C686" s="21" t="s">
        <v>1832</v>
      </c>
      <c r="D686" s="21" t="s">
        <v>42</v>
      </c>
      <c r="E686" s="22" t="str">
        <f>HYPERLINK("https://twitter.com/nrb0164/status/922387153467801601","922387153467801601")</f>
        <v>922387153467801601</v>
      </c>
      <c r="F686" s="23" t="s">
        <v>39</v>
      </c>
      <c r="G686" s="24">
        <v>1197.0</v>
      </c>
      <c r="H686" s="24">
        <v>288.0</v>
      </c>
      <c r="I686" s="24">
        <v>8501.0</v>
      </c>
      <c r="J686" s="24">
        <v>0.0</v>
      </c>
      <c r="K686" s="23" t="s">
        <v>34</v>
      </c>
      <c r="L686" s="25">
        <v>41744.10412037037</v>
      </c>
      <c r="M686" s="28"/>
      <c r="N686" s="26" t="s">
        <v>1833</v>
      </c>
      <c r="O686" s="22" t="str">
        <f>HYPERLINK("https://pbs.twimg.com/profile_images/755991173894766592/3k4PjXpK_normal.jpg","View")</f>
        <v>View</v>
      </c>
      <c r="P686" s="27"/>
    </row>
    <row r="687">
      <c r="A687" s="14">
        <v>43031.0834837963</v>
      </c>
      <c r="B687" s="20" t="str">
        <f>HYPERLINK("https://twitter.com/RothSteph","@RothSteph")</f>
        <v>@RothSteph</v>
      </c>
      <c r="C687" s="21" t="s">
        <v>1834</v>
      </c>
      <c r="D687" s="21" t="s">
        <v>1345</v>
      </c>
      <c r="E687" s="22" t="str">
        <f>HYPERLINK("https://twitter.com/RothSteph/status/922387172652707840","922387172652707840")</f>
        <v>922387172652707840</v>
      </c>
      <c r="F687" s="23" t="s">
        <v>55</v>
      </c>
      <c r="G687" s="24">
        <v>227.0</v>
      </c>
      <c r="H687" s="24">
        <v>335.0</v>
      </c>
      <c r="I687" s="24">
        <v>22.0</v>
      </c>
      <c r="J687" s="24">
        <v>0.0</v>
      </c>
      <c r="K687" s="23" t="s">
        <v>34</v>
      </c>
      <c r="L687" s="25">
        <v>41109.63520833333</v>
      </c>
      <c r="M687" s="26" t="s">
        <v>1835</v>
      </c>
      <c r="N687" s="28"/>
      <c r="O687" s="22" t="str">
        <f>HYPERLINK("https://pbs.twimg.com/profile_images/921027190401224704/n4d_V-RA_normal.jpg","View")</f>
        <v>View</v>
      </c>
      <c r="P687" s="27"/>
    </row>
    <row r="688">
      <c r="A688" s="14">
        <v>43031.08351851851</v>
      </c>
      <c r="B688" s="20" t="str">
        <f>HYPERLINK("https://twitter.com/abosife2010","@abosife2010")</f>
        <v>@abosife2010</v>
      </c>
      <c r="C688" s="21" t="s">
        <v>1585</v>
      </c>
      <c r="D688" s="21" t="s">
        <v>1345</v>
      </c>
      <c r="E688" s="22" t="str">
        <f>HYPERLINK("https://twitter.com/abosife2010/status/922387185239777281","922387185239777281")</f>
        <v>922387185239777281</v>
      </c>
      <c r="F688" s="23" t="s">
        <v>43</v>
      </c>
      <c r="G688" s="24">
        <v>1145.0</v>
      </c>
      <c r="H688" s="24">
        <v>3102.0</v>
      </c>
      <c r="I688" s="24">
        <v>22.0</v>
      </c>
      <c r="J688" s="24">
        <v>0.0</v>
      </c>
      <c r="K688" s="23" t="s">
        <v>34</v>
      </c>
      <c r="L688" s="25">
        <v>40712.519224537034</v>
      </c>
      <c r="M688" s="32" t="s">
        <v>1586</v>
      </c>
      <c r="N688" s="26" t="s">
        <v>1587</v>
      </c>
      <c r="O688" s="22" t="str">
        <f>HYPERLINK("https://pbs.twimg.com/profile_images/869146010953682944/tD96CxJ8_normal.jpg","View")</f>
        <v>View</v>
      </c>
      <c r="P688" s="27"/>
    </row>
    <row r="689">
      <c r="A689" s="14">
        <v>43031.08355324074</v>
      </c>
      <c r="B689" s="20" t="str">
        <f>HYPERLINK("https://twitter.com/TheNewsGlobe","@TheNewsGlobe")</f>
        <v>@TheNewsGlobe</v>
      </c>
      <c r="C689" s="21" t="s">
        <v>1836</v>
      </c>
      <c r="D689" s="21" t="s">
        <v>1837</v>
      </c>
      <c r="E689" s="22" t="str">
        <f>HYPERLINK("https://twitter.com/TheNewsGlobe/status/922387197747064832","922387197747064832")</f>
        <v>922387197747064832</v>
      </c>
      <c r="F689" s="23" t="s">
        <v>1836</v>
      </c>
      <c r="G689" s="24">
        <v>2712.0</v>
      </c>
      <c r="H689" s="24">
        <v>1771.0</v>
      </c>
      <c r="I689" s="24">
        <v>0.0</v>
      </c>
      <c r="J689" s="24">
        <v>0.0</v>
      </c>
      <c r="K689" s="23" t="s">
        <v>34</v>
      </c>
      <c r="L689" s="25">
        <v>41092.105520833335</v>
      </c>
      <c r="M689" s="28"/>
      <c r="N689" s="26" t="s">
        <v>1838</v>
      </c>
      <c r="O689" s="22" t="str">
        <f>HYPERLINK("https://pbs.twimg.com/profile_images/2360227980/lvt33yxxfyarwobshu9k_normal.jpeg","View")</f>
        <v>View</v>
      </c>
      <c r="P689" s="27"/>
    </row>
    <row r="690">
      <c r="A690" s="14">
        <v>43031.08355324074</v>
      </c>
      <c r="B690" s="20" t="str">
        <f>HYPERLINK("https://twitter.com/nerdshock","@nerdshock")</f>
        <v>@nerdshock</v>
      </c>
      <c r="C690" s="21" t="s">
        <v>1839</v>
      </c>
      <c r="D690" s="21" t="s">
        <v>1474</v>
      </c>
      <c r="E690" s="22" t="str">
        <f>HYPERLINK("https://twitter.com/nerdshock/status/922387198221144069","922387198221144069")</f>
        <v>922387198221144069</v>
      </c>
      <c r="F690" s="23" t="s">
        <v>55</v>
      </c>
      <c r="G690" s="24">
        <v>1200.0</v>
      </c>
      <c r="H690" s="24">
        <v>516.0</v>
      </c>
      <c r="I690" s="24">
        <v>29.0</v>
      </c>
      <c r="J690" s="24">
        <v>0.0</v>
      </c>
      <c r="K690" s="23" t="s">
        <v>34</v>
      </c>
      <c r="L690" s="25">
        <v>39697.70240740741</v>
      </c>
      <c r="M690" s="26" t="s">
        <v>1840</v>
      </c>
      <c r="N690" s="26" t="s">
        <v>1841</v>
      </c>
      <c r="O690" s="22" t="str">
        <f>HYPERLINK("https://pbs.twimg.com/profile_images/893948489054507013/P-5f2mgj_normal.jpg","View")</f>
        <v>View</v>
      </c>
      <c r="P690" s="27"/>
    </row>
    <row r="691">
      <c r="A691" s="14">
        <v>43031.08356481481</v>
      </c>
      <c r="B691" s="20" t="str">
        <f>HYPERLINK("https://twitter.com/notatolerant","@notatolerant")</f>
        <v>@notatolerant</v>
      </c>
      <c r="C691" s="21" t="s">
        <v>1842</v>
      </c>
      <c r="D691" s="21" t="s">
        <v>42</v>
      </c>
      <c r="E691" s="22" t="str">
        <f>HYPERLINK("https://twitter.com/notatolerant/status/922387202608205824","922387202608205824")</f>
        <v>922387202608205824</v>
      </c>
      <c r="F691" s="23" t="s">
        <v>33</v>
      </c>
      <c r="G691" s="24">
        <v>108.0</v>
      </c>
      <c r="H691" s="24">
        <v>232.0</v>
      </c>
      <c r="I691" s="24">
        <v>8501.0</v>
      </c>
      <c r="J691" s="24">
        <v>0.0</v>
      </c>
      <c r="K691" s="23" t="s">
        <v>34</v>
      </c>
      <c r="L691" s="25">
        <v>42984.95601851852</v>
      </c>
      <c r="M691" s="26" t="s">
        <v>593</v>
      </c>
      <c r="N691" s="26" t="s">
        <v>1843</v>
      </c>
      <c r="O691" s="22" t="str">
        <f>HYPERLINK("https://pbs.twimg.com/profile_images/919073472440967168/2nnzO7a__normal.jpg","View")</f>
        <v>View</v>
      </c>
      <c r="P691" s="27"/>
    </row>
    <row r="692">
      <c r="A692" s="14">
        <v>43031.083599537036</v>
      </c>
      <c r="B692" s="20" t="str">
        <f>HYPERLINK("https://twitter.com/newslivenetwork","@newslivenetwork")</f>
        <v>@newslivenetwork</v>
      </c>
      <c r="C692" s="21" t="s">
        <v>89</v>
      </c>
      <c r="D692" s="21" t="s">
        <v>1844</v>
      </c>
      <c r="E692" s="22" t="str">
        <f>HYPERLINK("https://twitter.com/newslivenetwork/status/922387213509451777","922387213509451777")</f>
        <v>922387213509451777</v>
      </c>
      <c r="F692" s="23" t="s">
        <v>91</v>
      </c>
      <c r="G692" s="24">
        <v>271.0</v>
      </c>
      <c r="H692" s="24">
        <v>87.0</v>
      </c>
      <c r="I692" s="24">
        <v>0.0</v>
      </c>
      <c r="J692" s="24">
        <v>0.0</v>
      </c>
      <c r="K692" s="23" t="s">
        <v>34</v>
      </c>
      <c r="L692" s="25">
        <v>42741.47196759259</v>
      </c>
      <c r="M692" s="26" t="s">
        <v>92</v>
      </c>
      <c r="N692" s="26" t="s">
        <v>93</v>
      </c>
      <c r="O692" s="22" t="str">
        <f>HYPERLINK("https://pbs.twimg.com/profile_images/877414144424660992/scfhocj3_normal.jpg","View")</f>
        <v>View</v>
      </c>
      <c r="P692" s="27"/>
    </row>
    <row r="693">
      <c r="A693" s="14">
        <v>43031.083657407406</v>
      </c>
      <c r="B693" s="20" t="str">
        <f>HYPERLINK("https://twitter.com/newlytruly","@newlytruly")</f>
        <v>@newlytruly</v>
      </c>
      <c r="C693" s="21" t="s">
        <v>1845</v>
      </c>
      <c r="D693" s="21" t="s">
        <v>1846</v>
      </c>
      <c r="E693" s="22" t="str">
        <f>HYPERLINK("https://twitter.com/newlytruly/status/922387233583202304","922387233583202304")</f>
        <v>922387233583202304</v>
      </c>
      <c r="F693" s="23" t="s">
        <v>33</v>
      </c>
      <c r="G693" s="24">
        <v>1232.0</v>
      </c>
      <c r="H693" s="24">
        <v>2652.0</v>
      </c>
      <c r="I693" s="24">
        <v>1.0</v>
      </c>
      <c r="J693" s="24">
        <v>0.0</v>
      </c>
      <c r="K693" s="23" t="s">
        <v>34</v>
      </c>
      <c r="L693" s="25">
        <v>40376.9275</v>
      </c>
      <c r="M693" s="26" t="s">
        <v>1847</v>
      </c>
      <c r="N693" s="26" t="s">
        <v>1848</v>
      </c>
      <c r="O693" s="22" t="str">
        <f>HYPERLINK("https://pbs.twimg.com/profile_images/885829128967999488/USvbihlI_normal.jpg","View")</f>
        <v>View</v>
      </c>
      <c r="P693" s="27"/>
    </row>
    <row r="694">
      <c r="A694" s="14">
        <v>43031.08371527778</v>
      </c>
      <c r="B694" s="20" t="str">
        <f>HYPERLINK("https://twitter.com/SaudiGates","@SaudiGates")</f>
        <v>@SaudiGates</v>
      </c>
      <c r="C694" s="31" t="s">
        <v>1849</v>
      </c>
      <c r="D694" s="21" t="s">
        <v>1798</v>
      </c>
      <c r="E694" s="22" t="str">
        <f>HYPERLINK("https://twitter.com/SaudiGates/status/922387254223482883","922387254223482883")</f>
        <v>922387254223482883</v>
      </c>
      <c r="F694" s="23" t="s">
        <v>1799</v>
      </c>
      <c r="G694" s="24">
        <v>1722.0</v>
      </c>
      <c r="H694" s="24">
        <v>21.0</v>
      </c>
      <c r="I694" s="24">
        <v>4.0</v>
      </c>
      <c r="J694" s="24">
        <v>0.0</v>
      </c>
      <c r="K694" s="23" t="s">
        <v>34</v>
      </c>
      <c r="L694" s="25">
        <v>41246.17858796296</v>
      </c>
      <c r="M694" s="26" t="s">
        <v>1800</v>
      </c>
      <c r="N694" s="32" t="s">
        <v>1850</v>
      </c>
      <c r="O694" s="22" t="str">
        <f>HYPERLINK("https://pbs.twimg.com/profile_images/498374218950508546/qsX-SnpL_normal.jpeg","View")</f>
        <v>View</v>
      </c>
      <c r="P694" s="27"/>
    </row>
    <row r="695">
      <c r="A695" s="14">
        <v>43031.08371527778</v>
      </c>
      <c r="B695" s="20" t="str">
        <f>HYPERLINK("https://twitter.com/TFTCS","@TFTCS")</f>
        <v>@TFTCS</v>
      </c>
      <c r="C695" s="21" t="s">
        <v>1851</v>
      </c>
      <c r="D695" s="21" t="s">
        <v>1852</v>
      </c>
      <c r="E695" s="22" t="str">
        <f>HYPERLINK("https://twitter.com/TFTCS/status/922387255485976576","922387255485976576")</f>
        <v>922387255485976576</v>
      </c>
      <c r="F695" s="23" t="s">
        <v>187</v>
      </c>
      <c r="G695" s="24">
        <v>4389.0</v>
      </c>
      <c r="H695" s="24">
        <v>4555.0</v>
      </c>
      <c r="I695" s="24">
        <v>0.0</v>
      </c>
      <c r="J695" s="24">
        <v>0.0</v>
      </c>
      <c r="K695" s="23" t="s">
        <v>34</v>
      </c>
      <c r="L695" s="25">
        <v>41868.76810185185</v>
      </c>
      <c r="M695" s="26" t="s">
        <v>1853</v>
      </c>
      <c r="N695" s="26" t="s">
        <v>1854</v>
      </c>
      <c r="O695" s="22" t="str">
        <f>HYPERLINK("https://pbs.twimg.com/profile_images/736027772800368640/DdLGgNNU_normal.jpg","View")</f>
        <v>View</v>
      </c>
      <c r="P695" s="27"/>
    </row>
    <row r="696">
      <c r="A696" s="14">
        <v>43031.08371527778</v>
      </c>
      <c r="B696" s="20" t="str">
        <f>HYPERLINK("https://twitter.com/banasemliakazi","@banasemliakazi")</f>
        <v>@banasemliakazi</v>
      </c>
      <c r="C696" s="21" t="s">
        <v>1855</v>
      </c>
      <c r="D696" s="21" t="s">
        <v>42</v>
      </c>
      <c r="E696" s="22" t="str">
        <f>HYPERLINK("https://twitter.com/banasemliakazi/status/922387256337350656","922387256337350656")</f>
        <v>922387256337350656</v>
      </c>
      <c r="F696" s="23" t="s">
        <v>33</v>
      </c>
      <c r="G696" s="24">
        <v>164.0</v>
      </c>
      <c r="H696" s="24">
        <v>1771.0</v>
      </c>
      <c r="I696" s="24">
        <v>8501.0</v>
      </c>
      <c r="J696" s="24">
        <v>0.0</v>
      </c>
      <c r="K696" s="23" t="s">
        <v>34</v>
      </c>
      <c r="L696" s="25">
        <v>40270.95175925926</v>
      </c>
      <c r="M696" s="28"/>
      <c r="N696" s="28"/>
      <c r="O696" s="22" t="str">
        <f>HYPERLINK("https://abs.twimg.com/sticky/default_profile_images/default_profile_normal.png","View")</f>
        <v>View</v>
      </c>
      <c r="P696" s="27"/>
    </row>
    <row r="697">
      <c r="A697" s="14">
        <v>43031.08372685185</v>
      </c>
      <c r="B697" s="20" t="str">
        <f>HYPERLINK("https://twitter.com/Clyde_Peters3","@Clyde_Peters3")</f>
        <v>@Clyde_Peters3</v>
      </c>
      <c r="C697" s="21" t="s">
        <v>1856</v>
      </c>
      <c r="D697" s="21" t="s">
        <v>213</v>
      </c>
      <c r="E697" s="22" t="str">
        <f>HYPERLINK("https://twitter.com/Clyde_Peters3/status/922387259151695872","922387259151695872")</f>
        <v>922387259151695872</v>
      </c>
      <c r="F697" s="23" t="s">
        <v>55</v>
      </c>
      <c r="G697" s="24">
        <v>1.0</v>
      </c>
      <c r="H697" s="24">
        <v>0.0</v>
      </c>
      <c r="I697" s="24">
        <v>94.0</v>
      </c>
      <c r="J697" s="24">
        <v>0.0</v>
      </c>
      <c r="K697" s="23" t="s">
        <v>34</v>
      </c>
      <c r="L697" s="25">
        <v>43026.20929398148</v>
      </c>
      <c r="M697" s="28"/>
      <c r="N697" s="28"/>
      <c r="O697" s="22" t="str">
        <f>HYPERLINK("https://pbs.twimg.com/profile_images/920623410756984832/3-ysrg4I_normal.jpg","View")</f>
        <v>View</v>
      </c>
      <c r="P697" s="27"/>
    </row>
    <row r="698">
      <c r="A698" s="14">
        <v>43031.0837962963</v>
      </c>
      <c r="B698" s="20" t="str">
        <f>HYPERLINK("https://twitter.com/fusasippona","@fusasippona")</f>
        <v>@fusasippona</v>
      </c>
      <c r="C698" s="21" t="s">
        <v>1857</v>
      </c>
      <c r="D698" s="21" t="s">
        <v>1858</v>
      </c>
      <c r="E698" s="22" t="str">
        <f>HYPERLINK("https://twitter.com/fusasippona/status/922387284975947776","922387284975947776")</f>
        <v>922387284975947776</v>
      </c>
      <c r="F698" s="23" t="s">
        <v>55</v>
      </c>
      <c r="G698" s="24">
        <v>1435.0</v>
      </c>
      <c r="H698" s="24">
        <v>1673.0</v>
      </c>
      <c r="I698" s="24">
        <v>2.0</v>
      </c>
      <c r="J698" s="24">
        <v>0.0</v>
      </c>
      <c r="K698" s="23" t="s">
        <v>34</v>
      </c>
      <c r="L698" s="25">
        <v>40246.03875</v>
      </c>
      <c r="M698" s="28"/>
      <c r="N698" s="26" t="s">
        <v>1859</v>
      </c>
      <c r="O698" s="22" t="str">
        <f>HYPERLINK("https://pbs.twimg.com/profile_images/754306736643645440/Hwgedab0_normal.jpg","View")</f>
        <v>View</v>
      </c>
      <c r="P698" s="27"/>
    </row>
    <row r="699">
      <c r="A699" s="14">
        <v>43031.08380787037</v>
      </c>
      <c r="B699" s="20" t="str">
        <f>HYPERLINK("https://twitter.com/MediaSyndicate","@MediaSyndicate")</f>
        <v>@MediaSyndicate</v>
      </c>
      <c r="C699" s="21" t="s">
        <v>1860</v>
      </c>
      <c r="D699" s="21" t="s">
        <v>1861</v>
      </c>
      <c r="E699" s="22" t="str">
        <f>HYPERLINK("https://twitter.com/MediaSyndicate/status/922387288092545025","922387288092545025")</f>
        <v>922387288092545025</v>
      </c>
      <c r="F699" s="23" t="s">
        <v>427</v>
      </c>
      <c r="G699" s="24">
        <v>71.0</v>
      </c>
      <c r="H699" s="24">
        <v>1.0</v>
      </c>
      <c r="I699" s="24">
        <v>0.0</v>
      </c>
      <c r="J699" s="24">
        <v>0.0</v>
      </c>
      <c r="K699" s="23" t="s">
        <v>34</v>
      </c>
      <c r="L699" s="25">
        <v>39810.74228009259</v>
      </c>
      <c r="M699" s="26" t="s">
        <v>1862</v>
      </c>
      <c r="N699" s="26" t="s">
        <v>1863</v>
      </c>
      <c r="O699" s="22" t="str">
        <f>HYPERLINK("https://pbs.twimg.com/profile_images/1735943374/News_Icon_normal.jpg","View")</f>
        <v>View</v>
      </c>
      <c r="P699" s="27"/>
    </row>
    <row r="700">
      <c r="A700" s="14">
        <v>43031.083819444444</v>
      </c>
      <c r="B700" s="20" t="str">
        <f>HYPERLINK("https://twitter.com/RedDwarfGo","@RedDwarfGo")</f>
        <v>@RedDwarfGo</v>
      </c>
      <c r="C700" s="21" t="s">
        <v>1864</v>
      </c>
      <c r="D700" s="21" t="s">
        <v>42</v>
      </c>
      <c r="E700" s="22" t="str">
        <f>HYPERLINK("https://twitter.com/RedDwarfGo/status/922387292693544960","922387292693544960")</f>
        <v>922387292693544960</v>
      </c>
      <c r="F700" s="23" t="s">
        <v>39</v>
      </c>
      <c r="G700" s="24">
        <v>113.0</v>
      </c>
      <c r="H700" s="24">
        <v>167.0</v>
      </c>
      <c r="I700" s="24">
        <v>8501.0</v>
      </c>
      <c r="J700" s="24">
        <v>0.0</v>
      </c>
      <c r="K700" s="23" t="s">
        <v>34</v>
      </c>
      <c r="L700" s="25">
        <v>40194.44196759259</v>
      </c>
      <c r="M700" s="26" t="s">
        <v>1865</v>
      </c>
      <c r="N700" s="26" t="s">
        <v>1866</v>
      </c>
      <c r="O700" s="22" t="str">
        <f>HYPERLINK("https://pbs.twimg.com/profile_images/636197317/041205_1652_01_normal.jpg","View")</f>
        <v>View</v>
      </c>
      <c r="P700" s="27"/>
    </row>
    <row r="701">
      <c r="A701" s="14">
        <v>43031.08383101852</v>
      </c>
      <c r="B701" s="20" t="str">
        <f>HYPERLINK("https://twitter.com/newsline","@newsline")</f>
        <v>@newsline</v>
      </c>
      <c r="C701" s="21" t="s">
        <v>1867</v>
      </c>
      <c r="D701" s="21" t="s">
        <v>1868</v>
      </c>
      <c r="E701" s="22" t="str">
        <f>HYPERLINK("https://twitter.com/newsline/status/922387297672286208","922387297672286208")</f>
        <v>922387297672286208</v>
      </c>
      <c r="F701" s="30" t="s">
        <v>191</v>
      </c>
      <c r="G701" s="24">
        <v>1618.0</v>
      </c>
      <c r="H701" s="24">
        <v>2.0</v>
      </c>
      <c r="I701" s="24">
        <v>0.0</v>
      </c>
      <c r="J701" s="24">
        <v>0.0</v>
      </c>
      <c r="K701" s="23" t="s">
        <v>34</v>
      </c>
      <c r="L701" s="25">
        <v>39779.50122685185</v>
      </c>
      <c r="M701" s="26" t="s">
        <v>1869</v>
      </c>
      <c r="N701" s="26" t="s">
        <v>1870</v>
      </c>
      <c r="O701" s="22" t="str">
        <f>HYPERLINK("https://pbs.twimg.com/profile_images/778618969842483200/4H0_dpWR_normal.jpg","View")</f>
        <v>View</v>
      </c>
      <c r="P701" s="27"/>
    </row>
    <row r="702">
      <c r="A702" s="14">
        <v>43031.08384259259</v>
      </c>
      <c r="B702" s="20" t="str">
        <f>HYPERLINK("https://twitter.com/qXkSymHYIsgcqWU","@qXkSymHYIsgcqWU")</f>
        <v>@qXkSymHYIsgcqWU</v>
      </c>
      <c r="C702" s="21" t="s">
        <v>1871</v>
      </c>
      <c r="D702" s="21" t="s">
        <v>213</v>
      </c>
      <c r="E702" s="22" t="str">
        <f>HYPERLINK("https://twitter.com/qXkSymHYIsgcqWU/status/922387299584765952","922387299584765952")</f>
        <v>922387299584765952</v>
      </c>
      <c r="F702" s="23" t="s">
        <v>635</v>
      </c>
      <c r="G702" s="24">
        <v>2.0</v>
      </c>
      <c r="H702" s="24">
        <v>31.0</v>
      </c>
      <c r="I702" s="24">
        <v>94.0</v>
      </c>
      <c r="J702" s="24">
        <v>0.0</v>
      </c>
      <c r="K702" s="23" t="s">
        <v>34</v>
      </c>
      <c r="L702" s="25">
        <v>42991.2384375</v>
      </c>
      <c r="M702" s="28"/>
      <c r="N702" s="28"/>
      <c r="O702" s="22" t="str">
        <f>HYPERLINK("https://pbs.twimg.com/profile_images/922741228994641920/HOnn7qpu_normal.jpg","View")</f>
        <v>View</v>
      </c>
      <c r="P702" s="27"/>
    </row>
    <row r="703">
      <c r="A703" s="14">
        <v>43031.08385416667</v>
      </c>
      <c r="B703" s="20" t="str">
        <f>HYPERLINK("https://twitter.com/Taxtreats","@Taxtreats")</f>
        <v>@Taxtreats</v>
      </c>
      <c r="C703" s="21" t="s">
        <v>1872</v>
      </c>
      <c r="D703" s="21" t="s">
        <v>1873</v>
      </c>
      <c r="E703" s="22" t="str">
        <f>HYPERLINK("https://twitter.com/Taxtreats/status/922387307776434176","922387307776434176")</f>
        <v>922387307776434176</v>
      </c>
      <c r="F703" s="23" t="s">
        <v>187</v>
      </c>
      <c r="G703" s="24">
        <v>16832.0</v>
      </c>
      <c r="H703" s="24">
        <v>11490.0</v>
      </c>
      <c r="I703" s="24">
        <v>0.0</v>
      </c>
      <c r="J703" s="24">
        <v>0.0</v>
      </c>
      <c r="K703" s="23" t="s">
        <v>34</v>
      </c>
      <c r="L703" s="25">
        <v>40856.90590277778</v>
      </c>
      <c r="M703" s="28"/>
      <c r="N703" s="26" t="s">
        <v>1874</v>
      </c>
      <c r="O703" s="22" t="str">
        <f>HYPERLINK("https://pbs.twimg.com/profile_images/751613438179192832/XQMqihpl_normal.jpg","View")</f>
        <v>View</v>
      </c>
      <c r="P703" s="27"/>
    </row>
    <row r="704">
      <c r="A704" s="14">
        <v>43031.08387731481</v>
      </c>
      <c r="B704" s="20" t="str">
        <f>HYPERLINK("https://twitter.com/HarleyDelRey","@HarleyDelRey")</f>
        <v>@HarleyDelRey</v>
      </c>
      <c r="C704" s="21" t="s">
        <v>1875</v>
      </c>
      <c r="D704" s="21" t="s">
        <v>1474</v>
      </c>
      <c r="E704" s="22" t="str">
        <f>HYPERLINK("https://twitter.com/HarleyDelRey/status/922387312230780928","922387312230780928")</f>
        <v>922387312230780928</v>
      </c>
      <c r="F704" s="23" t="s">
        <v>39</v>
      </c>
      <c r="G704" s="24">
        <v>479.0</v>
      </c>
      <c r="H704" s="24">
        <v>388.0</v>
      </c>
      <c r="I704" s="24">
        <v>29.0</v>
      </c>
      <c r="J704" s="24">
        <v>0.0</v>
      </c>
      <c r="K704" s="23" t="s">
        <v>34</v>
      </c>
      <c r="L704" s="25">
        <v>40554.44126157407</v>
      </c>
      <c r="M704" s="26" t="s">
        <v>1876</v>
      </c>
      <c r="N704" s="26" t="s">
        <v>1877</v>
      </c>
      <c r="O704" s="22" t="str">
        <f>HYPERLINK("https://pbs.twimg.com/profile_images/916041053081427970/vhj8fv5M_normal.jpg","View")</f>
        <v>View</v>
      </c>
      <c r="P704" s="27"/>
    </row>
    <row r="705">
      <c r="A705" s="14">
        <v>43031.08391203704</v>
      </c>
      <c r="B705" s="20" t="str">
        <f>HYPERLINK("https://twitter.com/pontaloumini","@pontaloumini")</f>
        <v>@pontaloumini</v>
      </c>
      <c r="C705" s="21" t="s">
        <v>1878</v>
      </c>
      <c r="D705" s="21" t="s">
        <v>42</v>
      </c>
      <c r="E705" s="22" t="str">
        <f>HYPERLINK("https://twitter.com/pontaloumini/status/922387328387104768","922387328387104768")</f>
        <v>922387328387104768</v>
      </c>
      <c r="F705" s="23" t="s">
        <v>39</v>
      </c>
      <c r="G705" s="24">
        <v>1225.0</v>
      </c>
      <c r="H705" s="24">
        <v>1257.0</v>
      </c>
      <c r="I705" s="24">
        <v>8501.0</v>
      </c>
      <c r="J705" s="24">
        <v>0.0</v>
      </c>
      <c r="K705" s="23" t="s">
        <v>34</v>
      </c>
      <c r="L705" s="25">
        <v>42463.18011574074</v>
      </c>
      <c r="M705" s="26" t="s">
        <v>1879</v>
      </c>
      <c r="N705" s="26" t="s">
        <v>1880</v>
      </c>
      <c r="O705" s="22" t="str">
        <f>HYPERLINK("https://pbs.twimg.com/profile_images/721277885097488384/0u57y0s0_normal.jpg","View")</f>
        <v>View</v>
      </c>
      <c r="P705" s="27"/>
    </row>
    <row r="706">
      <c r="A706" s="14">
        <v>43031.083923611106</v>
      </c>
      <c r="B706" s="20" t="str">
        <f>HYPERLINK("https://twitter.com/FairyBallington","@FairyBallington")</f>
        <v>@FairyBallington</v>
      </c>
      <c r="C706" s="21" t="s">
        <v>1881</v>
      </c>
      <c r="D706" s="21" t="s">
        <v>1882</v>
      </c>
      <c r="E706" s="22" t="str">
        <f>HYPERLINK("https://twitter.com/FairyBallington/status/922387329595174912","922387329595174912")</f>
        <v>922387329595174912</v>
      </c>
      <c r="F706" s="23" t="s">
        <v>1883</v>
      </c>
      <c r="G706" s="24">
        <v>383.0</v>
      </c>
      <c r="H706" s="24">
        <v>2453.0</v>
      </c>
      <c r="I706" s="24">
        <v>6.0</v>
      </c>
      <c r="J706" s="24">
        <v>0.0</v>
      </c>
      <c r="K706" s="23" t="s">
        <v>34</v>
      </c>
      <c r="L706" s="25">
        <v>41674.963055555556</v>
      </c>
      <c r="M706" s="28"/>
      <c r="N706" s="28"/>
      <c r="O706" s="22" t="str">
        <f>HYPERLINK("https://abs.twimg.com/sticky/default_profile_images/default_profile_normal.png","View")</f>
        <v>View</v>
      </c>
      <c r="P706" s="27"/>
    </row>
    <row r="707">
      <c r="A707" s="14">
        <v>43031.08393518519</v>
      </c>
      <c r="B707" s="20" t="str">
        <f>HYPERLINK("https://twitter.com/ChitwanOnlineFM","@ChitwanOnlineFM")</f>
        <v>@ChitwanOnlineFM</v>
      </c>
      <c r="C707" s="21" t="s">
        <v>1884</v>
      </c>
      <c r="D707" s="21" t="s">
        <v>1885</v>
      </c>
      <c r="E707" s="22" t="str">
        <f>HYPERLINK("https://twitter.com/ChitwanOnlineFM/status/922387336440307712","922387336440307712")</f>
        <v>922387336440307712</v>
      </c>
      <c r="F707" s="30" t="s">
        <v>191</v>
      </c>
      <c r="G707" s="24">
        <v>235.0</v>
      </c>
      <c r="H707" s="24">
        <v>5.0</v>
      </c>
      <c r="I707" s="24">
        <v>0.0</v>
      </c>
      <c r="J707" s="24">
        <v>0.0</v>
      </c>
      <c r="K707" s="23" t="s">
        <v>34</v>
      </c>
      <c r="L707" s="25">
        <v>41463.3747337963</v>
      </c>
      <c r="M707" s="26" t="s">
        <v>1886</v>
      </c>
      <c r="N707" s="26" t="s">
        <v>1887</v>
      </c>
      <c r="O707" s="22" t="str">
        <f>HYPERLINK("https://pbs.twimg.com/profile_images/527760719463211008/ksN9uJON_normal.png","View")</f>
        <v>View</v>
      </c>
      <c r="P707" s="27"/>
    </row>
    <row r="708">
      <c r="A708" s="14">
        <v>43031.08394675926</v>
      </c>
      <c r="B708" s="20" t="str">
        <f>HYPERLINK("https://twitter.com/SaudiLinks","@SaudiLinks")</f>
        <v>@SaudiLinks</v>
      </c>
      <c r="C708" s="31" t="s">
        <v>1888</v>
      </c>
      <c r="D708" s="21" t="s">
        <v>1798</v>
      </c>
      <c r="E708" s="22" t="str">
        <f>HYPERLINK("https://twitter.com/SaudiLinks/status/922387339451752449","922387339451752449")</f>
        <v>922387339451752449</v>
      </c>
      <c r="F708" s="23" t="s">
        <v>1799</v>
      </c>
      <c r="G708" s="24">
        <v>12479.0</v>
      </c>
      <c r="H708" s="24">
        <v>1050.0</v>
      </c>
      <c r="I708" s="24">
        <v>4.0</v>
      </c>
      <c r="J708" s="24">
        <v>0.0</v>
      </c>
      <c r="K708" s="23" t="s">
        <v>34</v>
      </c>
      <c r="L708" s="25">
        <v>41320.83851851852</v>
      </c>
      <c r="M708" s="32" t="s">
        <v>1889</v>
      </c>
      <c r="N708" s="32" t="s">
        <v>1890</v>
      </c>
      <c r="O708" s="22" t="str">
        <f>HYPERLINK("https://pbs.twimg.com/profile_images/750345426285367296/1gPv-H6W_normal.jpg","View")</f>
        <v>View</v>
      </c>
      <c r="P708" s="27"/>
    </row>
    <row r="709">
      <c r="A709" s="14">
        <v>43031.08395833333</v>
      </c>
      <c r="B709" s="20" t="str">
        <f>HYPERLINK("https://twitter.com/cgnetwork","@cgnetwork")</f>
        <v>@cgnetwork</v>
      </c>
      <c r="C709" s="21" t="s">
        <v>1891</v>
      </c>
      <c r="D709" s="21" t="s">
        <v>1892</v>
      </c>
      <c r="E709" s="22" t="str">
        <f>HYPERLINK("https://twitter.com/cgnetwork/status/922387343885168640","922387343885168640")</f>
        <v>922387343885168640</v>
      </c>
      <c r="F709" s="23" t="s">
        <v>91</v>
      </c>
      <c r="G709" s="24">
        <v>1173.0</v>
      </c>
      <c r="H709" s="24">
        <v>497.0</v>
      </c>
      <c r="I709" s="24">
        <v>0.0</v>
      </c>
      <c r="J709" s="24">
        <v>0.0</v>
      </c>
      <c r="K709" s="23" t="s">
        <v>34</v>
      </c>
      <c r="L709" s="25">
        <v>39992.06197916667</v>
      </c>
      <c r="M709" s="26" t="s">
        <v>1893</v>
      </c>
      <c r="N709" s="26" t="s">
        <v>1894</v>
      </c>
      <c r="O709" s="22" t="str">
        <f>HYPERLINK("https://pbs.twimg.com/profile_images/286683233/Francis_Lim_Passport_Size_photo_image.jpg_normal.jpg","View")</f>
        <v>View</v>
      </c>
      <c r="P709" s="27"/>
    </row>
    <row r="710">
      <c r="A710" s="14">
        <v>43031.083969907406</v>
      </c>
      <c r="B710" s="20" t="str">
        <f>HYPERLINK("https://twitter.com/puttnpdx","@puttnpdx")</f>
        <v>@puttnpdx</v>
      </c>
      <c r="C710" s="21" t="s">
        <v>1895</v>
      </c>
      <c r="D710" s="21" t="s">
        <v>1896</v>
      </c>
      <c r="E710" s="22" t="str">
        <f>HYPERLINK("https://twitter.com/puttnpdx/status/922387346544263168","922387346544263168")</f>
        <v>922387346544263168</v>
      </c>
      <c r="F710" s="23" t="s">
        <v>427</v>
      </c>
      <c r="G710" s="24">
        <v>73074.0</v>
      </c>
      <c r="H710" s="24">
        <v>11478.0</v>
      </c>
      <c r="I710" s="24">
        <v>0.0</v>
      </c>
      <c r="J710" s="24">
        <v>0.0</v>
      </c>
      <c r="K710" s="23" t="s">
        <v>34</v>
      </c>
      <c r="L710" s="25">
        <v>39864.50546296296</v>
      </c>
      <c r="M710" s="26" t="s">
        <v>1897</v>
      </c>
      <c r="N710" s="28"/>
      <c r="O710" s="22" t="str">
        <f>HYPERLINK("https://pbs.twimg.com/profile_images/838351544/IMG00145-20100404-1140_normal.jpg","View")</f>
        <v>View</v>
      </c>
      <c r="P710" s="27"/>
    </row>
    <row r="711">
      <c r="A711" s="14">
        <v>43031.083969907406</v>
      </c>
      <c r="B711" s="20" t="str">
        <f>HYPERLINK("https://twitter.com/Immaculatemwa11","@Immaculatemwa11")</f>
        <v>@Immaculatemwa11</v>
      </c>
      <c r="C711" s="21" t="s">
        <v>1898</v>
      </c>
      <c r="D711" s="21" t="s">
        <v>836</v>
      </c>
      <c r="E711" s="22" t="str">
        <f>HYPERLINK("https://twitter.com/Immaculatemwa11/status/922387347785830401","922387347785830401")</f>
        <v>922387347785830401</v>
      </c>
      <c r="F711" s="23" t="s">
        <v>33</v>
      </c>
      <c r="G711" s="24">
        <v>22.0</v>
      </c>
      <c r="H711" s="24">
        <v>249.0</v>
      </c>
      <c r="I711" s="24">
        <v>7.0</v>
      </c>
      <c r="J711" s="24">
        <v>0.0</v>
      </c>
      <c r="K711" s="23" t="s">
        <v>34</v>
      </c>
      <c r="L711" s="25">
        <v>42952.325694444444</v>
      </c>
      <c r="M711" s="26" t="s">
        <v>114</v>
      </c>
      <c r="N711" s="28"/>
      <c r="O711" s="22" t="str">
        <f>HYPERLINK("https://pbs.twimg.com/profile_images/921684030797631488/-2nGZ4RS_normal.jpg","View")</f>
        <v>View</v>
      </c>
      <c r="P711" s="27"/>
    </row>
    <row r="712">
      <c r="A712" s="14">
        <v>43031.083969907406</v>
      </c>
      <c r="B712" s="20" t="str">
        <f>HYPERLINK("https://twitter.com/farhaadaarif","@farhaadaarif")</f>
        <v>@farhaadaarif</v>
      </c>
      <c r="C712" s="21" t="s">
        <v>1899</v>
      </c>
      <c r="D712" s="21" t="s">
        <v>1900</v>
      </c>
      <c r="E712" s="22" t="str">
        <f>HYPERLINK("https://twitter.com/farhaadaarif/status/922387349811748865","922387349811748865")</f>
        <v>922387349811748865</v>
      </c>
      <c r="F712" s="23" t="s">
        <v>187</v>
      </c>
      <c r="G712" s="24">
        <v>696.0</v>
      </c>
      <c r="H712" s="24">
        <v>512.0</v>
      </c>
      <c r="I712" s="24">
        <v>0.0</v>
      </c>
      <c r="J712" s="24">
        <v>0.0</v>
      </c>
      <c r="K712" s="23" t="s">
        <v>34</v>
      </c>
      <c r="L712" s="25">
        <v>41804.32716435185</v>
      </c>
      <c r="M712" s="28"/>
      <c r="N712" s="26" t="s">
        <v>1901</v>
      </c>
      <c r="O712" s="22" t="str">
        <f>HYPERLINK("https://pbs.twimg.com/profile_images/923080831954022400/t72kSssz_normal.jpg","View")</f>
        <v>View</v>
      </c>
      <c r="P712" s="27"/>
    </row>
    <row r="713">
      <c r="A713" s="14">
        <v>43031.08405092593</v>
      </c>
      <c r="B713" s="20" t="str">
        <f>HYPERLINK("https://twitter.com/SandriGiulia","@SandriGiulia")</f>
        <v>@SandriGiulia</v>
      </c>
      <c r="C713" s="21" t="s">
        <v>1902</v>
      </c>
      <c r="D713" s="21" t="s">
        <v>1903</v>
      </c>
      <c r="E713" s="22" t="str">
        <f>HYPERLINK("https://twitter.com/SandriGiulia/status/922387375417946112","922387375417946112")</f>
        <v>922387375417946112</v>
      </c>
      <c r="F713" s="23" t="s">
        <v>39</v>
      </c>
      <c r="G713" s="24">
        <v>517.0</v>
      </c>
      <c r="H713" s="24">
        <v>688.0</v>
      </c>
      <c r="I713" s="24">
        <v>6.0</v>
      </c>
      <c r="J713" s="24">
        <v>0.0</v>
      </c>
      <c r="K713" s="23" t="s">
        <v>34</v>
      </c>
      <c r="L713" s="25">
        <v>41149.074953703705</v>
      </c>
      <c r="M713" s="28"/>
      <c r="N713" s="26" t="s">
        <v>1904</v>
      </c>
      <c r="O713" s="22" t="str">
        <f>HYPERLINK("https://pbs.twimg.com/profile_images/2551715047/cqceo4dibs3ym7jslov0_normal.jpeg","View")</f>
        <v>View</v>
      </c>
      <c r="P713" s="27"/>
    </row>
    <row r="714">
      <c r="A714" s="14">
        <v>43031.0840625</v>
      </c>
      <c r="B714" s="20" t="str">
        <f>HYPERLINK("https://twitter.com/sushilsnsharma","@sushilsnsharma")</f>
        <v>@sushilsnsharma</v>
      </c>
      <c r="C714" s="21" t="s">
        <v>1905</v>
      </c>
      <c r="D714" s="21" t="s">
        <v>42</v>
      </c>
      <c r="E714" s="22" t="str">
        <f>HYPERLINK("https://twitter.com/sushilsnsharma/status/922387379444260864","922387379444260864")</f>
        <v>922387379444260864</v>
      </c>
      <c r="F714" s="23" t="s">
        <v>39</v>
      </c>
      <c r="G714" s="24">
        <v>52.0</v>
      </c>
      <c r="H714" s="24">
        <v>45.0</v>
      </c>
      <c r="I714" s="24">
        <v>8501.0</v>
      </c>
      <c r="J714" s="24">
        <v>0.0</v>
      </c>
      <c r="K714" s="23" t="s">
        <v>34</v>
      </c>
      <c r="L714" s="25">
        <v>41759.72446759259</v>
      </c>
      <c r="M714" s="28"/>
      <c r="N714" s="28"/>
      <c r="O714" s="22" t="str">
        <f>HYPERLINK("https://pbs.twimg.com/profile_images/591451648255393792/LIFUVQLJ_normal.jpg","View")</f>
        <v>View</v>
      </c>
      <c r="P714" s="27"/>
    </row>
    <row r="715">
      <c r="A715" s="14">
        <v>43031.084131944444</v>
      </c>
      <c r="B715" s="20" t="str">
        <f>HYPERLINK("https://twitter.com/wildfirered98","@wildfirered98")</f>
        <v>@wildfirered98</v>
      </c>
      <c r="C715" s="21" t="s">
        <v>1906</v>
      </c>
      <c r="D715" s="21" t="s">
        <v>1907</v>
      </c>
      <c r="E715" s="22" t="str">
        <f>HYPERLINK("https://twitter.com/wildfirered98/status/922387408359915520","922387408359915520")</f>
        <v>922387408359915520</v>
      </c>
      <c r="F715" s="23" t="s">
        <v>33</v>
      </c>
      <c r="G715" s="24">
        <v>3113.0</v>
      </c>
      <c r="H715" s="24">
        <v>4993.0</v>
      </c>
      <c r="I715" s="24">
        <v>1.0</v>
      </c>
      <c r="J715" s="24">
        <v>0.0</v>
      </c>
      <c r="K715" s="23" t="s">
        <v>34</v>
      </c>
      <c r="L715" s="25">
        <v>39954.864641203705</v>
      </c>
      <c r="M715" s="26" t="s">
        <v>905</v>
      </c>
      <c r="N715" s="26" t="s">
        <v>1908</v>
      </c>
      <c r="O715" s="22" t="str">
        <f>HYPERLINK("https://pbs.twimg.com/profile_images/822327428685000705/j6jr-hM6_normal.jpg","View")</f>
        <v>View</v>
      </c>
      <c r="P715" s="27"/>
    </row>
    <row r="716">
      <c r="A716" s="14">
        <v>43031.084143518514</v>
      </c>
      <c r="B716" s="20" t="str">
        <f>HYPERLINK("https://twitter.com/usyername","@usyername")</f>
        <v>@usyername</v>
      </c>
      <c r="C716" s="21" t="s">
        <v>1279</v>
      </c>
      <c r="D716" s="21" t="s">
        <v>1909</v>
      </c>
      <c r="E716" s="22" t="str">
        <f>HYPERLINK("https://twitter.com/usyername/status/922387411451203584","922387411451203584")</f>
        <v>922387411451203584</v>
      </c>
      <c r="F716" s="23" t="s">
        <v>187</v>
      </c>
      <c r="G716" s="24">
        <v>8.0</v>
      </c>
      <c r="H716" s="24">
        <v>0.0</v>
      </c>
      <c r="I716" s="24">
        <v>0.0</v>
      </c>
      <c r="J716" s="24">
        <v>0.0</v>
      </c>
      <c r="K716" s="23" t="s">
        <v>34</v>
      </c>
      <c r="L716" s="25">
        <v>43009.781076388885</v>
      </c>
      <c r="M716" s="28"/>
      <c r="N716" s="28"/>
      <c r="O716" s="22" t="str">
        <f>HYPERLINK("https://pbs.twimg.com/profile_images/916502409580392448/6PpLTsL5_normal.jpg","View")</f>
        <v>View</v>
      </c>
      <c r="P716" s="27"/>
    </row>
    <row r="717">
      <c r="A717" s="14">
        <v>43031.08425925926</v>
      </c>
      <c r="B717" s="20" t="str">
        <f>HYPERLINK("https://twitter.com/RodgerE1","@RodgerE1")</f>
        <v>@RodgerE1</v>
      </c>
      <c r="C717" s="21" t="s">
        <v>1910</v>
      </c>
      <c r="D717" s="21" t="s">
        <v>513</v>
      </c>
      <c r="E717" s="22" t="str">
        <f>HYPERLINK("https://twitter.com/RodgerE1/status/922387453029376001","922387453029376001")</f>
        <v>922387453029376001</v>
      </c>
      <c r="F717" s="23" t="s">
        <v>1911</v>
      </c>
      <c r="G717" s="24">
        <v>243.0</v>
      </c>
      <c r="H717" s="24">
        <v>1046.0</v>
      </c>
      <c r="I717" s="24">
        <v>101.0</v>
      </c>
      <c r="J717" s="24">
        <v>0.0</v>
      </c>
      <c r="K717" s="23" t="s">
        <v>34</v>
      </c>
      <c r="L717" s="25">
        <v>39580.93765046296</v>
      </c>
      <c r="M717" s="26" t="s">
        <v>1912</v>
      </c>
      <c r="N717" s="26" t="s">
        <v>1913</v>
      </c>
      <c r="O717" s="22" t="str">
        <f>HYPERLINK("https://pbs.twimg.com/profile_images/454709752610553858/wiomUDMa_normal.jpeg","View")</f>
        <v>View</v>
      </c>
      <c r="P717" s="27"/>
    </row>
    <row r="718">
      <c r="A718" s="14">
        <v>43031.0843287037</v>
      </c>
      <c r="B718" s="20" t="str">
        <f>HYPERLINK("https://twitter.com/thaar","@thaar")</f>
        <v>@thaar</v>
      </c>
      <c r="C718" s="21" t="s">
        <v>1914</v>
      </c>
      <c r="D718" s="21" t="s">
        <v>1915</v>
      </c>
      <c r="E718" s="22" t="str">
        <f>HYPERLINK("https://twitter.com/thaar/status/922387475837980675","922387475837980675")</f>
        <v>922387475837980675</v>
      </c>
      <c r="F718" s="23" t="s">
        <v>187</v>
      </c>
      <c r="G718" s="24">
        <v>29338.0</v>
      </c>
      <c r="H718" s="24">
        <v>31097.0</v>
      </c>
      <c r="I718" s="24">
        <v>1.0</v>
      </c>
      <c r="J718" s="24">
        <v>0.0</v>
      </c>
      <c r="K718" s="23" t="s">
        <v>34</v>
      </c>
      <c r="L718" s="25">
        <v>39912.589849537035</v>
      </c>
      <c r="M718" s="26" t="s">
        <v>68</v>
      </c>
      <c r="N718" s="26" t="s">
        <v>1916</v>
      </c>
      <c r="O718" s="22" t="str">
        <f>HYPERLINK("https://pbs.twimg.com/profile_images/835478043569307648/RNv4z1CE_normal.jpg","View")</f>
        <v>View</v>
      </c>
      <c r="P718" s="27"/>
    </row>
    <row r="719">
      <c r="A719" s="14">
        <v>43031.08434027778</v>
      </c>
      <c r="B719" s="20" t="str">
        <f>HYPERLINK("https://twitter.com/majkomi","@majkomi")</f>
        <v>@majkomi</v>
      </c>
      <c r="C719" s="21" t="s">
        <v>1917</v>
      </c>
      <c r="D719" s="21" t="s">
        <v>760</v>
      </c>
      <c r="E719" s="22" t="str">
        <f>HYPERLINK("https://twitter.com/majkomi/status/922387482288693248","922387482288693248")</f>
        <v>922387482288693248</v>
      </c>
      <c r="F719" s="23" t="s">
        <v>39</v>
      </c>
      <c r="G719" s="24">
        <v>521.0</v>
      </c>
      <c r="H719" s="24">
        <v>2931.0</v>
      </c>
      <c r="I719" s="24">
        <v>62.0</v>
      </c>
      <c r="J719" s="24">
        <v>0.0</v>
      </c>
      <c r="K719" s="23" t="s">
        <v>34</v>
      </c>
      <c r="L719" s="25">
        <v>40339.849745370375</v>
      </c>
      <c r="M719" s="28"/>
      <c r="N719" s="26" t="s">
        <v>1918</v>
      </c>
      <c r="O719" s="22" t="str">
        <f>HYPERLINK("https://pbs.twimg.com/profile_images/626952359533391872/j8xM50sv_normal.jpg","View")</f>
        <v>View</v>
      </c>
      <c r="P719" s="27"/>
    </row>
    <row r="720">
      <c r="A720" s="14">
        <v>43031.08436342592</v>
      </c>
      <c r="B720" s="20" t="str">
        <f t="shared" ref="B720:B721" si="5">HYPERLINK("https://twitter.com/MineralCentric","@MineralCentric")</f>
        <v>@MineralCentric</v>
      </c>
      <c r="C720" s="21" t="s">
        <v>1919</v>
      </c>
      <c r="D720" s="21" t="s">
        <v>1920</v>
      </c>
      <c r="E720" s="22" t="str">
        <f>HYPERLINK("https://twitter.com/MineralCentric/status/922387489364561925","922387489364561925")</f>
        <v>922387489364561925</v>
      </c>
      <c r="F720" s="23" t="s">
        <v>187</v>
      </c>
      <c r="G720" s="24">
        <v>14467.0</v>
      </c>
      <c r="H720" s="24">
        <v>1868.0</v>
      </c>
      <c r="I720" s="24">
        <v>0.0</v>
      </c>
      <c r="J720" s="24">
        <v>0.0</v>
      </c>
      <c r="K720" s="23" t="s">
        <v>34</v>
      </c>
      <c r="L720" s="25">
        <v>39805.286458333336</v>
      </c>
      <c r="M720" s="26" t="s">
        <v>1921</v>
      </c>
      <c r="N720" s="26" t="s">
        <v>1922</v>
      </c>
      <c r="O720" s="22" t="str">
        <f t="shared" ref="O720:O721" si="6">HYPERLINK("https://pbs.twimg.com/profile_images/570692324036845568/iQbXYVtV_normal.jpeg","View")</f>
        <v>View</v>
      </c>
      <c r="P720" s="27"/>
    </row>
    <row r="721">
      <c r="A721" s="14">
        <v>43031.08436342592</v>
      </c>
      <c r="B721" s="20" t="str">
        <f t="shared" si="5"/>
        <v>@MineralCentric</v>
      </c>
      <c r="C721" s="21" t="s">
        <v>1919</v>
      </c>
      <c r="D721" s="21" t="s">
        <v>1923</v>
      </c>
      <c r="E721" s="22" t="str">
        <f>HYPERLINK("https://twitter.com/MineralCentric/status/922387492380315648","922387492380315648")</f>
        <v>922387492380315648</v>
      </c>
      <c r="F721" s="23" t="s">
        <v>187</v>
      </c>
      <c r="G721" s="24">
        <v>14467.0</v>
      </c>
      <c r="H721" s="24">
        <v>1868.0</v>
      </c>
      <c r="I721" s="24">
        <v>0.0</v>
      </c>
      <c r="J721" s="24">
        <v>0.0</v>
      </c>
      <c r="K721" s="23" t="s">
        <v>34</v>
      </c>
      <c r="L721" s="25">
        <v>39805.286458333336</v>
      </c>
      <c r="M721" s="26" t="s">
        <v>1921</v>
      </c>
      <c r="N721" s="26" t="s">
        <v>1922</v>
      </c>
      <c r="O721" s="22" t="str">
        <f t="shared" si="6"/>
        <v>View</v>
      </c>
      <c r="P721" s="27"/>
    </row>
    <row r="722">
      <c r="A722" s="14">
        <v>43031.084386574075</v>
      </c>
      <c r="B722" s="20" t="str">
        <f>HYPERLINK("https://twitter.com/TSM979","@TSM979")</f>
        <v>@TSM979</v>
      </c>
      <c r="C722" s="21" t="s">
        <v>1924</v>
      </c>
      <c r="D722" s="21" t="s">
        <v>42</v>
      </c>
      <c r="E722" s="22" t="str">
        <f>HYPERLINK("https://twitter.com/TSM979/status/922387499799818240","922387499799818240")</f>
        <v>922387499799818240</v>
      </c>
      <c r="F722" s="23" t="s">
        <v>55</v>
      </c>
      <c r="G722" s="24">
        <v>131.0</v>
      </c>
      <c r="H722" s="24">
        <v>201.0</v>
      </c>
      <c r="I722" s="24">
        <v>8501.0</v>
      </c>
      <c r="J722" s="24">
        <v>0.0</v>
      </c>
      <c r="K722" s="23" t="s">
        <v>34</v>
      </c>
      <c r="L722" s="25">
        <v>42053.20820601852</v>
      </c>
      <c r="M722" s="28"/>
      <c r="N722" s="26" t="s">
        <v>1925</v>
      </c>
      <c r="O722" s="22" t="str">
        <f>HYPERLINK("https://pbs.twimg.com/profile_images/885003806521655296/cX-RjWTk_normal.jpg","View")</f>
        <v>View</v>
      </c>
      <c r="P722" s="27"/>
    </row>
    <row r="723">
      <c r="A723" s="14">
        <v>43031.08451388888</v>
      </c>
      <c r="B723" s="20" t="str">
        <f>HYPERLINK("https://twitter.com/EmmaSmWall","@EmmaSmWall")</f>
        <v>@EmmaSmWall</v>
      </c>
      <c r="C723" s="21" t="s">
        <v>1926</v>
      </c>
      <c r="D723" s="21" t="s">
        <v>1927</v>
      </c>
      <c r="E723" s="22" t="str">
        <f>HYPERLINK("https://twitter.com/EmmaSmWall/status/922387544716857344","922387544716857344")</f>
        <v>922387544716857344</v>
      </c>
      <c r="F723" s="23" t="s">
        <v>55</v>
      </c>
      <c r="G723" s="24">
        <v>3467.0</v>
      </c>
      <c r="H723" s="24">
        <v>1527.0</v>
      </c>
      <c r="I723" s="24">
        <v>0.0</v>
      </c>
      <c r="J723" s="24">
        <v>1.0</v>
      </c>
      <c r="K723" s="23" t="s">
        <v>34</v>
      </c>
      <c r="L723" s="25">
        <v>40917.565405092595</v>
      </c>
      <c r="M723" s="28"/>
      <c r="N723" s="26" t="s">
        <v>1928</v>
      </c>
      <c r="O723" s="22" t="str">
        <f>HYPERLINK("https://pbs.twimg.com/profile_images/1745452802/headshot_normal.jpg","View")</f>
        <v>View</v>
      </c>
      <c r="P723" s="27"/>
    </row>
    <row r="724">
      <c r="A724" s="14">
        <v>43031.08453703704</v>
      </c>
      <c r="B724" s="20" t="str">
        <f>HYPERLINK("https://twitter.com/stuwoods82","@stuwoods82")</f>
        <v>@stuwoods82</v>
      </c>
      <c r="C724" s="21" t="s">
        <v>1929</v>
      </c>
      <c r="D724" s="21" t="s">
        <v>760</v>
      </c>
      <c r="E724" s="22" t="str">
        <f>HYPERLINK("https://twitter.com/stuwoods82/status/922387553344372737","922387553344372737")</f>
        <v>922387553344372737</v>
      </c>
      <c r="F724" s="23" t="s">
        <v>39</v>
      </c>
      <c r="G724" s="24">
        <v>77.0</v>
      </c>
      <c r="H724" s="24">
        <v>423.0</v>
      </c>
      <c r="I724" s="24">
        <v>62.0</v>
      </c>
      <c r="J724" s="24">
        <v>0.0</v>
      </c>
      <c r="K724" s="23" t="s">
        <v>34</v>
      </c>
      <c r="L724" s="25">
        <v>41136.25366898148</v>
      </c>
      <c r="M724" s="26" t="s">
        <v>1930</v>
      </c>
      <c r="N724" s="26" t="s">
        <v>1931</v>
      </c>
      <c r="O724" s="22" t="str">
        <f>HYPERLINK("https://pbs.twimg.com/profile_images/884044196390125568/UQBFXObA_normal.jpg","View")</f>
        <v>View</v>
      </c>
      <c r="P724" s="27"/>
    </row>
    <row r="725">
      <c r="A725" s="14">
        <v>43031.08459490741</v>
      </c>
      <c r="B725" s="20" t="str">
        <f>HYPERLINK("https://twitter.com/Kolao15","@Kolao15")</f>
        <v>@Kolao15</v>
      </c>
      <c r="C725" s="21" t="s">
        <v>1932</v>
      </c>
      <c r="D725" s="21" t="s">
        <v>32</v>
      </c>
      <c r="E725" s="22" t="str">
        <f>HYPERLINK("https://twitter.com/Kolao15/status/922387575314223104","922387575314223104")</f>
        <v>922387575314223104</v>
      </c>
      <c r="F725" s="23" t="s">
        <v>33</v>
      </c>
      <c r="G725" s="24">
        <v>94.0</v>
      </c>
      <c r="H725" s="24">
        <v>165.0</v>
      </c>
      <c r="I725" s="24">
        <v>471.0</v>
      </c>
      <c r="J725" s="24">
        <v>0.0</v>
      </c>
      <c r="K725" s="23" t="s">
        <v>34</v>
      </c>
      <c r="L725" s="25">
        <v>42924.38251157408</v>
      </c>
      <c r="M725" s="28"/>
      <c r="N725" s="28"/>
      <c r="O725" s="22" t="str">
        <f>HYPERLINK("https://abs.twimg.com/sticky/default_profile_images/default_profile_normal.png","View")</f>
        <v>View</v>
      </c>
      <c r="P725" s="27"/>
    </row>
    <row r="726">
      <c r="A726" s="14">
        <v>43031.08461805555</v>
      </c>
      <c r="B726" s="20" t="str">
        <f>HYPERLINK("https://twitter.com/albertoallen","@albertoallen")</f>
        <v>@albertoallen</v>
      </c>
      <c r="C726" s="21" t="s">
        <v>1933</v>
      </c>
      <c r="D726" s="21" t="s">
        <v>1934</v>
      </c>
      <c r="E726" s="22" t="str">
        <f>HYPERLINK("https://twitter.com/albertoallen/status/922387580901052416","922387580901052416")</f>
        <v>922387580901052416</v>
      </c>
      <c r="F726" s="23" t="s">
        <v>55</v>
      </c>
      <c r="G726" s="24">
        <v>1133.0</v>
      </c>
      <c r="H726" s="24">
        <v>1497.0</v>
      </c>
      <c r="I726" s="24">
        <v>0.0</v>
      </c>
      <c r="J726" s="24">
        <v>0.0</v>
      </c>
      <c r="K726" s="23" t="s">
        <v>34</v>
      </c>
      <c r="L726" s="25">
        <v>40015.72121527778</v>
      </c>
      <c r="M726" s="26" t="s">
        <v>1935</v>
      </c>
      <c r="N726" s="26" t="s">
        <v>1936</v>
      </c>
      <c r="O726" s="22" t="str">
        <f>HYPERLINK("https://pbs.twimg.com/profile_images/550596100445331457/ZNkIjKgY_normal.jpeg","View")</f>
        <v>View</v>
      </c>
      <c r="P726" s="27"/>
    </row>
    <row r="727">
      <c r="A727" s="14">
        <v>43031.084641203706</v>
      </c>
      <c r="B727" s="20" t="str">
        <f>HYPERLINK("https://twitter.com/KumarPa181395","@KumarPa181395")</f>
        <v>@KumarPa181395</v>
      </c>
      <c r="C727" s="21" t="s">
        <v>1937</v>
      </c>
      <c r="D727" s="21" t="s">
        <v>42</v>
      </c>
      <c r="E727" s="22" t="str">
        <f>HYPERLINK("https://twitter.com/KumarPa181395/status/922387589235175424","922387589235175424")</f>
        <v>922387589235175424</v>
      </c>
      <c r="F727" s="23" t="s">
        <v>33</v>
      </c>
      <c r="G727" s="24">
        <v>3.0</v>
      </c>
      <c r="H727" s="24">
        <v>94.0</v>
      </c>
      <c r="I727" s="24">
        <v>8501.0</v>
      </c>
      <c r="J727" s="24">
        <v>0.0</v>
      </c>
      <c r="K727" s="23" t="s">
        <v>34</v>
      </c>
      <c r="L727" s="25">
        <v>43020.950312500005</v>
      </c>
      <c r="M727" s="26" t="s">
        <v>246</v>
      </c>
      <c r="N727" s="26" t="s">
        <v>1938</v>
      </c>
      <c r="O727" s="22" t="str">
        <f>HYPERLINK("https://pbs.twimg.com/profile_images/919959417981878272/6WBT752U_normal.jpg","View")</f>
        <v>View</v>
      </c>
      <c r="P727" s="27"/>
    </row>
    <row r="728">
      <c r="A728" s="14">
        <v>43031.084768518514</v>
      </c>
      <c r="B728" s="20" t="str">
        <f>HYPERLINK("https://twitter.com/mirogeorgiev97","@mirogeorgiev97")</f>
        <v>@mirogeorgiev97</v>
      </c>
      <c r="C728" s="21" t="s">
        <v>1440</v>
      </c>
      <c r="D728" s="21" t="s">
        <v>1939</v>
      </c>
      <c r="E728" s="22" t="str">
        <f>HYPERLINK("https://twitter.com/mirogeorgiev97/status/922387638123974658","922387638123974658")</f>
        <v>922387638123974658</v>
      </c>
      <c r="F728" s="23" t="s">
        <v>187</v>
      </c>
      <c r="G728" s="24">
        <v>950.0</v>
      </c>
      <c r="H728" s="24">
        <v>4974.0</v>
      </c>
      <c r="I728" s="24">
        <v>0.0</v>
      </c>
      <c r="J728" s="24">
        <v>0.0</v>
      </c>
      <c r="K728" s="23" t="s">
        <v>34</v>
      </c>
      <c r="L728" s="25">
        <v>41999.38021990741</v>
      </c>
      <c r="M728" s="26" t="s">
        <v>1442</v>
      </c>
      <c r="N728" s="26" t="s">
        <v>1443</v>
      </c>
      <c r="O728" s="22" t="str">
        <f>HYPERLINK("https://pbs.twimg.com/profile_images/790650212452802560/yknMqKWs_normal.jpg","View")</f>
        <v>View</v>
      </c>
      <c r="P728" s="27"/>
    </row>
    <row r="729">
      <c r="A729" s="14">
        <v>43031.084861111114</v>
      </c>
      <c r="B729" s="20" t="str">
        <f>HYPERLINK("https://twitter.com/AlmanarEnglish","@AlmanarEnglish")</f>
        <v>@AlmanarEnglish</v>
      </c>
      <c r="C729" s="21" t="s">
        <v>1940</v>
      </c>
      <c r="D729" s="21" t="s">
        <v>1941</v>
      </c>
      <c r="E729" s="22" t="str">
        <f>HYPERLINK("https://twitter.com/AlmanarEnglish/status/922387671816818689","922387671816818689")</f>
        <v>922387671816818689</v>
      </c>
      <c r="F729" s="23" t="s">
        <v>1942</v>
      </c>
      <c r="G729" s="24">
        <v>5822.0</v>
      </c>
      <c r="H729" s="24">
        <v>6079.0</v>
      </c>
      <c r="I729" s="24">
        <v>0.0</v>
      </c>
      <c r="J729" s="24">
        <v>0.0</v>
      </c>
      <c r="K729" s="23" t="s">
        <v>34</v>
      </c>
      <c r="L729" s="25">
        <v>41619.37820601852</v>
      </c>
      <c r="M729" s="26" t="s">
        <v>1943</v>
      </c>
      <c r="N729" s="26" t="s">
        <v>1944</v>
      </c>
      <c r="O729" s="22" t="str">
        <f>HYPERLINK("https://pbs.twimg.com/profile_images/808222879104073728/4tVFZCdv_normal.jpg","View")</f>
        <v>View</v>
      </c>
      <c r="P729" s="27"/>
    </row>
    <row r="730">
      <c r="A730" s="14">
        <v>43031.084872685184</v>
      </c>
      <c r="B730" s="20" t="str">
        <f>HYPERLINK("https://twitter.com/CNBCTradersFan","@CNBCTradersFan")</f>
        <v>@CNBCTradersFan</v>
      </c>
      <c r="C730" s="21" t="s">
        <v>1945</v>
      </c>
      <c r="D730" s="21" t="s">
        <v>1946</v>
      </c>
      <c r="E730" s="22" t="str">
        <f>HYPERLINK("https://twitter.com/CNBCTradersFan/status/922387673884581888","922387673884581888")</f>
        <v>922387673884581888</v>
      </c>
      <c r="F730" s="23" t="s">
        <v>187</v>
      </c>
      <c r="G730" s="24">
        <v>17128.0</v>
      </c>
      <c r="H730" s="24">
        <v>11615.0</v>
      </c>
      <c r="I730" s="24">
        <v>0.0</v>
      </c>
      <c r="J730" s="24">
        <v>0.0</v>
      </c>
      <c r="K730" s="23" t="s">
        <v>34</v>
      </c>
      <c r="L730" s="25">
        <v>40922.50542824074</v>
      </c>
      <c r="M730" s="26" t="s">
        <v>1947</v>
      </c>
      <c r="N730" s="26" t="s">
        <v>1948</v>
      </c>
      <c r="O730" s="22" t="str">
        <f>HYPERLINK("https://pbs.twimg.com/profile_images/731870469318684672/Ckf7rDdJ_normal.jpg","View")</f>
        <v>View</v>
      </c>
      <c r="P730" s="27"/>
    </row>
    <row r="731">
      <c r="A731" s="14">
        <v>43031.08488425926</v>
      </c>
      <c r="B731" s="20" t="str">
        <f>HYPERLINK("https://twitter.com/Hiroyuki0205","@Hiroyuki0205")</f>
        <v>@Hiroyuki0205</v>
      </c>
      <c r="C731" s="21" t="s">
        <v>1949</v>
      </c>
      <c r="D731" s="21" t="s">
        <v>1444</v>
      </c>
      <c r="E731" s="22" t="str">
        <f>HYPERLINK("https://twitter.com/Hiroyuki0205/status/922387677126672384","922387677126672384")</f>
        <v>922387677126672384</v>
      </c>
      <c r="F731" s="23" t="s">
        <v>39</v>
      </c>
      <c r="G731" s="24">
        <v>5.0</v>
      </c>
      <c r="H731" s="24">
        <v>9.0</v>
      </c>
      <c r="I731" s="24">
        <v>50.0</v>
      </c>
      <c r="J731" s="24">
        <v>0.0</v>
      </c>
      <c r="K731" s="23" t="s">
        <v>34</v>
      </c>
      <c r="L731" s="25">
        <v>40092.91143518519</v>
      </c>
      <c r="M731" s="26" t="s">
        <v>1950</v>
      </c>
      <c r="N731" s="26" t="s">
        <v>1951</v>
      </c>
      <c r="O731" s="22" t="str">
        <f>HYPERLINK("https://pbs.twimg.com/profile_images/730582979240558592/YJMFz_d2_normal.jpg","View")</f>
        <v>View</v>
      </c>
      <c r="P731" s="27"/>
    </row>
    <row r="732">
      <c r="A732" s="14">
        <v>43031.08508101852</v>
      </c>
      <c r="B732" s="20" t="str">
        <f>HYPERLINK("https://twitter.com/kyookine","@kyookine")</f>
        <v>@kyookine</v>
      </c>
      <c r="C732" s="21" t="s">
        <v>1952</v>
      </c>
      <c r="D732" s="21" t="s">
        <v>1953</v>
      </c>
      <c r="E732" s="22" t="str">
        <f>HYPERLINK("https://twitter.com/kyookine/status/922387749927239680","922387749927239680")</f>
        <v>922387749927239680</v>
      </c>
      <c r="F732" s="23" t="s">
        <v>55</v>
      </c>
      <c r="G732" s="24">
        <v>1596.0</v>
      </c>
      <c r="H732" s="24">
        <v>338.0</v>
      </c>
      <c r="I732" s="24">
        <v>0.0</v>
      </c>
      <c r="J732" s="24">
        <v>1.0</v>
      </c>
      <c r="K732" s="23" t="s">
        <v>34</v>
      </c>
      <c r="L732" s="25">
        <v>40607.22356481481</v>
      </c>
      <c r="M732" s="26" t="s">
        <v>1954</v>
      </c>
      <c r="N732" s="26" t="s">
        <v>1955</v>
      </c>
      <c r="O732" s="22" t="str">
        <f>HYPERLINK("https://pbs.twimg.com/profile_images/464266705313615872/PpryEcou_normal.jpeg","View")</f>
        <v>View</v>
      </c>
      <c r="P732" s="27"/>
    </row>
    <row r="733">
      <c r="A733" s="14">
        <v>43031.08508101852</v>
      </c>
      <c r="B733" s="20" t="str">
        <f>HYPERLINK("https://twitter.com/JbrexMe","@JbrexMe")</f>
        <v>@JbrexMe</v>
      </c>
      <c r="C733" s="21" t="s">
        <v>1956</v>
      </c>
      <c r="D733" s="21" t="s">
        <v>1474</v>
      </c>
      <c r="E733" s="22" t="str">
        <f>HYPERLINK("https://twitter.com/JbrexMe/status/922387751298879488","922387751298879488")</f>
        <v>922387751298879488</v>
      </c>
      <c r="F733" s="23" t="s">
        <v>33</v>
      </c>
      <c r="G733" s="24">
        <v>324.0</v>
      </c>
      <c r="H733" s="24">
        <v>653.0</v>
      </c>
      <c r="I733" s="24">
        <v>29.0</v>
      </c>
      <c r="J733" s="24">
        <v>0.0</v>
      </c>
      <c r="K733" s="23" t="s">
        <v>34</v>
      </c>
      <c r="L733" s="25">
        <v>40254.34247685185</v>
      </c>
      <c r="M733" s="26" t="s">
        <v>1957</v>
      </c>
      <c r="N733" s="26" t="s">
        <v>1958</v>
      </c>
      <c r="O733" s="22" t="str">
        <f>HYPERLINK("https://pbs.twimg.com/profile_images/863839561834799105/h620A75V_normal.jpg","View")</f>
        <v>View</v>
      </c>
      <c r="P733" s="27"/>
    </row>
    <row r="734">
      <c r="A734" s="14">
        <v>43031.085127314815</v>
      </c>
      <c r="B734" s="20" t="str">
        <f>HYPERLINK("https://twitter.com/PMoallemian","@PMoallemian")</f>
        <v>@PMoallemian</v>
      </c>
      <c r="C734" s="21" t="s">
        <v>1959</v>
      </c>
      <c r="D734" s="21" t="s">
        <v>1960</v>
      </c>
      <c r="E734" s="22" t="str">
        <f>HYPERLINK("https://twitter.com/PMoallemian/status/922387765685309440","922387765685309440")</f>
        <v>922387765685309440</v>
      </c>
      <c r="F734" s="23" t="s">
        <v>187</v>
      </c>
      <c r="G734" s="24">
        <v>5102.0</v>
      </c>
      <c r="H734" s="24">
        <v>90.0</v>
      </c>
      <c r="I734" s="24">
        <v>0.0</v>
      </c>
      <c r="J734" s="24">
        <v>0.0</v>
      </c>
      <c r="K734" s="23" t="s">
        <v>34</v>
      </c>
      <c r="L734" s="25">
        <v>39556.68920138889</v>
      </c>
      <c r="M734" s="26" t="s">
        <v>1961</v>
      </c>
      <c r="N734" s="26" t="s">
        <v>1962</v>
      </c>
      <c r="O734" s="22" t="str">
        <f>HYPERLINK("https://pbs.twimg.com/profile_images/2383496814/8p8tjkit7a1nmjrarib6_normal.jpeg","View")</f>
        <v>View</v>
      </c>
      <c r="P734" s="27"/>
    </row>
    <row r="735">
      <c r="A735" s="14">
        <v>43031.08534722222</v>
      </c>
      <c r="B735" s="20" t="str">
        <f>HYPERLINK("https://twitter.com/pushandpulljlm","@pushandpulljlm")</f>
        <v>@pushandpulljlm</v>
      </c>
      <c r="C735" s="21" t="s">
        <v>1963</v>
      </c>
      <c r="D735" s="21" t="s">
        <v>1444</v>
      </c>
      <c r="E735" s="22" t="str">
        <f>HYPERLINK("https://twitter.com/pushandpulljlm/status/922387848472522752","922387848472522752")</f>
        <v>922387848472522752</v>
      </c>
      <c r="F735" s="23" t="s">
        <v>39</v>
      </c>
      <c r="G735" s="24">
        <v>745.0</v>
      </c>
      <c r="H735" s="24">
        <v>1377.0</v>
      </c>
      <c r="I735" s="24">
        <v>50.0</v>
      </c>
      <c r="J735" s="24">
        <v>0.0</v>
      </c>
      <c r="K735" s="23" t="s">
        <v>34</v>
      </c>
      <c r="L735" s="25">
        <v>41875.55952546296</v>
      </c>
      <c r="M735" s="26" t="s">
        <v>1964</v>
      </c>
      <c r="N735" s="26" t="s">
        <v>1965</v>
      </c>
      <c r="O735" s="22" t="str">
        <f>HYPERLINK("https://pbs.twimg.com/profile_images/921351785066958849/vgWS7HR-_normal.jpg","View")</f>
        <v>View</v>
      </c>
      <c r="P735" s="27"/>
    </row>
    <row r="736">
      <c r="A736" s="14">
        <v>43031.08541666667</v>
      </c>
      <c r="B736" s="20" t="str">
        <f>HYPERLINK("https://twitter.com/Tuff__McKinney","@Tuff__McKinney")</f>
        <v>@Tuff__McKinney</v>
      </c>
      <c r="C736" s="21" t="s">
        <v>1966</v>
      </c>
      <c r="D736" s="21" t="s">
        <v>760</v>
      </c>
      <c r="E736" s="22" t="str">
        <f>HYPERLINK("https://twitter.com/Tuff__McKinney/status/922387870119350272","922387870119350272")</f>
        <v>922387870119350272</v>
      </c>
      <c r="F736" s="23" t="s">
        <v>33</v>
      </c>
      <c r="G736" s="24">
        <v>49.0</v>
      </c>
      <c r="H736" s="24">
        <v>2119.0</v>
      </c>
      <c r="I736" s="24">
        <v>62.0</v>
      </c>
      <c r="J736" s="24">
        <v>0.0</v>
      </c>
      <c r="K736" s="23" t="s">
        <v>34</v>
      </c>
      <c r="L736" s="25">
        <v>42063.953680555554</v>
      </c>
      <c r="M736" s="26" t="s">
        <v>1967</v>
      </c>
      <c r="N736" s="26" t="s">
        <v>1968</v>
      </c>
      <c r="O736" s="22" t="str">
        <f>HYPERLINK("https://pbs.twimg.com/profile_images/765222474669785089/zLvHbIAY_normal.jpg","View")</f>
        <v>View</v>
      </c>
      <c r="P736" s="27"/>
    </row>
    <row r="737">
      <c r="A737" s="14">
        <v>43031.08545138889</v>
      </c>
      <c r="B737" s="20" t="str">
        <f>HYPERLINK("https://twitter.com/GboruM","@GboruM")</f>
        <v>@GboruM</v>
      </c>
      <c r="C737" s="21" t="s">
        <v>1481</v>
      </c>
      <c r="D737" s="21" t="s">
        <v>1969</v>
      </c>
      <c r="E737" s="22" t="str">
        <f>HYPERLINK("https://twitter.com/GboruM/status/922387885638275072","922387885638275072")</f>
        <v>922387885638275072</v>
      </c>
      <c r="F737" s="23" t="s">
        <v>91</v>
      </c>
      <c r="G737" s="24">
        <v>12140.0</v>
      </c>
      <c r="H737" s="24">
        <v>287.0</v>
      </c>
      <c r="I737" s="24">
        <v>0.0</v>
      </c>
      <c r="J737" s="24">
        <v>0.0</v>
      </c>
      <c r="K737" s="23" t="s">
        <v>34</v>
      </c>
      <c r="L737" s="25">
        <v>41246.92685185185</v>
      </c>
      <c r="M737" s="26" t="s">
        <v>1483</v>
      </c>
      <c r="N737" s="26" t="s">
        <v>1484</v>
      </c>
      <c r="O737" s="22" t="str">
        <f>HYPERLINK("https://pbs.twimg.com/profile_images/916061586640470016/W_06rU48_normal.jpg","View")</f>
        <v>View</v>
      </c>
      <c r="P737" s="27"/>
    </row>
    <row r="738">
      <c r="A738" s="14">
        <v>43031.08560185185</v>
      </c>
      <c r="B738" s="20" t="str">
        <f>HYPERLINK("https://twitter.com/NannySaysNah","@NannySaysNah")</f>
        <v>@NannySaysNah</v>
      </c>
      <c r="C738" s="21" t="s">
        <v>1970</v>
      </c>
      <c r="D738" s="21" t="s">
        <v>1444</v>
      </c>
      <c r="E738" s="22" t="str">
        <f>HYPERLINK("https://twitter.com/NannySaysNah/status/922387940449198080","922387940449198080")</f>
        <v>922387940449198080</v>
      </c>
      <c r="F738" s="23" t="s">
        <v>230</v>
      </c>
      <c r="G738" s="24">
        <v>516.0</v>
      </c>
      <c r="H738" s="24">
        <v>3210.0</v>
      </c>
      <c r="I738" s="24">
        <v>50.0</v>
      </c>
      <c r="J738" s="24">
        <v>0.0</v>
      </c>
      <c r="K738" s="23" t="s">
        <v>34</v>
      </c>
      <c r="L738" s="25">
        <v>41195.16815972222</v>
      </c>
      <c r="M738" s="26" t="s">
        <v>1971</v>
      </c>
      <c r="N738" s="28"/>
      <c r="O738" s="22" t="str">
        <f>HYPERLINK("https://pbs.twimg.com/profile_images/722626308237369344/BNPFfIeP_normal.jpg","View")</f>
        <v>View</v>
      </c>
      <c r="P738" s="27"/>
    </row>
    <row r="739">
      <c r="A739" s="14">
        <v>43031.08571759259</v>
      </c>
      <c r="B739" s="20" t="str">
        <f>HYPERLINK("https://twitter.com/YazdJBilimoria","@YazdJBilimoria")</f>
        <v>@YazdJBilimoria</v>
      </c>
      <c r="C739" s="21" t="s">
        <v>1972</v>
      </c>
      <c r="D739" s="21" t="s">
        <v>1973</v>
      </c>
      <c r="E739" s="22" t="str">
        <f>HYPERLINK("https://twitter.com/YazdJBilimoria/status/922387980735545346","922387980735545346")</f>
        <v>922387980735545346</v>
      </c>
      <c r="F739" s="23" t="s">
        <v>33</v>
      </c>
      <c r="G739" s="24">
        <v>606.0</v>
      </c>
      <c r="H739" s="24">
        <v>397.0</v>
      </c>
      <c r="I739" s="24">
        <v>1.0</v>
      </c>
      <c r="J739" s="24">
        <v>0.0</v>
      </c>
      <c r="K739" s="23" t="s">
        <v>34</v>
      </c>
      <c r="L739" s="25">
        <v>40838.035405092596</v>
      </c>
      <c r="M739" s="26" t="s">
        <v>207</v>
      </c>
      <c r="N739" s="26" t="s">
        <v>1974</v>
      </c>
      <c r="O739" s="22" t="str">
        <f>HYPERLINK("https://pbs.twimg.com/profile_images/609557791234109440/HngDPdiD_normal.jpg","View")</f>
        <v>View</v>
      </c>
      <c r="P739" s="27"/>
    </row>
    <row r="740">
      <c r="A740" s="14">
        <v>43031.08572916666</v>
      </c>
      <c r="B740" s="20" t="str">
        <f>HYPERLINK("https://twitter.com/JaganKumarRana1","@JaganKumarRana1")</f>
        <v>@JaganKumarRana1</v>
      </c>
      <c r="C740" s="21" t="s">
        <v>1975</v>
      </c>
      <c r="D740" s="21" t="s">
        <v>1976</v>
      </c>
      <c r="E740" s="22" t="str">
        <f>HYPERLINK("https://twitter.com/JaganKumarRana1/status/922387985181696000","922387985181696000")</f>
        <v>922387985181696000</v>
      </c>
      <c r="F740" s="23" t="s">
        <v>33</v>
      </c>
      <c r="G740" s="24">
        <v>11.0</v>
      </c>
      <c r="H740" s="24">
        <v>167.0</v>
      </c>
      <c r="I740" s="24">
        <v>0.0</v>
      </c>
      <c r="J740" s="24">
        <v>0.0</v>
      </c>
      <c r="K740" s="23" t="s">
        <v>34</v>
      </c>
      <c r="L740" s="25">
        <v>42526.73621527778</v>
      </c>
      <c r="M740" s="26" t="s">
        <v>1977</v>
      </c>
      <c r="N740" s="26" t="s">
        <v>1978</v>
      </c>
      <c r="O740" s="22" t="str">
        <f>HYPERLINK("https://pbs.twimg.com/profile_images/912986019657523205/hUT7022q_normal.jpg","View")</f>
        <v>View</v>
      </c>
      <c r="P740" s="27"/>
    </row>
    <row r="741">
      <c r="A741" s="14">
        <v>43031.08579861111</v>
      </c>
      <c r="B741" s="20" t="str">
        <f>HYPERLINK("https://twitter.com/Jnkmrgenkai","@Jnkmrgenkai")</f>
        <v>@Jnkmrgenkai</v>
      </c>
      <c r="C741" s="21" t="s">
        <v>1979</v>
      </c>
      <c r="D741" s="21" t="s">
        <v>42</v>
      </c>
      <c r="E741" s="22" t="str">
        <f>HYPERLINK("https://twitter.com/Jnkmrgenkai/status/922388011857321985","922388011857321985")</f>
        <v>922388011857321985</v>
      </c>
      <c r="F741" s="23" t="s">
        <v>55</v>
      </c>
      <c r="G741" s="24">
        <v>3023.0</v>
      </c>
      <c r="H741" s="24">
        <v>2583.0</v>
      </c>
      <c r="I741" s="24">
        <v>8501.0</v>
      </c>
      <c r="J741" s="24">
        <v>0.0</v>
      </c>
      <c r="K741" s="23" t="s">
        <v>34</v>
      </c>
      <c r="L741" s="25">
        <v>40515.59688657407</v>
      </c>
      <c r="M741" s="28"/>
      <c r="N741" s="26" t="s">
        <v>1980</v>
      </c>
      <c r="O741" s="22" t="str">
        <f>HYPERLINK("https://pbs.twimg.com/profile_images/914316299274039297/9cOOpqIj_normal.jpg","View")</f>
        <v>View</v>
      </c>
      <c r="P741" s="27"/>
    </row>
    <row r="742">
      <c r="A742" s="14">
        <v>43031.08584490741</v>
      </c>
      <c r="B742" s="20" t="str">
        <f>HYPERLINK("https://twitter.com/SocialLifeMiami","@SocialLifeMiami")</f>
        <v>@SocialLifeMiami</v>
      </c>
      <c r="C742" s="21" t="s">
        <v>1981</v>
      </c>
      <c r="D742" s="21" t="s">
        <v>1982</v>
      </c>
      <c r="E742" s="22" t="str">
        <f>HYPERLINK("https://twitter.com/SocialLifeMiami/status/922388025501540353","922388025501540353")</f>
        <v>922388025501540353</v>
      </c>
      <c r="F742" s="23" t="s">
        <v>187</v>
      </c>
      <c r="G742" s="24">
        <v>560.0</v>
      </c>
      <c r="H742" s="24">
        <v>792.0</v>
      </c>
      <c r="I742" s="24">
        <v>0.0</v>
      </c>
      <c r="J742" s="24">
        <v>0.0</v>
      </c>
      <c r="K742" s="23" t="s">
        <v>34</v>
      </c>
      <c r="L742" s="25">
        <v>42603.67471064815</v>
      </c>
      <c r="M742" s="26" t="s">
        <v>1983</v>
      </c>
      <c r="N742" s="26" t="s">
        <v>1564</v>
      </c>
      <c r="O742" s="22" t="str">
        <f>HYPERLINK("https://pbs.twimg.com/profile_images/767547452878647296/oD-Hg_jO_normal.jpg","View")</f>
        <v>View</v>
      </c>
      <c r="P742" s="27"/>
    </row>
    <row r="743">
      <c r="A743" s="14">
        <v>43031.085868055554</v>
      </c>
      <c r="B743" s="20" t="str">
        <f>HYPERLINK("https://twitter.com/TopFiveTraders","@TopFiveTraders")</f>
        <v>@TopFiveTraders</v>
      </c>
      <c r="C743" s="21" t="s">
        <v>1984</v>
      </c>
      <c r="D743" s="21" t="s">
        <v>1985</v>
      </c>
      <c r="E743" s="22" t="str">
        <f>HYPERLINK("https://twitter.com/TopFiveTraders/status/922388036821843968","922388036821843968")</f>
        <v>922388036821843968</v>
      </c>
      <c r="F743" s="23" t="s">
        <v>187</v>
      </c>
      <c r="G743" s="24">
        <v>8168.0</v>
      </c>
      <c r="H743" s="24">
        <v>6711.0</v>
      </c>
      <c r="I743" s="24">
        <v>0.0</v>
      </c>
      <c r="J743" s="24">
        <v>0.0</v>
      </c>
      <c r="K743" s="23" t="s">
        <v>34</v>
      </c>
      <c r="L743" s="25">
        <v>41573.484201388885</v>
      </c>
      <c r="M743" s="26" t="s">
        <v>1986</v>
      </c>
      <c r="N743" s="26" t="s">
        <v>1987</v>
      </c>
      <c r="O743" s="22" t="str">
        <f>HYPERLINK("https://pbs.twimg.com/profile_images/729113141444026370/hi202Ffp_normal.jpg","View")</f>
        <v>View</v>
      </c>
      <c r="P743" s="27"/>
    </row>
    <row r="744">
      <c r="A744" s="14">
        <v>43031.086064814815</v>
      </c>
      <c r="B744" s="20" t="str">
        <f>HYPERLINK("https://twitter.com/nekokei2164","@nekokei2164")</f>
        <v>@nekokei2164</v>
      </c>
      <c r="C744" s="21" t="s">
        <v>1988</v>
      </c>
      <c r="D744" s="21" t="s">
        <v>42</v>
      </c>
      <c r="E744" s="22" t="str">
        <f>HYPERLINK("https://twitter.com/nekokei2164/status/922388106333917184","922388106333917184")</f>
        <v>922388106333917184</v>
      </c>
      <c r="F744" s="23" t="s">
        <v>230</v>
      </c>
      <c r="G744" s="24">
        <v>1869.0</v>
      </c>
      <c r="H744" s="24">
        <v>2902.0</v>
      </c>
      <c r="I744" s="24">
        <v>8501.0</v>
      </c>
      <c r="J744" s="24">
        <v>0.0</v>
      </c>
      <c r="K744" s="23" t="s">
        <v>34</v>
      </c>
      <c r="L744" s="25">
        <v>42450.21089120371</v>
      </c>
      <c r="M744" s="28"/>
      <c r="N744" s="26" t="s">
        <v>1989</v>
      </c>
      <c r="O744" s="22" t="str">
        <f>HYPERLINK("https://pbs.twimg.com/profile_images/711890504934301696/Lkn4DZqh_normal.jpg","View")</f>
        <v>View</v>
      </c>
      <c r="P744" s="27"/>
    </row>
    <row r="745">
      <c r="A745" s="14">
        <v>43031.08607638889</v>
      </c>
      <c r="B745" s="20" t="str">
        <f>HYPERLINK("https://twitter.com/NarasimhanSimha","@NarasimhanSimha")</f>
        <v>@NarasimhanSimha</v>
      </c>
      <c r="C745" s="21" t="s">
        <v>1990</v>
      </c>
      <c r="D745" s="21" t="s">
        <v>42</v>
      </c>
      <c r="E745" s="22" t="str">
        <f>HYPERLINK("https://twitter.com/NarasimhanSimha/status/922388110222266370","922388110222266370")</f>
        <v>922388110222266370</v>
      </c>
      <c r="F745" s="23" t="s">
        <v>33</v>
      </c>
      <c r="G745" s="24">
        <v>98.0</v>
      </c>
      <c r="H745" s="24">
        <v>38.0</v>
      </c>
      <c r="I745" s="24">
        <v>8501.0</v>
      </c>
      <c r="J745" s="24">
        <v>0.0</v>
      </c>
      <c r="K745" s="23" t="s">
        <v>34</v>
      </c>
      <c r="L745" s="25">
        <v>42319.22956018518</v>
      </c>
      <c r="M745" s="26" t="s">
        <v>1991</v>
      </c>
      <c r="N745" s="26" t="s">
        <v>1992</v>
      </c>
      <c r="O745" s="22" t="str">
        <f>HYPERLINK("https://pbs.twimg.com/profile_images/921945464194371584/sf0B5wal_normal.jpg","View")</f>
        <v>View</v>
      </c>
      <c r="P745" s="27"/>
    </row>
    <row r="746">
      <c r="A746" s="14">
        <v>43031.08608796296</v>
      </c>
      <c r="B746" s="20" t="str">
        <f>HYPERLINK("https://twitter.com/Bibhu_93","@Bibhu_93")</f>
        <v>@Bibhu_93</v>
      </c>
      <c r="C746" s="21" t="s">
        <v>1993</v>
      </c>
      <c r="D746" s="21" t="s">
        <v>42</v>
      </c>
      <c r="E746" s="22" t="str">
        <f>HYPERLINK("https://twitter.com/Bibhu_93/status/922388113871089664","922388113871089664")</f>
        <v>922388113871089664</v>
      </c>
      <c r="F746" s="23" t="s">
        <v>33</v>
      </c>
      <c r="G746" s="24">
        <v>132.0</v>
      </c>
      <c r="H746" s="24">
        <v>280.0</v>
      </c>
      <c r="I746" s="24">
        <v>8501.0</v>
      </c>
      <c r="J746" s="24">
        <v>0.0</v>
      </c>
      <c r="K746" s="23" t="s">
        <v>34</v>
      </c>
      <c r="L746" s="25">
        <v>42600.55090277777</v>
      </c>
      <c r="M746" s="26" t="s">
        <v>572</v>
      </c>
      <c r="N746" s="26" t="s">
        <v>1994</v>
      </c>
      <c r="O746" s="22" t="str">
        <f>HYPERLINK("https://pbs.twimg.com/profile_images/766369707175927808/CKahrBt1_normal.jpg","View")</f>
        <v>View</v>
      </c>
      <c r="P746" s="27"/>
    </row>
    <row r="747">
      <c r="A747" s="14">
        <v>43031.08619212963</v>
      </c>
      <c r="B747" s="20" t="str">
        <f>HYPERLINK("https://twitter.com/Sir_C_R","@Sir_C_R")</f>
        <v>@Sir_C_R</v>
      </c>
      <c r="C747" s="21" t="s">
        <v>1995</v>
      </c>
      <c r="D747" s="21" t="s">
        <v>42</v>
      </c>
      <c r="E747" s="22" t="str">
        <f>HYPERLINK("https://twitter.com/Sir_C_R/status/922388153364774912","922388153364774912")</f>
        <v>922388153364774912</v>
      </c>
      <c r="F747" s="23" t="s">
        <v>33</v>
      </c>
      <c r="G747" s="24">
        <v>1231.0</v>
      </c>
      <c r="H747" s="24">
        <v>603.0</v>
      </c>
      <c r="I747" s="24">
        <v>8501.0</v>
      </c>
      <c r="J747" s="24">
        <v>0.0</v>
      </c>
      <c r="K747" s="23" t="s">
        <v>34</v>
      </c>
      <c r="L747" s="25">
        <v>41404.04814814815</v>
      </c>
      <c r="M747" s="26" t="s">
        <v>1996</v>
      </c>
      <c r="N747" s="26" t="s">
        <v>1997</v>
      </c>
      <c r="O747" s="22" t="str">
        <f>HYPERLINK("https://pbs.twimg.com/profile_images/856746572465532928/CFUzrJwM_normal.jpg","View")</f>
        <v>View</v>
      </c>
      <c r="P747" s="27"/>
    </row>
    <row r="748">
      <c r="A748" s="14">
        <v>43031.08621527778</v>
      </c>
      <c r="B748" s="20" t="str">
        <f>HYPERLINK("https://twitter.com/lwpnews","@lwpnews")</f>
        <v>@lwpnews</v>
      </c>
      <c r="C748" s="21" t="s">
        <v>1998</v>
      </c>
      <c r="D748" s="21" t="s">
        <v>1999</v>
      </c>
      <c r="E748" s="22" t="str">
        <f>HYPERLINK("https://twitter.com/lwpnews/status/922388159698227200","922388159698227200")</f>
        <v>922388159698227200</v>
      </c>
      <c r="F748" s="23" t="s">
        <v>2000</v>
      </c>
      <c r="G748" s="24">
        <v>2087.0</v>
      </c>
      <c r="H748" s="24">
        <v>1921.0</v>
      </c>
      <c r="I748" s="24">
        <v>0.0</v>
      </c>
      <c r="J748" s="24">
        <v>0.0</v>
      </c>
      <c r="K748" s="23" t="s">
        <v>34</v>
      </c>
      <c r="L748" s="25">
        <v>40839.60371527778</v>
      </c>
      <c r="M748" s="26" t="s">
        <v>2001</v>
      </c>
      <c r="N748" s="26" t="s">
        <v>2002</v>
      </c>
      <c r="O748" s="22" t="str">
        <f>HYPERLINK("https://pbs.twimg.com/profile_images/559685135172259841/0fskU8H7_normal.jpeg","View")</f>
        <v>View</v>
      </c>
      <c r="P748" s="27"/>
    </row>
    <row r="749">
      <c r="A749" s="14">
        <v>43031.086226851854</v>
      </c>
      <c r="B749" s="20" t="str">
        <f>HYPERLINK("https://twitter.com/PaginaNuova","@PaginaNuova")</f>
        <v>@PaginaNuova</v>
      </c>
      <c r="C749" s="21" t="s">
        <v>1802</v>
      </c>
      <c r="D749" s="21" t="s">
        <v>2003</v>
      </c>
      <c r="E749" s="22" t="str">
        <f>HYPERLINK("https://twitter.com/PaginaNuova/status/922388167780634624","922388167780634624")</f>
        <v>922388167780634624</v>
      </c>
      <c r="F749" s="23" t="s">
        <v>187</v>
      </c>
      <c r="G749" s="24">
        <v>1153.0</v>
      </c>
      <c r="H749" s="24">
        <v>503.0</v>
      </c>
      <c r="I749" s="24">
        <v>0.0</v>
      </c>
      <c r="J749" s="24">
        <v>0.0</v>
      </c>
      <c r="K749" s="23" t="s">
        <v>34</v>
      </c>
      <c r="L749" s="25">
        <v>39795.738541666666</v>
      </c>
      <c r="M749" s="26" t="s">
        <v>1804</v>
      </c>
      <c r="N749" s="26" t="s">
        <v>1805</v>
      </c>
      <c r="O749" s="22" t="str">
        <f>HYPERLINK("https://pbs.twimg.com/profile_images/733085909457993728/CNCcL-S7_normal.jpg","View")</f>
        <v>View</v>
      </c>
      <c r="P749" s="27"/>
    </row>
    <row r="750">
      <c r="A750" s="14">
        <v>43031.086388888885</v>
      </c>
      <c r="B750" s="20" t="str">
        <f>HYPERLINK("https://twitter.com/PachelbelCanonD","@PachelbelCanonD")</f>
        <v>@PachelbelCanonD</v>
      </c>
      <c r="C750" s="21" t="s">
        <v>2004</v>
      </c>
      <c r="D750" s="21" t="s">
        <v>1858</v>
      </c>
      <c r="E750" s="22" t="str">
        <f>HYPERLINK("https://twitter.com/PachelbelCanonD/status/922388225770930177","922388225770930177")</f>
        <v>922388225770930177</v>
      </c>
      <c r="F750" s="23" t="s">
        <v>55</v>
      </c>
      <c r="G750" s="24">
        <v>422.0</v>
      </c>
      <c r="H750" s="24">
        <v>555.0</v>
      </c>
      <c r="I750" s="24">
        <v>2.0</v>
      </c>
      <c r="J750" s="24">
        <v>0.0</v>
      </c>
      <c r="K750" s="23" t="s">
        <v>34</v>
      </c>
      <c r="L750" s="25">
        <v>42709.563564814816</v>
      </c>
      <c r="M750" s="28"/>
      <c r="N750" s="26" t="s">
        <v>2005</v>
      </c>
      <c r="O750" s="22" t="str">
        <f>HYPERLINK("https://abs.twimg.com/sticky/default_profile_images/default_profile_normal.png","View")</f>
        <v>View</v>
      </c>
      <c r="P750" s="27"/>
    </row>
    <row r="751">
      <c r="A751" s="14">
        <v>43031.08658564815</v>
      </c>
      <c r="B751" s="20" t="str">
        <f>HYPERLINK("https://twitter.com/tracyashish","@tracyashish")</f>
        <v>@tracyashish</v>
      </c>
      <c r="C751" s="21" t="s">
        <v>892</v>
      </c>
      <c r="D751" s="21" t="s">
        <v>2006</v>
      </c>
      <c r="E751" s="22" t="str">
        <f>HYPERLINK("https://twitter.com/tracyashish/status/922388295769767937","922388295769767937")</f>
        <v>922388295769767937</v>
      </c>
      <c r="F751" s="23" t="s">
        <v>43</v>
      </c>
      <c r="G751" s="24">
        <v>407.0</v>
      </c>
      <c r="H751" s="24">
        <v>1970.0</v>
      </c>
      <c r="I751" s="24">
        <v>2.0</v>
      </c>
      <c r="J751" s="24">
        <v>0.0</v>
      </c>
      <c r="K751" s="23" t="s">
        <v>34</v>
      </c>
      <c r="L751" s="25">
        <v>42209.92612268518</v>
      </c>
      <c r="M751" s="26" t="s">
        <v>893</v>
      </c>
      <c r="N751" s="26" t="s">
        <v>894</v>
      </c>
      <c r="O751" s="22" t="str">
        <f>HYPERLINK("https://pbs.twimg.com/profile_images/874504814838898688/G59yhvU2_normal.jpg","View")</f>
        <v>View</v>
      </c>
      <c r="P751" s="27"/>
    </row>
    <row r="752">
      <c r="A752" s="14">
        <v>43031.086643518516</v>
      </c>
      <c r="B752" s="20" t="str">
        <f>HYPERLINK("https://twitter.com/archilys_1st","@archilys_1st")</f>
        <v>@archilys_1st</v>
      </c>
      <c r="C752" s="21" t="s">
        <v>2007</v>
      </c>
      <c r="D752" s="21" t="s">
        <v>42</v>
      </c>
      <c r="E752" s="22" t="str">
        <f>HYPERLINK("https://twitter.com/archilys_1st/status/922388316963594240","922388316963594240")</f>
        <v>922388316963594240</v>
      </c>
      <c r="F752" s="23" t="s">
        <v>39</v>
      </c>
      <c r="G752" s="24">
        <v>1180.0</v>
      </c>
      <c r="H752" s="24">
        <v>1354.0</v>
      </c>
      <c r="I752" s="24">
        <v>8501.0</v>
      </c>
      <c r="J752" s="24">
        <v>0.0</v>
      </c>
      <c r="K752" s="23" t="s">
        <v>34</v>
      </c>
      <c r="L752" s="25">
        <v>41166.34162037037</v>
      </c>
      <c r="M752" s="26" t="s">
        <v>2008</v>
      </c>
      <c r="N752" s="26" t="s">
        <v>2009</v>
      </c>
      <c r="O752" s="22" t="str">
        <f>HYPERLINK("https://pbs.twimg.com/profile_images/633465889707266048/UvcGQkgk_normal.jpg","View")</f>
        <v>View</v>
      </c>
      <c r="P752" s="27"/>
    </row>
    <row r="753">
      <c r="A753" s="14">
        <v>43031.086759259255</v>
      </c>
      <c r="B753" s="20" t="str">
        <f>HYPERLINK("https://twitter.com/babajibaala","@babajibaala")</f>
        <v>@babajibaala</v>
      </c>
      <c r="C753" s="21" t="s">
        <v>2010</v>
      </c>
      <c r="D753" s="21" t="s">
        <v>42</v>
      </c>
      <c r="E753" s="22" t="str">
        <f>HYPERLINK("https://twitter.com/babajibaala/status/922388358206169088","922388358206169088")</f>
        <v>922388358206169088</v>
      </c>
      <c r="F753" s="23" t="s">
        <v>55</v>
      </c>
      <c r="G753" s="24">
        <v>338.0</v>
      </c>
      <c r="H753" s="24">
        <v>217.0</v>
      </c>
      <c r="I753" s="24">
        <v>8501.0</v>
      </c>
      <c r="J753" s="24">
        <v>0.0</v>
      </c>
      <c r="K753" s="23" t="s">
        <v>34</v>
      </c>
      <c r="L753" s="25">
        <v>42156.01126157407</v>
      </c>
      <c r="M753" s="28"/>
      <c r="N753" s="26" t="s">
        <v>2011</v>
      </c>
      <c r="O753" s="22" t="str">
        <f>HYPERLINK("https://pbs.twimg.com/profile_images/605667770437496832/YYIZhftA_normal.jpg","View")</f>
        <v>View</v>
      </c>
      <c r="P753" s="27"/>
    </row>
    <row r="754">
      <c r="A754" s="14">
        <v>43031.086851851855</v>
      </c>
      <c r="B754" s="20" t="str">
        <f>HYPERLINK("https://twitter.com/CorePoliticsTV","@CorePoliticsTV")</f>
        <v>@CorePoliticsTV</v>
      </c>
      <c r="C754" s="21" t="s">
        <v>2012</v>
      </c>
      <c r="D754" s="21" t="s">
        <v>2013</v>
      </c>
      <c r="E754" s="22" t="str">
        <f>HYPERLINK("https://twitter.com/CorePoliticsTV/status/922388393853620225","922388393853620225")</f>
        <v>922388393853620225</v>
      </c>
      <c r="F754" s="23" t="s">
        <v>2014</v>
      </c>
      <c r="G754" s="24">
        <v>339.0</v>
      </c>
      <c r="H754" s="24">
        <v>54.0</v>
      </c>
      <c r="I754" s="24">
        <v>0.0</v>
      </c>
      <c r="J754" s="24">
        <v>0.0</v>
      </c>
      <c r="K754" s="23" t="s">
        <v>34</v>
      </c>
      <c r="L754" s="25">
        <v>42928.19521990741</v>
      </c>
      <c r="M754" s="26" t="s">
        <v>40</v>
      </c>
      <c r="N754" s="26" t="s">
        <v>2015</v>
      </c>
      <c r="O754" s="22" t="str">
        <f>HYPERLINK("https://pbs.twimg.com/profile_images/885147188258537472/5LLGDLYs_normal.jpg","View")</f>
        <v>View</v>
      </c>
      <c r="P754" s="27"/>
    </row>
    <row r="755">
      <c r="A755" s="14">
        <v>43031.08688657408</v>
      </c>
      <c r="B755" s="20" t="str">
        <f>HYPERLINK("https://twitter.com/lassesviland","@lassesviland")</f>
        <v>@lassesviland</v>
      </c>
      <c r="C755" s="21" t="s">
        <v>2016</v>
      </c>
      <c r="D755" s="21" t="s">
        <v>2017</v>
      </c>
      <c r="E755" s="22" t="str">
        <f>HYPERLINK("https://twitter.com/lassesviland/status/922388404750319616","922388404750319616")</f>
        <v>922388404750319616</v>
      </c>
      <c r="F755" s="23" t="s">
        <v>2018</v>
      </c>
      <c r="G755" s="24">
        <v>5.0</v>
      </c>
      <c r="H755" s="24">
        <v>2.0</v>
      </c>
      <c r="I755" s="24">
        <v>0.0</v>
      </c>
      <c r="J755" s="24">
        <v>0.0</v>
      </c>
      <c r="K755" s="23" t="s">
        <v>34</v>
      </c>
      <c r="L755" s="25">
        <v>41754.12498842592</v>
      </c>
      <c r="M755" s="28"/>
      <c r="N755" s="28"/>
      <c r="O755" s="22" t="str">
        <f>HYPERLINK("https://abs.twimg.com/sticky/default_profile_images/default_profile_normal.png","View")</f>
        <v>View</v>
      </c>
      <c r="P755" s="27"/>
    </row>
    <row r="756">
      <c r="A756" s="14">
        <v>43031.08689814815</v>
      </c>
      <c r="B756" s="20" t="str">
        <f>HYPERLINK("https://twitter.com/Akhil_Anand06","@Akhil_Anand06")</f>
        <v>@Akhil_Anand06</v>
      </c>
      <c r="C756" s="21" t="s">
        <v>2019</v>
      </c>
      <c r="D756" s="21" t="s">
        <v>42</v>
      </c>
      <c r="E756" s="22" t="str">
        <f>HYPERLINK("https://twitter.com/Akhil_Anand06/status/922388406939746306","922388406939746306")</f>
        <v>922388406939746306</v>
      </c>
      <c r="F756" s="23" t="s">
        <v>33</v>
      </c>
      <c r="G756" s="24">
        <v>146.0</v>
      </c>
      <c r="H756" s="24">
        <v>120.0</v>
      </c>
      <c r="I756" s="24">
        <v>8501.0</v>
      </c>
      <c r="J756" s="24">
        <v>0.0</v>
      </c>
      <c r="K756" s="23" t="s">
        <v>34</v>
      </c>
      <c r="L756" s="25">
        <v>40108.052453703705</v>
      </c>
      <c r="M756" s="26" t="s">
        <v>2020</v>
      </c>
      <c r="N756" s="26" t="s">
        <v>2021</v>
      </c>
      <c r="O756" s="22" t="str">
        <f>HYPERLINK("https://pbs.twimg.com/profile_images/775679138124398593/IBVmiDNj_normal.jpg","View")</f>
        <v>View</v>
      </c>
      <c r="P756" s="27"/>
    </row>
    <row r="757">
      <c r="A757" s="14">
        <v>43031.0871875</v>
      </c>
      <c r="B757" s="20" t="str">
        <f>HYPERLINK("https://twitter.com/mviworld","@mviworld")</f>
        <v>@mviworld</v>
      </c>
      <c r="C757" s="21" t="s">
        <v>2022</v>
      </c>
      <c r="D757" s="21" t="s">
        <v>2023</v>
      </c>
      <c r="E757" s="22" t="str">
        <f>HYPERLINK("https://twitter.com/mviworld/status/922388513219317760","922388513219317760")</f>
        <v>922388513219317760</v>
      </c>
      <c r="F757" s="23" t="s">
        <v>187</v>
      </c>
      <c r="G757" s="24">
        <v>10.0</v>
      </c>
      <c r="H757" s="24">
        <v>0.0</v>
      </c>
      <c r="I757" s="24">
        <v>0.0</v>
      </c>
      <c r="J757" s="24">
        <v>0.0</v>
      </c>
      <c r="K757" s="23" t="s">
        <v>34</v>
      </c>
      <c r="L757" s="25">
        <v>42108.69364583334</v>
      </c>
      <c r="M757" s="28"/>
      <c r="N757" s="26" t="s">
        <v>2024</v>
      </c>
      <c r="O757" s="22" t="str">
        <f>HYPERLINK("https://pbs.twimg.com/profile_images/917892304836399105/Z1hIAXOo_normal.jpg","View")</f>
        <v>View</v>
      </c>
      <c r="P757" s="27"/>
    </row>
    <row r="758">
      <c r="A758" s="14">
        <v>43031.087222222224</v>
      </c>
      <c r="B758" s="20" t="str">
        <f>HYPERLINK("https://twitter.com/MiamiMetropolis","@MiamiMetropolis")</f>
        <v>@MiamiMetropolis</v>
      </c>
      <c r="C758" s="21" t="s">
        <v>2025</v>
      </c>
      <c r="D758" s="21" t="s">
        <v>2026</v>
      </c>
      <c r="E758" s="22" t="str">
        <f>HYPERLINK("https://twitter.com/MiamiMetropolis/status/922388528264286208","922388528264286208")</f>
        <v>922388528264286208</v>
      </c>
      <c r="F758" s="30" t="s">
        <v>191</v>
      </c>
      <c r="G758" s="24">
        <v>222.0</v>
      </c>
      <c r="H758" s="24">
        <v>65.0</v>
      </c>
      <c r="I758" s="24">
        <v>0.0</v>
      </c>
      <c r="J758" s="24">
        <v>0.0</v>
      </c>
      <c r="K758" s="23" t="s">
        <v>34</v>
      </c>
      <c r="L758" s="25">
        <v>42218.405798611115</v>
      </c>
      <c r="M758" s="26" t="s">
        <v>1983</v>
      </c>
      <c r="N758" s="26" t="s">
        <v>2027</v>
      </c>
      <c r="O758" s="22" t="str">
        <f>HYPERLINK("https://pbs.twimg.com/profile_images/646697406998945792/Tn9RgfkM_normal.png","View")</f>
        <v>View</v>
      </c>
      <c r="P758" s="27"/>
    </row>
    <row r="759">
      <c r="A759" s="14">
        <v>43031.08734953703</v>
      </c>
      <c r="B759" s="20" t="str">
        <f>HYPERLINK("https://twitter.com/Idea_maniac","@Idea_maniac")</f>
        <v>@Idea_maniac</v>
      </c>
      <c r="C759" s="21" t="s">
        <v>2028</v>
      </c>
      <c r="D759" s="21" t="s">
        <v>42</v>
      </c>
      <c r="E759" s="22" t="str">
        <f>HYPERLINK("https://twitter.com/Idea_maniac/status/922388572140838912","922388572140838912")</f>
        <v>922388572140838912</v>
      </c>
      <c r="F759" s="23" t="s">
        <v>33</v>
      </c>
      <c r="G759" s="24">
        <v>1246.0</v>
      </c>
      <c r="H759" s="24">
        <v>606.0</v>
      </c>
      <c r="I759" s="24">
        <v>8501.0</v>
      </c>
      <c r="J759" s="24">
        <v>0.0</v>
      </c>
      <c r="K759" s="23" t="s">
        <v>34</v>
      </c>
      <c r="L759" s="25">
        <v>41228.88829861111</v>
      </c>
      <c r="M759" s="26" t="s">
        <v>1545</v>
      </c>
      <c r="N759" s="26" t="s">
        <v>2029</v>
      </c>
      <c r="O759" s="22" t="str">
        <f>HYPERLINK("https://pbs.twimg.com/profile_images/881459127058219008/KicjKm1W_normal.jpg","View")</f>
        <v>View</v>
      </c>
      <c r="P759" s="27"/>
    </row>
    <row r="760">
      <c r="A760" s="14">
        <v>43031.08739583333</v>
      </c>
      <c r="B760" s="20" t="str">
        <f>HYPERLINK("https://twitter.com/s10boyal","@s10boyal")</f>
        <v>@s10boyal</v>
      </c>
      <c r="C760" s="21" t="s">
        <v>2030</v>
      </c>
      <c r="D760" s="21" t="s">
        <v>42</v>
      </c>
      <c r="E760" s="22" t="str">
        <f>HYPERLINK("https://twitter.com/s10boyal/status/922388589735841792","922388589735841792")</f>
        <v>922388589735841792</v>
      </c>
      <c r="F760" s="23" t="s">
        <v>33</v>
      </c>
      <c r="G760" s="24">
        <v>74.0</v>
      </c>
      <c r="H760" s="24">
        <v>406.0</v>
      </c>
      <c r="I760" s="24">
        <v>8501.0</v>
      </c>
      <c r="J760" s="24">
        <v>0.0</v>
      </c>
      <c r="K760" s="23" t="s">
        <v>34</v>
      </c>
      <c r="L760" s="25">
        <v>42420.23893518519</v>
      </c>
      <c r="M760" s="26" t="s">
        <v>2031</v>
      </c>
      <c r="N760" s="26" t="s">
        <v>2032</v>
      </c>
      <c r="O760" s="22" t="str">
        <f>HYPERLINK("https://pbs.twimg.com/profile_images/910150479383949312/Xr06E5df_normal.jpg","View")</f>
        <v>View</v>
      </c>
      <c r="P760" s="27"/>
    </row>
    <row r="761">
      <c r="A761" s="14">
        <v>43031.08740740741</v>
      </c>
      <c r="B761" s="20" t="str">
        <f>HYPERLINK("https://twitter.com/Fjordman1","@Fjordman1")</f>
        <v>@Fjordman1</v>
      </c>
      <c r="C761" s="21" t="s">
        <v>2033</v>
      </c>
      <c r="D761" s="21" t="s">
        <v>105</v>
      </c>
      <c r="E761" s="22" t="str">
        <f>HYPERLINK("https://twitter.com/Fjordman1/status/922388594945351680","922388594945351680")</f>
        <v>922388594945351680</v>
      </c>
      <c r="F761" s="23" t="s">
        <v>55</v>
      </c>
      <c r="G761" s="24">
        <v>4241.0</v>
      </c>
      <c r="H761" s="24">
        <v>758.0</v>
      </c>
      <c r="I761" s="24">
        <v>69.0</v>
      </c>
      <c r="J761" s="24">
        <v>0.0</v>
      </c>
      <c r="K761" s="23" t="s">
        <v>34</v>
      </c>
      <c r="L761" s="25">
        <v>41151.42387731482</v>
      </c>
      <c r="M761" s="28"/>
      <c r="N761" s="26" t="s">
        <v>2034</v>
      </c>
      <c r="O761" s="22" t="str">
        <f>HYPERLINK("https://pbs.twimg.com/profile_images/2559940250/wjl9z7a9ptd4zinbk073_normal.jpeg","View")</f>
        <v>View</v>
      </c>
      <c r="P761" s="27"/>
    </row>
    <row r="762">
      <c r="A762" s="14">
        <v>43031.08741898148</v>
      </c>
      <c r="B762" s="20" t="str">
        <f>HYPERLINK("https://twitter.com/JohnHemmings2","@JohnHemmings2")</f>
        <v>@JohnHemmings2</v>
      </c>
      <c r="C762" s="21" t="s">
        <v>2035</v>
      </c>
      <c r="D762" s="21" t="s">
        <v>2036</v>
      </c>
      <c r="E762" s="22" t="str">
        <f>HYPERLINK("https://twitter.com/JohnHemmings2/status/922388597604519936","922388597604519936")</f>
        <v>922388597604519936</v>
      </c>
      <c r="F762" s="23" t="s">
        <v>55</v>
      </c>
      <c r="G762" s="24">
        <v>2140.0</v>
      </c>
      <c r="H762" s="24">
        <v>2439.0</v>
      </c>
      <c r="I762" s="24">
        <v>3.0</v>
      </c>
      <c r="J762" s="24">
        <v>0.0</v>
      </c>
      <c r="K762" s="23" t="s">
        <v>34</v>
      </c>
      <c r="L762" s="25">
        <v>41336.274976851855</v>
      </c>
      <c r="M762" s="26" t="s">
        <v>2037</v>
      </c>
      <c r="N762" s="26" t="s">
        <v>2038</v>
      </c>
      <c r="O762" s="22" t="str">
        <f>HYPERLINK("https://pbs.twimg.com/profile_images/832221104924143617/rTWs8iNX_normal.jpg","View")</f>
        <v>View</v>
      </c>
      <c r="P762" s="27"/>
    </row>
    <row r="763">
      <c r="A763" s="14">
        <v>43031.087430555555</v>
      </c>
      <c r="B763" s="20" t="str">
        <f>HYPERLINK("https://twitter.com/LilianaSnchez9","@LilianaSnchez9")</f>
        <v>@LilianaSnchez9</v>
      </c>
      <c r="C763" s="21" t="s">
        <v>2039</v>
      </c>
      <c r="D763" s="21" t="s">
        <v>2040</v>
      </c>
      <c r="E763" s="22" t="str">
        <f>HYPERLINK("https://twitter.com/LilianaSnchez9/status/922388601824038913","922388601824038913")</f>
        <v>922388601824038913</v>
      </c>
      <c r="F763" s="23" t="s">
        <v>33</v>
      </c>
      <c r="G763" s="24">
        <v>22074.0</v>
      </c>
      <c r="H763" s="24">
        <v>8397.0</v>
      </c>
      <c r="I763" s="24">
        <v>1.0</v>
      </c>
      <c r="J763" s="24">
        <v>0.0</v>
      </c>
      <c r="K763" s="23" t="s">
        <v>34</v>
      </c>
      <c r="L763" s="25">
        <v>41599.51105324074</v>
      </c>
      <c r="M763" s="26" t="s">
        <v>2041</v>
      </c>
      <c r="N763" s="26" t="s">
        <v>2042</v>
      </c>
      <c r="O763" s="22" t="str">
        <f>HYPERLINK("https://pbs.twimg.com/profile_images/892186345757704193/23LZUCxN_normal.jpg","View")</f>
        <v>View</v>
      </c>
      <c r="P763" s="27"/>
    </row>
    <row r="764">
      <c r="A764" s="14">
        <v>43031.087476851855</v>
      </c>
      <c r="B764" s="20" t="str">
        <f>HYPERLINK("https://twitter.com/aniruddh_kewat","@aniruddh_kewat")</f>
        <v>@aniruddh_kewat</v>
      </c>
      <c r="C764" s="21" t="s">
        <v>2043</v>
      </c>
      <c r="D764" s="21" t="s">
        <v>42</v>
      </c>
      <c r="E764" s="22" t="str">
        <f>HYPERLINK("https://twitter.com/aniruddh_kewat/status/922388616734584832","922388616734584832")</f>
        <v>922388616734584832</v>
      </c>
      <c r="F764" s="23" t="s">
        <v>33</v>
      </c>
      <c r="G764" s="24">
        <v>210.0</v>
      </c>
      <c r="H764" s="24">
        <v>263.0</v>
      </c>
      <c r="I764" s="24">
        <v>8501.0</v>
      </c>
      <c r="J764" s="24">
        <v>0.0</v>
      </c>
      <c r="K764" s="23" t="s">
        <v>34</v>
      </c>
      <c r="L764" s="25">
        <v>41143.34274305555</v>
      </c>
      <c r="M764" s="26" t="s">
        <v>2044</v>
      </c>
      <c r="N764" s="28"/>
      <c r="O764" s="22" t="str">
        <f>HYPERLINK("https://pbs.twimg.com/profile_images/917965235063001088/V817Cyqu_normal.jpg","View")</f>
        <v>View</v>
      </c>
      <c r="P764" s="27"/>
    </row>
    <row r="765">
      <c r="A765" s="14">
        <v>43031.087488425925</v>
      </c>
      <c r="B765" s="20" t="str">
        <f>HYPERLINK("https://twitter.com/sandeep853281","@sandeep853281")</f>
        <v>@sandeep853281</v>
      </c>
      <c r="C765" s="21" t="s">
        <v>2045</v>
      </c>
      <c r="D765" s="21" t="s">
        <v>42</v>
      </c>
      <c r="E765" s="22" t="str">
        <f>HYPERLINK("https://twitter.com/sandeep853281/status/922388622619430912","922388622619430912")</f>
        <v>922388622619430912</v>
      </c>
      <c r="F765" s="23" t="s">
        <v>33</v>
      </c>
      <c r="G765" s="24">
        <v>57.0</v>
      </c>
      <c r="H765" s="24">
        <v>596.0</v>
      </c>
      <c r="I765" s="24">
        <v>8501.0</v>
      </c>
      <c r="J765" s="24">
        <v>0.0</v>
      </c>
      <c r="K765" s="23" t="s">
        <v>34</v>
      </c>
      <c r="L765" s="25">
        <v>41776.014814814815</v>
      </c>
      <c r="M765" s="26" t="s">
        <v>2046</v>
      </c>
      <c r="N765" s="26" t="s">
        <v>2047</v>
      </c>
      <c r="O765" s="22" t="str">
        <f>HYPERLINK("https://pbs.twimg.com/profile_images/922389058617335809/_aYMHVkY_normal.jpg","View")</f>
        <v>View</v>
      </c>
      <c r="P765" s="27"/>
    </row>
    <row r="766">
      <c r="A766" s="14">
        <v>43031.0875</v>
      </c>
      <c r="B766" s="20" t="str">
        <f>HYPERLINK("https://twitter.com/lakshmisrikant7","@lakshmisrikant7")</f>
        <v>@lakshmisrikant7</v>
      </c>
      <c r="C766" s="21" t="s">
        <v>2048</v>
      </c>
      <c r="D766" s="21" t="s">
        <v>163</v>
      </c>
      <c r="E766" s="22" t="str">
        <f>HYPERLINK("https://twitter.com/lakshmisrikant7/status/922388626251460608","922388626251460608")</f>
        <v>922388626251460608</v>
      </c>
      <c r="F766" s="23" t="s">
        <v>33</v>
      </c>
      <c r="G766" s="24">
        <v>540.0</v>
      </c>
      <c r="H766" s="24">
        <v>362.0</v>
      </c>
      <c r="I766" s="24">
        <v>1005.0</v>
      </c>
      <c r="J766" s="24">
        <v>0.0</v>
      </c>
      <c r="K766" s="23" t="s">
        <v>34</v>
      </c>
      <c r="L766" s="25">
        <v>41947.39050925926</v>
      </c>
      <c r="M766" s="28"/>
      <c r="N766" s="28"/>
      <c r="O766" s="22" t="str">
        <f>HYPERLINK("https://pbs.twimg.com/profile_images/897057289131114496/K7dNLuDA_normal.jpg","View")</f>
        <v>View</v>
      </c>
      <c r="P766" s="27"/>
    </row>
    <row r="767">
      <c r="A767" s="14">
        <v>43031.08767361111</v>
      </c>
      <c r="B767" s="20" t="str">
        <f>HYPERLINK("https://twitter.com/jaguar32123","@jaguar32123")</f>
        <v>@jaguar32123</v>
      </c>
      <c r="C767" s="21" t="s">
        <v>2049</v>
      </c>
      <c r="D767" s="21" t="s">
        <v>42</v>
      </c>
      <c r="E767" s="22" t="str">
        <f>HYPERLINK("https://twitter.com/jaguar32123/status/922388691930136581","922388691930136581")</f>
        <v>922388691930136581</v>
      </c>
      <c r="F767" s="23" t="s">
        <v>33</v>
      </c>
      <c r="G767" s="24">
        <v>488.0</v>
      </c>
      <c r="H767" s="24">
        <v>723.0</v>
      </c>
      <c r="I767" s="24">
        <v>8501.0</v>
      </c>
      <c r="J767" s="24">
        <v>0.0</v>
      </c>
      <c r="K767" s="23" t="s">
        <v>34</v>
      </c>
      <c r="L767" s="25">
        <v>40233.29153935185</v>
      </c>
      <c r="M767" s="26" t="s">
        <v>2050</v>
      </c>
      <c r="N767" s="26" t="s">
        <v>2051</v>
      </c>
      <c r="O767" s="22" t="str">
        <f>HYPERLINK("https://pbs.twimg.com/profile_images/717468006/___________normal.jpg","View")</f>
        <v>View</v>
      </c>
      <c r="P767" s="27"/>
    </row>
    <row r="768">
      <c r="A768" s="14">
        <v>43031.087685185186</v>
      </c>
      <c r="B768" s="20" t="str">
        <f>HYPERLINK("https://twitter.com/YatikY","@YatikY")</f>
        <v>@YatikY</v>
      </c>
      <c r="C768" s="21" t="s">
        <v>2052</v>
      </c>
      <c r="D768" s="21" t="s">
        <v>42</v>
      </c>
      <c r="E768" s="22" t="str">
        <f>HYPERLINK("https://twitter.com/YatikY/status/922388693251444736","922388693251444736")</f>
        <v>922388693251444736</v>
      </c>
      <c r="F768" s="23" t="s">
        <v>33</v>
      </c>
      <c r="G768" s="24">
        <v>260.0</v>
      </c>
      <c r="H768" s="24">
        <v>1315.0</v>
      </c>
      <c r="I768" s="24">
        <v>8501.0</v>
      </c>
      <c r="J768" s="24">
        <v>0.0</v>
      </c>
      <c r="K768" s="23" t="s">
        <v>34</v>
      </c>
      <c r="L768" s="25">
        <v>41735.448472222226</v>
      </c>
      <c r="M768" s="26" t="s">
        <v>475</v>
      </c>
      <c r="N768" s="26" t="s">
        <v>2053</v>
      </c>
      <c r="O768" s="22" t="str">
        <f>HYPERLINK("https://pbs.twimg.com/profile_images/921659556165570560/kqJrF29K_normal.jpg","View")</f>
        <v>View</v>
      </c>
      <c r="P768" s="27"/>
    </row>
    <row r="769">
      <c r="A769" s="14">
        <v>43031.08769675926</v>
      </c>
      <c r="B769" s="20" t="str">
        <f>HYPERLINK("https://twitter.com/gyanesh_dr","@gyanesh_dr")</f>
        <v>@gyanesh_dr</v>
      </c>
      <c r="C769" s="21" t="s">
        <v>2054</v>
      </c>
      <c r="D769" s="21" t="s">
        <v>42</v>
      </c>
      <c r="E769" s="22" t="str">
        <f>HYPERLINK("https://twitter.com/gyanesh_dr/status/922388696459907073","922388696459907073")</f>
        <v>922388696459907073</v>
      </c>
      <c r="F769" s="23" t="s">
        <v>33</v>
      </c>
      <c r="G769" s="24">
        <v>33.0</v>
      </c>
      <c r="H769" s="24">
        <v>128.0</v>
      </c>
      <c r="I769" s="24">
        <v>8501.0</v>
      </c>
      <c r="J769" s="24">
        <v>0.0</v>
      </c>
      <c r="K769" s="23" t="s">
        <v>34</v>
      </c>
      <c r="L769" s="25">
        <v>41109.003287037034</v>
      </c>
      <c r="M769" s="26" t="s">
        <v>96</v>
      </c>
      <c r="N769" s="26" t="s">
        <v>2055</v>
      </c>
      <c r="O769" s="22" t="str">
        <f>HYPERLINK("https://pbs.twimg.com/profile_images/699534644744552448/bg6JCz3L_normal.jpg","View")</f>
        <v>View</v>
      </c>
      <c r="P769" s="27"/>
    </row>
    <row r="770">
      <c r="A770" s="14">
        <v>43031.08770833333</v>
      </c>
      <c r="B770" s="20" t="str">
        <f>HYPERLINK("https://twitter.com/guluzp","@guluzp")</f>
        <v>@guluzp</v>
      </c>
      <c r="C770" s="21" t="s">
        <v>2056</v>
      </c>
      <c r="D770" s="21" t="s">
        <v>42</v>
      </c>
      <c r="E770" s="22" t="str">
        <f>HYPERLINK("https://twitter.com/guluzp/status/922388702634168321","922388702634168321")</f>
        <v>922388702634168321</v>
      </c>
      <c r="F770" s="23" t="s">
        <v>33</v>
      </c>
      <c r="G770" s="24">
        <v>2972.0</v>
      </c>
      <c r="H770" s="24">
        <v>2522.0</v>
      </c>
      <c r="I770" s="24">
        <v>8501.0</v>
      </c>
      <c r="J770" s="24">
        <v>0.0</v>
      </c>
      <c r="K770" s="23" t="s">
        <v>34</v>
      </c>
      <c r="L770" s="25">
        <v>40649.177395833336</v>
      </c>
      <c r="M770" s="26" t="s">
        <v>2057</v>
      </c>
      <c r="N770" s="26" t="s">
        <v>2058</v>
      </c>
      <c r="O770" s="22" t="str">
        <f>HYPERLINK("https://pbs.twimg.com/profile_images/905769982621097986/0cb6QCdZ_normal.jpg","View")</f>
        <v>View</v>
      </c>
      <c r="P770" s="27"/>
    </row>
    <row r="771">
      <c r="A771" s="14">
        <v>43031.087743055556</v>
      </c>
      <c r="B771" s="20" t="str">
        <f>HYPERLINK("https://twitter.com/HemantT49300584","@HemantT49300584")</f>
        <v>@HemantT49300584</v>
      </c>
      <c r="C771" s="21" t="s">
        <v>2059</v>
      </c>
      <c r="D771" s="21" t="s">
        <v>42</v>
      </c>
      <c r="E771" s="22" t="str">
        <f>HYPERLINK("https://twitter.com/HemantT49300584/status/922388713182658560","922388713182658560")</f>
        <v>922388713182658560</v>
      </c>
      <c r="F771" s="23" t="s">
        <v>33</v>
      </c>
      <c r="G771" s="24">
        <v>7.0</v>
      </c>
      <c r="H771" s="24">
        <v>55.0</v>
      </c>
      <c r="I771" s="24">
        <v>8501.0</v>
      </c>
      <c r="J771" s="24">
        <v>0.0</v>
      </c>
      <c r="K771" s="23" t="s">
        <v>34</v>
      </c>
      <c r="L771" s="25">
        <v>43013.29126157408</v>
      </c>
      <c r="M771" s="26" t="s">
        <v>575</v>
      </c>
      <c r="N771" s="26" t="s">
        <v>2060</v>
      </c>
      <c r="O771" s="22" t="str">
        <f>HYPERLINK("https://pbs.twimg.com/profile_images/915943377362997248/aV4OIXmh_normal.jpg","View")</f>
        <v>View</v>
      </c>
      <c r="P771" s="27"/>
    </row>
    <row r="772">
      <c r="A772" s="14">
        <v>43031.087754629625</v>
      </c>
      <c r="B772" s="20" t="str">
        <f>HYPERLINK("https://twitter.com/pillaveed","@pillaveed")</f>
        <v>@pillaveed</v>
      </c>
      <c r="C772" s="21" t="s">
        <v>2061</v>
      </c>
      <c r="D772" s="21" t="s">
        <v>42</v>
      </c>
      <c r="E772" s="22" t="str">
        <f>HYPERLINK("https://twitter.com/pillaveed/status/922388717330882561","922388717330882561")</f>
        <v>922388717330882561</v>
      </c>
      <c r="F772" s="23" t="s">
        <v>33</v>
      </c>
      <c r="G772" s="24">
        <v>23.0</v>
      </c>
      <c r="H772" s="24">
        <v>222.0</v>
      </c>
      <c r="I772" s="24">
        <v>8501.0</v>
      </c>
      <c r="J772" s="24">
        <v>0.0</v>
      </c>
      <c r="K772" s="23" t="s">
        <v>34</v>
      </c>
      <c r="L772" s="25">
        <v>41781.00138888889</v>
      </c>
      <c r="M772" s="26" t="s">
        <v>2062</v>
      </c>
      <c r="N772" s="28"/>
      <c r="O772" s="22" t="str">
        <f>HYPERLINK("https://pbs.twimg.com/profile_images/792421417539239936/nq3SkCSM_normal.jpg","View")</f>
        <v>View</v>
      </c>
      <c r="P772" s="27"/>
    </row>
    <row r="773">
      <c r="A773" s="14">
        <v>43031.087754629625</v>
      </c>
      <c r="B773" s="20" t="str">
        <f>HYPERLINK("https://twitter.com/Husmo","@Husmo")</f>
        <v>@Husmo</v>
      </c>
      <c r="C773" s="21" t="s">
        <v>2063</v>
      </c>
      <c r="D773" s="21" t="s">
        <v>1444</v>
      </c>
      <c r="E773" s="22" t="str">
        <f>HYPERLINK("https://twitter.com/Husmo/status/922388717842690050","922388717842690050")</f>
        <v>922388717842690050</v>
      </c>
      <c r="F773" s="23" t="s">
        <v>33</v>
      </c>
      <c r="G773" s="24">
        <v>911.0</v>
      </c>
      <c r="H773" s="24">
        <v>564.0</v>
      </c>
      <c r="I773" s="24">
        <v>50.0</v>
      </c>
      <c r="J773" s="24">
        <v>0.0</v>
      </c>
      <c r="K773" s="23" t="s">
        <v>34</v>
      </c>
      <c r="L773" s="25">
        <v>40097.635347222225</v>
      </c>
      <c r="M773" s="26" t="s">
        <v>282</v>
      </c>
      <c r="N773" s="26" t="s">
        <v>2064</v>
      </c>
      <c r="O773" s="22" t="str">
        <f>HYPERLINK("https://pbs.twimg.com/profile_images/378800000747390284/c5016a88531b74417c0fc4671fb1056f_normal.jpeg","View")</f>
        <v>View</v>
      </c>
      <c r="P773" s="27"/>
    </row>
    <row r="774">
      <c r="A774" s="14">
        <v>43031.08782407407</v>
      </c>
      <c r="B774" s="20" t="str">
        <f>HYPERLINK("https://twitter.com/hindurashtrwadi","@hindurashtrwadi")</f>
        <v>@hindurashtrwadi</v>
      </c>
      <c r="C774" s="21" t="s">
        <v>2065</v>
      </c>
      <c r="D774" s="21" t="s">
        <v>42</v>
      </c>
      <c r="E774" s="22" t="str">
        <f>HYPERLINK("https://twitter.com/hindurashtrwadi/status/922388744245731328","922388744245731328")</f>
        <v>922388744245731328</v>
      </c>
      <c r="F774" s="23" t="s">
        <v>33</v>
      </c>
      <c r="G774" s="24">
        <v>1087.0</v>
      </c>
      <c r="H774" s="24">
        <v>271.0</v>
      </c>
      <c r="I774" s="24">
        <v>8501.0</v>
      </c>
      <c r="J774" s="24">
        <v>0.0</v>
      </c>
      <c r="K774" s="23" t="s">
        <v>34</v>
      </c>
      <c r="L774" s="25">
        <v>42346.1896412037</v>
      </c>
      <c r="M774" s="26" t="s">
        <v>227</v>
      </c>
      <c r="N774" s="26" t="s">
        <v>2066</v>
      </c>
      <c r="O774" s="22" t="str">
        <f>HYPERLINK("https://pbs.twimg.com/profile_images/894127652847493120/QmCJm2Cz_normal.jpg","View")</f>
        <v>View</v>
      </c>
      <c r="P774" s="27"/>
    </row>
    <row r="775">
      <c r="A775" s="14">
        <v>43031.08783564815</v>
      </c>
      <c r="B775" s="20" t="str">
        <f>HYPERLINK("https://twitter.com/GurillaApp","@GurillaApp")</f>
        <v>@GurillaApp</v>
      </c>
      <c r="C775" s="21" t="s">
        <v>2067</v>
      </c>
      <c r="D775" s="21" t="s">
        <v>1474</v>
      </c>
      <c r="E775" s="22" t="str">
        <f>HYPERLINK("https://twitter.com/GurillaApp/status/922388746661634048","922388746661634048")</f>
        <v>922388746661634048</v>
      </c>
      <c r="F775" s="23" t="s">
        <v>39</v>
      </c>
      <c r="G775" s="24">
        <v>27634.0</v>
      </c>
      <c r="H775" s="24">
        <v>20520.0</v>
      </c>
      <c r="I775" s="24">
        <v>29.0</v>
      </c>
      <c r="J775" s="24">
        <v>0.0</v>
      </c>
      <c r="K775" s="23" t="s">
        <v>34</v>
      </c>
      <c r="L775" s="25">
        <v>41797.06520833333</v>
      </c>
      <c r="M775" s="26" t="s">
        <v>2068</v>
      </c>
      <c r="N775" s="26" t="s">
        <v>2069</v>
      </c>
      <c r="O775" s="22" t="str">
        <f>HYPERLINK("https://pbs.twimg.com/profile_images/855233565532971008/NHZhGo9q_normal.jpg","View")</f>
        <v>View</v>
      </c>
      <c r="P775" s="27"/>
    </row>
    <row r="776">
      <c r="A776" s="14">
        <v>43031.08792824074</v>
      </c>
      <c r="B776" s="20" t="str">
        <f>HYPERLINK("https://twitter.com/IamSID84","@IamSID84")</f>
        <v>@IamSID84</v>
      </c>
      <c r="C776" s="21" t="s">
        <v>2070</v>
      </c>
      <c r="D776" s="21" t="s">
        <v>42</v>
      </c>
      <c r="E776" s="22" t="str">
        <f>HYPERLINK("https://twitter.com/IamSID84/status/922388784011821057","922388784011821057")</f>
        <v>922388784011821057</v>
      </c>
      <c r="F776" s="23" t="s">
        <v>33</v>
      </c>
      <c r="G776" s="24">
        <v>76.0</v>
      </c>
      <c r="H776" s="24">
        <v>63.0</v>
      </c>
      <c r="I776" s="24">
        <v>8501.0</v>
      </c>
      <c r="J776" s="24">
        <v>0.0</v>
      </c>
      <c r="K776" s="23" t="s">
        <v>34</v>
      </c>
      <c r="L776" s="25">
        <v>42019.29199074074</v>
      </c>
      <c r="M776" s="28"/>
      <c r="N776" s="28"/>
      <c r="O776" s="22" t="str">
        <f>HYPERLINK("https://pbs.twimg.com/profile_images/555743014690119680/n69A-P_o_normal.jpeg","View")</f>
        <v>View</v>
      </c>
      <c r="P776" s="27"/>
    </row>
    <row r="777">
      <c r="A777" s="14">
        <v>43031.087951388894</v>
      </c>
      <c r="B777" s="20" t="str">
        <f>HYPERLINK("https://twitter.com/isodhinegel10","@isodhinegel10")</f>
        <v>@isodhinegel10</v>
      </c>
      <c r="C777" s="21" t="s">
        <v>2071</v>
      </c>
      <c r="D777" s="21" t="s">
        <v>42</v>
      </c>
      <c r="E777" s="22" t="str">
        <f>HYPERLINK("https://twitter.com/isodhinegel10/status/922388789284110336","922388789284110336")</f>
        <v>922388789284110336</v>
      </c>
      <c r="F777" s="23" t="s">
        <v>55</v>
      </c>
      <c r="G777" s="24">
        <v>215.0</v>
      </c>
      <c r="H777" s="24">
        <v>265.0</v>
      </c>
      <c r="I777" s="24">
        <v>8501.0</v>
      </c>
      <c r="J777" s="24">
        <v>0.0</v>
      </c>
      <c r="K777" s="23" t="s">
        <v>34</v>
      </c>
      <c r="L777" s="25">
        <v>41607.868159722224</v>
      </c>
      <c r="M777" s="26" t="s">
        <v>71</v>
      </c>
      <c r="N777" s="26" t="s">
        <v>2072</v>
      </c>
      <c r="O777" s="22" t="str">
        <f>HYPERLINK("https://pbs.twimg.com/profile_images/887441042861047808/ipu80CIt_normal.jpg","View")</f>
        <v>View</v>
      </c>
      <c r="P777" s="27"/>
    </row>
    <row r="778">
      <c r="A778" s="14">
        <v>43031.088055555556</v>
      </c>
      <c r="B778" s="20" t="str">
        <f>HYPERLINK("https://twitter.com/malcom2x","@malcom2x")</f>
        <v>@malcom2x</v>
      </c>
      <c r="C778" s="21" t="s">
        <v>2073</v>
      </c>
      <c r="D778" s="21" t="s">
        <v>1345</v>
      </c>
      <c r="E778" s="22" t="str">
        <f>HYPERLINK("https://twitter.com/malcom2x/status/922388827301470209","922388827301470209")</f>
        <v>922388827301470209</v>
      </c>
      <c r="F778" s="23" t="s">
        <v>39</v>
      </c>
      <c r="G778" s="24">
        <v>1352.0</v>
      </c>
      <c r="H778" s="24">
        <v>1098.0</v>
      </c>
      <c r="I778" s="24">
        <v>22.0</v>
      </c>
      <c r="J778" s="24">
        <v>0.0</v>
      </c>
      <c r="K778" s="23" t="s">
        <v>34</v>
      </c>
      <c r="L778" s="25">
        <v>40191.639074074075</v>
      </c>
      <c r="M778" s="26" t="s">
        <v>1563</v>
      </c>
      <c r="N778" s="26" t="s">
        <v>2074</v>
      </c>
      <c r="O778" s="22" t="str">
        <f>HYPERLINK("https://pbs.twimg.com/profile_images/757599504346517504/TKKMDUvp_normal.jpg","View")</f>
        <v>View</v>
      </c>
      <c r="P778" s="27"/>
    </row>
    <row r="779">
      <c r="A779" s="14">
        <v>43031.0880787037</v>
      </c>
      <c r="B779" s="20" t="str">
        <f>HYPERLINK("https://twitter.com/SunilalSuku","@SunilalSuku")</f>
        <v>@SunilalSuku</v>
      </c>
      <c r="C779" s="21" t="s">
        <v>2075</v>
      </c>
      <c r="D779" s="21" t="s">
        <v>163</v>
      </c>
      <c r="E779" s="22" t="str">
        <f>HYPERLINK("https://twitter.com/SunilalSuku/status/922388834741923840","922388834741923840")</f>
        <v>922388834741923840</v>
      </c>
      <c r="F779" s="23" t="s">
        <v>33</v>
      </c>
      <c r="G779" s="24">
        <v>142.0</v>
      </c>
      <c r="H779" s="24">
        <v>367.0</v>
      </c>
      <c r="I779" s="24">
        <v>1005.0</v>
      </c>
      <c r="J779" s="24">
        <v>0.0</v>
      </c>
      <c r="K779" s="23" t="s">
        <v>34</v>
      </c>
      <c r="L779" s="25">
        <v>41593.312060185184</v>
      </c>
      <c r="M779" s="28"/>
      <c r="N779" s="28"/>
      <c r="O779" s="22" t="str">
        <f>HYPERLINK("https://pbs.twimg.com/profile_images/378800000743336017/ac4c084adf1c5ebdbd577964a076500c_normal.jpeg","View")</f>
        <v>View</v>
      </c>
      <c r="P779" s="27"/>
    </row>
    <row r="780">
      <c r="A780" s="14">
        <v>43031.088124999995</v>
      </c>
      <c r="B780" s="20" t="str">
        <f>HYPERLINK("https://twitter.com/CW_dynastycrook","@CW_dynastycrook")</f>
        <v>@CW_dynastycrook</v>
      </c>
      <c r="C780" s="21" t="s">
        <v>2076</v>
      </c>
      <c r="D780" s="21" t="s">
        <v>42</v>
      </c>
      <c r="E780" s="22" t="str">
        <f>HYPERLINK("https://twitter.com/CW_dynastycrook/status/922388852643323904","922388852643323904")</f>
        <v>922388852643323904</v>
      </c>
      <c r="F780" s="23" t="s">
        <v>43</v>
      </c>
      <c r="G780" s="24">
        <v>1995.0</v>
      </c>
      <c r="H780" s="24">
        <v>298.0</v>
      </c>
      <c r="I780" s="24">
        <v>8501.0</v>
      </c>
      <c r="J780" s="24">
        <v>0.0</v>
      </c>
      <c r="K780" s="23" t="s">
        <v>34</v>
      </c>
      <c r="L780" s="25">
        <v>42686.8984375</v>
      </c>
      <c r="M780" s="28"/>
      <c r="N780" s="26" t="s">
        <v>2077</v>
      </c>
      <c r="O780" s="22" t="str">
        <f>HYPERLINK("https://pbs.twimg.com/profile_images/802001410510290944/7A3xUuug_normal.jpg","View")</f>
        <v>View</v>
      </c>
      <c r="P780" s="27"/>
    </row>
    <row r="781">
      <c r="A781" s="14">
        <v>43031.088124999995</v>
      </c>
      <c r="B781" s="20" t="str">
        <f>HYPERLINK("https://twitter.com/laquialene69","@laquialene69")</f>
        <v>@laquialene69</v>
      </c>
      <c r="C781" s="21" t="s">
        <v>2078</v>
      </c>
      <c r="D781" s="21" t="s">
        <v>1444</v>
      </c>
      <c r="E781" s="22" t="str">
        <f>HYPERLINK("https://twitter.com/laquialene69/status/922388852693716992","922388852693716992")</f>
        <v>922388852693716992</v>
      </c>
      <c r="F781" s="23" t="s">
        <v>33</v>
      </c>
      <c r="G781" s="24">
        <v>1320.0</v>
      </c>
      <c r="H781" s="24">
        <v>1820.0</v>
      </c>
      <c r="I781" s="24">
        <v>50.0</v>
      </c>
      <c r="J781" s="24">
        <v>0.0</v>
      </c>
      <c r="K781" s="23" t="s">
        <v>34</v>
      </c>
      <c r="L781" s="25">
        <v>41171.84657407407</v>
      </c>
      <c r="M781" s="26" t="s">
        <v>2079</v>
      </c>
      <c r="N781" s="26" t="s">
        <v>2080</v>
      </c>
      <c r="O781" s="22" t="str">
        <f>HYPERLINK("https://pbs.twimg.com/profile_images/910699700117938178/iuT_ozIC_normal.jpg","View")</f>
        <v>View</v>
      </c>
      <c r="P781" s="27"/>
    </row>
    <row r="782">
      <c r="A782" s="14">
        <v>43031.08819444444</v>
      </c>
      <c r="B782" s="20" t="str">
        <f>HYPERLINK("https://twitter.com/imhiteshchavda","@imhiteshchavda")</f>
        <v>@imhiteshchavda</v>
      </c>
      <c r="C782" s="21" t="s">
        <v>2081</v>
      </c>
      <c r="D782" s="21" t="s">
        <v>42</v>
      </c>
      <c r="E782" s="22" t="str">
        <f>HYPERLINK("https://twitter.com/imhiteshchavda/status/922388878757003264","922388878757003264")</f>
        <v>922388878757003264</v>
      </c>
      <c r="F782" s="23" t="s">
        <v>39</v>
      </c>
      <c r="G782" s="24">
        <v>299.0</v>
      </c>
      <c r="H782" s="24">
        <v>356.0</v>
      </c>
      <c r="I782" s="24">
        <v>8501.0</v>
      </c>
      <c r="J782" s="24">
        <v>0.0</v>
      </c>
      <c r="K782" s="23" t="s">
        <v>34</v>
      </c>
      <c r="L782" s="25">
        <v>41470.32766203704</v>
      </c>
      <c r="M782" s="26" t="s">
        <v>2082</v>
      </c>
      <c r="N782" s="26" t="s">
        <v>2083</v>
      </c>
      <c r="O782" s="22" t="str">
        <f>HYPERLINK("https://pbs.twimg.com/profile_images/916352681098309639/aYk7Sbo3_normal.jpg","View")</f>
        <v>View</v>
      </c>
      <c r="P782" s="27"/>
    </row>
    <row r="783">
      <c r="A783" s="14">
        <v>43031.08824074074</v>
      </c>
      <c r="B783" s="20" t="str">
        <f>HYPERLINK("https://twitter.com/AmitaPatel226","@AmitaPatel226")</f>
        <v>@AmitaPatel226</v>
      </c>
      <c r="C783" s="21" t="s">
        <v>2084</v>
      </c>
      <c r="D783" s="21" t="s">
        <v>163</v>
      </c>
      <c r="E783" s="22" t="str">
        <f>HYPERLINK("https://twitter.com/AmitaPatel226/status/922388894427082752","922388894427082752")</f>
        <v>922388894427082752</v>
      </c>
      <c r="F783" s="23" t="s">
        <v>33</v>
      </c>
      <c r="G783" s="24">
        <v>12.0</v>
      </c>
      <c r="H783" s="24">
        <v>120.0</v>
      </c>
      <c r="I783" s="24">
        <v>1005.0</v>
      </c>
      <c r="J783" s="24">
        <v>0.0</v>
      </c>
      <c r="K783" s="23" t="s">
        <v>34</v>
      </c>
      <c r="L783" s="25">
        <v>41711.53539351852</v>
      </c>
      <c r="M783" s="26" t="s">
        <v>2085</v>
      </c>
      <c r="N783" s="28"/>
      <c r="O783" s="22" t="str">
        <f>HYPERLINK("https://pbs.twimg.com/profile_images/882478390695141376/dEk56mhj_normal.jpg","View")</f>
        <v>View</v>
      </c>
      <c r="P783" s="27"/>
    </row>
    <row r="784">
      <c r="A784" s="14">
        <v>43031.08826388889</v>
      </c>
      <c r="B784" s="20" t="str">
        <f>HYPERLINK("https://twitter.com/bjpforbhavnagar","@bjpforbhavnagar")</f>
        <v>@bjpforbhavnagar</v>
      </c>
      <c r="C784" s="21" t="s">
        <v>2086</v>
      </c>
      <c r="D784" s="21" t="s">
        <v>42</v>
      </c>
      <c r="E784" s="22" t="str">
        <f>HYPERLINK("https://twitter.com/bjpforbhavnagar/status/922388903612395520","922388903612395520")</f>
        <v>922388903612395520</v>
      </c>
      <c r="F784" s="23" t="s">
        <v>33</v>
      </c>
      <c r="G784" s="24">
        <v>392.0</v>
      </c>
      <c r="H784" s="24">
        <v>245.0</v>
      </c>
      <c r="I784" s="24">
        <v>8501.0</v>
      </c>
      <c r="J784" s="24">
        <v>0.0</v>
      </c>
      <c r="K784" s="23" t="s">
        <v>34</v>
      </c>
      <c r="L784" s="25">
        <v>42909.28631944444</v>
      </c>
      <c r="M784" s="26" t="s">
        <v>2087</v>
      </c>
      <c r="N784" s="26" t="s">
        <v>2088</v>
      </c>
      <c r="O784" s="22" t="str">
        <f>HYPERLINK("https://pbs.twimg.com/profile_images/878251859021938689/EnWx7P_F_normal.jpg","View")</f>
        <v>View</v>
      </c>
      <c r="P784" s="27"/>
    </row>
    <row r="785">
      <c r="A785" s="14">
        <v>43031.088275462964</v>
      </c>
      <c r="B785" s="20" t="str">
        <f>HYPERLINK("https://twitter.com/newsloc_animals","@newsloc_animals")</f>
        <v>@newsloc_animals</v>
      </c>
      <c r="C785" s="21" t="s">
        <v>2089</v>
      </c>
      <c r="D785" s="21" t="s">
        <v>2090</v>
      </c>
      <c r="E785" s="22" t="str">
        <f>HYPERLINK("https://twitter.com/newsloc_animals/status/922388906758336512","922388906758336512")</f>
        <v>922388906758336512</v>
      </c>
      <c r="F785" s="23" t="s">
        <v>1020</v>
      </c>
      <c r="G785" s="24">
        <v>1715.0</v>
      </c>
      <c r="H785" s="24">
        <v>1957.0</v>
      </c>
      <c r="I785" s="24">
        <v>0.0</v>
      </c>
      <c r="J785" s="24">
        <v>0.0</v>
      </c>
      <c r="K785" s="23" t="s">
        <v>34</v>
      </c>
      <c r="L785" s="25">
        <v>41025.14032407408</v>
      </c>
      <c r="M785" s="28"/>
      <c r="N785" s="26" t="s">
        <v>2091</v>
      </c>
      <c r="O785" s="22" t="str">
        <f>HYPERLINK("https://pbs.twimg.com/profile_images/2232132537/Afbeelding_32_normal.png","View")</f>
        <v>View</v>
      </c>
      <c r="P785" s="27"/>
    </row>
    <row r="786">
      <c r="A786" s="14">
        <v>43031.08828703704</v>
      </c>
      <c r="B786" s="20" t="str">
        <f>HYPERLINK("https://twitter.com/CNBCTradersFan","@CNBCTradersFan")</f>
        <v>@CNBCTradersFan</v>
      </c>
      <c r="C786" s="21" t="s">
        <v>1945</v>
      </c>
      <c r="D786" s="21" t="s">
        <v>2092</v>
      </c>
      <c r="E786" s="22" t="str">
        <f>HYPERLINK("https://twitter.com/CNBCTradersFan/status/922388913477562368","922388913477562368")</f>
        <v>922388913477562368</v>
      </c>
      <c r="F786" s="23" t="s">
        <v>187</v>
      </c>
      <c r="G786" s="24">
        <v>17128.0</v>
      </c>
      <c r="H786" s="24">
        <v>11615.0</v>
      </c>
      <c r="I786" s="24">
        <v>0.0</v>
      </c>
      <c r="J786" s="24">
        <v>0.0</v>
      </c>
      <c r="K786" s="23" t="s">
        <v>34</v>
      </c>
      <c r="L786" s="25">
        <v>40922.50542824074</v>
      </c>
      <c r="M786" s="26" t="s">
        <v>1947</v>
      </c>
      <c r="N786" s="26" t="s">
        <v>1948</v>
      </c>
      <c r="O786" s="22" t="str">
        <f>HYPERLINK("https://pbs.twimg.com/profile_images/731870469318684672/Ckf7rDdJ_normal.jpg","View")</f>
        <v>View</v>
      </c>
      <c r="P786" s="27"/>
    </row>
    <row r="787">
      <c r="A787" s="14">
        <v>43031.08840277778</v>
      </c>
      <c r="B787" s="20" t="str">
        <f>HYPERLINK("https://twitter.com/fedcba012345678","@fedcba012345678")</f>
        <v>@fedcba012345678</v>
      </c>
      <c r="C787" s="21" t="s">
        <v>2093</v>
      </c>
      <c r="D787" s="21" t="s">
        <v>2094</v>
      </c>
      <c r="E787" s="22" t="str">
        <f>HYPERLINK("https://twitter.com/fedcba012345678/status/922388953046564864","922388953046564864")</f>
        <v>922388953046564864</v>
      </c>
      <c r="F787" s="23" t="s">
        <v>55</v>
      </c>
      <c r="G787" s="24">
        <v>1079.0</v>
      </c>
      <c r="H787" s="24">
        <v>414.0</v>
      </c>
      <c r="I787" s="24">
        <v>0.0</v>
      </c>
      <c r="J787" s="24">
        <v>0.0</v>
      </c>
      <c r="K787" s="23" t="s">
        <v>34</v>
      </c>
      <c r="L787" s="25">
        <v>42319.13013888889</v>
      </c>
      <c r="M787" s="26" t="s">
        <v>2095</v>
      </c>
      <c r="N787" s="26" t="s">
        <v>2096</v>
      </c>
      <c r="O787" s="22" t="str">
        <f>HYPERLINK("https://pbs.twimg.com/profile_images/919917364128317440/dn5qaAlW_normal.jpg","View")</f>
        <v>View</v>
      </c>
      <c r="P787" s="27"/>
    </row>
    <row r="788">
      <c r="A788" s="14">
        <v>43031.08853009259</v>
      </c>
      <c r="B788" s="20" t="str">
        <f>HYPERLINK("https://twitter.com/Abhishekn_","@Abhishekn_")</f>
        <v>@Abhishekn_</v>
      </c>
      <c r="C788" s="21" t="s">
        <v>2097</v>
      </c>
      <c r="D788" s="21" t="s">
        <v>42</v>
      </c>
      <c r="E788" s="22" t="str">
        <f>HYPERLINK("https://twitter.com/Abhishekn_/status/922388999150346240","922388999150346240")</f>
        <v>922388999150346240</v>
      </c>
      <c r="F788" s="23" t="s">
        <v>33</v>
      </c>
      <c r="G788" s="24">
        <v>103.0</v>
      </c>
      <c r="H788" s="24">
        <v>301.0</v>
      </c>
      <c r="I788" s="24">
        <v>8501.0</v>
      </c>
      <c r="J788" s="24">
        <v>0.0</v>
      </c>
      <c r="K788" s="23" t="s">
        <v>34</v>
      </c>
      <c r="L788" s="25">
        <v>40145.121712962966</v>
      </c>
      <c r="M788" s="26" t="s">
        <v>603</v>
      </c>
      <c r="N788" s="26" t="s">
        <v>2098</v>
      </c>
      <c r="O788" s="22" t="str">
        <f>HYPERLINK("https://pbs.twimg.com/profile_images/840567347299667968/XJeCDAVK_normal.jpg","View")</f>
        <v>View</v>
      </c>
      <c r="P788" s="27"/>
    </row>
    <row r="789">
      <c r="A789" s="14">
        <v>43031.08855324074</v>
      </c>
      <c r="B789" s="20" t="str">
        <f>HYPERLINK("https://twitter.com/ChadaramSivaji","@ChadaramSivaji")</f>
        <v>@ChadaramSivaji</v>
      </c>
      <c r="C789" s="21" t="s">
        <v>2099</v>
      </c>
      <c r="D789" s="21" t="s">
        <v>42</v>
      </c>
      <c r="E789" s="22" t="str">
        <f>HYPERLINK("https://twitter.com/ChadaramSivaji/status/922389008604282880","922389008604282880")</f>
        <v>922389008604282880</v>
      </c>
      <c r="F789" s="23" t="s">
        <v>33</v>
      </c>
      <c r="G789" s="24">
        <v>385.0</v>
      </c>
      <c r="H789" s="24">
        <v>251.0</v>
      </c>
      <c r="I789" s="24">
        <v>8501.0</v>
      </c>
      <c r="J789" s="24">
        <v>0.0</v>
      </c>
      <c r="K789" s="23" t="s">
        <v>34</v>
      </c>
      <c r="L789" s="25">
        <v>41798.86337962963</v>
      </c>
      <c r="M789" s="26" t="s">
        <v>575</v>
      </c>
      <c r="N789" s="26" t="s">
        <v>2100</v>
      </c>
      <c r="O789" s="22" t="str">
        <f>HYPERLINK("https://pbs.twimg.com/profile_images/475861841462046721/HI1AcLZC_normal.jpeg","View")</f>
        <v>View</v>
      </c>
      <c r="P789" s="27"/>
    </row>
    <row r="790">
      <c r="A790" s="14">
        <v>43031.08888888889</v>
      </c>
      <c r="B790" s="20" t="str">
        <f>HYPERLINK("https://twitter.com/Vote_4_Sickular","@Vote_4_Sickular")</f>
        <v>@Vote_4_Sickular</v>
      </c>
      <c r="C790" s="21" t="s">
        <v>2101</v>
      </c>
      <c r="D790" s="21" t="s">
        <v>42</v>
      </c>
      <c r="E790" s="22" t="str">
        <f>HYPERLINK("https://twitter.com/Vote_4_Sickular/status/922389130520158208","922389130520158208")</f>
        <v>922389130520158208</v>
      </c>
      <c r="F790" s="23" t="s">
        <v>33</v>
      </c>
      <c r="G790" s="24">
        <v>408.0</v>
      </c>
      <c r="H790" s="24">
        <v>402.0</v>
      </c>
      <c r="I790" s="24">
        <v>8501.0</v>
      </c>
      <c r="J790" s="24">
        <v>0.0</v>
      </c>
      <c r="K790" s="23" t="s">
        <v>34</v>
      </c>
      <c r="L790" s="25">
        <v>41505.536412037036</v>
      </c>
      <c r="M790" s="28"/>
      <c r="N790" s="28"/>
      <c r="O790" s="22" t="str">
        <f>HYPERLINK("https://pbs.twimg.com/profile_images/585853584077676544/wvV9zsPV_normal.jpg","View")</f>
        <v>View</v>
      </c>
      <c r="P790" s="27"/>
    </row>
    <row r="791">
      <c r="A791" s="14">
        <v>43031.08891203704</v>
      </c>
      <c r="B791" s="20" t="str">
        <f>HYPERLINK("https://twitter.com/IndiaNewsGoogle","@IndiaNewsGoogle")</f>
        <v>@IndiaNewsGoogle</v>
      </c>
      <c r="C791" s="21" t="s">
        <v>2102</v>
      </c>
      <c r="D791" s="21" t="s">
        <v>2103</v>
      </c>
      <c r="E791" s="22" t="str">
        <f>HYPERLINK("https://twitter.com/IndiaNewsGoogle/status/922389137369567233","922389137369567233")</f>
        <v>922389137369567233</v>
      </c>
      <c r="F791" s="23" t="s">
        <v>91</v>
      </c>
      <c r="G791" s="24">
        <v>118.0</v>
      </c>
      <c r="H791" s="24">
        <v>1.0</v>
      </c>
      <c r="I791" s="24">
        <v>0.0</v>
      </c>
      <c r="J791" s="24">
        <v>0.0</v>
      </c>
      <c r="K791" s="23" t="s">
        <v>34</v>
      </c>
      <c r="L791" s="25">
        <v>41213.90635416667</v>
      </c>
      <c r="M791" s="26" t="s">
        <v>204</v>
      </c>
      <c r="N791" s="26" t="s">
        <v>2104</v>
      </c>
      <c r="O791" s="22" t="str">
        <f>HYPERLINK("https://pbs.twimg.com/profile_images/821581869087006721/Dk_gaY0A_normal.jpg","View")</f>
        <v>View</v>
      </c>
      <c r="P791" s="27"/>
    </row>
    <row r="792">
      <c r="A792" s="14">
        <v>43031.089004629626</v>
      </c>
      <c r="B792" s="20" t="str">
        <f>HYPERLINK("https://twitter.com/paolettacapo","@paolettacapo")</f>
        <v>@paolettacapo</v>
      </c>
      <c r="C792" s="21" t="s">
        <v>2105</v>
      </c>
      <c r="D792" s="21" t="s">
        <v>2106</v>
      </c>
      <c r="E792" s="22" t="str">
        <f>HYPERLINK("https://twitter.com/paolettacapo/status/922389172714958848","922389172714958848")</f>
        <v>922389172714958848</v>
      </c>
      <c r="F792" s="23" t="s">
        <v>187</v>
      </c>
      <c r="G792" s="24">
        <v>2942.0</v>
      </c>
      <c r="H792" s="24">
        <v>4990.0</v>
      </c>
      <c r="I792" s="24">
        <v>0.0</v>
      </c>
      <c r="J792" s="24">
        <v>0.0</v>
      </c>
      <c r="K792" s="23" t="s">
        <v>34</v>
      </c>
      <c r="L792" s="25">
        <v>39759.527395833335</v>
      </c>
      <c r="M792" s="26" t="s">
        <v>2107</v>
      </c>
      <c r="N792" s="26" t="s">
        <v>2108</v>
      </c>
      <c r="O792" s="22" t="str">
        <f>HYPERLINK("https://pbs.twimg.com/profile_images/703606011601494016/Idf5Inmg_normal.jpg","View")</f>
        <v>View</v>
      </c>
      <c r="P792" s="27"/>
    </row>
    <row r="793">
      <c r="A793" s="14">
        <v>43031.089004629626</v>
      </c>
      <c r="B793" s="20" t="str">
        <f t="shared" ref="B793:B794" si="7">HYPERLINK("https://twitter.com/cartradejapan","@cartradejapan")</f>
        <v>@cartradejapan</v>
      </c>
      <c r="C793" s="21" t="s">
        <v>2109</v>
      </c>
      <c r="D793" s="21" t="s">
        <v>2110</v>
      </c>
      <c r="E793" s="22" t="str">
        <f>HYPERLINK("https://twitter.com/cartradejapan/status/922389173738266624","922389173738266624")</f>
        <v>922389173738266624</v>
      </c>
      <c r="F793" s="23" t="s">
        <v>2111</v>
      </c>
      <c r="G793" s="24">
        <v>901.0</v>
      </c>
      <c r="H793" s="24">
        <v>1777.0</v>
      </c>
      <c r="I793" s="24">
        <v>0.0</v>
      </c>
      <c r="J793" s="24">
        <v>0.0</v>
      </c>
      <c r="K793" s="23" t="s">
        <v>34</v>
      </c>
      <c r="L793" s="25">
        <v>41497.54555555555</v>
      </c>
      <c r="M793" s="26" t="s">
        <v>2112</v>
      </c>
      <c r="N793" s="26" t="s">
        <v>2113</v>
      </c>
      <c r="O793" s="22" t="str">
        <f t="shared" ref="O793:O794" si="8">HYPERLINK("https://pbs.twimg.com/profile_images/595912331265085441/17hdfbuV_normal.jpg","View")</f>
        <v>View</v>
      </c>
      <c r="P793" s="27"/>
    </row>
    <row r="794">
      <c r="A794" s="14">
        <v>43031.08902777778</v>
      </c>
      <c r="B794" s="20" t="str">
        <f t="shared" si="7"/>
        <v>@cartradejapan</v>
      </c>
      <c r="C794" s="21" t="s">
        <v>2109</v>
      </c>
      <c r="D794" s="21" t="s">
        <v>2114</v>
      </c>
      <c r="E794" s="22" t="str">
        <f>HYPERLINK("https://twitter.com/cartradejapan/status/922389181078192128","922389181078192128")</f>
        <v>922389181078192128</v>
      </c>
      <c r="F794" s="23" t="s">
        <v>2111</v>
      </c>
      <c r="G794" s="24">
        <v>901.0</v>
      </c>
      <c r="H794" s="24">
        <v>1777.0</v>
      </c>
      <c r="I794" s="24">
        <v>0.0</v>
      </c>
      <c r="J794" s="24">
        <v>0.0</v>
      </c>
      <c r="K794" s="23" t="s">
        <v>34</v>
      </c>
      <c r="L794" s="25">
        <v>41497.54555555555</v>
      </c>
      <c r="M794" s="26" t="s">
        <v>2112</v>
      </c>
      <c r="N794" s="26" t="s">
        <v>2113</v>
      </c>
      <c r="O794" s="22" t="str">
        <f t="shared" si="8"/>
        <v>View</v>
      </c>
      <c r="P794" s="27"/>
    </row>
    <row r="795">
      <c r="A795" s="14">
        <v>43031.08908564815</v>
      </c>
      <c r="B795" s="20" t="str">
        <f>HYPERLINK("https://twitter.com/NewsTweetsWorld","@NewsTweetsWorld")</f>
        <v>@NewsTweetsWorld</v>
      </c>
      <c r="C795" s="21" t="s">
        <v>2115</v>
      </c>
      <c r="D795" s="21" t="s">
        <v>2116</v>
      </c>
      <c r="E795" s="22" t="str">
        <f>HYPERLINK("https://twitter.com/NewsTweetsWorld/status/922389201710145536","922389201710145536")</f>
        <v>922389201710145536</v>
      </c>
      <c r="F795" s="23" t="s">
        <v>187</v>
      </c>
      <c r="G795" s="24">
        <v>103.0</v>
      </c>
      <c r="H795" s="24">
        <v>1.0</v>
      </c>
      <c r="I795" s="24">
        <v>0.0</v>
      </c>
      <c r="J795" s="24">
        <v>0.0</v>
      </c>
      <c r="K795" s="23" t="s">
        <v>34</v>
      </c>
      <c r="L795" s="25">
        <v>41532.008935185186</v>
      </c>
      <c r="M795" s="26" t="s">
        <v>204</v>
      </c>
      <c r="N795" s="26" t="s">
        <v>2117</v>
      </c>
      <c r="O795" s="22" t="str">
        <f>HYPERLINK("https://pbs.twimg.com/profile_images/843820599508066304/J82aiBad_normal.jpg","View")</f>
        <v>View</v>
      </c>
      <c r="P795" s="27"/>
    </row>
    <row r="796">
      <c r="A796" s="14">
        <v>43031.089120370365</v>
      </c>
      <c r="B796" s="20" t="str">
        <f>HYPERLINK("https://twitter.com/sudhirsukare1","@sudhirsukare1")</f>
        <v>@sudhirsukare1</v>
      </c>
      <c r="C796" s="21" t="s">
        <v>2118</v>
      </c>
      <c r="D796" s="21" t="s">
        <v>42</v>
      </c>
      <c r="E796" s="22" t="str">
        <f>HYPERLINK("https://twitter.com/sudhirsukare1/status/922389215991816193","922389215991816193")</f>
        <v>922389215991816193</v>
      </c>
      <c r="F796" s="23" t="s">
        <v>2119</v>
      </c>
      <c r="G796" s="24">
        <v>426.0</v>
      </c>
      <c r="H796" s="24">
        <v>1171.0</v>
      </c>
      <c r="I796" s="24">
        <v>8501.0</v>
      </c>
      <c r="J796" s="24">
        <v>0.0</v>
      </c>
      <c r="K796" s="23" t="s">
        <v>34</v>
      </c>
      <c r="L796" s="25">
        <v>41493.46440972222</v>
      </c>
      <c r="M796" s="28"/>
      <c r="N796" s="26" t="s">
        <v>2120</v>
      </c>
      <c r="O796" s="22" t="str">
        <f>HYPERLINK("https://pbs.twimg.com/profile_images/828314108240023552/y-91dOr2_normal.jpg","View")</f>
        <v>View</v>
      </c>
      <c r="P796" s="27"/>
    </row>
    <row r="797">
      <c r="A797" s="14">
        <v>43031.08920138889</v>
      </c>
      <c r="B797" s="20" t="str">
        <f>HYPERLINK("https://twitter.com/Hichmalumnist","@Hichmalumnist")</f>
        <v>@Hichmalumnist</v>
      </c>
      <c r="C797" s="21" t="s">
        <v>2121</v>
      </c>
      <c r="D797" s="21" t="s">
        <v>42</v>
      </c>
      <c r="E797" s="22" t="str">
        <f>HYPERLINK("https://twitter.com/Hichmalumnist/status/922389244802342912","922389244802342912")</f>
        <v>922389244802342912</v>
      </c>
      <c r="F797" s="23" t="s">
        <v>33</v>
      </c>
      <c r="G797" s="24">
        <v>198.0</v>
      </c>
      <c r="H797" s="24">
        <v>252.0</v>
      </c>
      <c r="I797" s="24">
        <v>8501.0</v>
      </c>
      <c r="J797" s="24">
        <v>0.0</v>
      </c>
      <c r="K797" s="23" t="s">
        <v>34</v>
      </c>
      <c r="L797" s="25">
        <v>40007.02260416667</v>
      </c>
      <c r="M797" s="28"/>
      <c r="N797" s="26" t="s">
        <v>2122</v>
      </c>
      <c r="O797" s="22" t="str">
        <f>HYPERLINK("https://pbs.twimg.com/profile_images/857918372247465984/vDny-ODy_normal.jpg","View")</f>
        <v>View</v>
      </c>
      <c r="P797" s="27"/>
    </row>
    <row r="798">
      <c r="A798" s="14">
        <v>43031.089421296296</v>
      </c>
      <c r="B798" s="20" t="str">
        <f>HYPERLINK("https://twitter.com/Rene_Gandeza_Jr","@Rene_Gandeza_Jr")</f>
        <v>@Rene_Gandeza_Jr</v>
      </c>
      <c r="C798" s="21" t="s">
        <v>2123</v>
      </c>
      <c r="D798" s="21" t="s">
        <v>1474</v>
      </c>
      <c r="E798" s="22" t="str">
        <f>HYPERLINK("https://twitter.com/Rene_Gandeza_Jr/status/922389324112453632","922389324112453632")</f>
        <v>922389324112453632</v>
      </c>
      <c r="F798" s="23" t="s">
        <v>55</v>
      </c>
      <c r="G798" s="24">
        <v>266.0</v>
      </c>
      <c r="H798" s="24">
        <v>874.0</v>
      </c>
      <c r="I798" s="24">
        <v>29.0</v>
      </c>
      <c r="J798" s="24">
        <v>0.0</v>
      </c>
      <c r="K798" s="23" t="s">
        <v>34</v>
      </c>
      <c r="L798" s="25">
        <v>42574.09114583333</v>
      </c>
      <c r="M798" s="26" t="s">
        <v>2124</v>
      </c>
      <c r="N798" s="26" t="s">
        <v>2125</v>
      </c>
      <c r="O798" s="22" t="str">
        <f>HYPERLINK("https://pbs.twimg.com/profile_images/799483034726608896/GdOEgrUE_normal.jpg","View")</f>
        <v>View</v>
      </c>
      <c r="P798" s="27"/>
    </row>
    <row r="799">
      <c r="A799" s="14">
        <v>43031.08945601852</v>
      </c>
      <c r="B799" s="20" t="str">
        <f>HYPERLINK("https://twitter.com/abcunlimited1","@abcunlimited1")</f>
        <v>@abcunlimited1</v>
      </c>
      <c r="C799" s="21" t="s">
        <v>2126</v>
      </c>
      <c r="D799" s="21" t="s">
        <v>42</v>
      </c>
      <c r="E799" s="22" t="str">
        <f>HYPERLINK("https://twitter.com/abcunlimited1/status/922389335542026240","922389335542026240")</f>
        <v>922389335542026240</v>
      </c>
      <c r="F799" s="23" t="s">
        <v>39</v>
      </c>
      <c r="G799" s="24">
        <v>114.0</v>
      </c>
      <c r="H799" s="24">
        <v>136.0</v>
      </c>
      <c r="I799" s="24">
        <v>8501.0</v>
      </c>
      <c r="J799" s="24">
        <v>0.0</v>
      </c>
      <c r="K799" s="23" t="s">
        <v>34</v>
      </c>
      <c r="L799" s="25">
        <v>42430.68300925926</v>
      </c>
      <c r="M799" s="26" t="s">
        <v>40</v>
      </c>
      <c r="N799" s="28"/>
      <c r="O799" s="22" t="str">
        <f>HYPERLINK("https://pbs.twimg.com/profile_images/704830592588845056/X8EWUG4d_normal.jpg","View")</f>
        <v>View</v>
      </c>
      <c r="P799" s="27"/>
    </row>
    <row r="800">
      <c r="A800" s="14">
        <v>43031.089467592596</v>
      </c>
      <c r="B800" s="20" t="str">
        <f>HYPERLINK("https://twitter.com/iNehaBhatt","@iNehaBhatt")</f>
        <v>@iNehaBhatt</v>
      </c>
      <c r="C800" s="21" t="s">
        <v>2127</v>
      </c>
      <c r="D800" s="21" t="s">
        <v>42</v>
      </c>
      <c r="E800" s="22" t="str">
        <f>HYPERLINK("https://twitter.com/iNehaBhatt/status/922389341376090112","922389341376090112")</f>
        <v>922389341376090112</v>
      </c>
      <c r="F800" s="23" t="s">
        <v>39</v>
      </c>
      <c r="G800" s="24">
        <v>131.0</v>
      </c>
      <c r="H800" s="24">
        <v>103.0</v>
      </c>
      <c r="I800" s="24">
        <v>8501.0</v>
      </c>
      <c r="J800" s="24">
        <v>0.0</v>
      </c>
      <c r="K800" s="23" t="s">
        <v>34</v>
      </c>
      <c r="L800" s="25">
        <v>42970.88167824074</v>
      </c>
      <c r="M800" s="26" t="s">
        <v>1633</v>
      </c>
      <c r="N800" s="26" t="s">
        <v>2128</v>
      </c>
      <c r="O800" s="22" t="str">
        <f>HYPERLINK("https://pbs.twimg.com/profile_images/910900988965355521/n-o6VMPi_normal.jpg","View")</f>
        <v>View</v>
      </c>
      <c r="P800" s="27"/>
    </row>
    <row r="801">
      <c r="A801" s="14">
        <v>43031.08952546296</v>
      </c>
      <c r="B801" s="20" t="str">
        <f>HYPERLINK("https://twitter.com/alwangaKE","@alwangaKE")</f>
        <v>@alwangaKE</v>
      </c>
      <c r="C801" s="21" t="s">
        <v>2129</v>
      </c>
      <c r="D801" s="21" t="s">
        <v>32</v>
      </c>
      <c r="E801" s="22" t="str">
        <f>HYPERLINK("https://twitter.com/alwangaKE/status/922389362855284736","922389362855284736")</f>
        <v>922389362855284736</v>
      </c>
      <c r="F801" s="23" t="s">
        <v>33</v>
      </c>
      <c r="G801" s="24">
        <v>1237.0</v>
      </c>
      <c r="H801" s="24">
        <v>1863.0</v>
      </c>
      <c r="I801" s="24">
        <v>471.0</v>
      </c>
      <c r="J801" s="24">
        <v>0.0</v>
      </c>
      <c r="K801" s="23" t="s">
        <v>34</v>
      </c>
      <c r="L801" s="25">
        <v>42974.96811342593</v>
      </c>
      <c r="M801" s="26" t="s">
        <v>843</v>
      </c>
      <c r="N801" s="26" t="s">
        <v>2130</v>
      </c>
      <c r="O801" s="22" t="str">
        <f>HYPERLINK("https://pbs.twimg.com/profile_images/922326913498173445/2cs9cCTx_normal.jpg","View")</f>
        <v>View</v>
      </c>
      <c r="P801" s="27"/>
    </row>
    <row r="802">
      <c r="A802" s="14">
        <v>43031.089594907404</v>
      </c>
      <c r="B802" s="20" t="str">
        <f>HYPERLINK("https://twitter.com/Roshan_Punch","@Roshan_Punch")</f>
        <v>@Roshan_Punch</v>
      </c>
      <c r="C802" s="21" t="s">
        <v>2131</v>
      </c>
      <c r="D802" s="21" t="s">
        <v>163</v>
      </c>
      <c r="E802" s="22" t="str">
        <f>HYPERLINK("https://twitter.com/Roshan_Punch/status/922389387479887873","922389387479887873")</f>
        <v>922389387479887873</v>
      </c>
      <c r="F802" s="23" t="s">
        <v>33</v>
      </c>
      <c r="G802" s="24">
        <v>25.0</v>
      </c>
      <c r="H802" s="24">
        <v>277.0</v>
      </c>
      <c r="I802" s="24">
        <v>1005.0</v>
      </c>
      <c r="J802" s="24">
        <v>0.0</v>
      </c>
      <c r="K802" s="23" t="s">
        <v>34</v>
      </c>
      <c r="L802" s="25">
        <v>42986.96170138889</v>
      </c>
      <c r="M802" s="26" t="s">
        <v>2132</v>
      </c>
      <c r="N802" s="26" t="s">
        <v>2133</v>
      </c>
      <c r="O802" s="22" t="str">
        <f>HYPERLINK("https://pbs.twimg.com/profile_images/921829184950870016/39Api8Jq_normal.jpg","View")</f>
        <v>View</v>
      </c>
      <c r="P802" s="27"/>
    </row>
    <row r="803">
      <c r="A803" s="14">
        <v>43031.08965277778</v>
      </c>
      <c r="B803" s="20" t="str">
        <f>HYPERLINK("https://twitter.com/nobodyspaw","@nobodyspaw")</f>
        <v>@nobodyspaw</v>
      </c>
      <c r="C803" s="21" t="s">
        <v>2134</v>
      </c>
      <c r="D803" s="21" t="s">
        <v>42</v>
      </c>
      <c r="E803" s="22" t="str">
        <f>HYPERLINK("https://twitter.com/nobodyspaw/status/922389405804912640","922389405804912640")</f>
        <v>922389405804912640</v>
      </c>
      <c r="F803" s="23" t="s">
        <v>230</v>
      </c>
      <c r="G803" s="24">
        <v>5299.0</v>
      </c>
      <c r="H803" s="24">
        <v>4342.0</v>
      </c>
      <c r="I803" s="24">
        <v>8501.0</v>
      </c>
      <c r="J803" s="24">
        <v>0.0</v>
      </c>
      <c r="K803" s="23" t="s">
        <v>34</v>
      </c>
      <c r="L803" s="25">
        <v>40717.3909375</v>
      </c>
      <c r="M803" s="26" t="s">
        <v>1024</v>
      </c>
      <c r="N803" s="26" t="s">
        <v>2135</v>
      </c>
      <c r="O803" s="22" t="str">
        <f>HYPERLINK("https://pbs.twimg.com/profile_images/471853637149290496/GWHDGn3b_normal.jpeg","View")</f>
        <v>View</v>
      </c>
      <c r="P803" s="27"/>
    </row>
    <row r="804">
      <c r="A804" s="14">
        <v>43031.08971064815</v>
      </c>
      <c r="B804" s="20" t="str">
        <f>HYPERLINK("https://twitter.com/tiwarimihirsa","@tiwarimihirsa")</f>
        <v>@tiwarimihirsa</v>
      </c>
      <c r="C804" s="21" t="s">
        <v>2136</v>
      </c>
      <c r="D804" s="21" t="s">
        <v>42</v>
      </c>
      <c r="E804" s="22" t="str">
        <f>HYPERLINK("https://twitter.com/tiwarimihirsa/status/922389430102405120","922389430102405120")</f>
        <v>922389430102405120</v>
      </c>
      <c r="F804" s="23" t="s">
        <v>33</v>
      </c>
      <c r="G804" s="24">
        <v>3.0</v>
      </c>
      <c r="H804" s="24">
        <v>65.0</v>
      </c>
      <c r="I804" s="24">
        <v>8501.0</v>
      </c>
      <c r="J804" s="24">
        <v>0.0</v>
      </c>
      <c r="K804" s="23" t="s">
        <v>34</v>
      </c>
      <c r="L804" s="25">
        <v>43029.011458333334</v>
      </c>
      <c r="M804" s="28"/>
      <c r="N804" s="28"/>
      <c r="O804" s="22" t="str">
        <f t="shared" ref="O804:O805" si="9">HYPERLINK("https://abs.twimg.com/sticky/default_profile_images/default_profile_normal.png","View")</f>
        <v>View</v>
      </c>
      <c r="P804" s="27"/>
    </row>
    <row r="805">
      <c r="A805" s="14">
        <v>43031.08972222223</v>
      </c>
      <c r="B805" s="20" t="str">
        <f>HYPERLINK("https://twitter.com/Manishyadav1368","@Manishyadav1368")</f>
        <v>@Manishyadav1368</v>
      </c>
      <c r="C805" s="21" t="s">
        <v>2137</v>
      </c>
      <c r="D805" s="21" t="s">
        <v>42</v>
      </c>
      <c r="E805" s="22" t="str">
        <f>HYPERLINK("https://twitter.com/Manishyadav1368/status/922389431792873472","922389431792873472")</f>
        <v>922389431792873472</v>
      </c>
      <c r="F805" s="23" t="s">
        <v>33</v>
      </c>
      <c r="G805" s="24">
        <v>1.0</v>
      </c>
      <c r="H805" s="24">
        <v>35.0</v>
      </c>
      <c r="I805" s="24">
        <v>8501.0</v>
      </c>
      <c r="J805" s="24">
        <v>0.0</v>
      </c>
      <c r="K805" s="23" t="s">
        <v>34</v>
      </c>
      <c r="L805" s="25">
        <v>43028.175208333334</v>
      </c>
      <c r="M805" s="28"/>
      <c r="N805" s="28"/>
      <c r="O805" s="22" t="str">
        <f t="shared" si="9"/>
        <v>View</v>
      </c>
      <c r="P805" s="27"/>
    </row>
    <row r="806">
      <c r="A806" s="14">
        <v>43031.089745370366</v>
      </c>
      <c r="B806" s="20" t="str">
        <f>HYPERLINK("https://twitter.com/Oshilo","@Oshilo")</f>
        <v>@Oshilo</v>
      </c>
      <c r="C806" s="21" t="s">
        <v>2138</v>
      </c>
      <c r="D806" s="21" t="s">
        <v>2139</v>
      </c>
      <c r="E806" s="22" t="str">
        <f>HYPERLINK("https://twitter.com/Oshilo/status/922389442568089600","922389442568089600")</f>
        <v>922389442568089600</v>
      </c>
      <c r="F806" s="23" t="s">
        <v>91</v>
      </c>
      <c r="G806" s="24">
        <v>172.0</v>
      </c>
      <c r="H806" s="24">
        <v>62.0</v>
      </c>
      <c r="I806" s="24">
        <v>0.0</v>
      </c>
      <c r="J806" s="24">
        <v>0.0</v>
      </c>
      <c r="K806" s="23" t="s">
        <v>34</v>
      </c>
      <c r="L806" s="25">
        <v>40007.08684027778</v>
      </c>
      <c r="M806" s="26" t="s">
        <v>2140</v>
      </c>
      <c r="N806" s="28"/>
      <c r="O806" s="22" t="str">
        <f>HYPERLINK("https://pbs.twimg.com/profile_images/719706937923756032/6LX9DMMH_normal.jpg","View")</f>
        <v>View</v>
      </c>
      <c r="P806" s="27"/>
    </row>
    <row r="807">
      <c r="A807" s="14">
        <v>43031.089849537035</v>
      </c>
      <c r="B807" s="20" t="str">
        <f>HYPERLINK("https://twitter.com/DG_143UrLove","@DG_143UrLove")</f>
        <v>@DG_143UrLove</v>
      </c>
      <c r="C807" s="21" t="s">
        <v>2141</v>
      </c>
      <c r="D807" s="21" t="s">
        <v>42</v>
      </c>
      <c r="E807" s="22" t="str">
        <f>HYPERLINK("https://twitter.com/DG_143UrLove/status/922389477523210240","922389477523210240")</f>
        <v>922389477523210240</v>
      </c>
      <c r="F807" s="23" t="s">
        <v>33</v>
      </c>
      <c r="G807" s="24">
        <v>945.0</v>
      </c>
      <c r="H807" s="24">
        <v>100.0</v>
      </c>
      <c r="I807" s="24">
        <v>8501.0</v>
      </c>
      <c r="J807" s="24">
        <v>0.0</v>
      </c>
      <c r="K807" s="23" t="s">
        <v>34</v>
      </c>
      <c r="L807" s="25">
        <v>43000.23189814815</v>
      </c>
      <c r="M807" s="26" t="s">
        <v>2142</v>
      </c>
      <c r="N807" s="26" t="s">
        <v>2143</v>
      </c>
      <c r="O807" s="22" t="str">
        <f>HYPERLINK("https://pbs.twimg.com/profile_images/922394005115101184/TZvbyznl_normal.jpg","View")</f>
        <v>View</v>
      </c>
      <c r="P807" s="27"/>
    </row>
    <row r="808">
      <c r="A808" s="14">
        <v>43031.08987268519</v>
      </c>
      <c r="B808" s="20" t="str">
        <f>HYPERLINK("https://twitter.com/JOHNoholics","@JOHNoholics")</f>
        <v>@JOHNoholics</v>
      </c>
      <c r="C808" s="21" t="s">
        <v>2144</v>
      </c>
      <c r="D808" s="21" t="s">
        <v>1444</v>
      </c>
      <c r="E808" s="22" t="str">
        <f>HYPERLINK("https://twitter.com/JOHNoholics/status/922389485308039168","922389485308039168")</f>
        <v>922389485308039168</v>
      </c>
      <c r="F808" s="23" t="s">
        <v>39</v>
      </c>
      <c r="G808" s="24">
        <v>286.0</v>
      </c>
      <c r="H808" s="24">
        <v>687.0</v>
      </c>
      <c r="I808" s="24">
        <v>50.0</v>
      </c>
      <c r="J808" s="24">
        <v>0.0</v>
      </c>
      <c r="K808" s="23" t="s">
        <v>34</v>
      </c>
      <c r="L808" s="25">
        <v>39913.17334490741</v>
      </c>
      <c r="M808" s="26" t="s">
        <v>2145</v>
      </c>
      <c r="N808" s="26" t="s">
        <v>2146</v>
      </c>
      <c r="O808" s="22" t="str">
        <f>HYPERLINK("https://pbs.twimg.com/profile_images/752583753596362752/nQsgcwXq_normal.jpg","View")</f>
        <v>View</v>
      </c>
      <c r="P808" s="27"/>
    </row>
    <row r="809">
      <c r="A809" s="14">
        <v>43031.09005787037</v>
      </c>
      <c r="B809" s="20" t="str">
        <f>HYPERLINK("https://twitter.com/themoneystreet","@themoneystreet")</f>
        <v>@themoneystreet</v>
      </c>
      <c r="C809" s="21" t="s">
        <v>2147</v>
      </c>
      <c r="D809" s="21" t="s">
        <v>2148</v>
      </c>
      <c r="E809" s="22" t="str">
        <f>HYPERLINK("https://twitter.com/themoneystreet/status/922389552127287301","922389552127287301")</f>
        <v>922389552127287301</v>
      </c>
      <c r="F809" s="23" t="s">
        <v>2149</v>
      </c>
      <c r="G809" s="24">
        <v>658.0</v>
      </c>
      <c r="H809" s="24">
        <v>40.0</v>
      </c>
      <c r="I809" s="24">
        <v>0.0</v>
      </c>
      <c r="J809" s="24">
        <v>0.0</v>
      </c>
      <c r="K809" s="23" t="s">
        <v>34</v>
      </c>
      <c r="L809" s="25">
        <v>42094.71859953704</v>
      </c>
      <c r="M809" s="28"/>
      <c r="N809" s="28"/>
      <c r="O809" s="22" t="str">
        <f>HYPERLINK("https://pbs.twimg.com/profile_images/583060083589820416/zbfEFon3_normal.png","View")</f>
        <v>View</v>
      </c>
      <c r="P809" s="27"/>
    </row>
    <row r="810">
      <c r="A810" s="14">
        <v>43031.09008101852</v>
      </c>
      <c r="B810" s="20" t="str">
        <f>HYPERLINK("https://twitter.com/Nilotpalsharma","@Nilotpalsharma")</f>
        <v>@Nilotpalsharma</v>
      </c>
      <c r="C810" s="21" t="s">
        <v>2150</v>
      </c>
      <c r="D810" s="21" t="s">
        <v>42</v>
      </c>
      <c r="E810" s="22" t="str">
        <f>HYPERLINK("https://twitter.com/Nilotpalsharma/status/922389563275755521","922389563275755521")</f>
        <v>922389563275755521</v>
      </c>
      <c r="F810" s="23" t="s">
        <v>33</v>
      </c>
      <c r="G810" s="24">
        <v>119.0</v>
      </c>
      <c r="H810" s="24">
        <v>218.0</v>
      </c>
      <c r="I810" s="24">
        <v>8501.0</v>
      </c>
      <c r="J810" s="24">
        <v>0.0</v>
      </c>
      <c r="K810" s="23" t="s">
        <v>34</v>
      </c>
      <c r="L810" s="25">
        <v>39965.25612268518</v>
      </c>
      <c r="M810" s="26" t="s">
        <v>575</v>
      </c>
      <c r="N810" s="26" t="s">
        <v>2151</v>
      </c>
      <c r="O810" s="22" t="str">
        <f>HYPERLINK("https://pbs.twimg.com/profile_images/448458366788960256/CVu-HbE8_normal.png","View")</f>
        <v>View</v>
      </c>
      <c r="P810" s="27"/>
    </row>
    <row r="811">
      <c r="A811" s="14">
        <v>43031.090092592596</v>
      </c>
      <c r="B811" s="20" t="str">
        <f>HYPERLINK("https://twitter.com/tusharikasharm2","@tusharikasharm2")</f>
        <v>@tusharikasharm2</v>
      </c>
      <c r="C811" s="21" t="s">
        <v>2152</v>
      </c>
      <c r="D811" s="21" t="s">
        <v>42</v>
      </c>
      <c r="E811" s="22" t="str">
        <f>HYPERLINK("https://twitter.com/tusharikasharm2/status/922389564513165312","922389564513165312")</f>
        <v>922389564513165312</v>
      </c>
      <c r="F811" s="23" t="s">
        <v>33</v>
      </c>
      <c r="G811" s="24">
        <v>158.0</v>
      </c>
      <c r="H811" s="24">
        <v>28.0</v>
      </c>
      <c r="I811" s="24">
        <v>8501.0</v>
      </c>
      <c r="J811" s="24">
        <v>0.0</v>
      </c>
      <c r="K811" s="23" t="s">
        <v>34</v>
      </c>
      <c r="L811" s="25">
        <v>42568.12453703704</v>
      </c>
      <c r="M811" s="28"/>
      <c r="N811" s="26" t="s">
        <v>2153</v>
      </c>
      <c r="O811" s="22" t="str">
        <f>HYPERLINK("https://pbs.twimg.com/profile_images/922088056030625792/1AVOiWcK_normal.jpg","View")</f>
        <v>View</v>
      </c>
      <c r="P811" s="27"/>
    </row>
    <row r="812">
      <c r="A812" s="14">
        <v>43031.090104166666</v>
      </c>
      <c r="B812" s="20" t="str">
        <f>HYPERLINK("https://twitter.com/mosfoodographer","@mosfoodographer")</f>
        <v>@mosfoodographer</v>
      </c>
      <c r="C812" s="21" t="s">
        <v>2154</v>
      </c>
      <c r="D812" s="21" t="s">
        <v>760</v>
      </c>
      <c r="E812" s="22" t="str">
        <f>HYPERLINK("https://twitter.com/mosfoodographer/status/922389569970081792","922389569970081792")</f>
        <v>922389569970081792</v>
      </c>
      <c r="F812" s="23" t="s">
        <v>39</v>
      </c>
      <c r="G812" s="24">
        <v>543.0</v>
      </c>
      <c r="H812" s="24">
        <v>925.0</v>
      </c>
      <c r="I812" s="24">
        <v>62.0</v>
      </c>
      <c r="J812" s="24">
        <v>0.0</v>
      </c>
      <c r="K812" s="23" t="s">
        <v>34</v>
      </c>
      <c r="L812" s="25">
        <v>39948.819606481484</v>
      </c>
      <c r="M812" s="28"/>
      <c r="N812" s="26" t="s">
        <v>2155</v>
      </c>
      <c r="O812" s="22" t="str">
        <f>HYPERLINK("https://pbs.twimg.com/profile_images/848681196691312641/cwl-gK_L_normal.jpg","View")</f>
        <v>View</v>
      </c>
      <c r="P812" s="27"/>
    </row>
    <row r="813">
      <c r="A813" s="14">
        <v>43031.09011574074</v>
      </c>
      <c r="B813" s="20" t="str">
        <f>HYPERLINK("https://twitter.com/Wealth_FM","@Wealth_FM")</f>
        <v>@Wealth_FM</v>
      </c>
      <c r="C813" s="21" t="s">
        <v>2156</v>
      </c>
      <c r="D813" s="21" t="s">
        <v>2157</v>
      </c>
      <c r="E813" s="22" t="str">
        <f>HYPERLINK("https://twitter.com/Wealth_FM/status/922389575430946816","922389575430946816")</f>
        <v>922389575430946816</v>
      </c>
      <c r="F813" s="23" t="s">
        <v>55</v>
      </c>
      <c r="G813" s="24">
        <v>140.0</v>
      </c>
      <c r="H813" s="24">
        <v>239.0</v>
      </c>
      <c r="I813" s="24">
        <v>12.0</v>
      </c>
      <c r="J813" s="24">
        <v>0.0</v>
      </c>
      <c r="K813" s="23" t="s">
        <v>34</v>
      </c>
      <c r="L813" s="25">
        <v>42808.96616898148</v>
      </c>
      <c r="M813" s="26" t="s">
        <v>2158</v>
      </c>
      <c r="N813" s="26" t="s">
        <v>2159</v>
      </c>
      <c r="O813" s="22" t="str">
        <f>HYPERLINK("https://pbs.twimg.com/profile_images/841896867587866624/oywl8sKi_normal.jpg","View")</f>
        <v>View</v>
      </c>
      <c r="P813" s="27"/>
    </row>
    <row r="814">
      <c r="A814" s="14">
        <v>43031.09019675926</v>
      </c>
      <c r="B814" s="20" t="str">
        <f>HYPERLINK("https://twitter.com/PawanP8","@PawanP8")</f>
        <v>@PawanP8</v>
      </c>
      <c r="C814" s="21" t="s">
        <v>2160</v>
      </c>
      <c r="D814" s="21" t="s">
        <v>42</v>
      </c>
      <c r="E814" s="22" t="str">
        <f>HYPERLINK("https://twitter.com/PawanP8/status/922389603490729985","922389603490729985")</f>
        <v>922389603490729985</v>
      </c>
      <c r="F814" s="23" t="s">
        <v>33</v>
      </c>
      <c r="G814" s="24">
        <v>7.0</v>
      </c>
      <c r="H814" s="24">
        <v>22.0</v>
      </c>
      <c r="I814" s="24">
        <v>8501.0</v>
      </c>
      <c r="J814" s="24">
        <v>0.0</v>
      </c>
      <c r="K814" s="23" t="s">
        <v>34</v>
      </c>
      <c r="L814" s="25">
        <v>41948.88222222222</v>
      </c>
      <c r="M814" s="26" t="s">
        <v>2161</v>
      </c>
      <c r="N814" s="26" t="s">
        <v>2162</v>
      </c>
      <c r="O814" s="22" t="str">
        <f>HYPERLINK("https://pbs.twimg.com/profile_images/918884256113233920/_TJ8iv2W_normal.jpg","View")</f>
        <v>View</v>
      </c>
      <c r="P814" s="27"/>
    </row>
    <row r="815">
      <c r="A815" s="14">
        <v>43031.090208333335</v>
      </c>
      <c r="B815" s="20" t="str">
        <f>HYPERLINK("https://twitter.com/cmanityagi","@cmanityagi")</f>
        <v>@cmanityagi</v>
      </c>
      <c r="C815" s="21" t="s">
        <v>2163</v>
      </c>
      <c r="D815" s="21" t="s">
        <v>42</v>
      </c>
      <c r="E815" s="22" t="str">
        <f>HYPERLINK("https://twitter.com/cmanityagi/status/922389609278988289","922389609278988289")</f>
        <v>922389609278988289</v>
      </c>
      <c r="F815" s="23" t="s">
        <v>33</v>
      </c>
      <c r="G815" s="24">
        <v>1205.0</v>
      </c>
      <c r="H815" s="24">
        <v>1185.0</v>
      </c>
      <c r="I815" s="24">
        <v>8501.0</v>
      </c>
      <c r="J815" s="24">
        <v>0.0</v>
      </c>
      <c r="K815" s="23" t="s">
        <v>34</v>
      </c>
      <c r="L815" s="25">
        <v>41739.447118055556</v>
      </c>
      <c r="M815" s="26" t="s">
        <v>96</v>
      </c>
      <c r="N815" s="26" t="s">
        <v>2164</v>
      </c>
      <c r="O815" s="22" t="str">
        <f>HYPERLINK("https://pbs.twimg.com/profile_images/691634241944182784/yD3Ff3JG_normal.jpg","View")</f>
        <v>View</v>
      </c>
      <c r="P815" s="27"/>
    </row>
    <row r="816">
      <c r="A816" s="14">
        <v>43031.09023148148</v>
      </c>
      <c r="B816" s="20" t="str">
        <f>HYPERLINK("https://twitter.com/akhildub","@akhildub")</f>
        <v>@akhildub</v>
      </c>
      <c r="C816" s="21" t="s">
        <v>2165</v>
      </c>
      <c r="D816" s="21" t="s">
        <v>42</v>
      </c>
      <c r="E816" s="22" t="str">
        <f>HYPERLINK("https://twitter.com/akhildub/status/922389615662702592","922389615662702592")</f>
        <v>922389615662702592</v>
      </c>
      <c r="F816" s="23" t="s">
        <v>33</v>
      </c>
      <c r="G816" s="24">
        <v>82.0</v>
      </c>
      <c r="H816" s="24">
        <v>309.0</v>
      </c>
      <c r="I816" s="24">
        <v>8501.0</v>
      </c>
      <c r="J816" s="24">
        <v>0.0</v>
      </c>
      <c r="K816" s="23" t="s">
        <v>34</v>
      </c>
      <c r="L816" s="25">
        <v>40711.32881944445</v>
      </c>
      <c r="M816" s="26" t="s">
        <v>2166</v>
      </c>
      <c r="N816" s="26" t="s">
        <v>2167</v>
      </c>
      <c r="O816" s="22" t="str">
        <f>HYPERLINK("https://pbs.twimg.com/profile_images/617340002515550208/6--EUezx_normal.jpg","View")</f>
        <v>View</v>
      </c>
      <c r="P816" s="27"/>
    </row>
    <row r="817">
      <c r="A817" s="14">
        <v>43031.09024305556</v>
      </c>
      <c r="B817" s="20" t="str">
        <f>HYPERLINK("https://twitter.com/koLOtoVEha","@koLOtoVEha")</f>
        <v>@koLOtoVEha</v>
      </c>
      <c r="C817" s="21" t="s">
        <v>2168</v>
      </c>
      <c r="D817" s="21" t="s">
        <v>42</v>
      </c>
      <c r="E817" s="22" t="str">
        <f>HYPERLINK("https://twitter.com/koLOtoVEha/status/922389619437477888","922389619437477888")</f>
        <v>922389619437477888</v>
      </c>
      <c r="F817" s="23" t="s">
        <v>39</v>
      </c>
      <c r="G817" s="24">
        <v>253.0</v>
      </c>
      <c r="H817" s="24">
        <v>335.0</v>
      </c>
      <c r="I817" s="24">
        <v>8501.0</v>
      </c>
      <c r="J817" s="24">
        <v>0.0</v>
      </c>
      <c r="K817" s="23" t="s">
        <v>34</v>
      </c>
      <c r="L817" s="25">
        <v>41030.64027777778</v>
      </c>
      <c r="M817" s="28"/>
      <c r="N817" s="28"/>
      <c r="O817" s="22" t="str">
        <f>HYPERLINK("https://pbs.twimg.com/profile_images/2263146780/20120530_213627_normal.jpg","View")</f>
        <v>View</v>
      </c>
      <c r="P817" s="27"/>
    </row>
    <row r="818">
      <c r="A818" s="14">
        <v>43031.09033564814</v>
      </c>
      <c r="B818" s="20" t="str">
        <f>HYPERLINK("https://twitter.com/sveldanda","@sveldanda")</f>
        <v>@sveldanda</v>
      </c>
      <c r="C818" s="21" t="s">
        <v>2169</v>
      </c>
      <c r="D818" s="21" t="s">
        <v>42</v>
      </c>
      <c r="E818" s="22" t="str">
        <f>HYPERLINK("https://twitter.com/sveldanda/status/922389655038828544","922389655038828544")</f>
        <v>922389655038828544</v>
      </c>
      <c r="F818" s="23" t="s">
        <v>33</v>
      </c>
      <c r="G818" s="24">
        <v>323.0</v>
      </c>
      <c r="H818" s="24">
        <v>150.0</v>
      </c>
      <c r="I818" s="24">
        <v>8501.0</v>
      </c>
      <c r="J818" s="24">
        <v>0.0</v>
      </c>
      <c r="K818" s="23" t="s">
        <v>34</v>
      </c>
      <c r="L818" s="25">
        <v>40331.16447916666</v>
      </c>
      <c r="M818" s="26" t="s">
        <v>2170</v>
      </c>
      <c r="N818" s="26" t="s">
        <v>2171</v>
      </c>
      <c r="O818" s="22" t="str">
        <f>HYPERLINK("https://pbs.twimg.com/profile_images/910914257545338880/y1zEs3oF_normal.jpg","View")</f>
        <v>View</v>
      </c>
      <c r="P818" s="27"/>
    </row>
    <row r="819">
      <c r="A819" s="14">
        <v>43031.090370370366</v>
      </c>
      <c r="B819" s="20" t="str">
        <f>HYPERLINK("https://twitter.com/CNS_MasakoToki","@CNS_MasakoToki")</f>
        <v>@CNS_MasakoToki</v>
      </c>
      <c r="C819" s="21" t="s">
        <v>2172</v>
      </c>
      <c r="D819" s="21" t="s">
        <v>2173</v>
      </c>
      <c r="E819" s="22" t="str">
        <f>HYPERLINK("https://twitter.com/CNS_MasakoToki/status/922389665570627585","922389665570627585")</f>
        <v>922389665570627585</v>
      </c>
      <c r="F819" s="23" t="s">
        <v>39</v>
      </c>
      <c r="G819" s="24">
        <v>1417.0</v>
      </c>
      <c r="H819" s="24">
        <v>1726.0</v>
      </c>
      <c r="I819" s="24">
        <v>3.0</v>
      </c>
      <c r="J819" s="24">
        <v>0.0</v>
      </c>
      <c r="K819" s="23" t="s">
        <v>34</v>
      </c>
      <c r="L819" s="25">
        <v>40093.84548611111</v>
      </c>
      <c r="M819" s="26" t="s">
        <v>2174</v>
      </c>
      <c r="N819" s="26" t="s">
        <v>2175</v>
      </c>
      <c r="O819" s="22" t="str">
        <f>HYPERLINK("https://pbs.twimg.com/profile_images/859216862655246338/ky6pIwqc_normal.jpg","View")</f>
        <v>View</v>
      </c>
      <c r="P819" s="27"/>
    </row>
    <row r="820">
      <c r="A820" s="14">
        <v>43031.09040509259</v>
      </c>
      <c r="B820" s="20" t="str">
        <f>HYPERLINK("https://twitter.com/VarunDh02021166","@VarunDh02021166")</f>
        <v>@VarunDh02021166</v>
      </c>
      <c r="C820" s="21" t="s">
        <v>2176</v>
      </c>
      <c r="D820" s="21" t="s">
        <v>42</v>
      </c>
      <c r="E820" s="22" t="str">
        <f>HYPERLINK("https://twitter.com/VarunDh02021166/status/922389681643204608","922389681643204608")</f>
        <v>922389681643204608</v>
      </c>
      <c r="F820" s="23" t="s">
        <v>33</v>
      </c>
      <c r="G820" s="24">
        <v>22.0</v>
      </c>
      <c r="H820" s="24">
        <v>144.0</v>
      </c>
      <c r="I820" s="24">
        <v>8501.0</v>
      </c>
      <c r="J820" s="24">
        <v>0.0</v>
      </c>
      <c r="K820" s="23" t="s">
        <v>34</v>
      </c>
      <c r="L820" s="25">
        <v>42973.873090277775</v>
      </c>
      <c r="M820" s="26" t="s">
        <v>2177</v>
      </c>
      <c r="N820" s="26" t="s">
        <v>2178</v>
      </c>
      <c r="O820" s="22" t="str">
        <f>HYPERLINK("https://pbs.twimg.com/profile_images/921241824542330880/Vjsz08WF_normal.jpg","View")</f>
        <v>View</v>
      </c>
      <c r="P820" s="27"/>
    </row>
    <row r="821">
      <c r="A821" s="14">
        <v>43031.090416666666</v>
      </c>
      <c r="B821" s="20" t="str">
        <f>HYPERLINK("https://twitter.com/WGAUradio","@WGAUradio")</f>
        <v>@WGAUradio</v>
      </c>
      <c r="C821" s="21" t="s">
        <v>2179</v>
      </c>
      <c r="D821" s="21" t="s">
        <v>2180</v>
      </c>
      <c r="E821" s="22" t="str">
        <f>HYPERLINK("https://twitter.com/WGAUradio/status/922389685892210690","922389685892210690")</f>
        <v>922389685892210690</v>
      </c>
      <c r="F821" s="23" t="s">
        <v>1103</v>
      </c>
      <c r="G821" s="24">
        <v>1046.0</v>
      </c>
      <c r="H821" s="24">
        <v>989.0</v>
      </c>
      <c r="I821" s="24">
        <v>0.0</v>
      </c>
      <c r="J821" s="24">
        <v>0.0</v>
      </c>
      <c r="K821" s="23" t="s">
        <v>34</v>
      </c>
      <c r="L821" s="25">
        <v>40662.25040509259</v>
      </c>
      <c r="M821" s="26" t="s">
        <v>2181</v>
      </c>
      <c r="N821" s="26" t="s">
        <v>2182</v>
      </c>
      <c r="O821" s="22" t="str">
        <f>HYPERLINK("https://pbs.twimg.com/profile_images/901115513346174976/8Tjr-S_C_normal.jpg","View")</f>
        <v>View</v>
      </c>
      <c r="P821" s="27"/>
    </row>
    <row r="822">
      <c r="A822" s="14">
        <v>43031.09050925926</v>
      </c>
      <c r="B822" s="20" t="str">
        <f>HYPERLINK("https://twitter.com/khcjhk","@khcjhk")</f>
        <v>@khcjhk</v>
      </c>
      <c r="C822" s="21" t="s">
        <v>2183</v>
      </c>
      <c r="D822" s="21" t="s">
        <v>2184</v>
      </c>
      <c r="E822" s="22" t="str">
        <f>HYPERLINK("https://twitter.com/khcjhk/status/922389715625504769","922389715625504769")</f>
        <v>922389715625504769</v>
      </c>
      <c r="F822" s="23" t="s">
        <v>55</v>
      </c>
      <c r="G822" s="24">
        <v>4.0</v>
      </c>
      <c r="H822" s="24">
        <v>10.0</v>
      </c>
      <c r="I822" s="24">
        <v>0.0</v>
      </c>
      <c r="J822" s="24">
        <v>0.0</v>
      </c>
      <c r="K822" s="23" t="s">
        <v>34</v>
      </c>
      <c r="L822" s="25">
        <v>39744.92386574074</v>
      </c>
      <c r="M822" s="26" t="s">
        <v>2185</v>
      </c>
      <c r="N822" s="28"/>
      <c r="O822" s="22" t="str">
        <f>HYPERLINK("https://abs.twimg.com/sticky/default_profile_images/default_profile_normal.png","View")</f>
        <v>View</v>
      </c>
      <c r="P822" s="27"/>
    </row>
    <row r="823">
      <c r="A823" s="14">
        <v>43031.090590277774</v>
      </c>
      <c r="B823" s="20" t="str">
        <f>HYPERLINK("https://twitter.com/skymods","@skymods")</f>
        <v>@skymods</v>
      </c>
      <c r="C823" s="21" t="s">
        <v>2186</v>
      </c>
      <c r="D823" s="21" t="s">
        <v>42</v>
      </c>
      <c r="E823" s="22" t="str">
        <f>HYPERLINK("https://twitter.com/skymods/status/922389746931851264","922389746931851264")</f>
        <v>922389746931851264</v>
      </c>
      <c r="F823" s="23" t="s">
        <v>33</v>
      </c>
      <c r="G823" s="24">
        <v>1969.0</v>
      </c>
      <c r="H823" s="24">
        <v>1932.0</v>
      </c>
      <c r="I823" s="24">
        <v>8501.0</v>
      </c>
      <c r="J823" s="24">
        <v>0.0</v>
      </c>
      <c r="K823" s="23" t="s">
        <v>34</v>
      </c>
      <c r="L823" s="25">
        <v>40373.81104166667</v>
      </c>
      <c r="M823" s="26" t="s">
        <v>271</v>
      </c>
      <c r="N823" s="26" t="s">
        <v>2187</v>
      </c>
      <c r="O823" s="22" t="str">
        <f>HYPERLINK("https://pbs.twimg.com/profile_images/918815204321902592/_TL8P15A_normal.jpg","View")</f>
        <v>View</v>
      </c>
      <c r="P823" s="27"/>
    </row>
    <row r="824">
      <c r="A824" s="14">
        <v>43031.09061342593</v>
      </c>
      <c r="B824" s="20" t="str">
        <f>HYPERLINK("https://twitter.com/KhajinaN","@KhajinaN")</f>
        <v>@KhajinaN</v>
      </c>
      <c r="C824" s="21" t="s">
        <v>2188</v>
      </c>
      <c r="D824" s="21" t="s">
        <v>42</v>
      </c>
      <c r="E824" s="22" t="str">
        <f>HYPERLINK("https://twitter.com/KhajinaN/status/922389754724806656","922389754724806656")</f>
        <v>922389754724806656</v>
      </c>
      <c r="F824" s="23" t="s">
        <v>33</v>
      </c>
      <c r="G824" s="24">
        <v>558.0</v>
      </c>
      <c r="H824" s="24">
        <v>4319.0</v>
      </c>
      <c r="I824" s="24">
        <v>8501.0</v>
      </c>
      <c r="J824" s="24">
        <v>0.0</v>
      </c>
      <c r="K824" s="23" t="s">
        <v>34</v>
      </c>
      <c r="L824" s="25">
        <v>43018.08865740741</v>
      </c>
      <c r="M824" s="26" t="s">
        <v>2189</v>
      </c>
      <c r="N824" s="26" t="s">
        <v>2190</v>
      </c>
      <c r="O824" s="22" t="str">
        <f>HYPERLINK("https://pbs.twimg.com/profile_images/917679444403171328/CVmh-hND_normal.jpg","View")</f>
        <v>View</v>
      </c>
      <c r="P824" s="27"/>
    </row>
    <row r="825">
      <c r="A825" s="14">
        <v>43031.09077546296</v>
      </c>
      <c r="B825" s="20" t="str">
        <f>HYPERLINK("https://twitter.com/HildaMuteshi","@HildaMuteshi")</f>
        <v>@HildaMuteshi</v>
      </c>
      <c r="C825" s="21" t="s">
        <v>2191</v>
      </c>
      <c r="D825" s="21" t="s">
        <v>32</v>
      </c>
      <c r="E825" s="22" t="str">
        <f>HYPERLINK("https://twitter.com/HildaMuteshi/status/922389811989585920","922389811989585920")</f>
        <v>922389811989585920</v>
      </c>
      <c r="F825" s="23" t="s">
        <v>33</v>
      </c>
      <c r="G825" s="24">
        <v>375.0</v>
      </c>
      <c r="H825" s="24">
        <v>564.0</v>
      </c>
      <c r="I825" s="24">
        <v>471.0</v>
      </c>
      <c r="J825" s="24">
        <v>0.0</v>
      </c>
      <c r="K825" s="23" t="s">
        <v>34</v>
      </c>
      <c r="L825" s="25">
        <v>42893.623819444445</v>
      </c>
      <c r="M825" s="26" t="s">
        <v>114</v>
      </c>
      <c r="N825" s="26" t="s">
        <v>2192</v>
      </c>
      <c r="O825" s="22" t="str">
        <f>HYPERLINK("https://pbs.twimg.com/profile_images/892263857347072002/8FekaONy_normal.jpg","View")</f>
        <v>View</v>
      </c>
      <c r="P825" s="27"/>
    </row>
    <row r="826">
      <c r="A826" s="14">
        <v>43031.09079861111</v>
      </c>
      <c r="B826" s="20" t="str">
        <f>HYPERLINK("https://twitter.com/chriskioko46","@chriskioko46")</f>
        <v>@chriskioko46</v>
      </c>
      <c r="C826" s="21" t="s">
        <v>2193</v>
      </c>
      <c r="D826" s="21" t="s">
        <v>32</v>
      </c>
      <c r="E826" s="22" t="str">
        <f>HYPERLINK("https://twitter.com/chriskioko46/status/922389824383807488","922389824383807488")</f>
        <v>922389824383807488</v>
      </c>
      <c r="F826" s="23" t="s">
        <v>33</v>
      </c>
      <c r="G826" s="24">
        <v>678.0</v>
      </c>
      <c r="H826" s="24">
        <v>1755.0</v>
      </c>
      <c r="I826" s="24">
        <v>471.0</v>
      </c>
      <c r="J826" s="24">
        <v>0.0</v>
      </c>
      <c r="K826" s="23" t="s">
        <v>34</v>
      </c>
      <c r="L826" s="25">
        <v>41816.316712962966</v>
      </c>
      <c r="M826" s="26" t="s">
        <v>282</v>
      </c>
      <c r="N826" s="26" t="s">
        <v>2194</v>
      </c>
      <c r="O826" s="22" t="str">
        <f>HYPERLINK("https://pbs.twimg.com/profile_images/763296630250442752/cNv_-r5H_normal.jpg","View")</f>
        <v>View</v>
      </c>
      <c r="P826" s="27"/>
    </row>
    <row r="827">
      <c r="A827" s="14">
        <v>43031.09087962963</v>
      </c>
      <c r="B827" s="20" t="str">
        <f>HYPERLINK("https://twitter.com/jsmith28998","@jsmith28998")</f>
        <v>@jsmith28998</v>
      </c>
      <c r="C827" s="21" t="s">
        <v>2195</v>
      </c>
      <c r="D827" s="21" t="s">
        <v>760</v>
      </c>
      <c r="E827" s="22" t="str">
        <f>HYPERLINK("https://twitter.com/jsmith28998/status/922389851927965696","922389851927965696")</f>
        <v>922389851927965696</v>
      </c>
      <c r="F827" s="23" t="s">
        <v>55</v>
      </c>
      <c r="G827" s="24">
        <v>2111.0</v>
      </c>
      <c r="H827" s="24">
        <v>2486.0</v>
      </c>
      <c r="I827" s="24">
        <v>62.0</v>
      </c>
      <c r="J827" s="24">
        <v>0.0</v>
      </c>
      <c r="K827" s="23" t="s">
        <v>34</v>
      </c>
      <c r="L827" s="25">
        <v>42112.71614583333</v>
      </c>
      <c r="M827" s="26" t="s">
        <v>2196</v>
      </c>
      <c r="N827" s="26" t="s">
        <v>2197</v>
      </c>
      <c r="O827" s="22" t="str">
        <f>HYPERLINK("https://pbs.twimg.com/profile_images/777291430943305729/63ajYkx9_normal.jpg","View")</f>
        <v>View</v>
      </c>
      <c r="P827" s="27"/>
    </row>
    <row r="828">
      <c r="A828" s="14">
        <v>43031.090891203705</v>
      </c>
      <c r="B828" s="20" t="str">
        <f>HYPERLINK("https://twitter.com/SluggingH","@SluggingH")</f>
        <v>@SluggingH</v>
      </c>
      <c r="C828" s="21" t="s">
        <v>2198</v>
      </c>
      <c r="D828" s="21" t="s">
        <v>42</v>
      </c>
      <c r="E828" s="22" t="str">
        <f>HYPERLINK("https://twitter.com/SluggingH/status/922389854192672769","922389854192672769")</f>
        <v>922389854192672769</v>
      </c>
      <c r="F828" s="23" t="s">
        <v>39</v>
      </c>
      <c r="G828" s="24">
        <v>3241.0</v>
      </c>
      <c r="H828" s="24">
        <v>2107.0</v>
      </c>
      <c r="I828" s="24">
        <v>8501.0</v>
      </c>
      <c r="J828" s="24">
        <v>0.0</v>
      </c>
      <c r="K828" s="23" t="s">
        <v>34</v>
      </c>
      <c r="L828" s="25">
        <v>41175.42371527778</v>
      </c>
      <c r="M828" s="28"/>
      <c r="N828" s="26" t="s">
        <v>2199</v>
      </c>
      <c r="O828" s="22" t="str">
        <f>HYPERLINK("https://pbs.twimg.com/profile_images/2641952677/8bedca1505d3c4c3e51d529c6b49876c_normal.png","View")</f>
        <v>View</v>
      </c>
      <c r="P828" s="27"/>
    </row>
    <row r="829">
      <c r="A829" s="14">
        <v>43031.09091435185</v>
      </c>
      <c r="B829" s="20" t="str">
        <f>HYPERLINK("https://twitter.com/epsilonc2","@epsilonc2")</f>
        <v>@epsilonc2</v>
      </c>
      <c r="C829" s="21" t="s">
        <v>1332</v>
      </c>
      <c r="D829" s="21" t="s">
        <v>2200</v>
      </c>
      <c r="E829" s="22" t="str">
        <f>HYPERLINK("https://twitter.com/epsilonc2/status/922389866259845120","922389866259845120")</f>
        <v>922389866259845120</v>
      </c>
      <c r="F829" s="23" t="s">
        <v>55</v>
      </c>
      <c r="G829" s="24">
        <v>99.0</v>
      </c>
      <c r="H829" s="24">
        <v>873.0</v>
      </c>
      <c r="I829" s="24">
        <v>0.0</v>
      </c>
      <c r="J829" s="24">
        <v>0.0</v>
      </c>
      <c r="K829" s="23" t="s">
        <v>34</v>
      </c>
      <c r="L829" s="25">
        <v>41561.61178240741</v>
      </c>
      <c r="M829" s="26" t="s">
        <v>1334</v>
      </c>
      <c r="N829" s="28"/>
      <c r="O829" s="22" t="str">
        <f>HYPERLINK("https://pbs.twimg.com/profile_images/443011134186979328/6PoqVovc_normal.jpeg","View")</f>
        <v>View</v>
      </c>
      <c r="P829" s="27"/>
    </row>
    <row r="830">
      <c r="A830" s="14">
        <v>43031.09111111111</v>
      </c>
      <c r="B830" s="20" t="str">
        <f>HYPERLINK("https://twitter.com/Bikashjena89","@Bikashjena89")</f>
        <v>@Bikashjena89</v>
      </c>
      <c r="C830" s="21" t="s">
        <v>2201</v>
      </c>
      <c r="D830" s="21" t="s">
        <v>42</v>
      </c>
      <c r="E830" s="22" t="str">
        <f>HYPERLINK("https://twitter.com/Bikashjena89/status/922389936736649216","922389936736649216")</f>
        <v>922389936736649216</v>
      </c>
      <c r="F830" s="23" t="s">
        <v>33</v>
      </c>
      <c r="G830" s="24">
        <v>1009.0</v>
      </c>
      <c r="H830" s="24">
        <v>1919.0</v>
      </c>
      <c r="I830" s="24">
        <v>8501.0</v>
      </c>
      <c r="J830" s="24">
        <v>0.0</v>
      </c>
      <c r="K830" s="23" t="s">
        <v>34</v>
      </c>
      <c r="L830" s="25">
        <v>41850.13091435185</v>
      </c>
      <c r="M830" s="26" t="s">
        <v>2202</v>
      </c>
      <c r="N830" s="26" t="s">
        <v>2203</v>
      </c>
      <c r="O830" s="22" t="str">
        <f>HYPERLINK("https://pbs.twimg.com/profile_images/873242247122309120/t4A0QEUG_normal.jpg","View")</f>
        <v>View</v>
      </c>
      <c r="P830" s="27"/>
    </row>
    <row r="831">
      <c r="A831" s="14">
        <v>43031.09114583333</v>
      </c>
      <c r="B831" s="20" t="str">
        <f>HYPERLINK("https://twitter.com/viveksadh3","@viveksadh3")</f>
        <v>@viveksadh3</v>
      </c>
      <c r="C831" s="21" t="s">
        <v>2204</v>
      </c>
      <c r="D831" s="21" t="s">
        <v>42</v>
      </c>
      <c r="E831" s="22" t="str">
        <f>HYPERLINK("https://twitter.com/viveksadh3/status/922389947889233920","922389947889233920")</f>
        <v>922389947889233920</v>
      </c>
      <c r="F831" s="23" t="s">
        <v>33</v>
      </c>
      <c r="G831" s="24">
        <v>4.0</v>
      </c>
      <c r="H831" s="24">
        <v>84.0</v>
      </c>
      <c r="I831" s="24">
        <v>8501.0</v>
      </c>
      <c r="J831" s="24">
        <v>0.0</v>
      </c>
      <c r="K831" s="23" t="s">
        <v>34</v>
      </c>
      <c r="L831" s="25">
        <v>42252.02755787037</v>
      </c>
      <c r="M831" s="28"/>
      <c r="N831" s="28"/>
      <c r="O831" s="22" t="str">
        <f>HYPERLINK("https://abs.twimg.com/sticky/default_profile_images/default_profile_normal.png","View")</f>
        <v>View</v>
      </c>
      <c r="P831" s="27"/>
    </row>
    <row r="832">
      <c r="A832" s="14">
        <v>43031.09114583333</v>
      </c>
      <c r="B832" s="20" t="str">
        <f>HYPERLINK("https://twitter.com/amandasome","@amandasome")</f>
        <v>@amandasome</v>
      </c>
      <c r="C832" s="21" t="s">
        <v>2205</v>
      </c>
      <c r="D832" s="21" t="s">
        <v>2206</v>
      </c>
      <c r="E832" s="22" t="str">
        <f>HYPERLINK("https://twitter.com/amandasome/status/922389948237365248","922389948237365248")</f>
        <v>922389948237365248</v>
      </c>
      <c r="F832" s="30" t="s">
        <v>411</v>
      </c>
      <c r="G832" s="24">
        <v>1048.0</v>
      </c>
      <c r="H832" s="24">
        <v>777.0</v>
      </c>
      <c r="I832" s="24">
        <v>0.0</v>
      </c>
      <c r="J832" s="24">
        <v>0.0</v>
      </c>
      <c r="K832" s="23" t="s">
        <v>34</v>
      </c>
      <c r="L832" s="25">
        <v>40458.66741898148</v>
      </c>
      <c r="M832" s="26" t="s">
        <v>1961</v>
      </c>
      <c r="N832" s="26" t="s">
        <v>2207</v>
      </c>
      <c r="O832" s="22" t="str">
        <f>HYPERLINK("https://pbs.twimg.com/profile_images/768972424645898240/_AtgZ0os_normal.jpg","View")</f>
        <v>View</v>
      </c>
      <c r="P832" s="27"/>
    </row>
    <row r="833">
      <c r="A833" s="14">
        <v>43031.09118055555</v>
      </c>
      <c r="B833" s="20" t="str">
        <f>HYPERLINK("https://twitter.com/Politics9_","@Politics9_")</f>
        <v>@Politics9_</v>
      </c>
      <c r="C833" s="21" t="s">
        <v>2208</v>
      </c>
      <c r="D833" s="21" t="s">
        <v>163</v>
      </c>
      <c r="E833" s="22" t="str">
        <f>HYPERLINK("https://twitter.com/Politics9_/status/922389961340485632","922389961340485632")</f>
        <v>922389961340485632</v>
      </c>
      <c r="F833" s="23" t="s">
        <v>33</v>
      </c>
      <c r="G833" s="24">
        <v>88.0</v>
      </c>
      <c r="H833" s="24">
        <v>1731.0</v>
      </c>
      <c r="I833" s="24">
        <v>1005.0</v>
      </c>
      <c r="J833" s="24">
        <v>0.0</v>
      </c>
      <c r="K833" s="23" t="s">
        <v>34</v>
      </c>
      <c r="L833" s="25">
        <v>42633.18984953704</v>
      </c>
      <c r="M833" s="28"/>
      <c r="N833" s="28"/>
      <c r="O833" s="22" t="str">
        <f>HYPERLINK("https://abs.twimg.com/sticky/default_profile_images/default_profile_normal.png","View")</f>
        <v>View</v>
      </c>
      <c r="P833" s="27"/>
    </row>
    <row r="834">
      <c r="A834" s="14">
        <v>43031.091203703705</v>
      </c>
      <c r="B834" s="20" t="str">
        <f>HYPERLINK("https://twitter.com/themoneystreet","@themoneystreet")</f>
        <v>@themoneystreet</v>
      </c>
      <c r="C834" s="21" t="s">
        <v>2147</v>
      </c>
      <c r="D834" s="21" t="s">
        <v>2209</v>
      </c>
      <c r="E834" s="22" t="str">
        <f>HYPERLINK("https://twitter.com/themoneystreet/status/922389968152018946","922389968152018946")</f>
        <v>922389968152018946</v>
      </c>
      <c r="F834" s="23" t="s">
        <v>2149</v>
      </c>
      <c r="G834" s="24">
        <v>658.0</v>
      </c>
      <c r="H834" s="24">
        <v>40.0</v>
      </c>
      <c r="I834" s="24">
        <v>0.0</v>
      </c>
      <c r="J834" s="24">
        <v>0.0</v>
      </c>
      <c r="K834" s="23" t="s">
        <v>34</v>
      </c>
      <c r="L834" s="25">
        <v>42094.71859953704</v>
      </c>
      <c r="M834" s="28"/>
      <c r="N834" s="28"/>
      <c r="O834" s="22" t="str">
        <f>HYPERLINK("https://pbs.twimg.com/profile_images/583060083589820416/zbfEFon3_normal.png","View")</f>
        <v>View</v>
      </c>
      <c r="P834" s="27"/>
    </row>
    <row r="835">
      <c r="A835" s="14">
        <v>43031.09125</v>
      </c>
      <c r="B835" s="20" t="str">
        <f>HYPERLINK("https://twitter.com/ElvisObara","@ElvisObara")</f>
        <v>@ElvisObara</v>
      </c>
      <c r="C835" s="21" t="s">
        <v>2210</v>
      </c>
      <c r="D835" s="21" t="s">
        <v>32</v>
      </c>
      <c r="E835" s="22" t="str">
        <f>HYPERLINK("https://twitter.com/ElvisObara/status/922389985587810304","922389985587810304")</f>
        <v>922389985587810304</v>
      </c>
      <c r="F835" s="23" t="s">
        <v>33</v>
      </c>
      <c r="G835" s="24">
        <v>1241.0</v>
      </c>
      <c r="H835" s="24">
        <v>1853.0</v>
      </c>
      <c r="I835" s="24">
        <v>471.0</v>
      </c>
      <c r="J835" s="24">
        <v>0.0</v>
      </c>
      <c r="K835" s="23" t="s">
        <v>34</v>
      </c>
      <c r="L835" s="25">
        <v>41100.21167824074</v>
      </c>
      <c r="M835" s="26" t="s">
        <v>843</v>
      </c>
      <c r="N835" s="26" t="s">
        <v>2211</v>
      </c>
      <c r="O835" s="22" t="str">
        <f>HYPERLINK("https://pbs.twimg.com/profile_images/834721767772020736/vxufOocC_normal.jpg","View")</f>
        <v>View</v>
      </c>
      <c r="P835" s="27"/>
    </row>
    <row r="836">
      <c r="A836" s="14">
        <v>43031.091307870374</v>
      </c>
      <c r="B836" s="20" t="str">
        <f>HYPERLINK("https://twitter.com/ChiragJ68480468","@ChiragJ68480468")</f>
        <v>@ChiragJ68480468</v>
      </c>
      <c r="C836" s="21" t="s">
        <v>2212</v>
      </c>
      <c r="D836" s="21" t="s">
        <v>42</v>
      </c>
      <c r="E836" s="22" t="str">
        <f>HYPERLINK("https://twitter.com/ChiragJ68480468/status/922390008136372224","922390008136372224")</f>
        <v>922390008136372224</v>
      </c>
      <c r="F836" s="23" t="s">
        <v>33</v>
      </c>
      <c r="G836" s="24">
        <v>211.0</v>
      </c>
      <c r="H836" s="24">
        <v>190.0</v>
      </c>
      <c r="I836" s="24">
        <v>8501.0</v>
      </c>
      <c r="J836" s="24">
        <v>0.0</v>
      </c>
      <c r="K836" s="23" t="s">
        <v>34</v>
      </c>
      <c r="L836" s="25">
        <v>42648.113182870366</v>
      </c>
      <c r="M836" s="26" t="s">
        <v>2213</v>
      </c>
      <c r="N836" s="26" t="s">
        <v>2214</v>
      </c>
      <c r="O836" s="22" t="str">
        <f>HYPERLINK("https://pbs.twimg.com/profile_images/910501801249640448/_XCrWxnM_normal.jpg","View")</f>
        <v>View</v>
      </c>
      <c r="P836" s="27"/>
    </row>
    <row r="837">
      <c r="A837" s="14">
        <v>43031.09133101851</v>
      </c>
      <c r="B837" s="20" t="str">
        <f>HYPERLINK("https://twitter.com/Chandan45219398","@Chandan45219398")</f>
        <v>@Chandan45219398</v>
      </c>
      <c r="C837" s="21" t="s">
        <v>2215</v>
      </c>
      <c r="D837" s="21" t="s">
        <v>42</v>
      </c>
      <c r="E837" s="22" t="str">
        <f>HYPERLINK("https://twitter.com/Chandan45219398/status/922390017275596800","922390017275596800")</f>
        <v>922390017275596800</v>
      </c>
      <c r="F837" s="23" t="s">
        <v>33</v>
      </c>
      <c r="G837" s="24">
        <v>67.0</v>
      </c>
      <c r="H837" s="24">
        <v>275.0</v>
      </c>
      <c r="I837" s="24">
        <v>8501.0</v>
      </c>
      <c r="J837" s="24">
        <v>0.0</v>
      </c>
      <c r="K837" s="23" t="s">
        <v>34</v>
      </c>
      <c r="L837" s="25">
        <v>42212.36341435185</v>
      </c>
      <c r="M837" s="26" t="s">
        <v>2216</v>
      </c>
      <c r="N837" s="26" t="s">
        <v>2217</v>
      </c>
      <c r="O837" s="22" t="str">
        <f>HYPERLINK("https://pbs.twimg.com/profile_images/878887989287546881/Pw8Y-5I0_normal.jpg","View")</f>
        <v>View</v>
      </c>
      <c r="P837" s="27"/>
    </row>
    <row r="838">
      <c r="A838" s="14">
        <v>43031.09136574074</v>
      </c>
      <c r="B838" s="20" t="str">
        <f>HYPERLINK("https://twitter.com/sophist2016","@sophist2016")</f>
        <v>@sophist2016</v>
      </c>
      <c r="C838" s="21" t="s">
        <v>2218</v>
      </c>
      <c r="D838" s="21" t="s">
        <v>42</v>
      </c>
      <c r="E838" s="22" t="str">
        <f>HYPERLINK("https://twitter.com/sophist2016/status/922390029971865601","922390029971865601")</f>
        <v>922390029971865601</v>
      </c>
      <c r="F838" s="23" t="s">
        <v>43</v>
      </c>
      <c r="G838" s="24">
        <v>630.0</v>
      </c>
      <c r="H838" s="24">
        <v>1163.0</v>
      </c>
      <c r="I838" s="24">
        <v>8501.0</v>
      </c>
      <c r="J838" s="24">
        <v>0.0</v>
      </c>
      <c r="K838" s="23" t="s">
        <v>34</v>
      </c>
      <c r="L838" s="25">
        <v>42629.304143518515</v>
      </c>
      <c r="M838" s="28"/>
      <c r="N838" s="28"/>
      <c r="O838" s="22" t="str">
        <f>HYPERLINK("https://pbs.twimg.com/profile_images/776788566114312193/aFDNy_bX_normal.jpg","View")</f>
        <v>View</v>
      </c>
      <c r="P838" s="27"/>
    </row>
    <row r="839">
      <c r="A839" s="14">
        <v>43031.09137731481</v>
      </c>
      <c r="B839" s="20" t="str">
        <f>HYPERLINK("https://twitter.com/dayaram_gehlot","@dayaram_gehlot")</f>
        <v>@dayaram_gehlot</v>
      </c>
      <c r="C839" s="21" t="s">
        <v>2219</v>
      </c>
      <c r="D839" s="21" t="s">
        <v>42</v>
      </c>
      <c r="E839" s="22" t="str">
        <f>HYPERLINK("https://twitter.com/dayaram_gehlot/status/922390032769458177","922390032769458177")</f>
        <v>922390032769458177</v>
      </c>
      <c r="F839" s="23" t="s">
        <v>33</v>
      </c>
      <c r="G839" s="24">
        <v>212.0</v>
      </c>
      <c r="H839" s="24">
        <v>3425.0</v>
      </c>
      <c r="I839" s="24">
        <v>8501.0</v>
      </c>
      <c r="J839" s="24">
        <v>0.0</v>
      </c>
      <c r="K839" s="23" t="s">
        <v>34</v>
      </c>
      <c r="L839" s="25">
        <v>43019.998703703706</v>
      </c>
      <c r="M839" s="26" t="s">
        <v>603</v>
      </c>
      <c r="N839" s="28"/>
      <c r="O839" s="22" t="str">
        <f>HYPERLINK("https://pbs.twimg.com/profile_images/923029989158633472/eiLAfcdj_normal.jpg","View")</f>
        <v>View</v>
      </c>
      <c r="P839" s="27"/>
    </row>
    <row r="840">
      <c r="A840" s="14">
        <v>43031.09138888889</v>
      </c>
      <c r="B840" s="20" t="str">
        <f>HYPERLINK("https://twitter.com/makanjivarchand","@makanjivarchand")</f>
        <v>@makanjivarchand</v>
      </c>
      <c r="C840" s="21" t="s">
        <v>2220</v>
      </c>
      <c r="D840" s="21" t="s">
        <v>42</v>
      </c>
      <c r="E840" s="22" t="str">
        <f>HYPERLINK("https://twitter.com/makanjivarchand/status/922390036141678592","922390036141678592")</f>
        <v>922390036141678592</v>
      </c>
      <c r="F840" s="23" t="s">
        <v>33</v>
      </c>
      <c r="G840" s="24">
        <v>1588.0</v>
      </c>
      <c r="H840" s="24">
        <v>3209.0</v>
      </c>
      <c r="I840" s="24">
        <v>8501.0</v>
      </c>
      <c r="J840" s="24">
        <v>0.0</v>
      </c>
      <c r="K840" s="23" t="s">
        <v>34</v>
      </c>
      <c r="L840" s="25">
        <v>41345.898368055554</v>
      </c>
      <c r="M840" s="26" t="s">
        <v>2221</v>
      </c>
      <c r="N840" s="26" t="s">
        <v>2222</v>
      </c>
      <c r="O840" s="22" t="str">
        <f>HYPERLINK("https://pbs.twimg.com/profile_images/921919536110039040/Kz5F1HJR_normal.jpg","View")</f>
        <v>View</v>
      </c>
      <c r="P840" s="27"/>
    </row>
    <row r="841">
      <c r="A841" s="14">
        <v>43031.091412037036</v>
      </c>
      <c r="B841" s="20" t="str">
        <f>HYPERLINK("https://twitter.com/yuminobusi","@yuminobusi")</f>
        <v>@yuminobusi</v>
      </c>
      <c r="C841" s="21" t="s">
        <v>2223</v>
      </c>
      <c r="D841" s="21" t="s">
        <v>42</v>
      </c>
      <c r="E841" s="22" t="str">
        <f>HYPERLINK("https://twitter.com/yuminobusi/status/922390046396649472","922390046396649472")</f>
        <v>922390046396649472</v>
      </c>
      <c r="F841" s="23" t="s">
        <v>33</v>
      </c>
      <c r="G841" s="24">
        <v>133.0</v>
      </c>
      <c r="H841" s="24">
        <v>173.0</v>
      </c>
      <c r="I841" s="24">
        <v>8501.0</v>
      </c>
      <c r="J841" s="24">
        <v>0.0</v>
      </c>
      <c r="K841" s="23" t="s">
        <v>34</v>
      </c>
      <c r="L841" s="25">
        <v>40533.59736111111</v>
      </c>
      <c r="M841" s="26" t="s">
        <v>2224</v>
      </c>
      <c r="N841" s="26" t="s">
        <v>2225</v>
      </c>
      <c r="O841" s="22" t="str">
        <f>HYPERLINK("https://pbs.twimg.com/profile_images/1223444664/IMG_0278_normal.JPG","View")</f>
        <v>View</v>
      </c>
      <c r="P841" s="27"/>
    </row>
    <row r="842">
      <c r="A842" s="14">
        <v>43031.091469907406</v>
      </c>
      <c r="B842" s="20" t="str">
        <f>HYPERLINK("https://twitter.com/NarendrModiBJP","@NarendrModiBJP")</f>
        <v>@NarendrModiBJP</v>
      </c>
      <c r="C842" s="21" t="s">
        <v>2226</v>
      </c>
      <c r="D842" s="21" t="s">
        <v>42</v>
      </c>
      <c r="E842" s="22" t="str">
        <f>HYPERLINK("https://twitter.com/NarendrModiBJP/status/922390066424508416","922390066424508416")</f>
        <v>922390066424508416</v>
      </c>
      <c r="F842" s="23" t="s">
        <v>33</v>
      </c>
      <c r="G842" s="24">
        <v>377.0</v>
      </c>
      <c r="H842" s="24">
        <v>22.0</v>
      </c>
      <c r="I842" s="24">
        <v>8501.0</v>
      </c>
      <c r="J842" s="24">
        <v>0.0</v>
      </c>
      <c r="K842" s="23" t="s">
        <v>34</v>
      </c>
      <c r="L842" s="25">
        <v>42339.92255787037</v>
      </c>
      <c r="M842" s="26" t="s">
        <v>204</v>
      </c>
      <c r="N842" s="26" t="s">
        <v>2227</v>
      </c>
      <c r="O842" s="22" t="str">
        <f>HYPERLINK("https://pbs.twimg.com/profile_images/806542272431013888/J2_n37Zl_normal.jpg","View")</f>
        <v>View</v>
      </c>
      <c r="P842" s="27"/>
    </row>
    <row r="843">
      <c r="A843" s="14">
        <v>43031.0916087963</v>
      </c>
      <c r="B843" s="20" t="str">
        <f>HYPERLINK("https://twitter.com/KnowYourLeaker","@KnowYourLeaker")</f>
        <v>@KnowYourLeaker</v>
      </c>
      <c r="C843" s="21" t="s">
        <v>2228</v>
      </c>
      <c r="D843" s="21" t="s">
        <v>2229</v>
      </c>
      <c r="E843" s="22" t="str">
        <f>HYPERLINK("https://twitter.com/KnowYourLeaker/status/922390115992956928","922390115992956928")</f>
        <v>922390115992956928</v>
      </c>
      <c r="F843" s="23" t="s">
        <v>2228</v>
      </c>
      <c r="G843" s="24">
        <v>471.0</v>
      </c>
      <c r="H843" s="24">
        <v>0.0</v>
      </c>
      <c r="I843" s="24">
        <v>0.0</v>
      </c>
      <c r="J843" s="24">
        <v>0.0</v>
      </c>
      <c r="K843" s="23" t="s">
        <v>34</v>
      </c>
      <c r="L843" s="25">
        <v>42777.71098379629</v>
      </c>
      <c r="M843" s="28"/>
      <c r="N843" s="26" t="s">
        <v>2230</v>
      </c>
      <c r="O843" s="22" t="str">
        <f>HYPERLINK("https://pbs.twimg.com/profile_images/830990097109630976/vaqM4Gji_normal.jpg","View")</f>
        <v>View</v>
      </c>
      <c r="P843" s="27"/>
    </row>
    <row r="844">
      <c r="A844" s="14">
        <v>43031.09172453704</v>
      </c>
      <c r="B844" s="20" t="str">
        <f>HYPERLINK("https://twitter.com/filmusican","@filmusican")</f>
        <v>@filmusican</v>
      </c>
      <c r="C844" s="21" t="s">
        <v>2231</v>
      </c>
      <c r="D844" s="21" t="s">
        <v>42</v>
      </c>
      <c r="E844" s="22" t="str">
        <f>HYPERLINK("https://twitter.com/filmusican/status/922390156576940032","922390156576940032")</f>
        <v>922390156576940032</v>
      </c>
      <c r="F844" s="23" t="s">
        <v>39</v>
      </c>
      <c r="G844" s="24">
        <v>89.0</v>
      </c>
      <c r="H844" s="24">
        <v>192.0</v>
      </c>
      <c r="I844" s="24">
        <v>8501.0</v>
      </c>
      <c r="J844" s="24">
        <v>0.0</v>
      </c>
      <c r="K844" s="23" t="s">
        <v>34</v>
      </c>
      <c r="L844" s="25">
        <v>40244.899560185186</v>
      </c>
      <c r="M844" s="28"/>
      <c r="N844" s="26" t="s">
        <v>2232</v>
      </c>
      <c r="O844" s="22" t="str">
        <f>HYPERLINK("https://pbs.twimg.com/profile_images/746866831781068800/XwFHXYv8_normal.jpg","View")</f>
        <v>View</v>
      </c>
      <c r="P844" s="27"/>
    </row>
    <row r="845">
      <c r="A845" s="14">
        <v>43031.09174768519</v>
      </c>
      <c r="B845" s="20" t="str">
        <f>HYPERLINK("https://twitter.com/FelixOtienoObi1","@FelixOtienoObi1")</f>
        <v>@FelixOtienoObi1</v>
      </c>
      <c r="C845" s="21" t="s">
        <v>2233</v>
      </c>
      <c r="D845" s="21" t="s">
        <v>32</v>
      </c>
      <c r="E845" s="22" t="str">
        <f>HYPERLINK("https://twitter.com/FelixOtienoObi1/status/922390164315525121","922390164315525121")</f>
        <v>922390164315525121</v>
      </c>
      <c r="F845" s="23" t="s">
        <v>33</v>
      </c>
      <c r="G845" s="24">
        <v>91.0</v>
      </c>
      <c r="H845" s="24">
        <v>250.0</v>
      </c>
      <c r="I845" s="24">
        <v>471.0</v>
      </c>
      <c r="J845" s="24">
        <v>0.0</v>
      </c>
      <c r="K845" s="23" t="s">
        <v>34</v>
      </c>
      <c r="L845" s="25">
        <v>42633.531875</v>
      </c>
      <c r="M845" s="26" t="s">
        <v>843</v>
      </c>
      <c r="N845" s="26" t="s">
        <v>2234</v>
      </c>
      <c r="O845" s="22" t="str">
        <f>HYPERLINK("https://pbs.twimg.com/profile_images/866982614149758976/GW6DAneD_normal.jpg","View")</f>
        <v>View</v>
      </c>
      <c r="P845" s="27"/>
    </row>
    <row r="846">
      <c r="A846" s="14">
        <v>43031.091782407406</v>
      </c>
      <c r="B846" s="20" t="str">
        <f>HYPERLINK("https://twitter.com/Lizbestones1","@Lizbestones1")</f>
        <v>@Lizbestones1</v>
      </c>
      <c r="C846" s="21" t="s">
        <v>2235</v>
      </c>
      <c r="D846" s="21" t="s">
        <v>42</v>
      </c>
      <c r="E846" s="22" t="str">
        <f>HYPERLINK("https://twitter.com/Lizbestones1/status/922390180266471425","922390180266471425")</f>
        <v>922390180266471425</v>
      </c>
      <c r="F846" s="23" t="s">
        <v>43</v>
      </c>
      <c r="G846" s="24">
        <v>64.0</v>
      </c>
      <c r="H846" s="24">
        <v>290.0</v>
      </c>
      <c r="I846" s="24">
        <v>8501.0</v>
      </c>
      <c r="J846" s="24">
        <v>0.0</v>
      </c>
      <c r="K846" s="23" t="s">
        <v>34</v>
      </c>
      <c r="L846" s="25">
        <v>43026.805810185186</v>
      </c>
      <c r="M846" s="26" t="s">
        <v>2236</v>
      </c>
      <c r="N846" s="28"/>
      <c r="O846" s="22" t="str">
        <f>HYPERLINK("https://pbs.twimg.com/profile_images/920841661860769793/m2SkfiUn_normal.jpg","View")</f>
        <v>View</v>
      </c>
      <c r="P846" s="27"/>
    </row>
    <row r="847">
      <c r="A847" s="14">
        <v>43031.09180555555</v>
      </c>
      <c r="B847" s="20" t="str">
        <f>HYPERLINK("https://twitter.com/Lirarata","@Lirarata")</f>
        <v>@Lirarata</v>
      </c>
      <c r="C847" s="21" t="s">
        <v>2237</v>
      </c>
      <c r="D847" s="21" t="s">
        <v>42</v>
      </c>
      <c r="E847" s="22" t="str">
        <f>HYPERLINK("https://twitter.com/Lirarata/status/922390187426037761","922390187426037761")</f>
        <v>922390187426037761</v>
      </c>
      <c r="F847" s="23" t="s">
        <v>230</v>
      </c>
      <c r="G847" s="24">
        <v>430.0</v>
      </c>
      <c r="H847" s="24">
        <v>241.0</v>
      </c>
      <c r="I847" s="24">
        <v>8501.0</v>
      </c>
      <c r="J847" s="24">
        <v>0.0</v>
      </c>
      <c r="K847" s="23" t="s">
        <v>34</v>
      </c>
      <c r="L847" s="25">
        <v>40195.78675925926</v>
      </c>
      <c r="M847" s="26" t="s">
        <v>2238</v>
      </c>
      <c r="N847" s="26" t="s">
        <v>2239</v>
      </c>
      <c r="O847" s="22" t="str">
        <f>HYPERLINK("https://abs.twimg.com/sticky/default_profile_images/default_profile_normal.png","View")</f>
        <v>View</v>
      </c>
      <c r="P847" s="27"/>
    </row>
    <row r="848">
      <c r="A848" s="14">
        <v>43031.09186342593</v>
      </c>
      <c r="B848" s="20" t="str">
        <f>HYPERLINK("https://twitter.com/Adiraj66","@Adiraj66")</f>
        <v>@Adiraj66</v>
      </c>
      <c r="C848" s="21" t="s">
        <v>2240</v>
      </c>
      <c r="D848" s="21" t="s">
        <v>42</v>
      </c>
      <c r="E848" s="22" t="str">
        <f>HYPERLINK("https://twitter.com/Adiraj66/status/922390210150678528","922390210150678528")</f>
        <v>922390210150678528</v>
      </c>
      <c r="F848" s="23" t="s">
        <v>43</v>
      </c>
      <c r="G848" s="24">
        <v>233.0</v>
      </c>
      <c r="H848" s="24">
        <v>127.0</v>
      </c>
      <c r="I848" s="24">
        <v>8501.0</v>
      </c>
      <c r="J848" s="24">
        <v>0.0</v>
      </c>
      <c r="K848" s="23" t="s">
        <v>34</v>
      </c>
      <c r="L848" s="25">
        <v>42220.53359953704</v>
      </c>
      <c r="M848" s="26" t="s">
        <v>2020</v>
      </c>
      <c r="N848" s="26" t="s">
        <v>2241</v>
      </c>
      <c r="O848" s="22" t="str">
        <f>HYPERLINK("https://pbs.twimg.com/profile_images/898095905735180288/0AmNm1mp_normal.jpg","View")</f>
        <v>View</v>
      </c>
      <c r="P848" s="27"/>
    </row>
    <row r="849">
      <c r="A849" s="14">
        <v>43031.091875</v>
      </c>
      <c r="B849" s="20" t="str">
        <f>HYPERLINK("https://twitter.com/verdecactus","@verdecactus")</f>
        <v>@verdecactus</v>
      </c>
      <c r="C849" s="21" t="s">
        <v>2242</v>
      </c>
      <c r="D849" s="21" t="s">
        <v>42</v>
      </c>
      <c r="E849" s="22" t="str">
        <f>HYPERLINK("https://twitter.com/verdecactus/status/922390212881219585","922390212881219585")</f>
        <v>922390212881219585</v>
      </c>
      <c r="F849" s="23" t="s">
        <v>33</v>
      </c>
      <c r="G849" s="24">
        <v>2301.0</v>
      </c>
      <c r="H849" s="24">
        <v>2372.0</v>
      </c>
      <c r="I849" s="24">
        <v>8501.0</v>
      </c>
      <c r="J849" s="24">
        <v>0.0</v>
      </c>
      <c r="K849" s="23" t="s">
        <v>34</v>
      </c>
      <c r="L849" s="25">
        <v>40307.84306712963</v>
      </c>
      <c r="M849" s="26" t="s">
        <v>71</v>
      </c>
      <c r="N849" s="26" t="s">
        <v>2243</v>
      </c>
      <c r="O849" s="22" t="str">
        <f>HYPERLINK("https://pbs.twimg.com/profile_images/475909681500520448/xurZp-hj_normal.jpeg","View")</f>
        <v>View</v>
      </c>
      <c r="P849" s="27"/>
    </row>
    <row r="850">
      <c r="A850" s="14">
        <v>43031.09189814815</v>
      </c>
      <c r="B850" s="20" t="str">
        <f>HYPERLINK("https://twitter.com/AlbertMylesAM","@AlbertMylesAM")</f>
        <v>@AlbertMylesAM</v>
      </c>
      <c r="C850" s="21" t="s">
        <v>2244</v>
      </c>
      <c r="D850" s="21" t="s">
        <v>2245</v>
      </c>
      <c r="E850" s="22" t="str">
        <f>HYPERLINK("https://twitter.com/AlbertMylesAM/status/922390222905794560","922390222905794560")</f>
        <v>922390222905794560</v>
      </c>
      <c r="F850" s="23" t="s">
        <v>55</v>
      </c>
      <c r="G850" s="24">
        <v>3674.0</v>
      </c>
      <c r="H850" s="24">
        <v>5005.0</v>
      </c>
      <c r="I850" s="24">
        <v>0.0</v>
      </c>
      <c r="J850" s="24">
        <v>0.0</v>
      </c>
      <c r="K850" s="23" t="s">
        <v>34</v>
      </c>
      <c r="L850" s="25">
        <v>41095.32833333333</v>
      </c>
      <c r="M850" s="26" t="s">
        <v>2246</v>
      </c>
      <c r="N850" s="26" t="s">
        <v>2247</v>
      </c>
      <c r="O850" s="22" t="str">
        <f>HYPERLINK("https://pbs.twimg.com/profile_images/420989483685670912/Fz94KTxn_normal.jpeg","View")</f>
        <v>View</v>
      </c>
      <c r="P850" s="27"/>
    </row>
    <row r="851">
      <c r="A851" s="14">
        <v>43031.091956018514</v>
      </c>
      <c r="B851" s="20" t="str">
        <f>HYPERLINK("https://twitter.com/thee__caliphate","@thee__caliphate")</f>
        <v>@thee__caliphate</v>
      </c>
      <c r="C851" s="21" t="s">
        <v>2248</v>
      </c>
      <c r="D851" s="21" t="s">
        <v>32</v>
      </c>
      <c r="E851" s="22" t="str">
        <f>HYPERLINK("https://twitter.com/thee__caliphate/status/922390242237104128","922390242237104128")</f>
        <v>922390242237104128</v>
      </c>
      <c r="F851" s="23" t="s">
        <v>43</v>
      </c>
      <c r="G851" s="24">
        <v>141.0</v>
      </c>
      <c r="H851" s="24">
        <v>437.0</v>
      </c>
      <c r="I851" s="24">
        <v>471.0</v>
      </c>
      <c r="J851" s="24">
        <v>0.0</v>
      </c>
      <c r="K851" s="23" t="s">
        <v>34</v>
      </c>
      <c r="L851" s="25">
        <v>42811.49789351852</v>
      </c>
      <c r="M851" s="28"/>
      <c r="N851" s="26" t="s">
        <v>2249</v>
      </c>
      <c r="O851" s="22" t="str">
        <f>HYPERLINK("https://pbs.twimg.com/profile_images/877605261552361473/P0J4g7oZ_normal.jpg","View")</f>
        <v>View</v>
      </c>
      <c r="P851" s="27"/>
    </row>
    <row r="852">
      <c r="A852" s="14">
        <v>43031.0919675926</v>
      </c>
      <c r="B852" s="20" t="str">
        <f>HYPERLINK("https://twitter.com/rishibagree","@rishibagree")</f>
        <v>@rishibagree</v>
      </c>
      <c r="C852" s="21" t="s">
        <v>2250</v>
      </c>
      <c r="D852" s="21" t="s">
        <v>42</v>
      </c>
      <c r="E852" s="22" t="str">
        <f>HYPERLINK("https://twitter.com/rishibagree/status/922390247618383872","922390247618383872")</f>
        <v>922390247618383872</v>
      </c>
      <c r="F852" s="23" t="s">
        <v>33</v>
      </c>
      <c r="G852" s="24">
        <v>63283.0</v>
      </c>
      <c r="H852" s="24">
        <v>1071.0</v>
      </c>
      <c r="I852" s="24">
        <v>8501.0</v>
      </c>
      <c r="J852" s="24">
        <v>0.0</v>
      </c>
      <c r="K852" s="23" t="s">
        <v>34</v>
      </c>
      <c r="L852" s="25">
        <v>40323.35177083333</v>
      </c>
      <c r="M852" s="26" t="s">
        <v>2251</v>
      </c>
      <c r="N852" s="26" t="s">
        <v>2252</v>
      </c>
      <c r="O852" s="22" t="str">
        <f>HYPERLINK("https://pbs.twimg.com/profile_images/876403525915295750/i8Plin99_normal.jpg","View")</f>
        <v>View</v>
      </c>
      <c r="P852" s="27"/>
    </row>
    <row r="853">
      <c r="A853" s="14">
        <v>43031.092002314814</v>
      </c>
      <c r="B853" s="20" t="str">
        <f>HYPERLINK("https://twitter.com/WorldRumors","@WorldRumors")</f>
        <v>@WorldRumors</v>
      </c>
      <c r="C853" s="21" t="s">
        <v>2253</v>
      </c>
      <c r="D853" s="21" t="s">
        <v>2254</v>
      </c>
      <c r="E853" s="22" t="str">
        <f>HYPERLINK("https://twitter.com/WorldRumors/status/922390257101934592","922390257101934592")</f>
        <v>922390257101934592</v>
      </c>
      <c r="F853" s="23" t="s">
        <v>2255</v>
      </c>
      <c r="G853" s="24">
        <v>174.0</v>
      </c>
      <c r="H853" s="24">
        <v>3.0</v>
      </c>
      <c r="I853" s="24">
        <v>0.0</v>
      </c>
      <c r="J853" s="24">
        <v>0.0</v>
      </c>
      <c r="K853" s="23" t="s">
        <v>34</v>
      </c>
      <c r="L853" s="25">
        <v>39507.452685185184</v>
      </c>
      <c r="M853" s="26" t="s">
        <v>2256</v>
      </c>
      <c r="N853" s="26" t="s">
        <v>2257</v>
      </c>
      <c r="O853" s="22" t="str">
        <f>HYPERLINK("https://pbs.twimg.com/profile_images/840632682623225856/Jwl5sWEV_normal.jpg","View")</f>
        <v>View</v>
      </c>
      <c r="P853" s="27"/>
    </row>
    <row r="854">
      <c r="A854" s="14">
        <v>43031.09202546296</v>
      </c>
      <c r="B854" s="20" t="str">
        <f>HYPERLINK("https://twitter.com/siddas9","@siddas9")</f>
        <v>@siddas9</v>
      </c>
      <c r="C854" s="21" t="s">
        <v>2258</v>
      </c>
      <c r="D854" s="21" t="s">
        <v>42</v>
      </c>
      <c r="E854" s="22" t="str">
        <f>HYPERLINK("https://twitter.com/siddas9/status/922390265754611712","922390265754611712")</f>
        <v>922390265754611712</v>
      </c>
      <c r="F854" s="23" t="s">
        <v>33</v>
      </c>
      <c r="G854" s="24">
        <v>104.0</v>
      </c>
      <c r="H854" s="24">
        <v>335.0</v>
      </c>
      <c r="I854" s="24">
        <v>8501.0</v>
      </c>
      <c r="J854" s="24">
        <v>0.0</v>
      </c>
      <c r="K854" s="23" t="s">
        <v>34</v>
      </c>
      <c r="L854" s="25">
        <v>41742.08217592593</v>
      </c>
      <c r="M854" s="26" t="s">
        <v>2259</v>
      </c>
      <c r="N854" s="26" t="s">
        <v>2260</v>
      </c>
      <c r="O854" s="22" t="str">
        <f>HYPERLINK("https://pbs.twimg.com/profile_images/914435787130757122/4AEYC1KH_normal.jpg","View")</f>
        <v>View</v>
      </c>
      <c r="P854" s="27"/>
    </row>
    <row r="855">
      <c r="A855" s="14">
        <v>43031.09203703704</v>
      </c>
      <c r="B855" s="20" t="str">
        <f>HYPERLINK("https://twitter.com/Gurucharan2703","@Gurucharan2703")</f>
        <v>@Gurucharan2703</v>
      </c>
      <c r="C855" s="21" t="s">
        <v>2261</v>
      </c>
      <c r="D855" s="21" t="s">
        <v>42</v>
      </c>
      <c r="E855" s="22" t="str">
        <f>HYPERLINK("https://twitter.com/Gurucharan2703/status/922390270108250112","922390270108250112")</f>
        <v>922390270108250112</v>
      </c>
      <c r="F855" s="23" t="s">
        <v>33</v>
      </c>
      <c r="G855" s="24">
        <v>409.0</v>
      </c>
      <c r="H855" s="24">
        <v>528.0</v>
      </c>
      <c r="I855" s="24">
        <v>8501.0</v>
      </c>
      <c r="J855" s="24">
        <v>0.0</v>
      </c>
      <c r="K855" s="23" t="s">
        <v>34</v>
      </c>
      <c r="L855" s="25">
        <v>41989.19399305555</v>
      </c>
      <c r="M855" s="26" t="s">
        <v>2262</v>
      </c>
      <c r="N855" s="26" t="s">
        <v>2263</v>
      </c>
      <c r="O855" s="22" t="str">
        <f>HYPERLINK("https://pbs.twimg.com/profile_images/656703647636557826/hflcH8bk_normal.jpg","View")</f>
        <v>View</v>
      </c>
      <c r="P855" s="27"/>
    </row>
    <row r="856">
      <c r="A856" s="14">
        <v>43031.09203703704</v>
      </c>
      <c r="B856" s="20" t="str">
        <f>HYPERLINK("https://twitter.com/pvishwakarma70","@pvishwakarma70")</f>
        <v>@pvishwakarma70</v>
      </c>
      <c r="C856" s="21" t="s">
        <v>2264</v>
      </c>
      <c r="D856" s="21" t="s">
        <v>42</v>
      </c>
      <c r="E856" s="22" t="str">
        <f>HYPERLINK("https://twitter.com/pvishwakarma70/status/922390271878242304","922390271878242304")</f>
        <v>922390271878242304</v>
      </c>
      <c r="F856" s="23" t="s">
        <v>39</v>
      </c>
      <c r="G856" s="24">
        <v>300.0</v>
      </c>
      <c r="H856" s="24">
        <v>4809.0</v>
      </c>
      <c r="I856" s="24">
        <v>8501.0</v>
      </c>
      <c r="J856" s="24">
        <v>0.0</v>
      </c>
      <c r="K856" s="23" t="s">
        <v>34</v>
      </c>
      <c r="L856" s="25">
        <v>40599.438668981486</v>
      </c>
      <c r="M856" s="26" t="s">
        <v>2265</v>
      </c>
      <c r="N856" s="26" t="s">
        <v>2266</v>
      </c>
      <c r="O856" s="22" t="str">
        <f>HYPERLINK("https://pbs.twimg.com/profile_images/840827740169355265/P2bM7gJo_normal.jpg","View")</f>
        <v>View</v>
      </c>
      <c r="P856" s="27"/>
    </row>
    <row r="857">
      <c r="A857" s="14">
        <v>43031.09210648148</v>
      </c>
      <c r="B857" s="20" t="str">
        <f>HYPERLINK("https://twitter.com/realJohnCurley","@realJohnCurley")</f>
        <v>@realJohnCurley</v>
      </c>
      <c r="C857" s="21" t="s">
        <v>2267</v>
      </c>
      <c r="D857" s="21" t="s">
        <v>2268</v>
      </c>
      <c r="E857" s="22" t="str">
        <f>HYPERLINK("https://twitter.com/realJohnCurley/status/922390294456406016","922390294456406016")</f>
        <v>922390294456406016</v>
      </c>
      <c r="F857" s="23" t="s">
        <v>55</v>
      </c>
      <c r="G857" s="24">
        <v>368.0</v>
      </c>
      <c r="H857" s="24">
        <v>5002.0</v>
      </c>
      <c r="I857" s="24">
        <v>0.0</v>
      </c>
      <c r="J857" s="24">
        <v>0.0</v>
      </c>
      <c r="K857" s="23" t="s">
        <v>34</v>
      </c>
      <c r="L857" s="25">
        <v>42784.230520833335</v>
      </c>
      <c r="M857" s="26" t="s">
        <v>2269</v>
      </c>
      <c r="N857" s="26" t="s">
        <v>2270</v>
      </c>
      <c r="O857" s="22" t="str">
        <f>HYPERLINK("https://pbs.twimg.com/profile_images/858319935541354497/O-unoSpZ_normal.jpg","View")</f>
        <v>View</v>
      </c>
      <c r="P857" s="27"/>
    </row>
    <row r="858">
      <c r="A858" s="14">
        <v>43031.09211805556</v>
      </c>
      <c r="B858" s="20" t="str">
        <f>HYPERLINK("https://twitter.com/Alshaikh1","@Alshaikh1")</f>
        <v>@Alshaikh1</v>
      </c>
      <c r="C858" s="31" t="s">
        <v>2271</v>
      </c>
      <c r="D858" s="21" t="s">
        <v>1798</v>
      </c>
      <c r="E858" s="22" t="str">
        <f>HYPERLINK("https://twitter.com/Alshaikh1/status/922390298520629249","922390298520629249")</f>
        <v>922390298520629249</v>
      </c>
      <c r="F858" s="23" t="s">
        <v>1799</v>
      </c>
      <c r="G858" s="24">
        <v>3166.0</v>
      </c>
      <c r="H858" s="24">
        <v>1081.0</v>
      </c>
      <c r="I858" s="24">
        <v>4.0</v>
      </c>
      <c r="J858" s="24">
        <v>0.0</v>
      </c>
      <c r="K858" s="23" t="s">
        <v>34</v>
      </c>
      <c r="L858" s="25">
        <v>39898.96283564815</v>
      </c>
      <c r="M858" s="26" t="s">
        <v>2272</v>
      </c>
      <c r="N858" s="32" t="s">
        <v>2273</v>
      </c>
      <c r="O858" s="22" t="str">
        <f>HYPERLINK("https://pbs.twimg.com/profile_images/750348098132537344/3wZMrELu_normal.jpg","View")</f>
        <v>View</v>
      </c>
      <c r="P858" s="27"/>
    </row>
    <row r="859">
      <c r="A859" s="14">
        <v>43031.09217592592</v>
      </c>
      <c r="B859" s="20" t="str">
        <f>HYPERLINK("https://twitter.com/raviguptaaaa","@raviguptaaaa")</f>
        <v>@raviguptaaaa</v>
      </c>
      <c r="C859" s="21" t="s">
        <v>2274</v>
      </c>
      <c r="D859" s="21" t="s">
        <v>42</v>
      </c>
      <c r="E859" s="22" t="str">
        <f>HYPERLINK("https://twitter.com/raviguptaaaa/status/922390321207508993","922390321207508993")</f>
        <v>922390321207508993</v>
      </c>
      <c r="F859" s="23" t="s">
        <v>33</v>
      </c>
      <c r="G859" s="24">
        <v>15.0</v>
      </c>
      <c r="H859" s="24">
        <v>36.0</v>
      </c>
      <c r="I859" s="24">
        <v>8501.0</v>
      </c>
      <c r="J859" s="24">
        <v>0.0</v>
      </c>
      <c r="K859" s="23" t="s">
        <v>34</v>
      </c>
      <c r="L859" s="25">
        <v>40507.16438657408</v>
      </c>
      <c r="M859" s="26" t="s">
        <v>2020</v>
      </c>
      <c r="N859" s="26" t="s">
        <v>2275</v>
      </c>
      <c r="O859" s="22" t="str">
        <f>HYPERLINK("https://pbs.twimg.com/profile_images/469515440901718016/oUUIopqa_normal.jpeg","View")</f>
        <v>View</v>
      </c>
      <c r="P859" s="27"/>
    </row>
    <row r="860">
      <c r="A860" s="14">
        <v>43031.092199074075</v>
      </c>
      <c r="B860" s="20" t="str">
        <f>HYPERLINK("https://twitter.com/tarunsongra","@tarunsongra")</f>
        <v>@tarunsongra</v>
      </c>
      <c r="C860" s="21" t="s">
        <v>2276</v>
      </c>
      <c r="D860" s="21" t="s">
        <v>42</v>
      </c>
      <c r="E860" s="22" t="str">
        <f>HYPERLINK("https://twitter.com/tarunsongra/status/922390330502029313","922390330502029313")</f>
        <v>922390330502029313</v>
      </c>
      <c r="F860" s="23" t="s">
        <v>33</v>
      </c>
      <c r="G860" s="24">
        <v>28.0</v>
      </c>
      <c r="H860" s="24">
        <v>98.0</v>
      </c>
      <c r="I860" s="24">
        <v>8501.0</v>
      </c>
      <c r="J860" s="24">
        <v>0.0</v>
      </c>
      <c r="K860" s="23" t="s">
        <v>34</v>
      </c>
      <c r="L860" s="25">
        <v>40625.15666666666</v>
      </c>
      <c r="M860" s="26" t="s">
        <v>2277</v>
      </c>
      <c r="N860" s="26" t="s">
        <v>2278</v>
      </c>
      <c r="O860" s="22" t="str">
        <f>HYPERLINK("https://pbs.twimg.com/profile_images/496986502258110464/UjmsaDMS_normal.jpeg","View")</f>
        <v>View</v>
      </c>
      <c r="P860" s="27"/>
    </row>
    <row r="861">
      <c r="A861" s="14">
        <v>43031.09224537037</v>
      </c>
      <c r="B861" s="20" t="str">
        <f>HYPERLINK("https://twitter.com/hrypr","@hrypr")</f>
        <v>@hrypr</v>
      </c>
      <c r="C861" s="21" t="s">
        <v>2279</v>
      </c>
      <c r="D861" s="21" t="s">
        <v>42</v>
      </c>
      <c r="E861" s="22" t="str">
        <f>HYPERLINK("https://twitter.com/hrypr/status/922390348676055040","922390348676055040")</f>
        <v>922390348676055040</v>
      </c>
      <c r="F861" s="23" t="s">
        <v>55</v>
      </c>
      <c r="G861" s="24">
        <v>5710.0</v>
      </c>
      <c r="H861" s="24">
        <v>113.0</v>
      </c>
      <c r="I861" s="24">
        <v>8501.0</v>
      </c>
      <c r="J861" s="24">
        <v>0.0</v>
      </c>
      <c r="K861" s="23" t="s">
        <v>34</v>
      </c>
      <c r="L861" s="25">
        <v>42350.122662037036</v>
      </c>
      <c r="M861" s="26" t="s">
        <v>2280</v>
      </c>
      <c r="N861" s="26" t="s">
        <v>2281</v>
      </c>
      <c r="O861" s="22" t="str">
        <f>HYPERLINK("https://pbs.twimg.com/profile_images/922319790508687360/SMBKYSGo_normal.jpg","View")</f>
        <v>View</v>
      </c>
      <c r="P861" s="27"/>
    </row>
    <row r="862">
      <c r="A862" s="14">
        <v>43031.09226851852</v>
      </c>
      <c r="B862" s="20" t="str">
        <f>HYPERLINK("https://twitter.com/t_thulium","@t_thulium")</f>
        <v>@t_thulium</v>
      </c>
      <c r="C862" s="21" t="s">
        <v>2282</v>
      </c>
      <c r="D862" s="21" t="s">
        <v>1642</v>
      </c>
      <c r="E862" s="22" t="str">
        <f>HYPERLINK("https://twitter.com/t_thulium/status/922390354174685185","922390354174685185")</f>
        <v>922390354174685185</v>
      </c>
      <c r="F862" s="23" t="s">
        <v>33</v>
      </c>
      <c r="G862" s="24">
        <v>119.0</v>
      </c>
      <c r="H862" s="24">
        <v>203.0</v>
      </c>
      <c r="I862" s="24">
        <v>199.0</v>
      </c>
      <c r="J862" s="24">
        <v>0.0</v>
      </c>
      <c r="K862" s="23" t="s">
        <v>34</v>
      </c>
      <c r="L862" s="25">
        <v>42386.051400462966</v>
      </c>
      <c r="M862" s="28"/>
      <c r="N862" s="26" t="s">
        <v>2283</v>
      </c>
      <c r="O862" s="22" t="str">
        <f>HYPERLINK("https://pbs.twimg.com/profile_images/756776603191947264/g47IOvxS_normal.jpg","View")</f>
        <v>View</v>
      </c>
      <c r="P862" s="27"/>
    </row>
    <row r="863">
      <c r="A863" s="14">
        <v>43031.09233796297</v>
      </c>
      <c r="B863" s="20" t="str">
        <f>HYPERLINK("https://twitter.com/rahoulteli","@rahoulteli")</f>
        <v>@rahoulteli</v>
      </c>
      <c r="C863" s="21" t="s">
        <v>2284</v>
      </c>
      <c r="D863" s="21" t="s">
        <v>42</v>
      </c>
      <c r="E863" s="22" t="str">
        <f>HYPERLINK("https://twitter.com/rahoulteli/status/922390380011651072","922390380011651072")</f>
        <v>922390380011651072</v>
      </c>
      <c r="F863" s="23" t="s">
        <v>33</v>
      </c>
      <c r="G863" s="24">
        <v>605.0</v>
      </c>
      <c r="H863" s="24">
        <v>273.0</v>
      </c>
      <c r="I863" s="24">
        <v>8501.0</v>
      </c>
      <c r="J863" s="24">
        <v>0.0</v>
      </c>
      <c r="K863" s="23" t="s">
        <v>34</v>
      </c>
      <c r="L863" s="25">
        <v>41601.14087962963</v>
      </c>
      <c r="M863" s="28"/>
      <c r="N863" s="28"/>
      <c r="O863" s="22" t="str">
        <f>HYPERLINK("https://pbs.twimg.com/profile_images/755247299849170948/pnlHqxHO_normal.jpg","View")</f>
        <v>View</v>
      </c>
      <c r="P863" s="27"/>
    </row>
    <row r="864">
      <c r="A864" s="14">
        <v>43031.09236111111</v>
      </c>
      <c r="B864" s="20" t="str">
        <f>HYPERLINK("https://twitter.com/DeependraChoud8","@DeependraChoud8")</f>
        <v>@DeependraChoud8</v>
      </c>
      <c r="C864" s="21" t="s">
        <v>2285</v>
      </c>
      <c r="D864" s="21" t="s">
        <v>42</v>
      </c>
      <c r="E864" s="22" t="str">
        <f>HYPERLINK("https://twitter.com/DeependraChoud8/status/922390386626011136","922390386626011136")</f>
        <v>922390386626011136</v>
      </c>
      <c r="F864" s="23" t="s">
        <v>33</v>
      </c>
      <c r="G864" s="24">
        <v>36.0</v>
      </c>
      <c r="H864" s="24">
        <v>210.0</v>
      </c>
      <c r="I864" s="24">
        <v>8501.0</v>
      </c>
      <c r="J864" s="24">
        <v>0.0</v>
      </c>
      <c r="K864" s="23" t="s">
        <v>34</v>
      </c>
      <c r="L864" s="25">
        <v>42715.265069444446</v>
      </c>
      <c r="M864" s="26" t="s">
        <v>2286</v>
      </c>
      <c r="N864" s="26" t="s">
        <v>2287</v>
      </c>
      <c r="O864" s="22" t="str">
        <f>HYPERLINK("https://pbs.twimg.com/profile_images/909245320046960642/VNwDW9Pv_normal.jpg","View")</f>
        <v>View</v>
      </c>
      <c r="P864" s="27"/>
    </row>
    <row r="865">
      <c r="A865" s="14">
        <v>43031.09236111111</v>
      </c>
      <c r="B865" s="20" t="str">
        <f>HYPERLINK("https://twitter.com/Leghumake","@Leghumake")</f>
        <v>@Leghumake</v>
      </c>
      <c r="C865" s="21" t="s">
        <v>2288</v>
      </c>
      <c r="D865" s="21" t="s">
        <v>42</v>
      </c>
      <c r="E865" s="22" t="str">
        <f>HYPERLINK("https://twitter.com/Leghumake/status/922390388710821888","922390388710821888")</f>
        <v>922390388710821888</v>
      </c>
      <c r="F865" s="23" t="s">
        <v>2289</v>
      </c>
      <c r="G865" s="24">
        <v>71.0</v>
      </c>
      <c r="H865" s="24">
        <v>750.0</v>
      </c>
      <c r="I865" s="24">
        <v>8501.0</v>
      </c>
      <c r="J865" s="24">
        <v>0.0</v>
      </c>
      <c r="K865" s="23" t="s">
        <v>34</v>
      </c>
      <c r="L865" s="25">
        <v>42779.36460648148</v>
      </c>
      <c r="M865" s="26" t="s">
        <v>2290</v>
      </c>
      <c r="N865" s="26" t="s">
        <v>2291</v>
      </c>
      <c r="O865" s="22" t="str">
        <f>HYPERLINK("https://pbs.twimg.com/profile_images/904283313610809344/NiKiQtzX_normal.jpg","View")</f>
        <v>View</v>
      </c>
      <c r="P865" s="27"/>
    </row>
    <row r="866">
      <c r="A866" s="14">
        <v>43031.09237268519</v>
      </c>
      <c r="B866" s="20" t="str">
        <f>HYPERLINK("https://twitter.com/JamesBhaaand","@JamesBhaaand")</f>
        <v>@JamesBhaaand</v>
      </c>
      <c r="C866" s="21" t="s">
        <v>2292</v>
      </c>
      <c r="D866" s="21" t="s">
        <v>42</v>
      </c>
      <c r="E866" s="22" t="str">
        <f>HYPERLINK("https://twitter.com/JamesBhaaand/status/922390394330951680","922390394330951680")</f>
        <v>922390394330951680</v>
      </c>
      <c r="F866" s="23" t="s">
        <v>33</v>
      </c>
      <c r="G866" s="24">
        <v>233.0</v>
      </c>
      <c r="H866" s="24">
        <v>762.0</v>
      </c>
      <c r="I866" s="24">
        <v>8501.0</v>
      </c>
      <c r="J866" s="24">
        <v>0.0</v>
      </c>
      <c r="K866" s="23" t="s">
        <v>34</v>
      </c>
      <c r="L866" s="25">
        <v>40285.29920138889</v>
      </c>
      <c r="M866" s="26" t="s">
        <v>2293</v>
      </c>
      <c r="N866" s="26" t="s">
        <v>2294</v>
      </c>
      <c r="O866" s="22" t="str">
        <f>HYPERLINK("https://pbs.twimg.com/profile_images/3060831262/0a487fcebc09811a98376ca7d955005f_normal.jpeg","View")</f>
        <v>View</v>
      </c>
      <c r="P866" s="27"/>
    </row>
    <row r="867">
      <c r="A867" s="14">
        <v>43031.09238425926</v>
      </c>
      <c r="B867" s="20" t="str">
        <f>HYPERLINK("https://twitter.com/rajkiran_allola","@rajkiran_allola")</f>
        <v>@rajkiran_allola</v>
      </c>
      <c r="C867" s="21" t="s">
        <v>2295</v>
      </c>
      <c r="D867" s="21" t="s">
        <v>42</v>
      </c>
      <c r="E867" s="22" t="str">
        <f>HYPERLINK("https://twitter.com/rajkiran_allola/status/922390395698364416","922390395698364416")</f>
        <v>922390395698364416</v>
      </c>
      <c r="F867" s="23" t="s">
        <v>39</v>
      </c>
      <c r="G867" s="24">
        <v>351.0</v>
      </c>
      <c r="H867" s="24">
        <v>376.0</v>
      </c>
      <c r="I867" s="24">
        <v>8501.0</v>
      </c>
      <c r="J867" s="24">
        <v>0.0</v>
      </c>
      <c r="K867" s="23" t="s">
        <v>34</v>
      </c>
      <c r="L867" s="25">
        <v>42188.29927083333</v>
      </c>
      <c r="M867" s="26" t="s">
        <v>167</v>
      </c>
      <c r="N867" s="28"/>
      <c r="O867" s="22" t="str">
        <f>HYPERLINK("https://pbs.twimg.com/profile_images/845840037019308032/8iqDld8M_normal.jpg","View")</f>
        <v>View</v>
      </c>
      <c r="P867" s="27"/>
    </row>
    <row r="868">
      <c r="A868" s="14">
        <v>43031.092465277776</v>
      </c>
      <c r="B868" s="20" t="str">
        <f>HYPERLINK("https://twitter.com/micle1mickle","@micle1mickle")</f>
        <v>@micle1mickle</v>
      </c>
      <c r="C868" s="21" t="s">
        <v>2296</v>
      </c>
      <c r="D868" s="21" t="s">
        <v>32</v>
      </c>
      <c r="E868" s="22" t="str">
        <f>HYPERLINK("https://twitter.com/micle1mickle/status/922390427680034816","922390427680034816")</f>
        <v>922390427680034816</v>
      </c>
      <c r="F868" s="23" t="s">
        <v>33</v>
      </c>
      <c r="G868" s="24">
        <v>714.0</v>
      </c>
      <c r="H868" s="24">
        <v>421.0</v>
      </c>
      <c r="I868" s="24">
        <v>471.0</v>
      </c>
      <c r="J868" s="24">
        <v>0.0</v>
      </c>
      <c r="K868" s="23" t="s">
        <v>34</v>
      </c>
      <c r="L868" s="25">
        <v>42164.89523148148</v>
      </c>
      <c r="M868" s="26" t="s">
        <v>114</v>
      </c>
      <c r="N868" s="26" t="s">
        <v>2297</v>
      </c>
      <c r="O868" s="22" t="str">
        <f>HYPERLINK("https://pbs.twimg.com/profile_images/922170740111282180/gQHktH8f_normal.jpg","View")</f>
        <v>View</v>
      </c>
      <c r="P868" s="27"/>
    </row>
    <row r="869">
      <c r="A869" s="14">
        <v>43031.0925</v>
      </c>
      <c r="B869" s="20" t="str">
        <f>HYPERLINK("https://twitter.com/Tretayug","@Tretayug")</f>
        <v>@Tretayug</v>
      </c>
      <c r="C869" s="21" t="s">
        <v>203</v>
      </c>
      <c r="D869" s="21" t="s">
        <v>42</v>
      </c>
      <c r="E869" s="22" t="str">
        <f>HYPERLINK("https://twitter.com/Tretayug/status/922390439520452608","922390439520452608")</f>
        <v>922390439520452608</v>
      </c>
      <c r="F869" s="23" t="s">
        <v>39</v>
      </c>
      <c r="G869" s="24">
        <v>421.0</v>
      </c>
      <c r="H869" s="24">
        <v>1471.0</v>
      </c>
      <c r="I869" s="24">
        <v>8501.0</v>
      </c>
      <c r="J869" s="24">
        <v>0.0</v>
      </c>
      <c r="K869" s="23" t="s">
        <v>34</v>
      </c>
      <c r="L869" s="25">
        <v>42013.1465625</v>
      </c>
      <c r="M869" s="26" t="s">
        <v>204</v>
      </c>
      <c r="N869" s="26" t="s">
        <v>205</v>
      </c>
      <c r="O869" s="22" t="str">
        <f>HYPERLINK("https://pbs.twimg.com/profile_images/921976959390928896/YbOouC6v_normal.jpg","View")</f>
        <v>View</v>
      </c>
      <c r="P869" s="27"/>
    </row>
    <row r="870">
      <c r="A870" s="14">
        <v>43031.092511574076</v>
      </c>
      <c r="B870" s="20" t="str">
        <f>HYPERLINK("https://twitter.com/krishnatomer2","@krishnatomer2")</f>
        <v>@krishnatomer2</v>
      </c>
      <c r="C870" s="21" t="s">
        <v>2298</v>
      </c>
      <c r="D870" s="21" t="s">
        <v>42</v>
      </c>
      <c r="E870" s="22" t="str">
        <f>HYPERLINK("https://twitter.com/krishnatomer2/status/922390443941179392","922390443941179392")</f>
        <v>922390443941179392</v>
      </c>
      <c r="F870" s="23" t="s">
        <v>39</v>
      </c>
      <c r="G870" s="24">
        <v>22.0</v>
      </c>
      <c r="H870" s="24">
        <v>52.0</v>
      </c>
      <c r="I870" s="24">
        <v>8501.0</v>
      </c>
      <c r="J870" s="24">
        <v>0.0</v>
      </c>
      <c r="K870" s="23" t="s">
        <v>34</v>
      </c>
      <c r="L870" s="25">
        <v>40943.406076388885</v>
      </c>
      <c r="M870" s="26" t="s">
        <v>2299</v>
      </c>
      <c r="N870" s="26" t="s">
        <v>2300</v>
      </c>
      <c r="O870" s="22" t="str">
        <f>HYPERLINK("https://pbs.twimg.com/profile_images/789048824664723456/lLHlfclC_normal.jpg","View")</f>
        <v>View</v>
      </c>
      <c r="P870" s="27"/>
    </row>
    <row r="871">
      <c r="A871" s="14">
        <v>43031.09263888889</v>
      </c>
      <c r="B871" s="20" t="str">
        <f>HYPERLINK("https://twitter.com/saleswizardcrm","@saleswizardcrm")</f>
        <v>@saleswizardcrm</v>
      </c>
      <c r="C871" s="21" t="s">
        <v>2301</v>
      </c>
      <c r="D871" s="21" t="s">
        <v>2157</v>
      </c>
      <c r="E871" s="22" t="str">
        <f>HYPERLINK("https://twitter.com/saleswizardcrm/status/922390490816839681","922390490816839681")</f>
        <v>922390490816839681</v>
      </c>
      <c r="F871" s="23" t="s">
        <v>39</v>
      </c>
      <c r="G871" s="24">
        <v>383.0</v>
      </c>
      <c r="H871" s="24">
        <v>1542.0</v>
      </c>
      <c r="I871" s="24">
        <v>12.0</v>
      </c>
      <c r="J871" s="24">
        <v>0.0</v>
      </c>
      <c r="K871" s="23" t="s">
        <v>34</v>
      </c>
      <c r="L871" s="25">
        <v>42683.509930555556</v>
      </c>
      <c r="M871" s="26" t="s">
        <v>708</v>
      </c>
      <c r="N871" s="26" t="s">
        <v>2302</v>
      </c>
      <c r="O871" s="22" t="str">
        <f>HYPERLINK("https://pbs.twimg.com/profile_images/796446955866034180/TOtkJffM_normal.jpg","View")</f>
        <v>View</v>
      </c>
      <c r="P871" s="27"/>
    </row>
    <row r="872">
      <c r="A872" s="14">
        <v>43031.09275462963</v>
      </c>
      <c r="B872" s="20" t="str">
        <f>HYPERLINK("https://twitter.com/trippleOohGee","@trippleOohGee")</f>
        <v>@trippleOohGee</v>
      </c>
      <c r="C872" s="21" t="s">
        <v>2303</v>
      </c>
      <c r="D872" s="21" t="s">
        <v>32</v>
      </c>
      <c r="E872" s="22" t="str">
        <f>HYPERLINK("https://twitter.com/trippleOohGee/status/922390529261924352","922390529261924352")</f>
        <v>922390529261924352</v>
      </c>
      <c r="F872" s="23" t="s">
        <v>33</v>
      </c>
      <c r="G872" s="24">
        <v>751.0</v>
      </c>
      <c r="H872" s="24">
        <v>866.0</v>
      </c>
      <c r="I872" s="24">
        <v>471.0</v>
      </c>
      <c r="J872" s="24">
        <v>0.0</v>
      </c>
      <c r="K872" s="23" t="s">
        <v>34</v>
      </c>
      <c r="L872" s="25">
        <v>40581.35861111111</v>
      </c>
      <c r="M872" s="26" t="s">
        <v>114</v>
      </c>
      <c r="N872" s="28"/>
      <c r="O872" s="22" t="str">
        <f>HYPERLINK("https://pbs.twimg.com/profile_images/839127999450578944/aMPZw8ZJ_normal.jpg","View")</f>
        <v>View</v>
      </c>
      <c r="P872" s="27"/>
    </row>
    <row r="873">
      <c r="A873" s="14">
        <v>43031.092777777776</v>
      </c>
      <c r="B873" s="20" t="str">
        <f>HYPERLINK("https://twitter.com/vbence","@vbence")</f>
        <v>@vbence</v>
      </c>
      <c r="C873" s="21" t="s">
        <v>2304</v>
      </c>
      <c r="D873" s="21" t="s">
        <v>108</v>
      </c>
      <c r="E873" s="22" t="str">
        <f>HYPERLINK("https://twitter.com/vbence/status/922390539500171265","922390539500171265")</f>
        <v>922390539500171265</v>
      </c>
      <c r="F873" s="23" t="s">
        <v>55</v>
      </c>
      <c r="G873" s="24">
        <v>48.0</v>
      </c>
      <c r="H873" s="24">
        <v>108.0</v>
      </c>
      <c r="I873" s="24">
        <v>88.0</v>
      </c>
      <c r="J873" s="24">
        <v>0.0</v>
      </c>
      <c r="K873" s="23" t="s">
        <v>34</v>
      </c>
      <c r="L873" s="25">
        <v>41930.33295138889</v>
      </c>
      <c r="M873" s="26" t="s">
        <v>2305</v>
      </c>
      <c r="N873" s="26" t="s">
        <v>2306</v>
      </c>
      <c r="O873" s="22" t="str">
        <f>HYPERLINK("https://pbs.twimg.com/profile_images/878583606037401600/yAJlj4ad_normal.jpg","View")</f>
        <v>View</v>
      </c>
      <c r="P873" s="27"/>
    </row>
    <row r="874">
      <c r="A874" s="14">
        <v>43031.092824074076</v>
      </c>
      <c r="B874" s="20" t="str">
        <f>HYPERLINK("https://twitter.com/Kay_E_VeeMusic","@Kay_E_VeeMusic")</f>
        <v>@Kay_E_VeeMusic</v>
      </c>
      <c r="C874" s="21" t="s">
        <v>2307</v>
      </c>
      <c r="D874" s="21" t="s">
        <v>32</v>
      </c>
      <c r="E874" s="22" t="str">
        <f>HYPERLINK("https://twitter.com/Kay_E_VeeMusic/status/922390558387195905","922390558387195905")</f>
        <v>922390558387195905</v>
      </c>
      <c r="F874" s="23" t="s">
        <v>33</v>
      </c>
      <c r="G874" s="24">
        <v>903.0</v>
      </c>
      <c r="H874" s="24">
        <v>742.0</v>
      </c>
      <c r="I874" s="24">
        <v>471.0</v>
      </c>
      <c r="J874" s="24">
        <v>0.0</v>
      </c>
      <c r="K874" s="23" t="s">
        <v>34</v>
      </c>
      <c r="L874" s="25">
        <v>40402.18699074074</v>
      </c>
      <c r="M874" s="26" t="s">
        <v>114</v>
      </c>
      <c r="N874" s="26" t="s">
        <v>2308</v>
      </c>
      <c r="O874" s="22" t="str">
        <f>HYPERLINK("https://pbs.twimg.com/profile_images/898873705971027969/U1P6luOn_normal.jpg","View")</f>
        <v>View</v>
      </c>
      <c r="P874" s="27"/>
    </row>
    <row r="875">
      <c r="A875" s="14">
        <v>43031.09284722222</v>
      </c>
      <c r="B875" s="20" t="str">
        <f>HYPERLINK("https://twitter.com/1998_jha","@1998_jha")</f>
        <v>@1998_jha</v>
      </c>
      <c r="C875" s="21" t="s">
        <v>2309</v>
      </c>
      <c r="D875" s="21" t="s">
        <v>42</v>
      </c>
      <c r="E875" s="22" t="str">
        <f>HYPERLINK("https://twitter.com/1998_jha/status/922390565404200960","922390565404200960")</f>
        <v>922390565404200960</v>
      </c>
      <c r="F875" s="23" t="s">
        <v>43</v>
      </c>
      <c r="G875" s="24">
        <v>184.0</v>
      </c>
      <c r="H875" s="24">
        <v>1213.0</v>
      </c>
      <c r="I875" s="24">
        <v>8501.0</v>
      </c>
      <c r="J875" s="24">
        <v>0.0</v>
      </c>
      <c r="K875" s="23" t="s">
        <v>34</v>
      </c>
      <c r="L875" s="25">
        <v>41653.97917824074</v>
      </c>
      <c r="M875" s="26" t="s">
        <v>2310</v>
      </c>
      <c r="N875" s="26" t="s">
        <v>2311</v>
      </c>
      <c r="O875" s="22" t="str">
        <f>HYPERLINK("https://pbs.twimg.com/profile_images/922191381275299840/YUu0MTVG_normal.jpg","View")</f>
        <v>View</v>
      </c>
      <c r="P875" s="27"/>
    </row>
    <row r="876">
      <c r="A876" s="14">
        <v>43031.09290509259</v>
      </c>
      <c r="B876" s="20" t="str">
        <f>HYPERLINK("https://twitter.com/Ferjani9arwi","@Ferjani9arwi")</f>
        <v>@Ferjani9arwi</v>
      </c>
      <c r="C876" s="21" t="s">
        <v>2312</v>
      </c>
      <c r="D876" s="21" t="s">
        <v>2313</v>
      </c>
      <c r="E876" s="22" t="str">
        <f>HYPERLINK("https://twitter.com/Ferjani9arwi/status/922390586279321600","922390586279321600")</f>
        <v>922390586279321600</v>
      </c>
      <c r="F876" s="23" t="s">
        <v>39</v>
      </c>
      <c r="G876" s="24">
        <v>2066.0</v>
      </c>
      <c r="H876" s="24">
        <v>3407.0</v>
      </c>
      <c r="I876" s="24">
        <v>10.0</v>
      </c>
      <c r="J876" s="24">
        <v>0.0</v>
      </c>
      <c r="K876" s="23" t="s">
        <v>34</v>
      </c>
      <c r="L876" s="25">
        <v>40538.34123842593</v>
      </c>
      <c r="M876" s="26" t="s">
        <v>2314</v>
      </c>
      <c r="N876" s="26" t="s">
        <v>2315</v>
      </c>
      <c r="O876" s="22" t="str">
        <f>HYPERLINK("https://pbs.twimg.com/profile_images/510820659476197376/GYZ6V1lM_normal.jpeg","View")</f>
        <v>View</v>
      </c>
      <c r="P876" s="27"/>
    </row>
    <row r="877">
      <c r="A877" s="14">
        <v>43031.09298611111</v>
      </c>
      <c r="B877" s="20" t="str">
        <f>HYPERLINK("https://twitter.com/murphycat2012","@murphycat2012")</f>
        <v>@murphycat2012</v>
      </c>
      <c r="C877" s="21" t="s">
        <v>2316</v>
      </c>
      <c r="D877" s="21" t="s">
        <v>2317</v>
      </c>
      <c r="E877" s="22" t="str">
        <f>HYPERLINK("https://twitter.com/murphycat2012/status/922390614754451456","922390614754451456")</f>
        <v>922390614754451456</v>
      </c>
      <c r="F877" s="23" t="s">
        <v>55</v>
      </c>
      <c r="G877" s="24">
        <v>1949.0</v>
      </c>
      <c r="H877" s="24">
        <v>3974.0</v>
      </c>
      <c r="I877" s="24">
        <v>0.0</v>
      </c>
      <c r="J877" s="24">
        <v>0.0</v>
      </c>
      <c r="K877" s="23" t="s">
        <v>34</v>
      </c>
      <c r="L877" s="25">
        <v>40975.63989583333</v>
      </c>
      <c r="M877" s="26" t="s">
        <v>2318</v>
      </c>
      <c r="N877" s="26" t="s">
        <v>2319</v>
      </c>
      <c r="O877" s="22" t="str">
        <f>HYPERLINK("https://pbs.twimg.com/profile_images/918212408614715393/iYxfS2iF_normal.jpg","View")</f>
        <v>View</v>
      </c>
      <c r="P877" s="27"/>
    </row>
    <row r="878">
      <c r="A878" s="14">
        <v>43031.09302083333</v>
      </c>
      <c r="B878" s="20" t="str">
        <f>HYPERLINK("https://twitter.com/AnandHiremani","@AnandHiremani")</f>
        <v>@AnandHiremani</v>
      </c>
      <c r="C878" s="21" t="s">
        <v>2320</v>
      </c>
      <c r="D878" s="21" t="s">
        <v>42</v>
      </c>
      <c r="E878" s="22" t="str">
        <f>HYPERLINK("https://twitter.com/AnandHiremani/status/922390627781767168","922390627781767168")</f>
        <v>922390627781767168</v>
      </c>
      <c r="F878" s="23" t="s">
        <v>33</v>
      </c>
      <c r="G878" s="24">
        <v>1.0</v>
      </c>
      <c r="H878" s="24">
        <v>23.0</v>
      </c>
      <c r="I878" s="24">
        <v>8501.0</v>
      </c>
      <c r="J878" s="24">
        <v>0.0</v>
      </c>
      <c r="K878" s="23" t="s">
        <v>34</v>
      </c>
      <c r="L878" s="25">
        <v>43027.03508101852</v>
      </c>
      <c r="M878" s="28"/>
      <c r="N878" s="28"/>
      <c r="O878" s="22" t="str">
        <f>HYPERLINK("https://abs.twimg.com/sticky/default_profile_images/default_profile_normal.png","View")</f>
        <v>View</v>
      </c>
      <c r="P878" s="27"/>
    </row>
    <row r="879">
      <c r="A879" s="14">
        <v>43031.093043981484</v>
      </c>
      <c r="B879" s="20" t="str">
        <f>HYPERLINK("https://twitter.com/Rohtashdanoda","@Rohtashdanoda")</f>
        <v>@Rohtashdanoda</v>
      </c>
      <c r="C879" s="21" t="s">
        <v>2321</v>
      </c>
      <c r="D879" s="21" t="s">
        <v>42</v>
      </c>
      <c r="E879" s="22" t="str">
        <f>HYPERLINK("https://twitter.com/Rohtashdanoda/status/922390635209822208","922390635209822208")</f>
        <v>922390635209822208</v>
      </c>
      <c r="F879" s="23" t="s">
        <v>33</v>
      </c>
      <c r="G879" s="24">
        <v>3.0</v>
      </c>
      <c r="H879" s="24">
        <v>108.0</v>
      </c>
      <c r="I879" s="24">
        <v>8501.0</v>
      </c>
      <c r="J879" s="24">
        <v>0.0</v>
      </c>
      <c r="K879" s="23" t="s">
        <v>34</v>
      </c>
      <c r="L879" s="25">
        <v>43013.15762731481</v>
      </c>
      <c r="M879" s="26" t="s">
        <v>2322</v>
      </c>
      <c r="N879" s="26" t="s">
        <v>2323</v>
      </c>
      <c r="O879" s="22" t="str">
        <f>HYPERLINK("https://pbs.twimg.com/profile_images/915936925420183553/hWiZnxQl_normal.jpg","View")</f>
        <v>View</v>
      </c>
      <c r="P879" s="27"/>
    </row>
    <row r="880">
      <c r="A880" s="14">
        <v>43031.09305555555</v>
      </c>
      <c r="B880" s="20" t="str">
        <f>HYPERLINK("https://twitter.com/shubhamsoni666","@shubhamsoni666")</f>
        <v>@shubhamsoni666</v>
      </c>
      <c r="C880" s="21" t="s">
        <v>2324</v>
      </c>
      <c r="D880" s="21" t="s">
        <v>42</v>
      </c>
      <c r="E880" s="22" t="str">
        <f>HYPERLINK("https://twitter.com/shubhamsoni666/status/922390640431849473","922390640431849473")</f>
        <v>922390640431849473</v>
      </c>
      <c r="F880" s="23" t="s">
        <v>33</v>
      </c>
      <c r="G880" s="24">
        <v>152.0</v>
      </c>
      <c r="H880" s="24">
        <v>223.0</v>
      </c>
      <c r="I880" s="24">
        <v>8501.0</v>
      </c>
      <c r="J880" s="24">
        <v>0.0</v>
      </c>
      <c r="K880" s="23" t="s">
        <v>34</v>
      </c>
      <c r="L880" s="25">
        <v>42890.87230324074</v>
      </c>
      <c r="M880" s="26" t="s">
        <v>2325</v>
      </c>
      <c r="N880" s="26" t="s">
        <v>2326</v>
      </c>
      <c r="O880" s="22" t="str">
        <f>HYPERLINK("https://pbs.twimg.com/profile_images/871579065597276160/SKqVmlZV_normal.jpg","View")</f>
        <v>View</v>
      </c>
      <c r="P880" s="27"/>
    </row>
    <row r="881">
      <c r="A881" s="14">
        <v>43031.09315972222</v>
      </c>
      <c r="B881" s="20" t="str">
        <f>HYPERLINK("https://twitter.com/ThePacificast","@ThePacificast")</f>
        <v>@ThePacificast</v>
      </c>
      <c r="C881" s="21" t="s">
        <v>2327</v>
      </c>
      <c r="D881" s="21" t="s">
        <v>2328</v>
      </c>
      <c r="E881" s="22" t="str">
        <f>HYPERLINK("https://twitter.com/ThePacificast/status/922390676062470144","922390676062470144")</f>
        <v>922390676062470144</v>
      </c>
      <c r="F881" s="23" t="s">
        <v>187</v>
      </c>
      <c r="G881" s="24">
        <v>105.0</v>
      </c>
      <c r="H881" s="24">
        <v>39.0</v>
      </c>
      <c r="I881" s="24">
        <v>0.0</v>
      </c>
      <c r="J881" s="24">
        <v>0.0</v>
      </c>
      <c r="K881" s="23" t="s">
        <v>34</v>
      </c>
      <c r="L881" s="25">
        <v>40095.787569444445</v>
      </c>
      <c r="M881" s="26" t="s">
        <v>265</v>
      </c>
      <c r="N881" s="26" t="s">
        <v>2329</v>
      </c>
      <c r="O881" s="22" t="str">
        <f>HYPERLINK("https://pbs.twimg.com/profile_images/890732429777920000/knmyAJfz_normal.jpg","View")</f>
        <v>View</v>
      </c>
      <c r="P881" s="27"/>
    </row>
    <row r="882">
      <c r="A882" s="14">
        <v>43031.09318287037</v>
      </c>
      <c r="B882" s="20" t="str">
        <f>HYPERLINK("https://twitter.com/2a58b881299b4c4","@2a58b881299b4c4")</f>
        <v>@2a58b881299b4c4</v>
      </c>
      <c r="C882" s="21" t="s">
        <v>2330</v>
      </c>
      <c r="D882" s="21" t="s">
        <v>42</v>
      </c>
      <c r="E882" s="22" t="str">
        <f>HYPERLINK("https://twitter.com/2a58b881299b4c4/status/922390686221160449","922390686221160449")</f>
        <v>922390686221160449</v>
      </c>
      <c r="F882" s="23" t="s">
        <v>33</v>
      </c>
      <c r="G882" s="24">
        <v>142.0</v>
      </c>
      <c r="H882" s="24">
        <v>439.0</v>
      </c>
      <c r="I882" s="24">
        <v>8501.0</v>
      </c>
      <c r="J882" s="24">
        <v>0.0</v>
      </c>
      <c r="K882" s="23" t="s">
        <v>34</v>
      </c>
      <c r="L882" s="25">
        <v>42009.80990740741</v>
      </c>
      <c r="M882" s="26" t="s">
        <v>2331</v>
      </c>
      <c r="N882" s="28"/>
      <c r="O882" s="22" t="str">
        <f>HYPERLINK("https://abs.twimg.com/sticky/default_profile_images/default_profile_normal.png","View")</f>
        <v>View</v>
      </c>
      <c r="P882" s="27"/>
    </row>
    <row r="883">
      <c r="A883" s="14">
        <v>43031.09318287037</v>
      </c>
      <c r="B883" s="20" t="str">
        <f>HYPERLINK("https://twitter.com/TopFiveTraders","@TopFiveTraders")</f>
        <v>@TopFiveTraders</v>
      </c>
      <c r="C883" s="21" t="s">
        <v>1984</v>
      </c>
      <c r="D883" s="21" t="s">
        <v>2332</v>
      </c>
      <c r="E883" s="22" t="str">
        <f>HYPERLINK("https://twitter.com/TopFiveTraders/status/922390687643029504","922390687643029504")</f>
        <v>922390687643029504</v>
      </c>
      <c r="F883" s="23" t="s">
        <v>187</v>
      </c>
      <c r="G883" s="24">
        <v>8168.0</v>
      </c>
      <c r="H883" s="24">
        <v>6711.0</v>
      </c>
      <c r="I883" s="24">
        <v>0.0</v>
      </c>
      <c r="J883" s="24">
        <v>0.0</v>
      </c>
      <c r="K883" s="23" t="s">
        <v>34</v>
      </c>
      <c r="L883" s="25">
        <v>41573.484201388885</v>
      </c>
      <c r="M883" s="26" t="s">
        <v>1986</v>
      </c>
      <c r="N883" s="26" t="s">
        <v>1987</v>
      </c>
      <c r="O883" s="22" t="str">
        <f>HYPERLINK("https://pbs.twimg.com/profile_images/729113141444026370/hi202Ffp_normal.jpg","View")</f>
        <v>View</v>
      </c>
      <c r="P883" s="27"/>
    </row>
    <row r="884">
      <c r="A884" s="14">
        <v>43031.09322916667</v>
      </c>
      <c r="B884" s="20" t="str">
        <f>HYPERLINK("https://twitter.com/JPPalan777","@JPPalan777")</f>
        <v>@JPPalan777</v>
      </c>
      <c r="C884" s="21" t="s">
        <v>2333</v>
      </c>
      <c r="D884" s="21" t="s">
        <v>42</v>
      </c>
      <c r="E884" s="22" t="str">
        <f>HYPERLINK("https://twitter.com/JPPalan777/status/922390702302035968","922390702302035968")</f>
        <v>922390702302035968</v>
      </c>
      <c r="F884" s="23" t="s">
        <v>33</v>
      </c>
      <c r="G884" s="24">
        <v>25.0</v>
      </c>
      <c r="H884" s="24">
        <v>9.0</v>
      </c>
      <c r="I884" s="24">
        <v>8501.0</v>
      </c>
      <c r="J884" s="24">
        <v>0.0</v>
      </c>
      <c r="K884" s="23" t="s">
        <v>34</v>
      </c>
      <c r="L884" s="25">
        <v>42653.57425925926</v>
      </c>
      <c r="M884" s="26" t="s">
        <v>531</v>
      </c>
      <c r="N884" s="28"/>
      <c r="O884" s="22" t="str">
        <f>HYPERLINK("https://pbs.twimg.com/profile_images/786894187505577985/XW_lw7IR_normal.jpg","View")</f>
        <v>View</v>
      </c>
      <c r="P884" s="27"/>
    </row>
    <row r="885">
      <c r="A885" s="14">
        <v>43031.09328703704</v>
      </c>
      <c r="B885" s="20" t="str">
        <f>HYPERLINK("https://twitter.com/Ashutosh_321","@Ashutosh_321")</f>
        <v>@Ashutosh_321</v>
      </c>
      <c r="C885" s="21" t="s">
        <v>2334</v>
      </c>
      <c r="D885" s="21" t="s">
        <v>42</v>
      </c>
      <c r="E885" s="22" t="str">
        <f>HYPERLINK("https://twitter.com/Ashutosh_321/status/922390725538357248","922390725538357248")</f>
        <v>922390725538357248</v>
      </c>
      <c r="F885" s="23" t="s">
        <v>39</v>
      </c>
      <c r="G885" s="24">
        <v>10.0</v>
      </c>
      <c r="H885" s="24">
        <v>47.0</v>
      </c>
      <c r="I885" s="24">
        <v>8501.0</v>
      </c>
      <c r="J885" s="24">
        <v>0.0</v>
      </c>
      <c r="K885" s="23" t="s">
        <v>34</v>
      </c>
      <c r="L885" s="25">
        <v>42956.19362268518</v>
      </c>
      <c r="M885" s="26" t="s">
        <v>2335</v>
      </c>
      <c r="N885" s="26" t="s">
        <v>2336</v>
      </c>
      <c r="O885" s="22" t="str">
        <f>HYPERLINK("https://pbs.twimg.com/profile_images/899314292213727232/1thqABON_normal.jpg","View")</f>
        <v>View</v>
      </c>
      <c r="P885" s="27"/>
    </row>
    <row r="886">
      <c r="A886" s="14">
        <v>43031.093310185184</v>
      </c>
      <c r="B886" s="20" t="str">
        <f>HYPERLINK("https://twitter.com/RRamgovind","@RRamgovind")</f>
        <v>@RRamgovind</v>
      </c>
      <c r="C886" s="21" t="s">
        <v>2337</v>
      </c>
      <c r="D886" s="21" t="s">
        <v>163</v>
      </c>
      <c r="E886" s="22" t="str">
        <f>HYPERLINK("https://twitter.com/RRamgovind/status/922390732148654082","922390732148654082")</f>
        <v>922390732148654082</v>
      </c>
      <c r="F886" s="23" t="s">
        <v>33</v>
      </c>
      <c r="G886" s="24">
        <v>597.0</v>
      </c>
      <c r="H886" s="24">
        <v>831.0</v>
      </c>
      <c r="I886" s="24">
        <v>1005.0</v>
      </c>
      <c r="J886" s="24">
        <v>0.0</v>
      </c>
      <c r="K886" s="23" t="s">
        <v>34</v>
      </c>
      <c r="L886" s="25">
        <v>40698.979363425926</v>
      </c>
      <c r="M886" s="26" t="s">
        <v>2338</v>
      </c>
      <c r="N886" s="26" t="s">
        <v>2339</v>
      </c>
      <c r="O886" s="22" t="str">
        <f>HYPERLINK("https://pbs.twimg.com/profile_images/608635266849374208/Zn5vRJvc_normal.jpg","View")</f>
        <v>View</v>
      </c>
      <c r="P886" s="27"/>
    </row>
    <row r="887">
      <c r="A887" s="14">
        <v>43031.093310185184</v>
      </c>
      <c r="B887" s="20" t="str">
        <f>HYPERLINK("https://twitter.com/wittich","@wittich")</f>
        <v>@wittich</v>
      </c>
      <c r="C887" s="21" t="s">
        <v>2340</v>
      </c>
      <c r="D887" s="21" t="s">
        <v>2341</v>
      </c>
      <c r="E887" s="22" t="str">
        <f>HYPERLINK("https://twitter.com/wittich/status/922390734606667776","922390734606667776")</f>
        <v>922390734606667776</v>
      </c>
      <c r="F887" s="23" t="s">
        <v>91</v>
      </c>
      <c r="G887" s="24">
        <v>2600.0</v>
      </c>
      <c r="H887" s="24">
        <v>1727.0</v>
      </c>
      <c r="I887" s="24">
        <v>0.0</v>
      </c>
      <c r="J887" s="24">
        <v>0.0</v>
      </c>
      <c r="K887" s="23" t="s">
        <v>34</v>
      </c>
      <c r="L887" s="25">
        <v>39375.524976851855</v>
      </c>
      <c r="M887" s="26" t="s">
        <v>2342</v>
      </c>
      <c r="N887" s="26" t="s">
        <v>2343</v>
      </c>
      <c r="O887" s="22" t="str">
        <f>HYPERLINK("https://pbs.twimg.com/profile_images/840685455729446912/M8OlVjm3_normal.jpg","View")</f>
        <v>View</v>
      </c>
      <c r="P887" s="27"/>
    </row>
    <row r="888">
      <c r="A888" s="14">
        <v>43031.09334490741</v>
      </c>
      <c r="B888" s="20" t="str">
        <f>HYPERLINK("https://twitter.com/ammubaghel1610","@ammubaghel1610")</f>
        <v>@ammubaghel1610</v>
      </c>
      <c r="C888" s="21" t="s">
        <v>2344</v>
      </c>
      <c r="D888" s="21" t="s">
        <v>42</v>
      </c>
      <c r="E888" s="22" t="str">
        <f>HYPERLINK("https://twitter.com/ammubaghel1610/status/922390745738231808","922390745738231808")</f>
        <v>922390745738231808</v>
      </c>
      <c r="F888" s="23" t="s">
        <v>33</v>
      </c>
      <c r="G888" s="24">
        <v>30.0</v>
      </c>
      <c r="H888" s="24">
        <v>54.0</v>
      </c>
      <c r="I888" s="24">
        <v>8501.0</v>
      </c>
      <c r="J888" s="24">
        <v>0.0</v>
      </c>
      <c r="K888" s="23" t="s">
        <v>34</v>
      </c>
      <c r="L888" s="25">
        <v>42526.48112268519</v>
      </c>
      <c r="M888" s="26" t="s">
        <v>2345</v>
      </c>
      <c r="N888" s="26" t="s">
        <v>2346</v>
      </c>
      <c r="O888" s="22" t="str">
        <f>HYPERLINK("https://pbs.twimg.com/profile_images/921669683454996482/HuQ1hBkM_normal.jpg","View")</f>
        <v>View</v>
      </c>
      <c r="P888" s="27"/>
    </row>
    <row r="889">
      <c r="A889" s="14">
        <v>43031.09335648148</v>
      </c>
      <c r="B889" s="20" t="str">
        <f>HYPERLINK("https://twitter.com/YagnangP","@YagnangP")</f>
        <v>@YagnangP</v>
      </c>
      <c r="C889" s="21" t="s">
        <v>2347</v>
      </c>
      <c r="D889" s="21" t="s">
        <v>42</v>
      </c>
      <c r="E889" s="22" t="str">
        <f>HYPERLINK("https://twitter.com/YagnangP/status/922390747810107393","922390747810107393")</f>
        <v>922390747810107393</v>
      </c>
      <c r="F889" s="23" t="s">
        <v>33</v>
      </c>
      <c r="G889" s="24">
        <v>4187.0</v>
      </c>
      <c r="H889" s="24">
        <v>4177.0</v>
      </c>
      <c r="I889" s="24">
        <v>8501.0</v>
      </c>
      <c r="J889" s="24">
        <v>0.0</v>
      </c>
      <c r="K889" s="23" t="s">
        <v>34</v>
      </c>
      <c r="L889" s="25">
        <v>41366.62993055556</v>
      </c>
      <c r="M889" s="26" t="s">
        <v>2348</v>
      </c>
      <c r="N889" s="26" t="s">
        <v>2349</v>
      </c>
      <c r="O889" s="22" t="str">
        <f>HYPERLINK("https://pbs.twimg.com/profile_images/922748551771299840/OGjIGBnj_normal.jpg","View")</f>
        <v>View</v>
      </c>
      <c r="P889" s="27"/>
    </row>
    <row r="890">
      <c r="A890" s="14">
        <v>43031.09340277778</v>
      </c>
      <c r="B890" s="20" t="str">
        <f>HYPERLINK("https://twitter.com/vjsingh878","@vjsingh878")</f>
        <v>@vjsingh878</v>
      </c>
      <c r="C890" s="21" t="s">
        <v>2350</v>
      </c>
      <c r="D890" s="21" t="s">
        <v>163</v>
      </c>
      <c r="E890" s="22" t="str">
        <f>HYPERLINK("https://twitter.com/vjsingh878/status/922390765585645568","922390765585645568")</f>
        <v>922390765585645568</v>
      </c>
      <c r="F890" s="23" t="s">
        <v>33</v>
      </c>
      <c r="G890" s="24">
        <v>236.0</v>
      </c>
      <c r="H890" s="24">
        <v>119.0</v>
      </c>
      <c r="I890" s="24">
        <v>1005.0</v>
      </c>
      <c r="J890" s="24">
        <v>0.0</v>
      </c>
      <c r="K890" s="23" t="s">
        <v>34</v>
      </c>
      <c r="L890" s="25">
        <v>40729.37747685185</v>
      </c>
      <c r="M890" s="26" t="s">
        <v>2351</v>
      </c>
      <c r="N890" s="28"/>
      <c r="O890" s="22" t="str">
        <f>HYPERLINK("https://pbs.twimg.com/profile_images/818444800403918848/t3NbLIfe_normal.jpg","View")</f>
        <v>View</v>
      </c>
      <c r="P890" s="27"/>
    </row>
    <row r="891">
      <c r="A891" s="14">
        <v>43031.09342592592</v>
      </c>
      <c r="B891" s="20" t="str">
        <f>HYPERLINK("https://twitter.com/Inokori335","@Inokori335")</f>
        <v>@Inokori335</v>
      </c>
      <c r="C891" s="21" t="s">
        <v>2352</v>
      </c>
      <c r="D891" s="21" t="s">
        <v>126</v>
      </c>
      <c r="E891" s="22" t="str">
        <f>HYPERLINK("https://twitter.com/Inokori335/status/922390773135417344","922390773135417344")</f>
        <v>922390773135417344</v>
      </c>
      <c r="F891" s="23" t="s">
        <v>39</v>
      </c>
      <c r="G891" s="24">
        <v>515.0</v>
      </c>
      <c r="H891" s="24">
        <v>273.0</v>
      </c>
      <c r="I891" s="24">
        <v>62.0</v>
      </c>
      <c r="J891" s="24">
        <v>0.0</v>
      </c>
      <c r="K891" s="23" t="s">
        <v>34</v>
      </c>
      <c r="L891" s="25">
        <v>40321.23443287037</v>
      </c>
      <c r="M891" s="26" t="s">
        <v>2353</v>
      </c>
      <c r="N891" s="26" t="s">
        <v>2354</v>
      </c>
      <c r="O891" s="22" t="str">
        <f>HYPERLINK("https://pbs.twimg.com/profile_images/2054112279/Inokori335_normal.jpeg","View")</f>
        <v>View</v>
      </c>
      <c r="P891" s="27"/>
    </row>
    <row r="892">
      <c r="A892" s="14">
        <v>43031.09349537037</v>
      </c>
      <c r="B892" s="20" t="str">
        <f>HYPERLINK("https://twitter.com/ShefVaidya","@ShefVaidya")</f>
        <v>@ShefVaidya</v>
      </c>
      <c r="C892" s="21" t="s">
        <v>2355</v>
      </c>
      <c r="D892" s="21" t="s">
        <v>42</v>
      </c>
      <c r="E892" s="22" t="str">
        <f>HYPERLINK("https://twitter.com/ShefVaidya/status/922390801031708672","922390801031708672")</f>
        <v>922390801031708672</v>
      </c>
      <c r="F892" s="23" t="s">
        <v>39</v>
      </c>
      <c r="G892" s="24">
        <v>88103.0</v>
      </c>
      <c r="H892" s="24">
        <v>1109.0</v>
      </c>
      <c r="I892" s="24">
        <v>8501.0</v>
      </c>
      <c r="J892" s="24">
        <v>0.0</v>
      </c>
      <c r="K892" s="23" t="s">
        <v>34</v>
      </c>
      <c r="L892" s="25">
        <v>41551.29856481482</v>
      </c>
      <c r="M892" s="26" t="s">
        <v>2356</v>
      </c>
      <c r="N892" s="26" t="s">
        <v>2357</v>
      </c>
      <c r="O892" s="22" t="str">
        <f>HYPERLINK("https://pbs.twimg.com/profile_images/922800106289557504/-DN7wdVl_normal.jpg","View")</f>
        <v>View</v>
      </c>
      <c r="P892" s="27"/>
    </row>
    <row r="893">
      <c r="A893" s="14">
        <v>43031.093576388885</v>
      </c>
      <c r="B893" s="20" t="str">
        <f>HYPERLINK("https://twitter.com/npatel12376","@npatel12376")</f>
        <v>@npatel12376</v>
      </c>
      <c r="C893" s="21" t="s">
        <v>2358</v>
      </c>
      <c r="D893" s="21" t="s">
        <v>42</v>
      </c>
      <c r="E893" s="22" t="str">
        <f>HYPERLINK("https://twitter.com/npatel12376/status/922390827040571392","922390827040571392")</f>
        <v>922390827040571392</v>
      </c>
      <c r="F893" s="23" t="s">
        <v>33</v>
      </c>
      <c r="G893" s="24">
        <v>4227.0</v>
      </c>
      <c r="H893" s="24">
        <v>266.0</v>
      </c>
      <c r="I893" s="24">
        <v>8501.0</v>
      </c>
      <c r="J893" s="24">
        <v>0.0</v>
      </c>
      <c r="K893" s="23" t="s">
        <v>34</v>
      </c>
      <c r="L893" s="25">
        <v>41574.98961805555</v>
      </c>
      <c r="M893" s="26" t="s">
        <v>2359</v>
      </c>
      <c r="N893" s="26" t="s">
        <v>2360</v>
      </c>
      <c r="O893" s="22" t="str">
        <f>HYPERLINK("https://pbs.twimg.com/profile_images/857657242627309568/p9iKa0dR_normal.jpg","View")</f>
        <v>View</v>
      </c>
      <c r="P893" s="27"/>
    </row>
    <row r="894">
      <c r="A894" s="14">
        <v>43031.09363425926</v>
      </c>
      <c r="B894" s="20" t="str">
        <f>HYPERLINK("https://twitter.com/tenpuraseizi","@tenpuraseizi")</f>
        <v>@tenpuraseizi</v>
      </c>
      <c r="C894" s="21" t="s">
        <v>2361</v>
      </c>
      <c r="D894" s="21" t="s">
        <v>42</v>
      </c>
      <c r="E894" s="22" t="str">
        <f>HYPERLINK("https://twitter.com/tenpuraseizi/status/922390851988238336","922390851988238336")</f>
        <v>922390851988238336</v>
      </c>
      <c r="F894" s="23" t="s">
        <v>33</v>
      </c>
      <c r="G894" s="24">
        <v>147.0</v>
      </c>
      <c r="H894" s="24">
        <v>204.0</v>
      </c>
      <c r="I894" s="24">
        <v>8501.0</v>
      </c>
      <c r="J894" s="24">
        <v>0.0</v>
      </c>
      <c r="K894" s="23" t="s">
        <v>34</v>
      </c>
      <c r="L894" s="25">
        <v>42980.7352662037</v>
      </c>
      <c r="M894" s="26" t="s">
        <v>2362</v>
      </c>
      <c r="N894" s="26" t="s">
        <v>2363</v>
      </c>
      <c r="O894" s="22" t="str">
        <f>HYPERLINK("https://pbs.twimg.com/profile_images/904142390750887936/lbF6s7X3_normal.jpg","View")</f>
        <v>View</v>
      </c>
      <c r="P894" s="27"/>
    </row>
    <row r="895">
      <c r="A895" s="14">
        <v>43031.093668981484</v>
      </c>
      <c r="B895" s="20" t="str">
        <f>HYPERLINK("https://twitter.com/iRizwanPathan","@iRizwanPathan")</f>
        <v>@iRizwanPathan</v>
      </c>
      <c r="C895" s="21" t="s">
        <v>2364</v>
      </c>
      <c r="D895" s="21" t="s">
        <v>42</v>
      </c>
      <c r="E895" s="22" t="str">
        <f>HYPERLINK("https://twitter.com/iRizwanPathan/status/922390863744864256","922390863744864256")</f>
        <v>922390863744864256</v>
      </c>
      <c r="F895" s="23" t="s">
        <v>33</v>
      </c>
      <c r="G895" s="24">
        <v>22.0</v>
      </c>
      <c r="H895" s="24">
        <v>6.0</v>
      </c>
      <c r="I895" s="24">
        <v>8501.0</v>
      </c>
      <c r="J895" s="24">
        <v>0.0</v>
      </c>
      <c r="K895" s="23" t="s">
        <v>34</v>
      </c>
      <c r="L895" s="25">
        <v>42934.9784375</v>
      </c>
      <c r="M895" s="28"/>
      <c r="N895" s="26" t="s">
        <v>2365</v>
      </c>
      <c r="O895" s="22" t="str">
        <f>HYPERLINK("https://pbs.twimg.com/profile_images/887562137312382976/UufdzFep_normal.jpg","View")</f>
        <v>View</v>
      </c>
      <c r="P895" s="27"/>
    </row>
    <row r="896">
      <c r="A896" s="14">
        <v>43031.09369212963</v>
      </c>
      <c r="B896" s="20" t="str">
        <f>HYPERLINK("https://twitter.com/NairRahul15","@NairRahul15")</f>
        <v>@NairRahul15</v>
      </c>
      <c r="C896" s="21" t="s">
        <v>2366</v>
      </c>
      <c r="D896" s="21" t="s">
        <v>42</v>
      </c>
      <c r="E896" s="22" t="str">
        <f>HYPERLINK("https://twitter.com/NairRahul15/status/922390872603291648","922390872603291648")</f>
        <v>922390872603291648</v>
      </c>
      <c r="F896" s="23" t="s">
        <v>33</v>
      </c>
      <c r="G896" s="24">
        <v>101.0</v>
      </c>
      <c r="H896" s="24">
        <v>901.0</v>
      </c>
      <c r="I896" s="24">
        <v>8501.0</v>
      </c>
      <c r="J896" s="24">
        <v>0.0</v>
      </c>
      <c r="K896" s="23" t="s">
        <v>34</v>
      </c>
      <c r="L896" s="25">
        <v>41246.3368287037</v>
      </c>
      <c r="M896" s="26" t="s">
        <v>2367</v>
      </c>
      <c r="N896" s="28"/>
      <c r="O896" s="22" t="str">
        <f>HYPERLINK("https://pbs.twimg.com/profile_images/2927679952/a763e3cc0ee5908425301020c0bd8487_normal.jpeg","View")</f>
        <v>View</v>
      </c>
      <c r="P896" s="27"/>
    </row>
    <row r="897">
      <c r="A897" s="14">
        <v>43031.09371527778</v>
      </c>
      <c r="B897" s="20" t="str">
        <f>HYPERLINK("https://twitter.com/futboicelesteet","@futboicelesteet")</f>
        <v>@futboicelesteet</v>
      </c>
      <c r="C897" s="21" t="s">
        <v>2368</v>
      </c>
      <c r="D897" s="21" t="s">
        <v>2369</v>
      </c>
      <c r="E897" s="22" t="str">
        <f>HYPERLINK("https://twitter.com/futboicelesteet/status/922390878060195840","922390878060195840")</f>
        <v>922390878060195840</v>
      </c>
      <c r="F897" s="23" t="s">
        <v>33</v>
      </c>
      <c r="G897" s="24">
        <v>71.0</v>
      </c>
      <c r="H897" s="24">
        <v>2274.0</v>
      </c>
      <c r="I897" s="24">
        <v>23.0</v>
      </c>
      <c r="J897" s="24">
        <v>0.0</v>
      </c>
      <c r="K897" s="23" t="s">
        <v>34</v>
      </c>
      <c r="L897" s="25">
        <v>40647.07898148148</v>
      </c>
      <c r="M897" s="26" t="s">
        <v>2370</v>
      </c>
      <c r="N897" s="26" t="s">
        <v>2371</v>
      </c>
      <c r="O897" s="22" t="str">
        <f>HYPERLINK("https://pbs.twimg.com/profile_images/763004402269642754/HZ9lLRYN_normal.jpg","View")</f>
        <v>View</v>
      </c>
      <c r="P897" s="27"/>
    </row>
    <row r="898">
      <c r="A898" s="14">
        <v>43031.09371527778</v>
      </c>
      <c r="B898" s="20" t="str">
        <f>HYPERLINK("https://twitter.com/Ravipandya11","@Ravipandya11")</f>
        <v>@Ravipandya11</v>
      </c>
      <c r="C898" s="21" t="s">
        <v>2372</v>
      </c>
      <c r="D898" s="21" t="s">
        <v>42</v>
      </c>
      <c r="E898" s="22" t="str">
        <f>HYPERLINK("https://twitter.com/Ravipandya11/status/922390878986973185","922390878986973185")</f>
        <v>922390878986973185</v>
      </c>
      <c r="F898" s="23" t="s">
        <v>33</v>
      </c>
      <c r="G898" s="24">
        <v>135.0</v>
      </c>
      <c r="H898" s="24">
        <v>72.0</v>
      </c>
      <c r="I898" s="24">
        <v>8501.0</v>
      </c>
      <c r="J898" s="24">
        <v>0.0</v>
      </c>
      <c r="K898" s="23" t="s">
        <v>34</v>
      </c>
      <c r="L898" s="25">
        <v>41262.28733796296</v>
      </c>
      <c r="M898" s="26" t="s">
        <v>1354</v>
      </c>
      <c r="N898" s="26" t="s">
        <v>2373</v>
      </c>
      <c r="O898" s="22" t="str">
        <f>HYPERLINK("https://pbs.twimg.com/profile_images/849525862416494592/_918KU09_normal.jpg","View")</f>
        <v>View</v>
      </c>
      <c r="P898" s="27"/>
    </row>
    <row r="899">
      <c r="A899" s="14">
        <v>43031.09378472222</v>
      </c>
      <c r="B899" s="20" t="str">
        <f>HYPERLINK("https://twitter.com/sajeeb_lal","@sajeeb_lal")</f>
        <v>@sajeeb_lal</v>
      </c>
      <c r="C899" s="21" t="s">
        <v>2374</v>
      </c>
      <c r="D899" s="21" t="s">
        <v>42</v>
      </c>
      <c r="E899" s="22" t="str">
        <f>HYPERLINK("https://twitter.com/sajeeb_lal/status/922390903393841152","922390903393841152")</f>
        <v>922390903393841152</v>
      </c>
      <c r="F899" s="23" t="s">
        <v>2375</v>
      </c>
      <c r="G899" s="24">
        <v>2928.0</v>
      </c>
      <c r="H899" s="24">
        <v>560.0</v>
      </c>
      <c r="I899" s="24">
        <v>8501.0</v>
      </c>
      <c r="J899" s="24">
        <v>0.0</v>
      </c>
      <c r="K899" s="23" t="s">
        <v>34</v>
      </c>
      <c r="L899" s="25">
        <v>42408.941400462965</v>
      </c>
      <c r="M899" s="26" t="s">
        <v>2376</v>
      </c>
      <c r="N899" s="26" t="s">
        <v>2377</v>
      </c>
      <c r="O899" s="22" t="str">
        <f>HYPERLINK("https://pbs.twimg.com/profile_images/894920867943034880/-tH0IVKM_normal.jpg","View")</f>
        <v>View</v>
      </c>
      <c r="P899" s="27"/>
    </row>
    <row r="900">
      <c r="A900" s="14">
        <v>43031.09379629629</v>
      </c>
      <c r="B900" s="20" t="str">
        <f>HYPERLINK("https://twitter.com/sarveshAkaruan","@sarveshAkaruan")</f>
        <v>@sarveshAkaruan</v>
      </c>
      <c r="C900" s="21" t="s">
        <v>2378</v>
      </c>
      <c r="D900" s="21" t="s">
        <v>42</v>
      </c>
      <c r="E900" s="22" t="str">
        <f>HYPERLINK("https://twitter.com/sarveshAkaruan/status/922390908833861632","922390908833861632")</f>
        <v>922390908833861632</v>
      </c>
      <c r="F900" s="23" t="s">
        <v>2379</v>
      </c>
      <c r="G900" s="24">
        <v>5516.0</v>
      </c>
      <c r="H900" s="24">
        <v>398.0</v>
      </c>
      <c r="I900" s="24">
        <v>8501.0</v>
      </c>
      <c r="J900" s="24">
        <v>0.0</v>
      </c>
      <c r="K900" s="23" t="s">
        <v>34</v>
      </c>
      <c r="L900" s="25">
        <v>41857.815300925926</v>
      </c>
      <c r="M900" s="28"/>
      <c r="N900" s="26" t="s">
        <v>2380</v>
      </c>
      <c r="O900" s="22" t="str">
        <f>HYPERLINK("https://pbs.twimg.com/profile_images/862228453667389441/2liX3Ww1_normal.jpg","View")</f>
        <v>View</v>
      </c>
      <c r="P900" s="27"/>
    </row>
    <row r="901">
      <c r="A901" s="14">
        <v>43031.093819444446</v>
      </c>
      <c r="B901" s="20" t="str">
        <f>HYPERLINK("https://twitter.com/DoubleDownDuck","@DoubleDownDuck")</f>
        <v>@DoubleDownDuck</v>
      </c>
      <c r="C901" s="21" t="s">
        <v>2381</v>
      </c>
      <c r="D901" s="21" t="s">
        <v>2382</v>
      </c>
      <c r="E901" s="22" t="str">
        <f>HYPERLINK("https://twitter.com/DoubleDownDuck/status/922390918472355840","922390918472355840")</f>
        <v>922390918472355840</v>
      </c>
      <c r="F901" s="23" t="s">
        <v>39</v>
      </c>
      <c r="G901" s="24">
        <v>4301.0</v>
      </c>
      <c r="H901" s="24">
        <v>4989.0</v>
      </c>
      <c r="I901" s="24">
        <v>8.0</v>
      </c>
      <c r="J901" s="24">
        <v>0.0</v>
      </c>
      <c r="K901" s="23" t="s">
        <v>34</v>
      </c>
      <c r="L901" s="25">
        <v>40682.72418981481</v>
      </c>
      <c r="M901" s="26" t="s">
        <v>2383</v>
      </c>
      <c r="N901" s="26" t="s">
        <v>2384</v>
      </c>
      <c r="O901" s="22" t="str">
        <f>HYPERLINK("https://pbs.twimg.com/profile_images/898348585544273924/BQMD0ke0_normal.jpg","View")</f>
        <v>View</v>
      </c>
      <c r="P901" s="27"/>
    </row>
    <row r="902">
      <c r="A902" s="14">
        <v>43031.09384259259</v>
      </c>
      <c r="B902" s="20" t="str">
        <f>HYPERLINK("https://twitter.com/yr441","@yr441")</f>
        <v>@yr441</v>
      </c>
      <c r="C902" s="21" t="s">
        <v>2385</v>
      </c>
      <c r="D902" s="21" t="s">
        <v>42</v>
      </c>
      <c r="E902" s="22" t="str">
        <f>HYPERLINK("https://twitter.com/yr441/status/922390925707481088","922390925707481088")</f>
        <v>922390925707481088</v>
      </c>
      <c r="F902" s="23" t="s">
        <v>2386</v>
      </c>
      <c r="G902" s="24">
        <v>5161.0</v>
      </c>
      <c r="H902" s="24">
        <v>5399.0</v>
      </c>
      <c r="I902" s="24">
        <v>8501.0</v>
      </c>
      <c r="J902" s="24">
        <v>0.0</v>
      </c>
      <c r="K902" s="23" t="s">
        <v>34</v>
      </c>
      <c r="L902" s="25">
        <v>42546.07815972222</v>
      </c>
      <c r="M902" s="26" t="s">
        <v>2387</v>
      </c>
      <c r="N902" s="26" t="s">
        <v>2388</v>
      </c>
      <c r="O902" s="22" t="str">
        <f>HYPERLINK("https://pbs.twimg.com/profile_images/913651191443202048/eb6pfSW3_normal.jpg","View")</f>
        <v>View</v>
      </c>
      <c r="P902" s="27"/>
    </row>
    <row r="903">
      <c r="A903" s="14">
        <v>43031.09386574074</v>
      </c>
      <c r="B903" s="20" t="str">
        <f>HYPERLINK("https://twitter.com/94_suneel","@94_suneel")</f>
        <v>@94_suneel</v>
      </c>
      <c r="C903" s="21" t="s">
        <v>2389</v>
      </c>
      <c r="D903" s="21" t="s">
        <v>42</v>
      </c>
      <c r="E903" s="22" t="str">
        <f>HYPERLINK("https://twitter.com/94_suneel/status/922390935538946048","922390935538946048")</f>
        <v>922390935538946048</v>
      </c>
      <c r="F903" s="23" t="s">
        <v>2386</v>
      </c>
      <c r="G903" s="24">
        <v>4432.0</v>
      </c>
      <c r="H903" s="24">
        <v>182.0</v>
      </c>
      <c r="I903" s="24">
        <v>8501.0</v>
      </c>
      <c r="J903" s="24">
        <v>0.0</v>
      </c>
      <c r="K903" s="23" t="s">
        <v>34</v>
      </c>
      <c r="L903" s="25">
        <v>41738.11315972223</v>
      </c>
      <c r="M903" s="26" t="s">
        <v>367</v>
      </c>
      <c r="N903" s="26" t="s">
        <v>2390</v>
      </c>
      <c r="O903" s="22" t="str">
        <f>HYPERLINK("https://pbs.twimg.com/profile_images/909163429990039553/6w8_JjeZ_normal.jpg","View")</f>
        <v>View</v>
      </c>
      <c r="P903" s="27"/>
    </row>
    <row r="904">
      <c r="A904" s="14">
        <v>43031.093877314815</v>
      </c>
      <c r="B904" s="20" t="str">
        <f>HYPERLINK("https://twitter.com/Osmanco19","@Osmanco19")</f>
        <v>@Osmanco19</v>
      </c>
      <c r="C904" s="21" t="s">
        <v>2391</v>
      </c>
      <c r="D904" s="21" t="s">
        <v>32</v>
      </c>
      <c r="E904" s="22" t="str">
        <f>HYPERLINK("https://twitter.com/Osmanco19/status/922390940073054209","922390940073054209")</f>
        <v>922390940073054209</v>
      </c>
      <c r="F904" s="23" t="s">
        <v>33</v>
      </c>
      <c r="G904" s="24">
        <v>42.0</v>
      </c>
      <c r="H904" s="24">
        <v>250.0</v>
      </c>
      <c r="I904" s="24">
        <v>471.0</v>
      </c>
      <c r="J904" s="24">
        <v>0.0</v>
      </c>
      <c r="K904" s="23" t="s">
        <v>34</v>
      </c>
      <c r="L904" s="25">
        <v>42997.34601851852</v>
      </c>
      <c r="M904" s="26" t="s">
        <v>2392</v>
      </c>
      <c r="N904" s="26" t="s">
        <v>2393</v>
      </c>
      <c r="O904" s="22" t="str">
        <f>HYPERLINK("https://pbs.twimg.com/profile_images/920953981983215616/1HW-tVfQ_normal.jpg","View")</f>
        <v>View</v>
      </c>
      <c r="P904" s="27"/>
    </row>
    <row r="905">
      <c r="A905" s="14">
        <v>43031.09388888889</v>
      </c>
      <c r="B905" s="20" t="str">
        <f>HYPERLINK("https://twitter.com/muscat_daily","@muscat_daily")</f>
        <v>@muscat_daily</v>
      </c>
      <c r="C905" s="21" t="s">
        <v>2394</v>
      </c>
      <c r="D905" s="21" t="s">
        <v>2395</v>
      </c>
      <c r="E905" s="22" t="str">
        <f>HYPERLINK("https://twitter.com/muscat_daily/status/922390941444591616","922390941444591616")</f>
        <v>922390941444591616</v>
      </c>
      <c r="F905" s="23" t="s">
        <v>427</v>
      </c>
      <c r="G905" s="24">
        <v>10464.0</v>
      </c>
      <c r="H905" s="24">
        <v>75.0</v>
      </c>
      <c r="I905" s="24">
        <v>0.0</v>
      </c>
      <c r="J905" s="24">
        <v>0.0</v>
      </c>
      <c r="K905" s="23" t="s">
        <v>34</v>
      </c>
      <c r="L905" s="25">
        <v>41238.17310185185</v>
      </c>
      <c r="M905" s="26" t="s">
        <v>2396</v>
      </c>
      <c r="N905" s="26" t="s">
        <v>2397</v>
      </c>
      <c r="O905" s="22" t="str">
        <f>HYPERLINK("https://pbs.twimg.com/profile_images/2979116215/543c49ad5b5b0044c81a8d12843c9949_normal.jpeg","View")</f>
        <v>View</v>
      </c>
      <c r="P905" s="27"/>
    </row>
    <row r="906">
      <c r="A906" s="14">
        <v>43031.09390046296</v>
      </c>
      <c r="B906" s="20" t="str">
        <f>HYPERLINK("https://twitter.com/Mayankforbjp","@Mayankforbjp")</f>
        <v>@Mayankforbjp</v>
      </c>
      <c r="C906" s="21" t="s">
        <v>2398</v>
      </c>
      <c r="D906" s="21" t="s">
        <v>42</v>
      </c>
      <c r="E906" s="22" t="str">
        <f>HYPERLINK("https://twitter.com/Mayankforbjp/status/922390946624438272","922390946624438272")</f>
        <v>922390946624438272</v>
      </c>
      <c r="F906" s="23" t="s">
        <v>2379</v>
      </c>
      <c r="G906" s="24">
        <v>29655.0</v>
      </c>
      <c r="H906" s="24">
        <v>734.0</v>
      </c>
      <c r="I906" s="24">
        <v>8501.0</v>
      </c>
      <c r="J906" s="24">
        <v>0.0</v>
      </c>
      <c r="K906" s="23" t="s">
        <v>34</v>
      </c>
      <c r="L906" s="25">
        <v>40554.22940972222</v>
      </c>
      <c r="M906" s="26" t="s">
        <v>204</v>
      </c>
      <c r="N906" s="28"/>
      <c r="O906" s="22" t="str">
        <f>HYPERLINK("https://pbs.twimg.com/profile_images/918689363919122434/kyOdr_IB_normal.jpg","View")</f>
        <v>View</v>
      </c>
      <c r="P906" s="27"/>
    </row>
    <row r="907">
      <c r="A907" s="14">
        <v>43031.09395833334</v>
      </c>
      <c r="B907" s="20" t="str">
        <f>HYPERLINK("https://twitter.com/Sam87022448","@Sam87022448")</f>
        <v>@Sam87022448</v>
      </c>
      <c r="C907" s="21" t="s">
        <v>2399</v>
      </c>
      <c r="D907" s="21" t="s">
        <v>42</v>
      </c>
      <c r="E907" s="22" t="str">
        <f>HYPERLINK("https://twitter.com/Sam87022448/status/922390967310802944","922390967310802944")</f>
        <v>922390967310802944</v>
      </c>
      <c r="F907" s="23" t="s">
        <v>2400</v>
      </c>
      <c r="G907" s="24">
        <v>2712.0</v>
      </c>
      <c r="H907" s="24">
        <v>38.0</v>
      </c>
      <c r="I907" s="24">
        <v>8501.0</v>
      </c>
      <c r="J907" s="24">
        <v>0.0</v>
      </c>
      <c r="K907" s="23" t="s">
        <v>34</v>
      </c>
      <c r="L907" s="25">
        <v>42685.20240740741</v>
      </c>
      <c r="M907" s="26" t="s">
        <v>2401</v>
      </c>
      <c r="N907" s="26" t="s">
        <v>2402</v>
      </c>
      <c r="O907" s="22" t="str">
        <f>HYPERLINK("https://pbs.twimg.com/profile_images/921028987517788165/KaPImVCJ_normal.jpg","View")</f>
        <v>View</v>
      </c>
      <c r="P907" s="27"/>
    </row>
    <row r="908">
      <c r="A908" s="14">
        <v>43031.0940162037</v>
      </c>
      <c r="B908" s="20" t="str">
        <f>HYPERLINK("https://twitter.com/vk_bharatiya","@vk_bharatiya")</f>
        <v>@vk_bharatiya</v>
      </c>
      <c r="C908" s="21" t="s">
        <v>2403</v>
      </c>
      <c r="D908" s="21" t="s">
        <v>42</v>
      </c>
      <c r="E908" s="22" t="str">
        <f>HYPERLINK("https://twitter.com/vk_bharatiya/status/922390987527393280","922390987527393280")</f>
        <v>922390987527393280</v>
      </c>
      <c r="F908" s="23" t="s">
        <v>2400</v>
      </c>
      <c r="G908" s="24">
        <v>4232.0</v>
      </c>
      <c r="H908" s="24">
        <v>1045.0</v>
      </c>
      <c r="I908" s="24">
        <v>8501.0</v>
      </c>
      <c r="J908" s="24">
        <v>0.0</v>
      </c>
      <c r="K908" s="23" t="s">
        <v>34</v>
      </c>
      <c r="L908" s="25">
        <v>41794.042222222226</v>
      </c>
      <c r="M908" s="26" t="s">
        <v>2404</v>
      </c>
      <c r="N908" s="26" t="s">
        <v>2405</v>
      </c>
      <c r="O908" s="22" t="str">
        <f>HYPERLINK("https://pbs.twimg.com/profile_images/884798076430336000/7DA78wG2_normal.jpg","View")</f>
        <v>View</v>
      </c>
      <c r="P908" s="27"/>
    </row>
    <row r="909">
      <c r="A909" s="14">
        <v>43031.0940162037</v>
      </c>
      <c r="B909" s="20" t="str">
        <f>HYPERLINK("https://twitter.com/KhajinaN","@KhajinaN")</f>
        <v>@KhajinaN</v>
      </c>
      <c r="C909" s="21" t="s">
        <v>2188</v>
      </c>
      <c r="D909" s="21" t="s">
        <v>430</v>
      </c>
      <c r="E909" s="22" t="str">
        <f>HYPERLINK("https://twitter.com/KhajinaN/status/922390989699813377","922390989699813377")</f>
        <v>922390989699813377</v>
      </c>
      <c r="F909" s="23" t="s">
        <v>33</v>
      </c>
      <c r="G909" s="24">
        <v>558.0</v>
      </c>
      <c r="H909" s="24">
        <v>4319.0</v>
      </c>
      <c r="I909" s="24">
        <v>62.0</v>
      </c>
      <c r="J909" s="24">
        <v>0.0</v>
      </c>
      <c r="K909" s="23" t="s">
        <v>34</v>
      </c>
      <c r="L909" s="25">
        <v>43018.08865740741</v>
      </c>
      <c r="M909" s="26" t="s">
        <v>2189</v>
      </c>
      <c r="N909" s="26" t="s">
        <v>2190</v>
      </c>
      <c r="O909" s="22" t="str">
        <f>HYPERLINK("https://pbs.twimg.com/profile_images/917679444403171328/CVmh-hND_normal.jpg","View")</f>
        <v>View</v>
      </c>
      <c r="P909" s="27"/>
    </row>
    <row r="910">
      <c r="A910" s="14">
        <v>43031.09402777778</v>
      </c>
      <c r="B910" s="20" t="str">
        <f>HYPERLINK("https://twitter.com/SumitArya_","@SumitArya_")</f>
        <v>@SumitArya_</v>
      </c>
      <c r="C910" s="21" t="s">
        <v>2406</v>
      </c>
      <c r="D910" s="21" t="s">
        <v>42</v>
      </c>
      <c r="E910" s="22" t="str">
        <f>HYPERLINK("https://twitter.com/SumitArya_/status/922390992648630272","922390992648630272")</f>
        <v>922390992648630272</v>
      </c>
      <c r="F910" s="23" t="s">
        <v>2386</v>
      </c>
      <c r="G910" s="24">
        <v>4947.0</v>
      </c>
      <c r="H910" s="24">
        <v>208.0</v>
      </c>
      <c r="I910" s="24">
        <v>8501.0</v>
      </c>
      <c r="J910" s="24">
        <v>0.0</v>
      </c>
      <c r="K910" s="23" t="s">
        <v>34</v>
      </c>
      <c r="L910" s="25">
        <v>42546.26922453704</v>
      </c>
      <c r="M910" s="26" t="s">
        <v>2407</v>
      </c>
      <c r="N910" s="26" t="s">
        <v>2408</v>
      </c>
      <c r="O910" s="22" t="str">
        <f>HYPERLINK("https://pbs.twimg.com/profile_images/922412052928327681/gCS6JqDZ_normal.jpg","View")</f>
        <v>View</v>
      </c>
      <c r="P910" s="27"/>
    </row>
    <row r="911">
      <c r="A911" s="14">
        <v>43031.094039351854</v>
      </c>
      <c r="B911" s="20" t="str">
        <f>HYPERLINK("https://twitter.com/supermanpunch7","@supermanpunch7")</f>
        <v>@supermanpunch7</v>
      </c>
      <c r="C911" s="21" t="s">
        <v>2409</v>
      </c>
      <c r="D911" s="21" t="s">
        <v>42</v>
      </c>
      <c r="E911" s="22" t="str">
        <f>HYPERLINK("https://twitter.com/supermanpunch7/status/922390997832798208","922390997832798208")</f>
        <v>922390997832798208</v>
      </c>
      <c r="F911" s="23" t="s">
        <v>2410</v>
      </c>
      <c r="G911" s="24">
        <v>2820.0</v>
      </c>
      <c r="H911" s="24">
        <v>2699.0</v>
      </c>
      <c r="I911" s="24">
        <v>8501.0</v>
      </c>
      <c r="J911" s="24">
        <v>0.0</v>
      </c>
      <c r="K911" s="23" t="s">
        <v>34</v>
      </c>
      <c r="L911" s="25">
        <v>41765.0478587963</v>
      </c>
      <c r="M911" s="26" t="s">
        <v>2411</v>
      </c>
      <c r="N911" s="26" t="s">
        <v>2412</v>
      </c>
      <c r="O911" s="22" t="str">
        <f>HYPERLINK("https://pbs.twimg.com/profile_images/920107973510275072/i4EvLxKk_normal.jpg","View")</f>
        <v>View</v>
      </c>
      <c r="P911" s="27"/>
    </row>
    <row r="912">
      <c r="A912" s="14">
        <v>43031.0940625</v>
      </c>
      <c r="B912" s="20" t="str">
        <f>HYPERLINK("https://twitter.com/DrAlexConcorde","@DrAlexConcorde")</f>
        <v>@DrAlexConcorde</v>
      </c>
      <c r="C912" s="21" t="s">
        <v>2413</v>
      </c>
      <c r="D912" s="21" t="s">
        <v>2414</v>
      </c>
      <c r="E912" s="22" t="str">
        <f>HYPERLINK("https://twitter.com/DrAlexConcorde/status/922391004338106368","922391004338106368")</f>
        <v>922391004338106368</v>
      </c>
      <c r="F912" s="23" t="s">
        <v>427</v>
      </c>
      <c r="G912" s="24">
        <v>53880.0</v>
      </c>
      <c r="H912" s="24">
        <v>18448.0</v>
      </c>
      <c r="I912" s="24">
        <v>0.0</v>
      </c>
      <c r="J912" s="24">
        <v>0.0</v>
      </c>
      <c r="K912" s="23" t="s">
        <v>34</v>
      </c>
      <c r="L912" s="25">
        <v>40404.73978009259</v>
      </c>
      <c r="M912" s="26" t="s">
        <v>2415</v>
      </c>
      <c r="N912" s="26" t="s">
        <v>2416</v>
      </c>
      <c r="O912" s="22" t="str">
        <f>HYPERLINK("https://pbs.twimg.com/profile_images/797176625989382148/l1GiEKWh_normal.jpg","View")</f>
        <v>View</v>
      </c>
      <c r="P912" s="27"/>
    </row>
    <row r="913">
      <c r="A913" s="14">
        <v>43031.09407407408</v>
      </c>
      <c r="B913" s="20" t="str">
        <f>HYPERLINK("https://twitter.com/DeepSethi01","@DeepSethi01")</f>
        <v>@DeepSethi01</v>
      </c>
      <c r="C913" s="21" t="s">
        <v>2417</v>
      </c>
      <c r="D913" s="21" t="s">
        <v>42</v>
      </c>
      <c r="E913" s="22" t="str">
        <f>HYPERLINK("https://twitter.com/DeepSethi01/status/922391008842862592","922391008842862592")</f>
        <v>922391008842862592</v>
      </c>
      <c r="F913" s="23" t="s">
        <v>2400</v>
      </c>
      <c r="G913" s="24">
        <v>1048.0</v>
      </c>
      <c r="H913" s="24">
        <v>989.0</v>
      </c>
      <c r="I913" s="24">
        <v>8501.0</v>
      </c>
      <c r="J913" s="24">
        <v>0.0</v>
      </c>
      <c r="K913" s="23" t="s">
        <v>34</v>
      </c>
      <c r="L913" s="25">
        <v>42621.09574074074</v>
      </c>
      <c r="M913" s="26" t="s">
        <v>2418</v>
      </c>
      <c r="N913" s="28"/>
      <c r="O913" s="22" t="str">
        <f>HYPERLINK("https://pbs.twimg.com/profile_images/773816062580289536/BCewO1HW_normal.jpg","View")</f>
        <v>View</v>
      </c>
      <c r="P913" s="27"/>
    </row>
    <row r="914">
      <c r="A914" s="14">
        <v>43031.09407407408</v>
      </c>
      <c r="B914" s="20" t="str">
        <f>HYPERLINK("https://twitter.com/jedcorp","@jedcorp")</f>
        <v>@jedcorp</v>
      </c>
      <c r="C914" s="21" t="s">
        <v>2419</v>
      </c>
      <c r="D914" s="21" t="s">
        <v>2420</v>
      </c>
      <c r="E914" s="22" t="str">
        <f>HYPERLINK("https://twitter.com/jedcorp/status/922391010847744000","922391010847744000")</f>
        <v>922391010847744000</v>
      </c>
      <c r="F914" s="23" t="s">
        <v>427</v>
      </c>
      <c r="G914" s="24">
        <v>4262.0</v>
      </c>
      <c r="H914" s="24">
        <v>3030.0</v>
      </c>
      <c r="I914" s="24">
        <v>0.0</v>
      </c>
      <c r="J914" s="24">
        <v>0.0</v>
      </c>
      <c r="K914" s="23" t="s">
        <v>34</v>
      </c>
      <c r="L914" s="25">
        <v>40591.526400462964</v>
      </c>
      <c r="M914" s="28"/>
      <c r="N914" s="26" t="s">
        <v>2421</v>
      </c>
      <c r="O914" s="22" t="str">
        <f>HYPERLINK("https://pbs.twimg.com/profile_images/1247428757/JEDCORP2_normal.JPG","View")</f>
        <v>View</v>
      </c>
      <c r="P914" s="27"/>
    </row>
    <row r="915">
      <c r="A915" s="14">
        <v>43031.09408564815</v>
      </c>
      <c r="B915" s="20" t="str">
        <f>HYPERLINK("https://twitter.com/vibhor_ec","@vibhor_ec")</f>
        <v>@vibhor_ec</v>
      </c>
      <c r="C915" s="21" t="s">
        <v>2422</v>
      </c>
      <c r="D915" s="21" t="s">
        <v>42</v>
      </c>
      <c r="E915" s="22" t="str">
        <f>HYPERLINK("https://twitter.com/vibhor_ec/status/922391013745815557","922391013745815557")</f>
        <v>922391013745815557</v>
      </c>
      <c r="F915" s="23" t="s">
        <v>39</v>
      </c>
      <c r="G915" s="24">
        <v>122.0</v>
      </c>
      <c r="H915" s="24">
        <v>442.0</v>
      </c>
      <c r="I915" s="24">
        <v>8501.0</v>
      </c>
      <c r="J915" s="24">
        <v>0.0</v>
      </c>
      <c r="K915" s="23" t="s">
        <v>34</v>
      </c>
      <c r="L915" s="25">
        <v>40204.09564814815</v>
      </c>
      <c r="M915" s="26" t="s">
        <v>204</v>
      </c>
      <c r="N915" s="28"/>
      <c r="O915" s="22" t="str">
        <f>HYPERLINK("https://abs.twimg.com/sticky/default_profile_images/default_profile_normal.png","View")</f>
        <v>View</v>
      </c>
      <c r="P915" s="27"/>
    </row>
    <row r="916">
      <c r="A916" s="14">
        <v>43031.09408564815</v>
      </c>
      <c r="B916" s="20" t="str">
        <f>HYPERLINK("https://twitter.com/Krishna_yagyika","@Krishna_yagyika")</f>
        <v>@Krishna_yagyika</v>
      </c>
      <c r="C916" s="21" t="s">
        <v>2423</v>
      </c>
      <c r="D916" s="21" t="s">
        <v>42</v>
      </c>
      <c r="E916" s="22" t="str">
        <f>HYPERLINK("https://twitter.com/Krishna_yagyika/status/922391014630969344","922391014630969344")</f>
        <v>922391014630969344</v>
      </c>
      <c r="F916" s="23" t="s">
        <v>2424</v>
      </c>
      <c r="G916" s="24">
        <v>11544.0</v>
      </c>
      <c r="H916" s="24">
        <v>114.0</v>
      </c>
      <c r="I916" s="24">
        <v>8501.0</v>
      </c>
      <c r="J916" s="24">
        <v>0.0</v>
      </c>
      <c r="K916" s="23" t="s">
        <v>34</v>
      </c>
      <c r="L916" s="25">
        <v>42705.107187500005</v>
      </c>
      <c r="M916" s="26" t="s">
        <v>2425</v>
      </c>
      <c r="N916" s="26" t="s">
        <v>2426</v>
      </c>
      <c r="O916" s="22" t="str">
        <f>HYPERLINK("https://pbs.twimg.com/profile_images/921947322082140160/lBFE6phT_normal.jpg","View")</f>
        <v>View</v>
      </c>
      <c r="P916" s="27"/>
    </row>
    <row r="917">
      <c r="A917" s="14">
        <v>43031.09409722222</v>
      </c>
      <c r="B917" s="20" t="str">
        <f>HYPERLINK("https://twitter.com/claraisajayde","@claraisajayde")</f>
        <v>@claraisajayde</v>
      </c>
      <c r="C917" s="21" t="s">
        <v>2427</v>
      </c>
      <c r="D917" s="21" t="s">
        <v>2428</v>
      </c>
      <c r="E917" s="22" t="str">
        <f>HYPERLINK("https://twitter.com/claraisajayde/status/922391018611314693","922391018611314693")</f>
        <v>922391018611314693</v>
      </c>
      <c r="F917" s="23" t="s">
        <v>39</v>
      </c>
      <c r="G917" s="24">
        <v>27.0</v>
      </c>
      <c r="H917" s="24">
        <v>548.0</v>
      </c>
      <c r="I917" s="24">
        <v>16.0</v>
      </c>
      <c r="J917" s="24">
        <v>0.0</v>
      </c>
      <c r="K917" s="23" t="s">
        <v>34</v>
      </c>
      <c r="L917" s="25">
        <v>42982.626064814816</v>
      </c>
      <c r="M917" s="26" t="s">
        <v>2429</v>
      </c>
      <c r="N917" s="26" t="s">
        <v>2430</v>
      </c>
      <c r="O917" s="22" t="str">
        <f>HYPERLINK("https://pbs.twimg.com/profile_images/904829832315461632/5t9--B-Z_normal.jpg","View")</f>
        <v>View</v>
      </c>
      <c r="P917" s="27"/>
    </row>
    <row r="918">
      <c r="A918" s="14">
        <v>43031.09409722222</v>
      </c>
      <c r="B918" s="20" t="str">
        <f>HYPERLINK("https://twitter.com/neeta_pankaj","@neeta_pankaj")</f>
        <v>@neeta_pankaj</v>
      </c>
      <c r="C918" s="21" t="s">
        <v>2431</v>
      </c>
      <c r="D918" s="21" t="s">
        <v>42</v>
      </c>
      <c r="E918" s="22" t="str">
        <f>HYPERLINK("https://twitter.com/neeta_pankaj/status/922391019899023360","922391019899023360")</f>
        <v>922391019899023360</v>
      </c>
      <c r="F918" s="23" t="s">
        <v>2375</v>
      </c>
      <c r="G918" s="24">
        <v>4217.0</v>
      </c>
      <c r="H918" s="24">
        <v>268.0</v>
      </c>
      <c r="I918" s="24">
        <v>8501.0</v>
      </c>
      <c r="J918" s="24">
        <v>0.0</v>
      </c>
      <c r="K918" s="23" t="s">
        <v>34</v>
      </c>
      <c r="L918" s="25">
        <v>42338.15054398148</v>
      </c>
      <c r="M918" s="26" t="s">
        <v>2432</v>
      </c>
      <c r="N918" s="26" t="s">
        <v>2433</v>
      </c>
      <c r="O918" s="22" t="str">
        <f>HYPERLINK("https://pbs.twimg.com/profile_images/922548598478221312/zqXJ_LU5_normal.jpg","View")</f>
        <v>View</v>
      </c>
      <c r="P918" s="27"/>
    </row>
    <row r="919">
      <c r="A919" s="14">
        <v>43031.09413194444</v>
      </c>
      <c r="B919" s="20" t="str">
        <f>HYPERLINK("https://twitter.com/tripathisaura11","@tripathisaura11")</f>
        <v>@tripathisaura11</v>
      </c>
      <c r="C919" s="21" t="s">
        <v>2434</v>
      </c>
      <c r="D919" s="21" t="s">
        <v>42</v>
      </c>
      <c r="E919" s="22" t="str">
        <f>HYPERLINK("https://twitter.com/tripathisaura11/status/922391030640427009","922391030640427009")</f>
        <v>922391030640427009</v>
      </c>
      <c r="F919" s="23" t="s">
        <v>33</v>
      </c>
      <c r="G919" s="24">
        <v>268.0</v>
      </c>
      <c r="H919" s="24">
        <v>1674.0</v>
      </c>
      <c r="I919" s="24">
        <v>8501.0</v>
      </c>
      <c r="J919" s="24">
        <v>0.0</v>
      </c>
      <c r="K919" s="23" t="s">
        <v>34</v>
      </c>
      <c r="L919" s="25">
        <v>42510.19928240741</v>
      </c>
      <c r="M919" s="26" t="s">
        <v>204</v>
      </c>
      <c r="N919" s="26" t="s">
        <v>2435</v>
      </c>
      <c r="O919" s="22" t="str">
        <f>HYPERLINK("https://pbs.twimg.com/profile_images/920726902192537600/Au00UlHV_normal.jpg","View")</f>
        <v>View</v>
      </c>
      <c r="P919" s="27"/>
    </row>
    <row r="920">
      <c r="A920" s="14">
        <v>43031.09413194444</v>
      </c>
      <c r="B920" s="20" t="str">
        <f>HYPERLINK("https://twitter.com/VivekmMisra","@VivekmMisra")</f>
        <v>@VivekmMisra</v>
      </c>
      <c r="C920" s="21" t="s">
        <v>2436</v>
      </c>
      <c r="D920" s="21" t="s">
        <v>42</v>
      </c>
      <c r="E920" s="22" t="str">
        <f>HYPERLINK("https://twitter.com/VivekmMisra/status/922391030896439296","922391030896439296")</f>
        <v>922391030896439296</v>
      </c>
      <c r="F920" s="23" t="s">
        <v>2400</v>
      </c>
      <c r="G920" s="24">
        <v>10943.0</v>
      </c>
      <c r="H920" s="24">
        <v>3083.0</v>
      </c>
      <c r="I920" s="24">
        <v>8501.0</v>
      </c>
      <c r="J920" s="24">
        <v>0.0</v>
      </c>
      <c r="K920" s="23" t="s">
        <v>34</v>
      </c>
      <c r="L920" s="25">
        <v>42687.31903935185</v>
      </c>
      <c r="M920" s="26" t="s">
        <v>2335</v>
      </c>
      <c r="N920" s="26" t="s">
        <v>2437</v>
      </c>
      <c r="O920" s="22" t="str">
        <f>HYPERLINK("https://pbs.twimg.com/profile_images/919136526365159424/PTRXUqm2_normal.jpg","View")</f>
        <v>View</v>
      </c>
      <c r="P920" s="27"/>
    </row>
    <row r="921">
      <c r="A921" s="14">
        <v>43031.09415509259</v>
      </c>
      <c r="B921" s="20" t="str">
        <f>HYPERLINK("https://twitter.com/1asutoshmohanty","@1asutoshmohanty")</f>
        <v>@1asutoshmohanty</v>
      </c>
      <c r="C921" s="21" t="s">
        <v>2438</v>
      </c>
      <c r="D921" s="21" t="s">
        <v>42</v>
      </c>
      <c r="E921" s="22" t="str">
        <f>HYPERLINK("https://twitter.com/1asutoshmohanty/status/922391037284311040","922391037284311040")</f>
        <v>922391037284311040</v>
      </c>
      <c r="F921" s="23" t="s">
        <v>55</v>
      </c>
      <c r="G921" s="24">
        <v>307.0</v>
      </c>
      <c r="H921" s="24">
        <v>283.0</v>
      </c>
      <c r="I921" s="24">
        <v>8501.0</v>
      </c>
      <c r="J921" s="24">
        <v>0.0</v>
      </c>
      <c r="K921" s="23" t="s">
        <v>34</v>
      </c>
      <c r="L921" s="25">
        <v>41592.15082175926</v>
      </c>
      <c r="M921" s="26" t="s">
        <v>204</v>
      </c>
      <c r="N921" s="28"/>
      <c r="O921" s="22" t="str">
        <f>HYPERLINK("https://pbs.twimg.com/profile_images/781427957776519168/eSOzKufI_normal.jpg","View")</f>
        <v>View</v>
      </c>
      <c r="P921" s="27"/>
    </row>
    <row r="922">
      <c r="A922" s="14">
        <v>43031.09422453704</v>
      </c>
      <c r="B922" s="20" t="str">
        <f>HYPERLINK("https://twitter.com/PrateekM_BJP","@PrateekM_BJP")</f>
        <v>@PrateekM_BJP</v>
      </c>
      <c r="C922" s="21" t="s">
        <v>2439</v>
      </c>
      <c r="D922" s="21" t="s">
        <v>42</v>
      </c>
      <c r="E922" s="22" t="str">
        <f>HYPERLINK("https://twitter.com/PrateekM_BJP/status/922391062299025408","922391062299025408")</f>
        <v>922391062299025408</v>
      </c>
      <c r="F922" s="23" t="s">
        <v>33</v>
      </c>
      <c r="G922" s="24">
        <v>1367.0</v>
      </c>
      <c r="H922" s="24">
        <v>380.0</v>
      </c>
      <c r="I922" s="24">
        <v>8501.0</v>
      </c>
      <c r="J922" s="24">
        <v>0.0</v>
      </c>
      <c r="K922" s="23" t="s">
        <v>34</v>
      </c>
      <c r="L922" s="25">
        <v>42357.019166666665</v>
      </c>
      <c r="M922" s="26" t="s">
        <v>2440</v>
      </c>
      <c r="N922" s="26" t="s">
        <v>2441</v>
      </c>
      <c r="O922" s="22" t="str">
        <f>HYPERLINK("https://pbs.twimg.com/profile_images/859969196880429056/ghi4-mWY_normal.jpg","View")</f>
        <v>View</v>
      </c>
      <c r="P922" s="27"/>
    </row>
    <row r="923">
      <c r="A923" s="14">
        <v>43031.09422453704</v>
      </c>
      <c r="B923" s="20" t="str">
        <f>HYPERLINK("https://twitter.com/nandanskulkarn1","@nandanskulkarn1")</f>
        <v>@nandanskulkarn1</v>
      </c>
      <c r="C923" s="21" t="s">
        <v>2442</v>
      </c>
      <c r="D923" s="21" t="s">
        <v>42</v>
      </c>
      <c r="E923" s="22" t="str">
        <f>HYPERLINK("https://twitter.com/nandanskulkarn1/status/922391062848688128","922391062848688128")</f>
        <v>922391062848688128</v>
      </c>
      <c r="F923" s="23" t="s">
        <v>33</v>
      </c>
      <c r="G923" s="24">
        <v>368.0</v>
      </c>
      <c r="H923" s="24">
        <v>989.0</v>
      </c>
      <c r="I923" s="24">
        <v>8501.0</v>
      </c>
      <c r="J923" s="24">
        <v>0.0</v>
      </c>
      <c r="K923" s="23" t="s">
        <v>34</v>
      </c>
      <c r="L923" s="25">
        <v>42011.860034722224</v>
      </c>
      <c r="M923" s="26" t="s">
        <v>1354</v>
      </c>
      <c r="N923" s="26" t="s">
        <v>2443</v>
      </c>
      <c r="O923" s="22" t="str">
        <f>HYPERLINK("https://pbs.twimg.com/profile_images/765483655921795072/Wh9EMhZ0_normal.jpg","View")</f>
        <v>View</v>
      </c>
      <c r="P923" s="27"/>
    </row>
    <row r="924">
      <c r="A924" s="14">
        <v>43031.09423611111</v>
      </c>
      <c r="B924" s="20" t="str">
        <f>HYPERLINK("https://twitter.com/Naveenk50911193","@Naveenk50911193")</f>
        <v>@Naveenk50911193</v>
      </c>
      <c r="C924" s="21" t="s">
        <v>2444</v>
      </c>
      <c r="D924" s="21" t="s">
        <v>42</v>
      </c>
      <c r="E924" s="22" t="str">
        <f>HYPERLINK("https://twitter.com/Naveenk50911193/status/922391067109900288","922391067109900288")</f>
        <v>922391067109900288</v>
      </c>
      <c r="F924" s="23" t="s">
        <v>33</v>
      </c>
      <c r="G924" s="24">
        <v>25.0</v>
      </c>
      <c r="H924" s="24">
        <v>332.0</v>
      </c>
      <c r="I924" s="24">
        <v>8501.0</v>
      </c>
      <c r="J924" s="24">
        <v>0.0</v>
      </c>
      <c r="K924" s="23" t="s">
        <v>34</v>
      </c>
      <c r="L924" s="25">
        <v>42999.20228009259</v>
      </c>
      <c r="M924" s="26" t="s">
        <v>603</v>
      </c>
      <c r="N924" s="26" t="s">
        <v>2445</v>
      </c>
      <c r="O924" s="22" t="str">
        <f>HYPERLINK("https://pbs.twimg.com/profile_images/910839989188960256/kGXOi8wJ_normal.jpg","View")</f>
        <v>View</v>
      </c>
      <c r="P924" s="27"/>
    </row>
    <row r="925">
      <c r="A925" s="14">
        <v>43031.09444444445</v>
      </c>
      <c r="B925" s="20" t="str">
        <f>HYPERLINK("https://twitter.com/aambros","@aambros")</f>
        <v>@aambros</v>
      </c>
      <c r="C925" s="21" t="s">
        <v>2446</v>
      </c>
      <c r="D925" s="21" t="s">
        <v>2447</v>
      </c>
      <c r="E925" s="22" t="str">
        <f>HYPERLINK("https://twitter.com/aambros/status/922391143211352064","922391143211352064")</f>
        <v>922391143211352064</v>
      </c>
      <c r="F925" s="23" t="s">
        <v>769</v>
      </c>
      <c r="G925" s="24">
        <v>1700.0</v>
      </c>
      <c r="H925" s="24">
        <v>1301.0</v>
      </c>
      <c r="I925" s="24">
        <v>0.0</v>
      </c>
      <c r="J925" s="24">
        <v>0.0</v>
      </c>
      <c r="K925" s="23" t="s">
        <v>34</v>
      </c>
      <c r="L925" s="25">
        <v>40233.27365740741</v>
      </c>
      <c r="M925" s="26" t="s">
        <v>2448</v>
      </c>
      <c r="N925" s="26" t="s">
        <v>2449</v>
      </c>
      <c r="O925" s="22" t="str">
        <f>HYPERLINK("https://pbs.twimg.com/profile_images/1575602319/294702_10150773440435652_852195651_20463881_149905_n_normal.jpg","View")</f>
        <v>View</v>
      </c>
      <c r="P925" s="27"/>
    </row>
    <row r="926">
      <c r="A926" s="14">
        <v>43031.094768518524</v>
      </c>
      <c r="B926" s="20" t="str">
        <f>HYPERLINK("https://twitter.com/ashutosh_labh","@ashutosh_labh")</f>
        <v>@ashutosh_labh</v>
      </c>
      <c r="C926" s="21" t="s">
        <v>2450</v>
      </c>
      <c r="D926" s="21" t="s">
        <v>42</v>
      </c>
      <c r="E926" s="22" t="str">
        <f>HYPERLINK("https://twitter.com/ashutosh_labh/status/922391259486064642","922391259486064642")</f>
        <v>922391259486064642</v>
      </c>
      <c r="F926" s="23" t="s">
        <v>33</v>
      </c>
      <c r="G926" s="24">
        <v>106.0</v>
      </c>
      <c r="H926" s="24">
        <v>275.0</v>
      </c>
      <c r="I926" s="24">
        <v>8501.0</v>
      </c>
      <c r="J926" s="24">
        <v>0.0</v>
      </c>
      <c r="K926" s="23" t="s">
        <v>34</v>
      </c>
      <c r="L926" s="25">
        <v>40340.817824074074</v>
      </c>
      <c r="M926" s="26" t="s">
        <v>2451</v>
      </c>
      <c r="N926" s="26" t="s">
        <v>2452</v>
      </c>
      <c r="O926" s="22" t="str">
        <f>HYPERLINK("https://pbs.twimg.com/profile_images/3035883044/3d842ef9e0692edf8cbd0083305aa3f3_normal.jpeg","View")</f>
        <v>View</v>
      </c>
      <c r="P926" s="27"/>
    </row>
    <row r="927">
      <c r="A927" s="14">
        <v>43031.09478009259</v>
      </c>
      <c r="B927" s="20" t="str">
        <f>HYPERLINK("https://twitter.com/HardipPatel007","@HardipPatel007")</f>
        <v>@HardipPatel007</v>
      </c>
      <c r="C927" s="21" t="s">
        <v>2453</v>
      </c>
      <c r="D927" s="21" t="s">
        <v>42</v>
      </c>
      <c r="E927" s="22" t="str">
        <f>HYPERLINK("https://twitter.com/HardipPatel007/status/922391267362840576","922391267362840576")</f>
        <v>922391267362840576</v>
      </c>
      <c r="F927" s="23" t="s">
        <v>33</v>
      </c>
      <c r="G927" s="24">
        <v>19.0</v>
      </c>
      <c r="H927" s="24">
        <v>4.0</v>
      </c>
      <c r="I927" s="24">
        <v>8501.0</v>
      </c>
      <c r="J927" s="24">
        <v>0.0</v>
      </c>
      <c r="K927" s="23" t="s">
        <v>34</v>
      </c>
      <c r="L927" s="25">
        <v>42934.973912037036</v>
      </c>
      <c r="M927" s="28"/>
      <c r="N927" s="26" t="s">
        <v>2454</v>
      </c>
      <c r="O927" s="22" t="str">
        <f>HYPERLINK("https://pbs.twimg.com/profile_images/887571399564562432/a3nvOeOm_normal.jpg","View")</f>
        <v>View</v>
      </c>
      <c r="P927" s="27"/>
    </row>
    <row r="928">
      <c r="A928" s="14">
        <v>43031.09479166666</v>
      </c>
      <c r="B928" s="20" t="str">
        <f>HYPERLINK("https://twitter.com/TimOBrien","@TimOBrien")</f>
        <v>@TimOBrien</v>
      </c>
      <c r="C928" s="21" t="s">
        <v>2455</v>
      </c>
      <c r="D928" s="21" t="s">
        <v>2456</v>
      </c>
      <c r="E928" s="22" t="str">
        <f>HYPERLINK("https://twitter.com/TimOBrien/status/922391269502078976","922391269502078976")</f>
        <v>922391269502078976</v>
      </c>
      <c r="F928" s="23" t="s">
        <v>39</v>
      </c>
      <c r="G928" s="24">
        <v>63936.0</v>
      </c>
      <c r="H928" s="24">
        <v>1004.0</v>
      </c>
      <c r="I928" s="24">
        <v>49.0</v>
      </c>
      <c r="J928" s="24">
        <v>0.0</v>
      </c>
      <c r="K928" s="23" t="s">
        <v>34</v>
      </c>
      <c r="L928" s="25">
        <v>39856.78163194445</v>
      </c>
      <c r="M928" s="26" t="s">
        <v>389</v>
      </c>
      <c r="N928" s="26" t="s">
        <v>2457</v>
      </c>
      <c r="O928" s="22" t="str">
        <f>HYPERLINK("https://pbs.twimg.com/profile_images/872199156399460352/3jSVbu08_normal.jpg","View")</f>
        <v>View</v>
      </c>
      <c r="P928" s="27"/>
    </row>
    <row r="929">
      <c r="A929" s="14">
        <v>43031.09484953704</v>
      </c>
      <c r="B929" s="20" t="str">
        <f>HYPERLINK("https://twitter.com/DailyWorldChd","@DailyWorldChd")</f>
        <v>@DailyWorldChd</v>
      </c>
      <c r="C929" s="21" t="s">
        <v>2458</v>
      </c>
      <c r="D929" s="21" t="s">
        <v>2459</v>
      </c>
      <c r="E929" s="22" t="str">
        <f>HYPERLINK("https://twitter.com/DailyWorldChd/status/922391288376258560","922391288376258560")</f>
        <v>922391288376258560</v>
      </c>
      <c r="F929" s="23" t="s">
        <v>2460</v>
      </c>
      <c r="G929" s="24">
        <v>354.0</v>
      </c>
      <c r="H929" s="24">
        <v>420.0</v>
      </c>
      <c r="I929" s="24">
        <v>0.0</v>
      </c>
      <c r="J929" s="24">
        <v>0.0</v>
      </c>
      <c r="K929" s="23" t="s">
        <v>34</v>
      </c>
      <c r="L929" s="25">
        <v>41691.969039351854</v>
      </c>
      <c r="M929" s="26" t="s">
        <v>2461</v>
      </c>
      <c r="N929" s="26" t="s">
        <v>2462</v>
      </c>
      <c r="O929" s="22" t="str">
        <f>HYPERLINK("https://pbs.twimg.com/profile_images/730604359688421376/W2mgaUPO_normal.jpg","View")</f>
        <v>View</v>
      </c>
      <c r="P929" s="27"/>
    </row>
    <row r="930">
      <c r="A930" s="14">
        <v>43031.09490740741</v>
      </c>
      <c r="B930" s="20" t="str">
        <f>HYPERLINK("https://twitter.com/rajeshwar_juyal","@rajeshwar_juyal")</f>
        <v>@rajeshwar_juyal</v>
      </c>
      <c r="C930" s="21" t="s">
        <v>2463</v>
      </c>
      <c r="D930" s="21" t="s">
        <v>42</v>
      </c>
      <c r="E930" s="22" t="str">
        <f>HYPERLINK("https://twitter.com/rajeshwar_juyal/status/922391310308216832","922391310308216832")</f>
        <v>922391310308216832</v>
      </c>
      <c r="F930" s="23" t="s">
        <v>33</v>
      </c>
      <c r="G930" s="24">
        <v>125.0</v>
      </c>
      <c r="H930" s="24">
        <v>232.0</v>
      </c>
      <c r="I930" s="24">
        <v>8501.0</v>
      </c>
      <c r="J930" s="24">
        <v>0.0</v>
      </c>
      <c r="K930" s="23" t="s">
        <v>34</v>
      </c>
      <c r="L930" s="25">
        <v>42885.099756944444</v>
      </c>
      <c r="M930" s="28"/>
      <c r="N930" s="28"/>
      <c r="O930" s="22" t="str">
        <f t="shared" ref="O930:O931" si="10">HYPERLINK("https://abs.twimg.com/sticky/default_profile_images/default_profile_normal.png","View")</f>
        <v>View</v>
      </c>
      <c r="P930" s="27"/>
    </row>
    <row r="931">
      <c r="A931" s="14">
        <v>43031.095034722224</v>
      </c>
      <c r="B931" s="20" t="str">
        <f>HYPERLINK("https://twitter.com/vks2911","@vks2911")</f>
        <v>@vks2911</v>
      </c>
      <c r="C931" s="21" t="s">
        <v>2464</v>
      </c>
      <c r="D931" s="21" t="s">
        <v>42</v>
      </c>
      <c r="E931" s="22" t="str">
        <f>HYPERLINK("https://twitter.com/vks2911/status/922391357099950080","922391357099950080")</f>
        <v>922391357099950080</v>
      </c>
      <c r="F931" s="23" t="s">
        <v>33</v>
      </c>
      <c r="G931" s="24">
        <v>236.0</v>
      </c>
      <c r="H931" s="24">
        <v>155.0</v>
      </c>
      <c r="I931" s="24">
        <v>8501.0</v>
      </c>
      <c r="J931" s="24">
        <v>0.0</v>
      </c>
      <c r="K931" s="23" t="s">
        <v>34</v>
      </c>
      <c r="L931" s="25">
        <v>42123.3968287037</v>
      </c>
      <c r="M931" s="28"/>
      <c r="N931" s="28"/>
      <c r="O931" s="22" t="str">
        <f t="shared" si="10"/>
        <v>View</v>
      </c>
      <c r="P931" s="27"/>
    </row>
    <row r="932">
      <c r="A932" s="14">
        <v>43031.095046296294</v>
      </c>
      <c r="B932" s="20" t="str">
        <f>HYPERLINK("https://twitter.com/Jkpandey733","@Jkpandey733")</f>
        <v>@Jkpandey733</v>
      </c>
      <c r="C932" s="21" t="s">
        <v>2465</v>
      </c>
      <c r="D932" s="21" t="s">
        <v>42</v>
      </c>
      <c r="E932" s="22" t="str">
        <f>HYPERLINK("https://twitter.com/Jkpandey733/status/922391363190165504","922391363190165504")</f>
        <v>922391363190165504</v>
      </c>
      <c r="F932" s="23" t="s">
        <v>33</v>
      </c>
      <c r="G932" s="24">
        <v>171.0</v>
      </c>
      <c r="H932" s="24">
        <v>515.0</v>
      </c>
      <c r="I932" s="24">
        <v>8501.0</v>
      </c>
      <c r="J932" s="24">
        <v>0.0</v>
      </c>
      <c r="K932" s="23" t="s">
        <v>34</v>
      </c>
      <c r="L932" s="25">
        <v>41071.22846064815</v>
      </c>
      <c r="M932" s="28"/>
      <c r="N932" s="26" t="s">
        <v>2466</v>
      </c>
      <c r="O932" s="22" t="str">
        <f>HYPERLINK("https://pbs.twimg.com/profile_images/915489391404998656/kRS-qxjb_normal.jpg","View")</f>
        <v>View</v>
      </c>
      <c r="P932" s="27"/>
    </row>
    <row r="933">
      <c r="A933" s="14">
        <v>43031.09508101852</v>
      </c>
      <c r="B933" s="20" t="str">
        <f>HYPERLINK("https://twitter.com/neologic007","@neologic007")</f>
        <v>@neologic007</v>
      </c>
      <c r="C933" s="21" t="s">
        <v>2467</v>
      </c>
      <c r="D933" s="21" t="s">
        <v>42</v>
      </c>
      <c r="E933" s="22" t="str">
        <f>HYPERLINK("https://twitter.com/neologic007/status/922391375349301248","922391375349301248")</f>
        <v>922391375349301248</v>
      </c>
      <c r="F933" s="23" t="s">
        <v>55</v>
      </c>
      <c r="G933" s="24">
        <v>53.0</v>
      </c>
      <c r="H933" s="24">
        <v>491.0</v>
      </c>
      <c r="I933" s="24">
        <v>8501.0</v>
      </c>
      <c r="J933" s="24">
        <v>0.0</v>
      </c>
      <c r="K933" s="23" t="s">
        <v>34</v>
      </c>
      <c r="L933" s="25">
        <v>42642.05915509259</v>
      </c>
      <c r="M933" s="26" t="s">
        <v>603</v>
      </c>
      <c r="N933" s="26" t="s">
        <v>2468</v>
      </c>
      <c r="O933" s="22" t="str">
        <f>HYPERLINK("https://pbs.twimg.com/profile_images/844788932877312000/aMrf2lU__normal.jpg","View")</f>
        <v>View</v>
      </c>
      <c r="P933" s="27"/>
    </row>
    <row r="934">
      <c r="A934" s="14">
        <v>43031.09513888889</v>
      </c>
      <c r="B934" s="20" t="str">
        <f>HYPERLINK("https://twitter.com/PDiddie","@PDiddie")</f>
        <v>@PDiddie</v>
      </c>
      <c r="C934" s="21" t="s">
        <v>2469</v>
      </c>
      <c r="D934" s="21" t="s">
        <v>2470</v>
      </c>
      <c r="E934" s="22" t="str">
        <f>HYPERLINK("https://twitter.com/PDiddie/status/922391395960225792","922391395960225792")</f>
        <v>922391395960225792</v>
      </c>
      <c r="F934" s="23" t="s">
        <v>55</v>
      </c>
      <c r="G934" s="24">
        <v>3265.0</v>
      </c>
      <c r="H934" s="24">
        <v>2455.0</v>
      </c>
      <c r="I934" s="24">
        <v>1.0</v>
      </c>
      <c r="J934" s="24">
        <v>0.0</v>
      </c>
      <c r="K934" s="23" t="s">
        <v>34</v>
      </c>
      <c r="L934" s="25">
        <v>39593.60334490741</v>
      </c>
      <c r="M934" s="26" t="s">
        <v>2471</v>
      </c>
      <c r="N934" s="26" t="s">
        <v>2472</v>
      </c>
      <c r="O934" s="22" t="str">
        <f>HYPERLINK("https://pbs.twimg.com/profile_images/654724809960493061/lLAFvEzE_normal.jpg","View")</f>
        <v>View</v>
      </c>
      <c r="P934" s="27"/>
    </row>
    <row r="935">
      <c r="A935" s="14">
        <v>43031.09515046296</v>
      </c>
      <c r="B935" s="20" t="str">
        <f>HYPERLINK("https://twitter.com/breakingknowlez","@breakingknowlez")</f>
        <v>@breakingknowlez</v>
      </c>
      <c r="C935" s="21" t="s">
        <v>2473</v>
      </c>
      <c r="D935" s="21" t="s">
        <v>2474</v>
      </c>
      <c r="E935" s="22" t="str">
        <f>HYPERLINK("https://twitter.com/breakingknowlez/status/922391399244451840","922391399244451840")</f>
        <v>922391399244451840</v>
      </c>
      <c r="F935" s="23" t="s">
        <v>91</v>
      </c>
      <c r="G935" s="24">
        <v>377.0</v>
      </c>
      <c r="H935" s="24">
        <v>100.0</v>
      </c>
      <c r="I935" s="24">
        <v>0.0</v>
      </c>
      <c r="J935" s="24">
        <v>0.0</v>
      </c>
      <c r="K935" s="23" t="s">
        <v>34</v>
      </c>
      <c r="L935" s="25">
        <v>41087.27061342593</v>
      </c>
      <c r="M935" s="26" t="s">
        <v>2451</v>
      </c>
      <c r="N935" s="26" t="s">
        <v>2475</v>
      </c>
      <c r="O935" s="22" t="str">
        <f>HYPERLINK("https://pbs.twimg.com/profile_images/665966096663506944/cBf1Cg_c_normal.png","View")</f>
        <v>View</v>
      </c>
      <c r="P935" s="27"/>
    </row>
    <row r="936">
      <c r="A936" s="14">
        <v>43031.09527777778</v>
      </c>
      <c r="B936" s="20" t="str">
        <f>HYPERLINK("https://twitter.com/co2tw","@co2tw")</f>
        <v>@co2tw</v>
      </c>
      <c r="C936" s="21" t="s">
        <v>2476</v>
      </c>
      <c r="D936" s="21" t="s">
        <v>42</v>
      </c>
      <c r="E936" s="22" t="str">
        <f>HYPERLINK("https://twitter.com/co2tw/status/922391443615883264","922391443615883264")</f>
        <v>922391443615883264</v>
      </c>
      <c r="F936" s="23" t="s">
        <v>55</v>
      </c>
      <c r="G936" s="24">
        <v>4003.0</v>
      </c>
      <c r="H936" s="24">
        <v>4142.0</v>
      </c>
      <c r="I936" s="24">
        <v>8501.0</v>
      </c>
      <c r="J936" s="24">
        <v>0.0</v>
      </c>
      <c r="K936" s="23" t="s">
        <v>34</v>
      </c>
      <c r="L936" s="25">
        <v>40158.74365740741</v>
      </c>
      <c r="M936" s="28"/>
      <c r="N936" s="26" t="s">
        <v>2477</v>
      </c>
      <c r="O936" s="22" t="str">
        <f>HYPERLINK("https://pbs.twimg.com/profile_images/920704262/co2tw_icon3_normal.jpg","View")</f>
        <v>View</v>
      </c>
      <c r="P936" s="27"/>
    </row>
    <row r="937">
      <c r="A937" s="14">
        <v>43031.0953587963</v>
      </c>
      <c r="B937" s="20" t="str">
        <f>HYPERLINK("https://twitter.com/jbardalaye","@jbardalaye")</f>
        <v>@jbardalaye</v>
      </c>
      <c r="C937" s="21" t="s">
        <v>2478</v>
      </c>
      <c r="D937" s="21" t="s">
        <v>42</v>
      </c>
      <c r="E937" s="22" t="str">
        <f>HYPERLINK("https://twitter.com/jbardalaye/status/922391473605283840","922391473605283840")</f>
        <v>922391473605283840</v>
      </c>
      <c r="F937" s="23" t="s">
        <v>39</v>
      </c>
      <c r="G937" s="24">
        <v>189.0</v>
      </c>
      <c r="H937" s="24">
        <v>74.0</v>
      </c>
      <c r="I937" s="24">
        <v>8501.0</v>
      </c>
      <c r="J937" s="24">
        <v>0.0</v>
      </c>
      <c r="K937" s="23" t="s">
        <v>34</v>
      </c>
      <c r="L937" s="25">
        <v>40239.07277777778</v>
      </c>
      <c r="M937" s="28"/>
      <c r="N937" s="26" t="s">
        <v>2479</v>
      </c>
      <c r="O937" s="22" t="str">
        <f>HYPERLINK("https://pbs.twimg.com/profile_images/470414256563687424/1K_m5r_O_normal.jpeg","View")</f>
        <v>View</v>
      </c>
      <c r="P937" s="27"/>
    </row>
    <row r="938">
      <c r="A938" s="14">
        <v>43031.09546296296</v>
      </c>
      <c r="B938" s="20" t="str">
        <f>HYPERLINK("https://twitter.com/CNBCTradersFan","@CNBCTradersFan")</f>
        <v>@CNBCTradersFan</v>
      </c>
      <c r="C938" s="21" t="s">
        <v>1945</v>
      </c>
      <c r="D938" s="21" t="s">
        <v>2480</v>
      </c>
      <c r="E938" s="22" t="str">
        <f>HYPERLINK("https://twitter.com/CNBCTradersFan/status/922391511790211072","922391511790211072")</f>
        <v>922391511790211072</v>
      </c>
      <c r="F938" s="23" t="s">
        <v>187</v>
      </c>
      <c r="G938" s="24">
        <v>17128.0</v>
      </c>
      <c r="H938" s="24">
        <v>11615.0</v>
      </c>
      <c r="I938" s="24">
        <v>0.0</v>
      </c>
      <c r="J938" s="24">
        <v>0.0</v>
      </c>
      <c r="K938" s="23" t="s">
        <v>34</v>
      </c>
      <c r="L938" s="25">
        <v>40922.50542824074</v>
      </c>
      <c r="M938" s="26" t="s">
        <v>1947</v>
      </c>
      <c r="N938" s="26" t="s">
        <v>1948</v>
      </c>
      <c r="O938" s="22" t="str">
        <f>HYPERLINK("https://pbs.twimg.com/profile_images/731870469318684672/Ckf7rDdJ_normal.jpg","View")</f>
        <v>View</v>
      </c>
      <c r="P938" s="27"/>
    </row>
    <row r="939">
      <c r="A939" s="14">
        <v>43031.095543981486</v>
      </c>
      <c r="B939" s="20" t="str">
        <f>HYPERLINK("https://twitter.com/rockstarseopro","@rockstarseopro")</f>
        <v>@rockstarseopro</v>
      </c>
      <c r="C939" s="21" t="s">
        <v>2481</v>
      </c>
      <c r="D939" s="21" t="s">
        <v>2482</v>
      </c>
      <c r="E939" s="22" t="str">
        <f>HYPERLINK("https://twitter.com/rockstarseopro/status/922391542194757632","922391542194757632")</f>
        <v>922391542194757632</v>
      </c>
      <c r="F939" s="30" t="s">
        <v>191</v>
      </c>
      <c r="G939" s="24">
        <v>468.0</v>
      </c>
      <c r="H939" s="24">
        <v>92.0</v>
      </c>
      <c r="I939" s="24">
        <v>0.0</v>
      </c>
      <c r="J939" s="24">
        <v>0.0</v>
      </c>
      <c r="K939" s="23" t="s">
        <v>34</v>
      </c>
      <c r="L939" s="25">
        <v>42679.62876157407</v>
      </c>
      <c r="M939" s="26" t="s">
        <v>2483</v>
      </c>
      <c r="N939" s="26" t="s">
        <v>2484</v>
      </c>
      <c r="O939" s="22" t="str">
        <f>HYPERLINK("https://pbs.twimg.com/profile_images/864880201318019072/5SFvkM1x_normal.jpg","View")</f>
        <v>View</v>
      </c>
      <c r="P939" s="27"/>
    </row>
    <row r="940">
      <c r="A940" s="14">
        <v>43031.095567129625</v>
      </c>
      <c r="B940" s="20" t="str">
        <f>HYPERLINK("https://twitter.com/drhussein_ismal","@drhussein_ismal")</f>
        <v>@drhussein_ismal</v>
      </c>
      <c r="C940" s="21" t="s">
        <v>2485</v>
      </c>
      <c r="D940" s="21" t="s">
        <v>1345</v>
      </c>
      <c r="E940" s="22" t="str">
        <f>HYPERLINK("https://twitter.com/drhussein_ismal/status/922391548427415552","922391548427415552")</f>
        <v>922391548427415552</v>
      </c>
      <c r="F940" s="23" t="s">
        <v>39</v>
      </c>
      <c r="G940" s="24">
        <v>235.0</v>
      </c>
      <c r="H940" s="24">
        <v>566.0</v>
      </c>
      <c r="I940" s="24">
        <v>22.0</v>
      </c>
      <c r="J940" s="24">
        <v>0.0</v>
      </c>
      <c r="K940" s="23" t="s">
        <v>34</v>
      </c>
      <c r="L940" s="25">
        <v>41521.5224537037</v>
      </c>
      <c r="M940" s="28"/>
      <c r="N940" s="28"/>
      <c r="O940" s="22" t="str">
        <f>HYPERLINK("https://pbs.twimg.com/profile_images/378800000612583753/311c0309fcc8e0f53d99cd42a9440d46_normal.jpeg","View")</f>
        <v>View</v>
      </c>
      <c r="P940" s="27"/>
    </row>
    <row r="941">
      <c r="A941" s="14">
        <v>43031.095567129625</v>
      </c>
      <c r="B941" s="20" t="str">
        <f>HYPERLINK("https://twitter.com/Stephen5njogu","@Stephen5njogu")</f>
        <v>@Stephen5njogu</v>
      </c>
      <c r="C941" s="21" t="s">
        <v>2486</v>
      </c>
      <c r="D941" s="21" t="s">
        <v>836</v>
      </c>
      <c r="E941" s="22" t="str">
        <f>HYPERLINK("https://twitter.com/Stephen5njogu/status/922391552558882816","922391552558882816")</f>
        <v>922391552558882816</v>
      </c>
      <c r="F941" s="23" t="s">
        <v>33</v>
      </c>
      <c r="G941" s="24">
        <v>84.0</v>
      </c>
      <c r="H941" s="24">
        <v>266.0</v>
      </c>
      <c r="I941" s="24">
        <v>7.0</v>
      </c>
      <c r="J941" s="24">
        <v>0.0</v>
      </c>
      <c r="K941" s="23" t="s">
        <v>34</v>
      </c>
      <c r="L941" s="25">
        <v>42985.48564814815</v>
      </c>
      <c r="M941" s="26" t="s">
        <v>114</v>
      </c>
      <c r="N941" s="26" t="s">
        <v>2487</v>
      </c>
      <c r="O941" s="22" t="str">
        <f>HYPERLINK("https://pbs.twimg.com/profile_images/913464796326055936/7jdTFeT1_normal.jpg","View")</f>
        <v>View</v>
      </c>
      <c r="P941" s="27"/>
    </row>
    <row r="942">
      <c r="A942" s="14">
        <v>43031.0955787037</v>
      </c>
      <c r="B942" s="20" t="str">
        <f>HYPERLINK("https://twitter.com/JamieTengan415","@JamieTengan415")</f>
        <v>@JamieTengan415</v>
      </c>
      <c r="C942" s="21" t="s">
        <v>2488</v>
      </c>
      <c r="D942" s="21" t="s">
        <v>2489</v>
      </c>
      <c r="E942" s="22" t="str">
        <f>HYPERLINK("https://twitter.com/JamieTengan415/status/922391554899165184","922391554899165184")</f>
        <v>922391554899165184</v>
      </c>
      <c r="F942" s="23" t="s">
        <v>55</v>
      </c>
      <c r="G942" s="24">
        <v>824.0</v>
      </c>
      <c r="H942" s="24">
        <v>1577.0</v>
      </c>
      <c r="I942" s="24">
        <v>0.0</v>
      </c>
      <c r="J942" s="24">
        <v>0.0</v>
      </c>
      <c r="K942" s="23" t="s">
        <v>34</v>
      </c>
      <c r="L942" s="25">
        <v>39829.85927083333</v>
      </c>
      <c r="M942" s="26" t="s">
        <v>923</v>
      </c>
      <c r="N942" s="26" t="s">
        <v>2490</v>
      </c>
      <c r="O942" s="22" t="str">
        <f>HYPERLINK("https://pbs.twimg.com/profile_images/705975272365912064/7DZ2qOv__normal.jpg","View")</f>
        <v>View</v>
      </c>
      <c r="P942" s="27"/>
    </row>
    <row r="943">
      <c r="A943" s="14">
        <v>43031.0955787037</v>
      </c>
      <c r="B943" s="20" t="str">
        <f>HYPERLINK("https://twitter.com/WeeklyNewsToday","@WeeklyNewsToday")</f>
        <v>@WeeklyNewsToday</v>
      </c>
      <c r="C943" s="21" t="s">
        <v>2491</v>
      </c>
      <c r="D943" s="21" t="s">
        <v>2492</v>
      </c>
      <c r="E943" s="22" t="str">
        <f>HYPERLINK("https://twitter.com/WeeklyNewsToday/status/922391555792654336","922391555792654336")</f>
        <v>922391555792654336</v>
      </c>
      <c r="F943" s="30" t="s">
        <v>191</v>
      </c>
      <c r="G943" s="24">
        <v>282.0</v>
      </c>
      <c r="H943" s="24">
        <v>57.0</v>
      </c>
      <c r="I943" s="24">
        <v>0.0</v>
      </c>
      <c r="J943" s="24">
        <v>0.0</v>
      </c>
      <c r="K943" s="23" t="s">
        <v>34</v>
      </c>
      <c r="L943" s="25">
        <v>42869.51310185185</v>
      </c>
      <c r="M943" s="26" t="s">
        <v>2483</v>
      </c>
      <c r="N943" s="26" t="s">
        <v>2493</v>
      </c>
      <c r="O943" s="22" t="str">
        <f>HYPERLINK("https://pbs.twimg.com/profile_images/863902648600113152/H-BR2Zfn_normal.jpg","View")</f>
        <v>View</v>
      </c>
      <c r="P943" s="27"/>
    </row>
    <row r="944">
      <c r="A944" s="14">
        <v>43031.095613425925</v>
      </c>
      <c r="B944" s="20" t="str">
        <f>HYPERLINK("https://twitter.com/ConstructionWa_","@ConstructionWa_")</f>
        <v>@ConstructionWa_</v>
      </c>
      <c r="C944" s="21" t="s">
        <v>2494</v>
      </c>
      <c r="D944" s="21" t="s">
        <v>2495</v>
      </c>
      <c r="E944" s="22" t="str">
        <f>HYPERLINK("https://twitter.com/ConstructionWa_/status/922391567872258048","922391567872258048")</f>
        <v>922391567872258048</v>
      </c>
      <c r="F944" s="30" t="s">
        <v>191</v>
      </c>
      <c r="G944" s="24">
        <v>12015.0</v>
      </c>
      <c r="H944" s="24">
        <v>407.0</v>
      </c>
      <c r="I944" s="24">
        <v>0.0</v>
      </c>
      <c r="J944" s="24">
        <v>0.0</v>
      </c>
      <c r="K944" s="23" t="s">
        <v>34</v>
      </c>
      <c r="L944" s="25">
        <v>42016.44905092593</v>
      </c>
      <c r="M944" s="28"/>
      <c r="N944" s="26" t="s">
        <v>2496</v>
      </c>
      <c r="O944" s="22" t="str">
        <f>HYPERLINK("https://pbs.twimg.com/profile_images/842105097794404352/Qs7t3rl6_normal.jpg","View")</f>
        <v>View</v>
      </c>
      <c r="P944" s="27"/>
    </row>
    <row r="945">
      <c r="A945" s="14">
        <v>43031.09563657407</v>
      </c>
      <c r="B945" s="20" t="str">
        <f>HYPERLINK("https://twitter.com/BobbyMcIntyre2","@BobbyMcIntyre2")</f>
        <v>@BobbyMcIntyre2</v>
      </c>
      <c r="C945" s="21" t="s">
        <v>2497</v>
      </c>
      <c r="D945" s="21" t="s">
        <v>2498</v>
      </c>
      <c r="E945" s="22" t="str">
        <f>HYPERLINK("https://twitter.com/BobbyMcIntyre2/status/922391576982192128","922391576982192128")</f>
        <v>922391576982192128</v>
      </c>
      <c r="F945" s="30" t="s">
        <v>191</v>
      </c>
      <c r="G945" s="24">
        <v>69925.0</v>
      </c>
      <c r="H945" s="24">
        <v>60002.0</v>
      </c>
      <c r="I945" s="24">
        <v>0.0</v>
      </c>
      <c r="J945" s="24">
        <v>0.0</v>
      </c>
      <c r="K945" s="23" t="s">
        <v>34</v>
      </c>
      <c r="L945" s="25">
        <v>40882.76216435185</v>
      </c>
      <c r="M945" s="26" t="s">
        <v>2483</v>
      </c>
      <c r="N945" s="26" t="s">
        <v>2499</v>
      </c>
      <c r="O945" s="22" t="str">
        <f>HYPERLINK("https://pbs.twimg.com/profile_images/779491812385755136/rHDrTOOi_normal.jpg","View")</f>
        <v>View</v>
      </c>
      <c r="P945" s="27"/>
    </row>
    <row r="946">
      <c r="A946" s="14">
        <v>43031.095717592594</v>
      </c>
      <c r="B946" s="20" t="str">
        <f>HYPERLINK("https://twitter.com/Hkabir9009","@Hkabir9009")</f>
        <v>@Hkabir9009</v>
      </c>
      <c r="C946" s="21" t="s">
        <v>2500</v>
      </c>
      <c r="D946" s="21" t="s">
        <v>42</v>
      </c>
      <c r="E946" s="22" t="str">
        <f>HYPERLINK("https://twitter.com/Hkabir9009/status/922391603922087936","922391603922087936")</f>
        <v>922391603922087936</v>
      </c>
      <c r="F946" s="23" t="s">
        <v>33</v>
      </c>
      <c r="G946" s="24">
        <v>21.0</v>
      </c>
      <c r="H946" s="24">
        <v>6.0</v>
      </c>
      <c r="I946" s="24">
        <v>8501.0</v>
      </c>
      <c r="J946" s="24">
        <v>0.0</v>
      </c>
      <c r="K946" s="23" t="s">
        <v>34</v>
      </c>
      <c r="L946" s="25">
        <v>42934.9703125</v>
      </c>
      <c r="M946" s="26" t="s">
        <v>227</v>
      </c>
      <c r="N946" s="26" t="s">
        <v>2501</v>
      </c>
      <c r="O946" s="22" t="str">
        <f>HYPERLINK("https://pbs.twimg.com/profile_images/905683859118858242/aJ2fWIGL_normal.jpg","View")</f>
        <v>View</v>
      </c>
      <c r="P946" s="27"/>
    </row>
    <row r="947">
      <c r="A947" s="14">
        <v>43031.09577546296</v>
      </c>
      <c r="B947" s="20" t="str">
        <f>HYPERLINK("https://twitter.com/_Super_Man_1981","@_Super_Man_1981")</f>
        <v>@_Super_Man_1981</v>
      </c>
      <c r="C947" s="21" t="s">
        <v>2502</v>
      </c>
      <c r="D947" s="21" t="s">
        <v>2503</v>
      </c>
      <c r="E947" s="22" t="str">
        <f>HYPERLINK("https://twitter.com/_Super_Man_1981/status/922391626907045889","922391626907045889")</f>
        <v>922391626907045889</v>
      </c>
      <c r="F947" s="23" t="s">
        <v>2504</v>
      </c>
      <c r="G947" s="24">
        <v>201.0</v>
      </c>
      <c r="H947" s="24">
        <v>1190.0</v>
      </c>
      <c r="I947" s="24">
        <v>20.0</v>
      </c>
      <c r="J947" s="24">
        <v>0.0</v>
      </c>
      <c r="K947" s="23" t="s">
        <v>34</v>
      </c>
      <c r="L947" s="25">
        <v>42961.54896990741</v>
      </c>
      <c r="M947" s="28"/>
      <c r="N947" s="28"/>
      <c r="O947" s="22" t="str">
        <f>HYPERLINK("https://pbs.twimg.com/profile_images/899033216870481920/b2tg2GRF_normal.jpg","View")</f>
        <v>View</v>
      </c>
      <c r="P947" s="27"/>
    </row>
    <row r="948">
      <c r="A948" s="14">
        <v>43031.09585648148</v>
      </c>
      <c r="B948" s="20" t="str">
        <f>HYPERLINK("https://twitter.com/BalliaticBabu","@BalliaticBabu")</f>
        <v>@BalliaticBabu</v>
      </c>
      <c r="C948" s="21" t="s">
        <v>2505</v>
      </c>
      <c r="D948" s="21" t="s">
        <v>42</v>
      </c>
      <c r="E948" s="22" t="str">
        <f>HYPERLINK("https://twitter.com/BalliaticBabu/status/922391655470325760","922391655470325760")</f>
        <v>922391655470325760</v>
      </c>
      <c r="F948" s="23" t="s">
        <v>33</v>
      </c>
      <c r="G948" s="24">
        <v>190.0</v>
      </c>
      <c r="H948" s="24">
        <v>253.0</v>
      </c>
      <c r="I948" s="24">
        <v>8501.0</v>
      </c>
      <c r="J948" s="24">
        <v>0.0</v>
      </c>
      <c r="K948" s="23" t="s">
        <v>34</v>
      </c>
      <c r="L948" s="25">
        <v>41592.476585648146</v>
      </c>
      <c r="M948" s="26" t="s">
        <v>2310</v>
      </c>
      <c r="N948" s="26" t="s">
        <v>2506</v>
      </c>
      <c r="O948" s="22" t="str">
        <f>HYPERLINK("https://pbs.twimg.com/profile_images/632616505851547648/_xAqYL1F_normal.jpg","View")</f>
        <v>View</v>
      </c>
      <c r="P948" s="27"/>
    </row>
    <row r="949">
      <c r="A949" s="14">
        <v>43031.095868055556</v>
      </c>
      <c r="B949" s="20" t="str">
        <f>HYPERLINK("https://twitter.com/DiaeHora","@DiaeHora")</f>
        <v>@DiaeHora</v>
      </c>
      <c r="C949" s="21" t="s">
        <v>2507</v>
      </c>
      <c r="D949" s="21" t="s">
        <v>1345</v>
      </c>
      <c r="E949" s="22" t="str">
        <f>HYPERLINK("https://twitter.com/DiaeHora/status/922391658783748096","922391658783748096")</f>
        <v>922391658783748096</v>
      </c>
      <c r="F949" s="23" t="s">
        <v>33</v>
      </c>
      <c r="G949" s="24">
        <v>37.0</v>
      </c>
      <c r="H949" s="24">
        <v>426.0</v>
      </c>
      <c r="I949" s="24">
        <v>22.0</v>
      </c>
      <c r="J949" s="24">
        <v>0.0</v>
      </c>
      <c r="K949" s="23" t="s">
        <v>34</v>
      </c>
      <c r="L949" s="25">
        <v>42964.36016203703</v>
      </c>
      <c r="M949" s="26" t="s">
        <v>1124</v>
      </c>
      <c r="N949" s="26" t="s">
        <v>2508</v>
      </c>
      <c r="O949" s="22" t="str">
        <f>HYPERLINK("https://pbs.twimg.com/profile_images/919982091189850112/jKd3GvQX_normal.jpg","View")</f>
        <v>View</v>
      </c>
      <c r="P949" s="27"/>
    </row>
    <row r="950">
      <c r="A950" s="14">
        <v>43031.095868055556</v>
      </c>
      <c r="B950" s="20" t="str">
        <f>HYPERLINK("https://twitter.com/sanghaviharsh","@sanghaviharsh")</f>
        <v>@sanghaviharsh</v>
      </c>
      <c r="C950" s="21" t="s">
        <v>2509</v>
      </c>
      <c r="D950" s="21" t="s">
        <v>42</v>
      </c>
      <c r="E950" s="22" t="str">
        <f>HYPERLINK("https://twitter.com/sanghaviharsh/status/922391659878510592","922391659878510592")</f>
        <v>922391659878510592</v>
      </c>
      <c r="F950" s="23" t="s">
        <v>39</v>
      </c>
      <c r="G950" s="24">
        <v>129323.0</v>
      </c>
      <c r="H950" s="24">
        <v>2653.0</v>
      </c>
      <c r="I950" s="24">
        <v>8501.0</v>
      </c>
      <c r="J950" s="24">
        <v>0.0</v>
      </c>
      <c r="K950" s="23" t="s">
        <v>34</v>
      </c>
      <c r="L950" s="25">
        <v>40385.89644675926</v>
      </c>
      <c r="M950" s="26" t="s">
        <v>600</v>
      </c>
      <c r="N950" s="26" t="s">
        <v>2510</v>
      </c>
      <c r="O950" s="22" t="str">
        <f>HYPERLINK("https://pbs.twimg.com/profile_images/863416323535187968/EA2QldOS_normal.jpg","View")</f>
        <v>View</v>
      </c>
      <c r="P950" s="27"/>
    </row>
    <row r="951">
      <c r="A951" s="14">
        <v>43031.0958912037</v>
      </c>
      <c r="B951" s="20" t="str">
        <f>HYPERLINK("https://twitter.com/yoge5","@yoge5")</f>
        <v>@yoge5</v>
      </c>
      <c r="C951" s="21" t="s">
        <v>2511</v>
      </c>
      <c r="D951" s="21" t="s">
        <v>42</v>
      </c>
      <c r="E951" s="22" t="str">
        <f>HYPERLINK("https://twitter.com/yoge5/status/922391665897123840","922391665897123840")</f>
        <v>922391665897123840</v>
      </c>
      <c r="F951" s="23" t="s">
        <v>33</v>
      </c>
      <c r="G951" s="24">
        <v>147.0</v>
      </c>
      <c r="H951" s="24">
        <v>99.0</v>
      </c>
      <c r="I951" s="24">
        <v>8501.0</v>
      </c>
      <c r="J951" s="24">
        <v>0.0</v>
      </c>
      <c r="K951" s="23" t="s">
        <v>34</v>
      </c>
      <c r="L951" s="25">
        <v>40320.08326388889</v>
      </c>
      <c r="M951" s="28"/>
      <c r="N951" s="26" t="s">
        <v>2512</v>
      </c>
      <c r="O951" s="22" t="str">
        <f>HYPERLINK("https://pbs.twimg.com/profile_images/719078332281724928/jw8vhRNn_normal.jpg","View")</f>
        <v>View</v>
      </c>
      <c r="P951" s="27"/>
    </row>
    <row r="952">
      <c r="A952" s="14">
        <v>43031.095925925925</v>
      </c>
      <c r="B952" s="20" t="str">
        <f>HYPERLINK("https://twitter.com/io_luca","@io_luca")</f>
        <v>@io_luca</v>
      </c>
      <c r="C952" s="21" t="s">
        <v>2513</v>
      </c>
      <c r="D952" s="21" t="s">
        <v>2514</v>
      </c>
      <c r="E952" s="22" t="str">
        <f>HYPERLINK("https://twitter.com/io_luca/status/922391680052903937","922391680052903937")</f>
        <v>922391680052903937</v>
      </c>
      <c r="F952" s="30" t="s">
        <v>411</v>
      </c>
      <c r="G952" s="24">
        <v>151.0</v>
      </c>
      <c r="H952" s="24">
        <v>35.0</v>
      </c>
      <c r="I952" s="24">
        <v>0.0</v>
      </c>
      <c r="J952" s="24">
        <v>0.0</v>
      </c>
      <c r="K952" s="23" t="s">
        <v>34</v>
      </c>
      <c r="L952" s="25">
        <v>40753.10767361111</v>
      </c>
      <c r="M952" s="26" t="s">
        <v>2515</v>
      </c>
      <c r="N952" s="26" t="s">
        <v>2516</v>
      </c>
      <c r="O952" s="22" t="str">
        <f>HYPERLINK("https://pbs.twimg.com/profile_images/445834223312986112/YyCVPZ4W_normal.jpeg","View")</f>
        <v>View</v>
      </c>
      <c r="P952" s="27"/>
    </row>
    <row r="953">
      <c r="A953" s="14">
        <v>43031.095937499995</v>
      </c>
      <c r="B953" s="20" t="str">
        <f>HYPERLINK("https://twitter.com/AutomobilN","@AutomobilN")</f>
        <v>@AutomobilN</v>
      </c>
      <c r="C953" s="21" t="s">
        <v>2517</v>
      </c>
      <c r="D953" s="21" t="s">
        <v>2518</v>
      </c>
      <c r="E953" s="22" t="str">
        <f>HYPERLINK("https://twitter.com/AutomobilN/status/922391684687810560","922391684687810560")</f>
        <v>922391684687810560</v>
      </c>
      <c r="F953" s="30" t="s">
        <v>191</v>
      </c>
      <c r="G953" s="24">
        <v>259.0</v>
      </c>
      <c r="H953" s="24">
        <v>785.0</v>
      </c>
      <c r="I953" s="24">
        <v>0.0</v>
      </c>
      <c r="J953" s="24">
        <v>0.0</v>
      </c>
      <c r="K953" s="23" t="s">
        <v>34</v>
      </c>
      <c r="L953" s="25">
        <v>42767.33831018519</v>
      </c>
      <c r="M953" s="26" t="s">
        <v>2519</v>
      </c>
      <c r="N953" s="26" t="s">
        <v>2520</v>
      </c>
      <c r="O953" s="22" t="str">
        <f>HYPERLINK("https://pbs.twimg.com/profile_images/827181212389240832/Ud8Bp8Vo_normal.jpg","View")</f>
        <v>View</v>
      </c>
      <c r="P953" s="27"/>
    </row>
    <row r="954">
      <c r="A954" s="14">
        <v>43031.09599537037</v>
      </c>
      <c r="B954" s="20" t="str">
        <f>HYPERLINK("https://twitter.com/Fiaz786pk","@Fiaz786pk")</f>
        <v>@Fiaz786pk</v>
      </c>
      <c r="C954" s="21" t="s">
        <v>2521</v>
      </c>
      <c r="D954" s="21" t="s">
        <v>2522</v>
      </c>
      <c r="E954" s="22" t="str">
        <f>HYPERLINK("https://twitter.com/Fiaz786pk/status/922391704338161664","922391704338161664")</f>
        <v>922391704338161664</v>
      </c>
      <c r="F954" s="23" t="s">
        <v>55</v>
      </c>
      <c r="G954" s="24">
        <v>208.0</v>
      </c>
      <c r="H954" s="24">
        <v>230.0</v>
      </c>
      <c r="I954" s="24">
        <v>0.0</v>
      </c>
      <c r="J954" s="24">
        <v>0.0</v>
      </c>
      <c r="K954" s="23" t="s">
        <v>34</v>
      </c>
      <c r="L954" s="25">
        <v>40392.198541666665</v>
      </c>
      <c r="M954" s="32" t="s">
        <v>2523</v>
      </c>
      <c r="N954" s="26" t="s">
        <v>2524</v>
      </c>
      <c r="O954" s="22" t="str">
        <f>HYPERLINK("https://pbs.twimg.com/profile_images/903251420295696384/QWlUa_5__normal.jpg","View")</f>
        <v>View</v>
      </c>
      <c r="P954" s="27"/>
    </row>
    <row r="955">
      <c r="A955" s="14">
        <v>43031.096030092594</v>
      </c>
      <c r="B955" s="20" t="str">
        <f>HYPERLINK("https://twitter.com/C10Shoe_DeSAI","@C10Shoe_DeSAI")</f>
        <v>@C10Shoe_DeSAI</v>
      </c>
      <c r="C955" s="21" t="s">
        <v>2525</v>
      </c>
      <c r="D955" s="21" t="s">
        <v>42</v>
      </c>
      <c r="E955" s="22" t="str">
        <f>HYPERLINK("https://twitter.com/C10Shoe_DeSAI/status/922391716174241792","922391716174241792")</f>
        <v>922391716174241792</v>
      </c>
      <c r="F955" s="23" t="s">
        <v>33</v>
      </c>
      <c r="G955" s="24">
        <v>29.0</v>
      </c>
      <c r="H955" s="24">
        <v>504.0</v>
      </c>
      <c r="I955" s="24">
        <v>8501.0</v>
      </c>
      <c r="J955" s="24">
        <v>0.0</v>
      </c>
      <c r="K955" s="23" t="s">
        <v>34</v>
      </c>
      <c r="L955" s="25">
        <v>42735.5530787037</v>
      </c>
      <c r="M955" s="26" t="s">
        <v>2526</v>
      </c>
      <c r="N955" s="26" t="s">
        <v>2527</v>
      </c>
      <c r="O955" s="22" t="str">
        <f>HYPERLINK("https://pbs.twimg.com/profile_images/913775261774237696/treP-qGv_normal.jpg","View")</f>
        <v>View</v>
      </c>
      <c r="P955" s="27"/>
    </row>
    <row r="956">
      <c r="A956" s="14">
        <v>43031.096087962964</v>
      </c>
      <c r="B956" s="20" t="str">
        <f>HYPERLINK("https://twitter.com/deepsaikia14","@deepsaikia14")</f>
        <v>@deepsaikia14</v>
      </c>
      <c r="C956" s="21" t="s">
        <v>2528</v>
      </c>
      <c r="D956" s="21" t="s">
        <v>42</v>
      </c>
      <c r="E956" s="22" t="str">
        <f>HYPERLINK("https://twitter.com/deepsaikia14/status/922391739632988160","922391739632988160")</f>
        <v>922391739632988160</v>
      </c>
      <c r="F956" s="23" t="s">
        <v>780</v>
      </c>
      <c r="G956" s="24">
        <v>156.0</v>
      </c>
      <c r="H956" s="24">
        <v>543.0</v>
      </c>
      <c r="I956" s="24">
        <v>8501.0</v>
      </c>
      <c r="J956" s="24">
        <v>0.0</v>
      </c>
      <c r="K956" s="23" t="s">
        <v>34</v>
      </c>
      <c r="L956" s="25">
        <v>41734.32309027778</v>
      </c>
      <c r="M956" s="28"/>
      <c r="N956" s="26" t="s">
        <v>2529</v>
      </c>
      <c r="O956" s="22" t="str">
        <f>HYPERLINK("https://pbs.twimg.com/profile_images/897320204086026241/-qLZvzf6_normal.jpg","View")</f>
        <v>View</v>
      </c>
      <c r="P956" s="27"/>
    </row>
    <row r="957">
      <c r="A957" s="14">
        <v>43031.096087962964</v>
      </c>
      <c r="B957" s="20" t="str">
        <f>HYPERLINK("https://twitter.com/FeMan321","@FeMan321")</f>
        <v>@FeMan321</v>
      </c>
      <c r="C957" s="21" t="s">
        <v>2530</v>
      </c>
      <c r="D957" s="21" t="s">
        <v>163</v>
      </c>
      <c r="E957" s="22" t="str">
        <f>HYPERLINK("https://twitter.com/FeMan321/status/922391740274888704","922391740274888704")</f>
        <v>922391740274888704</v>
      </c>
      <c r="F957" s="23" t="s">
        <v>39</v>
      </c>
      <c r="G957" s="24">
        <v>107.0</v>
      </c>
      <c r="H957" s="24">
        <v>552.0</v>
      </c>
      <c r="I957" s="24">
        <v>1005.0</v>
      </c>
      <c r="J957" s="24">
        <v>0.0</v>
      </c>
      <c r="K957" s="23" t="s">
        <v>34</v>
      </c>
      <c r="L957" s="25">
        <v>41398.83372685185</v>
      </c>
      <c r="M957" s="28"/>
      <c r="N957" s="26" t="s">
        <v>2531</v>
      </c>
      <c r="O957" s="22" t="str">
        <f>HYPERLINK("https://pbs.twimg.com/profile_images/808270333677445121/4EwHH00X_normal.jpg","View")</f>
        <v>View</v>
      </c>
      <c r="P957" s="27"/>
    </row>
    <row r="958">
      <c r="A958" s="14">
        <v>43031.0962037037</v>
      </c>
      <c r="B958" s="20" t="str">
        <f>HYPERLINK("https://twitter.com/WSJ","@WSJ")</f>
        <v>@WSJ</v>
      </c>
      <c r="C958" s="21" t="s">
        <v>2532</v>
      </c>
      <c r="D958" s="21" t="s">
        <v>2533</v>
      </c>
      <c r="E958" s="22" t="str">
        <f>HYPERLINK("https://twitter.com/WSJ/status/922391779265142784","922391779265142784")</f>
        <v>922391779265142784</v>
      </c>
      <c r="F958" s="23" t="s">
        <v>1103</v>
      </c>
      <c r="G958" s="24">
        <v>1.5019586E7</v>
      </c>
      <c r="H958" s="24">
        <v>1091.0</v>
      </c>
      <c r="I958" s="24">
        <v>58.0</v>
      </c>
      <c r="J958" s="24">
        <v>57.0</v>
      </c>
      <c r="K958" s="23" t="s">
        <v>34</v>
      </c>
      <c r="L958" s="25">
        <v>39172.973761574074</v>
      </c>
      <c r="M958" s="26" t="s">
        <v>2534</v>
      </c>
      <c r="N958" s="26" t="s">
        <v>2535</v>
      </c>
      <c r="O958" s="22" t="str">
        <f>HYPERLINK("https://pbs.twimg.com/profile_images/685113343204585473/jV72Zljq_normal.jpg","View")</f>
        <v>View</v>
      </c>
      <c r="P958" s="27"/>
    </row>
    <row r="959">
      <c r="A959" s="14">
        <v>43031.09621527778</v>
      </c>
      <c r="B959" s="20" t="str">
        <f>HYPERLINK("https://twitter.com/PaulusIoannes23","@PaulusIoannes23")</f>
        <v>@PaulusIoannes23</v>
      </c>
      <c r="C959" s="21" t="s">
        <v>2536</v>
      </c>
      <c r="D959" s="21" t="s">
        <v>1444</v>
      </c>
      <c r="E959" s="22" t="str">
        <f>HYPERLINK("https://twitter.com/PaulusIoannes23/status/922391783874609153","922391783874609153")</f>
        <v>922391783874609153</v>
      </c>
      <c r="F959" s="23" t="s">
        <v>33</v>
      </c>
      <c r="G959" s="24">
        <v>123.0</v>
      </c>
      <c r="H959" s="24">
        <v>266.0</v>
      </c>
      <c r="I959" s="24">
        <v>50.0</v>
      </c>
      <c r="J959" s="24">
        <v>0.0</v>
      </c>
      <c r="K959" s="23" t="s">
        <v>34</v>
      </c>
      <c r="L959" s="25">
        <v>43029.05898148148</v>
      </c>
      <c r="M959" s="26" t="s">
        <v>2537</v>
      </c>
      <c r="N959" s="26" t="s">
        <v>2538</v>
      </c>
      <c r="O959" s="22" t="str">
        <f>HYPERLINK("https://pbs.twimg.com/profile_images/921657545713795072/VoQSDxVZ_normal.jpg","View")</f>
        <v>View</v>
      </c>
      <c r="P959" s="27"/>
    </row>
    <row r="960">
      <c r="A960" s="14">
        <v>43031.096238425926</v>
      </c>
      <c r="B960" s="20" t="str">
        <f>HYPERLINK("https://twitter.com/CriCan80","@CriCan80")</f>
        <v>@CriCan80</v>
      </c>
      <c r="C960" s="21" t="s">
        <v>2539</v>
      </c>
      <c r="D960" s="21" t="s">
        <v>2540</v>
      </c>
      <c r="E960" s="22" t="str">
        <f>HYPERLINK("https://twitter.com/CriCan80/status/922391794222075904","922391794222075904")</f>
        <v>922391794222075904</v>
      </c>
      <c r="F960" s="23" t="s">
        <v>55</v>
      </c>
      <c r="G960" s="24">
        <v>328.0</v>
      </c>
      <c r="H960" s="24">
        <v>485.0</v>
      </c>
      <c r="I960" s="24">
        <v>0.0</v>
      </c>
      <c r="J960" s="24">
        <v>0.0</v>
      </c>
      <c r="K960" s="23" t="s">
        <v>34</v>
      </c>
      <c r="L960" s="25">
        <v>40570.11929398148</v>
      </c>
      <c r="M960" s="26" t="s">
        <v>2541</v>
      </c>
      <c r="N960" s="26" t="s">
        <v>2542</v>
      </c>
      <c r="O960" s="22" t="str">
        <f>HYPERLINK("https://pbs.twimg.com/profile_images/597517711481143296/3Dpi23DU_normal.jpg","View")</f>
        <v>View</v>
      </c>
      <c r="P960" s="27"/>
    </row>
    <row r="961">
      <c r="A961" s="14">
        <v>43031.09625</v>
      </c>
      <c r="B961" s="20" t="str">
        <f>HYPERLINK("https://twitter.com/base_thai","@base_thai")</f>
        <v>@base_thai</v>
      </c>
      <c r="C961" s="21" t="s">
        <v>2543</v>
      </c>
      <c r="D961" s="21" t="s">
        <v>2544</v>
      </c>
      <c r="E961" s="22" t="str">
        <f>HYPERLINK("https://twitter.com/base_thai/status/922391797791444994","922391797791444994")</f>
        <v>922391797791444994</v>
      </c>
      <c r="F961" s="23" t="s">
        <v>55</v>
      </c>
      <c r="G961" s="24">
        <v>4313.0</v>
      </c>
      <c r="H961" s="24">
        <v>4071.0</v>
      </c>
      <c r="I961" s="24">
        <v>0.0</v>
      </c>
      <c r="J961" s="24">
        <v>0.0</v>
      </c>
      <c r="K961" s="23" t="s">
        <v>34</v>
      </c>
      <c r="L961" s="25">
        <v>41825.104363425926</v>
      </c>
      <c r="M961" s="28"/>
      <c r="N961" s="26" t="s">
        <v>2545</v>
      </c>
      <c r="O961" s="22" t="str">
        <f>HYPERLINK("https://pbs.twimg.com/profile_images/878138126891220992/4GvuA4YU_normal.jpg","View")</f>
        <v>View</v>
      </c>
      <c r="P961" s="27"/>
    </row>
    <row r="962">
      <c r="A962" s="14">
        <v>43031.09627314815</v>
      </c>
      <c r="B962" s="20" t="str">
        <f>HYPERLINK("https://twitter.com/RenaudHuck","@RenaudHuck")</f>
        <v>@RenaudHuck</v>
      </c>
      <c r="C962" s="21" t="s">
        <v>2546</v>
      </c>
      <c r="D962" s="21" t="s">
        <v>2547</v>
      </c>
      <c r="E962" s="22" t="str">
        <f>HYPERLINK("https://twitter.com/RenaudHuck/status/922391807799029761","922391807799029761")</f>
        <v>922391807799029761</v>
      </c>
      <c r="F962" s="23" t="s">
        <v>55</v>
      </c>
      <c r="G962" s="24">
        <v>441.0</v>
      </c>
      <c r="H962" s="24">
        <v>348.0</v>
      </c>
      <c r="I962" s="24">
        <v>0.0</v>
      </c>
      <c r="J962" s="24">
        <v>0.0</v>
      </c>
      <c r="K962" s="23" t="s">
        <v>34</v>
      </c>
      <c r="L962" s="25">
        <v>41256.09274305555</v>
      </c>
      <c r="M962" s="26" t="s">
        <v>590</v>
      </c>
      <c r="N962" s="26" t="s">
        <v>2548</v>
      </c>
      <c r="O962" s="22" t="str">
        <f>HYPERLINK("https://pbs.twimg.com/profile_images/518874749884448768/sE-ul7U4_normal.jpeg","View")</f>
        <v>View</v>
      </c>
      <c r="P962" s="27"/>
    </row>
    <row r="963">
      <c r="A963" s="14">
        <v>43031.096284722225</v>
      </c>
      <c r="B963" s="20" t="str">
        <f>HYPERLINK("https://twitter.com/puchner0701","@puchner0701")</f>
        <v>@puchner0701</v>
      </c>
      <c r="C963" s="21" t="s">
        <v>2549</v>
      </c>
      <c r="D963" s="21" t="s">
        <v>2550</v>
      </c>
      <c r="E963" s="22" t="str">
        <f>HYPERLINK("https://twitter.com/puchner0701/status/922391811859005441","922391811859005441")</f>
        <v>922391811859005441</v>
      </c>
      <c r="F963" s="23" t="s">
        <v>43</v>
      </c>
      <c r="G963" s="24">
        <v>268.0</v>
      </c>
      <c r="H963" s="24">
        <v>259.0</v>
      </c>
      <c r="I963" s="24">
        <v>2.0</v>
      </c>
      <c r="J963" s="24">
        <v>0.0</v>
      </c>
      <c r="K963" s="23" t="s">
        <v>34</v>
      </c>
      <c r="L963" s="25">
        <v>42820.12918981482</v>
      </c>
      <c r="M963" s="28"/>
      <c r="N963" s="26" t="s">
        <v>2551</v>
      </c>
      <c r="O963" s="22" t="str">
        <f>HYPERLINK("https://pbs.twimg.com/profile_images/852182133988773888/sIDUM7sr_normal.jpg","View")</f>
        <v>View</v>
      </c>
      <c r="P963" s="27"/>
    </row>
    <row r="964">
      <c r="A964" s="14">
        <v>43031.096296296295</v>
      </c>
      <c r="B964" s="20" t="str">
        <f>HYPERLINK("https://twitter.com/kathyolsen100","@kathyolsen100")</f>
        <v>@kathyolsen100</v>
      </c>
      <c r="C964" s="21" t="s">
        <v>2552</v>
      </c>
      <c r="D964" s="21" t="s">
        <v>2553</v>
      </c>
      <c r="E964" s="22" t="str">
        <f>HYPERLINK("https://twitter.com/kathyolsen100/status/922391815017377792","922391815017377792")</f>
        <v>922391815017377792</v>
      </c>
      <c r="F964" s="23" t="s">
        <v>55</v>
      </c>
      <c r="G964" s="24">
        <v>1751.0</v>
      </c>
      <c r="H964" s="24">
        <v>1340.0</v>
      </c>
      <c r="I964" s="24">
        <v>1.0</v>
      </c>
      <c r="J964" s="24">
        <v>0.0</v>
      </c>
      <c r="K964" s="23" t="s">
        <v>34</v>
      </c>
      <c r="L964" s="25">
        <v>42381.273888888885</v>
      </c>
      <c r="M964" s="28"/>
      <c r="N964" s="26" t="s">
        <v>2554</v>
      </c>
      <c r="O964" s="22" t="str">
        <f>HYPERLINK("https://pbs.twimg.com/profile_images/813011346379915264/l5DKMxAF_normal.jpg","View")</f>
        <v>View</v>
      </c>
      <c r="P964" s="27"/>
    </row>
    <row r="965">
      <c r="A965" s="14">
        <v>43031.09637731481</v>
      </c>
      <c r="B965" s="20" t="str">
        <f>HYPERLINK("https://twitter.com/ohiomary","@ohiomary")</f>
        <v>@ohiomary</v>
      </c>
      <c r="C965" s="21" t="s">
        <v>1522</v>
      </c>
      <c r="D965" s="21" t="s">
        <v>2555</v>
      </c>
      <c r="E965" s="22" t="str">
        <f>HYPERLINK("https://twitter.com/ohiomary/status/922391844054618112","922391844054618112")</f>
        <v>922391844054618112</v>
      </c>
      <c r="F965" s="23" t="s">
        <v>769</v>
      </c>
      <c r="G965" s="24">
        <v>1405.0</v>
      </c>
      <c r="H965" s="24">
        <v>574.0</v>
      </c>
      <c r="I965" s="24">
        <v>58.0</v>
      </c>
      <c r="J965" s="24">
        <v>0.0</v>
      </c>
      <c r="K965" s="23" t="s">
        <v>34</v>
      </c>
      <c r="L965" s="25">
        <v>39262.380023148144</v>
      </c>
      <c r="M965" s="26" t="s">
        <v>1523</v>
      </c>
      <c r="N965" s="26" t="s">
        <v>1524</v>
      </c>
      <c r="O965" s="22" t="str">
        <f>HYPERLINK("https://pbs.twimg.com/profile_images/459496233149542400/9r1j10CL_normal.jpeg","View")</f>
        <v>View</v>
      </c>
      <c r="P965" s="27"/>
    </row>
    <row r="966">
      <c r="A966" s="14">
        <v>43031.09642361111</v>
      </c>
      <c r="B966" s="20" t="str">
        <f>HYPERLINK("https://twitter.com/andypeaps","@andypeaps")</f>
        <v>@andypeaps</v>
      </c>
      <c r="C966" s="21" t="s">
        <v>2556</v>
      </c>
      <c r="D966" s="21" t="s">
        <v>2555</v>
      </c>
      <c r="E966" s="22" t="str">
        <f>HYPERLINK("https://twitter.com/andypeaps/status/922391859795652608","922391859795652608")</f>
        <v>922391859795652608</v>
      </c>
      <c r="F966" s="23" t="s">
        <v>769</v>
      </c>
      <c r="G966" s="24">
        <v>4662.0</v>
      </c>
      <c r="H966" s="24">
        <v>3154.0</v>
      </c>
      <c r="I966" s="24">
        <v>58.0</v>
      </c>
      <c r="J966" s="24">
        <v>0.0</v>
      </c>
      <c r="K966" s="23" t="s">
        <v>34</v>
      </c>
      <c r="L966" s="25">
        <v>39851.72733796296</v>
      </c>
      <c r="M966" s="26" t="s">
        <v>2185</v>
      </c>
      <c r="N966" s="26" t="s">
        <v>2557</v>
      </c>
      <c r="O966" s="22" t="str">
        <f>HYPERLINK("https://pbs.twimg.com/profile_images/1669648253/Headcut_normal.JPG","View")</f>
        <v>View</v>
      </c>
      <c r="P966" s="27"/>
    </row>
    <row r="967">
      <c r="A967" s="14">
        <v>43031.09642361111</v>
      </c>
      <c r="B967" s="20" t="str">
        <f>HYPERLINK("https://twitter.com/Kingmakertweet","@Kingmakertweet")</f>
        <v>@Kingmakertweet</v>
      </c>
      <c r="C967" s="21" t="s">
        <v>788</v>
      </c>
      <c r="D967" s="21" t="s">
        <v>2555</v>
      </c>
      <c r="E967" s="22" t="str">
        <f>HYPERLINK("https://twitter.com/Kingmakertweet/status/922391860886114304","922391860886114304")</f>
        <v>922391860886114304</v>
      </c>
      <c r="F967" s="23" t="s">
        <v>55</v>
      </c>
      <c r="G967" s="24">
        <v>126.0</v>
      </c>
      <c r="H967" s="24">
        <v>66.0</v>
      </c>
      <c r="I967" s="24">
        <v>58.0</v>
      </c>
      <c r="J967" s="24">
        <v>0.0</v>
      </c>
      <c r="K967" s="23" t="s">
        <v>34</v>
      </c>
      <c r="L967" s="25">
        <v>41053.04650462963</v>
      </c>
      <c r="M967" s="28"/>
      <c r="N967" s="26" t="s">
        <v>789</v>
      </c>
      <c r="O967" s="22" t="str">
        <f>HYPERLINK("https://pbs.twimg.com/profile_images/836959111707123712/vw98l-VT_normal.jpg","View")</f>
        <v>View</v>
      </c>
      <c r="P967" s="27"/>
    </row>
    <row r="968">
      <c r="A968" s="14">
        <v>43031.09646990741</v>
      </c>
      <c r="B968" s="20" t="str">
        <f>HYPERLINK("https://twitter.com/BrahaspatiSutra","@BrahaspatiSutra")</f>
        <v>@BrahaspatiSutra</v>
      </c>
      <c r="C968" s="21" t="s">
        <v>2558</v>
      </c>
      <c r="D968" s="21" t="s">
        <v>42</v>
      </c>
      <c r="E968" s="22" t="str">
        <f>HYPERLINK("https://twitter.com/BrahaspatiSutra/status/922391876900077568","922391876900077568")</f>
        <v>922391876900077568</v>
      </c>
      <c r="F968" s="23" t="s">
        <v>55</v>
      </c>
      <c r="G968" s="24">
        <v>103.0</v>
      </c>
      <c r="H968" s="24">
        <v>441.0</v>
      </c>
      <c r="I968" s="24">
        <v>8501.0</v>
      </c>
      <c r="J968" s="24">
        <v>0.0</v>
      </c>
      <c r="K968" s="23" t="s">
        <v>34</v>
      </c>
      <c r="L968" s="25">
        <v>41038.10853009259</v>
      </c>
      <c r="M968" s="28"/>
      <c r="N968" s="28"/>
      <c r="O968" s="22" t="str">
        <f>HYPERLINK("https://pbs.twimg.com/profile_images/786971496551813123/8pSAEoM3_normal.jpg","View")</f>
        <v>View</v>
      </c>
      <c r="P968" s="27"/>
    </row>
    <row r="969">
      <c r="A969" s="14">
        <v>43031.09646990741</v>
      </c>
      <c r="B969" s="20" t="str">
        <f>HYPERLINK("https://twitter.com/jvatsal1996","@jvatsal1996")</f>
        <v>@jvatsal1996</v>
      </c>
      <c r="C969" s="21" t="s">
        <v>2559</v>
      </c>
      <c r="D969" s="21" t="s">
        <v>42</v>
      </c>
      <c r="E969" s="22" t="str">
        <f>HYPERLINK("https://twitter.com/jvatsal1996/status/922391876904280064","922391876904280064")</f>
        <v>922391876904280064</v>
      </c>
      <c r="F969" s="23" t="s">
        <v>33</v>
      </c>
      <c r="G969" s="24">
        <v>150.0</v>
      </c>
      <c r="H969" s="24">
        <v>182.0</v>
      </c>
      <c r="I969" s="24">
        <v>8501.0</v>
      </c>
      <c r="J969" s="24">
        <v>0.0</v>
      </c>
      <c r="K969" s="23" t="s">
        <v>34</v>
      </c>
      <c r="L969" s="25">
        <v>40472.92034722222</v>
      </c>
      <c r="M969" s="26" t="s">
        <v>2560</v>
      </c>
      <c r="N969" s="26" t="s">
        <v>2561</v>
      </c>
      <c r="O969" s="22" t="str">
        <f>HYPERLINK("https://pbs.twimg.com/profile_images/880624491268845568/iJt1jH5T_normal.jpg","View")</f>
        <v>View</v>
      </c>
      <c r="P969" s="27"/>
    </row>
    <row r="970">
      <c r="A970" s="14">
        <v>43031.09648148148</v>
      </c>
      <c r="B970" s="20" t="str">
        <f>HYPERLINK("https://twitter.com/MaheshBisht89","@MaheshBisht89")</f>
        <v>@MaheshBisht89</v>
      </c>
      <c r="C970" s="21" t="s">
        <v>2562</v>
      </c>
      <c r="D970" s="21" t="s">
        <v>42</v>
      </c>
      <c r="E970" s="22" t="str">
        <f>HYPERLINK("https://twitter.com/MaheshBisht89/status/922391883581505537","922391883581505537")</f>
        <v>922391883581505537</v>
      </c>
      <c r="F970" s="23" t="s">
        <v>33</v>
      </c>
      <c r="G970" s="24">
        <v>67.0</v>
      </c>
      <c r="H970" s="24">
        <v>322.0</v>
      </c>
      <c r="I970" s="24">
        <v>8501.0</v>
      </c>
      <c r="J970" s="24">
        <v>0.0</v>
      </c>
      <c r="K970" s="23" t="s">
        <v>34</v>
      </c>
      <c r="L970" s="25">
        <v>42827.413993055554</v>
      </c>
      <c r="M970" s="28"/>
      <c r="N970" s="28"/>
      <c r="O970" s="22" t="str">
        <f>HYPERLINK("https://pbs.twimg.com/profile_images/873029742735138816/x2d0z9Jv_normal.jpg","View")</f>
        <v>View</v>
      </c>
      <c r="P970" s="27"/>
    </row>
    <row r="971">
      <c r="A971" s="14">
        <v>43031.09650462963</v>
      </c>
      <c r="B971" s="20" t="str">
        <f>HYPERLINK("https://twitter.com/nylalsingh","@nylalsingh")</f>
        <v>@nylalsingh</v>
      </c>
      <c r="C971" s="21" t="s">
        <v>2563</v>
      </c>
      <c r="D971" s="21" t="s">
        <v>42</v>
      </c>
      <c r="E971" s="22" t="str">
        <f>HYPERLINK("https://twitter.com/nylalsingh/status/922391890443554822","922391890443554822")</f>
        <v>922391890443554822</v>
      </c>
      <c r="F971" s="23" t="s">
        <v>39</v>
      </c>
      <c r="G971" s="24">
        <v>878.0</v>
      </c>
      <c r="H971" s="24">
        <v>1339.0</v>
      </c>
      <c r="I971" s="24">
        <v>8501.0</v>
      </c>
      <c r="J971" s="24">
        <v>0.0</v>
      </c>
      <c r="K971" s="23" t="s">
        <v>34</v>
      </c>
      <c r="L971" s="25">
        <v>41273.26893518519</v>
      </c>
      <c r="M971" s="26" t="s">
        <v>2564</v>
      </c>
      <c r="N971" s="26" t="s">
        <v>2565</v>
      </c>
      <c r="O971" s="22" t="str">
        <f>HYPERLINK("https://pbs.twimg.com/profile_images/922815397203730432/bO9w4dJ1_normal.jpg","View")</f>
        <v>View</v>
      </c>
      <c r="P971" s="27"/>
    </row>
    <row r="972">
      <c r="A972" s="14">
        <v>43031.0965162037</v>
      </c>
      <c r="B972" s="20" t="str">
        <f>HYPERLINK("https://twitter.com/bgnswarnim","@bgnswarnim")</f>
        <v>@bgnswarnim</v>
      </c>
      <c r="C972" s="21" t="s">
        <v>2566</v>
      </c>
      <c r="D972" s="21" t="s">
        <v>42</v>
      </c>
      <c r="E972" s="22" t="str">
        <f>HYPERLINK("https://twitter.com/bgnswarnim/status/922391892418904064","922391892418904064")</f>
        <v>922391892418904064</v>
      </c>
      <c r="F972" s="23" t="s">
        <v>230</v>
      </c>
      <c r="G972" s="24">
        <v>138.0</v>
      </c>
      <c r="H972" s="24">
        <v>627.0</v>
      </c>
      <c r="I972" s="24">
        <v>8501.0</v>
      </c>
      <c r="J972" s="24">
        <v>0.0</v>
      </c>
      <c r="K972" s="23" t="s">
        <v>34</v>
      </c>
      <c r="L972" s="25">
        <v>39955.22622685185</v>
      </c>
      <c r="M972" s="26" t="s">
        <v>1760</v>
      </c>
      <c r="N972" s="26" t="s">
        <v>2567</v>
      </c>
      <c r="O972" s="22" t="str">
        <f>HYPERLINK("https://pbs.twimg.com/profile_images/1618826272/Bharat_1_normal.JPG","View")</f>
        <v>View</v>
      </c>
      <c r="P972" s="27"/>
    </row>
    <row r="973">
      <c r="A973" s="14">
        <v>43031.096539351856</v>
      </c>
      <c r="B973" s="20" t="str">
        <f>HYPERLINK("https://twitter.com/PolExt","@PolExt")</f>
        <v>@PolExt</v>
      </c>
      <c r="C973" s="21" t="s">
        <v>2568</v>
      </c>
      <c r="D973" s="21" t="s">
        <v>2555</v>
      </c>
      <c r="E973" s="22" t="str">
        <f>HYPERLINK("https://twitter.com/PolExt/status/922391903492100096","922391903492100096")</f>
        <v>922391903492100096</v>
      </c>
      <c r="F973" s="23" t="s">
        <v>769</v>
      </c>
      <c r="G973" s="24">
        <v>18245.0</v>
      </c>
      <c r="H973" s="24">
        <v>1266.0</v>
      </c>
      <c r="I973" s="24">
        <v>58.0</v>
      </c>
      <c r="J973" s="24">
        <v>0.0</v>
      </c>
      <c r="K973" s="23" t="s">
        <v>34</v>
      </c>
      <c r="L973" s="25">
        <v>40662.108564814815</v>
      </c>
      <c r="M973" s="26" t="s">
        <v>2569</v>
      </c>
      <c r="N973" s="26" t="s">
        <v>2570</v>
      </c>
      <c r="O973" s="22" t="str">
        <f>HYPERLINK("https://pbs.twimg.com/profile_images/443359589870747648/50OkJ-b3_normal.jpeg","View")</f>
        <v>View</v>
      </c>
      <c r="P973" s="27"/>
    </row>
    <row r="974">
      <c r="A974" s="14">
        <v>43031.09659722222</v>
      </c>
      <c r="B974" s="20" t="str">
        <f>HYPERLINK("https://twitter.com/SFbeherenow","@SFbeherenow")</f>
        <v>@SFbeherenow</v>
      </c>
      <c r="C974" s="21" t="s">
        <v>2571</v>
      </c>
      <c r="D974" s="21" t="s">
        <v>2456</v>
      </c>
      <c r="E974" s="22" t="str">
        <f>HYPERLINK("https://twitter.com/SFbeherenow/status/922391923649781760","922391923649781760")</f>
        <v>922391923649781760</v>
      </c>
      <c r="F974" s="23" t="s">
        <v>39</v>
      </c>
      <c r="G974" s="24">
        <v>75.0</v>
      </c>
      <c r="H974" s="24">
        <v>250.0</v>
      </c>
      <c r="I974" s="24">
        <v>49.0</v>
      </c>
      <c r="J974" s="24">
        <v>0.0</v>
      </c>
      <c r="K974" s="23" t="s">
        <v>34</v>
      </c>
      <c r="L974" s="25">
        <v>40046.70917824074</v>
      </c>
      <c r="M974" s="28"/>
      <c r="N974" s="28"/>
      <c r="O974" s="22" t="str">
        <f>HYPERLINK("https://pbs.twimg.com/profile_images/2710452275/9c8d7f742adbf1adeb54d0243be38dd1_normal.jpeg","View")</f>
        <v>View</v>
      </c>
      <c r="P974" s="27"/>
    </row>
    <row r="975">
      <c r="A975" s="14">
        <v>43031.09664351852</v>
      </c>
      <c r="B975" s="20" t="str">
        <f>HYPERLINK("https://twitter.com/KarloMdz","@KarloMdz")</f>
        <v>@KarloMdz</v>
      </c>
      <c r="C975" s="21" t="s">
        <v>1648</v>
      </c>
      <c r="D975" s="21" t="s">
        <v>2572</v>
      </c>
      <c r="E975" s="22" t="str">
        <f>HYPERLINK("https://twitter.com/KarloMdz/status/922391939412058112","922391939412058112")</f>
        <v>922391939412058112</v>
      </c>
      <c r="F975" s="23" t="s">
        <v>187</v>
      </c>
      <c r="G975" s="24">
        <v>308.0</v>
      </c>
      <c r="H975" s="24">
        <v>137.0</v>
      </c>
      <c r="I975" s="24">
        <v>0.0</v>
      </c>
      <c r="J975" s="24">
        <v>0.0</v>
      </c>
      <c r="K975" s="23" t="s">
        <v>34</v>
      </c>
      <c r="L975" s="25">
        <v>42132.3644212963</v>
      </c>
      <c r="M975" s="26" t="s">
        <v>1650</v>
      </c>
      <c r="N975" s="26" t="s">
        <v>1651</v>
      </c>
      <c r="O975" s="22" t="str">
        <f>HYPERLINK("https://pbs.twimg.com/profile_images/830713335117127680/Q5qrinGt_normal.jpg","View")</f>
        <v>View</v>
      </c>
      <c r="P975" s="27"/>
    </row>
    <row r="976">
      <c r="A976" s="14">
        <v>43031.096666666665</v>
      </c>
      <c r="B976" s="20" t="str">
        <f>HYPERLINK("https://twitter.com/bdnews24","@bdnews24")</f>
        <v>@bdnews24</v>
      </c>
      <c r="C976" s="21" t="s">
        <v>831</v>
      </c>
      <c r="D976" s="21" t="s">
        <v>2573</v>
      </c>
      <c r="E976" s="22" t="str">
        <f>HYPERLINK("https://twitter.com/bdnews24/status/922391948786393089","922391948786393089")</f>
        <v>922391948786393089</v>
      </c>
      <c r="F976" s="23" t="s">
        <v>187</v>
      </c>
      <c r="G976" s="24">
        <v>215301.0</v>
      </c>
      <c r="H976" s="24">
        <v>67843.0</v>
      </c>
      <c r="I976" s="24">
        <v>0.0</v>
      </c>
      <c r="J976" s="24">
        <v>0.0</v>
      </c>
      <c r="K976" s="23" t="s">
        <v>34</v>
      </c>
      <c r="L976" s="25">
        <v>39844.468043981484</v>
      </c>
      <c r="M976" s="26" t="s">
        <v>833</v>
      </c>
      <c r="N976" s="26" t="s">
        <v>834</v>
      </c>
      <c r="O976" s="22" t="str">
        <f>HYPERLINK("https://pbs.twimg.com/profile_images/718433521509994497/4iW9RC_r_normal.jpg","View")</f>
        <v>View</v>
      </c>
      <c r="P976" s="27"/>
    </row>
    <row r="977">
      <c r="A977" s="14">
        <v>43031.09667824074</v>
      </c>
      <c r="B977" s="20" t="str">
        <f>HYPERLINK("https://twitter.com/ganeshbabuab","@ganeshbabuab")</f>
        <v>@ganeshbabuab</v>
      </c>
      <c r="C977" s="21" t="s">
        <v>2574</v>
      </c>
      <c r="D977" s="21" t="s">
        <v>42</v>
      </c>
      <c r="E977" s="22" t="str">
        <f>HYPERLINK("https://twitter.com/ganeshbabuab/status/922391954419343360","922391954419343360")</f>
        <v>922391954419343360</v>
      </c>
      <c r="F977" s="23" t="s">
        <v>33</v>
      </c>
      <c r="G977" s="24">
        <v>78.0</v>
      </c>
      <c r="H977" s="24">
        <v>523.0</v>
      </c>
      <c r="I977" s="24">
        <v>8501.0</v>
      </c>
      <c r="J977" s="24">
        <v>0.0</v>
      </c>
      <c r="K977" s="23" t="s">
        <v>34</v>
      </c>
      <c r="L977" s="25">
        <v>40575.3259375</v>
      </c>
      <c r="M977" s="26" t="s">
        <v>40</v>
      </c>
      <c r="N977" s="28"/>
      <c r="O977" s="22" t="str">
        <f>HYPERLINK("https://pbs.twimg.com/profile_images/911917456997994498/DgSNlxRG_normal.jpg","View")</f>
        <v>View</v>
      </c>
      <c r="P977" s="27"/>
    </row>
    <row r="978">
      <c r="A978" s="14">
        <v>43031.09670138889</v>
      </c>
      <c r="B978" s="20" t="str">
        <f>HYPERLINK("https://twitter.com/ChristinaVnrd","@ChristinaVnrd")</f>
        <v>@ChristinaVnrd</v>
      </c>
      <c r="C978" s="21" t="s">
        <v>2575</v>
      </c>
      <c r="D978" s="21" t="s">
        <v>2576</v>
      </c>
      <c r="E978" s="22" t="str">
        <f>HYPERLINK("https://twitter.com/ChristinaVnrd/status/922391963428671488","922391963428671488")</f>
        <v>922391963428671488</v>
      </c>
      <c r="F978" s="23" t="s">
        <v>55</v>
      </c>
      <c r="G978" s="24">
        <v>732.0</v>
      </c>
      <c r="H978" s="24">
        <v>1859.0</v>
      </c>
      <c r="I978" s="24">
        <v>2.0</v>
      </c>
      <c r="J978" s="24">
        <v>0.0</v>
      </c>
      <c r="K978" s="23" t="s">
        <v>34</v>
      </c>
      <c r="L978" s="25">
        <v>40728.533368055556</v>
      </c>
      <c r="M978" s="26" t="s">
        <v>1110</v>
      </c>
      <c r="N978" s="26" t="s">
        <v>2577</v>
      </c>
      <c r="O978" s="22" t="str">
        <f>HYPERLINK("https://pbs.twimg.com/profile_images/483663813820964864/_Zzmbmt__normal.jpeg","View")</f>
        <v>View</v>
      </c>
      <c r="P978" s="27"/>
    </row>
    <row r="979">
      <c r="A979" s="14">
        <v>43031.09672453704</v>
      </c>
      <c r="B979" s="20" t="str">
        <f>HYPERLINK("https://twitter.com/StrayNomad","@StrayNomad")</f>
        <v>@StrayNomad</v>
      </c>
      <c r="C979" s="21" t="s">
        <v>2578</v>
      </c>
      <c r="D979" s="21" t="s">
        <v>42</v>
      </c>
      <c r="E979" s="22" t="str">
        <f>HYPERLINK("https://twitter.com/StrayNomad/status/922391971980894208","922391971980894208")</f>
        <v>922391971980894208</v>
      </c>
      <c r="F979" s="23" t="s">
        <v>33</v>
      </c>
      <c r="G979" s="24">
        <v>719.0</v>
      </c>
      <c r="H979" s="24">
        <v>818.0</v>
      </c>
      <c r="I979" s="24">
        <v>8501.0</v>
      </c>
      <c r="J979" s="24">
        <v>0.0</v>
      </c>
      <c r="K979" s="23" t="s">
        <v>34</v>
      </c>
      <c r="L979" s="25">
        <v>40205.89810185185</v>
      </c>
      <c r="M979" s="26" t="s">
        <v>1162</v>
      </c>
      <c r="N979" s="26" t="s">
        <v>2579</v>
      </c>
      <c r="O979" s="22" t="str">
        <f>HYPERLINK("https://pbs.twimg.com/profile_images/920471664248475648/XNYTa6wS_normal.jpg","View")</f>
        <v>View</v>
      </c>
      <c r="P979" s="27"/>
    </row>
    <row r="980">
      <c r="A980" s="14">
        <v>43031.09674768518</v>
      </c>
      <c r="B980" s="20" t="str">
        <f>HYPERLINK("https://twitter.com/GoldRiva","@GoldRiva")</f>
        <v>@GoldRiva</v>
      </c>
      <c r="C980" s="21" t="s">
        <v>2580</v>
      </c>
      <c r="D980" s="21" t="s">
        <v>2555</v>
      </c>
      <c r="E980" s="22" t="str">
        <f>HYPERLINK("https://twitter.com/GoldRiva/status/922391978096119809","922391978096119809")</f>
        <v>922391978096119809</v>
      </c>
      <c r="F980" s="23" t="s">
        <v>55</v>
      </c>
      <c r="G980" s="24">
        <v>2008.0</v>
      </c>
      <c r="H980" s="24">
        <v>1694.0</v>
      </c>
      <c r="I980" s="24">
        <v>58.0</v>
      </c>
      <c r="J980" s="24">
        <v>0.0</v>
      </c>
      <c r="K980" s="23" t="s">
        <v>34</v>
      </c>
      <c r="L980" s="25">
        <v>40719.90859953704</v>
      </c>
      <c r="M980" s="26" t="s">
        <v>40</v>
      </c>
      <c r="N980" s="26" t="s">
        <v>2581</v>
      </c>
      <c r="O980" s="22" t="str">
        <f>HYPERLINK("https://pbs.twimg.com/profile_images/885841243942641665/csfhCf0X_normal.jpg","View")</f>
        <v>View</v>
      </c>
      <c r="P980" s="27"/>
    </row>
    <row r="981">
      <c r="A981" s="14">
        <v>43031.09674768518</v>
      </c>
      <c r="B981" s="20" t="str">
        <f>HYPERLINK("https://twitter.com/Bunty_Bhangdiya","@Bunty_Bhangdiya")</f>
        <v>@Bunty_Bhangdiya</v>
      </c>
      <c r="C981" s="21" t="s">
        <v>2582</v>
      </c>
      <c r="D981" s="21" t="s">
        <v>42</v>
      </c>
      <c r="E981" s="22" t="str">
        <f>HYPERLINK("https://twitter.com/Bunty_Bhangdiya/status/922391979576537088","922391979576537088")</f>
        <v>922391979576537088</v>
      </c>
      <c r="F981" s="23" t="s">
        <v>230</v>
      </c>
      <c r="G981" s="24">
        <v>416.0</v>
      </c>
      <c r="H981" s="24">
        <v>219.0</v>
      </c>
      <c r="I981" s="24">
        <v>8501.0</v>
      </c>
      <c r="J981" s="24">
        <v>0.0</v>
      </c>
      <c r="K981" s="23" t="s">
        <v>34</v>
      </c>
      <c r="L981" s="25">
        <v>41982.913993055554</v>
      </c>
      <c r="M981" s="26" t="s">
        <v>2583</v>
      </c>
      <c r="N981" s="26" t="s">
        <v>2584</v>
      </c>
      <c r="O981" s="22" t="str">
        <f>HYPERLINK("https://pbs.twimg.com/profile_images/734622492480950272/ygNPNETw_normal.jpg","View")</f>
        <v>View</v>
      </c>
      <c r="P981" s="27"/>
    </row>
    <row r="982">
      <c r="A982" s="14">
        <v>43031.09680555556</v>
      </c>
      <c r="B982" s="20" t="str">
        <f>HYPERLINK("https://twitter.com/SocialLifeLA","@SocialLifeLA")</f>
        <v>@SocialLifeLA</v>
      </c>
      <c r="C982" s="21" t="s">
        <v>1561</v>
      </c>
      <c r="D982" s="21" t="s">
        <v>2585</v>
      </c>
      <c r="E982" s="22" t="str">
        <f>HYPERLINK("https://twitter.com/SocialLifeLA/status/922392000678252544","922392000678252544")</f>
        <v>922392000678252544</v>
      </c>
      <c r="F982" s="23" t="s">
        <v>187</v>
      </c>
      <c r="G982" s="24">
        <v>193.0</v>
      </c>
      <c r="H982" s="24">
        <v>60.0</v>
      </c>
      <c r="I982" s="24">
        <v>0.0</v>
      </c>
      <c r="J982" s="24">
        <v>0.0</v>
      </c>
      <c r="K982" s="23" t="s">
        <v>34</v>
      </c>
      <c r="L982" s="25">
        <v>42604.753807870366</v>
      </c>
      <c r="M982" s="26" t="s">
        <v>1563</v>
      </c>
      <c r="N982" s="26" t="s">
        <v>1564</v>
      </c>
      <c r="O982" s="22" t="str">
        <f>HYPERLINK("https://pbs.twimg.com/profile_images/767891928948023296/dUdnMBLO_normal.jpg","View")</f>
        <v>View</v>
      </c>
      <c r="P982" s="27"/>
    </row>
    <row r="983">
      <c r="A983" s="14">
        <v>43031.09684027778</v>
      </c>
      <c r="B983" s="20" t="str">
        <f>HYPERLINK("https://twitter.com/realbds","@realbds")</f>
        <v>@realbds</v>
      </c>
      <c r="C983" s="21" t="s">
        <v>2586</v>
      </c>
      <c r="D983" s="21" t="s">
        <v>42</v>
      </c>
      <c r="E983" s="22" t="str">
        <f>HYPERLINK("https://twitter.com/realbds/status/922392012162138117","922392012162138117")</f>
        <v>922392012162138117</v>
      </c>
      <c r="F983" s="23" t="s">
        <v>33</v>
      </c>
      <c r="G983" s="24">
        <v>49.0</v>
      </c>
      <c r="H983" s="24">
        <v>188.0</v>
      </c>
      <c r="I983" s="24">
        <v>8501.0</v>
      </c>
      <c r="J983" s="24">
        <v>0.0</v>
      </c>
      <c r="K983" s="23" t="s">
        <v>34</v>
      </c>
      <c r="L983" s="25">
        <v>40147.36009259259</v>
      </c>
      <c r="M983" s="26" t="s">
        <v>96</v>
      </c>
      <c r="N983" s="26" t="s">
        <v>2587</v>
      </c>
      <c r="O983" s="22" t="str">
        <f>HYPERLINK("https://pbs.twimg.com/profile_images/617370376767561728/UMF8u_2O_normal.jpg","View")</f>
        <v>View</v>
      </c>
      <c r="P983" s="27"/>
    </row>
    <row r="984">
      <c r="A984" s="14">
        <v>43031.096875</v>
      </c>
      <c r="B984" s="20" t="str">
        <f>HYPERLINK("https://twitter.com/vedaprakaasha","@vedaprakaasha")</f>
        <v>@vedaprakaasha</v>
      </c>
      <c r="C984" s="21" t="s">
        <v>2588</v>
      </c>
      <c r="D984" s="21" t="s">
        <v>42</v>
      </c>
      <c r="E984" s="22" t="str">
        <f>HYPERLINK("https://twitter.com/vedaprakaasha/status/922392025160327169","922392025160327169")</f>
        <v>922392025160327169</v>
      </c>
      <c r="F984" s="23" t="s">
        <v>33</v>
      </c>
      <c r="G984" s="24">
        <v>26.0</v>
      </c>
      <c r="H984" s="24">
        <v>30.0</v>
      </c>
      <c r="I984" s="24">
        <v>8501.0</v>
      </c>
      <c r="J984" s="24">
        <v>0.0</v>
      </c>
      <c r="K984" s="23" t="s">
        <v>34</v>
      </c>
      <c r="L984" s="25">
        <v>42122.39675925926</v>
      </c>
      <c r="M984" s="26" t="s">
        <v>2589</v>
      </c>
      <c r="N984" s="28"/>
      <c r="O984" s="22" t="str">
        <f>HYPERLINK("https://pbs.twimg.com/profile_images/920309677426016256/6ehTpLp__normal.jpg","View")</f>
        <v>View</v>
      </c>
      <c r="P984" s="27"/>
    </row>
    <row r="985">
      <c r="A985" s="14">
        <v>43031.096921296295</v>
      </c>
      <c r="B985" s="20" t="str">
        <f>HYPERLINK("https://twitter.com/ggit_s","@ggit_s")</f>
        <v>@ggit_s</v>
      </c>
      <c r="C985" s="21" t="s">
        <v>2590</v>
      </c>
      <c r="D985" s="21" t="s">
        <v>32</v>
      </c>
      <c r="E985" s="22" t="str">
        <f>HYPERLINK("https://twitter.com/ggit_s/status/922392039228100609","922392039228100609")</f>
        <v>922392039228100609</v>
      </c>
      <c r="F985" s="23" t="s">
        <v>33</v>
      </c>
      <c r="G985" s="24">
        <v>711.0</v>
      </c>
      <c r="H985" s="24">
        <v>380.0</v>
      </c>
      <c r="I985" s="24">
        <v>471.0</v>
      </c>
      <c r="J985" s="24">
        <v>0.0</v>
      </c>
      <c r="K985" s="23" t="s">
        <v>34</v>
      </c>
      <c r="L985" s="25">
        <v>40465.07104166667</v>
      </c>
      <c r="M985" s="26" t="s">
        <v>282</v>
      </c>
      <c r="N985" s="26" t="s">
        <v>2591</v>
      </c>
      <c r="O985" s="22" t="str">
        <f>HYPERLINK("https://pbs.twimg.com/profile_images/712188962828324864/351IHE8F_normal.jpg","View")</f>
        <v>View</v>
      </c>
      <c r="P985" s="27"/>
    </row>
    <row r="986">
      <c r="A986" s="14">
        <v>43031.09696759259</v>
      </c>
      <c r="B986" s="20" t="str">
        <f>HYPERLINK("https://twitter.com/caedristi","@caedristi")</f>
        <v>@caedristi</v>
      </c>
      <c r="C986" s="21" t="s">
        <v>2592</v>
      </c>
      <c r="D986" s="21" t="s">
        <v>2593</v>
      </c>
      <c r="E986" s="22" t="str">
        <f>HYPERLINK("https://twitter.com/caedristi/status/922392058517581824","922392058517581824")</f>
        <v>922392058517581824</v>
      </c>
      <c r="F986" s="23" t="s">
        <v>48</v>
      </c>
      <c r="G986" s="24">
        <v>166.0</v>
      </c>
      <c r="H986" s="24">
        <v>30.0</v>
      </c>
      <c r="I986" s="24">
        <v>0.0</v>
      </c>
      <c r="J986" s="24">
        <v>0.0</v>
      </c>
      <c r="K986" s="23" t="s">
        <v>34</v>
      </c>
      <c r="L986" s="25">
        <v>41933.07480324074</v>
      </c>
      <c r="M986" s="28"/>
      <c r="N986" s="28"/>
      <c r="O986" s="22" t="str">
        <f>HYPERLINK("https://abs.twimg.com/sticky/default_profile_images/default_profile_normal.png","View")</f>
        <v>View</v>
      </c>
      <c r="P986" s="27"/>
    </row>
    <row r="987">
      <c r="A987" s="14">
        <v>43031.09696759259</v>
      </c>
      <c r="B987" s="20" t="str">
        <f>HYPERLINK("https://twitter.com/Bianca_x17","@Bianca_x17")</f>
        <v>@Bianca_x17</v>
      </c>
      <c r="C987" s="21" t="s">
        <v>2594</v>
      </c>
      <c r="D987" s="21" t="s">
        <v>2595</v>
      </c>
      <c r="E987" s="22" t="str">
        <f>HYPERLINK("https://twitter.com/Bianca_x17/status/922392060010881026","922392060010881026")</f>
        <v>922392060010881026</v>
      </c>
      <c r="F987" s="23" t="s">
        <v>33</v>
      </c>
      <c r="G987" s="24">
        <v>255.0</v>
      </c>
      <c r="H987" s="24">
        <v>1596.0</v>
      </c>
      <c r="I987" s="24">
        <v>170.0</v>
      </c>
      <c r="J987" s="24">
        <v>0.0</v>
      </c>
      <c r="K987" s="23" t="s">
        <v>34</v>
      </c>
      <c r="L987" s="25">
        <v>40481.8746412037</v>
      </c>
      <c r="M987" s="28"/>
      <c r="N987" s="26" t="s">
        <v>2596</v>
      </c>
      <c r="O987" s="22" t="str">
        <f>HYPERLINK("https://pbs.twimg.com/profile_images/921295422093778944/SunhYKCj_normal.jpg","View")</f>
        <v>View</v>
      </c>
      <c r="P987" s="27"/>
    </row>
    <row r="988">
      <c r="A988" s="14">
        <v>43031.09701388889</v>
      </c>
      <c r="B988" s="20" t="str">
        <f>HYPERLINK("https://twitter.com/Dineshagrawal16","@Dineshagrawal16")</f>
        <v>@Dineshagrawal16</v>
      </c>
      <c r="C988" s="21" t="s">
        <v>2597</v>
      </c>
      <c r="D988" s="21" t="s">
        <v>163</v>
      </c>
      <c r="E988" s="22" t="str">
        <f>HYPERLINK("https://twitter.com/Dineshagrawal16/status/922392076410638336","922392076410638336")</f>
        <v>922392076410638336</v>
      </c>
      <c r="F988" s="23" t="s">
        <v>230</v>
      </c>
      <c r="G988" s="24">
        <v>733.0</v>
      </c>
      <c r="H988" s="24">
        <v>278.0</v>
      </c>
      <c r="I988" s="24">
        <v>1005.0</v>
      </c>
      <c r="J988" s="24">
        <v>0.0</v>
      </c>
      <c r="K988" s="23" t="s">
        <v>34</v>
      </c>
      <c r="L988" s="25">
        <v>40211.54554398148</v>
      </c>
      <c r="M988" s="26" t="s">
        <v>905</v>
      </c>
      <c r="N988" s="26" t="s">
        <v>2598</v>
      </c>
      <c r="O988" s="22" t="str">
        <f>HYPERLINK("https://pbs.twimg.com/profile_images/378800000128786666/3b08ba98f0196ec6aa411585c0ce5c92_normal.jpeg","View")</f>
        <v>View</v>
      </c>
      <c r="P988" s="27"/>
    </row>
    <row r="989">
      <c r="A989" s="14">
        <v>43031.09704861111</v>
      </c>
      <c r="B989" s="20" t="str">
        <f>HYPERLINK("https://twitter.com/Miyuri3724","@Miyuri3724")</f>
        <v>@Miyuri3724</v>
      </c>
      <c r="C989" s="21" t="s">
        <v>2599</v>
      </c>
      <c r="D989" s="21" t="s">
        <v>42</v>
      </c>
      <c r="E989" s="22" t="str">
        <f>HYPERLINK("https://twitter.com/Miyuri3724/status/922392089291190273","922392089291190273")</f>
        <v>922392089291190273</v>
      </c>
      <c r="F989" s="23" t="s">
        <v>39</v>
      </c>
      <c r="G989" s="24">
        <v>1700.0</v>
      </c>
      <c r="H989" s="24">
        <v>2373.0</v>
      </c>
      <c r="I989" s="24">
        <v>8501.0</v>
      </c>
      <c r="J989" s="24">
        <v>0.0</v>
      </c>
      <c r="K989" s="23" t="s">
        <v>34</v>
      </c>
      <c r="L989" s="25">
        <v>41740.31086805556</v>
      </c>
      <c r="M989" s="26" t="s">
        <v>2600</v>
      </c>
      <c r="N989" s="26" t="s">
        <v>2601</v>
      </c>
      <c r="O989" s="22" t="str">
        <f>HYPERLINK("https://pbs.twimg.com/profile_images/454643103731691520/UFUiASEa_normal.jpeg","View")</f>
        <v>View</v>
      </c>
      <c r="P989" s="27"/>
    </row>
    <row r="990">
      <c r="A990" s="14">
        <v>43031.097129629634</v>
      </c>
      <c r="B990" s="20" t="str">
        <f>HYPERLINK("https://twitter.com/equityin","@equityin")</f>
        <v>@equityin</v>
      </c>
      <c r="C990" s="21" t="s">
        <v>2602</v>
      </c>
      <c r="D990" s="21" t="s">
        <v>2603</v>
      </c>
      <c r="E990" s="22" t="str">
        <f>HYPERLINK("https://twitter.com/equityin/status/922392114645921793","922392114645921793")</f>
        <v>922392114645921793</v>
      </c>
      <c r="F990" s="23" t="s">
        <v>55</v>
      </c>
      <c r="G990" s="24">
        <v>1806.0</v>
      </c>
      <c r="H990" s="24">
        <v>4616.0</v>
      </c>
      <c r="I990" s="24">
        <v>0.0</v>
      </c>
      <c r="J990" s="24">
        <v>0.0</v>
      </c>
      <c r="K990" s="23" t="s">
        <v>34</v>
      </c>
      <c r="L990" s="25">
        <v>40611.20278935185</v>
      </c>
      <c r="M990" s="26" t="s">
        <v>2604</v>
      </c>
      <c r="N990" s="26" t="s">
        <v>2605</v>
      </c>
      <c r="O990" s="22" t="str">
        <f>HYPERLINK("https://pbs.twimg.com/profile_images/1365881938/_____normal.jpg","View")</f>
        <v>View</v>
      </c>
      <c r="P990" s="27"/>
    </row>
    <row r="991">
      <c r="A991" s="14">
        <v>43031.097129629634</v>
      </c>
      <c r="B991" s="20" t="str">
        <f>HYPERLINK("https://twitter.com/ssv8980","@ssv8980")</f>
        <v>@ssv8980</v>
      </c>
      <c r="C991" s="21" t="s">
        <v>2606</v>
      </c>
      <c r="D991" s="21" t="s">
        <v>2607</v>
      </c>
      <c r="E991" s="22" t="str">
        <f>HYPERLINK("https://twitter.com/ssv8980/status/922392118445801472","922392118445801472")</f>
        <v>922392118445801472</v>
      </c>
      <c r="F991" s="23" t="s">
        <v>55</v>
      </c>
      <c r="G991" s="24">
        <v>438.0</v>
      </c>
      <c r="H991" s="24">
        <v>1156.0</v>
      </c>
      <c r="I991" s="24">
        <v>0.0</v>
      </c>
      <c r="J991" s="24">
        <v>0.0</v>
      </c>
      <c r="K991" s="23" t="s">
        <v>34</v>
      </c>
      <c r="L991" s="25">
        <v>42699.905451388884</v>
      </c>
      <c r="M991" s="26" t="s">
        <v>2608</v>
      </c>
      <c r="N991" s="26" t="s">
        <v>2609</v>
      </c>
      <c r="O991" s="22" t="str">
        <f>HYPERLINK("https://pbs.twimg.com/profile_images/802390838932226049/sPVBxJ0s_normal.jpg","View")</f>
        <v>View</v>
      </c>
      <c r="P991" s="27"/>
    </row>
    <row r="992">
      <c r="A992" s="14">
        <v>43031.09719907407</v>
      </c>
      <c r="B992" s="20" t="str">
        <f>HYPERLINK("https://twitter.com/koremiyogashi","@koremiyogashi")</f>
        <v>@koremiyogashi</v>
      </c>
      <c r="C992" s="21" t="s">
        <v>2610</v>
      </c>
      <c r="D992" s="21" t="s">
        <v>42</v>
      </c>
      <c r="E992" s="22" t="str">
        <f>HYPERLINK("https://twitter.com/koremiyogashi/status/922392143485792256","922392143485792256")</f>
        <v>922392143485792256</v>
      </c>
      <c r="F992" s="23" t="s">
        <v>33</v>
      </c>
      <c r="G992" s="24">
        <v>211.0</v>
      </c>
      <c r="H992" s="24">
        <v>186.0</v>
      </c>
      <c r="I992" s="24">
        <v>8501.0</v>
      </c>
      <c r="J992" s="24">
        <v>0.0</v>
      </c>
      <c r="K992" s="23" t="s">
        <v>34</v>
      </c>
      <c r="L992" s="25">
        <v>40098.088472222225</v>
      </c>
      <c r="M992" s="28"/>
      <c r="N992" s="26" t="s">
        <v>2611</v>
      </c>
      <c r="O992" s="22" t="str">
        <f>HYPERLINK("https://pbs.twimg.com/profile_images/555339569755725824/9NTvvldu_normal.jpeg","View")</f>
        <v>View</v>
      </c>
      <c r="P992" s="27"/>
    </row>
    <row r="993">
      <c r="A993" s="14">
        <v>43031.09726851852</v>
      </c>
      <c r="B993" s="20" t="str">
        <f>HYPERLINK("https://twitter.com/the__himanish","@the__himanish")</f>
        <v>@the__himanish</v>
      </c>
      <c r="C993" s="21" t="s">
        <v>2612</v>
      </c>
      <c r="D993" s="21" t="s">
        <v>2613</v>
      </c>
      <c r="E993" s="22" t="str">
        <f>HYPERLINK("https://twitter.com/the__himanish/status/922392168400121856","922392168400121856")</f>
        <v>922392168400121856</v>
      </c>
      <c r="F993" s="23" t="s">
        <v>187</v>
      </c>
      <c r="G993" s="24">
        <v>1822.0</v>
      </c>
      <c r="H993" s="24">
        <v>1621.0</v>
      </c>
      <c r="I993" s="24">
        <v>0.0</v>
      </c>
      <c r="J993" s="24">
        <v>0.0</v>
      </c>
      <c r="K993" s="23" t="s">
        <v>34</v>
      </c>
      <c r="L993" s="25">
        <v>40222.15178240741</v>
      </c>
      <c r="M993" s="26" t="s">
        <v>96</v>
      </c>
      <c r="N993" s="26" t="s">
        <v>2614</v>
      </c>
      <c r="O993" s="22" t="str">
        <f>HYPERLINK("https://pbs.twimg.com/profile_images/914165533918015489/A6iR_gz2_normal.jpg","View")</f>
        <v>View</v>
      </c>
      <c r="P993" s="27"/>
    </row>
    <row r="994">
      <c r="A994" s="14">
        <v>43031.097280092596</v>
      </c>
      <c r="B994" s="20" t="str">
        <f>HYPERLINK("https://twitter.com/DharAshok09","@DharAshok09")</f>
        <v>@DharAshok09</v>
      </c>
      <c r="C994" s="21" t="s">
        <v>2615</v>
      </c>
      <c r="D994" s="21" t="s">
        <v>42</v>
      </c>
      <c r="E994" s="22" t="str">
        <f>HYPERLINK("https://twitter.com/DharAshok09/status/922392170450927616","922392170450927616")</f>
        <v>922392170450927616</v>
      </c>
      <c r="F994" s="23" t="s">
        <v>230</v>
      </c>
      <c r="G994" s="24">
        <v>44.0</v>
      </c>
      <c r="H994" s="24">
        <v>489.0</v>
      </c>
      <c r="I994" s="24">
        <v>8501.0</v>
      </c>
      <c r="J994" s="24">
        <v>0.0</v>
      </c>
      <c r="K994" s="23" t="s">
        <v>34</v>
      </c>
      <c r="L994" s="25">
        <v>41506.46741898148</v>
      </c>
      <c r="M994" s="28"/>
      <c r="N994" s="28"/>
      <c r="O994" s="22" t="str">
        <f>HYPERLINK("https://abs.twimg.com/sticky/default_profile_images/default_profile_normal.png","View")</f>
        <v>View</v>
      </c>
      <c r="P994" s="27"/>
    </row>
    <row r="995">
      <c r="A995" s="14">
        <v>43031.09734953704</v>
      </c>
      <c r="B995" s="20" t="str">
        <f>HYPERLINK("https://twitter.com/bostonnewslocal","@bostonnewslocal")</f>
        <v>@bostonnewslocal</v>
      </c>
      <c r="C995" s="21" t="s">
        <v>2616</v>
      </c>
      <c r="D995" s="21" t="s">
        <v>2617</v>
      </c>
      <c r="E995" s="22" t="str">
        <f>HYPERLINK("https://twitter.com/bostonnewslocal/status/922392198473187328","922392198473187328")</f>
        <v>922392198473187328</v>
      </c>
      <c r="F995" s="23" t="s">
        <v>2618</v>
      </c>
      <c r="G995" s="24">
        <v>2018.0</v>
      </c>
      <c r="H995" s="24">
        <v>34.0</v>
      </c>
      <c r="I995" s="24">
        <v>1.0</v>
      </c>
      <c r="J995" s="24">
        <v>0.0</v>
      </c>
      <c r="K995" s="23" t="s">
        <v>34</v>
      </c>
      <c r="L995" s="25">
        <v>42503.38902777778</v>
      </c>
      <c r="M995" s="26" t="s">
        <v>2619</v>
      </c>
      <c r="N995" s="26" t="s">
        <v>2620</v>
      </c>
      <c r="O995" s="22" t="str">
        <f>HYPERLINK("https://pbs.twimg.com/profile_images/774074783130488832/kQ3JMvAF_normal.jpg","View")</f>
        <v>View</v>
      </c>
      <c r="P995" s="27"/>
    </row>
    <row r="996">
      <c r="A996" s="14">
        <v>43031.09736111111</v>
      </c>
      <c r="B996" s="20" t="str">
        <f>HYPERLINK("https://twitter.com/uk_worldnews","@uk_worldnews")</f>
        <v>@uk_worldnews</v>
      </c>
      <c r="C996" s="21" t="s">
        <v>2621</v>
      </c>
      <c r="D996" s="21" t="s">
        <v>2622</v>
      </c>
      <c r="E996" s="22" t="str">
        <f>HYPERLINK("https://twitter.com/uk_worldnews/status/922392200947929088","922392200947929088")</f>
        <v>922392200947929088</v>
      </c>
      <c r="F996" s="23" t="s">
        <v>1020</v>
      </c>
      <c r="G996" s="24">
        <v>1134.0</v>
      </c>
      <c r="H996" s="24">
        <v>886.0</v>
      </c>
      <c r="I996" s="24">
        <v>0.0</v>
      </c>
      <c r="J996" s="24">
        <v>0.0</v>
      </c>
      <c r="K996" s="23" t="s">
        <v>34</v>
      </c>
      <c r="L996" s="25">
        <v>41691.490381944444</v>
      </c>
      <c r="M996" s="28"/>
      <c r="N996" s="26" t="s">
        <v>2623</v>
      </c>
      <c r="O996" s="22" t="str">
        <f>HYPERLINK("https://pbs.twimg.com/profile_images/436950530964070400/VO-NlZAO_normal.png","View")</f>
        <v>View</v>
      </c>
      <c r="P996" s="27"/>
    </row>
    <row r="997">
      <c r="A997" s="14">
        <v>43031.097407407404</v>
      </c>
      <c r="B997" s="20" t="str">
        <f>HYPERLINK("https://twitter.com/TirtaNews","@TirtaNews")</f>
        <v>@TirtaNews</v>
      </c>
      <c r="C997" s="21" t="s">
        <v>2624</v>
      </c>
      <c r="D997" s="21" t="s">
        <v>2625</v>
      </c>
      <c r="E997" s="22" t="str">
        <f>HYPERLINK("https://twitter.com/TirtaNews/status/922392218282938369","922392218282938369")</f>
        <v>922392218282938369</v>
      </c>
      <c r="F997" s="23" t="s">
        <v>187</v>
      </c>
      <c r="G997" s="24">
        <v>183.0</v>
      </c>
      <c r="H997" s="24">
        <v>66.0</v>
      </c>
      <c r="I997" s="24">
        <v>0.0</v>
      </c>
      <c r="J997" s="24">
        <v>0.0</v>
      </c>
      <c r="K997" s="23" t="s">
        <v>34</v>
      </c>
      <c r="L997" s="25">
        <v>41894.34030092593</v>
      </c>
      <c r="M997" s="28"/>
      <c r="N997" s="28"/>
      <c r="O997" s="22" t="str">
        <f>HYPERLINK("https://pbs.twimg.com/profile_images/510469173214846976/ZLGHsEM0_normal.png","View")</f>
        <v>View</v>
      </c>
      <c r="P997" s="27"/>
    </row>
    <row r="998">
      <c r="A998" s="14">
        <v>43031.09743055556</v>
      </c>
      <c r="B998" s="20" t="str">
        <f>HYPERLINK("https://twitter.com/360BizInfo","@360BizInfo")</f>
        <v>@360BizInfo</v>
      </c>
      <c r="C998" s="21" t="s">
        <v>2626</v>
      </c>
      <c r="D998" s="21" t="s">
        <v>2627</v>
      </c>
      <c r="E998" s="22" t="str">
        <f>HYPERLINK("https://twitter.com/360BizInfo/status/922392224851165184","922392224851165184")</f>
        <v>922392224851165184</v>
      </c>
      <c r="F998" s="23" t="s">
        <v>187</v>
      </c>
      <c r="G998" s="24">
        <v>417.0</v>
      </c>
      <c r="H998" s="24">
        <v>369.0</v>
      </c>
      <c r="I998" s="24">
        <v>0.0</v>
      </c>
      <c r="J998" s="24">
        <v>0.0</v>
      </c>
      <c r="K998" s="23" t="s">
        <v>34</v>
      </c>
      <c r="L998" s="25">
        <v>42378.719548611116</v>
      </c>
      <c r="M998" s="28"/>
      <c r="N998" s="26" t="s">
        <v>2628</v>
      </c>
      <c r="O998" s="22" t="str">
        <f>HYPERLINK("https://pbs.twimg.com/profile_images/867458762877095936/iANdaTlX_normal.jpg","View")</f>
        <v>View</v>
      </c>
      <c r="P998" s="27"/>
    </row>
    <row r="999">
      <c r="A999" s="14">
        <v>43031.09744212963</v>
      </c>
      <c r="B999" s="20" t="str">
        <f>HYPERLINK("https://twitter.com/BillTurcke","@BillTurcke")</f>
        <v>@BillTurcke</v>
      </c>
      <c r="C999" s="21" t="s">
        <v>2629</v>
      </c>
      <c r="D999" s="21" t="s">
        <v>2630</v>
      </c>
      <c r="E999" s="22" t="str">
        <f>HYPERLINK("https://twitter.com/BillTurcke/status/922392230886862848","922392230886862848")</f>
        <v>922392230886862848</v>
      </c>
      <c r="F999" s="23" t="s">
        <v>187</v>
      </c>
      <c r="G999" s="24">
        <v>327.0</v>
      </c>
      <c r="H999" s="24">
        <v>472.0</v>
      </c>
      <c r="I999" s="24">
        <v>0.0</v>
      </c>
      <c r="J999" s="24">
        <v>0.0</v>
      </c>
      <c r="K999" s="23" t="s">
        <v>34</v>
      </c>
      <c r="L999" s="25">
        <v>42882.62079861111</v>
      </c>
      <c r="M999" s="26" t="s">
        <v>905</v>
      </c>
      <c r="N999" s="26" t="s">
        <v>2631</v>
      </c>
      <c r="O999" s="22" t="str">
        <f>HYPERLINK("https://pbs.twimg.com/profile_images/907594368969822208/1W8ugjw6_normal.jpg","View")</f>
        <v>View</v>
      </c>
      <c r="P999" s="27"/>
    </row>
    <row r="1000">
      <c r="A1000" s="14">
        <v>43031.09746527778</v>
      </c>
      <c r="B1000" s="20" t="str">
        <f>HYPERLINK("https://twitter.com/mlnangalama","@mlnangalama")</f>
        <v>@mlnangalama</v>
      </c>
      <c r="C1000" s="21" t="s">
        <v>925</v>
      </c>
      <c r="D1000" s="21" t="s">
        <v>2632</v>
      </c>
      <c r="E1000" s="22" t="str">
        <f>HYPERLINK("https://twitter.com/mlnangalama/status/922392238092619776","922392238092619776")</f>
        <v>922392238092619776</v>
      </c>
      <c r="F1000" s="23" t="s">
        <v>187</v>
      </c>
      <c r="G1000" s="24">
        <v>2366.0</v>
      </c>
      <c r="H1000" s="24">
        <v>1582.0</v>
      </c>
      <c r="I1000" s="24">
        <v>0.0</v>
      </c>
      <c r="J1000" s="24">
        <v>0.0</v>
      </c>
      <c r="K1000" s="23" t="s">
        <v>34</v>
      </c>
      <c r="L1000" s="25">
        <v>41041.54378472222</v>
      </c>
      <c r="M1000" s="26" t="s">
        <v>927</v>
      </c>
      <c r="N1000" s="26" t="s">
        <v>928</v>
      </c>
      <c r="O1000" s="22" t="str">
        <f>HYPERLINK("https://pbs.twimg.com/profile_images/900915882444173313/biUHzvpx_normal.jpg","View")</f>
        <v>View</v>
      </c>
      <c r="P1000" s="27"/>
    </row>
    <row r="1001">
      <c r="A1001" s="14">
        <v>43031.09753472223</v>
      </c>
      <c r="B1001" s="20" t="str">
        <f>HYPERLINK("https://twitter.com/TheBFRoom","@TheBFRoom")</f>
        <v>@TheBFRoom</v>
      </c>
      <c r="C1001" s="21" t="s">
        <v>943</v>
      </c>
      <c r="D1001" s="21" t="s">
        <v>2633</v>
      </c>
      <c r="E1001" s="22" t="str">
        <f>HYPERLINK("https://twitter.com/TheBFRoom/status/922392261966618624","922392261966618624")</f>
        <v>922392261966618624</v>
      </c>
      <c r="F1001" s="23" t="s">
        <v>187</v>
      </c>
      <c r="G1001" s="24">
        <v>3193.0</v>
      </c>
      <c r="H1001" s="24">
        <v>3873.0</v>
      </c>
      <c r="I1001" s="24">
        <v>0.0</v>
      </c>
      <c r="J1001" s="24">
        <v>0.0</v>
      </c>
      <c r="K1001" s="23" t="s">
        <v>34</v>
      </c>
      <c r="L1001" s="25">
        <v>42761.325162037036</v>
      </c>
      <c r="M1001" s="26" t="s">
        <v>68</v>
      </c>
      <c r="N1001" s="26" t="s">
        <v>945</v>
      </c>
      <c r="O1001" s="22" t="str">
        <f>HYPERLINK("https://pbs.twimg.com/profile_images/898379268778020864/0u1zlj_B_normal.jpg","View")</f>
        <v>View</v>
      </c>
      <c r="P1001" s="27"/>
    </row>
    <row r="1002">
      <c r="A1002" s="14">
        <v>43031.09758101852</v>
      </c>
      <c r="B1002" s="20" t="str">
        <f>HYPERLINK("https://twitter.com/BorneoTrading","@BorneoTrading")</f>
        <v>@BorneoTrading</v>
      </c>
      <c r="C1002" s="21" t="s">
        <v>2634</v>
      </c>
      <c r="D1002" s="21" t="s">
        <v>2635</v>
      </c>
      <c r="E1002" s="22" t="str">
        <f>HYPERLINK("https://twitter.com/BorneoTrading/status/922392279410671617","922392279410671617")</f>
        <v>922392279410671617</v>
      </c>
      <c r="F1002" s="23" t="s">
        <v>2255</v>
      </c>
      <c r="G1002" s="24">
        <v>867.0</v>
      </c>
      <c r="H1002" s="24">
        <v>49.0</v>
      </c>
      <c r="I1002" s="24">
        <v>0.0</v>
      </c>
      <c r="J1002" s="24">
        <v>0.0</v>
      </c>
      <c r="K1002" s="23" t="s">
        <v>34</v>
      </c>
      <c r="L1002" s="25">
        <v>42979.35880787037</v>
      </c>
      <c r="M1002" s="28"/>
      <c r="N1002" s="28"/>
      <c r="O1002" s="22" t="str">
        <f>HYPERLINK("https://pbs.twimg.com/profile_images/903644838524059649/4g6deIqw_normal.jpg","View")</f>
        <v>View</v>
      </c>
      <c r="P1002" s="27"/>
    </row>
    <row r="1003">
      <c r="A1003" s="14">
        <v>43031.09761574074</v>
      </c>
      <c r="B1003" s="20" t="str">
        <f>HYPERLINK("https://twitter.com/98_dhiraj","@98_dhiraj")</f>
        <v>@98_dhiraj</v>
      </c>
      <c r="C1003" s="21" t="s">
        <v>2636</v>
      </c>
      <c r="D1003" s="21" t="s">
        <v>42</v>
      </c>
      <c r="E1003" s="22" t="str">
        <f>HYPERLINK("https://twitter.com/98_dhiraj/status/922392291800530947","922392291800530947")</f>
        <v>922392291800530947</v>
      </c>
      <c r="F1003" s="23" t="s">
        <v>33</v>
      </c>
      <c r="G1003" s="24">
        <v>77.0</v>
      </c>
      <c r="H1003" s="24">
        <v>278.0</v>
      </c>
      <c r="I1003" s="24">
        <v>8501.0</v>
      </c>
      <c r="J1003" s="24">
        <v>0.0</v>
      </c>
      <c r="K1003" s="23" t="s">
        <v>34</v>
      </c>
      <c r="L1003" s="25">
        <v>42779.53275462963</v>
      </c>
      <c r="M1003" s="26" t="s">
        <v>2637</v>
      </c>
      <c r="N1003" s="26" t="s">
        <v>2638</v>
      </c>
      <c r="O1003" s="22" t="str">
        <f>HYPERLINK("https://pbs.twimg.com/profile_images/921092192717783040/FyA7hITk_normal.jpg","View")</f>
        <v>View</v>
      </c>
      <c r="P1003" s="27"/>
    </row>
    <row r="1004">
      <c r="A1004" s="14">
        <v>43031.09763888889</v>
      </c>
      <c r="B1004" s="20" t="str">
        <f>HYPERLINK("https://twitter.com/kapoor_hema","@kapoor_hema")</f>
        <v>@kapoor_hema</v>
      </c>
      <c r="C1004" s="21" t="s">
        <v>2639</v>
      </c>
      <c r="D1004" s="21" t="s">
        <v>42</v>
      </c>
      <c r="E1004" s="22" t="str">
        <f>HYPERLINK("https://twitter.com/kapoor_hema/status/922392300541460480","922392300541460480")</f>
        <v>922392300541460480</v>
      </c>
      <c r="F1004" s="23" t="s">
        <v>230</v>
      </c>
      <c r="G1004" s="24">
        <v>692.0</v>
      </c>
      <c r="H1004" s="24">
        <v>2372.0</v>
      </c>
      <c r="I1004" s="24">
        <v>8501.0</v>
      </c>
      <c r="J1004" s="24">
        <v>0.0</v>
      </c>
      <c r="K1004" s="23" t="s">
        <v>34</v>
      </c>
      <c r="L1004" s="25">
        <v>40740.971712962964</v>
      </c>
      <c r="M1004" s="26" t="s">
        <v>207</v>
      </c>
      <c r="N1004" s="28"/>
      <c r="O1004" s="22" t="str">
        <f>HYPERLINK("https://pbs.twimg.com/profile_images/3770530397/554125045af7645e5e24de7af7ee4054_normal.jpeg","View")</f>
        <v>View</v>
      </c>
      <c r="P1004" s="27"/>
    </row>
    <row r="1005">
      <c r="A1005" s="14">
        <v>43031.097662037035</v>
      </c>
      <c r="B1005" s="20" t="str">
        <f>HYPERLINK("https://twitter.com/KatAdeney","@KatAdeney")</f>
        <v>@KatAdeney</v>
      </c>
      <c r="C1005" s="21" t="s">
        <v>2640</v>
      </c>
      <c r="D1005" s="21" t="s">
        <v>2641</v>
      </c>
      <c r="E1005" s="22" t="str">
        <f>HYPERLINK("https://twitter.com/KatAdeney/status/922392311077769216","922392311077769216")</f>
        <v>922392311077769216</v>
      </c>
      <c r="F1005" s="30" t="s">
        <v>191</v>
      </c>
      <c r="G1005" s="24">
        <v>1905.0</v>
      </c>
      <c r="H1005" s="24">
        <v>1797.0</v>
      </c>
      <c r="I1005" s="24">
        <v>1.0</v>
      </c>
      <c r="J1005" s="24">
        <v>1.0</v>
      </c>
      <c r="K1005" s="23" t="s">
        <v>34</v>
      </c>
      <c r="L1005" s="25">
        <v>40102.33482638889</v>
      </c>
      <c r="M1005" s="26" t="s">
        <v>2642</v>
      </c>
      <c r="N1005" s="26" t="s">
        <v>2643</v>
      </c>
      <c r="O1005" s="22" t="str">
        <f>HYPERLINK("https://pbs.twimg.com/profile_images/675067013174329344/jfGAbaa5_normal.jpg","View")</f>
        <v>View</v>
      </c>
      <c r="P1005" s="27"/>
    </row>
    <row r="1006">
      <c r="A1006" s="14">
        <v>43031.097708333335</v>
      </c>
      <c r="B1006" s="20" t="str">
        <f>HYPERLINK("https://twitter.com/peacelevels","@peacelevels")</f>
        <v>@peacelevels</v>
      </c>
      <c r="C1006" s="21" t="s">
        <v>2644</v>
      </c>
      <c r="D1006" s="21" t="s">
        <v>2555</v>
      </c>
      <c r="E1006" s="22" t="str">
        <f>HYPERLINK("https://twitter.com/peacelevels/status/922392326386810880","922392326386810880")</f>
        <v>922392326386810880</v>
      </c>
      <c r="F1006" s="23" t="s">
        <v>33</v>
      </c>
      <c r="G1006" s="24">
        <v>476.0</v>
      </c>
      <c r="H1006" s="24">
        <v>1229.0</v>
      </c>
      <c r="I1006" s="24">
        <v>58.0</v>
      </c>
      <c r="J1006" s="24">
        <v>0.0</v>
      </c>
      <c r="K1006" s="23" t="s">
        <v>34</v>
      </c>
      <c r="L1006" s="25">
        <v>42739.29861111111</v>
      </c>
      <c r="M1006" s="26" t="s">
        <v>2645</v>
      </c>
      <c r="N1006" s="26" t="s">
        <v>2646</v>
      </c>
      <c r="O1006" s="22" t="str">
        <f>HYPERLINK("https://pbs.twimg.com/profile_images/829073239028609025/f_dME3D4_normal.jpg","View")</f>
        <v>View</v>
      </c>
      <c r="P1006" s="27"/>
    </row>
    <row r="1007">
      <c r="A1007" s="14">
        <v>43031.09771990741</v>
      </c>
      <c r="B1007" s="20" t="str">
        <f>HYPERLINK("https://twitter.com/kapilnaren","@kapilnaren")</f>
        <v>@kapilnaren</v>
      </c>
      <c r="C1007" s="21" t="s">
        <v>2647</v>
      </c>
      <c r="D1007" s="21" t="s">
        <v>42</v>
      </c>
      <c r="E1007" s="22" t="str">
        <f>HYPERLINK("https://twitter.com/kapilnaren/status/922392329067073536","922392329067073536")</f>
        <v>922392329067073536</v>
      </c>
      <c r="F1007" s="23" t="s">
        <v>39</v>
      </c>
      <c r="G1007" s="24">
        <v>191.0</v>
      </c>
      <c r="H1007" s="24">
        <v>348.0</v>
      </c>
      <c r="I1007" s="24">
        <v>8501.0</v>
      </c>
      <c r="J1007" s="24">
        <v>0.0</v>
      </c>
      <c r="K1007" s="23" t="s">
        <v>34</v>
      </c>
      <c r="L1007" s="25">
        <v>41927.78706018518</v>
      </c>
      <c r="M1007" s="28"/>
      <c r="N1007" s="28"/>
      <c r="O1007" s="22" t="str">
        <f>HYPERLINK("https://pbs.twimg.com/profile_images/883471088805662721/dRB3a39b_normal.jpg","View")</f>
        <v>View</v>
      </c>
      <c r="P1007" s="27"/>
    </row>
    <row r="1008">
      <c r="A1008" s="14">
        <v>43031.09773148148</v>
      </c>
      <c r="B1008" s="20" t="str">
        <f>HYPERLINK("https://twitter.com/penanancyr","@penanancyr")</f>
        <v>@penanancyr</v>
      </c>
      <c r="C1008" s="21" t="s">
        <v>2648</v>
      </c>
      <c r="D1008" s="21" t="s">
        <v>2649</v>
      </c>
      <c r="E1008" s="22" t="str">
        <f>HYPERLINK("https://twitter.com/penanancyr/status/922392333898919936","922392333898919936")</f>
        <v>922392333898919936</v>
      </c>
      <c r="F1008" s="23" t="s">
        <v>187</v>
      </c>
      <c r="G1008" s="24">
        <v>4.0</v>
      </c>
      <c r="H1008" s="24">
        <v>50.0</v>
      </c>
      <c r="I1008" s="24">
        <v>0.0</v>
      </c>
      <c r="J1008" s="24">
        <v>0.0</v>
      </c>
      <c r="K1008" s="23" t="s">
        <v>34</v>
      </c>
      <c r="L1008" s="25">
        <v>41777.88165509259</v>
      </c>
      <c r="M1008" s="28"/>
      <c r="N1008" s="26" t="s">
        <v>2650</v>
      </c>
      <c r="O1008" s="22" t="str">
        <f>HYPERLINK("https://pbs.twimg.com/profile_images/468243776532520961/B_MDHB1d_normal.jpeg","View")</f>
        <v>View</v>
      </c>
      <c r="P1008" s="27"/>
    </row>
    <row r="1009">
      <c r="A1009" s="14">
        <v>43031.09783564815</v>
      </c>
      <c r="B1009" s="20" t="str">
        <f>HYPERLINK("https://twitter.com/iCongresmuktIND","@iCongresmuktIND")</f>
        <v>@iCongresmuktIND</v>
      </c>
      <c r="C1009" s="21" t="s">
        <v>2651</v>
      </c>
      <c r="D1009" s="21" t="s">
        <v>42</v>
      </c>
      <c r="E1009" s="22" t="str">
        <f>HYPERLINK("https://twitter.com/iCongresmuktIND/status/922392370888314880","922392370888314880")</f>
        <v>922392370888314880</v>
      </c>
      <c r="F1009" s="23" t="s">
        <v>33</v>
      </c>
      <c r="G1009" s="24">
        <v>30.0</v>
      </c>
      <c r="H1009" s="24">
        <v>5.0</v>
      </c>
      <c r="I1009" s="24">
        <v>8501.0</v>
      </c>
      <c r="J1009" s="24">
        <v>0.0</v>
      </c>
      <c r="K1009" s="23" t="s">
        <v>34</v>
      </c>
      <c r="L1009" s="25">
        <v>42934.10167824074</v>
      </c>
      <c r="M1009" s="28"/>
      <c r="N1009" s="26" t="s">
        <v>2652</v>
      </c>
      <c r="O1009" s="22" t="str">
        <f>HYPERLINK("https://pbs.twimg.com/profile_images/887245070906380289/lC34qc9T_normal.jpg","View")</f>
        <v>View</v>
      </c>
      <c r="P1009" s="27"/>
    </row>
    <row r="1010">
      <c r="A1010" s="14">
        <v>43031.097858796296</v>
      </c>
      <c r="B1010" s="20" t="str">
        <f>HYPERLINK("https://twitter.com/HF7elav7OCrxbcL","@HF7elav7OCrxbcL")</f>
        <v>@HF7elav7OCrxbcL</v>
      </c>
      <c r="C1010" s="21" t="s">
        <v>2653</v>
      </c>
      <c r="D1010" s="21" t="s">
        <v>42</v>
      </c>
      <c r="E1010" s="22" t="str">
        <f>HYPERLINK("https://twitter.com/HF7elav7OCrxbcL/status/922392381080535040","922392381080535040")</f>
        <v>922392381080535040</v>
      </c>
      <c r="F1010" s="23" t="s">
        <v>39</v>
      </c>
      <c r="G1010" s="24">
        <v>468.0</v>
      </c>
      <c r="H1010" s="24">
        <v>111.0</v>
      </c>
      <c r="I1010" s="24">
        <v>8501.0</v>
      </c>
      <c r="J1010" s="24">
        <v>0.0</v>
      </c>
      <c r="K1010" s="23" t="s">
        <v>34</v>
      </c>
      <c r="L1010" s="25">
        <v>42393.76804398149</v>
      </c>
      <c r="M1010" s="28"/>
      <c r="N1010" s="28"/>
      <c r="O1010" s="22" t="str">
        <f>HYPERLINK("https://abs.twimg.com/sticky/default_profile_images/default_profile_normal.png","View")</f>
        <v>View</v>
      </c>
      <c r="P1010" s="27"/>
    </row>
    <row r="1011">
      <c r="A1011" s="14">
        <v>43031.09798611111</v>
      </c>
      <c r="B1011" s="20" t="str">
        <f>HYPERLINK("https://twitter.com/NarrendraM","@NarrendraM")</f>
        <v>@NarrendraM</v>
      </c>
      <c r="C1011" s="21" t="s">
        <v>2654</v>
      </c>
      <c r="D1011" s="21" t="s">
        <v>2655</v>
      </c>
      <c r="E1011" s="22" t="str">
        <f>HYPERLINK("https://twitter.com/NarrendraM/status/922392428518273025","922392428518273025")</f>
        <v>922392428518273025</v>
      </c>
      <c r="F1011" s="23" t="s">
        <v>187</v>
      </c>
      <c r="G1011" s="24">
        <v>2003.0</v>
      </c>
      <c r="H1011" s="24">
        <v>252.0</v>
      </c>
      <c r="I1011" s="24">
        <v>0.0</v>
      </c>
      <c r="J1011" s="24">
        <v>0.0</v>
      </c>
      <c r="K1011" s="23" t="s">
        <v>34</v>
      </c>
      <c r="L1011" s="25">
        <v>42471.0737037037</v>
      </c>
      <c r="M1011" s="26" t="s">
        <v>246</v>
      </c>
      <c r="N1011" s="26" t="s">
        <v>2656</v>
      </c>
      <c r="O1011" s="22" t="str">
        <f>HYPERLINK("https://pbs.twimg.com/profile_images/743939643738034176/WkGloI0u_normal.jpg","View")</f>
        <v>View</v>
      </c>
      <c r="P1011" s="27"/>
    </row>
    <row r="1012">
      <c r="A1012" s="14">
        <v>43031.09798611111</v>
      </c>
      <c r="B1012" s="20" t="str">
        <f>HYPERLINK("https://twitter.com/SocialLifeMiami","@SocialLifeMiami")</f>
        <v>@SocialLifeMiami</v>
      </c>
      <c r="C1012" s="21" t="s">
        <v>1981</v>
      </c>
      <c r="D1012" s="21" t="s">
        <v>2657</v>
      </c>
      <c r="E1012" s="22" t="str">
        <f>HYPERLINK("https://twitter.com/SocialLifeMiami/status/922392428681850880","922392428681850880")</f>
        <v>922392428681850880</v>
      </c>
      <c r="F1012" s="23" t="s">
        <v>187</v>
      </c>
      <c r="G1012" s="24">
        <v>560.0</v>
      </c>
      <c r="H1012" s="24">
        <v>792.0</v>
      </c>
      <c r="I1012" s="24">
        <v>0.0</v>
      </c>
      <c r="J1012" s="24">
        <v>0.0</v>
      </c>
      <c r="K1012" s="23" t="s">
        <v>34</v>
      </c>
      <c r="L1012" s="25">
        <v>42603.67471064815</v>
      </c>
      <c r="M1012" s="26" t="s">
        <v>1983</v>
      </c>
      <c r="N1012" s="26" t="s">
        <v>1564</v>
      </c>
      <c r="O1012" s="22" t="str">
        <f>HYPERLINK("https://pbs.twimg.com/profile_images/767547452878647296/oD-Hg_jO_normal.jpg","View")</f>
        <v>View</v>
      </c>
      <c r="P1012" s="27"/>
    </row>
    <row r="1013">
      <c r="A1013" s="14">
        <v>43031.09799768518</v>
      </c>
      <c r="B1013" s="20" t="str">
        <f>HYPERLINK("https://twitter.com/New_Europe","@New_Europe")</f>
        <v>@New_Europe</v>
      </c>
      <c r="C1013" s="21" t="s">
        <v>2658</v>
      </c>
      <c r="D1013" s="21" t="s">
        <v>2659</v>
      </c>
      <c r="E1013" s="22" t="str">
        <f>HYPERLINK("https://twitter.com/New_Europe/status/922392432955744256","922392432955744256")</f>
        <v>922392432955744256</v>
      </c>
      <c r="F1013" s="30" t="s">
        <v>411</v>
      </c>
      <c r="G1013" s="24">
        <v>36531.0</v>
      </c>
      <c r="H1013" s="24">
        <v>7579.0</v>
      </c>
      <c r="I1013" s="24">
        <v>0.0</v>
      </c>
      <c r="J1013" s="24">
        <v>0.0</v>
      </c>
      <c r="K1013" s="23" t="s">
        <v>34</v>
      </c>
      <c r="L1013" s="25">
        <v>39858.103368055556</v>
      </c>
      <c r="M1013" s="26" t="s">
        <v>2660</v>
      </c>
      <c r="N1013" s="26" t="s">
        <v>2661</v>
      </c>
      <c r="O1013" s="22" t="str">
        <f>HYPERLINK("https://pbs.twimg.com/profile_images/1898951210/NewEurope_Avatar_Twitter__1__normal.png","View")</f>
        <v>View</v>
      </c>
      <c r="P1013" s="27"/>
    </row>
    <row r="1014">
      <c r="A1014" s="14">
        <v>43031.098020833335</v>
      </c>
      <c r="B1014" s="20" t="str">
        <f>HYPERLINK("https://twitter.com/vestywaves","@vestywaves")</f>
        <v>@vestywaves</v>
      </c>
      <c r="C1014" s="21" t="s">
        <v>2662</v>
      </c>
      <c r="D1014" s="21" t="s">
        <v>2663</v>
      </c>
      <c r="E1014" s="22" t="str">
        <f>HYPERLINK("https://twitter.com/vestywaves/status/922392437997359104","922392437997359104")</f>
        <v>922392437997359104</v>
      </c>
      <c r="F1014" s="23" t="s">
        <v>2664</v>
      </c>
      <c r="G1014" s="24">
        <v>190.0</v>
      </c>
      <c r="H1014" s="24">
        <v>16.0</v>
      </c>
      <c r="I1014" s="24">
        <v>0.0</v>
      </c>
      <c r="J1014" s="24">
        <v>0.0</v>
      </c>
      <c r="K1014" s="23" t="s">
        <v>34</v>
      </c>
      <c r="L1014" s="25">
        <v>42609.46701388889</v>
      </c>
      <c r="M1014" s="28"/>
      <c r="N1014" s="26" t="s">
        <v>2665</v>
      </c>
      <c r="O1014" s="22" t="str">
        <f>HYPERLINK("https://pbs.twimg.com/profile_images/912845110332727297/9m4NIqiZ_normal.jpg","View")</f>
        <v>View</v>
      </c>
      <c r="P1014" s="27"/>
    </row>
    <row r="1015">
      <c r="A1015" s="14">
        <v>43031.09804398148</v>
      </c>
      <c r="B1015" s="20" t="str">
        <f>HYPERLINK("https://twitter.com/TirtaNews","@TirtaNews")</f>
        <v>@TirtaNews</v>
      </c>
      <c r="C1015" s="21" t="s">
        <v>2624</v>
      </c>
      <c r="D1015" s="21" t="s">
        <v>2625</v>
      </c>
      <c r="E1015" s="22" t="str">
        <f>HYPERLINK("https://twitter.com/TirtaNews/status/922392449091342336","922392449091342336")</f>
        <v>922392449091342336</v>
      </c>
      <c r="F1015" s="23" t="s">
        <v>187</v>
      </c>
      <c r="G1015" s="24">
        <v>183.0</v>
      </c>
      <c r="H1015" s="24">
        <v>66.0</v>
      </c>
      <c r="I1015" s="24">
        <v>0.0</v>
      </c>
      <c r="J1015" s="24">
        <v>0.0</v>
      </c>
      <c r="K1015" s="23" t="s">
        <v>34</v>
      </c>
      <c r="L1015" s="25">
        <v>41894.34030092593</v>
      </c>
      <c r="M1015" s="28"/>
      <c r="N1015" s="28"/>
      <c r="O1015" s="22" t="str">
        <f>HYPERLINK("https://pbs.twimg.com/profile_images/510469173214846976/ZLGHsEM0_normal.png","View")</f>
        <v>View</v>
      </c>
      <c r="P1015" s="27"/>
    </row>
    <row r="1016">
      <c r="A1016" s="14">
        <v>43031.09806712963</v>
      </c>
      <c r="B1016" s="20" t="str">
        <f>HYPERLINK("https://twitter.com/pickooo","@pickooo")</f>
        <v>@pickooo</v>
      </c>
      <c r="C1016" s="21" t="s">
        <v>2666</v>
      </c>
      <c r="D1016" s="21" t="s">
        <v>2667</v>
      </c>
      <c r="E1016" s="22" t="str">
        <f>HYPERLINK("https://twitter.com/pickooo/status/922392456737386498","922392456737386498")</f>
        <v>922392456737386498</v>
      </c>
      <c r="F1016" s="23" t="s">
        <v>33</v>
      </c>
      <c r="G1016" s="24">
        <v>4534.0</v>
      </c>
      <c r="H1016" s="24">
        <v>395.0</v>
      </c>
      <c r="I1016" s="24">
        <v>8.0</v>
      </c>
      <c r="J1016" s="24">
        <v>0.0</v>
      </c>
      <c r="K1016" s="23" t="s">
        <v>34</v>
      </c>
      <c r="L1016" s="25">
        <v>40153.12813657407</v>
      </c>
      <c r="M1016" s="26" t="s">
        <v>575</v>
      </c>
      <c r="N1016" s="26" t="s">
        <v>2668</v>
      </c>
      <c r="O1016" s="22" t="str">
        <f>HYPERLINK("https://pbs.twimg.com/profile_images/913922237886996480/XilUIgP2_normal.jpg","View")</f>
        <v>View</v>
      </c>
      <c r="P1016" s="27"/>
    </row>
    <row r="1017">
      <c r="A1017" s="14">
        <v>43031.098125000004</v>
      </c>
      <c r="B1017" s="20" t="str">
        <f>HYPERLINK("https://twitter.com/Pradeep16654191","@Pradeep16654191")</f>
        <v>@Pradeep16654191</v>
      </c>
      <c r="C1017" s="21" t="s">
        <v>2669</v>
      </c>
      <c r="D1017" s="21" t="s">
        <v>42</v>
      </c>
      <c r="E1017" s="22" t="str">
        <f>HYPERLINK("https://twitter.com/Pradeep16654191/status/922392479323664384","922392479323664384")</f>
        <v>922392479323664384</v>
      </c>
      <c r="F1017" s="23" t="s">
        <v>33</v>
      </c>
      <c r="G1017" s="24">
        <v>4.0</v>
      </c>
      <c r="H1017" s="24">
        <v>158.0</v>
      </c>
      <c r="I1017" s="24">
        <v>8501.0</v>
      </c>
      <c r="J1017" s="24">
        <v>0.0</v>
      </c>
      <c r="K1017" s="23" t="s">
        <v>34</v>
      </c>
      <c r="L1017" s="25">
        <v>43019.33914351852</v>
      </c>
      <c r="M1017" s="26" t="s">
        <v>2670</v>
      </c>
      <c r="N1017" s="26" t="s">
        <v>2671</v>
      </c>
      <c r="O1017" s="22" t="str">
        <f>HYPERLINK("https://pbs.twimg.com/profile_images/918150015989661696/EkveHchb_normal.jpg","View")</f>
        <v>View</v>
      </c>
      <c r="P1017" s="27"/>
    </row>
    <row r="1018">
      <c r="A1018" s="14">
        <v>43031.09813657407</v>
      </c>
      <c r="B1018" s="20" t="str">
        <f>HYPERLINK("https://twitter.com/NapoleonCampos","@NapoleonCampos")</f>
        <v>@NapoleonCampos</v>
      </c>
      <c r="C1018" s="21" t="s">
        <v>2672</v>
      </c>
      <c r="D1018" s="21" t="s">
        <v>2555</v>
      </c>
      <c r="E1018" s="22" t="str">
        <f>HYPERLINK("https://twitter.com/NapoleonCampos/status/922392480464691200","922392480464691200")</f>
        <v>922392480464691200</v>
      </c>
      <c r="F1018" s="23" t="s">
        <v>33</v>
      </c>
      <c r="G1018" s="24">
        <v>1975.0</v>
      </c>
      <c r="H1018" s="24">
        <v>772.0</v>
      </c>
      <c r="I1018" s="24">
        <v>58.0</v>
      </c>
      <c r="J1018" s="24">
        <v>0.0</v>
      </c>
      <c r="K1018" s="23" t="s">
        <v>34</v>
      </c>
      <c r="L1018" s="25">
        <v>40806.02434027778</v>
      </c>
      <c r="M1018" s="26" t="s">
        <v>2673</v>
      </c>
      <c r="N1018" s="26" t="s">
        <v>2674</v>
      </c>
      <c r="O1018" s="22" t="str">
        <f>HYPERLINK("https://pbs.twimg.com/profile_images/378800000371342273/2d89fe8a61eb7c022372bfd5fb35c346_normal.jpeg","View")</f>
        <v>View</v>
      </c>
      <c r="P1018" s="27"/>
    </row>
    <row r="1019">
      <c r="A1019" s="14">
        <v>43031.09820601852</v>
      </c>
      <c r="B1019" s="20" t="str">
        <f>HYPERLINK("https://twitter.com/PressTV","@PressTV")</f>
        <v>@PressTV</v>
      </c>
      <c r="C1019" s="21" t="s">
        <v>2675</v>
      </c>
      <c r="D1019" s="21" t="s">
        <v>2676</v>
      </c>
      <c r="E1019" s="22" t="str">
        <f>HYPERLINK("https://twitter.com/PressTV/status/922392507115294720","922392507115294720")</f>
        <v>922392507115294720</v>
      </c>
      <c r="F1019" s="23" t="s">
        <v>55</v>
      </c>
      <c r="G1019" s="24">
        <v>144760.0</v>
      </c>
      <c r="H1019" s="24">
        <v>60.0</v>
      </c>
      <c r="I1019" s="24">
        <v>10.0</v>
      </c>
      <c r="J1019" s="24">
        <v>11.0</v>
      </c>
      <c r="K1019" s="23" t="s">
        <v>34</v>
      </c>
      <c r="L1019" s="25">
        <v>40440.27121527778</v>
      </c>
      <c r="M1019" s="26" t="s">
        <v>2677</v>
      </c>
      <c r="N1019" s="26" t="s">
        <v>2678</v>
      </c>
      <c r="O1019" s="22" t="str">
        <f>HYPERLINK("https://pbs.twimg.com/profile_images/875672172953513985/kxX2Gd7o_normal.jpg","View")</f>
        <v>View</v>
      </c>
      <c r="P1019" s="27"/>
    </row>
    <row r="1020">
      <c r="A1020" s="14">
        <v>43031.098229166666</v>
      </c>
      <c r="B1020" s="20" t="str">
        <f>HYPERLINK("https://twitter.com/_mystic1","@_mystic1")</f>
        <v>@_mystic1</v>
      </c>
      <c r="C1020" s="21" t="s">
        <v>2679</v>
      </c>
      <c r="D1020" s="21" t="s">
        <v>2555</v>
      </c>
      <c r="E1020" s="22" t="str">
        <f>HYPERLINK("https://twitter.com/_mystic1/status/922392515378139136","922392515378139136")</f>
        <v>922392515378139136</v>
      </c>
      <c r="F1020" s="23" t="s">
        <v>33</v>
      </c>
      <c r="G1020" s="24">
        <v>173.0</v>
      </c>
      <c r="H1020" s="24">
        <v>157.0</v>
      </c>
      <c r="I1020" s="24">
        <v>58.0</v>
      </c>
      <c r="J1020" s="24">
        <v>0.0</v>
      </c>
      <c r="K1020" s="23" t="s">
        <v>34</v>
      </c>
      <c r="L1020" s="25">
        <v>42956.53943287037</v>
      </c>
      <c r="M1020" s="26" t="s">
        <v>1024</v>
      </c>
      <c r="N1020" s="26" t="s">
        <v>2680</v>
      </c>
      <c r="O1020" s="22" t="str">
        <f>HYPERLINK("https://pbs.twimg.com/profile_images/907143094281359360/TLS7FJIs_normal.jpg","View")</f>
        <v>View</v>
      </c>
      <c r="P1020" s="27"/>
    </row>
    <row r="1021">
      <c r="A1021" s="14">
        <v>43031.09824074074</v>
      </c>
      <c r="B1021" s="20" t="str">
        <f>HYPERLINK("https://twitter.com/EyeOnNWO","@EyeOnNWO")</f>
        <v>@EyeOnNWO</v>
      </c>
      <c r="C1021" s="21" t="s">
        <v>2681</v>
      </c>
      <c r="D1021" s="21" t="s">
        <v>2682</v>
      </c>
      <c r="E1021" s="22" t="str">
        <f>HYPERLINK("https://twitter.com/EyeOnNWO/status/922392518423130112","922392518423130112")</f>
        <v>922392518423130112</v>
      </c>
      <c r="F1021" s="23" t="s">
        <v>187</v>
      </c>
      <c r="G1021" s="24">
        <v>155.0</v>
      </c>
      <c r="H1021" s="24">
        <v>365.0</v>
      </c>
      <c r="I1021" s="24">
        <v>0.0</v>
      </c>
      <c r="J1021" s="24">
        <v>0.0</v>
      </c>
      <c r="K1021" s="23" t="s">
        <v>34</v>
      </c>
      <c r="L1021" s="25">
        <v>42265.572858796295</v>
      </c>
      <c r="M1021" s="28"/>
      <c r="N1021" s="26" t="s">
        <v>2683</v>
      </c>
      <c r="O1021" s="22" t="str">
        <f>HYPERLINK("https://pbs.twimg.com/profile_images/644976113974775808/zzV2I9oB_normal.png","View")</f>
        <v>View</v>
      </c>
      <c r="P1021" s="27"/>
    </row>
    <row r="1022">
      <c r="A1022" s="14">
        <v>43031.09826388889</v>
      </c>
      <c r="B1022" s="20" t="str">
        <f>HYPERLINK("https://twitter.com/unlewis","@unlewis")</f>
        <v>@unlewis</v>
      </c>
      <c r="C1022" s="21" t="s">
        <v>2684</v>
      </c>
      <c r="D1022" s="21" t="s">
        <v>1444</v>
      </c>
      <c r="E1022" s="22" t="str">
        <f>HYPERLINK("https://twitter.com/unlewis/status/922392528212463619","922392528212463619")</f>
        <v>922392528212463619</v>
      </c>
      <c r="F1022" s="23" t="s">
        <v>230</v>
      </c>
      <c r="G1022" s="24">
        <v>2973.0</v>
      </c>
      <c r="H1022" s="24">
        <v>2099.0</v>
      </c>
      <c r="I1022" s="24">
        <v>50.0</v>
      </c>
      <c r="J1022" s="24">
        <v>0.0</v>
      </c>
      <c r="K1022" s="23" t="s">
        <v>34</v>
      </c>
      <c r="L1022" s="25">
        <v>41159.83283564815</v>
      </c>
      <c r="M1022" s="28"/>
      <c r="N1022" s="26" t="s">
        <v>2685</v>
      </c>
      <c r="O1022" s="22" t="str">
        <f>HYPERLINK("https://pbs.twimg.com/profile_images/862117304196255744/4KSB5b7P_normal.jpg","View")</f>
        <v>View</v>
      </c>
      <c r="P1022" s="27"/>
    </row>
    <row r="1023">
      <c r="A1023" s="14">
        <v>43031.098287037035</v>
      </c>
      <c r="B1023" s="20" t="str">
        <f>HYPERLINK("https://twitter.com/Viivekanand0063","@Viivekanand0063")</f>
        <v>@Viivekanand0063</v>
      </c>
      <c r="C1023" s="21" t="s">
        <v>2686</v>
      </c>
      <c r="D1023" s="21" t="s">
        <v>42</v>
      </c>
      <c r="E1023" s="22" t="str">
        <f>HYPERLINK("https://twitter.com/Viivekanand0063/status/922392535963709441","922392535963709441")</f>
        <v>922392535963709441</v>
      </c>
      <c r="F1023" s="23" t="s">
        <v>33</v>
      </c>
      <c r="G1023" s="24">
        <v>250.0</v>
      </c>
      <c r="H1023" s="24">
        <v>311.0</v>
      </c>
      <c r="I1023" s="24">
        <v>8501.0</v>
      </c>
      <c r="J1023" s="24">
        <v>0.0</v>
      </c>
      <c r="K1023" s="23" t="s">
        <v>34</v>
      </c>
      <c r="L1023" s="25">
        <v>42123.44542824074</v>
      </c>
      <c r="M1023" s="26" t="s">
        <v>246</v>
      </c>
      <c r="N1023" s="26" t="s">
        <v>2687</v>
      </c>
      <c r="O1023" s="22" t="str">
        <f>HYPERLINK("https://pbs.twimg.com/profile_images/861351025038565376/i4JZedFS_normal.jpg","View")</f>
        <v>View</v>
      </c>
      <c r="P1023" s="27"/>
    </row>
    <row r="1024">
      <c r="A1024" s="14">
        <v>43031.098287037035</v>
      </c>
      <c r="B1024" s="20" t="str">
        <f>HYPERLINK("https://twitter.com/MAKS_Kangra","@MAKS_Kangra")</f>
        <v>@MAKS_Kangra</v>
      </c>
      <c r="C1024" s="21" t="s">
        <v>2688</v>
      </c>
      <c r="D1024" s="21" t="s">
        <v>42</v>
      </c>
      <c r="E1024" s="22" t="str">
        <f>HYPERLINK("https://twitter.com/MAKS_Kangra/status/922392536685084672","922392536685084672")</f>
        <v>922392536685084672</v>
      </c>
      <c r="F1024" s="23" t="s">
        <v>33</v>
      </c>
      <c r="G1024" s="24">
        <v>57.0</v>
      </c>
      <c r="H1024" s="24">
        <v>194.0</v>
      </c>
      <c r="I1024" s="24">
        <v>8501.0</v>
      </c>
      <c r="J1024" s="24">
        <v>0.0</v>
      </c>
      <c r="K1024" s="23" t="s">
        <v>34</v>
      </c>
      <c r="L1024" s="25">
        <v>42808.37877314815</v>
      </c>
      <c r="M1024" s="26" t="s">
        <v>2280</v>
      </c>
      <c r="N1024" s="26" t="s">
        <v>2689</v>
      </c>
      <c r="O1024" s="22" t="str">
        <f>HYPERLINK("https://pbs.twimg.com/profile_images/898237520412016640/M9aIhweA_normal.jpg","View")</f>
        <v>View</v>
      </c>
      <c r="P1024" s="27"/>
    </row>
    <row r="1025">
      <c r="A1025" s="14">
        <v>43031.09833333333</v>
      </c>
      <c r="B1025" s="20" t="str">
        <f>HYPERLINK("https://twitter.com/manojary007","@manojary007")</f>
        <v>@manojary007</v>
      </c>
      <c r="C1025" s="21" t="s">
        <v>2690</v>
      </c>
      <c r="D1025" s="21" t="s">
        <v>42</v>
      </c>
      <c r="E1025" s="22" t="str">
        <f>HYPERLINK("https://twitter.com/manojary007/status/922392554510970880","922392554510970880")</f>
        <v>922392554510970880</v>
      </c>
      <c r="F1025" s="23" t="s">
        <v>33</v>
      </c>
      <c r="G1025" s="24">
        <v>2.0</v>
      </c>
      <c r="H1025" s="24">
        <v>44.0</v>
      </c>
      <c r="I1025" s="24">
        <v>8501.0</v>
      </c>
      <c r="J1025" s="24">
        <v>0.0</v>
      </c>
      <c r="K1025" s="23" t="s">
        <v>34</v>
      </c>
      <c r="L1025" s="25">
        <v>42968.22671296296</v>
      </c>
      <c r="M1025" s="26" t="s">
        <v>2691</v>
      </c>
      <c r="N1025" s="26" t="s">
        <v>2692</v>
      </c>
      <c r="O1025" s="22" t="str">
        <f>HYPERLINK("https://pbs.twimg.com/profile_images/899643342933311490/WHT6Y8S8_normal.jpg","View")</f>
        <v>View</v>
      </c>
      <c r="P1025" s="27"/>
    </row>
    <row r="1026">
      <c r="A1026" s="14">
        <v>43031.09842592593</v>
      </c>
      <c r="B1026" s="20" t="str">
        <f>HYPERLINK("https://twitter.com/Nitintstg","@Nitintstg")</f>
        <v>@Nitintstg</v>
      </c>
      <c r="C1026" s="21" t="s">
        <v>2693</v>
      </c>
      <c r="D1026" s="21" t="s">
        <v>42</v>
      </c>
      <c r="E1026" s="22" t="str">
        <f>HYPERLINK("https://twitter.com/Nitintstg/status/922392588404932608","922392588404932608")</f>
        <v>922392588404932608</v>
      </c>
      <c r="F1026" s="23" t="s">
        <v>33</v>
      </c>
      <c r="G1026" s="24">
        <v>349.0</v>
      </c>
      <c r="H1026" s="24">
        <v>1615.0</v>
      </c>
      <c r="I1026" s="24">
        <v>8501.0</v>
      </c>
      <c r="J1026" s="24">
        <v>0.0</v>
      </c>
      <c r="K1026" s="23" t="s">
        <v>34</v>
      </c>
      <c r="L1026" s="25">
        <v>41569.207500000004</v>
      </c>
      <c r="M1026" s="26" t="s">
        <v>2356</v>
      </c>
      <c r="N1026" s="26" t="s">
        <v>2694</v>
      </c>
      <c r="O1026" s="22" t="str">
        <f>HYPERLINK("https://pbs.twimg.com/profile_images/760096253845921792/T5IvA03o_normal.jpg","View")</f>
        <v>View</v>
      </c>
      <c r="P1026" s="27"/>
    </row>
    <row r="1027">
      <c r="A1027" s="14">
        <v>43031.0984375</v>
      </c>
      <c r="B1027" s="20" t="str">
        <f>HYPERLINK("https://twitter.com/marekingu","@marekingu")</f>
        <v>@marekingu</v>
      </c>
      <c r="C1027" s="21" t="s">
        <v>2695</v>
      </c>
      <c r="D1027" s="21" t="s">
        <v>2696</v>
      </c>
      <c r="E1027" s="22" t="str">
        <f>HYPERLINK("https://twitter.com/marekingu/status/922392590703407104","922392590703407104")</f>
        <v>922392590703407104</v>
      </c>
      <c r="F1027" s="23" t="s">
        <v>2697</v>
      </c>
      <c r="G1027" s="24">
        <v>11033.0</v>
      </c>
      <c r="H1027" s="24">
        <v>12128.0</v>
      </c>
      <c r="I1027" s="24">
        <v>0.0</v>
      </c>
      <c r="J1027" s="24">
        <v>0.0</v>
      </c>
      <c r="K1027" s="23" t="s">
        <v>34</v>
      </c>
      <c r="L1027" s="25">
        <v>40258.68314814815</v>
      </c>
      <c r="M1027" s="26" t="s">
        <v>2698</v>
      </c>
      <c r="N1027" s="26" t="s">
        <v>2699</v>
      </c>
      <c r="O1027" s="22" t="str">
        <f>HYPERLINK("https://pbs.twimg.com/profile_images/824628323/___2_normal.jpg","View")</f>
        <v>View</v>
      </c>
      <c r="P1027" s="27"/>
    </row>
    <row r="1028">
      <c r="A1028" s="14">
        <v>43031.09847222222</v>
      </c>
      <c r="B1028" s="20" t="str">
        <f>HYPERLINK("https://twitter.com/mahtolia","@mahtolia")</f>
        <v>@mahtolia</v>
      </c>
      <c r="C1028" s="21" t="s">
        <v>2700</v>
      </c>
      <c r="D1028" s="21" t="s">
        <v>42</v>
      </c>
      <c r="E1028" s="22" t="str">
        <f>HYPERLINK("https://twitter.com/mahtolia/status/922392604389593089","922392604389593089")</f>
        <v>922392604389593089</v>
      </c>
      <c r="F1028" s="23" t="s">
        <v>2701</v>
      </c>
      <c r="G1028" s="24">
        <v>561.0</v>
      </c>
      <c r="H1028" s="24">
        <v>943.0</v>
      </c>
      <c r="I1028" s="24">
        <v>8501.0</v>
      </c>
      <c r="J1028" s="24">
        <v>0.0</v>
      </c>
      <c r="K1028" s="23" t="s">
        <v>34</v>
      </c>
      <c r="L1028" s="25">
        <v>39962.34775462963</v>
      </c>
      <c r="M1028" s="26" t="s">
        <v>1532</v>
      </c>
      <c r="N1028" s="26" t="s">
        <v>2702</v>
      </c>
      <c r="O1028" s="22" t="str">
        <f>HYPERLINK("https://pbs.twimg.com/profile_images/894427606547869700/qnPkhirJ_normal.jpg","View")</f>
        <v>View</v>
      </c>
      <c r="P1028" s="27"/>
    </row>
    <row r="1029">
      <c r="A1029" s="14">
        <v>43031.09850694444</v>
      </c>
      <c r="B1029" s="20" t="str">
        <f>HYPERLINK("https://twitter.com/navin1996","@navin1996")</f>
        <v>@navin1996</v>
      </c>
      <c r="C1029" s="21" t="s">
        <v>2703</v>
      </c>
      <c r="D1029" s="21" t="s">
        <v>42</v>
      </c>
      <c r="E1029" s="22" t="str">
        <f>HYPERLINK("https://twitter.com/navin1996/status/922392616808960002","922392616808960002")</f>
        <v>922392616808960002</v>
      </c>
      <c r="F1029" s="23" t="s">
        <v>39</v>
      </c>
      <c r="G1029" s="24">
        <v>51.0</v>
      </c>
      <c r="H1029" s="24">
        <v>138.0</v>
      </c>
      <c r="I1029" s="24">
        <v>8501.0</v>
      </c>
      <c r="J1029" s="24">
        <v>0.0</v>
      </c>
      <c r="K1029" s="23" t="s">
        <v>34</v>
      </c>
      <c r="L1029" s="25">
        <v>40337.070185185185</v>
      </c>
      <c r="M1029" s="26" t="s">
        <v>1377</v>
      </c>
      <c r="N1029" s="26" t="s">
        <v>2704</v>
      </c>
      <c r="O1029" s="22" t="str">
        <f>HYPERLINK("https://pbs.twimg.com/profile_images/718483366551498753/RA-oeRx__normal.jpg","View")</f>
        <v>View</v>
      </c>
      <c r="P1029" s="27"/>
    </row>
    <row r="1030">
      <c r="A1030" s="14">
        <v>43031.09861111111</v>
      </c>
      <c r="B1030" s="20" t="str">
        <f>HYPERLINK("https://twitter.com/CNNMoney","@CNNMoney")</f>
        <v>@CNNMoney</v>
      </c>
      <c r="C1030" s="21" t="s">
        <v>2705</v>
      </c>
      <c r="D1030" s="21" t="s">
        <v>2706</v>
      </c>
      <c r="E1030" s="22" t="str">
        <f>HYPERLINK("https://twitter.com/CNNMoney/status/922392652909334528","922392652909334528")</f>
        <v>922392652909334528</v>
      </c>
      <c r="F1030" s="23" t="s">
        <v>2707</v>
      </c>
      <c r="G1030" s="24">
        <v>1728674.0</v>
      </c>
      <c r="H1030" s="24">
        <v>953.0</v>
      </c>
      <c r="I1030" s="24">
        <v>15.0</v>
      </c>
      <c r="J1030" s="24">
        <v>7.0</v>
      </c>
      <c r="K1030" s="23" t="s">
        <v>34</v>
      </c>
      <c r="L1030" s="25">
        <v>39699.28109953704</v>
      </c>
      <c r="M1030" s="26" t="s">
        <v>2068</v>
      </c>
      <c r="N1030" s="26" t="s">
        <v>2708</v>
      </c>
      <c r="O1030" s="22" t="str">
        <f>HYPERLINK("https://pbs.twimg.com/profile_images/921416918711635968/sYrMI3VY_normal.jpg","View")</f>
        <v>View</v>
      </c>
      <c r="P1030" s="27"/>
    </row>
    <row r="1031">
      <c r="A1031" s="14">
        <v>43031.09863425926</v>
      </c>
      <c r="B1031" s="20" t="str">
        <f>HYPERLINK("https://twitter.com/lkj777","@lkj777")</f>
        <v>@lkj777</v>
      </c>
      <c r="C1031" s="21" t="s">
        <v>2709</v>
      </c>
      <c r="D1031" s="21" t="s">
        <v>2555</v>
      </c>
      <c r="E1031" s="22" t="str">
        <f>HYPERLINK("https://twitter.com/lkj777/status/922392661499158528","922392661499158528")</f>
        <v>922392661499158528</v>
      </c>
      <c r="F1031" s="23" t="s">
        <v>55</v>
      </c>
      <c r="G1031" s="24">
        <v>2592.0</v>
      </c>
      <c r="H1031" s="24">
        <v>3813.0</v>
      </c>
      <c r="I1031" s="24">
        <v>58.0</v>
      </c>
      <c r="J1031" s="24">
        <v>0.0</v>
      </c>
      <c r="K1031" s="23" t="s">
        <v>34</v>
      </c>
      <c r="L1031" s="25">
        <v>39849.226585648146</v>
      </c>
      <c r="M1031" s="26" t="s">
        <v>2710</v>
      </c>
      <c r="N1031" s="26" t="s">
        <v>2711</v>
      </c>
      <c r="O1031" s="22" t="str">
        <f>HYPERLINK("https://pbs.twimg.com/profile_images/75665280/IMG_0538_red_normal.jpg","View")</f>
        <v>View</v>
      </c>
      <c r="P1031" s="27"/>
    </row>
    <row r="1032">
      <c r="A1032" s="14">
        <v>43031.098657407405</v>
      </c>
      <c r="B1032" s="20" t="str">
        <f>HYPERLINK("https://twitter.com/nnas_otown","@nnas_otown")</f>
        <v>@nnas_otown</v>
      </c>
      <c r="C1032" s="21" t="s">
        <v>2712</v>
      </c>
      <c r="D1032" s="21" t="s">
        <v>1444</v>
      </c>
      <c r="E1032" s="22" t="str">
        <f>HYPERLINK("https://twitter.com/nnas_otown/status/922392669581709312","922392669581709312")</f>
        <v>922392669581709312</v>
      </c>
      <c r="F1032" s="23" t="s">
        <v>39</v>
      </c>
      <c r="G1032" s="24">
        <v>317.0</v>
      </c>
      <c r="H1032" s="24">
        <v>302.0</v>
      </c>
      <c r="I1032" s="24">
        <v>50.0</v>
      </c>
      <c r="J1032" s="24">
        <v>0.0</v>
      </c>
      <c r="K1032" s="23" t="s">
        <v>34</v>
      </c>
      <c r="L1032" s="25">
        <v>40475.48268518518</v>
      </c>
      <c r="M1032" s="26" t="s">
        <v>2713</v>
      </c>
      <c r="N1032" s="26" t="s">
        <v>2714</v>
      </c>
      <c r="O1032" s="22" t="str">
        <f>HYPERLINK("https://pbs.twimg.com/profile_images/875528430065987584/kRXwsVSL_normal.jpg","View")</f>
        <v>View</v>
      </c>
      <c r="P1032" s="27"/>
    </row>
    <row r="1033">
      <c r="A1033" s="14">
        <v>43031.098657407405</v>
      </c>
      <c r="B1033" s="20" t="str">
        <f>HYPERLINK("https://twitter.com/livechannelfeed","@livechannelfeed")</f>
        <v>@livechannelfeed</v>
      </c>
      <c r="C1033" s="21" t="s">
        <v>2715</v>
      </c>
      <c r="D1033" s="21" t="s">
        <v>2716</v>
      </c>
      <c r="E1033" s="22" t="str">
        <f>HYPERLINK("https://twitter.com/livechannelfeed/status/922392671091601408","922392671091601408")</f>
        <v>922392671091601408</v>
      </c>
      <c r="F1033" s="23" t="s">
        <v>187</v>
      </c>
      <c r="G1033" s="24">
        <v>3930.0</v>
      </c>
      <c r="H1033" s="24">
        <v>3269.0</v>
      </c>
      <c r="I1033" s="24">
        <v>0.0</v>
      </c>
      <c r="J1033" s="24">
        <v>0.0</v>
      </c>
      <c r="K1033" s="23" t="s">
        <v>34</v>
      </c>
      <c r="L1033" s="25">
        <v>42710.84563657407</v>
      </c>
      <c r="M1033" s="26" t="s">
        <v>1250</v>
      </c>
      <c r="N1033" s="26" t="s">
        <v>2717</v>
      </c>
      <c r="O1033" s="22" t="str">
        <f>HYPERLINK("https://pbs.twimg.com/profile_images/806606820504731649/rCR1WeBs_normal.jpg","View")</f>
        <v>View</v>
      </c>
      <c r="P1033" s="27"/>
    </row>
    <row r="1034">
      <c r="A1034" s="14">
        <v>43031.09871527778</v>
      </c>
      <c r="B1034" s="20" t="str">
        <f>HYPERLINK("https://twitter.com/indiatvnews","@indiatvnews")</f>
        <v>@indiatvnews</v>
      </c>
      <c r="C1034" s="21" t="s">
        <v>2718</v>
      </c>
      <c r="D1034" s="21" t="s">
        <v>2719</v>
      </c>
      <c r="E1034" s="22" t="str">
        <f>HYPERLINK("https://twitter.com/indiatvnews/status/922392689936515074","922392689936515074")</f>
        <v>922392689936515074</v>
      </c>
      <c r="F1034" s="23" t="s">
        <v>55</v>
      </c>
      <c r="G1034" s="24">
        <v>418826.0</v>
      </c>
      <c r="H1034" s="24">
        <v>40.0</v>
      </c>
      <c r="I1034" s="24">
        <v>7.0</v>
      </c>
      <c r="J1034" s="24">
        <v>29.0</v>
      </c>
      <c r="K1034" s="23" t="s">
        <v>34</v>
      </c>
      <c r="L1034" s="25">
        <v>39925.18511574074</v>
      </c>
      <c r="M1034" s="26" t="s">
        <v>204</v>
      </c>
      <c r="N1034" s="26" t="s">
        <v>2720</v>
      </c>
      <c r="O1034" s="22" t="str">
        <f>HYPERLINK("https://pbs.twimg.com/profile_images/438346326007234560/YyvWcpAf_normal.jpeg","View")</f>
        <v>View</v>
      </c>
      <c r="P1034" s="27"/>
    </row>
    <row r="1035">
      <c r="A1035" s="14">
        <v>43031.09871527778</v>
      </c>
      <c r="B1035" s="20" t="str">
        <f>HYPERLINK("https://twitter.com/drhussein_ismal","@drhussein_ismal")</f>
        <v>@drhussein_ismal</v>
      </c>
      <c r="C1035" s="21" t="s">
        <v>2485</v>
      </c>
      <c r="D1035" s="21" t="s">
        <v>760</v>
      </c>
      <c r="E1035" s="22" t="str">
        <f>HYPERLINK("https://twitter.com/drhussein_ismal/status/922392691723337729","922392691723337729")</f>
        <v>922392691723337729</v>
      </c>
      <c r="F1035" s="23" t="s">
        <v>39</v>
      </c>
      <c r="G1035" s="24">
        <v>235.0</v>
      </c>
      <c r="H1035" s="24">
        <v>566.0</v>
      </c>
      <c r="I1035" s="24">
        <v>62.0</v>
      </c>
      <c r="J1035" s="24">
        <v>0.0</v>
      </c>
      <c r="K1035" s="23" t="s">
        <v>34</v>
      </c>
      <c r="L1035" s="25">
        <v>41521.5224537037</v>
      </c>
      <c r="M1035" s="28"/>
      <c r="N1035" s="28"/>
      <c r="O1035" s="22" t="str">
        <f>HYPERLINK("https://pbs.twimg.com/profile_images/378800000612583753/311c0309fcc8e0f53d99cd42a9440d46_normal.jpeg","View")</f>
        <v>View</v>
      </c>
      <c r="P1035" s="27"/>
    </row>
    <row r="1036">
      <c r="A1036" s="14">
        <v>43031.098750000005</v>
      </c>
      <c r="B1036" s="20" t="str">
        <f>HYPERLINK("https://twitter.com/JohnMack83","@JohnMack83")</f>
        <v>@JohnMack83</v>
      </c>
      <c r="C1036" s="21" t="s">
        <v>2721</v>
      </c>
      <c r="D1036" s="21" t="s">
        <v>2555</v>
      </c>
      <c r="E1036" s="22" t="str">
        <f>HYPERLINK("https://twitter.com/JohnMack83/status/922392705589764096","922392705589764096")</f>
        <v>922392705589764096</v>
      </c>
      <c r="F1036" s="23" t="s">
        <v>33</v>
      </c>
      <c r="G1036" s="24">
        <v>1156.0</v>
      </c>
      <c r="H1036" s="24">
        <v>1555.0</v>
      </c>
      <c r="I1036" s="24">
        <v>58.0</v>
      </c>
      <c r="J1036" s="24">
        <v>0.0</v>
      </c>
      <c r="K1036" s="23" t="s">
        <v>34</v>
      </c>
      <c r="L1036" s="25">
        <v>41154.26142361111</v>
      </c>
      <c r="M1036" s="28"/>
      <c r="N1036" s="33" t="s">
        <v>2722</v>
      </c>
      <c r="O1036" s="22" t="str">
        <f>HYPERLINK("https://pbs.twimg.com/profile_images/920270460260151296/1bQZy1ce_normal.jpg","View")</f>
        <v>View</v>
      </c>
      <c r="P1036" s="27"/>
    </row>
    <row r="1037">
      <c r="A1037" s="14">
        <v>43031.098773148144</v>
      </c>
      <c r="B1037" s="20" t="str">
        <f>HYPERLINK("https://twitter.com/AnkushD37747150","@AnkushD37747150")</f>
        <v>@AnkushD37747150</v>
      </c>
      <c r="C1037" s="21" t="s">
        <v>2723</v>
      </c>
      <c r="D1037" s="21" t="s">
        <v>42</v>
      </c>
      <c r="E1037" s="22" t="str">
        <f>HYPERLINK("https://twitter.com/AnkushD37747150/status/922392711897874432","922392711897874432")</f>
        <v>922392711897874432</v>
      </c>
      <c r="F1037" s="23" t="s">
        <v>39</v>
      </c>
      <c r="G1037" s="24">
        <v>154.0</v>
      </c>
      <c r="H1037" s="24">
        <v>584.0</v>
      </c>
      <c r="I1037" s="24">
        <v>8501.0</v>
      </c>
      <c r="J1037" s="24">
        <v>0.0</v>
      </c>
      <c r="K1037" s="23" t="s">
        <v>34</v>
      </c>
      <c r="L1037" s="25">
        <v>42726.13141203704</v>
      </c>
      <c r="M1037" s="26" t="s">
        <v>2724</v>
      </c>
      <c r="N1037" s="28"/>
      <c r="O1037" s="22" t="str">
        <f>HYPERLINK("https://pbs.twimg.com/profile_images/811896811560517632/mwinJ-Hm_normal.jpg","View")</f>
        <v>View</v>
      </c>
      <c r="P1037" s="27"/>
    </row>
    <row r="1038">
      <c r="A1038" s="14">
        <v>43031.09881944444</v>
      </c>
      <c r="B1038" s="20" t="str">
        <f>HYPERLINK("https://twitter.com/ManishP0009","@ManishP0009")</f>
        <v>@ManishP0009</v>
      </c>
      <c r="C1038" s="21" t="s">
        <v>2725</v>
      </c>
      <c r="D1038" s="21" t="s">
        <v>42</v>
      </c>
      <c r="E1038" s="22" t="str">
        <f>HYPERLINK("https://twitter.com/ManishP0009/status/922392730122067969","922392730122067969")</f>
        <v>922392730122067969</v>
      </c>
      <c r="F1038" s="23" t="s">
        <v>33</v>
      </c>
      <c r="G1038" s="24">
        <v>4.0</v>
      </c>
      <c r="H1038" s="24">
        <v>0.0</v>
      </c>
      <c r="I1038" s="24">
        <v>8501.0</v>
      </c>
      <c r="J1038" s="24">
        <v>0.0</v>
      </c>
      <c r="K1038" s="23" t="s">
        <v>34</v>
      </c>
      <c r="L1038" s="25">
        <v>42969.8984375</v>
      </c>
      <c r="M1038" s="26" t="s">
        <v>2726</v>
      </c>
      <c r="N1038" s="28"/>
      <c r="O1038" s="22" t="str">
        <f>HYPERLINK("https://pbs.twimg.com/profile_images/905662992120872960/enT-h2GE_normal.jpg","View")</f>
        <v>View</v>
      </c>
      <c r="P1038" s="27"/>
    </row>
    <row r="1039">
      <c r="A1039" s="14">
        <v>43031.09887731481</v>
      </c>
      <c r="B1039" s="20" t="str">
        <f>HYPERLINK("https://twitter.com/AmanGhoghari","@AmanGhoghari")</f>
        <v>@AmanGhoghari</v>
      </c>
      <c r="C1039" s="21" t="s">
        <v>2727</v>
      </c>
      <c r="D1039" s="21" t="s">
        <v>42</v>
      </c>
      <c r="E1039" s="22" t="str">
        <f>HYPERLINK("https://twitter.com/AmanGhoghari/status/922392748841299968","922392748841299968")</f>
        <v>922392748841299968</v>
      </c>
      <c r="F1039" s="23" t="s">
        <v>33</v>
      </c>
      <c r="G1039" s="24">
        <v>35.0</v>
      </c>
      <c r="H1039" s="24">
        <v>20.0</v>
      </c>
      <c r="I1039" s="24">
        <v>8501.0</v>
      </c>
      <c r="J1039" s="24">
        <v>0.0</v>
      </c>
      <c r="K1039" s="23" t="s">
        <v>34</v>
      </c>
      <c r="L1039" s="25">
        <v>42859.015706018516</v>
      </c>
      <c r="M1039" s="28"/>
      <c r="N1039" s="26" t="s">
        <v>2728</v>
      </c>
      <c r="O1039" s="22" t="str">
        <f>HYPERLINK("https://pbs.twimg.com/profile_images/860033873442484224/rheBE_e-_normal.jpg","View")</f>
        <v>View</v>
      </c>
      <c r="P1039" s="27"/>
    </row>
    <row r="1040">
      <c r="A1040" s="14">
        <v>43031.09888888889</v>
      </c>
      <c r="B1040" s="20" t="str">
        <f>HYPERLINK("https://twitter.com/kotaknaren","@kotaknaren")</f>
        <v>@kotaknaren</v>
      </c>
      <c r="C1040" s="21" t="s">
        <v>2729</v>
      </c>
      <c r="D1040" s="21" t="s">
        <v>2730</v>
      </c>
      <c r="E1040" s="22" t="str">
        <f>HYPERLINK("https://twitter.com/kotaknaren/status/922392752423350272","922392752423350272")</f>
        <v>922392752423350272</v>
      </c>
      <c r="F1040" s="23" t="s">
        <v>187</v>
      </c>
      <c r="G1040" s="24">
        <v>995.0</v>
      </c>
      <c r="H1040" s="24">
        <v>2681.0</v>
      </c>
      <c r="I1040" s="24">
        <v>0.0</v>
      </c>
      <c r="J1040" s="24">
        <v>0.0</v>
      </c>
      <c r="K1040" s="23" t="s">
        <v>34</v>
      </c>
      <c r="L1040" s="25">
        <v>40248.48484953704</v>
      </c>
      <c r="M1040" s="26" t="s">
        <v>207</v>
      </c>
      <c r="N1040" s="26" t="s">
        <v>2731</v>
      </c>
      <c r="O1040" s="22" t="str">
        <f>HYPERLINK("https://pbs.twimg.com/profile_images/813794228098564096/IEzFNegT_normal.jpg","View")</f>
        <v>View</v>
      </c>
      <c r="P1040" s="27"/>
    </row>
    <row r="1041">
      <c r="A1041" s="14">
        <v>43031.09888888889</v>
      </c>
      <c r="B1041" s="20" t="str">
        <f>HYPERLINK("https://twitter.com/marekingu","@marekingu")</f>
        <v>@marekingu</v>
      </c>
      <c r="C1041" s="21" t="s">
        <v>2695</v>
      </c>
      <c r="D1041" s="21" t="s">
        <v>2732</v>
      </c>
      <c r="E1041" s="22" t="str">
        <f>HYPERLINK("https://twitter.com/marekingu/status/922392755204059136","922392755204059136")</f>
        <v>922392755204059136</v>
      </c>
      <c r="F1041" s="23" t="s">
        <v>2697</v>
      </c>
      <c r="G1041" s="24">
        <v>11033.0</v>
      </c>
      <c r="H1041" s="24">
        <v>12128.0</v>
      </c>
      <c r="I1041" s="24">
        <v>0.0</v>
      </c>
      <c r="J1041" s="24">
        <v>0.0</v>
      </c>
      <c r="K1041" s="23" t="s">
        <v>34</v>
      </c>
      <c r="L1041" s="25">
        <v>40258.68314814815</v>
      </c>
      <c r="M1041" s="26" t="s">
        <v>2698</v>
      </c>
      <c r="N1041" s="26" t="s">
        <v>2699</v>
      </c>
      <c r="O1041" s="22" t="str">
        <f>HYPERLINK("https://pbs.twimg.com/profile_images/824628323/___2_normal.jpg","View")</f>
        <v>View</v>
      </c>
      <c r="P1041" s="27"/>
    </row>
    <row r="1042">
      <c r="A1042" s="14">
        <v>43031.09890046297</v>
      </c>
      <c r="B1042" s="20" t="str">
        <f>HYPERLINK("https://twitter.com/m7m5ea","@m7m5ea")</f>
        <v>@m7m5ea</v>
      </c>
      <c r="C1042" s="21" t="s">
        <v>2733</v>
      </c>
      <c r="D1042" s="21" t="s">
        <v>2555</v>
      </c>
      <c r="E1042" s="22" t="str">
        <f>HYPERLINK("https://twitter.com/m7m5ea/status/922392758542745605","922392758542745605")</f>
        <v>922392758542745605</v>
      </c>
      <c r="F1042" s="23" t="s">
        <v>33</v>
      </c>
      <c r="G1042" s="24">
        <v>146.0</v>
      </c>
      <c r="H1042" s="24">
        <v>797.0</v>
      </c>
      <c r="I1042" s="24">
        <v>58.0</v>
      </c>
      <c r="J1042" s="24">
        <v>0.0</v>
      </c>
      <c r="K1042" s="23" t="s">
        <v>34</v>
      </c>
      <c r="L1042" s="25">
        <v>42568.20162037037</v>
      </c>
      <c r="M1042" s="28"/>
      <c r="N1042" s="26" t="s">
        <v>2734</v>
      </c>
      <c r="O1042" s="22" t="str">
        <f>HYPERLINK("https://pbs.twimg.com/profile_images/856484077456601088/sUHTZafL_normal.jpg","View")</f>
        <v>View</v>
      </c>
      <c r="P1042" s="27"/>
    </row>
    <row r="1043">
      <c r="A1043" s="14">
        <v>43031.09894675926</v>
      </c>
      <c r="B1043" s="20" t="str">
        <f>HYPERLINK("https://twitter.com/paibun_bn","@paibun_bn")</f>
        <v>@paibun_bn</v>
      </c>
      <c r="C1043" s="21" t="s">
        <v>2735</v>
      </c>
      <c r="D1043" s="21" t="s">
        <v>2555</v>
      </c>
      <c r="E1043" s="22" t="str">
        <f>HYPERLINK("https://twitter.com/paibun_bn/status/922392775638663168","922392775638663168")</f>
        <v>922392775638663168</v>
      </c>
      <c r="F1043" s="23" t="s">
        <v>39</v>
      </c>
      <c r="G1043" s="24">
        <v>121.0</v>
      </c>
      <c r="H1043" s="24">
        <v>941.0</v>
      </c>
      <c r="I1043" s="24">
        <v>58.0</v>
      </c>
      <c r="J1043" s="24">
        <v>0.0</v>
      </c>
      <c r="K1043" s="23" t="s">
        <v>34</v>
      </c>
      <c r="L1043" s="25">
        <v>41657.98608796296</v>
      </c>
      <c r="M1043" s="28"/>
      <c r="N1043" s="26" t="s">
        <v>2736</v>
      </c>
      <c r="O1043" s="22" t="str">
        <f>HYPERLINK("https://pbs.twimg.com/profile_images/884298737480122369/CCqPLRIM_normal.jpg","View")</f>
        <v>View</v>
      </c>
      <c r="P1043" s="27"/>
    </row>
    <row r="1044">
      <c r="A1044" s="14">
        <v>43031.09894675926</v>
      </c>
      <c r="B1044" s="20" t="str">
        <f>HYPERLINK("https://twitter.com/pranav9983","@pranav9983")</f>
        <v>@pranav9983</v>
      </c>
      <c r="C1044" s="21" t="s">
        <v>2737</v>
      </c>
      <c r="D1044" s="21" t="s">
        <v>2738</v>
      </c>
      <c r="E1044" s="22" t="str">
        <f>HYPERLINK("https://twitter.com/pranav9983/status/922392776871788544","922392776871788544")</f>
        <v>922392776871788544</v>
      </c>
      <c r="F1044" s="23" t="s">
        <v>55</v>
      </c>
      <c r="G1044" s="24">
        <v>536.0</v>
      </c>
      <c r="H1044" s="24">
        <v>849.0</v>
      </c>
      <c r="I1044" s="24">
        <v>7.0</v>
      </c>
      <c r="J1044" s="24">
        <v>0.0</v>
      </c>
      <c r="K1044" s="23" t="s">
        <v>34</v>
      </c>
      <c r="L1044" s="25">
        <v>42367.89004629629</v>
      </c>
      <c r="M1044" s="26" t="s">
        <v>2739</v>
      </c>
      <c r="N1044" s="26" t="s">
        <v>2740</v>
      </c>
      <c r="O1044" s="22" t="str">
        <f>HYPERLINK("https://pbs.twimg.com/profile_images/682069542713999361/JXyU4R-V_normal.jpg","View")</f>
        <v>View</v>
      </c>
      <c r="P1044" s="27"/>
    </row>
    <row r="1045">
      <c r="A1045" s="14">
        <v>43031.09895833333</v>
      </c>
      <c r="B1045" s="20" t="str">
        <f>HYPERLINK("https://twitter.com/ToraSanDeSyo","@ToraSanDeSyo")</f>
        <v>@ToraSanDeSyo</v>
      </c>
      <c r="C1045" s="21" t="s">
        <v>2741</v>
      </c>
      <c r="D1045" s="21" t="s">
        <v>126</v>
      </c>
      <c r="E1045" s="22" t="str">
        <f>HYPERLINK("https://twitter.com/ToraSanDeSyo/status/922392777702260736","922392777702260736")</f>
        <v>922392777702260736</v>
      </c>
      <c r="F1045" s="23" t="s">
        <v>230</v>
      </c>
      <c r="G1045" s="24">
        <v>1455.0</v>
      </c>
      <c r="H1045" s="24">
        <v>1545.0</v>
      </c>
      <c r="I1045" s="24">
        <v>62.0</v>
      </c>
      <c r="J1045" s="24">
        <v>0.0</v>
      </c>
      <c r="K1045" s="23" t="s">
        <v>34</v>
      </c>
      <c r="L1045" s="25">
        <v>41023.29809027778</v>
      </c>
      <c r="M1045" s="28"/>
      <c r="N1045" s="26" t="s">
        <v>2742</v>
      </c>
      <c r="O1045" s="22" t="str">
        <f>HYPERLINK("https://pbs.twimg.com/profile_images/3366283560/15bb88d16123bfe9a438bc4261227b48_normal.jpeg","View")</f>
        <v>View</v>
      </c>
      <c r="P1045" s="27"/>
    </row>
    <row r="1046">
      <c r="A1046" s="14">
        <v>43031.09896990741</v>
      </c>
      <c r="B1046" s="20" t="str">
        <f>HYPERLINK("https://twitter.com/BloombergAsia","@BloombergAsia")</f>
        <v>@BloombergAsia</v>
      </c>
      <c r="C1046" s="21" t="s">
        <v>1726</v>
      </c>
      <c r="D1046" s="21" t="s">
        <v>2743</v>
      </c>
      <c r="E1046" s="22" t="str">
        <f>HYPERLINK("https://twitter.com/BloombergAsia/status/922392783733735425","922392783733735425")</f>
        <v>922392783733735425</v>
      </c>
      <c r="F1046" s="30" t="s">
        <v>2744</v>
      </c>
      <c r="G1046" s="24">
        <v>28807.0</v>
      </c>
      <c r="H1046" s="24">
        <v>97.0</v>
      </c>
      <c r="I1046" s="24">
        <v>0.0</v>
      </c>
      <c r="J1046" s="24">
        <v>0.0</v>
      </c>
      <c r="K1046" s="23" t="s">
        <v>34</v>
      </c>
      <c r="L1046" s="25">
        <v>41052.238483796296</v>
      </c>
      <c r="M1046" s="28"/>
      <c r="N1046" s="26" t="s">
        <v>1728</v>
      </c>
      <c r="O1046" s="22" t="str">
        <f>HYPERLINK("https://pbs.twimg.com/profile_images/778129630284902401/gXjFkqGM_normal.jpg","View")</f>
        <v>View</v>
      </c>
      <c r="P1046" s="27"/>
    </row>
    <row r="1047">
      <c r="A1047" s="14">
        <v>43031.09898148148</v>
      </c>
      <c r="B1047" s="20" t="str">
        <f t="shared" ref="B1047:B1048" si="11">HYPERLINK("https://twitter.com/Jordan_FHT","@Jordan_FHT")</f>
        <v>@Jordan_FHT</v>
      </c>
      <c r="C1047" s="21" t="s">
        <v>2745</v>
      </c>
      <c r="D1047" s="21" t="s">
        <v>2555</v>
      </c>
      <c r="E1047" s="22" t="str">
        <f>HYPERLINK("https://twitter.com/Jordan_FHT/status/922392786132979712","922392786132979712")</f>
        <v>922392786132979712</v>
      </c>
      <c r="F1047" s="23" t="s">
        <v>1799</v>
      </c>
      <c r="G1047" s="24">
        <v>252.0</v>
      </c>
      <c r="H1047" s="24">
        <v>77.0</v>
      </c>
      <c r="I1047" s="24">
        <v>58.0</v>
      </c>
      <c r="J1047" s="24">
        <v>0.0</v>
      </c>
      <c r="K1047" s="23" t="s">
        <v>34</v>
      </c>
      <c r="L1047" s="25">
        <v>42419.27686342593</v>
      </c>
      <c r="M1047" s="26" t="s">
        <v>2746</v>
      </c>
      <c r="N1047" s="26" t="s">
        <v>2747</v>
      </c>
      <c r="O1047" s="22" t="str">
        <f t="shared" ref="O1047:O1048" si="12">HYPERLINK("https://pbs.twimg.com/profile_images/703246800833089536/QK8e-yOG_normal.jpg","View")</f>
        <v>View</v>
      </c>
      <c r="P1047" s="27"/>
    </row>
    <row r="1048">
      <c r="A1048" s="14">
        <v>43031.09898148148</v>
      </c>
      <c r="B1048" s="20" t="str">
        <f t="shared" si="11"/>
        <v>@Jordan_FHT</v>
      </c>
      <c r="C1048" s="21" t="s">
        <v>2745</v>
      </c>
      <c r="D1048" s="21" t="s">
        <v>2748</v>
      </c>
      <c r="E1048" s="22" t="str">
        <f>HYPERLINK("https://twitter.com/Jordan_FHT/status/922392786846003200","922392786846003200")</f>
        <v>922392786846003200</v>
      </c>
      <c r="F1048" s="23" t="s">
        <v>1799</v>
      </c>
      <c r="G1048" s="24">
        <v>252.0</v>
      </c>
      <c r="H1048" s="24">
        <v>77.0</v>
      </c>
      <c r="I1048" s="24">
        <v>15.0</v>
      </c>
      <c r="J1048" s="24">
        <v>0.0</v>
      </c>
      <c r="K1048" s="23" t="s">
        <v>34</v>
      </c>
      <c r="L1048" s="25">
        <v>42419.27686342593</v>
      </c>
      <c r="M1048" s="26" t="s">
        <v>2746</v>
      </c>
      <c r="N1048" s="26" t="s">
        <v>2747</v>
      </c>
      <c r="O1048" s="22" t="str">
        <f t="shared" si="12"/>
        <v>View</v>
      </c>
      <c r="P1048" s="27"/>
    </row>
    <row r="1049">
      <c r="A1049" s="14">
        <v>43031.0991550926</v>
      </c>
      <c r="B1049" s="20" t="str">
        <f>HYPERLINK("https://twitter.com/43395e3207fe45","@43395e3207fe45")</f>
        <v>@43395e3207fe45</v>
      </c>
      <c r="C1049" s="21" t="s">
        <v>2749</v>
      </c>
      <c r="D1049" s="21" t="s">
        <v>42</v>
      </c>
      <c r="E1049" s="22" t="str">
        <f>HYPERLINK("https://twitter.com/43395e3207fe45/status/922392850746155008","922392850746155008")</f>
        <v>922392850746155008</v>
      </c>
      <c r="F1049" s="23" t="s">
        <v>33</v>
      </c>
      <c r="G1049" s="24">
        <v>10.0</v>
      </c>
      <c r="H1049" s="24">
        <v>88.0</v>
      </c>
      <c r="I1049" s="24">
        <v>8501.0</v>
      </c>
      <c r="J1049" s="24">
        <v>0.0</v>
      </c>
      <c r="K1049" s="23" t="s">
        <v>34</v>
      </c>
      <c r="L1049" s="25">
        <v>41921.40849537037</v>
      </c>
      <c r="M1049" s="26" t="s">
        <v>2750</v>
      </c>
      <c r="N1049" s="28"/>
      <c r="O1049" s="22" t="str">
        <f>HYPERLINK("https://pbs.twimg.com/profile_images/774622554208231424/Ql4wx3Ng_normal.jpg","View")</f>
        <v>View</v>
      </c>
      <c r="P1049" s="27"/>
    </row>
    <row r="1050">
      <c r="A1050" s="14">
        <v>43031.09920138889</v>
      </c>
      <c r="B1050" s="20" t="str">
        <f>HYPERLINK("https://twitter.com/JatinSh89","@JatinSh89")</f>
        <v>@JatinSh89</v>
      </c>
      <c r="C1050" s="21" t="s">
        <v>2751</v>
      </c>
      <c r="D1050" s="21" t="s">
        <v>42</v>
      </c>
      <c r="E1050" s="22" t="str">
        <f>HYPERLINK("https://twitter.com/JatinSh89/status/922392867435401216","922392867435401216")</f>
        <v>922392867435401216</v>
      </c>
      <c r="F1050" s="23" t="s">
        <v>33</v>
      </c>
      <c r="G1050" s="24">
        <v>69.0</v>
      </c>
      <c r="H1050" s="24">
        <v>163.0</v>
      </c>
      <c r="I1050" s="24">
        <v>8501.0</v>
      </c>
      <c r="J1050" s="24">
        <v>0.0</v>
      </c>
      <c r="K1050" s="23" t="s">
        <v>34</v>
      </c>
      <c r="L1050" s="25">
        <v>42578.49680555555</v>
      </c>
      <c r="M1050" s="28"/>
      <c r="N1050" s="28"/>
      <c r="O1050" s="22" t="str">
        <f>HYPERLINK("https://pbs.twimg.com/profile_images/832899283246575617/Z_szTsS9_normal.jpg","View")</f>
        <v>View</v>
      </c>
      <c r="P1050" s="27"/>
    </row>
    <row r="1051">
      <c r="A1051" s="14">
        <v>43031.09934027778</v>
      </c>
      <c r="B1051" s="20" t="str">
        <f>HYPERLINK("https://twitter.com/BloombergTV","@BloombergTV")</f>
        <v>@BloombergTV</v>
      </c>
      <c r="C1051" s="21" t="s">
        <v>1723</v>
      </c>
      <c r="D1051" s="21" t="s">
        <v>2752</v>
      </c>
      <c r="E1051" s="22" t="str">
        <f>HYPERLINK("https://twitter.com/BloombergTV/status/922392919771770880","922392919771770880")</f>
        <v>922392919771770880</v>
      </c>
      <c r="F1051" s="30" t="s">
        <v>2744</v>
      </c>
      <c r="G1051" s="24">
        <v>452743.0</v>
      </c>
      <c r="H1051" s="24">
        <v>458.0</v>
      </c>
      <c r="I1051" s="24">
        <v>1.0</v>
      </c>
      <c r="J1051" s="24">
        <v>4.0</v>
      </c>
      <c r="K1051" s="23" t="s">
        <v>34</v>
      </c>
      <c r="L1051" s="25">
        <v>39927.48997685185</v>
      </c>
      <c r="M1051" s="26" t="s">
        <v>389</v>
      </c>
      <c r="N1051" s="26" t="s">
        <v>1725</v>
      </c>
      <c r="O1051" s="22" t="str">
        <f>HYPERLINK("https://pbs.twimg.com/profile_images/714801760632770560/7My2hMBt_normal.jpg","View")</f>
        <v>View</v>
      </c>
      <c r="P1051" s="27"/>
    </row>
    <row r="1052">
      <c r="A1052" s="14">
        <v>43031.09935185185</v>
      </c>
      <c r="B1052" s="20" t="str">
        <f>HYPERLINK("https://twitter.com/Proj_Mngmnt_UK","@Proj_Mngmnt_UK")</f>
        <v>@Proj_Mngmnt_UK</v>
      </c>
      <c r="C1052" s="21" t="s">
        <v>2753</v>
      </c>
      <c r="D1052" s="21" t="s">
        <v>2754</v>
      </c>
      <c r="E1052" s="22" t="str">
        <f>HYPERLINK("https://twitter.com/Proj_Mngmnt_UK/status/922392921856495616","922392921856495616")</f>
        <v>922392921856495616</v>
      </c>
      <c r="F1052" s="23" t="s">
        <v>1020</v>
      </c>
      <c r="G1052" s="24">
        <v>1309.0</v>
      </c>
      <c r="H1052" s="24">
        <v>864.0</v>
      </c>
      <c r="I1052" s="24">
        <v>0.0</v>
      </c>
      <c r="J1052" s="24">
        <v>0.0</v>
      </c>
      <c r="K1052" s="23" t="s">
        <v>34</v>
      </c>
      <c r="L1052" s="25">
        <v>41940.20958333333</v>
      </c>
      <c r="M1052" s="28"/>
      <c r="N1052" s="26" t="s">
        <v>2755</v>
      </c>
      <c r="O1052" s="22" t="str">
        <f>HYPERLINK("https://pbs.twimg.com/profile_images/527067867075063808/NzH9pAsL_normal.png","View")</f>
        <v>View</v>
      </c>
      <c r="P1052" s="27"/>
    </row>
    <row r="1053">
      <c r="A1053" s="14">
        <v>43031.09940972222</v>
      </c>
      <c r="B1053" s="20" t="str">
        <f>HYPERLINK("https://twitter.com/sitifatimahnet","@sitifatimahnet")</f>
        <v>@sitifatimahnet</v>
      </c>
      <c r="C1053" s="21" t="s">
        <v>1762</v>
      </c>
      <c r="D1053" s="21" t="s">
        <v>2756</v>
      </c>
      <c r="E1053" s="22" t="str">
        <f>HYPERLINK("https://twitter.com/sitifatimahnet/status/922392944526622720","922392944526622720")</f>
        <v>922392944526622720</v>
      </c>
      <c r="F1053" s="23" t="s">
        <v>187</v>
      </c>
      <c r="G1053" s="24">
        <v>309.0</v>
      </c>
      <c r="H1053" s="24">
        <v>27.0</v>
      </c>
      <c r="I1053" s="24">
        <v>0.0</v>
      </c>
      <c r="J1053" s="24">
        <v>0.0</v>
      </c>
      <c r="K1053" s="23" t="s">
        <v>34</v>
      </c>
      <c r="L1053" s="25">
        <v>42698.43719907408</v>
      </c>
      <c r="M1053" s="26" t="s">
        <v>1764</v>
      </c>
      <c r="N1053" s="26" t="s">
        <v>1765</v>
      </c>
      <c r="O1053" s="22" t="str">
        <f>HYPERLINK("https://pbs.twimg.com/profile_images/897683241594912769/-rSDzg9T_normal.jpg","View")</f>
        <v>View</v>
      </c>
      <c r="P1053" s="27"/>
    </row>
    <row r="1054">
      <c r="A1054" s="14">
        <v>43031.09945601852</v>
      </c>
      <c r="B1054" s="20" t="str">
        <f>HYPERLINK("https://twitter.com/NewsNumberFlash","@NewsNumberFlash")</f>
        <v>@NewsNumberFlash</v>
      </c>
      <c r="C1054" s="29" t="s">
        <v>2757</v>
      </c>
      <c r="D1054" s="21" t="s">
        <v>2758</v>
      </c>
      <c r="E1054" s="22" t="str">
        <f>HYPERLINK("https://twitter.com/NewsNumberFlash/status/922392959667945473","922392959667945473")</f>
        <v>922392959667945473</v>
      </c>
      <c r="F1054" s="23" t="s">
        <v>48</v>
      </c>
      <c r="G1054" s="24">
        <v>72.0</v>
      </c>
      <c r="H1054" s="24">
        <v>71.0</v>
      </c>
      <c r="I1054" s="24">
        <v>0.0</v>
      </c>
      <c r="J1054" s="24">
        <v>0.0</v>
      </c>
      <c r="K1054" s="23" t="s">
        <v>34</v>
      </c>
      <c r="L1054" s="25">
        <v>41996.67371527778</v>
      </c>
      <c r="M1054" s="28"/>
      <c r="N1054" s="26" t="s">
        <v>2759</v>
      </c>
      <c r="O1054" s="22" t="str">
        <f>HYPERLINK("https://pbs.twimg.com/profile_images/602234476391964672/vsGUUP6F_normal.jpg","View")</f>
        <v>View</v>
      </c>
      <c r="P1054" s="27"/>
    </row>
    <row r="1055">
      <c r="A1055" s="14">
        <v>43031.09947916667</v>
      </c>
      <c r="B1055" s="20" t="str">
        <f>HYPERLINK("https://twitter.com/deepsaikia14","@deepsaikia14")</f>
        <v>@deepsaikia14</v>
      </c>
      <c r="C1055" s="21" t="s">
        <v>2528</v>
      </c>
      <c r="D1055" s="21" t="s">
        <v>2738</v>
      </c>
      <c r="E1055" s="22" t="str">
        <f>HYPERLINK("https://twitter.com/deepsaikia14/status/922392967159062528","922392967159062528")</f>
        <v>922392967159062528</v>
      </c>
      <c r="F1055" s="23" t="s">
        <v>780</v>
      </c>
      <c r="G1055" s="24">
        <v>156.0</v>
      </c>
      <c r="H1055" s="24">
        <v>543.0</v>
      </c>
      <c r="I1055" s="24">
        <v>7.0</v>
      </c>
      <c r="J1055" s="24">
        <v>0.0</v>
      </c>
      <c r="K1055" s="23" t="s">
        <v>34</v>
      </c>
      <c r="L1055" s="25">
        <v>41734.32309027778</v>
      </c>
      <c r="M1055" s="28"/>
      <c r="N1055" s="26" t="s">
        <v>2529</v>
      </c>
      <c r="O1055" s="22" t="str">
        <f>HYPERLINK("https://pbs.twimg.com/profile_images/897320204086026241/-qLZvzf6_normal.jpg","View")</f>
        <v>View</v>
      </c>
      <c r="P1055" s="27"/>
    </row>
    <row r="1056">
      <c r="A1056" s="14">
        <v>43031.09956018519</v>
      </c>
      <c r="B1056" s="20" t="str">
        <f>HYPERLINK("https://twitter.com/iJayeshPatel","@iJayeshPatel")</f>
        <v>@iJayeshPatel</v>
      </c>
      <c r="C1056" s="21" t="s">
        <v>2760</v>
      </c>
      <c r="D1056" s="21" t="s">
        <v>42</v>
      </c>
      <c r="E1056" s="22" t="str">
        <f>HYPERLINK("https://twitter.com/iJayeshPatel/status/922392998536609793","922392998536609793")</f>
        <v>922392998536609793</v>
      </c>
      <c r="F1056" s="23" t="s">
        <v>33</v>
      </c>
      <c r="G1056" s="24">
        <v>54.0</v>
      </c>
      <c r="H1056" s="24">
        <v>36.0</v>
      </c>
      <c r="I1056" s="24">
        <v>8501.0</v>
      </c>
      <c r="J1056" s="24">
        <v>0.0</v>
      </c>
      <c r="K1056" s="23" t="s">
        <v>34</v>
      </c>
      <c r="L1056" s="25">
        <v>42837.460868055554</v>
      </c>
      <c r="M1056" s="26" t="s">
        <v>2761</v>
      </c>
      <c r="N1056" s="26" t="s">
        <v>1217</v>
      </c>
      <c r="O1056" s="22" t="str">
        <f>HYPERLINK("https://pbs.twimg.com/profile_images/852225703655477248/qJBEwn-c_normal.jpg","View")</f>
        <v>View</v>
      </c>
      <c r="P1056" s="27"/>
    </row>
    <row r="1057">
      <c r="A1057" s="14">
        <v>43031.09957175926</v>
      </c>
      <c r="B1057" s="20" t="str">
        <f>HYPERLINK("https://twitter.com/Freda_Wilson2","@Freda_Wilson2")</f>
        <v>@Freda_Wilson2</v>
      </c>
      <c r="C1057" s="21" t="s">
        <v>2762</v>
      </c>
      <c r="D1057" s="21" t="s">
        <v>213</v>
      </c>
      <c r="E1057" s="22" t="str">
        <f>HYPERLINK("https://twitter.com/Freda_Wilson2/status/922393001715834881","922393001715834881")</f>
        <v>922393001715834881</v>
      </c>
      <c r="F1057" s="23" t="s">
        <v>55</v>
      </c>
      <c r="G1057" s="24">
        <v>2.0</v>
      </c>
      <c r="H1057" s="24">
        <v>0.0</v>
      </c>
      <c r="I1057" s="24">
        <v>94.0</v>
      </c>
      <c r="J1057" s="24">
        <v>0.0</v>
      </c>
      <c r="K1057" s="23" t="s">
        <v>34</v>
      </c>
      <c r="L1057" s="25">
        <v>43024.805601851855</v>
      </c>
      <c r="M1057" s="28"/>
      <c r="N1057" s="28"/>
      <c r="O1057" s="22" t="str">
        <f>HYPERLINK("https://pbs.twimg.com/profile_images/920113225164664833/5P0-X4xT_normal.jpg","View")</f>
        <v>View</v>
      </c>
      <c r="P1057" s="27"/>
    </row>
    <row r="1058">
      <c r="A1058" s="14">
        <v>43031.09971064815</v>
      </c>
      <c r="B1058" s="20" t="str">
        <f>HYPERLINK("https://twitter.com/Raghven21133786","@Raghven21133786")</f>
        <v>@Raghven21133786</v>
      </c>
      <c r="C1058" s="21" t="s">
        <v>554</v>
      </c>
      <c r="D1058" s="21" t="s">
        <v>2738</v>
      </c>
      <c r="E1058" s="22" t="str">
        <f>HYPERLINK("https://twitter.com/Raghven21133786/status/922393053544947712","922393053544947712")</f>
        <v>922393053544947712</v>
      </c>
      <c r="F1058" s="23" t="s">
        <v>33</v>
      </c>
      <c r="G1058" s="24">
        <v>79.0</v>
      </c>
      <c r="H1058" s="24">
        <v>450.0</v>
      </c>
      <c r="I1058" s="24">
        <v>7.0</v>
      </c>
      <c r="J1058" s="24">
        <v>0.0</v>
      </c>
      <c r="K1058" s="23" t="s">
        <v>34</v>
      </c>
      <c r="L1058" s="25">
        <v>42996.76704861112</v>
      </c>
      <c r="M1058" s="26" t="s">
        <v>227</v>
      </c>
      <c r="N1058" s="26" t="s">
        <v>555</v>
      </c>
      <c r="O1058" s="22" t="str">
        <f>HYPERLINK("https://pbs.twimg.com/profile_images/909994391560790016/hDLx09o-_normal.jpg","View")</f>
        <v>View</v>
      </c>
      <c r="P1058" s="27"/>
    </row>
    <row r="1059">
      <c r="A1059" s="14">
        <v>43031.09972222222</v>
      </c>
      <c r="B1059" s="20" t="str">
        <f>HYPERLINK("https://twitter.com/serge_poznanski","@serge_poznanski")</f>
        <v>@serge_poznanski</v>
      </c>
      <c r="C1059" s="21" t="s">
        <v>2763</v>
      </c>
      <c r="D1059" s="21" t="s">
        <v>2764</v>
      </c>
      <c r="E1059" s="22" t="str">
        <f>HYPERLINK("https://twitter.com/serge_poznanski/status/922393055826792448","922393055826792448")</f>
        <v>922393055826792448</v>
      </c>
      <c r="F1059" s="23" t="s">
        <v>187</v>
      </c>
      <c r="G1059" s="24">
        <v>1438.0</v>
      </c>
      <c r="H1059" s="24">
        <v>2138.0</v>
      </c>
      <c r="I1059" s="24">
        <v>0.0</v>
      </c>
      <c r="J1059" s="24">
        <v>0.0</v>
      </c>
      <c r="K1059" s="23" t="s">
        <v>34</v>
      </c>
      <c r="L1059" s="25">
        <v>42271.47445601852</v>
      </c>
      <c r="M1059" s="28"/>
      <c r="N1059" s="28"/>
      <c r="O1059" s="22" t="str">
        <f>HYPERLINK("https://pbs.twimg.com/profile_images/647277253240291328/3GezjFCJ_normal.jpg","View")</f>
        <v>View</v>
      </c>
      <c r="P1059" s="27"/>
    </row>
    <row r="1060">
      <c r="A1060" s="14">
        <v>43031.0997337963</v>
      </c>
      <c r="B1060" s="20" t="str">
        <f>HYPERLINK("https://twitter.com/GPS2017_JP","@GPS2017_JP")</f>
        <v>@GPS2017_JP</v>
      </c>
      <c r="C1060" s="21" t="s">
        <v>2765</v>
      </c>
      <c r="D1060" s="21" t="s">
        <v>42</v>
      </c>
      <c r="E1060" s="22" t="str">
        <f>HYPERLINK("https://twitter.com/GPS2017_JP/status/922393059618205696","922393059618205696")</f>
        <v>922393059618205696</v>
      </c>
      <c r="F1060" s="23" t="s">
        <v>55</v>
      </c>
      <c r="G1060" s="24">
        <v>10.0</v>
      </c>
      <c r="H1060" s="24">
        <v>103.0</v>
      </c>
      <c r="I1060" s="24">
        <v>8501.0</v>
      </c>
      <c r="J1060" s="24">
        <v>0.0</v>
      </c>
      <c r="K1060" s="23" t="s">
        <v>34</v>
      </c>
      <c r="L1060" s="25">
        <v>42989.75666666667</v>
      </c>
      <c r="M1060" s="28"/>
      <c r="N1060" s="26" t="s">
        <v>2766</v>
      </c>
      <c r="O1060" s="22" t="str">
        <f>HYPERLINK("https://pbs.twimg.com/profile_images/907429858656919553/EfraPBXk_normal.jpg","View")</f>
        <v>View</v>
      </c>
      <c r="P1060" s="27"/>
    </row>
    <row r="1061">
      <c r="A1061" s="14">
        <v>43031.099745370375</v>
      </c>
      <c r="B1061" s="20" t="str">
        <f>HYPERLINK("https://twitter.com/babasherlin","@babasherlin")</f>
        <v>@babasherlin</v>
      </c>
      <c r="C1061" s="21" t="s">
        <v>2767</v>
      </c>
      <c r="D1061" s="21" t="s">
        <v>32</v>
      </c>
      <c r="E1061" s="22" t="str">
        <f>HYPERLINK("https://twitter.com/babasherlin/status/922393062860615680","922393062860615680")</f>
        <v>922393062860615680</v>
      </c>
      <c r="F1061" s="23" t="s">
        <v>33</v>
      </c>
      <c r="G1061" s="24">
        <v>222.0</v>
      </c>
      <c r="H1061" s="24">
        <v>268.0</v>
      </c>
      <c r="I1061" s="24">
        <v>471.0</v>
      </c>
      <c r="J1061" s="24">
        <v>0.0</v>
      </c>
      <c r="K1061" s="23" t="s">
        <v>34</v>
      </c>
      <c r="L1061" s="25">
        <v>40601.49621527777</v>
      </c>
      <c r="M1061" s="28"/>
      <c r="N1061" s="26" t="s">
        <v>2768</v>
      </c>
      <c r="O1061" s="22" t="str">
        <f>HYPERLINK("https://pbs.twimg.com/profile_images/918895356771004416/oIQ_MEPI_normal.jpg","View")</f>
        <v>View</v>
      </c>
      <c r="P1061" s="27"/>
    </row>
    <row r="1062">
      <c r="A1062" s="14">
        <v>43031.09984953704</v>
      </c>
      <c r="B1062" s="20" t="str">
        <f>HYPERLINK("https://twitter.com/Digantikalama","@Digantikalama")</f>
        <v>@Digantikalama</v>
      </c>
      <c r="C1062" s="21" t="s">
        <v>2769</v>
      </c>
      <c r="D1062" s="21" t="s">
        <v>42</v>
      </c>
      <c r="E1062" s="22" t="str">
        <f>HYPERLINK("https://twitter.com/Digantikalama/status/922393101330608128","922393101330608128")</f>
        <v>922393101330608128</v>
      </c>
      <c r="F1062" s="23" t="s">
        <v>39</v>
      </c>
      <c r="G1062" s="24">
        <v>113.0</v>
      </c>
      <c r="H1062" s="24">
        <v>441.0</v>
      </c>
      <c r="I1062" s="24">
        <v>8501.0</v>
      </c>
      <c r="J1062" s="24">
        <v>0.0</v>
      </c>
      <c r="K1062" s="23" t="s">
        <v>34</v>
      </c>
      <c r="L1062" s="25">
        <v>41938.323958333334</v>
      </c>
      <c r="M1062" s="26" t="s">
        <v>2770</v>
      </c>
      <c r="N1062" s="26" t="s">
        <v>2771</v>
      </c>
      <c r="O1062" s="22" t="str">
        <f>HYPERLINK("https://pbs.twimg.com/profile_images/922923828342284288/QxPWlwV3_normal.jpg","View")</f>
        <v>View</v>
      </c>
      <c r="P1062" s="27"/>
    </row>
    <row r="1063">
      <c r="A1063" s="14">
        <v>43031.09986111111</v>
      </c>
      <c r="B1063" s="20" t="str">
        <f>HYPERLINK("https://twitter.com/Shikomukui","@Shikomukui")</f>
        <v>@Shikomukui</v>
      </c>
      <c r="C1063" s="21" t="s">
        <v>2772</v>
      </c>
      <c r="D1063" s="21" t="s">
        <v>2555</v>
      </c>
      <c r="E1063" s="22" t="str">
        <f>HYPERLINK("https://twitter.com/Shikomukui/status/922393105608970240","922393105608970240")</f>
        <v>922393105608970240</v>
      </c>
      <c r="F1063" s="23" t="s">
        <v>33</v>
      </c>
      <c r="G1063" s="24">
        <v>2005.0</v>
      </c>
      <c r="H1063" s="24">
        <v>437.0</v>
      </c>
      <c r="I1063" s="24">
        <v>58.0</v>
      </c>
      <c r="J1063" s="24">
        <v>0.0</v>
      </c>
      <c r="K1063" s="23" t="s">
        <v>34</v>
      </c>
      <c r="L1063" s="25">
        <v>40505.42542824074</v>
      </c>
      <c r="M1063" s="26" t="s">
        <v>2773</v>
      </c>
      <c r="N1063" s="26" t="s">
        <v>2774</v>
      </c>
      <c r="O1063" s="22" t="str">
        <f>HYPERLINK("https://pbs.twimg.com/profile_images/911835343984496640/zhGbT92G_normal.jpg","View")</f>
        <v>View</v>
      </c>
      <c r="P1063" s="27"/>
    </row>
    <row r="1064">
      <c r="A1064" s="14">
        <v>43031.09987268518</v>
      </c>
      <c r="B1064" s="20" t="str">
        <f>HYPERLINK("https://twitter.com/sunny_punia7723","@sunny_punia7723")</f>
        <v>@sunny_punia7723</v>
      </c>
      <c r="C1064" s="21" t="s">
        <v>2775</v>
      </c>
      <c r="D1064" s="21" t="s">
        <v>42</v>
      </c>
      <c r="E1064" s="22" t="str">
        <f>HYPERLINK("https://twitter.com/sunny_punia7723/status/922393108725211137","922393108725211137")</f>
        <v>922393108725211137</v>
      </c>
      <c r="F1064" s="23" t="s">
        <v>55</v>
      </c>
      <c r="G1064" s="24">
        <v>147.0</v>
      </c>
      <c r="H1064" s="24">
        <v>147.0</v>
      </c>
      <c r="I1064" s="24">
        <v>8501.0</v>
      </c>
      <c r="J1064" s="24">
        <v>0.0</v>
      </c>
      <c r="K1064" s="23" t="s">
        <v>34</v>
      </c>
      <c r="L1064" s="25">
        <v>41834.64224537037</v>
      </c>
      <c r="M1064" s="26" t="s">
        <v>2461</v>
      </c>
      <c r="N1064" s="26" t="s">
        <v>2776</v>
      </c>
      <c r="O1064" s="22" t="str">
        <f>HYPERLINK("https://pbs.twimg.com/profile_images/769152590609285120/-ues37G6_normal.jpg","View")</f>
        <v>View</v>
      </c>
      <c r="P1064" s="27"/>
    </row>
    <row r="1065">
      <c r="A1065" s="14">
        <v>43031.09997685185</v>
      </c>
      <c r="B1065" s="20" t="str">
        <f>HYPERLINK("https://twitter.com/Sorgitzak","@Sorgitzak")</f>
        <v>@Sorgitzak</v>
      </c>
      <c r="C1065" s="21" t="s">
        <v>1122</v>
      </c>
      <c r="D1065" s="21" t="s">
        <v>2777</v>
      </c>
      <c r="E1065" s="22" t="str">
        <f>HYPERLINK("https://twitter.com/Sorgitzak/status/922393149359775744","922393149359775744")</f>
        <v>922393149359775744</v>
      </c>
      <c r="F1065" s="23" t="s">
        <v>187</v>
      </c>
      <c r="G1065" s="24">
        <v>723.0</v>
      </c>
      <c r="H1065" s="24">
        <v>1309.0</v>
      </c>
      <c r="I1065" s="24">
        <v>0.0</v>
      </c>
      <c r="J1065" s="24">
        <v>0.0</v>
      </c>
      <c r="K1065" s="23" t="s">
        <v>34</v>
      </c>
      <c r="L1065" s="25">
        <v>39990.552152777775</v>
      </c>
      <c r="M1065" s="26" t="s">
        <v>1124</v>
      </c>
      <c r="N1065" s="28"/>
      <c r="O1065" s="22" t="str">
        <f>HYPERLINK("https://pbs.twimg.com/profile_images/284404970/sorgitzak_normal.JPG","View")</f>
        <v>View</v>
      </c>
      <c r="P1065" s="27"/>
    </row>
    <row r="1066">
      <c r="A1066" s="14">
        <v>43031.09998842592</v>
      </c>
      <c r="B1066" s="20" t="str">
        <f>HYPERLINK("https://twitter.com/pyt_speechless7","@pyt_speechless7")</f>
        <v>@pyt_speechless7</v>
      </c>
      <c r="C1066" s="21" t="s">
        <v>2778</v>
      </c>
      <c r="D1066" s="21" t="s">
        <v>42</v>
      </c>
      <c r="E1066" s="22" t="str">
        <f>HYPERLINK("https://twitter.com/pyt_speechless7/status/922393152048136192","922393152048136192")</f>
        <v>922393152048136192</v>
      </c>
      <c r="F1066" s="23" t="s">
        <v>39</v>
      </c>
      <c r="G1066" s="24">
        <v>1575.0</v>
      </c>
      <c r="H1066" s="24">
        <v>1870.0</v>
      </c>
      <c r="I1066" s="24">
        <v>8501.0</v>
      </c>
      <c r="J1066" s="24">
        <v>0.0</v>
      </c>
      <c r="K1066" s="23" t="s">
        <v>34</v>
      </c>
      <c r="L1066" s="25">
        <v>40106.8950462963</v>
      </c>
      <c r="M1066" s="26" t="s">
        <v>2779</v>
      </c>
      <c r="N1066" s="26" t="s">
        <v>2780</v>
      </c>
      <c r="O1066" s="22" t="str">
        <f>HYPERLINK("https://pbs.twimg.com/profile_images/902124070291988480/P_U5COqv_normal.jpg","View")</f>
        <v>View</v>
      </c>
      <c r="P1066" s="27"/>
    </row>
    <row r="1067">
      <c r="A1067" s="14">
        <v>43031.1</v>
      </c>
      <c r="B1067" s="20" t="str">
        <f>HYPERLINK("https://twitter.com/darshanvdave","@darshanvdave")</f>
        <v>@darshanvdave</v>
      </c>
      <c r="C1067" s="21" t="s">
        <v>2781</v>
      </c>
      <c r="D1067" s="21" t="s">
        <v>42</v>
      </c>
      <c r="E1067" s="22" t="str">
        <f>HYPERLINK("https://twitter.com/darshanvdave/status/922393157349679104","922393157349679104")</f>
        <v>922393157349679104</v>
      </c>
      <c r="F1067" s="23" t="s">
        <v>33</v>
      </c>
      <c r="G1067" s="24">
        <v>162.0</v>
      </c>
      <c r="H1067" s="24">
        <v>1621.0</v>
      </c>
      <c r="I1067" s="24">
        <v>8501.0</v>
      </c>
      <c r="J1067" s="24">
        <v>0.0</v>
      </c>
      <c r="K1067" s="23" t="s">
        <v>34</v>
      </c>
      <c r="L1067" s="25">
        <v>40313.53549768518</v>
      </c>
      <c r="M1067" s="28"/>
      <c r="N1067" s="28"/>
      <c r="O1067" s="22" t="str">
        <f t="shared" ref="O1067:O1068" si="13">HYPERLINK("https://abs.twimg.com/sticky/default_profile_images/default_profile_normal.png","View")</f>
        <v>View</v>
      </c>
      <c r="P1067" s="27"/>
    </row>
    <row r="1068">
      <c r="A1068" s="14">
        <v>43031.1000462963</v>
      </c>
      <c r="B1068" s="20" t="str">
        <f>HYPERLINK("https://twitter.com/gmanewsfacebook","@gmanewsfacebook")</f>
        <v>@gmanewsfacebook</v>
      </c>
      <c r="C1068" s="21" t="s">
        <v>2782</v>
      </c>
      <c r="D1068" s="21" t="s">
        <v>2783</v>
      </c>
      <c r="E1068" s="22" t="str">
        <f>HYPERLINK("https://twitter.com/gmanewsfacebook/status/922393172898062337","922393172898062337")</f>
        <v>922393172898062337</v>
      </c>
      <c r="F1068" s="23" t="s">
        <v>48</v>
      </c>
      <c r="G1068" s="24">
        <v>1573.0</v>
      </c>
      <c r="H1068" s="24">
        <v>0.0</v>
      </c>
      <c r="I1068" s="24">
        <v>0.0</v>
      </c>
      <c r="J1068" s="24">
        <v>0.0</v>
      </c>
      <c r="K1068" s="23" t="s">
        <v>34</v>
      </c>
      <c r="L1068" s="25">
        <v>42284.42486111111</v>
      </c>
      <c r="M1068" s="28"/>
      <c r="N1068" s="28"/>
      <c r="O1068" s="22" t="str">
        <f t="shared" si="13"/>
        <v>View</v>
      </c>
      <c r="P1068" s="27"/>
    </row>
    <row r="1069">
      <c r="A1069" s="14">
        <v>43031.10009259259</v>
      </c>
      <c r="B1069" s="20" t="str">
        <f>HYPERLINK("https://twitter.com/bllshbrsh","@bllshbrsh")</f>
        <v>@bllshbrsh</v>
      </c>
      <c r="C1069" s="21" t="s">
        <v>138</v>
      </c>
      <c r="D1069" s="21" t="s">
        <v>2784</v>
      </c>
      <c r="E1069" s="22" t="str">
        <f>HYPERLINK("https://twitter.com/bllshbrsh/status/922393191634087936","922393191634087936")</f>
        <v>922393191634087936</v>
      </c>
      <c r="F1069" s="23" t="s">
        <v>140</v>
      </c>
      <c r="G1069" s="24">
        <v>6148.0</v>
      </c>
      <c r="H1069" s="24">
        <v>6416.0</v>
      </c>
      <c r="I1069" s="24">
        <v>0.0</v>
      </c>
      <c r="J1069" s="24">
        <v>0.0</v>
      </c>
      <c r="K1069" s="23" t="s">
        <v>34</v>
      </c>
      <c r="L1069" s="25">
        <v>42682.29137731482</v>
      </c>
      <c r="M1069" s="28"/>
      <c r="N1069" s="28"/>
      <c r="O1069" s="22" t="str">
        <f>HYPERLINK("https://pbs.twimg.com/profile_images/825303907752673284/OSI50AgE_normal.jpg","View")</f>
        <v>View</v>
      </c>
      <c r="P1069" s="27"/>
    </row>
    <row r="1070">
      <c r="A1070" s="14">
        <v>43031.10010416667</v>
      </c>
      <c r="B1070" s="20" t="str">
        <f>HYPERLINK("https://twitter.com/Kul2_skl","@Kul2_skl")</f>
        <v>@Kul2_skl</v>
      </c>
      <c r="C1070" s="21" t="s">
        <v>2785</v>
      </c>
      <c r="D1070" s="21" t="s">
        <v>163</v>
      </c>
      <c r="E1070" s="22" t="str">
        <f>HYPERLINK("https://twitter.com/Kul2_skl/status/922393193123074048","922393193123074048")</f>
        <v>922393193123074048</v>
      </c>
      <c r="F1070" s="23" t="s">
        <v>55</v>
      </c>
      <c r="G1070" s="24">
        <v>26.0</v>
      </c>
      <c r="H1070" s="24">
        <v>237.0</v>
      </c>
      <c r="I1070" s="24">
        <v>1005.0</v>
      </c>
      <c r="J1070" s="24">
        <v>0.0</v>
      </c>
      <c r="K1070" s="23" t="s">
        <v>34</v>
      </c>
      <c r="L1070" s="25">
        <v>42622.34075231482</v>
      </c>
      <c r="M1070" s="28"/>
      <c r="N1070" s="26" t="s">
        <v>2786</v>
      </c>
      <c r="O1070" s="22" t="str">
        <f>HYPERLINK("https://abs.twimg.com/sticky/default_profile_images/default_profile_normal.png","View")</f>
        <v>View</v>
      </c>
      <c r="P1070" s="27"/>
    </row>
    <row r="1071">
      <c r="A1071" s="14">
        <v>43031.100127314814</v>
      </c>
      <c r="B1071" s="20" t="str">
        <f>HYPERLINK("https://twitter.com/BYSGeiz","@BYSGeiz")</f>
        <v>@BYSGeiz</v>
      </c>
      <c r="C1071" s="21" t="s">
        <v>2787</v>
      </c>
      <c r="D1071" s="21" t="s">
        <v>2555</v>
      </c>
      <c r="E1071" s="22" t="str">
        <f>HYPERLINK("https://twitter.com/BYSGeiz/status/922393201352179712","922393201352179712")</f>
        <v>922393201352179712</v>
      </c>
      <c r="F1071" s="23" t="s">
        <v>55</v>
      </c>
      <c r="G1071" s="24">
        <v>82.0</v>
      </c>
      <c r="H1071" s="24">
        <v>456.0</v>
      </c>
      <c r="I1071" s="24">
        <v>58.0</v>
      </c>
      <c r="J1071" s="24">
        <v>0.0</v>
      </c>
      <c r="K1071" s="23" t="s">
        <v>34</v>
      </c>
      <c r="L1071" s="25">
        <v>40460.170335648145</v>
      </c>
      <c r="M1071" s="26" t="s">
        <v>2788</v>
      </c>
      <c r="N1071" s="26" t="s">
        <v>2789</v>
      </c>
      <c r="O1071" s="22" t="str">
        <f>HYPERLINK("https://pbs.twimg.com/profile_images/693743154193760257/qUiaTUNX_normal.jpg","View")</f>
        <v>View</v>
      </c>
      <c r="P1071" s="27"/>
    </row>
    <row r="1072">
      <c r="A1072" s="14">
        <v>43031.10018518519</v>
      </c>
      <c r="B1072" s="20" t="str">
        <f>HYPERLINK("https://twitter.com/Lindabowman45L","@Lindabowman45L")</f>
        <v>@Lindabowman45L</v>
      </c>
      <c r="C1072" s="21" t="s">
        <v>2790</v>
      </c>
      <c r="D1072" s="21" t="s">
        <v>2555</v>
      </c>
      <c r="E1072" s="22" t="str">
        <f>HYPERLINK("https://twitter.com/Lindabowman45L/status/922393223347232768","922393223347232768")</f>
        <v>922393223347232768</v>
      </c>
      <c r="F1072" s="23" t="s">
        <v>39</v>
      </c>
      <c r="G1072" s="24">
        <v>2688.0</v>
      </c>
      <c r="H1072" s="24">
        <v>4796.0</v>
      </c>
      <c r="I1072" s="24">
        <v>58.0</v>
      </c>
      <c r="J1072" s="24">
        <v>0.0</v>
      </c>
      <c r="K1072" s="23" t="s">
        <v>34</v>
      </c>
      <c r="L1072" s="25">
        <v>41804.75258101852</v>
      </c>
      <c r="M1072" s="28"/>
      <c r="N1072" s="26" t="s">
        <v>2791</v>
      </c>
      <c r="O1072" s="22" t="str">
        <f>HYPERLINK("https://pbs.twimg.com/profile_images/881412685405057024/dVwp_cCW_normal.jpg","View")</f>
        <v>View</v>
      </c>
      <c r="P1072" s="27"/>
    </row>
    <row r="1073">
      <c r="A1073" s="14">
        <v>43031.10019675926</v>
      </c>
      <c r="B1073" s="20" t="str">
        <f>HYPERLINK("https://twitter.com/drybak1970","@drybak1970")</f>
        <v>@drybak1970</v>
      </c>
      <c r="C1073" s="21" t="s">
        <v>2792</v>
      </c>
      <c r="D1073" s="21" t="s">
        <v>2793</v>
      </c>
      <c r="E1073" s="22" t="str">
        <f>HYPERLINK("https://twitter.com/drybak1970/status/922393229999443968","922393229999443968")</f>
        <v>922393229999443968</v>
      </c>
      <c r="F1073" s="23" t="s">
        <v>187</v>
      </c>
      <c r="G1073" s="24">
        <v>1717.0</v>
      </c>
      <c r="H1073" s="24">
        <v>4907.0</v>
      </c>
      <c r="I1073" s="24">
        <v>0.0</v>
      </c>
      <c r="J1073" s="24">
        <v>0.0</v>
      </c>
      <c r="K1073" s="23" t="s">
        <v>34</v>
      </c>
      <c r="L1073" s="25">
        <v>42760.117118055554</v>
      </c>
      <c r="M1073" s="26" t="s">
        <v>2794</v>
      </c>
      <c r="N1073" s="26" t="s">
        <v>2795</v>
      </c>
      <c r="O1073" s="22" t="str">
        <f>HYPERLINK("https://pbs.twimg.com/profile_images/902959827613298690/aVcXjxsh_normal.jpg","View")</f>
        <v>View</v>
      </c>
      <c r="P1073" s="27"/>
    </row>
    <row r="1074">
      <c r="A1074" s="14">
        <v>43031.1003125</v>
      </c>
      <c r="B1074" s="20" t="str">
        <f>HYPERLINK("https://twitter.com/serge_poznanski","@serge_poznanski")</f>
        <v>@serge_poznanski</v>
      </c>
      <c r="C1074" s="21" t="s">
        <v>2763</v>
      </c>
      <c r="D1074" s="21" t="s">
        <v>2796</v>
      </c>
      <c r="E1074" s="22" t="str">
        <f>HYPERLINK("https://twitter.com/serge_poznanski/status/922393268750618624","922393268750618624")</f>
        <v>922393268750618624</v>
      </c>
      <c r="F1074" s="23" t="s">
        <v>187</v>
      </c>
      <c r="G1074" s="24">
        <v>1438.0</v>
      </c>
      <c r="H1074" s="24">
        <v>2138.0</v>
      </c>
      <c r="I1074" s="24">
        <v>0.0</v>
      </c>
      <c r="J1074" s="24">
        <v>0.0</v>
      </c>
      <c r="K1074" s="23" t="s">
        <v>34</v>
      </c>
      <c r="L1074" s="25">
        <v>42271.47445601852</v>
      </c>
      <c r="M1074" s="28"/>
      <c r="N1074" s="28"/>
      <c r="O1074" s="22" t="str">
        <f>HYPERLINK("https://pbs.twimg.com/profile_images/647277253240291328/3GezjFCJ_normal.jpg","View")</f>
        <v>View</v>
      </c>
      <c r="P1074" s="27"/>
    </row>
    <row r="1075">
      <c r="A1075" s="14">
        <v>43031.1003125</v>
      </c>
      <c r="B1075" s="20" t="str">
        <f>HYPERLINK("https://twitter.com/Somesh093","@Somesh093")</f>
        <v>@Somesh093</v>
      </c>
      <c r="C1075" s="21" t="s">
        <v>2797</v>
      </c>
      <c r="D1075" s="21" t="s">
        <v>42</v>
      </c>
      <c r="E1075" s="22" t="str">
        <f>HYPERLINK("https://twitter.com/Somesh093/status/922393270642020353","922393270642020353")</f>
        <v>922393270642020353</v>
      </c>
      <c r="F1075" s="23" t="s">
        <v>33</v>
      </c>
      <c r="G1075" s="24">
        <v>0.0</v>
      </c>
      <c r="H1075" s="24">
        <v>0.0</v>
      </c>
      <c r="I1075" s="24">
        <v>8501.0</v>
      </c>
      <c r="J1075" s="24">
        <v>0.0</v>
      </c>
      <c r="K1075" s="23" t="s">
        <v>34</v>
      </c>
      <c r="L1075" s="25">
        <v>43002.08627314815</v>
      </c>
      <c r="M1075" s="28"/>
      <c r="N1075" s="28"/>
      <c r="O1075" s="22" t="str">
        <f>HYPERLINK("https://abs.twimg.com/sticky/default_profile_images/default_profile_normal.png","View")</f>
        <v>View</v>
      </c>
      <c r="P1075" s="27"/>
    </row>
    <row r="1076">
      <c r="A1076" s="14">
        <v>43031.10033564815</v>
      </c>
      <c r="B1076" s="20" t="str">
        <f>HYPERLINK("https://twitter.com/devenrd","@devenrd")</f>
        <v>@devenrd</v>
      </c>
      <c r="C1076" s="21" t="s">
        <v>2798</v>
      </c>
      <c r="D1076" s="21" t="s">
        <v>42</v>
      </c>
      <c r="E1076" s="22" t="str">
        <f>HYPERLINK("https://twitter.com/devenrd/status/922393278447681536","922393278447681536")</f>
        <v>922393278447681536</v>
      </c>
      <c r="F1076" s="23" t="s">
        <v>33</v>
      </c>
      <c r="G1076" s="24">
        <v>318.0</v>
      </c>
      <c r="H1076" s="24">
        <v>362.0</v>
      </c>
      <c r="I1076" s="24">
        <v>8501.0</v>
      </c>
      <c r="J1076" s="24">
        <v>0.0</v>
      </c>
      <c r="K1076" s="23" t="s">
        <v>34</v>
      </c>
      <c r="L1076" s="25">
        <v>40275.344571759255</v>
      </c>
      <c r="M1076" s="26" t="s">
        <v>2799</v>
      </c>
      <c r="N1076" s="26" t="s">
        <v>2800</v>
      </c>
      <c r="O1076" s="22" t="str">
        <f>HYPERLINK("https://pbs.twimg.com/profile_images/799343215447044097/AxXr-lYR_normal.jpg","View")</f>
        <v>View</v>
      </c>
      <c r="P1076" s="27"/>
    </row>
    <row r="1077">
      <c r="A1077" s="14">
        <v>43031.10034722222</v>
      </c>
      <c r="B1077" s="20" t="str">
        <f>HYPERLINK("https://twitter.com/CopyNewsInfo","@CopyNewsInfo")</f>
        <v>@CopyNewsInfo</v>
      </c>
      <c r="C1077" s="21" t="s">
        <v>2801</v>
      </c>
      <c r="D1077" s="21" t="s">
        <v>2802</v>
      </c>
      <c r="E1077" s="22" t="str">
        <f>HYPERLINK("https://twitter.com/CopyNewsInfo/status/922393284101754880","922393284101754880")</f>
        <v>922393284101754880</v>
      </c>
      <c r="F1077" s="23" t="s">
        <v>187</v>
      </c>
      <c r="G1077" s="24">
        <v>4102.0</v>
      </c>
      <c r="H1077" s="24">
        <v>2556.0</v>
      </c>
      <c r="I1077" s="24">
        <v>0.0</v>
      </c>
      <c r="J1077" s="24">
        <v>0.0</v>
      </c>
      <c r="K1077" s="23" t="s">
        <v>34</v>
      </c>
      <c r="L1077" s="25">
        <v>40951.739907407406</v>
      </c>
      <c r="M1077" s="26" t="s">
        <v>2803</v>
      </c>
      <c r="N1077" s="26" t="s">
        <v>2804</v>
      </c>
      <c r="O1077" s="22" t="str">
        <f>HYPERLINK("https://pbs.twimg.com/profile_images/812367752363212800/2NNB_wMX_normal.jpg","View")</f>
        <v>View</v>
      </c>
      <c r="P1077" s="27"/>
    </row>
    <row r="1078">
      <c r="A1078" s="14">
        <v>43031.10035879629</v>
      </c>
      <c r="B1078" s="20" t="str">
        <f>HYPERLINK("https://twitter.com/Ashwani46079763","@Ashwani46079763")</f>
        <v>@Ashwani46079763</v>
      </c>
      <c r="C1078" s="21" t="s">
        <v>2805</v>
      </c>
      <c r="D1078" s="21" t="s">
        <v>42</v>
      </c>
      <c r="E1078" s="22" t="str">
        <f>HYPERLINK("https://twitter.com/Ashwani46079763/status/922393285846450176","922393285846450176")</f>
        <v>922393285846450176</v>
      </c>
      <c r="F1078" s="23" t="s">
        <v>33</v>
      </c>
      <c r="G1078" s="24">
        <v>674.0</v>
      </c>
      <c r="H1078" s="24">
        <v>330.0</v>
      </c>
      <c r="I1078" s="24">
        <v>8501.0</v>
      </c>
      <c r="J1078" s="24">
        <v>0.0</v>
      </c>
      <c r="K1078" s="23" t="s">
        <v>34</v>
      </c>
      <c r="L1078" s="25">
        <v>42230.35128472222</v>
      </c>
      <c r="M1078" s="26" t="s">
        <v>2806</v>
      </c>
      <c r="N1078" s="26" t="s">
        <v>2807</v>
      </c>
      <c r="O1078" s="22" t="str">
        <f>HYPERLINK("https://pbs.twimg.com/profile_images/899996687023964161/bCbL3Axr_normal.jpg","View")</f>
        <v>View</v>
      </c>
      <c r="P1078" s="27"/>
    </row>
    <row r="1079">
      <c r="A1079" s="14">
        <v>43031.10035879629</v>
      </c>
      <c r="B1079" s="20" t="str">
        <f>HYPERLINK("https://twitter.com/BJP4Nagpur","@BJP4Nagpur")</f>
        <v>@BJP4Nagpur</v>
      </c>
      <c r="C1079" s="21" t="s">
        <v>2808</v>
      </c>
      <c r="D1079" s="21" t="s">
        <v>42</v>
      </c>
      <c r="E1079" s="22" t="str">
        <f>HYPERLINK("https://twitter.com/BJP4Nagpur/status/922393285884293120","922393285884293120")</f>
        <v>922393285884293120</v>
      </c>
      <c r="F1079" s="23" t="s">
        <v>33</v>
      </c>
      <c r="G1079" s="24">
        <v>432.0</v>
      </c>
      <c r="H1079" s="24">
        <v>61.0</v>
      </c>
      <c r="I1079" s="24">
        <v>8501.0</v>
      </c>
      <c r="J1079" s="24">
        <v>0.0</v>
      </c>
      <c r="K1079" s="23" t="s">
        <v>34</v>
      </c>
      <c r="L1079" s="25">
        <v>42740.11578703704</v>
      </c>
      <c r="M1079" s="26" t="s">
        <v>204</v>
      </c>
      <c r="N1079" s="26" t="s">
        <v>2809</v>
      </c>
      <c r="O1079" s="22" t="str">
        <f>HYPERLINK("https://pbs.twimg.com/profile_images/816960131107868673/CYreGJOM_normal.jpg","View")</f>
        <v>View</v>
      </c>
      <c r="P1079" s="27"/>
    </row>
    <row r="1080">
      <c r="A1080" s="14">
        <v>43031.100393518514</v>
      </c>
      <c r="B1080" s="20" t="str">
        <f>HYPERLINK("https://twitter.com/kumarsantoshgzp","@kumarsantoshgzp")</f>
        <v>@kumarsantoshgzp</v>
      </c>
      <c r="C1080" s="21" t="s">
        <v>2810</v>
      </c>
      <c r="D1080" s="21" t="s">
        <v>42</v>
      </c>
      <c r="E1080" s="22" t="str">
        <f>HYPERLINK("https://twitter.com/kumarsantoshgzp/status/922393300190949376","922393300190949376")</f>
        <v>922393300190949376</v>
      </c>
      <c r="F1080" s="23" t="s">
        <v>43</v>
      </c>
      <c r="G1080" s="24">
        <v>10.0</v>
      </c>
      <c r="H1080" s="24">
        <v>17.0</v>
      </c>
      <c r="I1080" s="24">
        <v>8501.0</v>
      </c>
      <c r="J1080" s="24">
        <v>0.0</v>
      </c>
      <c r="K1080" s="23" t="s">
        <v>34</v>
      </c>
      <c r="L1080" s="25">
        <v>42819.12766203703</v>
      </c>
      <c r="M1080" s="26" t="s">
        <v>2811</v>
      </c>
      <c r="N1080" s="26" t="s">
        <v>2671</v>
      </c>
      <c r="O1080" s="22" t="str">
        <f>HYPERLINK("https://pbs.twimg.com/profile_images/845585539642347521/eCIVR1EG_normal.jpg","View")</f>
        <v>View</v>
      </c>
      <c r="P1080" s="27"/>
    </row>
    <row r="1081">
      <c r="A1081" s="14">
        <v>43031.100393518514</v>
      </c>
      <c r="B1081" s="20" t="str">
        <f>HYPERLINK("https://twitter.com/avishek_20","@avishek_20")</f>
        <v>@avishek_20</v>
      </c>
      <c r="C1081" s="21" t="s">
        <v>2812</v>
      </c>
      <c r="D1081" s="21" t="s">
        <v>42</v>
      </c>
      <c r="E1081" s="22" t="str">
        <f>HYPERLINK("https://twitter.com/avishek_20/status/922393300908228608","922393300908228608")</f>
        <v>922393300908228608</v>
      </c>
      <c r="F1081" s="23" t="s">
        <v>39</v>
      </c>
      <c r="G1081" s="24">
        <v>303.0</v>
      </c>
      <c r="H1081" s="24">
        <v>1334.0</v>
      </c>
      <c r="I1081" s="24">
        <v>8501.0</v>
      </c>
      <c r="J1081" s="24">
        <v>0.0</v>
      </c>
      <c r="K1081" s="23" t="s">
        <v>34</v>
      </c>
      <c r="L1081" s="25">
        <v>41609.923692129625</v>
      </c>
      <c r="M1081" s="26" t="s">
        <v>2813</v>
      </c>
      <c r="N1081" s="26" t="s">
        <v>2814</v>
      </c>
      <c r="O1081" s="22" t="str">
        <f>HYPERLINK("https://pbs.twimg.com/profile_images/518655850961842176/o-kj0PoB_normal.jpeg","View")</f>
        <v>View</v>
      </c>
      <c r="P1081" s="27"/>
    </row>
    <row r="1082">
      <c r="A1082" s="14">
        <v>43031.10040509259</v>
      </c>
      <c r="B1082" s="20" t="str">
        <f>HYPERLINK("https://twitter.com/TeckTweets","@TeckTweets")</f>
        <v>@TeckTweets</v>
      </c>
      <c r="C1082" s="21" t="s">
        <v>2815</v>
      </c>
      <c r="D1082" s="21" t="s">
        <v>42</v>
      </c>
      <c r="E1082" s="22" t="str">
        <f>HYPERLINK("https://twitter.com/TeckTweets/status/922393303311454208","922393303311454208")</f>
        <v>922393303311454208</v>
      </c>
      <c r="F1082" s="23" t="s">
        <v>33</v>
      </c>
      <c r="G1082" s="24">
        <v>483.0</v>
      </c>
      <c r="H1082" s="24">
        <v>894.0</v>
      </c>
      <c r="I1082" s="24">
        <v>8501.0</v>
      </c>
      <c r="J1082" s="24">
        <v>0.0</v>
      </c>
      <c r="K1082" s="23" t="s">
        <v>34</v>
      </c>
      <c r="L1082" s="25">
        <v>41530.30428240741</v>
      </c>
      <c r="M1082" s="26" t="s">
        <v>204</v>
      </c>
      <c r="N1082" s="26" t="s">
        <v>2816</v>
      </c>
      <c r="O1082" s="22" t="str">
        <f>HYPERLINK("https://pbs.twimg.com/profile_images/862262989264756736/j0CwHxck_normal.jpg","View")</f>
        <v>View</v>
      </c>
      <c r="P1082" s="27"/>
    </row>
    <row r="1083">
      <c r="A1083" s="14">
        <v>43031.10041666667</v>
      </c>
      <c r="B1083" s="20" t="str">
        <f>HYPERLINK("https://twitter.com/jitesh_0311","@jitesh_0311")</f>
        <v>@jitesh_0311</v>
      </c>
      <c r="C1083" s="21" t="s">
        <v>2817</v>
      </c>
      <c r="D1083" s="21" t="s">
        <v>42</v>
      </c>
      <c r="E1083" s="22" t="str">
        <f>HYPERLINK("https://twitter.com/jitesh_0311/status/922393306079797248","922393306079797248")</f>
        <v>922393306079797248</v>
      </c>
      <c r="F1083" s="23" t="s">
        <v>33</v>
      </c>
      <c r="G1083" s="24">
        <v>43.0</v>
      </c>
      <c r="H1083" s="24">
        <v>169.0</v>
      </c>
      <c r="I1083" s="24">
        <v>8501.0</v>
      </c>
      <c r="J1083" s="24">
        <v>0.0</v>
      </c>
      <c r="K1083" s="23" t="s">
        <v>34</v>
      </c>
      <c r="L1083" s="25">
        <v>41561.944398148145</v>
      </c>
      <c r="M1083" s="26" t="s">
        <v>2818</v>
      </c>
      <c r="N1083" s="26" t="s">
        <v>2819</v>
      </c>
      <c r="O1083" s="22" t="str">
        <f>HYPERLINK("https://pbs.twimg.com/profile_images/866907780023824385/j6djiz2N_normal.jpg","View")</f>
        <v>View</v>
      </c>
      <c r="P1083" s="27"/>
    </row>
    <row r="1084">
      <c r="A1084" s="14">
        <v>43031.10041666667</v>
      </c>
      <c r="B1084" s="20" t="str">
        <f>HYPERLINK("https://twitter.com/timelivenews","@timelivenews")</f>
        <v>@timelivenews</v>
      </c>
      <c r="C1084" s="21" t="s">
        <v>2820</v>
      </c>
      <c r="D1084" s="21" t="s">
        <v>2821</v>
      </c>
      <c r="E1084" s="22" t="str">
        <f>HYPERLINK("https://twitter.com/timelivenews/status/922393307388481536","922393307388481536")</f>
        <v>922393307388481536</v>
      </c>
      <c r="F1084" s="23" t="s">
        <v>55</v>
      </c>
      <c r="G1084" s="24">
        <v>1004.0</v>
      </c>
      <c r="H1084" s="24">
        <v>1997.0</v>
      </c>
      <c r="I1084" s="24">
        <v>0.0</v>
      </c>
      <c r="J1084" s="24">
        <v>0.0</v>
      </c>
      <c r="K1084" s="23" t="s">
        <v>34</v>
      </c>
      <c r="L1084" s="25">
        <v>41173.31891203704</v>
      </c>
      <c r="M1084" s="28"/>
      <c r="N1084" s="28"/>
      <c r="O1084" s="22" t="str">
        <f>HYPERLINK("https://pbs.twimg.com/profile_images/2645914047/c79803e0dea4e4b85f99f5b019bf0f4c_normal.png","View")</f>
        <v>View</v>
      </c>
      <c r="P1084" s="27"/>
    </row>
    <row r="1085">
      <c r="A1085" s="14">
        <v>43031.100439814814</v>
      </c>
      <c r="B1085" s="20" t="str">
        <f>HYPERLINK("https://twitter.com/anandjanmatti","@anandjanmatti")</f>
        <v>@anandjanmatti</v>
      </c>
      <c r="C1085" s="21" t="s">
        <v>2822</v>
      </c>
      <c r="D1085" s="21" t="s">
        <v>42</v>
      </c>
      <c r="E1085" s="22" t="str">
        <f>HYPERLINK("https://twitter.com/anandjanmatti/status/922393316057948160","922393316057948160")</f>
        <v>922393316057948160</v>
      </c>
      <c r="F1085" s="23" t="s">
        <v>39</v>
      </c>
      <c r="G1085" s="24">
        <v>405.0</v>
      </c>
      <c r="H1085" s="24">
        <v>1144.0</v>
      </c>
      <c r="I1085" s="24">
        <v>8501.0</v>
      </c>
      <c r="J1085" s="24">
        <v>0.0</v>
      </c>
      <c r="K1085" s="23" t="s">
        <v>34</v>
      </c>
      <c r="L1085" s="25">
        <v>41533.15644675926</v>
      </c>
      <c r="M1085" s="26" t="s">
        <v>2823</v>
      </c>
      <c r="N1085" s="28"/>
      <c r="O1085" s="22" t="str">
        <f>HYPERLINK("https://pbs.twimg.com/profile_images/703821782692687872/zQJgvNkr_normal.jpg","View")</f>
        <v>View</v>
      </c>
      <c r="P1085" s="27"/>
    </row>
    <row r="1086">
      <c r="A1086" s="14">
        <v>43031.100439814814</v>
      </c>
      <c r="B1086" s="20" t="str">
        <f>HYPERLINK("https://twitter.com/TopFiveTraders","@TopFiveTraders")</f>
        <v>@TopFiveTraders</v>
      </c>
      <c r="C1086" s="21" t="s">
        <v>1984</v>
      </c>
      <c r="D1086" s="21" t="s">
        <v>2824</v>
      </c>
      <c r="E1086" s="22" t="str">
        <f>HYPERLINK("https://twitter.com/TopFiveTraders/status/922393316238528512","922393316238528512")</f>
        <v>922393316238528512</v>
      </c>
      <c r="F1086" s="23" t="s">
        <v>187</v>
      </c>
      <c r="G1086" s="24">
        <v>8168.0</v>
      </c>
      <c r="H1086" s="24">
        <v>6711.0</v>
      </c>
      <c r="I1086" s="24">
        <v>0.0</v>
      </c>
      <c r="J1086" s="24">
        <v>0.0</v>
      </c>
      <c r="K1086" s="23" t="s">
        <v>34</v>
      </c>
      <c r="L1086" s="25">
        <v>41573.484201388885</v>
      </c>
      <c r="M1086" s="26" t="s">
        <v>1986</v>
      </c>
      <c r="N1086" s="26" t="s">
        <v>1987</v>
      </c>
      <c r="O1086" s="22" t="str">
        <f>HYPERLINK("https://pbs.twimg.com/profile_images/729113141444026370/hi202Ffp_normal.jpg","View")</f>
        <v>View</v>
      </c>
      <c r="P1086" s="27"/>
    </row>
    <row r="1087">
      <c r="A1087" s="14">
        <v>43031.10053240741</v>
      </c>
      <c r="B1087" s="20" t="str">
        <f>HYPERLINK("https://twitter.com/mahiblr09","@mahiblr09")</f>
        <v>@mahiblr09</v>
      </c>
      <c r="C1087" s="21" t="s">
        <v>2825</v>
      </c>
      <c r="D1087" s="21" t="s">
        <v>42</v>
      </c>
      <c r="E1087" s="22" t="str">
        <f>HYPERLINK("https://twitter.com/mahiblr09/status/922393349352558593","922393349352558593")</f>
        <v>922393349352558593</v>
      </c>
      <c r="F1087" s="23" t="s">
        <v>39</v>
      </c>
      <c r="G1087" s="24">
        <v>36.0</v>
      </c>
      <c r="H1087" s="24">
        <v>304.0</v>
      </c>
      <c r="I1087" s="24">
        <v>8501.0</v>
      </c>
      <c r="J1087" s="24">
        <v>0.0</v>
      </c>
      <c r="K1087" s="23" t="s">
        <v>34</v>
      </c>
      <c r="L1087" s="25">
        <v>42560.49186342592</v>
      </c>
      <c r="M1087" s="26" t="s">
        <v>204</v>
      </c>
      <c r="N1087" s="26" t="s">
        <v>2826</v>
      </c>
      <c r="O1087" s="22" t="str">
        <f>HYPERLINK("https://pbs.twimg.com/profile_images/849337716143685632/TSK6jiar_normal.jpg","View")</f>
        <v>View</v>
      </c>
      <c r="P1087" s="27"/>
    </row>
    <row r="1088">
      <c r="A1088" s="14">
        <v>43031.1005787037</v>
      </c>
      <c r="B1088" s="20" t="str">
        <f>HYPERLINK("https://twitter.com/Shikomukui","@Shikomukui")</f>
        <v>@Shikomukui</v>
      </c>
      <c r="C1088" s="21" t="s">
        <v>2772</v>
      </c>
      <c r="D1088" s="21" t="s">
        <v>2827</v>
      </c>
      <c r="E1088" s="22" t="str">
        <f>HYPERLINK("https://twitter.com/Shikomukui/status/922393364548456448","922393364548456448")</f>
        <v>922393364548456448</v>
      </c>
      <c r="F1088" s="23" t="s">
        <v>33</v>
      </c>
      <c r="G1088" s="24">
        <v>2005.0</v>
      </c>
      <c r="H1088" s="24">
        <v>437.0</v>
      </c>
      <c r="I1088" s="24">
        <v>0.0</v>
      </c>
      <c r="J1088" s="24">
        <v>1.0</v>
      </c>
      <c r="K1088" s="23" t="s">
        <v>34</v>
      </c>
      <c r="L1088" s="25">
        <v>40505.42542824074</v>
      </c>
      <c r="M1088" s="26" t="s">
        <v>2773</v>
      </c>
      <c r="N1088" s="26" t="s">
        <v>2774</v>
      </c>
      <c r="O1088" s="22" t="str">
        <f>HYPERLINK("https://pbs.twimg.com/profile_images/911835343984496640/zhGbT92G_normal.jpg","View")</f>
        <v>View</v>
      </c>
      <c r="P1088" s="27"/>
    </row>
    <row r="1089">
      <c r="A1089" s="14">
        <v>43031.100590277776</v>
      </c>
      <c r="B1089" s="20" t="str">
        <f>HYPERLINK("https://twitter.com/5QSz4T6V3SXBYNq","@5QSz4T6V3SXBYNq")</f>
        <v>@5QSz4T6V3SXBYNq</v>
      </c>
      <c r="C1089" s="21" t="s">
        <v>2828</v>
      </c>
      <c r="D1089" s="21" t="s">
        <v>42</v>
      </c>
      <c r="E1089" s="22" t="str">
        <f>HYPERLINK("https://twitter.com/5QSz4T6V3SXBYNq/status/922393369627713536","922393369627713536")</f>
        <v>922393369627713536</v>
      </c>
      <c r="F1089" s="23" t="s">
        <v>39</v>
      </c>
      <c r="G1089" s="24">
        <v>137.0</v>
      </c>
      <c r="H1089" s="24">
        <v>120.0</v>
      </c>
      <c r="I1089" s="24">
        <v>8501.0</v>
      </c>
      <c r="J1089" s="24">
        <v>0.0</v>
      </c>
      <c r="K1089" s="23" t="s">
        <v>34</v>
      </c>
      <c r="L1089" s="25">
        <v>42866.90912037037</v>
      </c>
      <c r="M1089" s="28"/>
      <c r="N1089" s="26" t="s">
        <v>2829</v>
      </c>
      <c r="O1089" s="22" t="str">
        <f>HYPERLINK("https://pbs.twimg.com/profile_images/865901121113538560/XHPvX13o_normal.jpg","View")</f>
        <v>View</v>
      </c>
      <c r="P1089" s="27"/>
    </row>
    <row r="1090">
      <c r="A1090" s="14">
        <v>43031.10060185185</v>
      </c>
      <c r="B1090" s="20" t="str">
        <f>HYPERLINK("https://twitter.com/marekingu","@marekingu")</f>
        <v>@marekingu</v>
      </c>
      <c r="C1090" s="21" t="s">
        <v>2695</v>
      </c>
      <c r="D1090" s="21" t="s">
        <v>2830</v>
      </c>
      <c r="E1090" s="22" t="str">
        <f>HYPERLINK("https://twitter.com/marekingu/status/922393375306686465","922393375306686465")</f>
        <v>922393375306686465</v>
      </c>
      <c r="F1090" s="23" t="s">
        <v>2697</v>
      </c>
      <c r="G1090" s="24">
        <v>11033.0</v>
      </c>
      <c r="H1090" s="24">
        <v>12128.0</v>
      </c>
      <c r="I1090" s="24">
        <v>0.0</v>
      </c>
      <c r="J1090" s="24">
        <v>0.0</v>
      </c>
      <c r="K1090" s="23" t="s">
        <v>34</v>
      </c>
      <c r="L1090" s="25">
        <v>40258.68314814815</v>
      </c>
      <c r="M1090" s="26" t="s">
        <v>2698</v>
      </c>
      <c r="N1090" s="26" t="s">
        <v>2699</v>
      </c>
      <c r="O1090" s="22" t="str">
        <f>HYPERLINK("https://pbs.twimg.com/profile_images/824628323/___2_normal.jpg","View")</f>
        <v>View</v>
      </c>
      <c r="P1090" s="27"/>
    </row>
    <row r="1091">
      <c r="A1091" s="14">
        <v>43031.10061342592</v>
      </c>
      <c r="B1091" s="20" t="str">
        <f>HYPERLINK("https://twitter.com/amjustakhajiit","@amjustakhajiit")</f>
        <v>@amjustakhajiit</v>
      </c>
      <c r="C1091" s="21" t="s">
        <v>2831</v>
      </c>
      <c r="D1091" s="21" t="s">
        <v>2595</v>
      </c>
      <c r="E1091" s="22" t="str">
        <f>HYPERLINK("https://twitter.com/amjustakhajiit/status/922393378876248067","922393378876248067")</f>
        <v>922393378876248067</v>
      </c>
      <c r="F1091" s="23" t="s">
        <v>33</v>
      </c>
      <c r="G1091" s="24">
        <v>190.0</v>
      </c>
      <c r="H1091" s="24">
        <v>191.0</v>
      </c>
      <c r="I1091" s="24">
        <v>170.0</v>
      </c>
      <c r="J1091" s="24">
        <v>0.0</v>
      </c>
      <c r="K1091" s="23" t="s">
        <v>34</v>
      </c>
      <c r="L1091" s="25">
        <v>42515.89548611111</v>
      </c>
      <c r="M1091" s="28"/>
      <c r="N1091" s="26" t="s">
        <v>2832</v>
      </c>
      <c r="O1091" s="22" t="str">
        <f>HYPERLINK("https://pbs.twimg.com/profile_images/869032859750871040/anPjhZH2_normal.jpg","View")</f>
        <v>View</v>
      </c>
      <c r="P1091" s="27"/>
    </row>
    <row r="1092">
      <c r="A1092" s="14">
        <v>43031.100625</v>
      </c>
      <c r="B1092" s="20" t="str">
        <f>HYPERLINK("https://twitter.com/GajsaCor","@GajsaCor")</f>
        <v>@GajsaCor</v>
      </c>
      <c r="C1092" s="21" t="s">
        <v>2833</v>
      </c>
      <c r="D1092" s="21" t="s">
        <v>42</v>
      </c>
      <c r="E1092" s="22" t="str">
        <f>HYPERLINK("https://twitter.com/GajsaCor/status/922393382340648960","922393382340648960")</f>
        <v>922393382340648960</v>
      </c>
      <c r="F1092" s="23" t="s">
        <v>33</v>
      </c>
      <c r="G1092" s="24">
        <v>237.0</v>
      </c>
      <c r="H1092" s="24">
        <v>651.0</v>
      </c>
      <c r="I1092" s="24">
        <v>8501.0</v>
      </c>
      <c r="J1092" s="24">
        <v>0.0</v>
      </c>
      <c r="K1092" s="23" t="s">
        <v>34</v>
      </c>
      <c r="L1092" s="25">
        <v>41549.09950231481</v>
      </c>
      <c r="M1092" s="26" t="s">
        <v>2834</v>
      </c>
      <c r="N1092" s="26" t="s">
        <v>2835</v>
      </c>
      <c r="O1092" s="22" t="str">
        <f>HYPERLINK("https://pbs.twimg.com/profile_images/800395648717717504/J5mmTMvb_normal.jpg","View")</f>
        <v>View</v>
      </c>
      <c r="P1092" s="27"/>
    </row>
    <row r="1093">
      <c r="A1093" s="14">
        <v>43031.100636574076</v>
      </c>
      <c r="B1093" s="20" t="str">
        <f>HYPERLINK("https://twitter.com/ViqRuto","@ViqRuto")</f>
        <v>@ViqRuto</v>
      </c>
      <c r="C1093" s="21" t="s">
        <v>2836</v>
      </c>
      <c r="D1093" s="21" t="s">
        <v>2748</v>
      </c>
      <c r="E1093" s="22" t="str">
        <f>HYPERLINK("https://twitter.com/ViqRuto/status/922393386207907840","922393386207907840")</f>
        <v>922393386207907840</v>
      </c>
      <c r="F1093" s="23" t="s">
        <v>33</v>
      </c>
      <c r="G1093" s="24">
        <v>1591.0</v>
      </c>
      <c r="H1093" s="24">
        <v>2561.0</v>
      </c>
      <c r="I1093" s="24">
        <v>15.0</v>
      </c>
      <c r="J1093" s="24">
        <v>0.0</v>
      </c>
      <c r="K1093" s="23" t="s">
        <v>34</v>
      </c>
      <c r="L1093" s="25">
        <v>41216.085486111115</v>
      </c>
      <c r="M1093" s="26" t="s">
        <v>2837</v>
      </c>
      <c r="N1093" s="26" t="s">
        <v>2838</v>
      </c>
      <c r="O1093" s="22" t="str">
        <f>HYPERLINK("https://pbs.twimg.com/profile_images/895057383105339392/LaQ0wYDA_normal.jpg","View")</f>
        <v>View</v>
      </c>
      <c r="P1093" s="27"/>
    </row>
    <row r="1094">
      <c r="A1094" s="14">
        <v>43031.100636574076</v>
      </c>
      <c r="B1094" s="20" t="str">
        <f>HYPERLINK("https://twitter.com/Dewbispeaks","@Dewbispeaks")</f>
        <v>@Dewbispeaks</v>
      </c>
      <c r="C1094" s="21" t="s">
        <v>2839</v>
      </c>
      <c r="D1094" s="21" t="s">
        <v>42</v>
      </c>
      <c r="E1094" s="22" t="str">
        <f>HYPERLINK("https://twitter.com/Dewbispeaks/status/922393386857795585","922393386857795585")</f>
        <v>922393386857795585</v>
      </c>
      <c r="F1094" s="23" t="s">
        <v>43</v>
      </c>
      <c r="G1094" s="24">
        <v>133.0</v>
      </c>
      <c r="H1094" s="24">
        <v>1865.0</v>
      </c>
      <c r="I1094" s="24">
        <v>8501.0</v>
      </c>
      <c r="J1094" s="24">
        <v>0.0</v>
      </c>
      <c r="K1094" s="23" t="s">
        <v>34</v>
      </c>
      <c r="L1094" s="25">
        <v>42927.16952546296</v>
      </c>
      <c r="M1094" s="28"/>
      <c r="N1094" s="28"/>
      <c r="O1094" s="22" t="str">
        <f>HYPERLINK("https://pbs.twimg.com/profile_images/906128197669892096/N7eR4xr9_normal.jpg","View")</f>
        <v>View</v>
      </c>
      <c r="P1094" s="27"/>
    </row>
    <row r="1095">
      <c r="A1095" s="14">
        <v>43031.10065972222</v>
      </c>
      <c r="B1095" s="20" t="str">
        <f>HYPERLINK("https://twitter.com/nil483","@nil483")</f>
        <v>@nil483</v>
      </c>
      <c r="C1095" s="21" t="s">
        <v>2840</v>
      </c>
      <c r="D1095" s="21" t="s">
        <v>42</v>
      </c>
      <c r="E1095" s="22" t="str">
        <f>HYPERLINK("https://twitter.com/nil483/status/922393396467064832","922393396467064832")</f>
        <v>922393396467064832</v>
      </c>
      <c r="F1095" s="23" t="s">
        <v>39</v>
      </c>
      <c r="G1095" s="24">
        <v>472.0</v>
      </c>
      <c r="H1095" s="24">
        <v>786.0</v>
      </c>
      <c r="I1095" s="24">
        <v>8501.0</v>
      </c>
      <c r="J1095" s="24">
        <v>0.0</v>
      </c>
      <c r="K1095" s="23" t="s">
        <v>34</v>
      </c>
      <c r="L1095" s="25">
        <v>40604.437372685185</v>
      </c>
      <c r="M1095" s="28"/>
      <c r="N1095" s="28"/>
      <c r="O1095" s="22" t="str">
        <f>HYPERLINK("https://pbs.twimg.com/profile_images/908880555176976384/uGYLZ2Lx_normal.jpg","View")</f>
        <v>View</v>
      </c>
      <c r="P1095" s="27"/>
    </row>
    <row r="1096">
      <c r="A1096" s="14">
        <v>43031.100694444445</v>
      </c>
      <c r="B1096" s="20" t="str">
        <f>HYPERLINK("https://twitter.com/CNNnews18","@CNNnews18")</f>
        <v>@CNNnews18</v>
      </c>
      <c r="C1096" s="21" t="s">
        <v>2841</v>
      </c>
      <c r="D1096" s="21" t="s">
        <v>2842</v>
      </c>
      <c r="E1096" s="22" t="str">
        <f>HYPERLINK("https://twitter.com/CNNnews18/status/922393409939169280","922393409939169280")</f>
        <v>922393409939169280</v>
      </c>
      <c r="F1096" s="23" t="s">
        <v>769</v>
      </c>
      <c r="G1096" s="24">
        <v>3766987.0</v>
      </c>
      <c r="H1096" s="24">
        <v>382.0</v>
      </c>
      <c r="I1096" s="24">
        <v>4.0</v>
      </c>
      <c r="J1096" s="24">
        <v>9.0</v>
      </c>
      <c r="K1096" s="23" t="s">
        <v>34</v>
      </c>
      <c r="L1096" s="25">
        <v>39234.563206018516</v>
      </c>
      <c r="M1096" s="26" t="s">
        <v>204</v>
      </c>
      <c r="N1096" s="26" t="s">
        <v>2843</v>
      </c>
      <c r="O1096" s="22" t="str">
        <f>HYPERLINK("https://pbs.twimg.com/profile_images/830049848460193792/yqexlRM2_normal.jpg","View")</f>
        <v>View</v>
      </c>
      <c r="P1096" s="27"/>
    </row>
    <row r="1097">
      <c r="A1097" s="14">
        <v>43031.10070601852</v>
      </c>
      <c r="B1097" s="20" t="str">
        <f>HYPERLINK("https://twitter.com/munish_2003","@munish_2003")</f>
        <v>@munish_2003</v>
      </c>
      <c r="C1097" s="21" t="s">
        <v>2844</v>
      </c>
      <c r="D1097" s="21" t="s">
        <v>163</v>
      </c>
      <c r="E1097" s="22" t="str">
        <f>HYPERLINK("https://twitter.com/munish_2003/status/922393414674423808","922393414674423808")</f>
        <v>922393414674423808</v>
      </c>
      <c r="F1097" s="23" t="s">
        <v>39</v>
      </c>
      <c r="G1097" s="24">
        <v>2026.0</v>
      </c>
      <c r="H1097" s="24">
        <v>963.0</v>
      </c>
      <c r="I1097" s="24">
        <v>1005.0</v>
      </c>
      <c r="J1097" s="24">
        <v>0.0</v>
      </c>
      <c r="K1097" s="23" t="s">
        <v>34</v>
      </c>
      <c r="L1097" s="25">
        <v>40526.703784722224</v>
      </c>
      <c r="M1097" s="26" t="s">
        <v>204</v>
      </c>
      <c r="N1097" s="28"/>
      <c r="O1097" s="22" t="str">
        <f>HYPERLINK("https://pbs.twimg.com/profile_images/896210280220196864/iYSH83Go_normal.jpg","View")</f>
        <v>View</v>
      </c>
      <c r="P1097" s="27"/>
    </row>
    <row r="1098">
      <c r="A1098" s="14">
        <v>43031.10083333333</v>
      </c>
      <c r="B1098" s="20" t="str">
        <f>HYPERLINK("https://twitter.com/Deepak76774661","@Deepak76774661")</f>
        <v>@Deepak76774661</v>
      </c>
      <c r="C1098" s="21" t="s">
        <v>2845</v>
      </c>
      <c r="D1098" s="21" t="s">
        <v>42</v>
      </c>
      <c r="E1098" s="22" t="str">
        <f>HYPERLINK("https://twitter.com/Deepak76774661/status/922393457150144513","922393457150144513")</f>
        <v>922393457150144513</v>
      </c>
      <c r="F1098" s="23" t="s">
        <v>33</v>
      </c>
      <c r="G1098" s="24">
        <v>2.0</v>
      </c>
      <c r="H1098" s="24">
        <v>67.0</v>
      </c>
      <c r="I1098" s="24">
        <v>8501.0</v>
      </c>
      <c r="J1098" s="24">
        <v>0.0</v>
      </c>
      <c r="K1098" s="23" t="s">
        <v>34</v>
      </c>
      <c r="L1098" s="25">
        <v>42953.21766203704</v>
      </c>
      <c r="M1098" s="28"/>
      <c r="N1098" s="28"/>
      <c r="O1098" s="22" t="str">
        <f>HYPERLINK("https://abs.twimg.com/sticky/default_profile_images/default_profile_normal.png","View")</f>
        <v>View</v>
      </c>
      <c r="P1098" s="27"/>
    </row>
    <row r="1099">
      <c r="A1099" s="14">
        <v>43031.10084490741</v>
      </c>
      <c r="B1099" s="20" t="str">
        <f>HYPERLINK("https://twitter.com/manojvani","@manojvani")</f>
        <v>@manojvani</v>
      </c>
      <c r="C1099" s="21" t="s">
        <v>2846</v>
      </c>
      <c r="D1099" s="21" t="s">
        <v>42</v>
      </c>
      <c r="E1099" s="22" t="str">
        <f>HYPERLINK("https://twitter.com/manojvani/status/922393465102614529","922393465102614529")</f>
        <v>922393465102614529</v>
      </c>
      <c r="F1099" s="23" t="s">
        <v>33</v>
      </c>
      <c r="G1099" s="24">
        <v>221.0</v>
      </c>
      <c r="H1099" s="24">
        <v>1033.0</v>
      </c>
      <c r="I1099" s="24">
        <v>8501.0</v>
      </c>
      <c r="J1099" s="24">
        <v>0.0</v>
      </c>
      <c r="K1099" s="23" t="s">
        <v>34</v>
      </c>
      <c r="L1099" s="25">
        <v>40783.98467592592</v>
      </c>
      <c r="M1099" s="26" t="s">
        <v>164</v>
      </c>
      <c r="N1099" s="26" t="s">
        <v>2847</v>
      </c>
      <c r="O1099" s="22" t="str">
        <f>HYPERLINK("https://pbs.twimg.com/profile_images/1563622036/Aruu_normal.jpg","View")</f>
        <v>View</v>
      </c>
      <c r="P1099" s="27"/>
    </row>
    <row r="1100">
      <c r="A1100" s="14">
        <v>43031.10086805555</v>
      </c>
      <c r="B1100" s="20" t="str">
        <f>HYPERLINK("https://twitter.com/TFTCS","@TFTCS")</f>
        <v>@TFTCS</v>
      </c>
      <c r="C1100" s="21" t="s">
        <v>1851</v>
      </c>
      <c r="D1100" s="21" t="s">
        <v>2848</v>
      </c>
      <c r="E1100" s="22" t="str">
        <f>HYPERLINK("https://twitter.com/TFTCS/status/922393471754874880","922393471754874880")</f>
        <v>922393471754874880</v>
      </c>
      <c r="F1100" s="23" t="s">
        <v>187</v>
      </c>
      <c r="G1100" s="24">
        <v>4389.0</v>
      </c>
      <c r="H1100" s="24">
        <v>4555.0</v>
      </c>
      <c r="I1100" s="24">
        <v>0.0</v>
      </c>
      <c r="J1100" s="24">
        <v>0.0</v>
      </c>
      <c r="K1100" s="23" t="s">
        <v>34</v>
      </c>
      <c r="L1100" s="25">
        <v>41868.76810185185</v>
      </c>
      <c r="M1100" s="26" t="s">
        <v>1853</v>
      </c>
      <c r="N1100" s="26" t="s">
        <v>1854</v>
      </c>
      <c r="O1100" s="22" t="str">
        <f>HYPERLINK("https://pbs.twimg.com/profile_images/736027772800368640/DdLGgNNU_normal.jpg","View")</f>
        <v>View</v>
      </c>
      <c r="P1100" s="27"/>
    </row>
    <row r="1101">
      <c r="A1101" s="14">
        <v>43031.10089120371</v>
      </c>
      <c r="B1101" s="20" t="str">
        <f>HYPERLINK("https://twitter.com/drybak1970","@drybak1970")</f>
        <v>@drybak1970</v>
      </c>
      <c r="C1101" s="21" t="s">
        <v>2792</v>
      </c>
      <c r="D1101" s="21" t="s">
        <v>2849</v>
      </c>
      <c r="E1101" s="22" t="str">
        <f>HYPERLINK("https://twitter.com/drybak1970/status/922393478197280768","922393478197280768")</f>
        <v>922393478197280768</v>
      </c>
      <c r="F1101" s="23" t="s">
        <v>187</v>
      </c>
      <c r="G1101" s="24">
        <v>1717.0</v>
      </c>
      <c r="H1101" s="24">
        <v>4907.0</v>
      </c>
      <c r="I1101" s="24">
        <v>0.0</v>
      </c>
      <c r="J1101" s="24">
        <v>0.0</v>
      </c>
      <c r="K1101" s="23" t="s">
        <v>34</v>
      </c>
      <c r="L1101" s="25">
        <v>42760.117118055554</v>
      </c>
      <c r="M1101" s="26" t="s">
        <v>2794</v>
      </c>
      <c r="N1101" s="26" t="s">
        <v>2795</v>
      </c>
      <c r="O1101" s="22" t="str">
        <f>HYPERLINK("https://pbs.twimg.com/profile_images/902959827613298690/aVcXjxsh_normal.jpg","View")</f>
        <v>View</v>
      </c>
      <c r="P1101" s="27"/>
    </row>
    <row r="1102">
      <c r="A1102" s="14">
        <v>43031.10089120371</v>
      </c>
      <c r="B1102" s="20" t="str">
        <f>HYPERLINK("https://twitter.com/nenashigusa1234","@nenashigusa1234")</f>
        <v>@nenashigusa1234</v>
      </c>
      <c r="C1102" s="21" t="s">
        <v>2850</v>
      </c>
      <c r="D1102" s="21" t="s">
        <v>42</v>
      </c>
      <c r="E1102" s="22" t="str">
        <f>HYPERLINK("https://twitter.com/nenashigusa1234/status/922393479673556992","922393479673556992")</f>
        <v>922393479673556992</v>
      </c>
      <c r="F1102" s="23" t="s">
        <v>230</v>
      </c>
      <c r="G1102" s="24">
        <v>1014.0</v>
      </c>
      <c r="H1102" s="24">
        <v>1360.0</v>
      </c>
      <c r="I1102" s="24">
        <v>8501.0</v>
      </c>
      <c r="J1102" s="24">
        <v>0.0</v>
      </c>
      <c r="K1102" s="23" t="s">
        <v>34</v>
      </c>
      <c r="L1102" s="25">
        <v>40317.12353009259</v>
      </c>
      <c r="M1102" s="26" t="s">
        <v>2851</v>
      </c>
      <c r="N1102" s="26" t="s">
        <v>2852</v>
      </c>
      <c r="O1102" s="22" t="str">
        <f>HYPERLINK("https://pbs.twimg.com/profile_images/1426216605/DVC00073_normal.JPG","View")</f>
        <v>View</v>
      </c>
      <c r="P1102" s="27"/>
    </row>
    <row r="1103">
      <c r="A1103" s="14">
        <v>43031.100902777776</v>
      </c>
      <c r="B1103" s="20" t="str">
        <f>HYPERLINK("https://twitter.com/SammyKotwani","@SammyKotwani")</f>
        <v>@SammyKotwani</v>
      </c>
      <c r="C1103" s="21" t="s">
        <v>2853</v>
      </c>
      <c r="D1103" s="21" t="s">
        <v>42</v>
      </c>
      <c r="E1103" s="22" t="str">
        <f>HYPERLINK("https://twitter.com/SammyKotwani/status/922393482681044993","922393482681044993")</f>
        <v>922393482681044993</v>
      </c>
      <c r="F1103" s="23" t="s">
        <v>39</v>
      </c>
      <c r="G1103" s="24">
        <v>85.0</v>
      </c>
      <c r="H1103" s="24">
        <v>122.0</v>
      </c>
      <c r="I1103" s="24">
        <v>8501.0</v>
      </c>
      <c r="J1103" s="24">
        <v>0.0</v>
      </c>
      <c r="K1103" s="23" t="s">
        <v>34</v>
      </c>
      <c r="L1103" s="25">
        <v>40229.95488425926</v>
      </c>
      <c r="M1103" s="26" t="s">
        <v>524</v>
      </c>
      <c r="N1103" s="26" t="s">
        <v>2854</v>
      </c>
      <c r="O1103" s="22" t="str">
        <f>HYPERLINK("https://pbs.twimg.com/profile_images/747020209257578496/czwacbXf_normal.jpg","View")</f>
        <v>View</v>
      </c>
      <c r="P1103" s="27"/>
    </row>
    <row r="1104">
      <c r="A1104" s="14">
        <v>43031.100902777776</v>
      </c>
      <c r="B1104" s="20" t="str">
        <f>HYPERLINK("https://twitter.com/marekingu","@marekingu")</f>
        <v>@marekingu</v>
      </c>
      <c r="C1104" s="21" t="s">
        <v>2695</v>
      </c>
      <c r="D1104" s="21" t="s">
        <v>2855</v>
      </c>
      <c r="E1104" s="22" t="str">
        <f>HYPERLINK("https://twitter.com/marekingu/status/922393485591814146","922393485591814146")</f>
        <v>922393485591814146</v>
      </c>
      <c r="F1104" s="23" t="s">
        <v>2697</v>
      </c>
      <c r="G1104" s="24">
        <v>11033.0</v>
      </c>
      <c r="H1104" s="24">
        <v>12128.0</v>
      </c>
      <c r="I1104" s="24">
        <v>0.0</v>
      </c>
      <c r="J1104" s="24">
        <v>0.0</v>
      </c>
      <c r="K1104" s="23" t="s">
        <v>34</v>
      </c>
      <c r="L1104" s="25">
        <v>40258.68314814815</v>
      </c>
      <c r="M1104" s="26" t="s">
        <v>2698</v>
      </c>
      <c r="N1104" s="26" t="s">
        <v>2699</v>
      </c>
      <c r="O1104" s="22" t="str">
        <f>HYPERLINK("https://pbs.twimg.com/profile_images/824628323/___2_normal.jpg","View")</f>
        <v>View</v>
      </c>
      <c r="P1104" s="27"/>
    </row>
    <row r="1105">
      <c r="A1105" s="14">
        <v>43031.10091435185</v>
      </c>
      <c r="B1105" s="20" t="str">
        <f>HYPERLINK("https://twitter.com/dishanksharma05","@dishanksharma05")</f>
        <v>@dishanksharma05</v>
      </c>
      <c r="C1105" s="21" t="s">
        <v>2856</v>
      </c>
      <c r="D1105" s="21" t="s">
        <v>2857</v>
      </c>
      <c r="E1105" s="22" t="str">
        <f>HYPERLINK("https://twitter.com/dishanksharma05/status/922393489886851072","922393489886851072")</f>
        <v>922393489886851072</v>
      </c>
      <c r="F1105" s="23" t="s">
        <v>187</v>
      </c>
      <c r="G1105" s="24">
        <v>143.0</v>
      </c>
      <c r="H1105" s="24">
        <v>91.0</v>
      </c>
      <c r="I1105" s="24">
        <v>0.0</v>
      </c>
      <c r="J1105" s="24">
        <v>0.0</v>
      </c>
      <c r="K1105" s="23" t="s">
        <v>34</v>
      </c>
      <c r="L1105" s="25">
        <v>41594.20232638889</v>
      </c>
      <c r="M1105" s="26" t="s">
        <v>2858</v>
      </c>
      <c r="N1105" s="26" t="s">
        <v>2859</v>
      </c>
      <c r="O1105" s="22" t="str">
        <f>HYPERLINK("https://pbs.twimg.com/profile_images/834402570135228416/-V8NH--M_normal.jpg","View")</f>
        <v>View</v>
      </c>
      <c r="P1105" s="27"/>
    </row>
    <row r="1106">
      <c r="A1106" s="14">
        <v>43031.10099537037</v>
      </c>
      <c r="B1106" s="20" t="str">
        <f>HYPERLINK("https://twitter.com/manishk1392","@manishk1392")</f>
        <v>@manishk1392</v>
      </c>
      <c r="C1106" s="21" t="s">
        <v>2860</v>
      </c>
      <c r="D1106" s="21" t="s">
        <v>2861</v>
      </c>
      <c r="E1106" s="22" t="str">
        <f>HYPERLINK("https://twitter.com/manishk1392/status/922393518508670976","922393518508670976")</f>
        <v>922393518508670976</v>
      </c>
      <c r="F1106" s="23" t="s">
        <v>33</v>
      </c>
      <c r="G1106" s="24">
        <v>1515.0</v>
      </c>
      <c r="H1106" s="24">
        <v>450.0</v>
      </c>
      <c r="I1106" s="24">
        <v>40.0</v>
      </c>
      <c r="J1106" s="24">
        <v>0.0</v>
      </c>
      <c r="K1106" s="23" t="s">
        <v>34</v>
      </c>
      <c r="L1106" s="25">
        <v>42763.12899305555</v>
      </c>
      <c r="M1106" s="26" t="s">
        <v>2862</v>
      </c>
      <c r="N1106" s="26" t="s">
        <v>2863</v>
      </c>
      <c r="O1106" s="22" t="str">
        <f>HYPERLINK("https://pbs.twimg.com/profile_images/891715790348701696/j0wTlC8L_normal.jpg","View")</f>
        <v>View</v>
      </c>
      <c r="P1106" s="27"/>
    </row>
    <row r="1107">
      <c r="A1107" s="14">
        <v>43031.101006944446</v>
      </c>
      <c r="B1107" s="20" t="str">
        <f>HYPERLINK("https://twitter.com/kailash96958176","@kailash96958176")</f>
        <v>@kailash96958176</v>
      </c>
      <c r="C1107" s="21" t="s">
        <v>2864</v>
      </c>
      <c r="D1107" s="21" t="s">
        <v>42</v>
      </c>
      <c r="E1107" s="22" t="str">
        <f>HYPERLINK("https://twitter.com/kailash96958176/status/922393521432285184","922393521432285184")</f>
        <v>922393521432285184</v>
      </c>
      <c r="F1107" s="23" t="s">
        <v>33</v>
      </c>
      <c r="G1107" s="24">
        <v>9.0</v>
      </c>
      <c r="H1107" s="24">
        <v>46.0</v>
      </c>
      <c r="I1107" s="24">
        <v>8501.0</v>
      </c>
      <c r="J1107" s="24">
        <v>0.0</v>
      </c>
      <c r="K1107" s="23" t="s">
        <v>34</v>
      </c>
      <c r="L1107" s="25">
        <v>42545.5733449074</v>
      </c>
      <c r="M1107" s="28"/>
      <c r="N1107" s="28"/>
      <c r="O1107" s="22" t="str">
        <f>HYPERLINK("https://pbs.twimg.com/profile_images/838987761189257218/yrLo-RXU_normal.jpg","View")</f>
        <v>View</v>
      </c>
      <c r="P1107" s="27"/>
    </row>
    <row r="1108">
      <c r="A1108" s="14">
        <v>43031.10104166667</v>
      </c>
      <c r="B1108" s="20" t="str">
        <f>HYPERLINK("https://twitter.com/ShubhiS21177072","@ShubhiS21177072")</f>
        <v>@ShubhiS21177072</v>
      </c>
      <c r="C1108" s="21" t="s">
        <v>2865</v>
      </c>
      <c r="D1108" s="21" t="s">
        <v>42</v>
      </c>
      <c r="E1108" s="22" t="str">
        <f>HYPERLINK("https://twitter.com/ShubhiS21177072/status/922393533448839168","922393533448839168")</f>
        <v>922393533448839168</v>
      </c>
      <c r="F1108" s="23" t="s">
        <v>33</v>
      </c>
      <c r="G1108" s="24">
        <v>1.0</v>
      </c>
      <c r="H1108" s="24">
        <v>37.0</v>
      </c>
      <c r="I1108" s="24">
        <v>8501.0</v>
      </c>
      <c r="J1108" s="24">
        <v>0.0</v>
      </c>
      <c r="K1108" s="23" t="s">
        <v>34</v>
      </c>
      <c r="L1108" s="25">
        <v>42995.40295138889</v>
      </c>
      <c r="M1108" s="28"/>
      <c r="N1108" s="28"/>
      <c r="O1108" s="22" t="str">
        <f>HYPERLINK("https://abs.twimg.com/sticky/default_profile_images/default_profile_normal.png","View")</f>
        <v>View</v>
      </c>
      <c r="P1108" s="27"/>
    </row>
    <row r="1109">
      <c r="A1109" s="14">
        <v>43031.10105324074</v>
      </c>
      <c r="B1109" s="20" t="str">
        <f>HYPERLINK("https://twitter.com/shree1960","@shree1960")</f>
        <v>@shree1960</v>
      </c>
      <c r="C1109" s="21" t="s">
        <v>2866</v>
      </c>
      <c r="D1109" s="21" t="s">
        <v>2867</v>
      </c>
      <c r="E1109" s="22" t="str">
        <f>HYPERLINK("https://twitter.com/shree1960/status/922393540327440384","922393540327440384")</f>
        <v>922393540327440384</v>
      </c>
      <c r="F1109" s="23" t="s">
        <v>55</v>
      </c>
      <c r="G1109" s="24">
        <v>1848.0</v>
      </c>
      <c r="H1109" s="24">
        <v>1612.0</v>
      </c>
      <c r="I1109" s="24">
        <v>0.0</v>
      </c>
      <c r="J1109" s="24">
        <v>0.0</v>
      </c>
      <c r="K1109" s="23" t="s">
        <v>34</v>
      </c>
      <c r="L1109" s="25">
        <v>41073.095</v>
      </c>
      <c r="M1109" s="26" t="s">
        <v>2868</v>
      </c>
      <c r="N1109" s="26" t="s">
        <v>2869</v>
      </c>
      <c r="O1109" s="22" t="str">
        <f>HYPERLINK("https://pbs.twimg.com/profile_images/2903053575/cb300672c6614990f63d036d3b8535ba_normal.jpeg","View")</f>
        <v>View</v>
      </c>
      <c r="P1109" s="27"/>
    </row>
    <row r="1110">
      <c r="A1110" s="14">
        <v>43031.101064814815</v>
      </c>
      <c r="B1110" s="20" t="str">
        <f>HYPERLINK("https://twitter.com/ravindraten","@ravindraten")</f>
        <v>@ravindraten</v>
      </c>
      <c r="C1110" s="21" t="s">
        <v>2870</v>
      </c>
      <c r="D1110" s="21" t="s">
        <v>42</v>
      </c>
      <c r="E1110" s="22" t="str">
        <f>HYPERLINK("https://twitter.com/ravindraten/status/922393544614178816","922393544614178816")</f>
        <v>922393544614178816</v>
      </c>
      <c r="F1110" s="23" t="s">
        <v>55</v>
      </c>
      <c r="G1110" s="24">
        <v>284.0</v>
      </c>
      <c r="H1110" s="24">
        <v>340.0</v>
      </c>
      <c r="I1110" s="24">
        <v>8501.0</v>
      </c>
      <c r="J1110" s="24">
        <v>0.0</v>
      </c>
      <c r="K1110" s="23" t="s">
        <v>34</v>
      </c>
      <c r="L1110" s="25">
        <v>40116.339895833335</v>
      </c>
      <c r="M1110" s="26" t="s">
        <v>2871</v>
      </c>
      <c r="N1110" s="26" t="s">
        <v>2872</v>
      </c>
      <c r="O1110" s="22" t="str">
        <f>HYPERLINK("https://pbs.twimg.com/profile_images/863968337075740674/vRXryTni_normal.jpg","View")</f>
        <v>View</v>
      </c>
      <c r="P1110" s="27"/>
    </row>
    <row r="1111">
      <c r="A1111" s="14">
        <v>43031.10114583334</v>
      </c>
      <c r="B1111" s="20" t="str">
        <f>HYPERLINK("https://twitter.com/Mahaveer_s24","@Mahaveer_s24")</f>
        <v>@Mahaveer_s24</v>
      </c>
      <c r="C1111" s="21" t="s">
        <v>2873</v>
      </c>
      <c r="D1111" s="21" t="s">
        <v>42</v>
      </c>
      <c r="E1111" s="22" t="str">
        <f>HYPERLINK("https://twitter.com/Mahaveer_s24/status/922393571541397504","922393571541397504")</f>
        <v>922393571541397504</v>
      </c>
      <c r="F1111" s="23" t="s">
        <v>43</v>
      </c>
      <c r="G1111" s="24">
        <v>4.0</v>
      </c>
      <c r="H1111" s="24">
        <v>58.0</v>
      </c>
      <c r="I1111" s="24">
        <v>8501.0</v>
      </c>
      <c r="J1111" s="24">
        <v>0.0</v>
      </c>
      <c r="K1111" s="23" t="s">
        <v>34</v>
      </c>
      <c r="L1111" s="25">
        <v>43008.969293981485</v>
      </c>
      <c r="M1111" s="28"/>
      <c r="N1111" s="26" t="s">
        <v>2874</v>
      </c>
      <c r="O1111" s="22" t="str">
        <f>HYPERLINK("https://pbs.twimg.com/profile_images/914383505626296320/0gBXnpT5_normal.jpg","View")</f>
        <v>View</v>
      </c>
      <c r="P1111" s="27"/>
    </row>
    <row r="1112">
      <c r="A1112" s="14">
        <v>43031.10118055556</v>
      </c>
      <c r="B1112" s="20" t="str">
        <f>HYPERLINK("https://twitter.com/RishiPort","@RishiPort")</f>
        <v>@RishiPort</v>
      </c>
      <c r="C1112" s="21" t="s">
        <v>2875</v>
      </c>
      <c r="D1112" s="21" t="s">
        <v>42</v>
      </c>
      <c r="E1112" s="22" t="str">
        <f>HYPERLINK("https://twitter.com/RishiPort/status/922393583323250688","922393583323250688")</f>
        <v>922393583323250688</v>
      </c>
      <c r="F1112" s="23" t="s">
        <v>2876</v>
      </c>
      <c r="G1112" s="24">
        <v>132.0</v>
      </c>
      <c r="H1112" s="24">
        <v>681.0</v>
      </c>
      <c r="I1112" s="24">
        <v>8501.0</v>
      </c>
      <c r="J1112" s="24">
        <v>0.0</v>
      </c>
      <c r="K1112" s="23" t="s">
        <v>34</v>
      </c>
      <c r="L1112" s="25">
        <v>41212.70260416667</v>
      </c>
      <c r="M1112" s="28"/>
      <c r="N1112" s="28"/>
      <c r="O1112" s="22" t="str">
        <f>HYPERLINK("https://pbs.twimg.com/profile_images/810611786848276482/mgBQ-5Oc_normal.jpg","View")</f>
        <v>View</v>
      </c>
      <c r="P1112" s="27"/>
    </row>
    <row r="1113">
      <c r="A1113" s="14">
        <v>43031.1012037037</v>
      </c>
      <c r="B1113" s="20" t="str">
        <f>HYPERLINK("https://twitter.com/kurir_eu","@kurir_eu")</f>
        <v>@kurir_eu</v>
      </c>
      <c r="C1113" s="21" t="s">
        <v>2877</v>
      </c>
      <c r="D1113" s="21" t="s">
        <v>2878</v>
      </c>
      <c r="E1113" s="22" t="str">
        <f>HYPERLINK("https://twitter.com/kurir_eu/status/922393591867232257","922393591867232257")</f>
        <v>922393591867232257</v>
      </c>
      <c r="F1113" s="23" t="s">
        <v>55</v>
      </c>
      <c r="G1113" s="24">
        <v>67.0</v>
      </c>
      <c r="H1113" s="24">
        <v>62.0</v>
      </c>
      <c r="I1113" s="24">
        <v>0.0</v>
      </c>
      <c r="J1113" s="24">
        <v>0.0</v>
      </c>
      <c r="K1113" s="23" t="s">
        <v>34</v>
      </c>
      <c r="L1113" s="25">
        <v>42452.14805555556</v>
      </c>
      <c r="M1113" s="28"/>
      <c r="N1113" s="28"/>
      <c r="O1113" s="22" t="str">
        <f>HYPERLINK("https://pbs.twimg.com/profile_images/712588776069935104/Y2Q4ANNA_normal.jpg","View")</f>
        <v>View</v>
      </c>
      <c r="P1113" s="27"/>
    </row>
    <row r="1114">
      <c r="A1114" s="14">
        <v>43031.101273148146</v>
      </c>
      <c r="B1114" s="20" t="str">
        <f>HYPERLINK("https://twitter.com/ishiwinozomu","@ishiwinozomu")</f>
        <v>@ishiwinozomu</v>
      </c>
      <c r="C1114" s="21" t="s">
        <v>2879</v>
      </c>
      <c r="D1114" s="21" t="s">
        <v>42</v>
      </c>
      <c r="E1114" s="22" t="str">
        <f>HYPERLINK("https://twitter.com/ishiwinozomu/status/922393616672210944","922393616672210944")</f>
        <v>922393616672210944</v>
      </c>
      <c r="F1114" s="23" t="s">
        <v>55</v>
      </c>
      <c r="G1114" s="24">
        <v>2742.0</v>
      </c>
      <c r="H1114" s="24">
        <v>2629.0</v>
      </c>
      <c r="I1114" s="24">
        <v>8501.0</v>
      </c>
      <c r="J1114" s="24">
        <v>0.0</v>
      </c>
      <c r="K1114" s="23" t="s">
        <v>34</v>
      </c>
      <c r="L1114" s="25">
        <v>41137.282696759255</v>
      </c>
      <c r="M1114" s="28"/>
      <c r="N1114" s="26" t="s">
        <v>2880</v>
      </c>
      <c r="O1114" s="22" t="str">
        <f>HYPERLINK("https://pbs.twimg.com/profile_images/893632993331355649/T7BTvHO7_normal.jpg","View")</f>
        <v>View</v>
      </c>
      <c r="P1114" s="27"/>
    </row>
    <row r="1115">
      <c r="A1115" s="14">
        <v>43031.1012962963</v>
      </c>
      <c r="B1115" s="20" t="str">
        <f>HYPERLINK("https://twitter.com/bllshbrsh","@bllshbrsh")</f>
        <v>@bllshbrsh</v>
      </c>
      <c r="C1115" s="21" t="s">
        <v>138</v>
      </c>
      <c r="D1115" s="21" t="s">
        <v>2881</v>
      </c>
      <c r="E1115" s="22" t="str">
        <f>HYPERLINK("https://twitter.com/bllshbrsh/status/922393626495410176","922393626495410176")</f>
        <v>922393626495410176</v>
      </c>
      <c r="F1115" s="23" t="s">
        <v>140</v>
      </c>
      <c r="G1115" s="24">
        <v>6148.0</v>
      </c>
      <c r="H1115" s="24">
        <v>6416.0</v>
      </c>
      <c r="I1115" s="24">
        <v>0.0</v>
      </c>
      <c r="J1115" s="24">
        <v>0.0</v>
      </c>
      <c r="K1115" s="23" t="s">
        <v>34</v>
      </c>
      <c r="L1115" s="25">
        <v>42682.29137731482</v>
      </c>
      <c r="M1115" s="28"/>
      <c r="N1115" s="28"/>
      <c r="O1115" s="22" t="str">
        <f>HYPERLINK("https://pbs.twimg.com/profile_images/825303907752673284/OSI50AgE_normal.jpg","View")</f>
        <v>View</v>
      </c>
      <c r="P1115" s="27"/>
    </row>
    <row r="1116">
      <c r="A1116" s="14">
        <v>43031.10135416666</v>
      </c>
      <c r="B1116" s="20" t="str">
        <f>HYPERLINK("https://twitter.com/Jagdish0589","@Jagdish0589")</f>
        <v>@Jagdish0589</v>
      </c>
      <c r="C1116" s="21" t="s">
        <v>2882</v>
      </c>
      <c r="D1116" s="21" t="s">
        <v>42</v>
      </c>
      <c r="E1116" s="22" t="str">
        <f>HYPERLINK("https://twitter.com/Jagdish0589/status/922393645713539073","922393645713539073")</f>
        <v>922393645713539073</v>
      </c>
      <c r="F1116" s="23" t="s">
        <v>33</v>
      </c>
      <c r="G1116" s="24">
        <v>76.0</v>
      </c>
      <c r="H1116" s="24">
        <v>577.0</v>
      </c>
      <c r="I1116" s="24">
        <v>8501.0</v>
      </c>
      <c r="J1116" s="24">
        <v>0.0</v>
      </c>
      <c r="K1116" s="23" t="s">
        <v>34</v>
      </c>
      <c r="L1116" s="25">
        <v>42553.47733796296</v>
      </c>
      <c r="M1116" s="26" t="s">
        <v>1354</v>
      </c>
      <c r="N1116" s="28"/>
      <c r="O1116" s="22" t="str">
        <f>HYPERLINK("https://pbs.twimg.com/profile_images/922726422338199552/kL_cSo5Q_normal.jpg","View")</f>
        <v>View</v>
      </c>
      <c r="P1116" s="27"/>
    </row>
    <row r="1117">
      <c r="A1117" s="14">
        <v>43031.10145833333</v>
      </c>
      <c r="B1117" s="20" t="str">
        <f>HYPERLINK("https://twitter.com/newlyjacky","@newlyjacky")</f>
        <v>@newlyjacky</v>
      </c>
      <c r="C1117" s="21" t="s">
        <v>1792</v>
      </c>
      <c r="D1117" s="21" t="s">
        <v>2748</v>
      </c>
      <c r="E1117" s="22" t="str">
        <f>HYPERLINK("https://twitter.com/newlyjacky/status/922393685903511553","922393685903511553")</f>
        <v>922393685903511553</v>
      </c>
      <c r="F1117" s="23" t="s">
        <v>39</v>
      </c>
      <c r="G1117" s="24">
        <v>245.0</v>
      </c>
      <c r="H1117" s="24">
        <v>1846.0</v>
      </c>
      <c r="I1117" s="24">
        <v>15.0</v>
      </c>
      <c r="J1117" s="24">
        <v>0.0</v>
      </c>
      <c r="K1117" s="23" t="s">
        <v>34</v>
      </c>
      <c r="L1117" s="25">
        <v>41557.45846064815</v>
      </c>
      <c r="M1117" s="26" t="s">
        <v>1793</v>
      </c>
      <c r="N1117" s="26" t="s">
        <v>1794</v>
      </c>
      <c r="O1117" s="22" t="str">
        <f>HYPERLINK("https://pbs.twimg.com/profile_images/444812983642767360/g7TWxzMz_normal.jpeg","View")</f>
        <v>View</v>
      </c>
      <c r="P1117" s="27"/>
    </row>
    <row r="1118">
      <c r="A1118" s="14">
        <v>43031.10146990741</v>
      </c>
      <c r="B1118" s="20" t="str">
        <f>HYPERLINK("https://twitter.com/timelivenews","@timelivenews")</f>
        <v>@timelivenews</v>
      </c>
      <c r="C1118" s="21" t="s">
        <v>2820</v>
      </c>
      <c r="D1118" s="21" t="s">
        <v>2883</v>
      </c>
      <c r="E1118" s="22" t="str">
        <f>HYPERLINK("https://twitter.com/timelivenews/status/922393688764043264","922393688764043264")</f>
        <v>922393688764043264</v>
      </c>
      <c r="F1118" s="23" t="s">
        <v>55</v>
      </c>
      <c r="G1118" s="24">
        <v>1004.0</v>
      </c>
      <c r="H1118" s="24">
        <v>1997.0</v>
      </c>
      <c r="I1118" s="24">
        <v>0.0</v>
      </c>
      <c r="J1118" s="24">
        <v>0.0</v>
      </c>
      <c r="K1118" s="23" t="s">
        <v>34</v>
      </c>
      <c r="L1118" s="25">
        <v>41173.31891203704</v>
      </c>
      <c r="M1118" s="28"/>
      <c r="N1118" s="28"/>
      <c r="O1118" s="22" t="str">
        <f>HYPERLINK("https://pbs.twimg.com/profile_images/2645914047/c79803e0dea4e4b85f99f5b019bf0f4c_normal.png","View")</f>
        <v>View</v>
      </c>
      <c r="P1118" s="27"/>
    </row>
    <row r="1119">
      <c r="A1119" s="14">
        <v>43031.10150462963</v>
      </c>
      <c r="B1119" s="20" t="str">
        <f>HYPERLINK("https://twitter.com/Caferacer_Yoko","@Caferacer_Yoko")</f>
        <v>@Caferacer_Yoko</v>
      </c>
      <c r="C1119" s="21" t="s">
        <v>2884</v>
      </c>
      <c r="D1119" s="21" t="s">
        <v>2885</v>
      </c>
      <c r="E1119" s="22" t="str">
        <f>HYPERLINK("https://twitter.com/Caferacer_Yoko/status/922393704169484288","922393704169484288")</f>
        <v>922393704169484288</v>
      </c>
      <c r="F1119" s="23" t="s">
        <v>55</v>
      </c>
      <c r="G1119" s="24">
        <v>9.0</v>
      </c>
      <c r="H1119" s="24">
        <v>0.0</v>
      </c>
      <c r="I1119" s="24">
        <v>0.0</v>
      </c>
      <c r="J1119" s="24">
        <v>0.0</v>
      </c>
      <c r="K1119" s="23" t="s">
        <v>34</v>
      </c>
      <c r="L1119" s="25">
        <v>42642.28513888889</v>
      </c>
      <c r="M1119" s="28"/>
      <c r="N1119" s="26" t="s">
        <v>2886</v>
      </c>
      <c r="O1119" s="22" t="str">
        <f>HYPERLINK("https://pbs.twimg.com/profile_images/905399784852226048/8poCa-I4_normal.jpg","View")</f>
        <v>View</v>
      </c>
      <c r="P1119" s="27"/>
    </row>
    <row r="1120">
      <c r="A1120" s="14">
        <v>43031.10157407407</v>
      </c>
      <c r="B1120" s="20" t="str">
        <f>HYPERLINK("https://twitter.com/thejimfonggroup","@thejimfonggroup")</f>
        <v>@thejimfonggroup</v>
      </c>
      <c r="C1120" s="21" t="s">
        <v>2887</v>
      </c>
      <c r="D1120" s="21" t="s">
        <v>2888</v>
      </c>
      <c r="E1120" s="22" t="str">
        <f>HYPERLINK("https://twitter.com/thejimfonggroup/status/922393728836407296","922393728836407296")</f>
        <v>922393728836407296</v>
      </c>
      <c r="F1120" s="23" t="s">
        <v>187</v>
      </c>
      <c r="G1120" s="24">
        <v>1331.0</v>
      </c>
      <c r="H1120" s="24">
        <v>1224.0</v>
      </c>
      <c r="I1120" s="24">
        <v>0.0</v>
      </c>
      <c r="J1120" s="24">
        <v>0.0</v>
      </c>
      <c r="K1120" s="23" t="s">
        <v>34</v>
      </c>
      <c r="L1120" s="25">
        <v>42639.586226851854</v>
      </c>
      <c r="M1120" s="26" t="s">
        <v>435</v>
      </c>
      <c r="N1120" s="26" t="s">
        <v>2889</v>
      </c>
      <c r="O1120" s="22" t="str">
        <f>HYPERLINK("https://pbs.twimg.com/profile_images/783057621943144448/cioRdwCt_normal.jpg","View")</f>
        <v>View</v>
      </c>
      <c r="P1120" s="27"/>
    </row>
    <row r="1121">
      <c r="A1121" s="14">
        <v>43031.10157407407</v>
      </c>
      <c r="B1121" s="20" t="str">
        <f>HYPERLINK("https://twitter.com/PrikshitSingla","@PrikshitSingla")</f>
        <v>@PrikshitSingla</v>
      </c>
      <c r="C1121" s="21" t="s">
        <v>2890</v>
      </c>
      <c r="D1121" s="21" t="s">
        <v>42</v>
      </c>
      <c r="E1121" s="22" t="str">
        <f>HYPERLINK("https://twitter.com/PrikshitSingla/status/922393729071239168","922393729071239168")</f>
        <v>922393729071239168</v>
      </c>
      <c r="F1121" s="23" t="s">
        <v>39</v>
      </c>
      <c r="G1121" s="24">
        <v>258.0</v>
      </c>
      <c r="H1121" s="24">
        <v>319.0</v>
      </c>
      <c r="I1121" s="24">
        <v>8501.0</v>
      </c>
      <c r="J1121" s="24">
        <v>0.0</v>
      </c>
      <c r="K1121" s="23" t="s">
        <v>34</v>
      </c>
      <c r="L1121" s="25">
        <v>41528.164375</v>
      </c>
      <c r="M1121" s="26" t="s">
        <v>204</v>
      </c>
      <c r="N1121" s="26" t="s">
        <v>2891</v>
      </c>
      <c r="O1121" s="22" t="str">
        <f>HYPERLINK("https://pbs.twimg.com/profile_images/911855442027933696/Pu9grDvI_normal.jpg","View")</f>
        <v>View</v>
      </c>
      <c r="P1121" s="27"/>
    </row>
    <row r="1122">
      <c r="A1122" s="14">
        <v>43031.10158564815</v>
      </c>
      <c r="B1122" s="20" t="str">
        <f>HYPERLINK("https://twitter.com/BSAFunds","@BSAFunds")</f>
        <v>@BSAFunds</v>
      </c>
      <c r="C1122" s="21" t="s">
        <v>1248</v>
      </c>
      <c r="D1122" s="21" t="s">
        <v>2892</v>
      </c>
      <c r="E1122" s="22" t="str">
        <f>HYPERLINK("https://twitter.com/BSAFunds/status/922393730132430848","922393730132430848")</f>
        <v>922393730132430848</v>
      </c>
      <c r="F1122" s="23" t="s">
        <v>187</v>
      </c>
      <c r="G1122" s="24">
        <v>20910.0</v>
      </c>
      <c r="H1122" s="24">
        <v>8929.0</v>
      </c>
      <c r="I1122" s="24">
        <v>0.0</v>
      </c>
      <c r="J1122" s="24">
        <v>0.0</v>
      </c>
      <c r="K1122" s="23" t="s">
        <v>34</v>
      </c>
      <c r="L1122" s="25">
        <v>42601.94818287037</v>
      </c>
      <c r="M1122" s="26" t="s">
        <v>1250</v>
      </c>
      <c r="N1122" s="26" t="s">
        <v>1251</v>
      </c>
      <c r="O1122" s="22" t="str">
        <f>HYPERLINK("https://pbs.twimg.com/profile_images/912769166960033792/N4LAmrTs_normal.jpg","View")</f>
        <v>View</v>
      </c>
      <c r="P1122" s="27"/>
    </row>
    <row r="1123">
      <c r="A1123" s="14">
        <v>43031.10158564815</v>
      </c>
      <c r="B1123" s="20" t="str">
        <f>HYPERLINK("https://twitter.com/PlanetHandshake","@PlanetHandshake")</f>
        <v>@PlanetHandshake</v>
      </c>
      <c r="C1123" s="21" t="s">
        <v>2893</v>
      </c>
      <c r="D1123" s="21" t="s">
        <v>2748</v>
      </c>
      <c r="E1123" s="22" t="str">
        <f>HYPERLINK("https://twitter.com/PlanetHandshake/status/922393732191784961","922393732191784961")</f>
        <v>922393732191784961</v>
      </c>
      <c r="F1123" s="23" t="s">
        <v>55</v>
      </c>
      <c r="G1123" s="24">
        <v>19.0</v>
      </c>
      <c r="H1123" s="24">
        <v>142.0</v>
      </c>
      <c r="I1123" s="24">
        <v>15.0</v>
      </c>
      <c r="J1123" s="24">
        <v>0.0</v>
      </c>
      <c r="K1123" s="23" t="s">
        <v>34</v>
      </c>
      <c r="L1123" s="25">
        <v>42566.088379629626</v>
      </c>
      <c r="M1123" s="26" t="s">
        <v>843</v>
      </c>
      <c r="N1123" s="26" t="s">
        <v>2894</v>
      </c>
      <c r="O1123" s="22" t="str">
        <f>HYPERLINK("https://pbs.twimg.com/profile_images/755318412935622656/mEl9M_Cp_normal.jpg","View")</f>
        <v>View</v>
      </c>
      <c r="P1123" s="27"/>
    </row>
    <row r="1124">
      <c r="A1124" s="14">
        <v>43031.10162037037</v>
      </c>
      <c r="B1124" s="20" t="str">
        <f>HYPERLINK("https://twitter.com/bllshbrsh","@bllshbrsh")</f>
        <v>@bllshbrsh</v>
      </c>
      <c r="C1124" s="21" t="s">
        <v>138</v>
      </c>
      <c r="D1124" s="21" t="s">
        <v>2895</v>
      </c>
      <c r="E1124" s="22" t="str">
        <f>HYPERLINK("https://twitter.com/bllshbrsh/status/922393744187510784","922393744187510784")</f>
        <v>922393744187510784</v>
      </c>
      <c r="F1124" s="23" t="s">
        <v>140</v>
      </c>
      <c r="G1124" s="24">
        <v>6148.0</v>
      </c>
      <c r="H1124" s="24">
        <v>6416.0</v>
      </c>
      <c r="I1124" s="24">
        <v>0.0</v>
      </c>
      <c r="J1124" s="24">
        <v>0.0</v>
      </c>
      <c r="K1124" s="23" t="s">
        <v>34</v>
      </c>
      <c r="L1124" s="25">
        <v>42682.29137731482</v>
      </c>
      <c r="M1124" s="28"/>
      <c r="N1124" s="28"/>
      <c r="O1124" s="22" t="str">
        <f>HYPERLINK("https://pbs.twimg.com/profile_images/825303907752673284/OSI50AgE_normal.jpg","View")</f>
        <v>View</v>
      </c>
      <c r="P1124" s="27"/>
    </row>
    <row r="1125">
      <c r="A1125" s="14">
        <v>43031.101631944446</v>
      </c>
      <c r="B1125" s="20" t="str">
        <f>HYPERLINK("https://twitter.com/ajitabh_baruah","@ajitabh_baruah")</f>
        <v>@ajitabh_baruah</v>
      </c>
      <c r="C1125" s="21" t="s">
        <v>2896</v>
      </c>
      <c r="D1125" s="21" t="s">
        <v>42</v>
      </c>
      <c r="E1125" s="22" t="str">
        <f>HYPERLINK("https://twitter.com/ajitabh_baruah/status/922393747098279937","922393747098279937")</f>
        <v>922393747098279937</v>
      </c>
      <c r="F1125" s="23" t="s">
        <v>33</v>
      </c>
      <c r="G1125" s="24">
        <v>1260.0</v>
      </c>
      <c r="H1125" s="24">
        <v>1405.0</v>
      </c>
      <c r="I1125" s="24">
        <v>8501.0</v>
      </c>
      <c r="J1125" s="24">
        <v>0.0</v>
      </c>
      <c r="K1125" s="23" t="s">
        <v>34</v>
      </c>
      <c r="L1125" s="25">
        <v>41057.42957175926</v>
      </c>
      <c r="M1125" s="26" t="s">
        <v>2897</v>
      </c>
      <c r="N1125" s="26" t="s">
        <v>2898</v>
      </c>
      <c r="O1125" s="22" t="str">
        <f>HYPERLINK("https://pbs.twimg.com/profile_images/899171517992288256/FEDWOq3q_normal.jpg","View")</f>
        <v>View</v>
      </c>
      <c r="P1125" s="27"/>
    </row>
    <row r="1126">
      <c r="A1126" s="14">
        <v>43031.10165509259</v>
      </c>
      <c r="B1126" s="20" t="str">
        <f>HYPERLINK("https://twitter.com/jackfpaylor","@jackfpaylor")</f>
        <v>@jackfpaylor</v>
      </c>
      <c r="C1126" s="21" t="s">
        <v>2899</v>
      </c>
      <c r="D1126" s="21" t="s">
        <v>2900</v>
      </c>
      <c r="E1126" s="22" t="str">
        <f>HYPERLINK("https://twitter.com/jackfpaylor/status/922393754828406786","922393754828406786")</f>
        <v>922393754828406786</v>
      </c>
      <c r="F1126" s="23" t="s">
        <v>187</v>
      </c>
      <c r="G1126" s="24">
        <v>4556.0</v>
      </c>
      <c r="H1126" s="24">
        <v>5001.0</v>
      </c>
      <c r="I1126" s="24">
        <v>0.0</v>
      </c>
      <c r="J1126" s="24">
        <v>0.0</v>
      </c>
      <c r="K1126" s="23" t="s">
        <v>34</v>
      </c>
      <c r="L1126" s="25">
        <v>42880.774618055555</v>
      </c>
      <c r="M1126" s="26" t="s">
        <v>2901</v>
      </c>
      <c r="N1126" s="26" t="s">
        <v>2902</v>
      </c>
      <c r="O1126" s="22" t="str">
        <f>HYPERLINK("https://pbs.twimg.com/profile_images/911761399902334976/emBMaAAb_normal.jpg","View")</f>
        <v>View</v>
      </c>
      <c r="P1126" s="27"/>
    </row>
    <row r="1127">
      <c r="A1127" s="14">
        <v>43031.10165509259</v>
      </c>
      <c r="B1127" s="20" t="str">
        <f>HYPERLINK("https://twitter.com/Toyoking","@Toyoking")</f>
        <v>@Toyoking</v>
      </c>
      <c r="C1127" s="21" t="s">
        <v>2903</v>
      </c>
      <c r="D1127" s="21" t="s">
        <v>2555</v>
      </c>
      <c r="E1127" s="22" t="str">
        <f>HYPERLINK("https://twitter.com/Toyoking/status/922393755646296065","922393755646296065")</f>
        <v>922393755646296065</v>
      </c>
      <c r="F1127" s="23" t="s">
        <v>39</v>
      </c>
      <c r="G1127" s="24">
        <v>578.0</v>
      </c>
      <c r="H1127" s="24">
        <v>959.0</v>
      </c>
      <c r="I1127" s="24">
        <v>58.0</v>
      </c>
      <c r="J1127" s="24">
        <v>0.0</v>
      </c>
      <c r="K1127" s="23" t="s">
        <v>34</v>
      </c>
      <c r="L1127" s="25">
        <v>40114.839583333334</v>
      </c>
      <c r="M1127" s="26" t="s">
        <v>2904</v>
      </c>
      <c r="N1127" s="26" t="s">
        <v>2905</v>
      </c>
      <c r="O1127" s="22" t="str">
        <f>HYPERLINK("https://pbs.twimg.com/profile_images/694132909222002688/q17HHTnK_normal.jpg","View")</f>
        <v>View</v>
      </c>
      <c r="P1127" s="27"/>
    </row>
    <row r="1128">
      <c r="A1128" s="14">
        <v>43031.10167824074</v>
      </c>
      <c r="B1128" s="20" t="str">
        <f>HYPERLINK("https://twitter.com/manishk1392","@manishk1392")</f>
        <v>@manishk1392</v>
      </c>
      <c r="C1128" s="21" t="s">
        <v>2860</v>
      </c>
      <c r="D1128" s="21" t="s">
        <v>2906</v>
      </c>
      <c r="E1128" s="22" t="str">
        <f>HYPERLINK("https://twitter.com/manishk1392/status/922393763309223936","922393763309223936")</f>
        <v>922393763309223936</v>
      </c>
      <c r="F1128" s="23" t="s">
        <v>33</v>
      </c>
      <c r="G1128" s="24">
        <v>1515.0</v>
      </c>
      <c r="H1128" s="24">
        <v>450.0</v>
      </c>
      <c r="I1128" s="24">
        <v>18.0</v>
      </c>
      <c r="J1128" s="24">
        <v>0.0</v>
      </c>
      <c r="K1128" s="23" t="s">
        <v>34</v>
      </c>
      <c r="L1128" s="25">
        <v>42763.12899305555</v>
      </c>
      <c r="M1128" s="26" t="s">
        <v>2862</v>
      </c>
      <c r="N1128" s="26" t="s">
        <v>2863</v>
      </c>
      <c r="O1128" s="22" t="str">
        <f>HYPERLINK("https://pbs.twimg.com/profile_images/891715790348701696/j0wTlC8L_normal.jpg","View")</f>
        <v>View</v>
      </c>
      <c r="P1128" s="27"/>
    </row>
    <row r="1129">
      <c r="A1129" s="14">
        <v>43031.10170138889</v>
      </c>
      <c r="B1129" s="20" t="str">
        <f>HYPERLINK("https://twitter.com/AsukStudio","@AsukStudio")</f>
        <v>@AsukStudio</v>
      </c>
      <c r="C1129" s="21" t="s">
        <v>2907</v>
      </c>
      <c r="D1129" s="21" t="s">
        <v>2908</v>
      </c>
      <c r="E1129" s="22" t="str">
        <f>HYPERLINK("https://twitter.com/AsukStudio/status/922393772146688000","922393772146688000")</f>
        <v>922393772146688000</v>
      </c>
      <c r="F1129" s="23" t="s">
        <v>187</v>
      </c>
      <c r="G1129" s="24">
        <v>417.0</v>
      </c>
      <c r="H1129" s="24">
        <v>1.0</v>
      </c>
      <c r="I1129" s="24">
        <v>0.0</v>
      </c>
      <c r="J1129" s="24">
        <v>0.0</v>
      </c>
      <c r="K1129" s="23" t="s">
        <v>34</v>
      </c>
      <c r="L1129" s="25">
        <v>42651.49319444444</v>
      </c>
      <c r="M1129" s="26" t="s">
        <v>2909</v>
      </c>
      <c r="N1129" s="26" t="s">
        <v>2910</v>
      </c>
      <c r="O1129" s="22" t="str">
        <f>HYPERLINK("https://pbs.twimg.com/profile_images/915171930105196544/ok1UZWP-_normal.jpg","View")</f>
        <v>View</v>
      </c>
      <c r="P1129" s="27"/>
    </row>
    <row r="1130">
      <c r="A1130" s="14">
        <v>43031.10172453704</v>
      </c>
      <c r="B1130" s="20" t="str">
        <f>HYPERLINK("https://twitter.com/Mumbijr","@Mumbijr")</f>
        <v>@Mumbijr</v>
      </c>
      <c r="C1130" s="21" t="s">
        <v>2911</v>
      </c>
      <c r="D1130" s="21" t="s">
        <v>2555</v>
      </c>
      <c r="E1130" s="22" t="str">
        <f>HYPERLINK("https://twitter.com/Mumbijr/status/922393779939799040","922393779939799040")</f>
        <v>922393779939799040</v>
      </c>
      <c r="F1130" s="23" t="s">
        <v>33</v>
      </c>
      <c r="G1130" s="24">
        <v>173.0</v>
      </c>
      <c r="H1130" s="24">
        <v>847.0</v>
      </c>
      <c r="I1130" s="24">
        <v>58.0</v>
      </c>
      <c r="J1130" s="24">
        <v>0.0</v>
      </c>
      <c r="K1130" s="23" t="s">
        <v>34</v>
      </c>
      <c r="L1130" s="25">
        <v>41450.54814814815</v>
      </c>
      <c r="M1130" s="26" t="s">
        <v>2912</v>
      </c>
      <c r="N1130" s="26" t="s">
        <v>2913</v>
      </c>
      <c r="O1130" s="22" t="str">
        <f>HYPERLINK("https://pbs.twimg.com/profile_images/918789707781287936/mwCJrVct_normal.jpg","View")</f>
        <v>View</v>
      </c>
      <c r="P1130" s="27"/>
    </row>
    <row r="1131">
      <c r="A1131" s="14">
        <v>43031.101805555554</v>
      </c>
      <c r="B1131" s="20" t="str">
        <f>HYPERLINK("https://twitter.com/BipinkumarpalBk","@BipinkumarpalBk")</f>
        <v>@BipinkumarpalBk</v>
      </c>
      <c r="C1131" s="21" t="s">
        <v>2914</v>
      </c>
      <c r="D1131" s="21" t="s">
        <v>42</v>
      </c>
      <c r="E1131" s="22" t="str">
        <f>HYPERLINK("https://twitter.com/BipinkumarpalBk/status/922393809979195393","922393809979195393")</f>
        <v>922393809979195393</v>
      </c>
      <c r="F1131" s="23" t="s">
        <v>43</v>
      </c>
      <c r="G1131" s="24">
        <v>29.0</v>
      </c>
      <c r="H1131" s="24">
        <v>424.0</v>
      </c>
      <c r="I1131" s="24">
        <v>8501.0</v>
      </c>
      <c r="J1131" s="24">
        <v>0.0</v>
      </c>
      <c r="K1131" s="23" t="s">
        <v>34</v>
      </c>
      <c r="L1131" s="25">
        <v>41442.286527777775</v>
      </c>
      <c r="M1131" s="26" t="s">
        <v>2915</v>
      </c>
      <c r="N1131" s="26" t="s">
        <v>2916</v>
      </c>
      <c r="O1131" s="22" t="str">
        <f>HYPERLINK("https://pbs.twimg.com/profile_images/907614654850985989/PqUPOVgX_normal.jpg","View")</f>
        <v>View</v>
      </c>
      <c r="P1131" s="27"/>
    </row>
    <row r="1132">
      <c r="A1132" s="14">
        <v>43031.101805555554</v>
      </c>
      <c r="B1132" s="20" t="str">
        <f>HYPERLINK("https://twitter.com/Lawsonbulk","@Lawsonbulk")</f>
        <v>@Lawsonbulk</v>
      </c>
      <c r="C1132" s="21" t="s">
        <v>1689</v>
      </c>
      <c r="D1132" s="21" t="s">
        <v>2917</v>
      </c>
      <c r="E1132" s="22" t="str">
        <f>HYPERLINK("https://twitter.com/Lawsonbulk/status/922393811246047233","922393811246047233")</f>
        <v>922393811246047233</v>
      </c>
      <c r="F1132" s="23" t="s">
        <v>55</v>
      </c>
      <c r="G1132" s="24">
        <v>11648.0</v>
      </c>
      <c r="H1132" s="24">
        <v>8120.0</v>
      </c>
      <c r="I1132" s="24">
        <v>0.0</v>
      </c>
      <c r="J1132" s="24">
        <v>0.0</v>
      </c>
      <c r="K1132" s="23" t="s">
        <v>34</v>
      </c>
      <c r="L1132" s="25">
        <v>39892.715219907404</v>
      </c>
      <c r="M1132" s="26" t="s">
        <v>1691</v>
      </c>
      <c r="N1132" s="26" t="s">
        <v>1692</v>
      </c>
      <c r="O1132" s="22" t="str">
        <f>HYPERLINK("https://pbs.twimg.com/profile_images/1165717176/e2fd589b-9cda-4f29-a669-e97f5283d76d_normal.jpg","View")</f>
        <v>View</v>
      </c>
      <c r="P1132" s="27"/>
    </row>
    <row r="1133">
      <c r="A1133" s="14">
        <v>43031.101805555554</v>
      </c>
      <c r="B1133" s="20" t="str">
        <f>HYPERLINK("https://twitter.com/praveen12173565","@praveen12173565")</f>
        <v>@praveen12173565</v>
      </c>
      <c r="C1133" s="21" t="s">
        <v>2918</v>
      </c>
      <c r="D1133" s="21" t="s">
        <v>42</v>
      </c>
      <c r="E1133" s="22" t="str">
        <f>HYPERLINK("https://twitter.com/praveen12173565/status/922393812286054400","922393812286054400")</f>
        <v>922393812286054400</v>
      </c>
      <c r="F1133" s="23" t="s">
        <v>33</v>
      </c>
      <c r="G1133" s="24">
        <v>72.0</v>
      </c>
      <c r="H1133" s="24">
        <v>191.0</v>
      </c>
      <c r="I1133" s="24">
        <v>8501.0</v>
      </c>
      <c r="J1133" s="24">
        <v>0.0</v>
      </c>
      <c r="K1133" s="23" t="s">
        <v>34</v>
      </c>
      <c r="L1133" s="25">
        <v>41145.79775462963</v>
      </c>
      <c r="M1133" s="28"/>
      <c r="N1133" s="26" t="s">
        <v>2919</v>
      </c>
      <c r="O1133" s="22" t="str">
        <f>HYPERLINK("https://pbs.twimg.com/profile_images/897115778272579585/54T5xJVG_normal.jpg","View")</f>
        <v>View</v>
      </c>
      <c r="P1133" s="27"/>
    </row>
    <row r="1134">
      <c r="A1134" s="14">
        <v>43031.1018287037</v>
      </c>
      <c r="B1134" s="20" t="str">
        <f>HYPERLINK("https://twitter.com/kaminirupani","@kaminirupani")</f>
        <v>@kaminirupani</v>
      </c>
      <c r="C1134" s="21" t="s">
        <v>2920</v>
      </c>
      <c r="D1134" s="21" t="s">
        <v>42</v>
      </c>
      <c r="E1134" s="22" t="str">
        <f>HYPERLINK("https://twitter.com/kaminirupani/status/922393820624506881","922393820624506881")</f>
        <v>922393820624506881</v>
      </c>
      <c r="F1134" s="23" t="s">
        <v>39</v>
      </c>
      <c r="G1134" s="24">
        <v>350.0</v>
      </c>
      <c r="H1134" s="24">
        <v>192.0</v>
      </c>
      <c r="I1134" s="24">
        <v>8501.0</v>
      </c>
      <c r="J1134" s="24">
        <v>0.0</v>
      </c>
      <c r="K1134" s="23" t="s">
        <v>34</v>
      </c>
      <c r="L1134" s="25">
        <v>40877.983402777776</v>
      </c>
      <c r="M1134" s="28"/>
      <c r="N1134" s="26" t="s">
        <v>2921</v>
      </c>
      <c r="O1134" s="22" t="str">
        <f>HYPERLINK("https://pbs.twimg.com/profile_images/804935278431469569/EMXC_cOa_normal.jpg","View")</f>
        <v>View</v>
      </c>
      <c r="P1134" s="27"/>
    </row>
    <row r="1135">
      <c r="A1135" s="14">
        <v>43031.10188657408</v>
      </c>
      <c r="B1135" s="20" t="str">
        <f>HYPERLINK("https://twitter.com/advnbdubey7","@advnbdubey7")</f>
        <v>@advnbdubey7</v>
      </c>
      <c r="C1135" s="21" t="s">
        <v>2922</v>
      </c>
      <c r="D1135" s="21" t="s">
        <v>42</v>
      </c>
      <c r="E1135" s="22" t="str">
        <f>HYPERLINK("https://twitter.com/advnbdubey7/status/922393839666577408","922393839666577408")</f>
        <v>922393839666577408</v>
      </c>
      <c r="F1135" s="23" t="s">
        <v>33</v>
      </c>
      <c r="G1135" s="24">
        <v>52.0</v>
      </c>
      <c r="H1135" s="24">
        <v>75.0</v>
      </c>
      <c r="I1135" s="24">
        <v>8501.0</v>
      </c>
      <c r="J1135" s="24">
        <v>0.0</v>
      </c>
      <c r="K1135" s="23" t="s">
        <v>34</v>
      </c>
      <c r="L1135" s="25">
        <v>41586.092569444445</v>
      </c>
      <c r="M1135" s="28"/>
      <c r="N1135" s="28"/>
      <c r="O1135" s="22" t="str">
        <f>HYPERLINK("https://pbs.twimg.com/profile_images/472310777718661121/k2OcQq4T_normal.jpeg","View")</f>
        <v>View</v>
      </c>
      <c r="P1135" s="27"/>
    </row>
    <row r="1136">
      <c r="A1136" s="14">
        <v>43031.10188657408</v>
      </c>
      <c r="B1136" s="20" t="str">
        <f>HYPERLINK("https://twitter.com/StacyNazari","@StacyNazari")</f>
        <v>@StacyNazari</v>
      </c>
      <c r="C1136" s="21" t="s">
        <v>2923</v>
      </c>
      <c r="D1136" s="21" t="s">
        <v>32</v>
      </c>
      <c r="E1136" s="22" t="str">
        <f>HYPERLINK("https://twitter.com/StacyNazari/status/922393840765603840","922393840765603840")</f>
        <v>922393840765603840</v>
      </c>
      <c r="F1136" s="23" t="s">
        <v>33</v>
      </c>
      <c r="G1136" s="24">
        <v>230.0</v>
      </c>
      <c r="H1136" s="24">
        <v>402.0</v>
      </c>
      <c r="I1136" s="24">
        <v>471.0</v>
      </c>
      <c r="J1136" s="24">
        <v>0.0</v>
      </c>
      <c r="K1136" s="23" t="s">
        <v>34</v>
      </c>
      <c r="L1136" s="25">
        <v>42435.60444444444</v>
      </c>
      <c r="M1136" s="28"/>
      <c r="N1136" s="26" t="s">
        <v>2924</v>
      </c>
      <c r="O1136" s="22" t="str">
        <f>HYPERLINK("https://pbs.twimg.com/profile_images/880837464612581381/dvI1_n1d_normal.jpg","View")</f>
        <v>View</v>
      </c>
      <c r="P1136" s="27"/>
    </row>
    <row r="1137">
      <c r="A1137" s="14">
        <v>43031.10190972222</v>
      </c>
      <c r="B1137" s="20" t="str">
        <f>HYPERLINK("https://twitter.com/sarker_binoy","@sarker_binoy")</f>
        <v>@sarker_binoy</v>
      </c>
      <c r="C1137" s="21" t="s">
        <v>2925</v>
      </c>
      <c r="D1137" s="21" t="s">
        <v>42</v>
      </c>
      <c r="E1137" s="22" t="str">
        <f>HYPERLINK("https://twitter.com/sarker_binoy/status/922393849699241988","922393849699241988")</f>
        <v>922393849699241988</v>
      </c>
      <c r="F1137" s="23" t="s">
        <v>33</v>
      </c>
      <c r="G1137" s="24">
        <v>20.0</v>
      </c>
      <c r="H1137" s="24">
        <v>198.0</v>
      </c>
      <c r="I1137" s="24">
        <v>8501.0</v>
      </c>
      <c r="J1137" s="24">
        <v>0.0</v>
      </c>
      <c r="K1137" s="23" t="s">
        <v>34</v>
      </c>
      <c r="L1137" s="25">
        <v>42288.400509259256</v>
      </c>
      <c r="M1137" s="28"/>
      <c r="N1137" s="28"/>
      <c r="O1137" s="22" t="str">
        <f>HYPERLINK("https://pbs.twimg.com/profile_images/916485298414010368/_EkJrAHA_normal.jpg","View")</f>
        <v>View</v>
      </c>
      <c r="P1137" s="27"/>
    </row>
    <row r="1138">
      <c r="A1138" s="14">
        <v>43031.10194444444</v>
      </c>
      <c r="B1138" s="20" t="str">
        <f>HYPERLINK("https://twitter.com/vijayrpatel","@vijayrpatel")</f>
        <v>@vijayrpatel</v>
      </c>
      <c r="C1138" s="21" t="s">
        <v>2926</v>
      </c>
      <c r="D1138" s="21" t="s">
        <v>42</v>
      </c>
      <c r="E1138" s="22" t="str">
        <f>HYPERLINK("https://twitter.com/vijayrpatel/status/922393860730339328","922393860730339328")</f>
        <v>922393860730339328</v>
      </c>
      <c r="F1138" s="23" t="s">
        <v>55</v>
      </c>
      <c r="G1138" s="24">
        <v>56.0</v>
      </c>
      <c r="H1138" s="24">
        <v>24.0</v>
      </c>
      <c r="I1138" s="24">
        <v>8501.0</v>
      </c>
      <c r="J1138" s="24">
        <v>0.0</v>
      </c>
      <c r="K1138" s="23" t="s">
        <v>34</v>
      </c>
      <c r="L1138" s="25">
        <v>40814.73258101852</v>
      </c>
      <c r="M1138" s="26" t="s">
        <v>334</v>
      </c>
      <c r="N1138" s="26" t="s">
        <v>2927</v>
      </c>
      <c r="O1138" s="22" t="str">
        <f>HYPERLINK("https://pbs.twimg.com/profile_images/2606298137/tpiukwd5n1xjre5dhf4s_normal.jpeg","View")</f>
        <v>View</v>
      </c>
      <c r="P1138" s="27"/>
    </row>
    <row r="1139">
      <c r="A1139" s="14">
        <v>43031.10203703704</v>
      </c>
      <c r="B1139" s="20" t="str">
        <f>HYPERLINK("https://twitter.com/PWagre","@PWagre")</f>
        <v>@PWagre</v>
      </c>
      <c r="C1139" s="21" t="s">
        <v>2928</v>
      </c>
      <c r="D1139" s="21" t="s">
        <v>163</v>
      </c>
      <c r="E1139" s="22" t="str">
        <f>HYPERLINK("https://twitter.com/PWagre/status/922393893060014080","922393893060014080")</f>
        <v>922393893060014080</v>
      </c>
      <c r="F1139" s="23" t="s">
        <v>33</v>
      </c>
      <c r="G1139" s="24">
        <v>310.0</v>
      </c>
      <c r="H1139" s="24">
        <v>907.0</v>
      </c>
      <c r="I1139" s="24">
        <v>1005.0</v>
      </c>
      <c r="J1139" s="24">
        <v>0.0</v>
      </c>
      <c r="K1139" s="23" t="s">
        <v>34</v>
      </c>
      <c r="L1139" s="25">
        <v>41840.418125</v>
      </c>
      <c r="M1139" s="28"/>
      <c r="N1139" s="26" t="s">
        <v>2929</v>
      </c>
      <c r="O1139" s="22" t="str">
        <f>HYPERLINK("https://pbs.twimg.com/profile_images/902220680032374785/n2ZXwv7V_normal.jpg","View")</f>
        <v>View</v>
      </c>
      <c r="P1139" s="27"/>
    </row>
    <row r="1140">
      <c r="A1140" s="14">
        <v>43031.10203703704</v>
      </c>
      <c r="B1140" s="20" t="str">
        <f>HYPERLINK("https://twitter.com/911Satyagraha","@911Satyagraha")</f>
        <v>@911Satyagraha</v>
      </c>
      <c r="C1140" s="21" t="s">
        <v>2930</v>
      </c>
      <c r="D1140" s="21" t="s">
        <v>2931</v>
      </c>
      <c r="E1140" s="22" t="str">
        <f>HYPERLINK("https://twitter.com/911Satyagraha/status/922393893244686337","922393893244686337")</f>
        <v>922393893244686337</v>
      </c>
      <c r="F1140" s="23" t="s">
        <v>55</v>
      </c>
      <c r="G1140" s="24">
        <v>2036.0</v>
      </c>
      <c r="H1140" s="24">
        <v>2424.0</v>
      </c>
      <c r="I1140" s="24">
        <v>0.0</v>
      </c>
      <c r="J1140" s="24">
        <v>0.0</v>
      </c>
      <c r="K1140" s="23" t="s">
        <v>34</v>
      </c>
      <c r="L1140" s="25">
        <v>39444.79439814815</v>
      </c>
      <c r="M1140" s="26" t="s">
        <v>2932</v>
      </c>
      <c r="N1140" s="26" t="s">
        <v>2933</v>
      </c>
      <c r="O1140" s="22" t="str">
        <f>HYPERLINK("https://pbs.twimg.com/profile_images/695193166635474944/yisgAHEs_normal.jpg","View")</f>
        <v>View</v>
      </c>
      <c r="P1140" s="27"/>
    </row>
    <row r="1141">
      <c r="A1141" s="14">
        <v>43031.102118055554</v>
      </c>
      <c r="B1141" s="20" t="str">
        <f>HYPERLINK("https://twitter.com/DwijFinTech","@DwijFinTech")</f>
        <v>@DwijFinTech</v>
      </c>
      <c r="C1141" s="21" t="s">
        <v>2934</v>
      </c>
      <c r="D1141" s="21" t="s">
        <v>42</v>
      </c>
      <c r="E1141" s="22" t="str">
        <f>HYPERLINK("https://twitter.com/DwijFinTech/status/922393925347717121","922393925347717121")</f>
        <v>922393925347717121</v>
      </c>
      <c r="F1141" s="23" t="s">
        <v>55</v>
      </c>
      <c r="G1141" s="24">
        <v>23.0</v>
      </c>
      <c r="H1141" s="24">
        <v>225.0</v>
      </c>
      <c r="I1141" s="24">
        <v>8501.0</v>
      </c>
      <c r="J1141" s="24">
        <v>0.0</v>
      </c>
      <c r="K1141" s="23" t="s">
        <v>34</v>
      </c>
      <c r="L1141" s="25">
        <v>41877.02142361111</v>
      </c>
      <c r="M1141" s="26" t="s">
        <v>234</v>
      </c>
      <c r="N1141" s="28"/>
      <c r="O1141" s="22" t="str">
        <f>HYPERLINK("https://abs.twimg.com/sticky/default_profile_images/default_profile_normal.png","View")</f>
        <v>View</v>
      </c>
      <c r="P1141" s="27"/>
    </row>
    <row r="1142">
      <c r="A1142" s="14">
        <v>43031.10216435185</v>
      </c>
      <c r="B1142" s="20" t="str">
        <f>HYPERLINK("https://twitter.com/newlyjacky","@newlyjacky")</f>
        <v>@newlyjacky</v>
      </c>
      <c r="C1142" s="21" t="s">
        <v>1792</v>
      </c>
      <c r="D1142" s="21" t="s">
        <v>2555</v>
      </c>
      <c r="E1142" s="22" t="str">
        <f>HYPERLINK("https://twitter.com/newlyjacky/status/922393941856710656","922393941856710656")</f>
        <v>922393941856710656</v>
      </c>
      <c r="F1142" s="23" t="s">
        <v>39</v>
      </c>
      <c r="G1142" s="24">
        <v>245.0</v>
      </c>
      <c r="H1142" s="24">
        <v>1846.0</v>
      </c>
      <c r="I1142" s="24">
        <v>58.0</v>
      </c>
      <c r="J1142" s="24">
        <v>0.0</v>
      </c>
      <c r="K1142" s="23" t="s">
        <v>34</v>
      </c>
      <c r="L1142" s="25">
        <v>41557.45846064815</v>
      </c>
      <c r="M1142" s="26" t="s">
        <v>1793</v>
      </c>
      <c r="N1142" s="26" t="s">
        <v>1794</v>
      </c>
      <c r="O1142" s="22" t="str">
        <f>HYPERLINK("https://pbs.twimg.com/profile_images/444812983642767360/g7TWxzMz_normal.jpeg","View")</f>
        <v>View</v>
      </c>
      <c r="P1142" s="27"/>
    </row>
    <row r="1143">
      <c r="A1143" s="14">
        <v>43031.10216435185</v>
      </c>
      <c r="B1143" s="20" t="str">
        <f>HYPERLINK("https://twitter.com/WorldNewsGPS","@WorldNewsGPS")</f>
        <v>@WorldNewsGPS</v>
      </c>
      <c r="C1143" s="21" t="s">
        <v>2935</v>
      </c>
      <c r="D1143" s="21" t="s">
        <v>2936</v>
      </c>
      <c r="E1143" s="22" t="str">
        <f>HYPERLINK("https://twitter.com/WorldNewsGPS/status/922393942800285697","922393942800285697")</f>
        <v>922393942800285697</v>
      </c>
      <c r="F1143" s="30" t="s">
        <v>411</v>
      </c>
      <c r="G1143" s="24">
        <v>5140.0</v>
      </c>
      <c r="H1143" s="24">
        <v>3552.0</v>
      </c>
      <c r="I1143" s="24">
        <v>0.0</v>
      </c>
      <c r="J1143" s="24">
        <v>0.0</v>
      </c>
      <c r="K1143" s="23" t="s">
        <v>34</v>
      </c>
      <c r="L1143" s="25">
        <v>41855.64482638889</v>
      </c>
      <c r="M1143" s="26" t="s">
        <v>2937</v>
      </c>
      <c r="N1143" s="26" t="s">
        <v>2938</v>
      </c>
      <c r="O1143" s="22" t="str">
        <f>HYPERLINK("https://pbs.twimg.com/profile_images/922888721292075008/5HmBrNXR_normal.jpg","View")</f>
        <v>View</v>
      </c>
      <c r="P1143" s="27"/>
    </row>
    <row r="1144">
      <c r="A1144" s="14">
        <v>43031.10221064815</v>
      </c>
      <c r="B1144" s="20" t="str">
        <f>HYPERLINK("https://twitter.com/DebDip00","@DebDip00")</f>
        <v>@DebDip00</v>
      </c>
      <c r="C1144" s="21" t="s">
        <v>2939</v>
      </c>
      <c r="D1144" s="21" t="s">
        <v>42</v>
      </c>
      <c r="E1144" s="22" t="str">
        <f>HYPERLINK("https://twitter.com/DebDip00/status/922393958642094081","922393958642094081")</f>
        <v>922393958642094081</v>
      </c>
      <c r="F1144" s="23" t="s">
        <v>33</v>
      </c>
      <c r="G1144" s="24">
        <v>779.0</v>
      </c>
      <c r="H1144" s="24">
        <v>672.0</v>
      </c>
      <c r="I1144" s="24">
        <v>8501.0</v>
      </c>
      <c r="J1144" s="24">
        <v>0.0</v>
      </c>
      <c r="K1144" s="23" t="s">
        <v>34</v>
      </c>
      <c r="L1144" s="25">
        <v>40651.395474537036</v>
      </c>
      <c r="M1144" s="28"/>
      <c r="N1144" s="26" t="s">
        <v>2940</v>
      </c>
      <c r="O1144" s="22" t="str">
        <f>HYPERLINK("https://pbs.twimg.com/profile_images/833989423318577155/KrwlIQ0C_normal.jpg","View")</f>
        <v>View</v>
      </c>
      <c r="P1144" s="27"/>
    </row>
    <row r="1145">
      <c r="A1145" s="14">
        <v>43031.10223379629</v>
      </c>
      <c r="B1145" s="20" t="str">
        <f>HYPERLINK("https://twitter.com/kotaknaren","@kotaknaren")</f>
        <v>@kotaknaren</v>
      </c>
      <c r="C1145" s="21" t="s">
        <v>2729</v>
      </c>
      <c r="D1145" s="21" t="s">
        <v>2941</v>
      </c>
      <c r="E1145" s="22" t="str">
        <f>HYPERLINK("https://twitter.com/kotaknaren/status/922393965118226432","922393965118226432")</f>
        <v>922393965118226432</v>
      </c>
      <c r="F1145" s="23" t="s">
        <v>187</v>
      </c>
      <c r="G1145" s="24">
        <v>995.0</v>
      </c>
      <c r="H1145" s="24">
        <v>2681.0</v>
      </c>
      <c r="I1145" s="24">
        <v>0.0</v>
      </c>
      <c r="J1145" s="24">
        <v>0.0</v>
      </c>
      <c r="K1145" s="23" t="s">
        <v>34</v>
      </c>
      <c r="L1145" s="25">
        <v>40248.48484953704</v>
      </c>
      <c r="M1145" s="26" t="s">
        <v>207</v>
      </c>
      <c r="N1145" s="26" t="s">
        <v>2731</v>
      </c>
      <c r="O1145" s="22" t="str">
        <f>HYPERLINK("https://pbs.twimg.com/profile_images/813794228098564096/IEzFNegT_normal.jpg","View")</f>
        <v>View</v>
      </c>
      <c r="P1145" s="27"/>
    </row>
    <row r="1146">
      <c r="A1146" s="14">
        <v>43031.10224537037</v>
      </c>
      <c r="B1146" s="20" t="str">
        <f>HYPERLINK("https://twitter.com/CNBCTradersFan","@CNBCTradersFan")</f>
        <v>@CNBCTradersFan</v>
      </c>
      <c r="C1146" s="21" t="s">
        <v>1945</v>
      </c>
      <c r="D1146" s="21" t="s">
        <v>2942</v>
      </c>
      <c r="E1146" s="22" t="str">
        <f>HYPERLINK("https://twitter.com/CNBCTradersFan/status/922393970361229313","922393970361229313")</f>
        <v>922393970361229313</v>
      </c>
      <c r="F1146" s="23" t="s">
        <v>187</v>
      </c>
      <c r="G1146" s="24">
        <v>17128.0</v>
      </c>
      <c r="H1146" s="24">
        <v>11615.0</v>
      </c>
      <c r="I1146" s="24">
        <v>0.0</v>
      </c>
      <c r="J1146" s="24">
        <v>0.0</v>
      </c>
      <c r="K1146" s="23" t="s">
        <v>34</v>
      </c>
      <c r="L1146" s="25">
        <v>40922.50542824074</v>
      </c>
      <c r="M1146" s="26" t="s">
        <v>1947</v>
      </c>
      <c r="N1146" s="26" t="s">
        <v>1948</v>
      </c>
      <c r="O1146" s="22" t="str">
        <f>HYPERLINK("https://pbs.twimg.com/profile_images/731870469318684672/Ckf7rDdJ_normal.jpg","View")</f>
        <v>View</v>
      </c>
      <c r="P1146" s="27"/>
    </row>
    <row r="1147">
      <c r="A1147" s="14">
        <v>43031.10228009259</v>
      </c>
      <c r="B1147" s="20" t="str">
        <f>HYPERLINK("https://twitter.com/Bullish","@Bullish")</f>
        <v>@Bullish</v>
      </c>
      <c r="C1147" s="21" t="s">
        <v>2943</v>
      </c>
      <c r="D1147" s="21" t="s">
        <v>2944</v>
      </c>
      <c r="E1147" s="22" t="str">
        <f>HYPERLINK("https://twitter.com/Bullish/status/922393981971042304","922393981971042304")</f>
        <v>922393981971042304</v>
      </c>
      <c r="F1147" s="23" t="s">
        <v>187</v>
      </c>
      <c r="G1147" s="24">
        <v>184.0</v>
      </c>
      <c r="H1147" s="24">
        <v>87.0</v>
      </c>
      <c r="I1147" s="24">
        <v>0.0</v>
      </c>
      <c r="J1147" s="24">
        <v>0.0</v>
      </c>
      <c r="K1147" s="23" t="s">
        <v>34</v>
      </c>
      <c r="L1147" s="25">
        <v>42618.75304398148</v>
      </c>
      <c r="M1147" s="28"/>
      <c r="N1147" s="28"/>
      <c r="O1147" s="22" t="str">
        <f>HYPERLINK("https://pbs.twimg.com/profile_images/798692093736599552/UikI9dNE_normal.jpg","View")</f>
        <v>View</v>
      </c>
      <c r="P1147" s="27"/>
    </row>
    <row r="1148">
      <c r="A1148" s="14">
        <v>43031.10229166667</v>
      </c>
      <c r="B1148" s="20" t="str">
        <f>HYPERLINK("https://twitter.com/yashesh_dhuri","@yashesh_dhuri")</f>
        <v>@yashesh_dhuri</v>
      </c>
      <c r="C1148" s="21" t="s">
        <v>2945</v>
      </c>
      <c r="D1148" s="21" t="s">
        <v>42</v>
      </c>
      <c r="E1148" s="22" t="str">
        <f>HYPERLINK("https://twitter.com/yashesh_dhuri/status/922393986769174529","922393986769174529")</f>
        <v>922393986769174529</v>
      </c>
      <c r="F1148" s="23" t="s">
        <v>33</v>
      </c>
      <c r="G1148" s="24">
        <v>9.0</v>
      </c>
      <c r="H1148" s="24">
        <v>175.0</v>
      </c>
      <c r="I1148" s="24">
        <v>8501.0</v>
      </c>
      <c r="J1148" s="24">
        <v>0.0</v>
      </c>
      <c r="K1148" s="23" t="s">
        <v>34</v>
      </c>
      <c r="L1148" s="25">
        <v>42973.48217592592</v>
      </c>
      <c r="M1148" s="28"/>
      <c r="N1148" s="28"/>
      <c r="O1148" s="22" t="str">
        <f t="shared" ref="O1148:O1149" si="14">HYPERLINK("https://abs.twimg.com/sticky/default_profile_images/default_profile_normal.png","View")</f>
        <v>View</v>
      </c>
      <c r="P1148" s="27"/>
    </row>
    <row r="1149">
      <c r="A1149" s="14">
        <v>43031.102314814816</v>
      </c>
      <c r="B1149" s="20" t="str">
        <f>HYPERLINK("https://twitter.com/Rishabhsethia18","@Rishabhsethia18")</f>
        <v>@Rishabhsethia18</v>
      </c>
      <c r="C1149" s="21" t="s">
        <v>2946</v>
      </c>
      <c r="D1149" s="21" t="s">
        <v>42</v>
      </c>
      <c r="E1149" s="22" t="str">
        <f>HYPERLINK("https://twitter.com/Rishabhsethia18/status/922393995233259520","922393995233259520")</f>
        <v>922393995233259520</v>
      </c>
      <c r="F1149" s="23" t="s">
        <v>33</v>
      </c>
      <c r="G1149" s="24">
        <v>6.0</v>
      </c>
      <c r="H1149" s="24">
        <v>29.0</v>
      </c>
      <c r="I1149" s="24">
        <v>8501.0</v>
      </c>
      <c r="J1149" s="24">
        <v>0.0</v>
      </c>
      <c r="K1149" s="23" t="s">
        <v>34</v>
      </c>
      <c r="L1149" s="25">
        <v>42801.44782407407</v>
      </c>
      <c r="M1149" s="28"/>
      <c r="N1149" s="28"/>
      <c r="O1149" s="22" t="str">
        <f t="shared" si="14"/>
        <v>View</v>
      </c>
      <c r="P1149" s="27"/>
    </row>
    <row r="1150">
      <c r="A1150" s="14">
        <v>43031.102430555555</v>
      </c>
      <c r="B1150" s="20" t="str">
        <f>HYPERLINK("https://twitter.com/bhanujoshi01","@bhanujoshi01")</f>
        <v>@bhanujoshi01</v>
      </c>
      <c r="C1150" s="21" t="s">
        <v>2947</v>
      </c>
      <c r="D1150" s="21" t="s">
        <v>42</v>
      </c>
      <c r="E1150" s="22" t="str">
        <f>HYPERLINK("https://twitter.com/bhanujoshi01/status/922394035905372161","922394035905372161")</f>
        <v>922394035905372161</v>
      </c>
      <c r="F1150" s="23" t="s">
        <v>39</v>
      </c>
      <c r="G1150" s="24">
        <v>136.0</v>
      </c>
      <c r="H1150" s="24">
        <v>392.0</v>
      </c>
      <c r="I1150" s="24">
        <v>8501.0</v>
      </c>
      <c r="J1150" s="24">
        <v>0.0</v>
      </c>
      <c r="K1150" s="23" t="s">
        <v>34</v>
      </c>
      <c r="L1150" s="25">
        <v>40946.40804398148</v>
      </c>
      <c r="M1150" s="26" t="s">
        <v>96</v>
      </c>
      <c r="N1150" s="26" t="s">
        <v>2948</v>
      </c>
      <c r="O1150" s="22" t="str">
        <f>HYPERLINK("https://pbs.twimg.com/profile_images/858565842912526336/xNQXd8HT_normal.jpg","View")</f>
        <v>View</v>
      </c>
      <c r="P1150" s="27"/>
    </row>
    <row r="1151">
      <c r="A1151" s="14">
        <v>43031.1024537037</v>
      </c>
      <c r="B1151" s="20" t="str">
        <f>HYPERLINK("https://twitter.com/prithvimufc","@prithvimufc")</f>
        <v>@prithvimufc</v>
      </c>
      <c r="C1151" s="21" t="s">
        <v>2949</v>
      </c>
      <c r="D1151" s="21" t="s">
        <v>42</v>
      </c>
      <c r="E1151" s="22" t="str">
        <f>HYPERLINK("https://twitter.com/prithvimufc/status/922394046173126656","922394046173126656")</f>
        <v>922394046173126656</v>
      </c>
      <c r="F1151" s="23" t="s">
        <v>33</v>
      </c>
      <c r="G1151" s="24">
        <v>89.0</v>
      </c>
      <c r="H1151" s="24">
        <v>160.0</v>
      </c>
      <c r="I1151" s="24">
        <v>8501.0</v>
      </c>
      <c r="J1151" s="24">
        <v>0.0</v>
      </c>
      <c r="K1151" s="23" t="s">
        <v>34</v>
      </c>
      <c r="L1151" s="25">
        <v>42101.27030092593</v>
      </c>
      <c r="M1151" s="28"/>
      <c r="N1151" s="26" t="s">
        <v>2950</v>
      </c>
      <c r="O1151" s="22" t="str">
        <f>HYPERLINK("https://pbs.twimg.com/profile_images/906564273815543809/LdczOBew_normal.jpg","View")</f>
        <v>View</v>
      </c>
      <c r="P1151" s="27"/>
    </row>
    <row r="1152">
      <c r="A1152" s="14">
        <v>43031.1024537037</v>
      </c>
      <c r="B1152" s="20" t="str">
        <f>HYPERLINK("https://twitter.com/kapilnaren","@kapilnaren")</f>
        <v>@kapilnaren</v>
      </c>
      <c r="C1152" s="21" t="s">
        <v>2647</v>
      </c>
      <c r="D1152" s="21" t="s">
        <v>163</v>
      </c>
      <c r="E1152" s="22" t="str">
        <f>HYPERLINK("https://twitter.com/kapilnaren/status/922394046634569728","922394046634569728")</f>
        <v>922394046634569728</v>
      </c>
      <c r="F1152" s="23" t="s">
        <v>39</v>
      </c>
      <c r="G1152" s="24">
        <v>191.0</v>
      </c>
      <c r="H1152" s="24">
        <v>348.0</v>
      </c>
      <c r="I1152" s="24">
        <v>1005.0</v>
      </c>
      <c r="J1152" s="24">
        <v>0.0</v>
      </c>
      <c r="K1152" s="23" t="s">
        <v>34</v>
      </c>
      <c r="L1152" s="25">
        <v>41927.78706018518</v>
      </c>
      <c r="M1152" s="28"/>
      <c r="N1152" s="28"/>
      <c r="O1152" s="22" t="str">
        <f>HYPERLINK("https://pbs.twimg.com/profile_images/883471088805662721/dRB3a39b_normal.jpg","View")</f>
        <v>View</v>
      </c>
      <c r="P1152" s="27"/>
    </row>
    <row r="1153">
      <c r="A1153" s="14">
        <v>43031.1025</v>
      </c>
      <c r="B1153" s="20" t="str">
        <f>HYPERLINK("https://twitter.com/pickooo","@pickooo")</f>
        <v>@pickooo</v>
      </c>
      <c r="C1153" s="21" t="s">
        <v>2666</v>
      </c>
      <c r="D1153" s="21" t="s">
        <v>2951</v>
      </c>
      <c r="E1153" s="22" t="str">
        <f>HYPERLINK("https://twitter.com/pickooo/status/922394062878941184","922394062878941184")</f>
        <v>922394062878941184</v>
      </c>
      <c r="F1153" s="23" t="s">
        <v>33</v>
      </c>
      <c r="G1153" s="24">
        <v>4534.0</v>
      </c>
      <c r="H1153" s="24">
        <v>395.0</v>
      </c>
      <c r="I1153" s="24">
        <v>4.0</v>
      </c>
      <c r="J1153" s="24">
        <v>0.0</v>
      </c>
      <c r="K1153" s="23" t="s">
        <v>34</v>
      </c>
      <c r="L1153" s="25">
        <v>40153.12813657407</v>
      </c>
      <c r="M1153" s="26" t="s">
        <v>575</v>
      </c>
      <c r="N1153" s="26" t="s">
        <v>2668</v>
      </c>
      <c r="O1153" s="22" t="str">
        <f>HYPERLINK("https://pbs.twimg.com/profile_images/913922237886996480/XilUIgP2_normal.jpg","View")</f>
        <v>View</v>
      </c>
      <c r="P1153" s="27"/>
    </row>
    <row r="1154">
      <c r="A1154" s="14">
        <v>43031.10251157408</v>
      </c>
      <c r="B1154" s="20" t="str">
        <f>HYPERLINK("https://twitter.com/Priyankshukla47","@Priyankshukla47")</f>
        <v>@Priyankshukla47</v>
      </c>
      <c r="C1154" s="21" t="s">
        <v>2952</v>
      </c>
      <c r="D1154" s="21" t="s">
        <v>42</v>
      </c>
      <c r="E1154" s="22" t="str">
        <f>HYPERLINK("https://twitter.com/Priyankshukla47/status/922394067069046785","922394067069046785")</f>
        <v>922394067069046785</v>
      </c>
      <c r="F1154" s="23" t="s">
        <v>33</v>
      </c>
      <c r="G1154" s="24">
        <v>73.0</v>
      </c>
      <c r="H1154" s="24">
        <v>148.0</v>
      </c>
      <c r="I1154" s="24">
        <v>8501.0</v>
      </c>
      <c r="J1154" s="24">
        <v>0.0</v>
      </c>
      <c r="K1154" s="23" t="s">
        <v>34</v>
      </c>
      <c r="L1154" s="25">
        <v>40759.24008101852</v>
      </c>
      <c r="M1154" s="26" t="s">
        <v>2953</v>
      </c>
      <c r="N1154" s="26" t="s">
        <v>2954</v>
      </c>
      <c r="O1154" s="22" t="str">
        <f>HYPERLINK("https://pbs.twimg.com/profile_images/890786558265131008/O_1Bv5Se_normal.jpg","View")</f>
        <v>View</v>
      </c>
      <c r="P1154" s="27"/>
    </row>
    <row r="1155">
      <c r="A1155" s="14">
        <v>43031.10255787037</v>
      </c>
      <c r="B1155" s="20" t="str">
        <f>HYPERLINK("https://twitter.com/rameshagrawal95","@rameshagrawal95")</f>
        <v>@rameshagrawal95</v>
      </c>
      <c r="C1155" s="21" t="s">
        <v>2955</v>
      </c>
      <c r="D1155" s="21" t="s">
        <v>2738</v>
      </c>
      <c r="E1155" s="22" t="str">
        <f>HYPERLINK("https://twitter.com/rameshagrawal95/status/922394083481460736","922394083481460736")</f>
        <v>922394083481460736</v>
      </c>
      <c r="F1155" s="23" t="s">
        <v>33</v>
      </c>
      <c r="G1155" s="24">
        <v>8194.0</v>
      </c>
      <c r="H1155" s="24">
        <v>614.0</v>
      </c>
      <c r="I1155" s="24">
        <v>7.0</v>
      </c>
      <c r="J1155" s="24">
        <v>0.0</v>
      </c>
      <c r="K1155" s="23" t="s">
        <v>34</v>
      </c>
      <c r="L1155" s="25">
        <v>41653.82693287037</v>
      </c>
      <c r="M1155" s="26" t="s">
        <v>1545</v>
      </c>
      <c r="N1155" s="26" t="s">
        <v>2956</v>
      </c>
      <c r="O1155" s="22" t="str">
        <f>HYPERLINK("https://pbs.twimg.com/profile_images/900249706843873280/DFSUf3Vm_normal.jpg","View")</f>
        <v>View</v>
      </c>
      <c r="P1155" s="27"/>
    </row>
    <row r="1156">
      <c r="A1156" s="14">
        <v>43031.10276620371</v>
      </c>
      <c r="B1156" s="20" t="str">
        <f>HYPERLINK("https://twitter.com/Chandan76683","@Chandan76683")</f>
        <v>@Chandan76683</v>
      </c>
      <c r="C1156" s="21" t="s">
        <v>2957</v>
      </c>
      <c r="D1156" s="21" t="s">
        <v>42</v>
      </c>
      <c r="E1156" s="22" t="str">
        <f>HYPERLINK("https://twitter.com/Chandan76683/status/922394158395924480","922394158395924480")</f>
        <v>922394158395924480</v>
      </c>
      <c r="F1156" s="23" t="s">
        <v>33</v>
      </c>
      <c r="G1156" s="24">
        <v>4.0</v>
      </c>
      <c r="H1156" s="24">
        <v>123.0</v>
      </c>
      <c r="I1156" s="24">
        <v>8501.0</v>
      </c>
      <c r="J1156" s="24">
        <v>0.0</v>
      </c>
      <c r="K1156" s="23" t="s">
        <v>34</v>
      </c>
      <c r="L1156" s="25">
        <v>43023.279502314814</v>
      </c>
      <c r="M1156" s="26" t="s">
        <v>2958</v>
      </c>
      <c r="N1156" s="28"/>
      <c r="O1156" s="22" t="str">
        <f>HYPERLINK("https://pbs.twimg.com/profile_images/919561400292327424/qyBgJAje_normal.jpg","View")</f>
        <v>View</v>
      </c>
      <c r="P1156" s="27"/>
    </row>
    <row r="1157">
      <c r="A1157" s="14">
        <v>43031.102847222224</v>
      </c>
      <c r="B1157" s="20" t="str">
        <f>HYPERLINK("https://twitter.com/f0Lnow6LAVqbJ2D","@f0Lnow6LAVqbJ2D")</f>
        <v>@f0Lnow6LAVqbJ2D</v>
      </c>
      <c r="C1157" s="21" t="s">
        <v>2959</v>
      </c>
      <c r="D1157" s="21" t="s">
        <v>42</v>
      </c>
      <c r="E1157" s="22" t="str">
        <f>HYPERLINK("https://twitter.com/f0Lnow6LAVqbJ2D/status/922394189744160768","922394189744160768")</f>
        <v>922394189744160768</v>
      </c>
      <c r="F1157" s="23" t="s">
        <v>39</v>
      </c>
      <c r="G1157" s="24">
        <v>276.0</v>
      </c>
      <c r="H1157" s="24">
        <v>573.0</v>
      </c>
      <c r="I1157" s="24">
        <v>8501.0</v>
      </c>
      <c r="J1157" s="24">
        <v>0.0</v>
      </c>
      <c r="K1157" s="23" t="s">
        <v>34</v>
      </c>
      <c r="L1157" s="25">
        <v>42502.2758449074</v>
      </c>
      <c r="M1157" s="28"/>
      <c r="N1157" s="26" t="s">
        <v>2960</v>
      </c>
      <c r="O1157" s="22" t="str">
        <f>HYPERLINK("https://pbs.twimg.com/profile_images/804232796692545537/ENoEH1UG_normal.jpg","View")</f>
        <v>View</v>
      </c>
      <c r="P1157" s="27"/>
    </row>
    <row r="1158">
      <c r="A1158" s="14">
        <v>43031.10288194445</v>
      </c>
      <c r="B1158" s="20" t="str">
        <f>HYPERLINK("https://twitter.com/WeeklyJour","@WeeklyJour")</f>
        <v>@WeeklyJour</v>
      </c>
      <c r="C1158" s="21" t="s">
        <v>2961</v>
      </c>
      <c r="D1158" s="21" t="s">
        <v>2962</v>
      </c>
      <c r="E1158" s="22" t="str">
        <f>HYPERLINK("https://twitter.com/WeeklyJour/status/922394202490789889","922394202490789889")</f>
        <v>922394202490789889</v>
      </c>
      <c r="F1158" s="23" t="s">
        <v>187</v>
      </c>
      <c r="G1158" s="24">
        <v>93.0</v>
      </c>
      <c r="H1158" s="24">
        <v>0.0</v>
      </c>
      <c r="I1158" s="24">
        <v>0.0</v>
      </c>
      <c r="J1158" s="24">
        <v>0.0</v>
      </c>
      <c r="K1158" s="23" t="s">
        <v>34</v>
      </c>
      <c r="L1158" s="25">
        <v>42502.51699074074</v>
      </c>
      <c r="M1158" s="26" t="s">
        <v>2534</v>
      </c>
      <c r="N1158" s="26" t="s">
        <v>2963</v>
      </c>
      <c r="O1158" s="22" t="str">
        <f>HYPERLINK("https://pbs.twimg.com/profile_images/915062885910376448/ds5TEJgU_normal.jpg","View")</f>
        <v>View</v>
      </c>
      <c r="P1158" s="27"/>
    </row>
    <row r="1159">
      <c r="A1159" s="14">
        <v>43031.10290509259</v>
      </c>
      <c r="B1159" s="20" t="str">
        <f>HYPERLINK("https://twitter.com/vrai777","@vrai777")</f>
        <v>@vrai777</v>
      </c>
      <c r="C1159" s="21" t="s">
        <v>1770</v>
      </c>
      <c r="D1159" s="21" t="s">
        <v>2964</v>
      </c>
      <c r="E1159" s="22" t="str">
        <f>HYPERLINK("https://twitter.com/vrai777/status/922394210577338368","922394210577338368")</f>
        <v>922394210577338368</v>
      </c>
      <c r="F1159" s="23" t="s">
        <v>187</v>
      </c>
      <c r="G1159" s="24">
        <v>7944.0</v>
      </c>
      <c r="H1159" s="24">
        <v>71.0</v>
      </c>
      <c r="I1159" s="24">
        <v>0.0</v>
      </c>
      <c r="J1159" s="24">
        <v>0.0</v>
      </c>
      <c r="K1159" s="23" t="s">
        <v>34</v>
      </c>
      <c r="L1159" s="25">
        <v>39878.7593287037</v>
      </c>
      <c r="M1159" s="26" t="s">
        <v>1024</v>
      </c>
      <c r="N1159" s="26" t="s">
        <v>1772</v>
      </c>
      <c r="O1159" s="22" t="str">
        <f>HYPERLINK("https://pbs.twimg.com/profile_images/688775800284266496/qhWTo08H_normal.png","View")</f>
        <v>View</v>
      </c>
      <c r="P1159" s="27"/>
    </row>
    <row r="1160">
      <c r="A1160" s="14">
        <v>43031.10291666667</v>
      </c>
      <c r="B1160" s="20" t="str">
        <f>HYPERLINK("https://twitter.com/pranaykadamece","@pranaykadamece")</f>
        <v>@pranaykadamece</v>
      </c>
      <c r="C1160" s="21" t="s">
        <v>2965</v>
      </c>
      <c r="D1160" s="21" t="s">
        <v>42</v>
      </c>
      <c r="E1160" s="22" t="str">
        <f>HYPERLINK("https://twitter.com/pranaykadamece/status/922394212552683522","922394212552683522")</f>
        <v>922394212552683522</v>
      </c>
      <c r="F1160" s="23" t="s">
        <v>33</v>
      </c>
      <c r="G1160" s="24">
        <v>54.0</v>
      </c>
      <c r="H1160" s="24">
        <v>106.0</v>
      </c>
      <c r="I1160" s="24">
        <v>8501.0</v>
      </c>
      <c r="J1160" s="24">
        <v>0.0</v>
      </c>
      <c r="K1160" s="23" t="s">
        <v>34</v>
      </c>
      <c r="L1160" s="25">
        <v>41391.092453703706</v>
      </c>
      <c r="M1160" s="28"/>
      <c r="N1160" s="28"/>
      <c r="O1160" s="22" t="str">
        <f>HYPERLINK("https://pbs.twimg.com/profile_images/783560694725644288/AWdq1a4Z_normal.jpg","View")</f>
        <v>View</v>
      </c>
      <c r="P1160" s="27"/>
    </row>
    <row r="1161">
      <c r="A1161" s="14">
        <v>43031.10292824074</v>
      </c>
      <c r="B1161" s="20" t="str">
        <f>HYPERLINK("https://twitter.com/iMishraKKOffice","@iMishraKKOffice")</f>
        <v>@iMishraKKOffice</v>
      </c>
      <c r="C1161" s="21" t="s">
        <v>2966</v>
      </c>
      <c r="D1161" s="21" t="s">
        <v>42</v>
      </c>
      <c r="E1161" s="22" t="str">
        <f>HYPERLINK("https://twitter.com/iMishraKKOffice/status/922394216956813312","922394216956813312")</f>
        <v>922394216956813312</v>
      </c>
      <c r="F1161" s="23" t="s">
        <v>33</v>
      </c>
      <c r="G1161" s="24">
        <v>5544.0</v>
      </c>
      <c r="H1161" s="24">
        <v>3553.0</v>
      </c>
      <c r="I1161" s="24">
        <v>8501.0</v>
      </c>
      <c r="J1161" s="24">
        <v>0.0</v>
      </c>
      <c r="K1161" s="23" t="s">
        <v>34</v>
      </c>
      <c r="L1161" s="25">
        <v>41798.04337962963</v>
      </c>
      <c r="M1161" s="26" t="s">
        <v>2967</v>
      </c>
      <c r="N1161" s="26" t="s">
        <v>2968</v>
      </c>
      <c r="O1161" s="22" t="str">
        <f>HYPERLINK("https://pbs.twimg.com/profile_images/909871341372768262/VOoKMJNU_normal.jpg","View")</f>
        <v>View</v>
      </c>
      <c r="P1161" s="27"/>
    </row>
    <row r="1162">
      <c r="A1162" s="14">
        <v>43031.10295138889</v>
      </c>
      <c r="B1162" s="20" t="str">
        <f>HYPERLINK("https://twitter.com/madyten","@madyten")</f>
        <v>@madyten</v>
      </c>
      <c r="C1162" s="21" t="s">
        <v>2969</v>
      </c>
      <c r="D1162" s="21" t="s">
        <v>42</v>
      </c>
      <c r="E1162" s="22" t="str">
        <f>HYPERLINK("https://twitter.com/madyten/status/922394227161686016","922394227161686016")</f>
        <v>922394227161686016</v>
      </c>
      <c r="F1162" s="23" t="s">
        <v>39</v>
      </c>
      <c r="G1162" s="24">
        <v>118.0</v>
      </c>
      <c r="H1162" s="24">
        <v>564.0</v>
      </c>
      <c r="I1162" s="24">
        <v>8501.0</v>
      </c>
      <c r="J1162" s="24">
        <v>0.0</v>
      </c>
      <c r="K1162" s="23" t="s">
        <v>34</v>
      </c>
      <c r="L1162" s="25">
        <v>42029.81355324074</v>
      </c>
      <c r="M1162" s="28"/>
      <c r="N1162" s="28"/>
      <c r="O1162" s="22" t="str">
        <f>HYPERLINK("https://pbs.twimg.com/profile_images/559554460318306304/M-1hwfmv_normal.jpeg","View")</f>
        <v>View</v>
      </c>
      <c r="P1162" s="27"/>
    </row>
    <row r="1163">
      <c r="A1163" s="14">
        <v>43031.103009259255</v>
      </c>
      <c r="B1163" s="20" t="str">
        <f>HYPERLINK("https://twitter.com/deepijoshi","@deepijoshi")</f>
        <v>@deepijoshi</v>
      </c>
      <c r="C1163" s="21" t="s">
        <v>2970</v>
      </c>
      <c r="D1163" s="21" t="s">
        <v>42</v>
      </c>
      <c r="E1163" s="22" t="str">
        <f>HYPERLINK("https://twitter.com/deepijoshi/status/922394248061657089","922394248061657089")</f>
        <v>922394248061657089</v>
      </c>
      <c r="F1163" s="23" t="s">
        <v>39</v>
      </c>
      <c r="G1163" s="24">
        <v>3549.0</v>
      </c>
      <c r="H1163" s="24">
        <v>3054.0</v>
      </c>
      <c r="I1163" s="24">
        <v>8501.0</v>
      </c>
      <c r="J1163" s="24">
        <v>0.0</v>
      </c>
      <c r="K1163" s="23" t="s">
        <v>34</v>
      </c>
      <c r="L1163" s="25">
        <v>41089.11234953704</v>
      </c>
      <c r="M1163" s="26" t="s">
        <v>853</v>
      </c>
      <c r="N1163" s="26" t="s">
        <v>2971</v>
      </c>
      <c r="O1163" s="22" t="str">
        <f>HYPERLINK("https://pbs.twimg.com/profile_images/905744635959549952/cql7pvH8_normal.jpg","View")</f>
        <v>View</v>
      </c>
      <c r="P1163" s="27"/>
    </row>
    <row r="1164">
      <c r="A1164" s="14">
        <v>43031.10302083333</v>
      </c>
      <c r="B1164" s="20" t="str">
        <f>HYPERLINK("https://twitter.com/ProxyInsight","@ProxyInsight")</f>
        <v>@ProxyInsight</v>
      </c>
      <c r="C1164" s="21" t="s">
        <v>2972</v>
      </c>
      <c r="D1164" s="21" t="s">
        <v>2973</v>
      </c>
      <c r="E1164" s="22" t="str">
        <f>HYPERLINK("https://twitter.com/ProxyInsight/status/922394250490335233","922394250490335233")</f>
        <v>922394250490335233</v>
      </c>
      <c r="F1164" s="23" t="s">
        <v>55</v>
      </c>
      <c r="G1164" s="24">
        <v>794.0</v>
      </c>
      <c r="H1164" s="24">
        <v>241.0</v>
      </c>
      <c r="I1164" s="24">
        <v>4.0</v>
      </c>
      <c r="J1164" s="24">
        <v>0.0</v>
      </c>
      <c r="K1164" s="23" t="s">
        <v>34</v>
      </c>
      <c r="L1164" s="25">
        <v>41448.493784722225</v>
      </c>
      <c r="M1164" s="26" t="s">
        <v>2974</v>
      </c>
      <c r="N1164" s="26" t="s">
        <v>2975</v>
      </c>
      <c r="O1164" s="22" t="str">
        <f>HYPERLINK("https://pbs.twimg.com/profile_images/378800000035650977/0cecdd9695336f9396024114c078a475_normal.jpeg","View")</f>
        <v>View</v>
      </c>
      <c r="P1164" s="27"/>
    </row>
    <row r="1165">
      <c r="A1165" s="14">
        <v>43031.10304398148</v>
      </c>
      <c r="B1165" s="20" t="str">
        <f>HYPERLINK("https://twitter.com/NewsBossIndia","@NewsBossIndia")</f>
        <v>@NewsBossIndia</v>
      </c>
      <c r="C1165" s="29" t="s">
        <v>148</v>
      </c>
      <c r="D1165" s="21" t="s">
        <v>2976</v>
      </c>
      <c r="E1165" s="22" t="str">
        <f>HYPERLINK("https://twitter.com/NewsBossIndia/status/922394258098724864","922394258098724864")</f>
        <v>922394258098724864</v>
      </c>
      <c r="F1165" s="30" t="s">
        <v>148</v>
      </c>
      <c r="G1165" s="24">
        <v>991.0</v>
      </c>
      <c r="H1165" s="24">
        <v>1.0</v>
      </c>
      <c r="I1165" s="24">
        <v>0.0</v>
      </c>
      <c r="J1165" s="24">
        <v>0.0</v>
      </c>
      <c r="K1165" s="23" t="s">
        <v>34</v>
      </c>
      <c r="L1165" s="25">
        <v>42564.38061342592</v>
      </c>
      <c r="M1165" s="28"/>
      <c r="N1165" s="26" t="s">
        <v>150</v>
      </c>
      <c r="O1165" s="22" t="str">
        <f>HYPERLINK("https://pbs.twimg.com/profile_images/753260679692333057/AS4Xiw4q_normal.jpg","View")</f>
        <v>View</v>
      </c>
      <c r="P1165" s="27"/>
    </row>
    <row r="1166">
      <c r="A1166" s="14">
        <v>43031.10304398148</v>
      </c>
      <c r="B1166" s="20" t="str">
        <f>HYPERLINK("https://twitter.com/nvision_360","@nvision_360")</f>
        <v>@nvision_360</v>
      </c>
      <c r="C1166" s="21" t="s">
        <v>2977</v>
      </c>
      <c r="D1166" s="21" t="s">
        <v>2978</v>
      </c>
      <c r="E1166" s="22" t="str">
        <f>HYPERLINK("https://twitter.com/nvision_360/status/922394260040704000","922394260040704000")</f>
        <v>922394260040704000</v>
      </c>
      <c r="F1166" s="23" t="s">
        <v>2979</v>
      </c>
      <c r="G1166" s="24">
        <v>1450.0</v>
      </c>
      <c r="H1166" s="24">
        <v>2020.0</v>
      </c>
      <c r="I1166" s="24">
        <v>0.0</v>
      </c>
      <c r="J1166" s="24">
        <v>0.0</v>
      </c>
      <c r="K1166" s="23" t="s">
        <v>34</v>
      </c>
      <c r="L1166" s="25">
        <v>42227.433703703704</v>
      </c>
      <c r="M1166" s="26" t="s">
        <v>238</v>
      </c>
      <c r="N1166" s="26" t="s">
        <v>2980</v>
      </c>
      <c r="O1166" s="22" t="str">
        <f>HYPERLINK("https://pbs.twimg.com/profile_images/631155294437924864/W9LiiFDF_normal.png","View")</f>
        <v>View</v>
      </c>
      <c r="P1166" s="27"/>
    </row>
    <row r="1167">
      <c r="A1167" s="14">
        <v>43031.10320601852</v>
      </c>
      <c r="B1167" s="20" t="str">
        <f>HYPERLINK("https://twitter.com/NewsBossIndia","@NewsBossIndia")</f>
        <v>@NewsBossIndia</v>
      </c>
      <c r="C1167" s="29" t="s">
        <v>148</v>
      </c>
      <c r="D1167" s="21" t="s">
        <v>2981</v>
      </c>
      <c r="E1167" s="22" t="str">
        <f>HYPERLINK("https://twitter.com/NewsBossIndia/status/922394320333762560","922394320333762560")</f>
        <v>922394320333762560</v>
      </c>
      <c r="F1167" s="30" t="s">
        <v>148</v>
      </c>
      <c r="G1167" s="24">
        <v>991.0</v>
      </c>
      <c r="H1167" s="24">
        <v>1.0</v>
      </c>
      <c r="I1167" s="24">
        <v>0.0</v>
      </c>
      <c r="J1167" s="24">
        <v>0.0</v>
      </c>
      <c r="K1167" s="23" t="s">
        <v>34</v>
      </c>
      <c r="L1167" s="25">
        <v>42564.38061342592</v>
      </c>
      <c r="M1167" s="28"/>
      <c r="N1167" s="26" t="s">
        <v>150</v>
      </c>
      <c r="O1167" s="22" t="str">
        <f>HYPERLINK("https://pbs.twimg.com/profile_images/753260679692333057/AS4Xiw4q_normal.jpg","View")</f>
        <v>View</v>
      </c>
      <c r="P1167" s="27"/>
    </row>
    <row r="1168">
      <c r="A1168" s="14">
        <v>43031.10320601852</v>
      </c>
      <c r="B1168" s="20" t="str">
        <f>HYPERLINK("https://twitter.com/Nottingham_IAPS","@Nottingham_IAPS")</f>
        <v>@Nottingham_IAPS</v>
      </c>
      <c r="C1168" s="21" t="s">
        <v>2982</v>
      </c>
      <c r="D1168" s="21" t="s">
        <v>2983</v>
      </c>
      <c r="E1168" s="22" t="str">
        <f>HYPERLINK("https://twitter.com/Nottingham_IAPS/status/922394320661045248","922394320661045248")</f>
        <v>922394320661045248</v>
      </c>
      <c r="F1168" s="23" t="s">
        <v>39</v>
      </c>
      <c r="G1168" s="24">
        <v>1052.0</v>
      </c>
      <c r="H1168" s="24">
        <v>928.0</v>
      </c>
      <c r="I1168" s="24">
        <v>2.0</v>
      </c>
      <c r="J1168" s="24">
        <v>1.0</v>
      </c>
      <c r="K1168" s="23" t="s">
        <v>34</v>
      </c>
      <c r="L1168" s="25">
        <v>40962.12094907407</v>
      </c>
      <c r="M1168" s="26" t="s">
        <v>771</v>
      </c>
      <c r="N1168" s="26" t="s">
        <v>2984</v>
      </c>
      <c r="O1168" s="22" t="str">
        <f>HYPERLINK("https://pbs.twimg.com/profile_images/667034844652785664/Iw8DyIlB_normal.jpg","View")</f>
        <v>View</v>
      </c>
      <c r="P1168" s="27"/>
    </row>
    <row r="1169">
      <c r="A1169" s="14">
        <v>43031.10322916666</v>
      </c>
      <c r="B1169" s="20" t="str">
        <f>HYPERLINK("https://twitter.com/salqahtani1111","@salqahtani1111")</f>
        <v>@salqahtani1111</v>
      </c>
      <c r="C1169" s="21" t="s">
        <v>2985</v>
      </c>
      <c r="D1169" s="21" t="s">
        <v>2986</v>
      </c>
      <c r="E1169" s="22" t="str">
        <f>HYPERLINK("https://twitter.com/salqahtani1111/status/922394328890298369","922394328890298369")</f>
        <v>922394328890298369</v>
      </c>
      <c r="F1169" s="23" t="s">
        <v>187</v>
      </c>
      <c r="G1169" s="24">
        <v>78.0</v>
      </c>
      <c r="H1169" s="24">
        <v>350.0</v>
      </c>
      <c r="I1169" s="24">
        <v>0.0</v>
      </c>
      <c r="J1169" s="24">
        <v>0.0</v>
      </c>
      <c r="K1169" s="23" t="s">
        <v>34</v>
      </c>
      <c r="L1169" s="25">
        <v>42389.41868055555</v>
      </c>
      <c r="M1169" s="26" t="s">
        <v>2987</v>
      </c>
      <c r="N1169" s="32" t="s">
        <v>2988</v>
      </c>
      <c r="O1169" s="22" t="str">
        <f>HYPERLINK("https://pbs.twimg.com/profile_images/862802411659952129/c6waLNgv_normal.jpg","View")</f>
        <v>View</v>
      </c>
      <c r="P1169" s="27"/>
    </row>
    <row r="1170">
      <c r="A1170" s="14">
        <v>43031.10329861111</v>
      </c>
      <c r="B1170" s="20" t="str">
        <f>HYPERLINK("https://twitter.com/Devendr20708443","@Devendr20708443")</f>
        <v>@Devendr20708443</v>
      </c>
      <c r="C1170" s="21" t="s">
        <v>2989</v>
      </c>
      <c r="D1170" s="21" t="s">
        <v>42</v>
      </c>
      <c r="E1170" s="22" t="str">
        <f>HYPERLINK("https://twitter.com/Devendr20708443/status/922394353141714944","922394353141714944")</f>
        <v>922394353141714944</v>
      </c>
      <c r="F1170" s="23" t="s">
        <v>33</v>
      </c>
      <c r="G1170" s="24">
        <v>12.0</v>
      </c>
      <c r="H1170" s="24">
        <v>104.0</v>
      </c>
      <c r="I1170" s="24">
        <v>8501.0</v>
      </c>
      <c r="J1170" s="24">
        <v>0.0</v>
      </c>
      <c r="K1170" s="23" t="s">
        <v>34</v>
      </c>
      <c r="L1170" s="25">
        <v>43009.39711805555</v>
      </c>
      <c r="M1170" s="26" t="s">
        <v>2990</v>
      </c>
      <c r="N1170" s="26" t="s">
        <v>2991</v>
      </c>
      <c r="O1170" s="22" t="str">
        <f>HYPERLINK("https://pbs.twimg.com/profile_images/915659843293282304/wLMM4EYZ_normal.jpg","View")</f>
        <v>View</v>
      </c>
      <c r="P1170" s="27"/>
    </row>
    <row r="1171">
      <c r="A1171" s="14">
        <v>43031.10332175926</v>
      </c>
      <c r="B1171" s="20" t="str">
        <f>HYPERLINK("https://twitter.com/timelivenews","@timelivenews")</f>
        <v>@timelivenews</v>
      </c>
      <c r="C1171" s="21" t="s">
        <v>2820</v>
      </c>
      <c r="D1171" s="21" t="s">
        <v>2992</v>
      </c>
      <c r="E1171" s="22" t="str">
        <f>HYPERLINK("https://twitter.com/timelivenews/status/922394359949033473","922394359949033473")</f>
        <v>922394359949033473</v>
      </c>
      <c r="F1171" s="23" t="s">
        <v>55</v>
      </c>
      <c r="G1171" s="24">
        <v>1004.0</v>
      </c>
      <c r="H1171" s="24">
        <v>1997.0</v>
      </c>
      <c r="I1171" s="24">
        <v>0.0</v>
      </c>
      <c r="J1171" s="24">
        <v>0.0</v>
      </c>
      <c r="K1171" s="23" t="s">
        <v>34</v>
      </c>
      <c r="L1171" s="25">
        <v>41173.31891203704</v>
      </c>
      <c r="M1171" s="28"/>
      <c r="N1171" s="28"/>
      <c r="O1171" s="22" t="str">
        <f>HYPERLINK("https://pbs.twimg.com/profile_images/2645914047/c79803e0dea4e4b85f99f5b019bf0f4c_normal.png","View")</f>
        <v>View</v>
      </c>
      <c r="P1171" s="27"/>
    </row>
    <row r="1172">
      <c r="A1172" s="14">
        <v>43031.10340277778</v>
      </c>
      <c r="B1172" s="20" t="str">
        <f>HYPERLINK("https://twitter.com/LagerfeldKurt","@LagerfeldKurt")</f>
        <v>@LagerfeldKurt</v>
      </c>
      <c r="C1172" s="21" t="s">
        <v>2993</v>
      </c>
      <c r="D1172" s="21" t="s">
        <v>2555</v>
      </c>
      <c r="E1172" s="22" t="str">
        <f>HYPERLINK("https://twitter.com/LagerfeldKurt/status/922394389883826176","922394389883826176")</f>
        <v>922394389883826176</v>
      </c>
      <c r="F1172" s="23" t="s">
        <v>39</v>
      </c>
      <c r="G1172" s="24">
        <v>71.0</v>
      </c>
      <c r="H1172" s="24">
        <v>105.0</v>
      </c>
      <c r="I1172" s="24">
        <v>58.0</v>
      </c>
      <c r="J1172" s="24">
        <v>0.0</v>
      </c>
      <c r="K1172" s="23" t="s">
        <v>34</v>
      </c>
      <c r="L1172" s="25">
        <v>41418.39875</v>
      </c>
      <c r="M1172" s="26" t="s">
        <v>2994</v>
      </c>
      <c r="N1172" s="26" t="s">
        <v>2995</v>
      </c>
      <c r="O1172" s="22" t="str">
        <f>HYPERLINK("https://pbs.twimg.com/profile_images/921142406409605120/TDO2eoNE_normal.jpg","View")</f>
        <v>View</v>
      </c>
      <c r="P1172" s="27"/>
    </row>
    <row r="1173">
      <c r="A1173" s="14">
        <v>43031.10344907407</v>
      </c>
      <c r="B1173" s="20" t="str">
        <f>HYPERLINK("https://twitter.com/ThakurRoopSing4","@ThakurRoopSing4")</f>
        <v>@ThakurRoopSing4</v>
      </c>
      <c r="C1173" s="21" t="s">
        <v>2996</v>
      </c>
      <c r="D1173" s="21" t="s">
        <v>42</v>
      </c>
      <c r="E1173" s="22" t="str">
        <f>HYPERLINK("https://twitter.com/ThakurRoopSing4/status/922394408305156096","922394408305156096")</f>
        <v>922394408305156096</v>
      </c>
      <c r="F1173" s="23" t="s">
        <v>33</v>
      </c>
      <c r="G1173" s="24">
        <v>5.0</v>
      </c>
      <c r="H1173" s="24">
        <v>93.0</v>
      </c>
      <c r="I1173" s="24">
        <v>8501.0</v>
      </c>
      <c r="J1173" s="24">
        <v>0.0</v>
      </c>
      <c r="K1173" s="23" t="s">
        <v>34</v>
      </c>
      <c r="L1173" s="25">
        <v>42955.09489583333</v>
      </c>
      <c r="M1173" s="26" t="s">
        <v>2997</v>
      </c>
      <c r="N1173" s="26" t="s">
        <v>2998</v>
      </c>
      <c r="O1173" s="22" t="str">
        <f>HYPERLINK("https://pbs.twimg.com/profile_images/896361355921338368/N8Bl1vAw_normal.jpg","View")</f>
        <v>View</v>
      </c>
      <c r="P1173" s="27"/>
    </row>
    <row r="1174">
      <c r="A1174" s="14">
        <v>43031.10346064815</v>
      </c>
      <c r="B1174" s="20" t="str">
        <f>HYPERLINK("https://twitter.com/bka_84","@bka_84")</f>
        <v>@bka_84</v>
      </c>
      <c r="C1174" s="21" t="s">
        <v>2999</v>
      </c>
      <c r="D1174" s="21" t="s">
        <v>1444</v>
      </c>
      <c r="E1174" s="22" t="str">
        <f>HYPERLINK("https://twitter.com/bka_84/status/922394410729349120","922394410729349120")</f>
        <v>922394410729349120</v>
      </c>
      <c r="F1174" s="23" t="s">
        <v>39</v>
      </c>
      <c r="G1174" s="24">
        <v>72.0</v>
      </c>
      <c r="H1174" s="24">
        <v>93.0</v>
      </c>
      <c r="I1174" s="24">
        <v>50.0</v>
      </c>
      <c r="J1174" s="24">
        <v>0.0</v>
      </c>
      <c r="K1174" s="23" t="s">
        <v>34</v>
      </c>
      <c r="L1174" s="25">
        <v>41711.37189814815</v>
      </c>
      <c r="M1174" s="26" t="s">
        <v>3000</v>
      </c>
      <c r="N1174" s="26" t="s">
        <v>3001</v>
      </c>
      <c r="O1174" s="22" t="str">
        <f>HYPERLINK("https://pbs.twimg.com/profile_images/487543594471784449/mc039ao9_normal.jpeg","View")</f>
        <v>View</v>
      </c>
      <c r="P1174" s="27"/>
    </row>
    <row r="1175">
      <c r="A1175" s="14">
        <v>43031.10349537037</v>
      </c>
      <c r="B1175" s="20" t="str">
        <f>HYPERLINK("https://twitter.com/jks7159","@jks7159")</f>
        <v>@jks7159</v>
      </c>
      <c r="C1175" s="21" t="s">
        <v>3002</v>
      </c>
      <c r="D1175" s="21" t="s">
        <v>163</v>
      </c>
      <c r="E1175" s="22" t="str">
        <f>HYPERLINK("https://twitter.com/jks7159/status/922394424146931712","922394424146931712")</f>
        <v>922394424146931712</v>
      </c>
      <c r="F1175" s="23" t="s">
        <v>39</v>
      </c>
      <c r="G1175" s="24">
        <v>1190.0</v>
      </c>
      <c r="H1175" s="24">
        <v>500.0</v>
      </c>
      <c r="I1175" s="24">
        <v>1005.0</v>
      </c>
      <c r="J1175" s="24">
        <v>0.0</v>
      </c>
      <c r="K1175" s="23" t="s">
        <v>34</v>
      </c>
      <c r="L1175" s="25">
        <v>40136.30605324074</v>
      </c>
      <c r="M1175" s="26" t="s">
        <v>3003</v>
      </c>
      <c r="N1175" s="26" t="s">
        <v>3004</v>
      </c>
      <c r="O1175" s="22" t="str">
        <f>HYPERLINK("https://pbs.twimg.com/profile_images/1206681623/jks_normal.JPG","View")</f>
        <v>View</v>
      </c>
      <c r="P1175" s="27"/>
    </row>
    <row r="1176">
      <c r="A1176" s="14">
        <v>43031.103530092594</v>
      </c>
      <c r="B1176" s="20" t="str">
        <f>HYPERLINK("https://twitter.com/catefx","@catefx")</f>
        <v>@catefx</v>
      </c>
      <c r="C1176" s="21" t="s">
        <v>3005</v>
      </c>
      <c r="D1176" s="21" t="s">
        <v>2555</v>
      </c>
      <c r="E1176" s="22" t="str">
        <f>HYPERLINK("https://twitter.com/catefx/status/922394436188848128","922394436188848128")</f>
        <v>922394436188848128</v>
      </c>
      <c r="F1176" s="23" t="s">
        <v>39</v>
      </c>
      <c r="G1176" s="24">
        <v>23.0</v>
      </c>
      <c r="H1176" s="24">
        <v>75.0</v>
      </c>
      <c r="I1176" s="24">
        <v>58.0</v>
      </c>
      <c r="J1176" s="24">
        <v>0.0</v>
      </c>
      <c r="K1176" s="23" t="s">
        <v>34</v>
      </c>
      <c r="L1176" s="25">
        <v>40282.043657407405</v>
      </c>
      <c r="M1176" s="26" t="s">
        <v>3006</v>
      </c>
      <c r="N1176" s="26" t="s">
        <v>3007</v>
      </c>
      <c r="O1176" s="22" t="str">
        <f>HYPERLINK("https://pbs.twimg.com/profile_images/920552308735217665/1ATPzBk0_normal.jpg","View")</f>
        <v>View</v>
      </c>
      <c r="P1176" s="27"/>
    </row>
    <row r="1177">
      <c r="A1177" s="14">
        <v>43031.10354166667</v>
      </c>
      <c r="B1177" s="20" t="str">
        <f>HYPERLINK("https://twitter.com/jackswadhwa","@jackswadhwa")</f>
        <v>@jackswadhwa</v>
      </c>
      <c r="C1177" s="21" t="s">
        <v>3008</v>
      </c>
      <c r="D1177" s="21" t="s">
        <v>42</v>
      </c>
      <c r="E1177" s="22" t="str">
        <f>HYPERLINK("https://twitter.com/jackswadhwa/status/922394442333429760","922394442333429760")</f>
        <v>922394442333429760</v>
      </c>
      <c r="F1177" s="23" t="s">
        <v>33</v>
      </c>
      <c r="G1177" s="24">
        <v>104.0</v>
      </c>
      <c r="H1177" s="24">
        <v>554.0</v>
      </c>
      <c r="I1177" s="24">
        <v>8501.0</v>
      </c>
      <c r="J1177" s="24">
        <v>0.0</v>
      </c>
      <c r="K1177" s="23" t="s">
        <v>34</v>
      </c>
      <c r="L1177" s="25">
        <v>42757.27802083333</v>
      </c>
      <c r="M1177" s="28"/>
      <c r="N1177" s="26" t="s">
        <v>3009</v>
      </c>
      <c r="O1177" s="22" t="str">
        <f>HYPERLINK("https://pbs.twimg.com/profile_images/867713297273028608/qVwaKXHl_normal.jpg","View")</f>
        <v>View</v>
      </c>
      <c r="P1177" s="27"/>
    </row>
    <row r="1178">
      <c r="A1178" s="14">
        <v>43031.10358796296</v>
      </c>
      <c r="B1178" s="20" t="str">
        <f>HYPERLINK("https://twitter.com/warfinch2","@warfinch2")</f>
        <v>@warfinch2</v>
      </c>
      <c r="C1178" s="21" t="s">
        <v>3010</v>
      </c>
      <c r="D1178" s="21" t="s">
        <v>2555</v>
      </c>
      <c r="E1178" s="22" t="str">
        <f>HYPERLINK("https://twitter.com/warfinch2/status/922394455365189633","922394455365189633")</f>
        <v>922394455365189633</v>
      </c>
      <c r="F1178" s="23" t="s">
        <v>55</v>
      </c>
      <c r="G1178" s="24">
        <v>60.0</v>
      </c>
      <c r="H1178" s="24">
        <v>514.0</v>
      </c>
      <c r="I1178" s="24">
        <v>58.0</v>
      </c>
      <c r="J1178" s="24">
        <v>0.0</v>
      </c>
      <c r="K1178" s="23" t="s">
        <v>34</v>
      </c>
      <c r="L1178" s="25">
        <v>43011.98261574074</v>
      </c>
      <c r="M1178" s="26" t="s">
        <v>3011</v>
      </c>
      <c r="N1178" s="26" t="s">
        <v>3012</v>
      </c>
      <c r="O1178" s="22" t="str">
        <f>HYPERLINK("https://pbs.twimg.com/profile_images/915466113185497088/Upq8gEXx_normal.jpg","View")</f>
        <v>View</v>
      </c>
      <c r="P1178" s="27"/>
    </row>
    <row r="1179">
      <c r="A1179" s="14">
        <v>43031.10359953703</v>
      </c>
      <c r="B1179" s="20" t="str">
        <f>HYPERLINK("https://twitter.com/BSAFunds","@BSAFunds")</f>
        <v>@BSAFunds</v>
      </c>
      <c r="C1179" s="21" t="s">
        <v>1248</v>
      </c>
      <c r="D1179" s="21" t="s">
        <v>3013</v>
      </c>
      <c r="E1179" s="22" t="str">
        <f>HYPERLINK("https://twitter.com/BSAFunds/status/922394462533439488","922394462533439488")</f>
        <v>922394462533439488</v>
      </c>
      <c r="F1179" s="23" t="s">
        <v>187</v>
      </c>
      <c r="G1179" s="24">
        <v>20910.0</v>
      </c>
      <c r="H1179" s="24">
        <v>8929.0</v>
      </c>
      <c r="I1179" s="24">
        <v>0.0</v>
      </c>
      <c r="J1179" s="24">
        <v>0.0</v>
      </c>
      <c r="K1179" s="23" t="s">
        <v>34</v>
      </c>
      <c r="L1179" s="25">
        <v>42601.94818287037</v>
      </c>
      <c r="M1179" s="26" t="s">
        <v>1250</v>
      </c>
      <c r="N1179" s="26" t="s">
        <v>1251</v>
      </c>
      <c r="O1179" s="22" t="str">
        <f>HYPERLINK("https://pbs.twimg.com/profile_images/912769166960033792/N4LAmrTs_normal.jpg","View")</f>
        <v>View</v>
      </c>
      <c r="P1179" s="27"/>
    </row>
    <row r="1180">
      <c r="A1180" s="14">
        <v>43031.10364583333</v>
      </c>
      <c r="B1180" s="20" t="str">
        <f>HYPERLINK("https://twitter.com/BhartiSwamiji","@BhartiSwamiji")</f>
        <v>@BhartiSwamiji</v>
      </c>
      <c r="C1180" s="21" t="s">
        <v>3014</v>
      </c>
      <c r="D1180" s="21" t="s">
        <v>42</v>
      </c>
      <c r="E1180" s="22" t="str">
        <f>HYPERLINK("https://twitter.com/BhartiSwamiji/status/922394476928057344","922394476928057344")</f>
        <v>922394476928057344</v>
      </c>
      <c r="F1180" s="23" t="s">
        <v>230</v>
      </c>
      <c r="G1180" s="24">
        <v>47212.0</v>
      </c>
      <c r="H1180" s="24">
        <v>68.0</v>
      </c>
      <c r="I1180" s="24">
        <v>8501.0</v>
      </c>
      <c r="J1180" s="24">
        <v>0.0</v>
      </c>
      <c r="K1180" s="23" t="s">
        <v>34</v>
      </c>
      <c r="L1180" s="25">
        <v>42236.525925925926</v>
      </c>
      <c r="M1180" s="26" t="s">
        <v>3015</v>
      </c>
      <c r="N1180" s="26" t="s">
        <v>3016</v>
      </c>
      <c r="O1180" s="22" t="str">
        <f>HYPERLINK("https://pbs.twimg.com/profile_images/922385796279103488/IDe3FUxE_normal.jpg","View")</f>
        <v>View</v>
      </c>
      <c r="P1180" s="27"/>
    </row>
    <row r="1181">
      <c r="A1181" s="14">
        <v>43031.10365740741</v>
      </c>
      <c r="B1181" s="20" t="str">
        <f>HYPERLINK("https://twitter.com/GRD247","@GRD247")</f>
        <v>@GRD247</v>
      </c>
      <c r="C1181" s="21" t="s">
        <v>3017</v>
      </c>
      <c r="D1181" s="21" t="s">
        <v>3018</v>
      </c>
      <c r="E1181" s="22" t="str">
        <f>HYPERLINK("https://twitter.com/GRD247/status/922394480929415168","922394480929415168")</f>
        <v>922394480929415168</v>
      </c>
      <c r="F1181" s="23" t="s">
        <v>55</v>
      </c>
      <c r="G1181" s="24">
        <v>73.0</v>
      </c>
      <c r="H1181" s="24">
        <v>956.0</v>
      </c>
      <c r="I1181" s="24">
        <v>0.0</v>
      </c>
      <c r="J1181" s="24">
        <v>0.0</v>
      </c>
      <c r="K1181" s="23" t="s">
        <v>34</v>
      </c>
      <c r="L1181" s="25">
        <v>41000.22127314815</v>
      </c>
      <c r="M1181" s="28"/>
      <c r="N1181" s="28"/>
      <c r="O1181" s="22" t="str">
        <f>HYPERLINK("https://pbs.twimg.com/profile_images/746560865390862336/IEJXKaF3_normal.jpg","View")</f>
        <v>View</v>
      </c>
      <c r="P1181" s="27"/>
    </row>
    <row r="1182">
      <c r="A1182" s="14">
        <v>43031.10365740741</v>
      </c>
      <c r="B1182" s="20" t="str">
        <f>HYPERLINK("https://twitter.com/outthinker83","@outthinker83")</f>
        <v>@outthinker83</v>
      </c>
      <c r="C1182" s="21" t="s">
        <v>3019</v>
      </c>
      <c r="D1182" s="21" t="s">
        <v>42</v>
      </c>
      <c r="E1182" s="22" t="str">
        <f>HYPERLINK("https://twitter.com/outthinker83/status/922394483089580033","922394483089580033")</f>
        <v>922394483089580033</v>
      </c>
      <c r="F1182" s="23" t="s">
        <v>33</v>
      </c>
      <c r="G1182" s="24">
        <v>559.0</v>
      </c>
      <c r="H1182" s="24">
        <v>301.0</v>
      </c>
      <c r="I1182" s="24">
        <v>8501.0</v>
      </c>
      <c r="J1182" s="24">
        <v>0.0</v>
      </c>
      <c r="K1182" s="23" t="s">
        <v>34</v>
      </c>
      <c r="L1182" s="25">
        <v>41985.94336805555</v>
      </c>
      <c r="M1182" s="26" t="s">
        <v>3020</v>
      </c>
      <c r="N1182" s="26" t="s">
        <v>3021</v>
      </c>
      <c r="O1182" s="22" t="str">
        <f>HYPERLINK("https://pbs.twimg.com/profile_images/920956776316510208/3FlWKq2a_normal.jpg","View")</f>
        <v>View</v>
      </c>
      <c r="P1182" s="27"/>
    </row>
    <row r="1183">
      <c r="A1183" s="14">
        <v>43031.10366898148</v>
      </c>
      <c r="B1183" s="20" t="str">
        <f>HYPERLINK("https://twitter.com/DKRoy001","@DKRoy001")</f>
        <v>@DKRoy001</v>
      </c>
      <c r="C1183" s="21" t="s">
        <v>3022</v>
      </c>
      <c r="D1183" s="21" t="s">
        <v>42</v>
      </c>
      <c r="E1183" s="22" t="str">
        <f>HYPERLINK("https://twitter.com/DKRoy001/status/922394486159720448","922394486159720448")</f>
        <v>922394486159720448</v>
      </c>
      <c r="F1183" s="23" t="s">
        <v>43</v>
      </c>
      <c r="G1183" s="24">
        <v>18.0</v>
      </c>
      <c r="H1183" s="24">
        <v>160.0</v>
      </c>
      <c r="I1183" s="24">
        <v>8501.0</v>
      </c>
      <c r="J1183" s="24">
        <v>0.0</v>
      </c>
      <c r="K1183" s="23" t="s">
        <v>34</v>
      </c>
      <c r="L1183" s="25">
        <v>41474.11063657407</v>
      </c>
      <c r="M1183" s="26" t="s">
        <v>3023</v>
      </c>
      <c r="N1183" s="26" t="s">
        <v>3024</v>
      </c>
      <c r="O1183" s="22" t="str">
        <f>HYPERLINK("https://pbs.twimg.com/profile_images/921614329190817792/WGzoeXWq_normal.jpg","View")</f>
        <v>View</v>
      </c>
      <c r="P1183" s="27"/>
    </row>
    <row r="1184">
      <c r="A1184" s="14">
        <v>43031.10371527778</v>
      </c>
      <c r="B1184" s="20" t="str">
        <f>HYPERLINK("https://twitter.com/mequemequeJ","@mequemequeJ")</f>
        <v>@mequemequeJ</v>
      </c>
      <c r="C1184" s="21" t="s">
        <v>3025</v>
      </c>
      <c r="D1184" s="21" t="s">
        <v>2748</v>
      </c>
      <c r="E1184" s="22" t="str">
        <f>HYPERLINK("https://twitter.com/mequemequeJ/status/922394502362476545","922394502362476545")</f>
        <v>922394502362476545</v>
      </c>
      <c r="F1184" s="23" t="s">
        <v>33</v>
      </c>
      <c r="G1184" s="24">
        <v>949.0</v>
      </c>
      <c r="H1184" s="24">
        <v>1165.0</v>
      </c>
      <c r="I1184" s="24">
        <v>15.0</v>
      </c>
      <c r="J1184" s="24">
        <v>0.0</v>
      </c>
      <c r="K1184" s="23" t="s">
        <v>34</v>
      </c>
      <c r="L1184" s="25">
        <v>40233.11966435185</v>
      </c>
      <c r="M1184" s="26" t="s">
        <v>3026</v>
      </c>
      <c r="N1184" s="26" t="s">
        <v>3027</v>
      </c>
      <c r="O1184" s="22" t="str">
        <f>HYPERLINK("https://pbs.twimg.com/profile_images/1203036850/IMG_3637_normal.JPG","View")</f>
        <v>View</v>
      </c>
      <c r="P1184" s="27"/>
    </row>
    <row r="1185">
      <c r="A1185" s="14">
        <v>43031.10371527778</v>
      </c>
      <c r="B1185" s="20" t="str">
        <f>HYPERLINK("https://twitter.com/ishtkam","@ishtkam")</f>
        <v>@ishtkam</v>
      </c>
      <c r="C1185" s="21" t="s">
        <v>3028</v>
      </c>
      <c r="D1185" s="21" t="s">
        <v>3029</v>
      </c>
      <c r="E1185" s="22" t="str">
        <f>HYPERLINK("https://twitter.com/ishtkam/status/922394503843074048","922394503843074048")</f>
        <v>922394503843074048</v>
      </c>
      <c r="F1185" s="23" t="s">
        <v>187</v>
      </c>
      <c r="G1185" s="24">
        <v>1152.0</v>
      </c>
      <c r="H1185" s="24">
        <v>251.0</v>
      </c>
      <c r="I1185" s="24">
        <v>0.0</v>
      </c>
      <c r="J1185" s="24">
        <v>0.0</v>
      </c>
      <c r="K1185" s="23" t="s">
        <v>34</v>
      </c>
      <c r="L1185" s="25">
        <v>40073.077002314814</v>
      </c>
      <c r="M1185" s="26" t="s">
        <v>575</v>
      </c>
      <c r="N1185" s="26" t="s">
        <v>3030</v>
      </c>
      <c r="O1185" s="22" t="str">
        <f>HYPERLINK("https://pbs.twimg.com/profile_images/884365385151074304/cJMA0Zk2_normal.jpg","View")</f>
        <v>View</v>
      </c>
      <c r="P1185" s="27"/>
    </row>
    <row r="1186">
      <c r="A1186" s="14">
        <v>43031.103738425925</v>
      </c>
      <c r="B1186" s="20" t="str">
        <f>HYPERLINK("https://twitter.com/Chi312Chi","@Chi312Chi")</f>
        <v>@Chi312Chi</v>
      </c>
      <c r="C1186" s="21" t="s">
        <v>478</v>
      </c>
      <c r="D1186" s="21" t="s">
        <v>2906</v>
      </c>
      <c r="E1186" s="22" t="str">
        <f>HYPERLINK("https://twitter.com/Chi312Chi/status/922394513641009152","922394513641009152")</f>
        <v>922394513641009152</v>
      </c>
      <c r="F1186" s="23" t="s">
        <v>3031</v>
      </c>
      <c r="G1186" s="24">
        <v>541.0</v>
      </c>
      <c r="H1186" s="24">
        <v>2430.0</v>
      </c>
      <c r="I1186" s="24">
        <v>18.0</v>
      </c>
      <c r="J1186" s="24">
        <v>0.0</v>
      </c>
      <c r="K1186" s="23" t="s">
        <v>34</v>
      </c>
      <c r="L1186" s="25">
        <v>41645.81662037037</v>
      </c>
      <c r="M1186" s="28"/>
      <c r="N1186" s="28"/>
      <c r="O1186" s="22" t="str">
        <f>HYPERLINK("https://pbs.twimg.com/profile_images/918940173085413376/0qeHPlF8_normal.jpg","View")</f>
        <v>View</v>
      </c>
      <c r="P1186" s="27"/>
    </row>
    <row r="1187">
      <c r="A1187" s="14">
        <v>43031.10377314815</v>
      </c>
      <c r="B1187" s="20" t="str">
        <f>HYPERLINK("https://twitter.com/anand290878","@anand290878")</f>
        <v>@anand290878</v>
      </c>
      <c r="C1187" s="21" t="s">
        <v>3032</v>
      </c>
      <c r="D1187" s="21" t="s">
        <v>42</v>
      </c>
      <c r="E1187" s="22" t="str">
        <f>HYPERLINK("https://twitter.com/anand290878/status/922394524198096897","922394524198096897")</f>
        <v>922394524198096897</v>
      </c>
      <c r="F1187" s="23" t="s">
        <v>39</v>
      </c>
      <c r="G1187" s="24">
        <v>89.0</v>
      </c>
      <c r="H1187" s="24">
        <v>509.0</v>
      </c>
      <c r="I1187" s="24">
        <v>8501.0</v>
      </c>
      <c r="J1187" s="24">
        <v>0.0</v>
      </c>
      <c r="K1187" s="23" t="s">
        <v>34</v>
      </c>
      <c r="L1187" s="25">
        <v>40227.40446759259</v>
      </c>
      <c r="M1187" s="26" t="s">
        <v>2132</v>
      </c>
      <c r="N1187" s="26" t="s">
        <v>3033</v>
      </c>
      <c r="O1187" s="22" t="str">
        <f>HYPERLINK("https://pbs.twimg.com/profile_images/920696969428963330/ohBvGsH__normal.jpg","View")</f>
        <v>View</v>
      </c>
      <c r="P1187" s="27"/>
    </row>
    <row r="1188">
      <c r="A1188" s="14">
        <v>43031.10378472222</v>
      </c>
      <c r="B1188" s="20" t="str">
        <f>HYPERLINK("https://twitter.com/Welsh_Ronin","@Welsh_Ronin")</f>
        <v>@Welsh_Ronin</v>
      </c>
      <c r="C1188" s="21" t="s">
        <v>3034</v>
      </c>
      <c r="D1188" s="21" t="s">
        <v>3035</v>
      </c>
      <c r="E1188" s="22" t="str">
        <f>HYPERLINK("https://twitter.com/Welsh_Ronin/status/922394528346189824","922394528346189824")</f>
        <v>922394528346189824</v>
      </c>
      <c r="F1188" s="23" t="s">
        <v>55</v>
      </c>
      <c r="G1188" s="24">
        <v>45.0</v>
      </c>
      <c r="H1188" s="24">
        <v>271.0</v>
      </c>
      <c r="I1188" s="24">
        <v>1.0</v>
      </c>
      <c r="J1188" s="24">
        <v>0.0</v>
      </c>
      <c r="K1188" s="23" t="s">
        <v>34</v>
      </c>
      <c r="L1188" s="25">
        <v>43003.13306712963</v>
      </c>
      <c r="M1188" s="26" t="s">
        <v>3036</v>
      </c>
      <c r="N1188" s="26" t="s">
        <v>3037</v>
      </c>
      <c r="O1188" s="22" t="str">
        <f>HYPERLINK("https://pbs.twimg.com/profile_images/914857711451459589/pJAcCtd__normal.jpg","View")</f>
        <v>View</v>
      </c>
      <c r="P1188" s="27"/>
    </row>
    <row r="1189">
      <c r="A1189" s="14">
        <v>43031.10387731482</v>
      </c>
      <c r="B1189" s="20" t="str">
        <f>HYPERLINK("https://twitter.com/saaymQ","@saaymQ")</f>
        <v>@saaymQ</v>
      </c>
      <c r="C1189" s="21" t="s">
        <v>3038</v>
      </c>
      <c r="D1189" s="21" t="s">
        <v>3039</v>
      </c>
      <c r="E1189" s="22" t="str">
        <f>HYPERLINK("https://twitter.com/saaymQ/status/922394560738754560","922394560738754560")</f>
        <v>922394560738754560</v>
      </c>
      <c r="F1189" s="23" t="s">
        <v>33</v>
      </c>
      <c r="G1189" s="24">
        <v>87.0</v>
      </c>
      <c r="H1189" s="24">
        <v>28.0</v>
      </c>
      <c r="I1189" s="24">
        <v>6.0</v>
      </c>
      <c r="J1189" s="24">
        <v>0.0</v>
      </c>
      <c r="K1189" s="23" t="s">
        <v>34</v>
      </c>
      <c r="L1189" s="25">
        <v>40391.259733796294</v>
      </c>
      <c r="M1189" s="26" t="s">
        <v>1255</v>
      </c>
      <c r="N1189" s="26" t="s">
        <v>3040</v>
      </c>
      <c r="O1189" s="22" t="str">
        <f>HYPERLINK("https://pbs.twimg.com/profile_images/649608447344820224/9a1sfM9o_normal.jpg","View")</f>
        <v>View</v>
      </c>
      <c r="P1189" s="27"/>
    </row>
    <row r="1190">
      <c r="A1190" s="14">
        <v>43031.10392361111</v>
      </c>
      <c r="B1190" s="20" t="str">
        <f>HYPERLINK("https://twitter.com/RajJoshi1968","@RajJoshi1968")</f>
        <v>@RajJoshi1968</v>
      </c>
      <c r="C1190" s="21" t="s">
        <v>3041</v>
      </c>
      <c r="D1190" s="21" t="s">
        <v>42</v>
      </c>
      <c r="E1190" s="22" t="str">
        <f>HYPERLINK("https://twitter.com/RajJoshi1968/status/922394578719608833","922394578719608833")</f>
        <v>922394578719608833</v>
      </c>
      <c r="F1190" s="23" t="s">
        <v>33</v>
      </c>
      <c r="G1190" s="24">
        <v>11.0</v>
      </c>
      <c r="H1190" s="24">
        <v>38.0</v>
      </c>
      <c r="I1190" s="24">
        <v>8501.0</v>
      </c>
      <c r="J1190" s="24">
        <v>0.0</v>
      </c>
      <c r="K1190" s="23" t="s">
        <v>34</v>
      </c>
      <c r="L1190" s="25">
        <v>41910.501655092594</v>
      </c>
      <c r="M1190" s="26" t="s">
        <v>3042</v>
      </c>
      <c r="N1190" s="28"/>
      <c r="O1190" s="22" t="str">
        <f>HYPERLINK("https://pbs.twimg.com/profile_images/755486068938510340/byNc2Yde_normal.jpg","View")</f>
        <v>View</v>
      </c>
      <c r="P1190" s="27"/>
    </row>
    <row r="1191">
      <c r="A1191" s="14">
        <v>43031.10393518519</v>
      </c>
      <c r="B1191" s="20" t="str">
        <f>HYPERLINK("https://twitter.com/WillSmirk4Food","@WillSmirk4Food")</f>
        <v>@WillSmirk4Food</v>
      </c>
      <c r="C1191" s="21" t="s">
        <v>3043</v>
      </c>
      <c r="D1191" s="21" t="s">
        <v>3044</v>
      </c>
      <c r="E1191" s="22" t="str">
        <f>HYPERLINK("https://twitter.com/WillSmirk4Food/status/922394584939941889","922394584939941889")</f>
        <v>922394584939941889</v>
      </c>
      <c r="F1191" s="23" t="s">
        <v>187</v>
      </c>
      <c r="G1191" s="24">
        <v>914.0</v>
      </c>
      <c r="H1191" s="24">
        <v>1214.0</v>
      </c>
      <c r="I1191" s="24">
        <v>0.0</v>
      </c>
      <c r="J1191" s="24">
        <v>0.0</v>
      </c>
      <c r="K1191" s="23" t="s">
        <v>34</v>
      </c>
      <c r="L1191" s="25">
        <v>39812.76075231482</v>
      </c>
      <c r="M1191" s="26" t="s">
        <v>3045</v>
      </c>
      <c r="N1191" s="26" t="s">
        <v>3046</v>
      </c>
      <c r="O1191" s="22" t="str">
        <f>HYPERLINK("https://pbs.twimg.com/profile_images/2518253402/mjg6f34ipqr1mik3a4td_normal.jpeg","View")</f>
        <v>View</v>
      </c>
      <c r="P1191" s="27"/>
    </row>
    <row r="1192">
      <c r="A1192" s="14">
        <v>43031.10395833333</v>
      </c>
      <c r="B1192" s="20" t="str">
        <f>HYPERLINK("https://twitter.com/LibardoBuitrago","@LibardoBuitrago")</f>
        <v>@LibardoBuitrago</v>
      </c>
      <c r="C1192" s="21" t="s">
        <v>3047</v>
      </c>
      <c r="D1192" s="21" t="s">
        <v>2555</v>
      </c>
      <c r="E1192" s="22" t="str">
        <f>HYPERLINK("https://twitter.com/LibardoBuitrago/status/922394589788622848","922394589788622848")</f>
        <v>922394589788622848</v>
      </c>
      <c r="F1192" s="23" t="s">
        <v>55</v>
      </c>
      <c r="G1192" s="24">
        <v>40305.0</v>
      </c>
      <c r="H1192" s="24">
        <v>486.0</v>
      </c>
      <c r="I1192" s="24">
        <v>58.0</v>
      </c>
      <c r="J1192" s="24">
        <v>0.0</v>
      </c>
      <c r="K1192" s="23" t="s">
        <v>34</v>
      </c>
      <c r="L1192" s="25">
        <v>39993.64601851852</v>
      </c>
      <c r="M1192" s="28"/>
      <c r="N1192" s="26" t="s">
        <v>3048</v>
      </c>
      <c r="O1192" s="22" t="str">
        <f>HYPERLINK("https://pbs.twimg.com/profile_images/289313078/Libardo_lehuede_normal.JPG","View")</f>
        <v>View</v>
      </c>
      <c r="P1192" s="27"/>
    </row>
    <row r="1193">
      <c r="A1193" s="14">
        <v>43031.104108796295</v>
      </c>
      <c r="B1193" s="20" t="str">
        <f>HYPERLINK("https://twitter.com/itsyogeshpatel","@itsyogeshpatel")</f>
        <v>@itsyogeshpatel</v>
      </c>
      <c r="C1193" s="21" t="s">
        <v>3049</v>
      </c>
      <c r="D1193" s="21" t="s">
        <v>42</v>
      </c>
      <c r="E1193" s="22" t="str">
        <f>HYPERLINK("https://twitter.com/itsyogeshpatel/status/922394646818447361","922394646818447361")</f>
        <v>922394646818447361</v>
      </c>
      <c r="F1193" s="23" t="s">
        <v>55</v>
      </c>
      <c r="G1193" s="24">
        <v>10.0</v>
      </c>
      <c r="H1193" s="24">
        <v>272.0</v>
      </c>
      <c r="I1193" s="24">
        <v>8501.0</v>
      </c>
      <c r="J1193" s="24">
        <v>0.0</v>
      </c>
      <c r="K1193" s="23" t="s">
        <v>34</v>
      </c>
      <c r="L1193" s="25">
        <v>42833.128020833334</v>
      </c>
      <c r="M1193" s="28"/>
      <c r="N1193" s="28"/>
      <c r="O1193" s="22" t="str">
        <f>HYPERLINK("https://abs.twimg.com/sticky/default_profile_images/default_profile_normal.png","View")</f>
        <v>View</v>
      </c>
      <c r="P1193" s="27"/>
    </row>
    <row r="1194">
      <c r="A1194" s="14">
        <v>43031.10422453703</v>
      </c>
      <c r="B1194" s="20" t="str">
        <f>HYPERLINK("https://twitter.com/bizdailies","@bizdailies")</f>
        <v>@bizdailies</v>
      </c>
      <c r="C1194" s="21" t="s">
        <v>3050</v>
      </c>
      <c r="D1194" s="21" t="s">
        <v>3051</v>
      </c>
      <c r="E1194" s="22" t="str">
        <f>HYPERLINK("https://twitter.com/bizdailies/status/922394686119075840","922394686119075840")</f>
        <v>922394686119075840</v>
      </c>
      <c r="F1194" s="23" t="s">
        <v>3050</v>
      </c>
      <c r="G1194" s="24">
        <v>2514.0</v>
      </c>
      <c r="H1194" s="24">
        <v>1174.0</v>
      </c>
      <c r="I1194" s="24">
        <v>0.0</v>
      </c>
      <c r="J1194" s="24">
        <v>0.0</v>
      </c>
      <c r="K1194" s="23" t="s">
        <v>34</v>
      </c>
      <c r="L1194" s="25">
        <v>41996.86956018519</v>
      </c>
      <c r="M1194" s="28"/>
      <c r="N1194" s="26" t="s">
        <v>3052</v>
      </c>
      <c r="O1194" s="22" t="str">
        <f>HYPERLINK("https://pbs.twimg.com/profile_images/547616103069782016/4M4P1R4i_normal.png","View")</f>
        <v>View</v>
      </c>
      <c r="P1194" s="27"/>
    </row>
    <row r="1195">
      <c r="A1195" s="14">
        <v>43031.10422453703</v>
      </c>
      <c r="B1195" s="20" t="str">
        <f>HYPERLINK("https://twitter.com/RaviNamori","@RaviNamori")</f>
        <v>@RaviNamori</v>
      </c>
      <c r="C1195" s="21" t="s">
        <v>3053</v>
      </c>
      <c r="D1195" s="21" t="s">
        <v>42</v>
      </c>
      <c r="E1195" s="22" t="str">
        <f>HYPERLINK("https://twitter.com/RaviNamori/status/922394689306738688","922394689306738688")</f>
        <v>922394689306738688</v>
      </c>
      <c r="F1195" s="23" t="s">
        <v>33</v>
      </c>
      <c r="G1195" s="24">
        <v>954.0</v>
      </c>
      <c r="H1195" s="24">
        <v>282.0</v>
      </c>
      <c r="I1195" s="24">
        <v>8501.0</v>
      </c>
      <c r="J1195" s="24">
        <v>0.0</v>
      </c>
      <c r="K1195" s="23" t="s">
        <v>34</v>
      </c>
      <c r="L1195" s="25">
        <v>42073.03643518519</v>
      </c>
      <c r="M1195" s="28"/>
      <c r="N1195" s="26" t="s">
        <v>3054</v>
      </c>
      <c r="O1195" s="22" t="str">
        <f>HYPERLINK("https://pbs.twimg.com/profile_images/868339219445551105/tXzckkzn_normal.jpg","View")</f>
        <v>View</v>
      </c>
      <c r="P1195" s="27"/>
    </row>
    <row r="1196">
      <c r="A1196" s="14">
        <v>43031.10427083333</v>
      </c>
      <c r="B1196" s="20" t="str">
        <f>HYPERLINK("https://twitter.com/mnshzz","@mnshzz")</f>
        <v>@mnshzz</v>
      </c>
      <c r="C1196" s="21" t="s">
        <v>3055</v>
      </c>
      <c r="D1196" s="21" t="s">
        <v>42</v>
      </c>
      <c r="E1196" s="22" t="str">
        <f>HYPERLINK("https://twitter.com/mnshzz/status/922394702548054017","922394702548054017")</f>
        <v>922394702548054017</v>
      </c>
      <c r="F1196" s="23" t="s">
        <v>2289</v>
      </c>
      <c r="G1196" s="24">
        <v>3469.0</v>
      </c>
      <c r="H1196" s="24">
        <v>759.0</v>
      </c>
      <c r="I1196" s="24">
        <v>8501.0</v>
      </c>
      <c r="J1196" s="24">
        <v>0.0</v>
      </c>
      <c r="K1196" s="23" t="s">
        <v>34</v>
      </c>
      <c r="L1196" s="25">
        <v>39858.144421296296</v>
      </c>
      <c r="M1196" s="28"/>
      <c r="N1196" s="26" t="s">
        <v>3056</v>
      </c>
      <c r="O1196" s="22" t="str">
        <f>HYPERLINK("https://pbs.twimg.com/profile_images/841487626796388352/6jY8bKhr_normal.jpg","View")</f>
        <v>View</v>
      </c>
      <c r="P1196" s="27"/>
    </row>
    <row r="1197">
      <c r="A1197" s="14">
        <v>43031.10431712963</v>
      </c>
      <c r="B1197" s="20" t="str">
        <f>HYPERLINK("https://twitter.com/9NewsAUS","@9NewsAUS")</f>
        <v>@9NewsAUS</v>
      </c>
      <c r="C1197" s="21" t="s">
        <v>3057</v>
      </c>
      <c r="D1197" s="21" t="s">
        <v>3058</v>
      </c>
      <c r="E1197" s="22" t="str">
        <f>HYPERLINK("https://twitter.com/9NewsAUS/status/922394722349539328","922394722349539328")</f>
        <v>922394722349539328</v>
      </c>
      <c r="F1197" s="23" t="s">
        <v>427</v>
      </c>
      <c r="G1197" s="24">
        <v>491022.0</v>
      </c>
      <c r="H1197" s="24">
        <v>193.0</v>
      </c>
      <c r="I1197" s="24">
        <v>13.0</v>
      </c>
      <c r="J1197" s="24">
        <v>18.0</v>
      </c>
      <c r="K1197" s="23" t="s">
        <v>34</v>
      </c>
      <c r="L1197" s="25">
        <v>39877.61877314815</v>
      </c>
      <c r="M1197" s="26" t="s">
        <v>3011</v>
      </c>
      <c r="N1197" s="26" t="s">
        <v>3059</v>
      </c>
      <c r="O1197" s="22" t="str">
        <f>HYPERLINK("https://pbs.twimg.com/profile_images/905698959787560960/iRyj2tU-_normal.jpg","View")</f>
        <v>View</v>
      </c>
      <c r="P1197" s="27"/>
    </row>
    <row r="1198">
      <c r="A1198" s="14">
        <v>43031.10444444444</v>
      </c>
      <c r="B1198" s="20" t="str">
        <f>HYPERLINK("https://twitter.com/salqahtani1111","@salqahtani1111")</f>
        <v>@salqahtani1111</v>
      </c>
      <c r="C1198" s="21" t="s">
        <v>2985</v>
      </c>
      <c r="D1198" s="21" t="s">
        <v>3060</v>
      </c>
      <c r="E1198" s="22" t="str">
        <f>HYPERLINK("https://twitter.com/salqahtani1111/status/922394765814939648","922394765814939648")</f>
        <v>922394765814939648</v>
      </c>
      <c r="F1198" s="23" t="s">
        <v>187</v>
      </c>
      <c r="G1198" s="24">
        <v>78.0</v>
      </c>
      <c r="H1198" s="24">
        <v>350.0</v>
      </c>
      <c r="I1198" s="24">
        <v>0.0</v>
      </c>
      <c r="J1198" s="24">
        <v>0.0</v>
      </c>
      <c r="K1198" s="23" t="s">
        <v>34</v>
      </c>
      <c r="L1198" s="25">
        <v>42389.41868055555</v>
      </c>
      <c r="M1198" s="26" t="s">
        <v>2987</v>
      </c>
      <c r="N1198" s="32" t="s">
        <v>2988</v>
      </c>
      <c r="O1198" s="22" t="str">
        <f>HYPERLINK("https://pbs.twimg.com/profile_images/862802411659952129/c6waLNgv_normal.jpg","View")</f>
        <v>View</v>
      </c>
      <c r="P1198" s="27"/>
    </row>
    <row r="1199">
      <c r="A1199" s="14">
        <v>43031.10445601852</v>
      </c>
      <c r="B1199" s="20" t="str">
        <f>HYPERLINK("https://twitter.com/irighty007","@irighty007")</f>
        <v>@irighty007</v>
      </c>
      <c r="C1199" s="21" t="s">
        <v>3061</v>
      </c>
      <c r="D1199" s="21" t="s">
        <v>42</v>
      </c>
      <c r="E1199" s="22" t="str">
        <f>HYPERLINK("https://twitter.com/irighty007/status/922394770361716736","922394770361716736")</f>
        <v>922394770361716736</v>
      </c>
      <c r="F1199" s="23" t="s">
        <v>39</v>
      </c>
      <c r="G1199" s="24">
        <v>36.0</v>
      </c>
      <c r="H1199" s="24">
        <v>88.0</v>
      </c>
      <c r="I1199" s="24">
        <v>8501.0</v>
      </c>
      <c r="J1199" s="24">
        <v>0.0</v>
      </c>
      <c r="K1199" s="23" t="s">
        <v>34</v>
      </c>
      <c r="L1199" s="25">
        <v>42430.36262731481</v>
      </c>
      <c r="M1199" s="28"/>
      <c r="N1199" s="26" t="s">
        <v>3062</v>
      </c>
      <c r="O1199" s="22" t="str">
        <f>HYPERLINK("https://pbs.twimg.com/profile_images/743170204016992256/_l-vBv1o_normal.jpg","View")</f>
        <v>View</v>
      </c>
      <c r="P1199" s="27"/>
    </row>
    <row r="1200">
      <c r="A1200" s="14">
        <v>43031.10445601852</v>
      </c>
      <c r="B1200" s="20" t="str">
        <f>HYPERLINK("https://twitter.com/_juddu","@_juddu")</f>
        <v>@_juddu</v>
      </c>
      <c r="C1200" s="21" t="s">
        <v>3063</v>
      </c>
      <c r="D1200" s="21" t="s">
        <v>42</v>
      </c>
      <c r="E1200" s="22" t="str">
        <f>HYPERLINK("https://twitter.com/_juddu/status/922394771490070529","922394771490070529")</f>
        <v>922394771490070529</v>
      </c>
      <c r="F1200" s="23" t="s">
        <v>39</v>
      </c>
      <c r="G1200" s="24">
        <v>43.0</v>
      </c>
      <c r="H1200" s="24">
        <v>163.0</v>
      </c>
      <c r="I1200" s="24">
        <v>8501.0</v>
      </c>
      <c r="J1200" s="24">
        <v>0.0</v>
      </c>
      <c r="K1200" s="23" t="s">
        <v>34</v>
      </c>
      <c r="L1200" s="25">
        <v>40949.25840277778</v>
      </c>
      <c r="M1200" s="26" t="s">
        <v>853</v>
      </c>
      <c r="N1200" s="26" t="s">
        <v>3064</v>
      </c>
      <c r="O1200" s="22" t="str">
        <f>HYPERLINK("https://pbs.twimg.com/profile_images/894465938459840512/L6wsCLFF_normal.jpg","View")</f>
        <v>View</v>
      </c>
      <c r="P1200" s="27"/>
    </row>
    <row r="1201">
      <c r="A1201" s="14">
        <v>43031.104467592595</v>
      </c>
      <c r="B1201" s="20" t="str">
        <f>HYPERLINK("https://twitter.com/sntmanju","@sntmanju")</f>
        <v>@sntmanju</v>
      </c>
      <c r="C1201" s="21" t="s">
        <v>3065</v>
      </c>
      <c r="D1201" s="21" t="s">
        <v>42</v>
      </c>
      <c r="E1201" s="22" t="str">
        <f>HYPERLINK("https://twitter.com/sntmanju/status/922394777882050560","922394777882050560")</f>
        <v>922394777882050560</v>
      </c>
      <c r="F1201" s="23" t="s">
        <v>55</v>
      </c>
      <c r="G1201" s="24">
        <v>2079.0</v>
      </c>
      <c r="H1201" s="24">
        <v>2285.0</v>
      </c>
      <c r="I1201" s="24">
        <v>8501.0</v>
      </c>
      <c r="J1201" s="24">
        <v>0.0</v>
      </c>
      <c r="K1201" s="23" t="s">
        <v>34</v>
      </c>
      <c r="L1201" s="25">
        <v>40236.45958333333</v>
      </c>
      <c r="M1201" s="26" t="s">
        <v>3066</v>
      </c>
      <c r="N1201" s="28"/>
      <c r="O1201" s="22" t="str">
        <f>HYPERLINK("https://pbs.twimg.com/profile_images/906574088461619202/mjhLUT9v_normal.jpg","View")</f>
        <v>View</v>
      </c>
      <c r="P1201" s="27"/>
    </row>
    <row r="1202">
      <c r="A1202" s="14">
        <v>43031.104525462964</v>
      </c>
      <c r="B1202" s="20" t="str">
        <f>HYPERLINK("https://twitter.com/London_Area","@London_Area")</f>
        <v>@London_Area</v>
      </c>
      <c r="C1202" s="21" t="s">
        <v>3067</v>
      </c>
      <c r="D1202" s="21" t="s">
        <v>3068</v>
      </c>
      <c r="E1202" s="22" t="str">
        <f>HYPERLINK("https://twitter.com/London_Area/status/922394798841004032","922394798841004032")</f>
        <v>922394798841004032</v>
      </c>
      <c r="F1202" s="23" t="s">
        <v>3069</v>
      </c>
      <c r="G1202" s="24">
        <v>583.0</v>
      </c>
      <c r="H1202" s="24">
        <v>510.0</v>
      </c>
      <c r="I1202" s="24">
        <v>0.0</v>
      </c>
      <c r="J1202" s="24">
        <v>0.0</v>
      </c>
      <c r="K1202" s="23" t="s">
        <v>34</v>
      </c>
      <c r="L1202" s="25">
        <v>41794.17534722222</v>
      </c>
      <c r="M1202" s="26" t="s">
        <v>334</v>
      </c>
      <c r="N1202" s="26" t="s">
        <v>3070</v>
      </c>
      <c r="O1202" s="22" t="str">
        <f>HYPERLINK("https://pbs.twimg.com/profile_images/474238641699840000/alr3sDSO_normal.jpeg","View")</f>
        <v>View</v>
      </c>
      <c r="P1202" s="27"/>
    </row>
    <row r="1203">
      <c r="A1203" s="14">
        <v>43031.1045949074</v>
      </c>
      <c r="B1203" s="20" t="str">
        <f>HYPERLINK("https://twitter.com/PolticsNewz","@PolticsNewz")</f>
        <v>@PolticsNewz</v>
      </c>
      <c r="C1203" s="21" t="s">
        <v>3071</v>
      </c>
      <c r="D1203" s="21" t="s">
        <v>3072</v>
      </c>
      <c r="E1203" s="22" t="str">
        <f>HYPERLINK("https://twitter.com/PolticsNewz/status/922394821347639297","922394821347639297")</f>
        <v>922394821347639297</v>
      </c>
      <c r="F1203" s="23" t="s">
        <v>3073</v>
      </c>
      <c r="G1203" s="24">
        <v>26181.0</v>
      </c>
      <c r="H1203" s="24">
        <v>24183.0</v>
      </c>
      <c r="I1203" s="24">
        <v>0.0</v>
      </c>
      <c r="J1203" s="24">
        <v>0.0</v>
      </c>
      <c r="K1203" s="23" t="s">
        <v>34</v>
      </c>
      <c r="L1203" s="25">
        <v>42509.154756944445</v>
      </c>
      <c r="M1203" s="26" t="s">
        <v>68</v>
      </c>
      <c r="N1203" s="26" t="s">
        <v>3074</v>
      </c>
      <c r="O1203" s="22" t="str">
        <f>HYPERLINK("https://pbs.twimg.com/profile_images/733247246314131456/M6u2U4GO_normal.jpg","View")</f>
        <v>View</v>
      </c>
      <c r="P1203" s="27"/>
    </row>
    <row r="1204">
      <c r="A1204" s="14">
        <v>43031.10461805556</v>
      </c>
      <c r="B1204" s="20" t="str">
        <f>HYPERLINK("https://twitter.com/ANCALERTS","@ANCALERTS")</f>
        <v>@ANCALERTS</v>
      </c>
      <c r="C1204" s="21" t="s">
        <v>3075</v>
      </c>
      <c r="D1204" s="21" t="s">
        <v>3076</v>
      </c>
      <c r="E1204" s="22" t="str">
        <f>HYPERLINK("https://twitter.com/ANCALERTS/status/922394830507974656","922394830507974656")</f>
        <v>922394830507974656</v>
      </c>
      <c r="F1204" s="23" t="s">
        <v>769</v>
      </c>
      <c r="G1204" s="24">
        <v>4447505.0</v>
      </c>
      <c r="H1204" s="24">
        <v>780.0</v>
      </c>
      <c r="I1204" s="24">
        <v>3.0</v>
      </c>
      <c r="J1204" s="24">
        <v>29.0</v>
      </c>
      <c r="K1204" s="23" t="s">
        <v>34</v>
      </c>
      <c r="L1204" s="25">
        <v>39968.60166666667</v>
      </c>
      <c r="M1204" s="26" t="s">
        <v>265</v>
      </c>
      <c r="N1204" s="26" t="s">
        <v>3077</v>
      </c>
      <c r="O1204" s="22" t="str">
        <f>HYPERLINK("https://pbs.twimg.com/profile_images/658664801204224000/c8YAaKM2_normal.jpg","View")</f>
        <v>View</v>
      </c>
      <c r="P1204" s="27"/>
    </row>
    <row r="1205">
      <c r="A1205" s="14">
        <v>43031.1046875</v>
      </c>
      <c r="B1205" s="20" t="str">
        <f>HYPERLINK("https://twitter.com/RielRiderPh","@RielRiderPh")</f>
        <v>@RielRiderPh</v>
      </c>
      <c r="C1205" s="21" t="s">
        <v>3078</v>
      </c>
      <c r="D1205" s="21" t="s">
        <v>3079</v>
      </c>
      <c r="E1205" s="22" t="str">
        <f>HYPERLINK("https://twitter.com/RielRiderPh/status/922394855082479616","922394855082479616")</f>
        <v>922394855082479616</v>
      </c>
      <c r="F1205" s="23" t="s">
        <v>187</v>
      </c>
      <c r="G1205" s="24">
        <v>14.0</v>
      </c>
      <c r="H1205" s="24">
        <v>30.0</v>
      </c>
      <c r="I1205" s="24">
        <v>0.0</v>
      </c>
      <c r="J1205" s="24">
        <v>0.0</v>
      </c>
      <c r="K1205" s="23" t="s">
        <v>34</v>
      </c>
      <c r="L1205" s="25">
        <v>42744.010150462964</v>
      </c>
      <c r="M1205" s="28"/>
      <c r="N1205" s="28"/>
      <c r="O1205" s="22" t="str">
        <f>HYPERLINK("https://abs.twimg.com/sticky/default_profile_images/default_profile_normal.png","View")</f>
        <v>View</v>
      </c>
      <c r="P1205" s="27"/>
    </row>
    <row r="1206">
      <c r="A1206" s="14">
        <v>43031.104733796295</v>
      </c>
      <c r="B1206" s="20" t="str">
        <f>HYPERLINK("https://twitter.com/puttnpdx","@puttnpdx")</f>
        <v>@puttnpdx</v>
      </c>
      <c r="C1206" s="21" t="s">
        <v>1895</v>
      </c>
      <c r="D1206" s="21" t="s">
        <v>3080</v>
      </c>
      <c r="E1206" s="22" t="str">
        <f>HYPERLINK("https://twitter.com/puttnpdx/status/922394871213842432","922394871213842432")</f>
        <v>922394871213842432</v>
      </c>
      <c r="F1206" s="23" t="s">
        <v>427</v>
      </c>
      <c r="G1206" s="24">
        <v>73074.0</v>
      </c>
      <c r="H1206" s="24">
        <v>11478.0</v>
      </c>
      <c r="I1206" s="24">
        <v>0.0</v>
      </c>
      <c r="J1206" s="24">
        <v>0.0</v>
      </c>
      <c r="K1206" s="23" t="s">
        <v>34</v>
      </c>
      <c r="L1206" s="25">
        <v>39864.50546296296</v>
      </c>
      <c r="M1206" s="26" t="s">
        <v>1897</v>
      </c>
      <c r="N1206" s="28"/>
      <c r="O1206" s="22" t="str">
        <f>HYPERLINK("https://pbs.twimg.com/profile_images/838351544/IMG00145-20100404-1140_normal.jpg","View")</f>
        <v>View</v>
      </c>
      <c r="P1206" s="27"/>
    </row>
    <row r="1207">
      <c r="A1207" s="14">
        <v>43031.104733796295</v>
      </c>
      <c r="B1207" s="20" t="str">
        <f>HYPERLINK("https://twitter.com/BabajanJansb1","@BabajanJansb1")</f>
        <v>@BabajanJansb1</v>
      </c>
      <c r="C1207" s="21" t="s">
        <v>3081</v>
      </c>
      <c r="D1207" s="21" t="s">
        <v>42</v>
      </c>
      <c r="E1207" s="22" t="str">
        <f>HYPERLINK("https://twitter.com/BabajanJansb1/status/922394871712833536","922394871712833536")</f>
        <v>922394871712833536</v>
      </c>
      <c r="F1207" s="23" t="s">
        <v>33</v>
      </c>
      <c r="G1207" s="24">
        <v>298.0</v>
      </c>
      <c r="H1207" s="24">
        <v>605.0</v>
      </c>
      <c r="I1207" s="24">
        <v>8501.0</v>
      </c>
      <c r="J1207" s="24">
        <v>0.0</v>
      </c>
      <c r="K1207" s="23" t="s">
        <v>34</v>
      </c>
      <c r="L1207" s="25">
        <v>42211.03320601852</v>
      </c>
      <c r="M1207" s="26" t="s">
        <v>3082</v>
      </c>
      <c r="N1207" s="26" t="s">
        <v>3083</v>
      </c>
      <c r="O1207" s="22" t="str">
        <f>HYPERLINK("https://pbs.twimg.com/profile_images/919959216491716608/1enJJieR_normal.jpg","View")</f>
        <v>View</v>
      </c>
      <c r="P1207" s="27"/>
    </row>
    <row r="1208">
      <c r="A1208" s="14">
        <v>43031.104733796295</v>
      </c>
      <c r="B1208" s="20" t="str">
        <f>HYPERLINK("https://twitter.com/sphasiaone","@sphasiaone")</f>
        <v>@sphasiaone</v>
      </c>
      <c r="C1208" s="21" t="s">
        <v>3084</v>
      </c>
      <c r="D1208" s="21" t="s">
        <v>3085</v>
      </c>
      <c r="E1208" s="22" t="str">
        <f>HYPERLINK("https://twitter.com/sphasiaone/status/922394872283258880","922394872283258880")</f>
        <v>922394872283258880</v>
      </c>
      <c r="F1208" s="23" t="s">
        <v>3086</v>
      </c>
      <c r="G1208" s="24">
        <v>29450.0</v>
      </c>
      <c r="H1208" s="24">
        <v>91.0</v>
      </c>
      <c r="I1208" s="24">
        <v>1.0</v>
      </c>
      <c r="J1208" s="24">
        <v>0.0</v>
      </c>
      <c r="K1208" s="23" t="s">
        <v>34</v>
      </c>
      <c r="L1208" s="25">
        <v>39827.95533564815</v>
      </c>
      <c r="M1208" s="26" t="s">
        <v>1224</v>
      </c>
      <c r="N1208" s="26" t="s">
        <v>3087</v>
      </c>
      <c r="O1208" s="22" t="str">
        <f>HYPERLINK("https://pbs.twimg.com/profile_images/859615880774377472/CllFzXRz_normal.jpg","View")</f>
        <v>View</v>
      </c>
      <c r="P1208" s="27"/>
    </row>
    <row r="1209">
      <c r="A1209" s="14">
        <v>43031.10479166667</v>
      </c>
      <c r="B1209" s="20" t="str">
        <f>HYPERLINK("https://twitter.com/PMunozLorite","@PMunozLorite")</f>
        <v>@PMunozLorite</v>
      </c>
      <c r="C1209" s="21" t="s">
        <v>3088</v>
      </c>
      <c r="D1209" s="21" t="s">
        <v>3089</v>
      </c>
      <c r="E1209" s="22" t="str">
        <f>HYPERLINK("https://twitter.com/PMunozLorite/status/922394894999654400","922394894999654400")</f>
        <v>922394894999654400</v>
      </c>
      <c r="F1209" s="23" t="s">
        <v>427</v>
      </c>
      <c r="G1209" s="24">
        <v>2682.0</v>
      </c>
      <c r="H1209" s="24">
        <v>4949.0</v>
      </c>
      <c r="I1209" s="24">
        <v>0.0</v>
      </c>
      <c r="J1209" s="24">
        <v>0.0</v>
      </c>
      <c r="K1209" s="23" t="s">
        <v>34</v>
      </c>
      <c r="L1209" s="25">
        <v>39769.58929398148</v>
      </c>
      <c r="M1209" s="26" t="s">
        <v>3090</v>
      </c>
      <c r="N1209" s="26" t="s">
        <v>3091</v>
      </c>
      <c r="O1209" s="22" t="str">
        <f>HYPERLINK("https://pbs.twimg.com/profile_images/574247662901403648/LzeOfYmt_normal.jpeg","View")</f>
        <v>View</v>
      </c>
      <c r="P1209" s="27"/>
    </row>
    <row r="1210">
      <c r="A1210" s="14">
        <v>43031.104942129634</v>
      </c>
      <c r="B1210" s="20" t="str">
        <f>HYPERLINK("https://twitter.com/SondurSudhakar","@SondurSudhakar")</f>
        <v>@SondurSudhakar</v>
      </c>
      <c r="C1210" s="21" t="s">
        <v>3092</v>
      </c>
      <c r="D1210" s="21" t="s">
        <v>430</v>
      </c>
      <c r="E1210" s="22" t="str">
        <f>HYPERLINK("https://twitter.com/SondurSudhakar/status/922394948938420225","922394948938420225")</f>
        <v>922394948938420225</v>
      </c>
      <c r="F1210" s="23" t="s">
        <v>33</v>
      </c>
      <c r="G1210" s="24">
        <v>1350.0</v>
      </c>
      <c r="H1210" s="24">
        <v>5000.0</v>
      </c>
      <c r="I1210" s="24">
        <v>62.0</v>
      </c>
      <c r="J1210" s="24">
        <v>0.0</v>
      </c>
      <c r="K1210" s="23" t="s">
        <v>34</v>
      </c>
      <c r="L1210" s="25">
        <v>40948.92592592593</v>
      </c>
      <c r="M1210" s="26" t="s">
        <v>3093</v>
      </c>
      <c r="N1210" s="28"/>
      <c r="O1210" s="22" t="str">
        <f>HYPERLINK("https://pbs.twimg.com/profile_images/829882530794991617/YXc0Fd9i_normal.jpg","View")</f>
        <v>View</v>
      </c>
      <c r="P1210" s="27"/>
    </row>
    <row r="1211">
      <c r="A1211" s="14">
        <v>43031.1049537037</v>
      </c>
      <c r="B1211" s="20" t="str">
        <f>HYPERLINK("https://twitter.com/ChrobotK0025","@ChrobotK0025")</f>
        <v>@ChrobotK0025</v>
      </c>
      <c r="C1211" s="21" t="s">
        <v>3094</v>
      </c>
      <c r="D1211" s="21" t="s">
        <v>99</v>
      </c>
      <c r="E1211" s="22" t="str">
        <f>HYPERLINK("https://twitter.com/ChrobotK0025/status/922394952793051136","922394952793051136")</f>
        <v>922394952793051136</v>
      </c>
      <c r="F1211" s="23" t="s">
        <v>55</v>
      </c>
      <c r="G1211" s="24">
        <v>17.0</v>
      </c>
      <c r="H1211" s="24">
        <v>139.0</v>
      </c>
      <c r="I1211" s="24">
        <v>72.0</v>
      </c>
      <c r="J1211" s="24">
        <v>0.0</v>
      </c>
      <c r="K1211" s="23" t="s">
        <v>34</v>
      </c>
      <c r="L1211" s="25">
        <v>42452.181967592594</v>
      </c>
      <c r="M1211" s="26" t="s">
        <v>3095</v>
      </c>
      <c r="N1211" s="26" t="s">
        <v>3096</v>
      </c>
      <c r="O1211" s="22" t="str">
        <f>HYPERLINK("https://abs.twimg.com/sticky/default_profile_images/default_profile_normal.png","View")</f>
        <v>View</v>
      </c>
      <c r="P1211" s="27"/>
    </row>
    <row r="1212">
      <c r="A1212" s="14">
        <v>43031.104999999996</v>
      </c>
      <c r="B1212" s="20" t="str">
        <f>HYPERLINK("https://twitter.com/RahulYa11882496","@RahulYa11882496")</f>
        <v>@RahulYa11882496</v>
      </c>
      <c r="C1212" s="21" t="s">
        <v>3097</v>
      </c>
      <c r="D1212" s="21" t="s">
        <v>42</v>
      </c>
      <c r="E1212" s="22" t="str">
        <f>HYPERLINK("https://twitter.com/RahulYa11882496/status/922394970291691520","922394970291691520")</f>
        <v>922394970291691520</v>
      </c>
      <c r="F1212" s="23" t="s">
        <v>39</v>
      </c>
      <c r="G1212" s="24">
        <v>4.0</v>
      </c>
      <c r="H1212" s="24">
        <v>26.0</v>
      </c>
      <c r="I1212" s="24">
        <v>8501.0</v>
      </c>
      <c r="J1212" s="24">
        <v>0.0</v>
      </c>
      <c r="K1212" s="23" t="s">
        <v>34</v>
      </c>
      <c r="L1212" s="25">
        <v>42832.99165509259</v>
      </c>
      <c r="M1212" s="28"/>
      <c r="N1212" s="28"/>
      <c r="O1212" s="22" t="str">
        <f>HYPERLINK("https://pbs.twimg.com/profile_images/895551987541987328/SI0CR9_M_normal.jpg","View")</f>
        <v>View</v>
      </c>
      <c r="P1212" s="27"/>
    </row>
    <row r="1213">
      <c r="A1213" s="14">
        <v>43031.104999999996</v>
      </c>
      <c r="B1213" s="20" t="str">
        <f>HYPERLINK("https://twitter.com/NottsPolitics","@NottsPolitics")</f>
        <v>@NottsPolitics</v>
      </c>
      <c r="C1213" s="21" t="s">
        <v>3098</v>
      </c>
      <c r="D1213" s="21" t="s">
        <v>3099</v>
      </c>
      <c r="E1213" s="22" t="str">
        <f>HYPERLINK("https://twitter.com/NottsPolitics/status/922394970627158016","922394970627158016")</f>
        <v>922394970627158016</v>
      </c>
      <c r="F1213" s="23" t="s">
        <v>55</v>
      </c>
      <c r="G1213" s="24">
        <v>7045.0</v>
      </c>
      <c r="H1213" s="24">
        <v>2699.0</v>
      </c>
      <c r="I1213" s="24">
        <v>2.0</v>
      </c>
      <c r="J1213" s="24">
        <v>0.0</v>
      </c>
      <c r="K1213" s="23" t="s">
        <v>34</v>
      </c>
      <c r="L1213" s="25">
        <v>40480.073958333334</v>
      </c>
      <c r="M1213" s="26" t="s">
        <v>771</v>
      </c>
      <c r="N1213" s="26" t="s">
        <v>3100</v>
      </c>
      <c r="O1213" s="22" t="str">
        <f>HYPERLINK("https://pbs.twimg.com/profile_images/864467054622941184/yZOlCeyd_normal.jpg","View")</f>
        <v>View</v>
      </c>
      <c r="P1213" s="27"/>
    </row>
    <row r="1214">
      <c r="A1214" s="14">
        <v>43031.10501157407</v>
      </c>
      <c r="B1214" s="20" t="str">
        <f>HYPERLINK("https://twitter.com/kirandayal","@kirandayal")</f>
        <v>@kirandayal</v>
      </c>
      <c r="C1214" s="21" t="s">
        <v>3101</v>
      </c>
      <c r="D1214" s="21" t="s">
        <v>42</v>
      </c>
      <c r="E1214" s="22" t="str">
        <f>HYPERLINK("https://twitter.com/kirandayal/status/922394974531895296","922394974531895296")</f>
        <v>922394974531895296</v>
      </c>
      <c r="F1214" s="23" t="s">
        <v>33</v>
      </c>
      <c r="G1214" s="24">
        <v>124.0</v>
      </c>
      <c r="H1214" s="24">
        <v>456.0</v>
      </c>
      <c r="I1214" s="24">
        <v>8501.0</v>
      </c>
      <c r="J1214" s="24">
        <v>0.0</v>
      </c>
      <c r="K1214" s="23" t="s">
        <v>34</v>
      </c>
      <c r="L1214" s="25">
        <v>40225.57157407407</v>
      </c>
      <c r="M1214" s="26" t="s">
        <v>423</v>
      </c>
      <c r="N1214" s="26" t="s">
        <v>3102</v>
      </c>
      <c r="O1214" s="22" t="str">
        <f>HYPERLINK("https://pbs.twimg.com/profile_images/922819114212638720/UfugS2BF_normal.jpg","View")</f>
        <v>View</v>
      </c>
      <c r="P1214" s="27"/>
    </row>
    <row r="1215">
      <c r="A1215" s="14">
        <v>43031.10506944444</v>
      </c>
      <c r="B1215" s="20" t="str">
        <f>HYPERLINK("https://twitter.com/rethna_jegan","@rethna_jegan")</f>
        <v>@rethna_jegan</v>
      </c>
      <c r="C1215" s="21" t="s">
        <v>3103</v>
      </c>
      <c r="D1215" s="21" t="s">
        <v>42</v>
      </c>
      <c r="E1215" s="22" t="str">
        <f>HYPERLINK("https://twitter.com/rethna_jegan/status/922394992416407553","922394992416407553")</f>
        <v>922394992416407553</v>
      </c>
      <c r="F1215" s="23" t="s">
        <v>39</v>
      </c>
      <c r="G1215" s="24">
        <v>146.0</v>
      </c>
      <c r="H1215" s="24">
        <v>447.0</v>
      </c>
      <c r="I1215" s="24">
        <v>8501.0</v>
      </c>
      <c r="J1215" s="24">
        <v>0.0</v>
      </c>
      <c r="K1215" s="23" t="s">
        <v>34</v>
      </c>
      <c r="L1215" s="25">
        <v>40787.41800925926</v>
      </c>
      <c r="M1215" s="26" t="s">
        <v>3104</v>
      </c>
      <c r="N1215" s="26" t="s">
        <v>3105</v>
      </c>
      <c r="O1215" s="22" t="str">
        <f>HYPERLINK("https://pbs.twimg.com/profile_images/663563583205212160/XzJ4QvM-_normal.jpg","View")</f>
        <v>View</v>
      </c>
      <c r="P1215" s="27"/>
    </row>
    <row r="1216">
      <c r="A1216" s="14">
        <v>43031.10512731482</v>
      </c>
      <c r="B1216" s="20" t="str">
        <f>HYPERLINK("https://twitter.com/lovejapan_2020","@lovejapan_2020")</f>
        <v>@lovejapan_2020</v>
      </c>
      <c r="C1216" s="21" t="s">
        <v>3106</v>
      </c>
      <c r="D1216" s="21" t="s">
        <v>42</v>
      </c>
      <c r="E1216" s="22" t="str">
        <f>HYPERLINK("https://twitter.com/lovejapan_2020/status/922395015443185664","922395015443185664")</f>
        <v>922395015443185664</v>
      </c>
      <c r="F1216" s="23" t="s">
        <v>33</v>
      </c>
      <c r="G1216" s="24">
        <v>3170.0</v>
      </c>
      <c r="H1216" s="24">
        <v>4399.0</v>
      </c>
      <c r="I1216" s="24">
        <v>8501.0</v>
      </c>
      <c r="J1216" s="24">
        <v>0.0</v>
      </c>
      <c r="K1216" s="23" t="s">
        <v>34</v>
      </c>
      <c r="L1216" s="25">
        <v>42977.0196875</v>
      </c>
      <c r="M1216" s="26" t="s">
        <v>71</v>
      </c>
      <c r="N1216" s="26" t="s">
        <v>3107</v>
      </c>
      <c r="O1216" s="22" t="str">
        <f>HYPERLINK("https://pbs.twimg.com/profile_images/917064753742090240/SJG9kbNg_normal.jpg","View")</f>
        <v>View</v>
      </c>
      <c r="P1216" s="27"/>
    </row>
    <row r="1217">
      <c r="A1217" s="14">
        <v>43031.10523148148</v>
      </c>
      <c r="B1217" s="20" t="str">
        <f>HYPERLINK("https://twitter.com/CaseyBillX","@CaseyBillX")</f>
        <v>@CaseyBillX</v>
      </c>
      <c r="C1217" s="21" t="s">
        <v>3108</v>
      </c>
      <c r="D1217" s="21" t="s">
        <v>2906</v>
      </c>
      <c r="E1217" s="22" t="str">
        <f>HYPERLINK("https://twitter.com/CaseyBillX/status/922395051153432578","922395051153432578")</f>
        <v>922395051153432578</v>
      </c>
      <c r="F1217" s="23" t="s">
        <v>3109</v>
      </c>
      <c r="G1217" s="24">
        <v>2332.0</v>
      </c>
      <c r="H1217" s="24">
        <v>5001.0</v>
      </c>
      <c r="I1217" s="24">
        <v>18.0</v>
      </c>
      <c r="J1217" s="24">
        <v>0.0</v>
      </c>
      <c r="K1217" s="23" t="s">
        <v>34</v>
      </c>
      <c r="L1217" s="25">
        <v>42997.15302083333</v>
      </c>
      <c r="M1217" s="28"/>
      <c r="N1217" s="28"/>
      <c r="O1217" s="22" t="str">
        <f>HYPERLINK("https://pbs.twimg.com/profile_images/910103474003525633/_kzNa9NX_normal.jpg","View")</f>
        <v>View</v>
      </c>
      <c r="P1217" s="27"/>
    </row>
    <row r="1218">
      <c r="A1218" s="14">
        <v>43031.10523148148</v>
      </c>
      <c r="B1218" s="20" t="str">
        <f>HYPERLINK("https://twitter.com/tomarbhanu26","@tomarbhanu26")</f>
        <v>@tomarbhanu26</v>
      </c>
      <c r="C1218" s="21" t="s">
        <v>3110</v>
      </c>
      <c r="D1218" s="21" t="s">
        <v>42</v>
      </c>
      <c r="E1218" s="22" t="str">
        <f>HYPERLINK("https://twitter.com/tomarbhanu26/status/922395052239917058","922395052239917058")</f>
        <v>922395052239917058</v>
      </c>
      <c r="F1218" s="23" t="s">
        <v>39</v>
      </c>
      <c r="G1218" s="24">
        <v>105.0</v>
      </c>
      <c r="H1218" s="24">
        <v>34.0</v>
      </c>
      <c r="I1218" s="24">
        <v>8501.0</v>
      </c>
      <c r="J1218" s="24">
        <v>0.0</v>
      </c>
      <c r="K1218" s="23" t="s">
        <v>34</v>
      </c>
      <c r="L1218" s="25">
        <v>41886.97917824074</v>
      </c>
      <c r="M1218" s="26" t="s">
        <v>914</v>
      </c>
      <c r="N1218" s="26" t="s">
        <v>3111</v>
      </c>
      <c r="O1218" s="22" t="str">
        <f>HYPERLINK("https://pbs.twimg.com/profile_images/855657875342934016/G3cyQxkS_normal.jpg","View")</f>
        <v>View</v>
      </c>
      <c r="P1218" s="27"/>
    </row>
    <row r="1219">
      <c r="A1219" s="14">
        <v>43031.10538194445</v>
      </c>
      <c r="B1219" s="20" t="str">
        <f>HYPERLINK("https://twitter.com/timeseek1970","@timeseek1970")</f>
        <v>@timeseek1970</v>
      </c>
      <c r="C1219" s="21" t="s">
        <v>3112</v>
      </c>
      <c r="D1219" s="21" t="s">
        <v>163</v>
      </c>
      <c r="E1219" s="22" t="str">
        <f>HYPERLINK("https://twitter.com/timeseek1970/status/922395105193091072","922395105193091072")</f>
        <v>922395105193091072</v>
      </c>
      <c r="F1219" s="23" t="s">
        <v>39</v>
      </c>
      <c r="G1219" s="24">
        <v>266.0</v>
      </c>
      <c r="H1219" s="24">
        <v>979.0</v>
      </c>
      <c r="I1219" s="24">
        <v>1005.0</v>
      </c>
      <c r="J1219" s="24">
        <v>0.0</v>
      </c>
      <c r="K1219" s="23" t="s">
        <v>34</v>
      </c>
      <c r="L1219" s="25">
        <v>40399.58222222222</v>
      </c>
      <c r="M1219" s="26" t="s">
        <v>3113</v>
      </c>
      <c r="N1219" s="28"/>
      <c r="O1219" s="22" t="str">
        <f>HYPERLINK("https://pbs.twimg.com/profile_images/1119290414/mypicture_normal.jpg","View")</f>
        <v>View</v>
      </c>
      <c r="P1219" s="27"/>
    </row>
    <row r="1220">
      <c r="A1220" s="14">
        <v>43031.10540509259</v>
      </c>
      <c r="B1220" s="20" t="str">
        <f>HYPERLINK("https://twitter.com/SoumyaDebnath13","@SoumyaDebnath13")</f>
        <v>@SoumyaDebnath13</v>
      </c>
      <c r="C1220" s="21" t="s">
        <v>3114</v>
      </c>
      <c r="D1220" s="21" t="s">
        <v>42</v>
      </c>
      <c r="E1220" s="22" t="str">
        <f>HYPERLINK("https://twitter.com/SoumyaDebnath13/status/922395114789408768","922395114789408768")</f>
        <v>922395114789408768</v>
      </c>
      <c r="F1220" s="23" t="s">
        <v>33</v>
      </c>
      <c r="G1220" s="24">
        <v>3.0</v>
      </c>
      <c r="H1220" s="24">
        <v>56.0</v>
      </c>
      <c r="I1220" s="24">
        <v>8501.0</v>
      </c>
      <c r="J1220" s="24">
        <v>0.0</v>
      </c>
      <c r="K1220" s="23" t="s">
        <v>34</v>
      </c>
      <c r="L1220" s="25">
        <v>42989.46524305556</v>
      </c>
      <c r="M1220" s="26" t="s">
        <v>3115</v>
      </c>
      <c r="N1220" s="28"/>
      <c r="O1220" s="22" t="str">
        <f>HYPERLINK("https://pbs.twimg.com/profile_images/907343738292203521/BcfNOaJx_normal.jpg","View")</f>
        <v>View</v>
      </c>
      <c r="P1220" s="27"/>
    </row>
    <row r="1221">
      <c r="A1221" s="14">
        <v>43031.105416666665</v>
      </c>
      <c r="B1221" s="20" t="str">
        <f>HYPERLINK("https://twitter.com/athreyaTW","@athreyaTW")</f>
        <v>@athreyaTW</v>
      </c>
      <c r="C1221" s="21" t="s">
        <v>3116</v>
      </c>
      <c r="D1221" s="21" t="s">
        <v>163</v>
      </c>
      <c r="E1221" s="22" t="str">
        <f>HYPERLINK("https://twitter.com/athreyaTW/status/922395119382183937","922395119382183937")</f>
        <v>922395119382183937</v>
      </c>
      <c r="F1221" s="23" t="s">
        <v>33</v>
      </c>
      <c r="G1221" s="24">
        <v>189.0</v>
      </c>
      <c r="H1221" s="24">
        <v>119.0</v>
      </c>
      <c r="I1221" s="24">
        <v>1005.0</v>
      </c>
      <c r="J1221" s="24">
        <v>0.0</v>
      </c>
      <c r="K1221" s="23" t="s">
        <v>34</v>
      </c>
      <c r="L1221" s="25">
        <v>42238.21091435185</v>
      </c>
      <c r="M1221" s="26" t="s">
        <v>3117</v>
      </c>
      <c r="N1221" s="28"/>
      <c r="O1221" s="22" t="str">
        <f>HYPERLINK("https://pbs.twimg.com/profile_images/861993258959896577/kh46feBk_normal.jpg","View")</f>
        <v>View</v>
      </c>
      <c r="P1221" s="27"/>
    </row>
    <row r="1222">
      <c r="A1222" s="14">
        <v>43031.10542824074</v>
      </c>
      <c r="B1222" s="20" t="str">
        <f>HYPERLINK("https://twitter.com/SeetharamaKota2","@SeetharamaKota2")</f>
        <v>@SeetharamaKota2</v>
      </c>
      <c r="C1222" s="21" t="s">
        <v>3118</v>
      </c>
      <c r="D1222" s="21" t="s">
        <v>2951</v>
      </c>
      <c r="E1222" s="22" t="str">
        <f>HYPERLINK("https://twitter.com/SeetharamaKota2/status/922395124750942208","922395124750942208")</f>
        <v>922395124750942208</v>
      </c>
      <c r="F1222" s="23" t="s">
        <v>33</v>
      </c>
      <c r="G1222" s="24">
        <v>549.0</v>
      </c>
      <c r="H1222" s="24">
        <v>815.0</v>
      </c>
      <c r="I1222" s="24">
        <v>4.0</v>
      </c>
      <c r="J1222" s="24">
        <v>0.0</v>
      </c>
      <c r="K1222" s="23" t="s">
        <v>34</v>
      </c>
      <c r="L1222" s="25">
        <v>42962.13641203704</v>
      </c>
      <c r="M1222" s="26" t="s">
        <v>3119</v>
      </c>
      <c r="N1222" s="28"/>
      <c r="O1222" s="22" t="str">
        <f>HYPERLINK("https://pbs.twimg.com/profile_images/908301442078752771/Px8enuPV_normal.jpg","View")</f>
        <v>View</v>
      </c>
      <c r="P1222" s="27"/>
    </row>
    <row r="1223">
      <c r="A1223" s="14">
        <v>43031.10555555555</v>
      </c>
      <c r="B1223" s="20" t="str">
        <f>HYPERLINK("https://twitter.com/reincharles","@reincharles")</f>
        <v>@reincharles</v>
      </c>
      <c r="C1223" s="21" t="s">
        <v>3120</v>
      </c>
      <c r="D1223" s="21" t="s">
        <v>32</v>
      </c>
      <c r="E1223" s="22" t="str">
        <f>HYPERLINK("https://twitter.com/reincharles/status/922395168380243968","922395168380243968")</f>
        <v>922395168380243968</v>
      </c>
      <c r="F1223" s="23" t="s">
        <v>33</v>
      </c>
      <c r="G1223" s="24">
        <v>192.0</v>
      </c>
      <c r="H1223" s="24">
        <v>802.0</v>
      </c>
      <c r="I1223" s="24">
        <v>471.0</v>
      </c>
      <c r="J1223" s="24">
        <v>0.0</v>
      </c>
      <c r="K1223" s="23" t="s">
        <v>34</v>
      </c>
      <c r="L1223" s="25">
        <v>41439.58237268518</v>
      </c>
      <c r="M1223" s="28"/>
      <c r="N1223" s="28"/>
      <c r="O1223" s="22" t="str">
        <f>HYPERLINK("https://pbs.twimg.com/profile_images/918459759442956289/8XoR87ib_normal.jpg","View")</f>
        <v>View</v>
      </c>
      <c r="P1223" s="27"/>
    </row>
    <row r="1224">
      <c r="A1224" s="14">
        <v>43031.10560185185</v>
      </c>
      <c r="B1224" s="20" t="str">
        <f>HYPERLINK("https://twitter.com/girisachin","@girisachin")</f>
        <v>@girisachin</v>
      </c>
      <c r="C1224" s="21" t="s">
        <v>3121</v>
      </c>
      <c r="D1224" s="21" t="s">
        <v>42</v>
      </c>
      <c r="E1224" s="22" t="str">
        <f>HYPERLINK("https://twitter.com/girisachin/status/922395188298883072","922395188298883072")</f>
        <v>922395188298883072</v>
      </c>
      <c r="F1224" s="23" t="s">
        <v>33</v>
      </c>
      <c r="G1224" s="24">
        <v>186.0</v>
      </c>
      <c r="H1224" s="24">
        <v>545.0</v>
      </c>
      <c r="I1224" s="24">
        <v>8501.0</v>
      </c>
      <c r="J1224" s="24">
        <v>0.0</v>
      </c>
      <c r="K1224" s="23" t="s">
        <v>34</v>
      </c>
      <c r="L1224" s="25">
        <v>40120.54929398148</v>
      </c>
      <c r="M1224" s="26" t="s">
        <v>2031</v>
      </c>
      <c r="N1224" s="26" t="s">
        <v>3122</v>
      </c>
      <c r="O1224" s="22" t="str">
        <f>HYPERLINK("https://pbs.twimg.com/profile_images/862903725769105413/xZoNCYik_normal.jpg","View")</f>
        <v>View</v>
      </c>
      <c r="P1224" s="27"/>
    </row>
    <row r="1225">
      <c r="A1225" s="14">
        <v>43031.105625</v>
      </c>
      <c r="B1225" s="20" t="str">
        <f>HYPERLINK("https://twitter.com/CNBCTradersFan","@CNBCTradersFan")</f>
        <v>@CNBCTradersFan</v>
      </c>
      <c r="C1225" s="21" t="s">
        <v>1945</v>
      </c>
      <c r="D1225" s="21" t="s">
        <v>3123</v>
      </c>
      <c r="E1225" s="22" t="str">
        <f>HYPERLINK("https://twitter.com/CNBCTradersFan/status/922395196050100225","922395196050100225")</f>
        <v>922395196050100225</v>
      </c>
      <c r="F1225" s="23" t="s">
        <v>187</v>
      </c>
      <c r="G1225" s="24">
        <v>17128.0</v>
      </c>
      <c r="H1225" s="24">
        <v>11615.0</v>
      </c>
      <c r="I1225" s="24">
        <v>0.0</v>
      </c>
      <c r="J1225" s="24">
        <v>0.0</v>
      </c>
      <c r="K1225" s="23" t="s">
        <v>34</v>
      </c>
      <c r="L1225" s="25">
        <v>40922.50542824074</v>
      </c>
      <c r="M1225" s="26" t="s">
        <v>1947</v>
      </c>
      <c r="N1225" s="26" t="s">
        <v>1948</v>
      </c>
      <c r="O1225" s="22" t="str">
        <f>HYPERLINK("https://pbs.twimg.com/profile_images/731870469318684672/Ckf7rDdJ_normal.jpg","View")</f>
        <v>View</v>
      </c>
      <c r="P1225" s="27"/>
    </row>
    <row r="1226">
      <c r="A1226" s="14">
        <v>43031.10570601852</v>
      </c>
      <c r="B1226" s="20" t="str">
        <f>HYPERLINK("https://twitter.com/sometimesspikey","@sometimesspikey")</f>
        <v>@sometimesspikey</v>
      </c>
      <c r="C1226" s="21" t="s">
        <v>3124</v>
      </c>
      <c r="D1226" s="21" t="s">
        <v>1444</v>
      </c>
      <c r="E1226" s="22" t="str">
        <f>HYPERLINK("https://twitter.com/sometimesspikey/status/922395225116610560","922395225116610560")</f>
        <v>922395225116610560</v>
      </c>
      <c r="F1226" s="23" t="s">
        <v>33</v>
      </c>
      <c r="G1226" s="24">
        <v>102.0</v>
      </c>
      <c r="H1226" s="24">
        <v>430.0</v>
      </c>
      <c r="I1226" s="24">
        <v>50.0</v>
      </c>
      <c r="J1226" s="24">
        <v>0.0</v>
      </c>
      <c r="K1226" s="23" t="s">
        <v>34</v>
      </c>
      <c r="L1226" s="25">
        <v>42983.12533564815</v>
      </c>
      <c r="M1226" s="26" t="s">
        <v>3125</v>
      </c>
      <c r="N1226" s="26" t="s">
        <v>3126</v>
      </c>
      <c r="O1226" s="22" t="str">
        <f>HYPERLINK("https://pbs.twimg.com/profile_images/905011829793017857/fDRG0QFi_normal.jpg","View")</f>
        <v>View</v>
      </c>
      <c r="P1226" s="27"/>
    </row>
    <row r="1227">
      <c r="A1227" s="14">
        <v>43031.105717592596</v>
      </c>
      <c r="B1227" s="20" t="str">
        <f>HYPERLINK("https://twitter.com/SKShahi2005","@SKShahi2005")</f>
        <v>@SKShahi2005</v>
      </c>
      <c r="C1227" s="21" t="s">
        <v>3127</v>
      </c>
      <c r="D1227" s="21" t="s">
        <v>42</v>
      </c>
      <c r="E1227" s="22" t="str">
        <f>HYPERLINK("https://twitter.com/SKShahi2005/status/922395230598393856","922395230598393856")</f>
        <v>922395230598393856</v>
      </c>
      <c r="F1227" s="23" t="s">
        <v>55</v>
      </c>
      <c r="G1227" s="24">
        <v>64.0</v>
      </c>
      <c r="H1227" s="24">
        <v>506.0</v>
      </c>
      <c r="I1227" s="24">
        <v>8501.0</v>
      </c>
      <c r="J1227" s="24">
        <v>0.0</v>
      </c>
      <c r="K1227" s="23" t="s">
        <v>34</v>
      </c>
      <c r="L1227" s="25">
        <v>41530.677245370374</v>
      </c>
      <c r="M1227" s="26" t="s">
        <v>3128</v>
      </c>
      <c r="N1227" s="26" t="s">
        <v>3129</v>
      </c>
      <c r="O1227" s="22" t="str">
        <f>HYPERLINK("https://pbs.twimg.com/profile_images/855159252742057985/JuIIEIIw_normal.jpg","View")</f>
        <v>View</v>
      </c>
      <c r="P1227" s="27"/>
    </row>
    <row r="1228">
      <c r="A1228" s="14">
        <v>43031.10579861111</v>
      </c>
      <c r="B1228" s="20" t="str">
        <f>HYPERLINK("https://twitter.com/boundedr","@boundedr")</f>
        <v>@boundedr</v>
      </c>
      <c r="C1228" s="21" t="s">
        <v>3130</v>
      </c>
      <c r="D1228" s="21" t="s">
        <v>3131</v>
      </c>
      <c r="E1228" s="22" t="str">
        <f>HYPERLINK("https://twitter.com/boundedr/status/922395257496588289","922395257496588289")</f>
        <v>922395257496588289</v>
      </c>
      <c r="F1228" s="23" t="s">
        <v>187</v>
      </c>
      <c r="G1228" s="24">
        <v>1249.0</v>
      </c>
      <c r="H1228" s="24">
        <v>1172.0</v>
      </c>
      <c r="I1228" s="24">
        <v>0.0</v>
      </c>
      <c r="J1228" s="24">
        <v>0.0</v>
      </c>
      <c r="K1228" s="23" t="s">
        <v>34</v>
      </c>
      <c r="L1228" s="25">
        <v>40613.77902777778</v>
      </c>
      <c r="M1228" s="28"/>
      <c r="N1228" s="26" t="s">
        <v>3132</v>
      </c>
      <c r="O1228" s="22" t="str">
        <f>HYPERLINK("https://pbs.twimg.com/profile_images/474820714290114561/FHxcrBg9_normal.png","View")</f>
        <v>View</v>
      </c>
      <c r="P1228" s="27"/>
    </row>
    <row r="1229">
      <c r="A1229" s="14">
        <v>43031.10579861111</v>
      </c>
      <c r="B1229" s="20" t="str">
        <f>HYPERLINK("https://twitter.com/EvanFeigenbaum","@EvanFeigenbaum")</f>
        <v>@EvanFeigenbaum</v>
      </c>
      <c r="C1229" s="21" t="s">
        <v>3133</v>
      </c>
      <c r="D1229" s="21" t="s">
        <v>2173</v>
      </c>
      <c r="E1229" s="22" t="str">
        <f>HYPERLINK("https://twitter.com/EvanFeigenbaum/status/922395257538514944","922395257538514944")</f>
        <v>922395257538514944</v>
      </c>
      <c r="F1229" s="23" t="s">
        <v>39</v>
      </c>
      <c r="G1229" s="24">
        <v>3774.0</v>
      </c>
      <c r="H1229" s="24">
        <v>1815.0</v>
      </c>
      <c r="I1229" s="24">
        <v>3.0</v>
      </c>
      <c r="J1229" s="24">
        <v>0.0</v>
      </c>
      <c r="K1229" s="23" t="s">
        <v>34</v>
      </c>
      <c r="L1229" s="25">
        <v>41789.85791666667</v>
      </c>
      <c r="M1229" s="28"/>
      <c r="N1229" s="26" t="s">
        <v>3134</v>
      </c>
      <c r="O1229" s="22" t="str">
        <f>HYPERLINK("https://pbs.twimg.com/profile_images/843459235941961730/vsNPizaB_normal.jpg","View")</f>
        <v>View</v>
      </c>
      <c r="P1229" s="27"/>
    </row>
    <row r="1230">
      <c r="A1230" s="14">
        <v>43031.10585648148</v>
      </c>
      <c r="B1230" s="20" t="str">
        <f>HYPERLINK("https://twitter.com/aryamanindian","@aryamanindian")</f>
        <v>@aryamanindian</v>
      </c>
      <c r="C1230" s="21" t="s">
        <v>3135</v>
      </c>
      <c r="D1230" s="21" t="s">
        <v>42</v>
      </c>
      <c r="E1230" s="22" t="str">
        <f>HYPERLINK("https://twitter.com/aryamanindian/status/922395279327838208","922395279327838208")</f>
        <v>922395279327838208</v>
      </c>
      <c r="F1230" s="23" t="s">
        <v>33</v>
      </c>
      <c r="G1230" s="24">
        <v>98.0</v>
      </c>
      <c r="H1230" s="24">
        <v>18.0</v>
      </c>
      <c r="I1230" s="24">
        <v>8501.0</v>
      </c>
      <c r="J1230" s="24">
        <v>0.0</v>
      </c>
      <c r="K1230" s="23" t="s">
        <v>34</v>
      </c>
      <c r="L1230" s="25">
        <v>42603.159895833334</v>
      </c>
      <c r="M1230" s="26" t="s">
        <v>3136</v>
      </c>
      <c r="N1230" s="26" t="s">
        <v>3137</v>
      </c>
      <c r="O1230" s="22" t="str">
        <f>HYPERLINK("https://pbs.twimg.com/profile_images/830746522572693504/ScZ1hev__normal.jpg","View")</f>
        <v>View</v>
      </c>
      <c r="P1230" s="27"/>
    </row>
    <row r="1231">
      <c r="A1231" s="14">
        <v>43031.10587962963</v>
      </c>
      <c r="B1231" s="20" t="str">
        <f>HYPERLINK("https://twitter.com/buriamasiga","@buriamasiga")</f>
        <v>@buriamasiga</v>
      </c>
      <c r="C1231" s="21" t="s">
        <v>3138</v>
      </c>
      <c r="D1231" s="21" t="s">
        <v>32</v>
      </c>
      <c r="E1231" s="22" t="str">
        <f>HYPERLINK("https://twitter.com/buriamasiga/status/922395286592507904","922395286592507904")</f>
        <v>922395286592507904</v>
      </c>
      <c r="F1231" s="23" t="s">
        <v>55</v>
      </c>
      <c r="G1231" s="24">
        <v>1154.0</v>
      </c>
      <c r="H1231" s="24">
        <v>2084.0</v>
      </c>
      <c r="I1231" s="24">
        <v>471.0</v>
      </c>
      <c r="J1231" s="24">
        <v>0.0</v>
      </c>
      <c r="K1231" s="23" t="s">
        <v>34</v>
      </c>
      <c r="L1231" s="25">
        <v>40099.07701388889</v>
      </c>
      <c r="M1231" s="26" t="s">
        <v>843</v>
      </c>
      <c r="N1231" s="26" t="s">
        <v>3139</v>
      </c>
      <c r="O1231" s="22" t="str">
        <f>HYPERLINK("https://pbs.twimg.com/profile_images/693509863972929537/AlynHEpg_normal.jpg","View")</f>
        <v>View</v>
      </c>
      <c r="P1231" s="27"/>
    </row>
    <row r="1232">
      <c r="A1232" s="14">
        <v>43031.10590277778</v>
      </c>
      <c r="B1232" s="20" t="str">
        <f>HYPERLINK("https://twitter.com/hotter22","@hotter22")</f>
        <v>@hotter22</v>
      </c>
      <c r="C1232" s="21" t="s">
        <v>3140</v>
      </c>
      <c r="D1232" s="21" t="s">
        <v>404</v>
      </c>
      <c r="E1232" s="22" t="str">
        <f>HYPERLINK("https://twitter.com/hotter22/status/922395296272752641","922395296272752641")</f>
        <v>922395296272752641</v>
      </c>
      <c r="F1232" s="23" t="s">
        <v>230</v>
      </c>
      <c r="G1232" s="24">
        <v>178.0</v>
      </c>
      <c r="H1232" s="24">
        <v>185.0</v>
      </c>
      <c r="I1232" s="24">
        <v>59.0</v>
      </c>
      <c r="J1232" s="24">
        <v>0.0</v>
      </c>
      <c r="K1232" s="23" t="s">
        <v>34</v>
      </c>
      <c r="L1232" s="25">
        <v>39953.12740740741</v>
      </c>
      <c r="M1232" s="26" t="s">
        <v>3141</v>
      </c>
      <c r="N1232" s="26" t="s">
        <v>3142</v>
      </c>
      <c r="O1232" s="22" t="str">
        <f>HYPERLINK("https://pbs.twimg.com/profile_images/721877414393982976/O9ZD9sUL_normal.jpg","View")</f>
        <v>View</v>
      </c>
      <c r="P1232" s="27"/>
    </row>
    <row r="1233">
      <c r="A1233" s="14">
        <v>43031.10591435185</v>
      </c>
      <c r="B1233" s="20" t="str">
        <f>HYPERLINK("https://twitter.com/g_e_","@g_e_")</f>
        <v>@g_e_</v>
      </c>
      <c r="C1233" s="21" t="s">
        <v>3143</v>
      </c>
      <c r="D1233" s="21" t="s">
        <v>42</v>
      </c>
      <c r="E1233" s="22" t="str">
        <f>HYPERLINK("https://twitter.com/g_e_/status/922395300555235328","922395300555235328")</f>
        <v>922395300555235328</v>
      </c>
      <c r="F1233" s="23" t="s">
        <v>39</v>
      </c>
      <c r="G1233" s="24">
        <v>53.0</v>
      </c>
      <c r="H1233" s="24">
        <v>604.0</v>
      </c>
      <c r="I1233" s="24">
        <v>8501.0</v>
      </c>
      <c r="J1233" s="24">
        <v>0.0</v>
      </c>
      <c r="K1233" s="23" t="s">
        <v>34</v>
      </c>
      <c r="L1233" s="25">
        <v>39858.06605324074</v>
      </c>
      <c r="M1233" s="26" t="s">
        <v>3144</v>
      </c>
      <c r="N1233" s="28"/>
      <c r="O1233" s="22" t="str">
        <f>HYPERLINK("https://pbs.twimg.com/profile_images/482817365982187520/Wt-wHIWF_normal.jpeg","View")</f>
        <v>View</v>
      </c>
      <c r="P1233" s="27"/>
    </row>
    <row r="1234">
      <c r="A1234" s="14">
        <v>43031.105937500004</v>
      </c>
      <c r="B1234" s="20" t="str">
        <f>HYPERLINK("https://twitter.com/hiro_piro_max","@hiro_piro_max")</f>
        <v>@hiro_piro_max</v>
      </c>
      <c r="C1234" s="21" t="s">
        <v>3145</v>
      </c>
      <c r="D1234" s="21" t="s">
        <v>42</v>
      </c>
      <c r="E1234" s="22" t="str">
        <f>HYPERLINK("https://twitter.com/hiro_piro_max/status/922395308654346241","922395308654346241")</f>
        <v>922395308654346241</v>
      </c>
      <c r="F1234" s="23" t="s">
        <v>39</v>
      </c>
      <c r="G1234" s="24">
        <v>1010.0</v>
      </c>
      <c r="H1234" s="24">
        <v>761.0</v>
      </c>
      <c r="I1234" s="24">
        <v>8501.0</v>
      </c>
      <c r="J1234" s="24">
        <v>0.0</v>
      </c>
      <c r="K1234" s="23" t="s">
        <v>34</v>
      </c>
      <c r="L1234" s="25">
        <v>40430.91043981482</v>
      </c>
      <c r="M1234" s="28"/>
      <c r="N1234" s="26" t="s">
        <v>3146</v>
      </c>
      <c r="O1234" s="22" t="str">
        <f>HYPERLINK("https://pbs.twimg.com/profile_images/884411410918264833/Rn8ihkus_normal.jpg","View")</f>
        <v>View</v>
      </c>
      <c r="P1234" s="27"/>
    </row>
    <row r="1235">
      <c r="A1235" s="14">
        <v>43031.10594907407</v>
      </c>
      <c r="B1235" s="20" t="str">
        <f>HYPERLINK("https://twitter.com/ABSCBNNews","@ABSCBNNews")</f>
        <v>@ABSCBNNews</v>
      </c>
      <c r="C1235" s="21" t="s">
        <v>3147</v>
      </c>
      <c r="D1235" s="21" t="s">
        <v>3148</v>
      </c>
      <c r="E1235" s="22" t="str">
        <f>HYPERLINK("https://twitter.com/ABSCBNNews/status/922395313842806784","922395313842806784")</f>
        <v>922395313842806784</v>
      </c>
      <c r="F1235" s="23" t="s">
        <v>769</v>
      </c>
      <c r="G1235" s="24">
        <v>5581985.0</v>
      </c>
      <c r="H1235" s="24">
        <v>1304.0</v>
      </c>
      <c r="I1235" s="24">
        <v>6.0</v>
      </c>
      <c r="J1235" s="24">
        <v>55.0</v>
      </c>
      <c r="K1235" s="23" t="s">
        <v>34</v>
      </c>
      <c r="L1235" s="25">
        <v>39676.131631944445</v>
      </c>
      <c r="M1235" s="26" t="s">
        <v>3149</v>
      </c>
      <c r="N1235" s="26" t="s">
        <v>3150</v>
      </c>
      <c r="O1235" s="22" t="str">
        <f>HYPERLINK("https://pbs.twimg.com/profile_images/595786514883284994/imtdEbVC_normal.jpg","View")</f>
        <v>View</v>
      </c>
      <c r="P1235" s="27"/>
    </row>
    <row r="1236">
      <c r="A1236" s="14">
        <v>43031.1059837963</v>
      </c>
      <c r="B1236" s="20" t="str">
        <f>HYPERLINK("https://twitter.com/tkfrtmsdl","@tkfrtmsdl")</f>
        <v>@tkfrtmsdl</v>
      </c>
      <c r="C1236" s="21" t="s">
        <v>3151</v>
      </c>
      <c r="D1236" s="21" t="s">
        <v>2748</v>
      </c>
      <c r="E1236" s="22" t="str">
        <f>HYPERLINK("https://twitter.com/tkfrtmsdl/status/922395324102066176","922395324102066176")</f>
        <v>922395324102066176</v>
      </c>
      <c r="F1236" s="23" t="s">
        <v>39</v>
      </c>
      <c r="G1236" s="24">
        <v>1061.0</v>
      </c>
      <c r="H1236" s="24">
        <v>2219.0</v>
      </c>
      <c r="I1236" s="24">
        <v>15.0</v>
      </c>
      <c r="J1236" s="24">
        <v>0.0</v>
      </c>
      <c r="K1236" s="23" t="s">
        <v>34</v>
      </c>
      <c r="L1236" s="25">
        <v>41499.35952546296</v>
      </c>
      <c r="M1236" s="26" t="s">
        <v>3152</v>
      </c>
      <c r="N1236" s="26" t="s">
        <v>3153</v>
      </c>
      <c r="O1236" s="22" t="str">
        <f>HYPERLINK("https://pbs.twimg.com/profile_images/874870406141935617/e_TRSRtQ_normal.jpg","View")</f>
        <v>View</v>
      </c>
      <c r="P1236" s="27"/>
    </row>
    <row r="1237">
      <c r="A1237" s="14">
        <v>43031.10600694444</v>
      </c>
      <c r="B1237" s="20" t="str">
        <f>HYPERLINK("https://twitter.com/anji_cnerpu","@anji_cnerpu")</f>
        <v>@anji_cnerpu</v>
      </c>
      <c r="C1237" s="21" t="s">
        <v>3154</v>
      </c>
      <c r="D1237" s="21" t="s">
        <v>42</v>
      </c>
      <c r="E1237" s="22" t="str">
        <f>HYPERLINK("https://twitter.com/anji_cnerpu/status/922395333824356352","922395333824356352")</f>
        <v>922395333824356352</v>
      </c>
      <c r="F1237" s="23" t="s">
        <v>33</v>
      </c>
      <c r="G1237" s="24">
        <v>21.0</v>
      </c>
      <c r="H1237" s="24">
        <v>132.0</v>
      </c>
      <c r="I1237" s="24">
        <v>8501.0</v>
      </c>
      <c r="J1237" s="24">
        <v>0.0</v>
      </c>
      <c r="K1237" s="23" t="s">
        <v>34</v>
      </c>
      <c r="L1237" s="25">
        <v>42317.37960648148</v>
      </c>
      <c r="M1237" s="26" t="s">
        <v>3155</v>
      </c>
      <c r="N1237" s="26" t="s">
        <v>3156</v>
      </c>
      <c r="O1237" s="22" t="str">
        <f>HYPERLINK("https://pbs.twimg.com/profile_images/721357837255909377/nNSStV7v_normal.jpg","View")</f>
        <v>View</v>
      </c>
      <c r="P1237" s="27"/>
    </row>
    <row r="1238">
      <c r="A1238" s="14">
        <v>43031.106041666666</v>
      </c>
      <c r="B1238" s="20" t="str">
        <f>HYPERLINK("https://twitter.com/duverisabh","@duverisabh")</f>
        <v>@duverisabh</v>
      </c>
      <c r="C1238" s="21" t="s">
        <v>3157</v>
      </c>
      <c r="D1238" s="21" t="s">
        <v>42</v>
      </c>
      <c r="E1238" s="22" t="str">
        <f>HYPERLINK("https://twitter.com/duverisabh/status/922395344561881088","922395344561881088")</f>
        <v>922395344561881088</v>
      </c>
      <c r="F1238" s="23" t="s">
        <v>33</v>
      </c>
      <c r="G1238" s="24">
        <v>16.0</v>
      </c>
      <c r="H1238" s="24">
        <v>87.0</v>
      </c>
      <c r="I1238" s="24">
        <v>8501.0</v>
      </c>
      <c r="J1238" s="24">
        <v>0.0</v>
      </c>
      <c r="K1238" s="23" t="s">
        <v>34</v>
      </c>
      <c r="L1238" s="25">
        <v>42956.797002314815</v>
      </c>
      <c r="M1238" s="26" t="s">
        <v>3158</v>
      </c>
      <c r="N1238" s="26" t="s">
        <v>3159</v>
      </c>
      <c r="O1238" s="22" t="str">
        <f>HYPERLINK("https://pbs.twimg.com/profile_images/915934255162601472/r8JtzLl9_normal.jpg","View")</f>
        <v>View</v>
      </c>
      <c r="P1238" s="27"/>
    </row>
    <row r="1239">
      <c r="A1239" s="14">
        <v>43031.10607638889</v>
      </c>
      <c r="B1239" s="20" t="str">
        <f>HYPERLINK("https://twitter.com/PoliticsNewz","@PoliticsNewz")</f>
        <v>@PoliticsNewz</v>
      </c>
      <c r="C1239" s="21" t="s">
        <v>3160</v>
      </c>
      <c r="D1239" s="21" t="s">
        <v>3161</v>
      </c>
      <c r="E1239" s="22" t="str">
        <f>HYPERLINK("https://twitter.com/PoliticsNewz/status/922395356893237249","922395356893237249")</f>
        <v>922395356893237249</v>
      </c>
      <c r="F1239" s="23" t="s">
        <v>3162</v>
      </c>
      <c r="G1239" s="24">
        <v>56447.0</v>
      </c>
      <c r="H1239" s="24">
        <v>48933.0</v>
      </c>
      <c r="I1239" s="24">
        <v>1.0</v>
      </c>
      <c r="J1239" s="24">
        <v>0.0</v>
      </c>
      <c r="K1239" s="23" t="s">
        <v>34</v>
      </c>
      <c r="L1239" s="25">
        <v>40980.540497685186</v>
      </c>
      <c r="M1239" s="26" t="s">
        <v>68</v>
      </c>
      <c r="N1239" s="26" t="s">
        <v>3074</v>
      </c>
      <c r="O1239" s="22" t="str">
        <f>HYPERLINK("https://pbs.twimg.com/profile_images/1892022292/logo-politicnewz_normal.jpg","View")</f>
        <v>View</v>
      </c>
      <c r="P1239" s="27"/>
    </row>
    <row r="1240">
      <c r="A1240" s="14">
        <v>43031.10607638889</v>
      </c>
      <c r="B1240" s="20" t="str">
        <f>HYPERLINK("https://twitter.com/Xs2partner","@Xs2partner")</f>
        <v>@Xs2partner</v>
      </c>
      <c r="C1240" s="21" t="s">
        <v>3163</v>
      </c>
      <c r="D1240" s="21" t="s">
        <v>42</v>
      </c>
      <c r="E1240" s="22" t="str">
        <f>HYPERLINK("https://twitter.com/Xs2partner/status/922395358050865152","922395358050865152")</f>
        <v>922395358050865152</v>
      </c>
      <c r="F1240" s="23" t="s">
        <v>33</v>
      </c>
      <c r="G1240" s="24">
        <v>425.0</v>
      </c>
      <c r="H1240" s="24">
        <v>2434.0</v>
      </c>
      <c r="I1240" s="24">
        <v>8501.0</v>
      </c>
      <c r="J1240" s="24">
        <v>0.0</v>
      </c>
      <c r="K1240" s="23" t="s">
        <v>34</v>
      </c>
      <c r="L1240" s="25">
        <v>40043.91538194445</v>
      </c>
      <c r="M1240" s="26" t="s">
        <v>3164</v>
      </c>
      <c r="N1240" s="26" t="s">
        <v>3165</v>
      </c>
      <c r="O1240" s="22" t="str">
        <f>HYPERLINK("https://pbs.twimg.com/profile_images/745118493205377029/hnCtfxBo_normal.jpg","View")</f>
        <v>View</v>
      </c>
      <c r="P1240" s="27"/>
    </row>
    <row r="1241">
      <c r="A1241" s="14">
        <v>43031.10611111111</v>
      </c>
      <c r="B1241" s="20" t="str">
        <f>HYPERLINK("https://twitter.com/Brooklinewise","@Brooklinewise")</f>
        <v>@Brooklinewise</v>
      </c>
      <c r="C1241" s="21" t="s">
        <v>3166</v>
      </c>
      <c r="D1241" s="21" t="s">
        <v>1220</v>
      </c>
      <c r="E1241" s="22" t="str">
        <f>HYPERLINK("https://twitter.com/Brooklinewise/status/922395372026191873","922395372026191873")</f>
        <v>922395372026191873</v>
      </c>
      <c r="F1241" s="23" t="s">
        <v>39</v>
      </c>
      <c r="G1241" s="24">
        <v>667.0</v>
      </c>
      <c r="H1241" s="24">
        <v>898.0</v>
      </c>
      <c r="I1241" s="24">
        <v>26.0</v>
      </c>
      <c r="J1241" s="24">
        <v>0.0</v>
      </c>
      <c r="K1241" s="23" t="s">
        <v>34</v>
      </c>
      <c r="L1241" s="25">
        <v>41679.73726851852</v>
      </c>
      <c r="M1241" s="28"/>
      <c r="N1241" s="26" t="s">
        <v>3167</v>
      </c>
      <c r="O1241" s="22" t="str">
        <f>HYPERLINK("https://pbs.twimg.com/profile_images/597878384895533057/e7TfJcy8_normal.jpg","View")</f>
        <v>View</v>
      </c>
      <c r="P1241" s="27"/>
    </row>
    <row r="1242">
      <c r="A1242" s="14">
        <v>43031.10615740741</v>
      </c>
      <c r="B1242" s="20" t="str">
        <f>HYPERLINK("https://twitter.com/rksinghghodasar","@rksinghghodasar")</f>
        <v>@rksinghghodasar</v>
      </c>
      <c r="C1242" s="21" t="s">
        <v>3168</v>
      </c>
      <c r="D1242" s="21" t="s">
        <v>42</v>
      </c>
      <c r="E1242" s="22" t="str">
        <f>HYPERLINK("https://twitter.com/rksinghghodasar/status/922395387305934848","922395387305934848")</f>
        <v>922395387305934848</v>
      </c>
      <c r="F1242" s="23" t="s">
        <v>33</v>
      </c>
      <c r="G1242" s="24">
        <v>761.0</v>
      </c>
      <c r="H1242" s="24">
        <v>2006.0</v>
      </c>
      <c r="I1242" s="24">
        <v>8501.0</v>
      </c>
      <c r="J1242" s="24">
        <v>0.0</v>
      </c>
      <c r="K1242" s="23" t="s">
        <v>34</v>
      </c>
      <c r="L1242" s="25">
        <v>41010.2428125</v>
      </c>
      <c r="M1242" s="28"/>
      <c r="N1242" s="26" t="s">
        <v>3169</v>
      </c>
      <c r="O1242" s="22" t="str">
        <f>HYPERLINK("https://pbs.twimg.com/profile_images/378800000399438996/ea224afcbb61fa39a3856f9414323835_normal.jpeg","View")</f>
        <v>View</v>
      </c>
      <c r="P1242" s="27"/>
    </row>
    <row r="1243">
      <c r="A1243" s="14">
        <v>43031.10618055555</v>
      </c>
      <c r="B1243" s="20" t="str">
        <f>HYPERLINK("https://twitter.com/jdmedia2000","@jdmedia2000")</f>
        <v>@jdmedia2000</v>
      </c>
      <c r="C1243" s="21" t="s">
        <v>3170</v>
      </c>
      <c r="D1243" s="21" t="s">
        <v>3171</v>
      </c>
      <c r="E1243" s="22" t="str">
        <f>HYPERLINK("https://twitter.com/jdmedia2000/status/922395396776882176","922395396776882176")</f>
        <v>922395396776882176</v>
      </c>
      <c r="F1243" s="23" t="s">
        <v>33</v>
      </c>
      <c r="G1243" s="24">
        <v>401.0</v>
      </c>
      <c r="H1243" s="24">
        <v>1092.0</v>
      </c>
      <c r="I1243" s="24">
        <v>0.0</v>
      </c>
      <c r="J1243" s="24">
        <v>0.0</v>
      </c>
      <c r="K1243" s="23" t="s">
        <v>34</v>
      </c>
      <c r="L1243" s="25">
        <v>41370.31806712963</v>
      </c>
      <c r="M1243" s="28"/>
      <c r="N1243" s="28"/>
      <c r="O1243" s="22" t="str">
        <f>HYPERLINK("https://pbs.twimg.com/profile_images/552624535942746112/SlOcqjQ5_normal.jpeg","View")</f>
        <v>View</v>
      </c>
      <c r="P1243" s="27"/>
    </row>
    <row r="1244">
      <c r="A1244" s="14">
        <v>43031.106192129635</v>
      </c>
      <c r="B1244" s="20" t="str">
        <f>HYPERLINK("https://twitter.com/khannasachin76","@khannasachin76")</f>
        <v>@khannasachin76</v>
      </c>
      <c r="C1244" s="21" t="s">
        <v>3172</v>
      </c>
      <c r="D1244" s="21" t="s">
        <v>42</v>
      </c>
      <c r="E1244" s="22" t="str">
        <f>HYPERLINK("https://twitter.com/khannasachin76/status/922395399725334528","922395399725334528")</f>
        <v>922395399725334528</v>
      </c>
      <c r="F1244" s="23" t="s">
        <v>33</v>
      </c>
      <c r="G1244" s="24">
        <v>41.0</v>
      </c>
      <c r="H1244" s="24">
        <v>54.0</v>
      </c>
      <c r="I1244" s="24">
        <v>8501.0</v>
      </c>
      <c r="J1244" s="24">
        <v>0.0</v>
      </c>
      <c r="K1244" s="23" t="s">
        <v>34</v>
      </c>
      <c r="L1244" s="25">
        <v>40102.888761574075</v>
      </c>
      <c r="M1244" s="26" t="s">
        <v>164</v>
      </c>
      <c r="N1244" s="28"/>
      <c r="O1244" s="22" t="str">
        <f>HYPERLINK("https://pbs.twimg.com/profile_images/471853551023452161/YS3T9tA6_normal.jpeg","View")</f>
        <v>View</v>
      </c>
      <c r="P1244" s="27"/>
    </row>
    <row r="1245">
      <c r="A1245" s="14">
        <v>43031.10622685185</v>
      </c>
      <c r="B1245" s="20" t="str">
        <f>HYPERLINK("https://twitter.com/CIQ979896","@CIQ979896")</f>
        <v>@CIQ979896</v>
      </c>
      <c r="C1245" s="21" t="s">
        <v>3173</v>
      </c>
      <c r="D1245" s="21" t="s">
        <v>42</v>
      </c>
      <c r="E1245" s="22" t="str">
        <f>HYPERLINK("https://twitter.com/CIQ979896/status/922395412480212992","922395412480212992")</f>
        <v>922395412480212992</v>
      </c>
      <c r="F1245" s="23" t="s">
        <v>33</v>
      </c>
      <c r="G1245" s="24">
        <v>0.0</v>
      </c>
      <c r="H1245" s="24">
        <v>123.0</v>
      </c>
      <c r="I1245" s="24">
        <v>8501.0</v>
      </c>
      <c r="J1245" s="24">
        <v>0.0</v>
      </c>
      <c r="K1245" s="23" t="s">
        <v>34</v>
      </c>
      <c r="L1245" s="25">
        <v>43028.36956018519</v>
      </c>
      <c r="M1245" s="28"/>
      <c r="N1245" s="28"/>
      <c r="O1245" s="22" t="str">
        <f>HYPERLINK("https://abs.twimg.com/sticky/default_profile_images/default_profile_normal.png","View")</f>
        <v>View</v>
      </c>
      <c r="P1245" s="27"/>
    </row>
    <row r="1246">
      <c r="A1246" s="14">
        <v>43031.106261574074</v>
      </c>
      <c r="B1246" s="20" t="str">
        <f>HYPERLINK("https://twitter.com/veerHpatidar","@veerHpatidar")</f>
        <v>@veerHpatidar</v>
      </c>
      <c r="C1246" s="21" t="s">
        <v>3174</v>
      </c>
      <c r="D1246" s="21" t="s">
        <v>42</v>
      </c>
      <c r="E1246" s="22" t="str">
        <f>HYPERLINK("https://twitter.com/veerHpatidar/status/922395424480165891","922395424480165891")</f>
        <v>922395424480165891</v>
      </c>
      <c r="F1246" s="23" t="s">
        <v>39</v>
      </c>
      <c r="G1246" s="24">
        <v>253.0</v>
      </c>
      <c r="H1246" s="24">
        <v>1219.0</v>
      </c>
      <c r="I1246" s="24">
        <v>8501.0</v>
      </c>
      <c r="J1246" s="24">
        <v>0.0</v>
      </c>
      <c r="K1246" s="23" t="s">
        <v>34</v>
      </c>
      <c r="L1246" s="25">
        <v>42459.62546296296</v>
      </c>
      <c r="M1246" s="26" t="s">
        <v>3175</v>
      </c>
      <c r="N1246" s="26" t="s">
        <v>3176</v>
      </c>
      <c r="O1246" s="22" t="str">
        <f>HYPERLINK("https://pbs.twimg.com/profile_images/884316428085678080/M2PW3Z7C_normal.jpg","View")</f>
        <v>View</v>
      </c>
      <c r="P1246" s="27"/>
    </row>
    <row r="1247">
      <c r="A1247" s="14">
        <v>43031.106261574074</v>
      </c>
      <c r="B1247" s="20" t="str">
        <f>HYPERLINK("https://twitter.com/ELLESORaC","@ELLESORaC")</f>
        <v>@ELLESORaC</v>
      </c>
      <c r="C1247" s="21" t="s">
        <v>3177</v>
      </c>
      <c r="D1247" s="21" t="s">
        <v>3178</v>
      </c>
      <c r="E1247" s="22" t="str">
        <f>HYPERLINK("https://twitter.com/ELLESORaC/status/922395427965616128","922395427965616128")</f>
        <v>922395427965616128</v>
      </c>
      <c r="F1247" s="23" t="s">
        <v>55</v>
      </c>
      <c r="G1247" s="24">
        <v>364.0</v>
      </c>
      <c r="H1247" s="24">
        <v>618.0</v>
      </c>
      <c r="I1247" s="24">
        <v>6.0</v>
      </c>
      <c r="J1247" s="24">
        <v>0.0</v>
      </c>
      <c r="K1247" s="23" t="s">
        <v>34</v>
      </c>
      <c r="L1247" s="25">
        <v>41772.378703703704</v>
      </c>
      <c r="M1247" s="26" t="s">
        <v>3179</v>
      </c>
      <c r="N1247" s="26" t="s">
        <v>3180</v>
      </c>
      <c r="O1247" s="22" t="str">
        <f>HYPERLINK("https://pbs.twimg.com/profile_images/918840618935185409/FnNH0CtK_normal.jpg","View")</f>
        <v>View</v>
      </c>
      <c r="P1247" s="27"/>
    </row>
    <row r="1248">
      <c r="A1248" s="14">
        <v>43031.10627314815</v>
      </c>
      <c r="B1248" s="20" t="str">
        <f>HYPERLINK("https://twitter.com/87allahabad","@87allahabad")</f>
        <v>@87allahabad</v>
      </c>
      <c r="C1248" s="21" t="s">
        <v>3181</v>
      </c>
      <c r="D1248" s="21" t="s">
        <v>42</v>
      </c>
      <c r="E1248" s="22" t="str">
        <f>HYPERLINK("https://twitter.com/87allahabad/status/922395429299306496","922395429299306496")</f>
        <v>922395429299306496</v>
      </c>
      <c r="F1248" s="23" t="s">
        <v>33</v>
      </c>
      <c r="G1248" s="24">
        <v>353.0</v>
      </c>
      <c r="H1248" s="24">
        <v>250.0</v>
      </c>
      <c r="I1248" s="24">
        <v>8501.0</v>
      </c>
      <c r="J1248" s="24">
        <v>0.0</v>
      </c>
      <c r="K1248" s="23" t="s">
        <v>34</v>
      </c>
      <c r="L1248" s="25">
        <v>42101.41621527778</v>
      </c>
      <c r="M1248" s="28"/>
      <c r="N1248" s="28"/>
      <c r="O1248" s="22" t="str">
        <f>HYPERLINK("https://pbs.twimg.com/profile_images/829334293637890049/cYK_VimI_normal.jpg","View")</f>
        <v>View</v>
      </c>
      <c r="P1248" s="27"/>
    </row>
    <row r="1249">
      <c r="A1249" s="14">
        <v>43031.10637731482</v>
      </c>
      <c r="B1249" s="20" t="str">
        <f>HYPERLINK("https://twitter.com/maluqman","@maluqman")</f>
        <v>@maluqman</v>
      </c>
      <c r="C1249" s="21" t="s">
        <v>3182</v>
      </c>
      <c r="D1249" s="21" t="s">
        <v>3183</v>
      </c>
      <c r="E1249" s="22" t="str">
        <f>HYPERLINK("https://twitter.com/maluqman/status/922395467236995072","922395467236995072")</f>
        <v>922395467236995072</v>
      </c>
      <c r="F1249" s="23" t="s">
        <v>33</v>
      </c>
      <c r="G1249" s="24">
        <v>774.0</v>
      </c>
      <c r="H1249" s="24">
        <v>2025.0</v>
      </c>
      <c r="I1249" s="24">
        <v>0.0</v>
      </c>
      <c r="J1249" s="24">
        <v>0.0</v>
      </c>
      <c r="K1249" s="23" t="s">
        <v>34</v>
      </c>
      <c r="L1249" s="25">
        <v>40709.18099537037</v>
      </c>
      <c r="M1249" s="26" t="s">
        <v>3184</v>
      </c>
      <c r="N1249" s="26" t="s">
        <v>3185</v>
      </c>
      <c r="O1249" s="22" t="str">
        <f>HYPERLINK("https://pbs.twimg.com/profile_images/658289520882921472/vr5J9qNQ_normal.jpg","View")</f>
        <v>View</v>
      </c>
      <c r="P1249" s="27"/>
    </row>
    <row r="1250">
      <c r="A1250" s="14">
        <v>43031.10640046296</v>
      </c>
      <c r="B1250" s="20" t="str">
        <f>HYPERLINK("https://twitter.com/PunnedIt55","@PunnedIt55")</f>
        <v>@PunnedIt55</v>
      </c>
      <c r="C1250" s="21" t="s">
        <v>3186</v>
      </c>
      <c r="D1250" s="21" t="s">
        <v>2456</v>
      </c>
      <c r="E1250" s="22" t="str">
        <f>HYPERLINK("https://twitter.com/PunnedIt55/status/922395477332676608","922395477332676608")</f>
        <v>922395477332676608</v>
      </c>
      <c r="F1250" s="23" t="s">
        <v>55</v>
      </c>
      <c r="G1250" s="24">
        <v>2868.0</v>
      </c>
      <c r="H1250" s="24">
        <v>110.0</v>
      </c>
      <c r="I1250" s="24">
        <v>49.0</v>
      </c>
      <c r="J1250" s="24">
        <v>0.0</v>
      </c>
      <c r="K1250" s="23" t="s">
        <v>34</v>
      </c>
      <c r="L1250" s="25">
        <v>41704.42753472222</v>
      </c>
      <c r="M1250" s="26" t="s">
        <v>3187</v>
      </c>
      <c r="N1250" s="26" t="s">
        <v>3188</v>
      </c>
      <c r="O1250" s="22" t="str">
        <f>HYPERLINK("https://pbs.twimg.com/profile_images/441653179105562624/yPpdlOmH_normal.jpeg","View")</f>
        <v>View</v>
      </c>
      <c r="P1250" s="27"/>
    </row>
    <row r="1251">
      <c r="A1251" s="14">
        <v>43031.10642361111</v>
      </c>
      <c r="B1251" s="20" t="str">
        <f>HYPERLINK("https://twitter.com/anal0gr","@anal0gr")</f>
        <v>@anal0gr</v>
      </c>
      <c r="C1251" s="21" t="s">
        <v>3189</v>
      </c>
      <c r="D1251" s="21" t="s">
        <v>3190</v>
      </c>
      <c r="E1251" s="22" t="str">
        <f>HYPERLINK("https://twitter.com/anal0gr/status/922395486639808512","922395486639808512")</f>
        <v>922395486639808512</v>
      </c>
      <c r="F1251" s="23" t="s">
        <v>187</v>
      </c>
      <c r="G1251" s="24">
        <v>267.0</v>
      </c>
      <c r="H1251" s="24">
        <v>249.0</v>
      </c>
      <c r="I1251" s="24">
        <v>0.0</v>
      </c>
      <c r="J1251" s="24">
        <v>0.0</v>
      </c>
      <c r="K1251" s="23" t="s">
        <v>34</v>
      </c>
      <c r="L1251" s="25">
        <v>40029.10319444444</v>
      </c>
      <c r="M1251" s="26" t="s">
        <v>3191</v>
      </c>
      <c r="N1251" s="26" t="s">
        <v>3192</v>
      </c>
      <c r="O1251" s="22" t="str">
        <f>HYPERLINK("https://pbs.twimg.com/profile_images/2881480750/e85c86dd5f4d2a30e1b676241d40f3d7_normal.jpeg","View")</f>
        <v>View</v>
      </c>
      <c r="P1251" s="27"/>
    </row>
    <row r="1252">
      <c r="A1252" s="14">
        <v>43031.10644675926</v>
      </c>
      <c r="B1252" s="20" t="str">
        <f>HYPERLINK("https://twitter.com/adi31141","@adi31141")</f>
        <v>@adi31141</v>
      </c>
      <c r="C1252" s="21" t="s">
        <v>3193</v>
      </c>
      <c r="D1252" s="21" t="s">
        <v>42</v>
      </c>
      <c r="E1252" s="22" t="str">
        <f>HYPERLINK("https://twitter.com/adi31141/status/922395494789402624","922395494789402624")</f>
        <v>922395494789402624</v>
      </c>
      <c r="F1252" s="23" t="s">
        <v>33</v>
      </c>
      <c r="G1252" s="24">
        <v>89.0</v>
      </c>
      <c r="H1252" s="24">
        <v>469.0</v>
      </c>
      <c r="I1252" s="24">
        <v>8501.0</v>
      </c>
      <c r="J1252" s="24">
        <v>0.0</v>
      </c>
      <c r="K1252" s="23" t="s">
        <v>34</v>
      </c>
      <c r="L1252" s="25">
        <v>40073.416493055556</v>
      </c>
      <c r="M1252" s="26" t="s">
        <v>3194</v>
      </c>
      <c r="N1252" s="26" t="s">
        <v>3195</v>
      </c>
      <c r="O1252" s="22" t="str">
        <f>HYPERLINK("https://pbs.twimg.com/profile_images/419781190669709312/ZeEieED3_normal.jpeg","View")</f>
        <v>View</v>
      </c>
      <c r="P1252" s="27"/>
    </row>
    <row r="1253">
      <c r="A1253" s="14">
        <v>43031.10648148148</v>
      </c>
      <c r="B1253" s="20" t="str">
        <f>HYPERLINK("https://twitter.com/TopFiveTraders","@TopFiveTraders")</f>
        <v>@TopFiveTraders</v>
      </c>
      <c r="C1253" s="21" t="s">
        <v>1984</v>
      </c>
      <c r="D1253" s="21" t="s">
        <v>3196</v>
      </c>
      <c r="E1253" s="22" t="str">
        <f>HYPERLINK("https://twitter.com/TopFiveTraders/status/922395505728081920","922395505728081920")</f>
        <v>922395505728081920</v>
      </c>
      <c r="F1253" s="23" t="s">
        <v>187</v>
      </c>
      <c r="G1253" s="24">
        <v>8168.0</v>
      </c>
      <c r="H1253" s="24">
        <v>6711.0</v>
      </c>
      <c r="I1253" s="24">
        <v>0.0</v>
      </c>
      <c r="J1253" s="24">
        <v>0.0</v>
      </c>
      <c r="K1253" s="23" t="s">
        <v>34</v>
      </c>
      <c r="L1253" s="25">
        <v>41573.484201388885</v>
      </c>
      <c r="M1253" s="26" t="s">
        <v>1986</v>
      </c>
      <c r="N1253" s="26" t="s">
        <v>1987</v>
      </c>
      <c r="O1253" s="22" t="str">
        <f>HYPERLINK("https://pbs.twimg.com/profile_images/729113141444026370/hi202Ffp_normal.jpg","View")</f>
        <v>View</v>
      </c>
      <c r="P1253" s="27"/>
    </row>
    <row r="1254">
      <c r="A1254" s="14">
        <v>43031.10648148148</v>
      </c>
      <c r="B1254" s="20" t="str">
        <f>HYPERLINK("https://twitter.com/TeeKay118","@TeeKay118")</f>
        <v>@TeeKay118</v>
      </c>
      <c r="C1254" s="21" t="s">
        <v>3197</v>
      </c>
      <c r="D1254" s="21" t="s">
        <v>42</v>
      </c>
      <c r="E1254" s="22" t="str">
        <f>HYPERLINK("https://twitter.com/TeeKay118/status/922395507799896065","922395507799896065")</f>
        <v>922395507799896065</v>
      </c>
      <c r="F1254" s="23" t="s">
        <v>39</v>
      </c>
      <c r="G1254" s="24">
        <v>2255.0</v>
      </c>
      <c r="H1254" s="24">
        <v>3023.0</v>
      </c>
      <c r="I1254" s="24">
        <v>8501.0</v>
      </c>
      <c r="J1254" s="24">
        <v>0.0</v>
      </c>
      <c r="K1254" s="23" t="s">
        <v>34</v>
      </c>
      <c r="L1254" s="25">
        <v>39931.77858796297</v>
      </c>
      <c r="M1254" s="26" t="s">
        <v>3198</v>
      </c>
      <c r="N1254" s="26" t="s">
        <v>3199</v>
      </c>
      <c r="O1254" s="22" t="str">
        <f>HYPERLINK("https://pbs.twimg.com/profile_images/797953344778051586/gC2nA4YE_normal.jpg","View")</f>
        <v>View</v>
      </c>
      <c r="P1254" s="27"/>
    </row>
    <row r="1255">
      <c r="A1255" s="14">
        <v>43031.106516203705</v>
      </c>
      <c r="B1255" s="20" t="str">
        <f>HYPERLINK("https://twitter.com/AOZDU","@AOZDU")</f>
        <v>@AOZDU</v>
      </c>
      <c r="C1255" s="21" t="s">
        <v>3200</v>
      </c>
      <c r="D1255" s="21" t="s">
        <v>3201</v>
      </c>
      <c r="E1255" s="22" t="str">
        <f>HYPERLINK("https://twitter.com/AOZDU/status/922395516897513473","922395516897513473")</f>
        <v>922395516897513473</v>
      </c>
      <c r="F1255" s="23" t="s">
        <v>187</v>
      </c>
      <c r="G1255" s="24">
        <v>236.0</v>
      </c>
      <c r="H1255" s="24">
        <v>583.0</v>
      </c>
      <c r="I1255" s="24">
        <v>0.0</v>
      </c>
      <c r="J1255" s="24">
        <v>0.0</v>
      </c>
      <c r="K1255" s="23" t="s">
        <v>34</v>
      </c>
      <c r="L1255" s="25">
        <v>42812.10858796297</v>
      </c>
      <c r="M1255" s="26" t="s">
        <v>3202</v>
      </c>
      <c r="N1255" s="26" t="s">
        <v>3203</v>
      </c>
      <c r="O1255" s="22" t="str">
        <f>HYPERLINK("https://pbs.twimg.com/profile_images/845561588182605826/D0a7AYat_normal.jpg","View")</f>
        <v>View</v>
      </c>
      <c r="P1255" s="27"/>
    </row>
    <row r="1256">
      <c r="A1256" s="14">
        <v>43031.106562500005</v>
      </c>
      <c r="B1256" s="20" t="str">
        <f>HYPERLINK("https://twitter.com/9NewsAdel","@9NewsAdel")</f>
        <v>@9NewsAdel</v>
      </c>
      <c r="C1256" s="21" t="s">
        <v>3204</v>
      </c>
      <c r="D1256" s="21" t="s">
        <v>3205</v>
      </c>
      <c r="E1256" s="22" t="str">
        <f>HYPERLINK("https://twitter.com/9NewsAdel/status/922395536384282624","922395536384282624")</f>
        <v>922395536384282624</v>
      </c>
      <c r="F1256" s="23" t="s">
        <v>427</v>
      </c>
      <c r="G1256" s="24">
        <v>63826.0</v>
      </c>
      <c r="H1256" s="24">
        <v>1257.0</v>
      </c>
      <c r="I1256" s="24">
        <v>13.0</v>
      </c>
      <c r="J1256" s="24">
        <v>0.0</v>
      </c>
      <c r="K1256" s="23" t="s">
        <v>34</v>
      </c>
      <c r="L1256" s="25">
        <v>40603.73584490741</v>
      </c>
      <c r="M1256" s="26" t="s">
        <v>3206</v>
      </c>
      <c r="N1256" s="26" t="s">
        <v>3207</v>
      </c>
      <c r="O1256" s="22" t="str">
        <f>HYPERLINK("https://pbs.twimg.com/profile_images/877746000869302273/3O37Gvrv_normal.jpg","View")</f>
        <v>View</v>
      </c>
      <c r="P1256" s="27"/>
    </row>
    <row r="1257">
      <c r="A1257" s="14">
        <v>43031.10663194444</v>
      </c>
      <c r="B1257" s="20" t="str">
        <f>HYPERLINK("https://twitter.com/keshav196","@keshav196")</f>
        <v>@keshav196</v>
      </c>
      <c r="C1257" s="21" t="s">
        <v>3208</v>
      </c>
      <c r="D1257" s="21" t="s">
        <v>42</v>
      </c>
      <c r="E1257" s="22" t="str">
        <f>HYPERLINK("https://twitter.com/keshav196/status/922395558295175168","922395558295175168")</f>
        <v>922395558295175168</v>
      </c>
      <c r="F1257" s="23" t="s">
        <v>33</v>
      </c>
      <c r="G1257" s="24">
        <v>143.0</v>
      </c>
      <c r="H1257" s="24">
        <v>238.0</v>
      </c>
      <c r="I1257" s="24">
        <v>8501.0</v>
      </c>
      <c r="J1257" s="24">
        <v>0.0</v>
      </c>
      <c r="K1257" s="23" t="s">
        <v>34</v>
      </c>
      <c r="L1257" s="25">
        <v>42441.42896990741</v>
      </c>
      <c r="M1257" s="28"/>
      <c r="N1257" s="28"/>
      <c r="O1257" s="22" t="str">
        <f>HYPERLINK("https://pbs.twimg.com/profile_images/708721892027269121/yva1ZLme_normal.jpg","View")</f>
        <v>View</v>
      </c>
      <c r="P1257" s="27"/>
    </row>
    <row r="1258">
      <c r="A1258" s="14">
        <v>43031.10664351852</v>
      </c>
      <c r="B1258" s="20" t="str">
        <f>HYPERLINK("https://twitter.com/9NewsGoldCoast","@9NewsGoldCoast")</f>
        <v>@9NewsGoldCoast</v>
      </c>
      <c r="C1258" s="21" t="s">
        <v>3209</v>
      </c>
      <c r="D1258" s="21" t="s">
        <v>3205</v>
      </c>
      <c r="E1258" s="22" t="str">
        <f>HYPERLINK("https://twitter.com/9NewsGoldCoast/status/922395565861765121","922395565861765121")</f>
        <v>922395565861765121</v>
      </c>
      <c r="F1258" s="23" t="s">
        <v>427</v>
      </c>
      <c r="G1258" s="24">
        <v>32779.0</v>
      </c>
      <c r="H1258" s="24">
        <v>417.0</v>
      </c>
      <c r="I1258" s="24">
        <v>13.0</v>
      </c>
      <c r="J1258" s="24">
        <v>0.0</v>
      </c>
      <c r="K1258" s="23" t="s">
        <v>34</v>
      </c>
      <c r="L1258" s="25">
        <v>39926.78637731481</v>
      </c>
      <c r="M1258" s="26" t="s">
        <v>3210</v>
      </c>
      <c r="N1258" s="26" t="s">
        <v>3211</v>
      </c>
      <c r="O1258" s="22" t="str">
        <f>HYPERLINK("https://pbs.twimg.com/profile_images/885748850949931008/HDWtBHqA_normal.jpg","View")</f>
        <v>View</v>
      </c>
      <c r="P1258" s="27"/>
    </row>
    <row r="1259">
      <c r="A1259" s="14">
        <v>43031.10665509259</v>
      </c>
      <c r="B1259" s="20" t="str">
        <f>HYPERLINK("https://twitter.com/Akhiles74188642","@Akhiles74188642")</f>
        <v>@Akhiles74188642</v>
      </c>
      <c r="C1259" s="21" t="s">
        <v>3212</v>
      </c>
      <c r="D1259" s="21" t="s">
        <v>42</v>
      </c>
      <c r="E1259" s="22" t="str">
        <f>HYPERLINK("https://twitter.com/Akhiles74188642/status/922395566696415232","922395566696415232")</f>
        <v>922395566696415232</v>
      </c>
      <c r="F1259" s="23" t="s">
        <v>33</v>
      </c>
      <c r="G1259" s="24">
        <v>1.0</v>
      </c>
      <c r="H1259" s="24">
        <v>86.0</v>
      </c>
      <c r="I1259" s="24">
        <v>8501.0</v>
      </c>
      <c r="J1259" s="24">
        <v>0.0</v>
      </c>
      <c r="K1259" s="23" t="s">
        <v>34</v>
      </c>
      <c r="L1259" s="25">
        <v>42995.03722222222</v>
      </c>
      <c r="M1259" s="28"/>
      <c r="N1259" s="28"/>
      <c r="O1259" s="22" t="str">
        <f>HYPERLINK("https://abs.twimg.com/sticky/default_profile_images/default_profile_normal.png","View")</f>
        <v>View</v>
      </c>
      <c r="P1259" s="27"/>
    </row>
    <row r="1260">
      <c r="A1260" s="14">
        <v>43031.10670138889</v>
      </c>
      <c r="B1260" s="20" t="str">
        <f>HYPERLINK("https://twitter.com/9NewsMelb","@9NewsMelb")</f>
        <v>@9NewsMelb</v>
      </c>
      <c r="C1260" s="21" t="s">
        <v>3213</v>
      </c>
      <c r="D1260" s="21" t="s">
        <v>3205</v>
      </c>
      <c r="E1260" s="22" t="str">
        <f>HYPERLINK("https://twitter.com/9NewsMelb/status/922395583398150144","922395583398150144")</f>
        <v>922395583398150144</v>
      </c>
      <c r="F1260" s="23" t="s">
        <v>427</v>
      </c>
      <c r="G1260" s="24">
        <v>109622.0</v>
      </c>
      <c r="H1260" s="24">
        <v>2396.0</v>
      </c>
      <c r="I1260" s="24">
        <v>13.0</v>
      </c>
      <c r="J1260" s="24">
        <v>0.0</v>
      </c>
      <c r="K1260" s="23" t="s">
        <v>34</v>
      </c>
      <c r="L1260" s="25">
        <v>40415.731412037036</v>
      </c>
      <c r="M1260" s="26" t="s">
        <v>3214</v>
      </c>
      <c r="N1260" s="26" t="s">
        <v>3215</v>
      </c>
      <c r="O1260" s="22" t="str">
        <f>HYPERLINK("https://pbs.twimg.com/profile_images/877785910724526080/sYvXIhVN_normal.jpg","View")</f>
        <v>View</v>
      </c>
      <c r="P1260" s="27"/>
    </row>
    <row r="1261">
      <c r="A1261" s="14">
        <v>43031.10674768519</v>
      </c>
      <c r="B1261" s="20" t="str">
        <f>HYPERLINK("https://twitter.com/9NewsQueensland","@9NewsQueensland")</f>
        <v>@9NewsQueensland</v>
      </c>
      <c r="C1261" s="21" t="s">
        <v>3216</v>
      </c>
      <c r="D1261" s="21" t="s">
        <v>3205</v>
      </c>
      <c r="E1261" s="22" t="str">
        <f>HYPERLINK("https://twitter.com/9NewsQueensland/status/922395601630883840","922395601630883840")</f>
        <v>922395601630883840</v>
      </c>
      <c r="F1261" s="23" t="s">
        <v>427</v>
      </c>
      <c r="G1261" s="24">
        <v>122996.0</v>
      </c>
      <c r="H1261" s="24">
        <v>9849.0</v>
      </c>
      <c r="I1261" s="24">
        <v>13.0</v>
      </c>
      <c r="J1261" s="24">
        <v>0.0</v>
      </c>
      <c r="K1261" s="23" t="s">
        <v>34</v>
      </c>
      <c r="L1261" s="25">
        <v>39931.80144675926</v>
      </c>
      <c r="M1261" s="26" t="s">
        <v>3217</v>
      </c>
      <c r="N1261" s="26" t="s">
        <v>3218</v>
      </c>
      <c r="O1261" s="22" t="str">
        <f>HYPERLINK("https://pbs.twimg.com/profile_images/885748332525535232/wYlhX41t_normal.jpg","View")</f>
        <v>View</v>
      </c>
      <c r="P1261" s="27"/>
    </row>
    <row r="1262">
      <c r="A1262" s="14">
        <v>43031.10675925926</v>
      </c>
      <c r="B1262" s="20" t="str">
        <f>HYPERLINK("https://twitter.com/pascalrossini","@pascalrossini")</f>
        <v>@pascalrossini</v>
      </c>
      <c r="C1262" s="21" t="s">
        <v>3219</v>
      </c>
      <c r="D1262" s="21" t="s">
        <v>3220</v>
      </c>
      <c r="E1262" s="22" t="str">
        <f>HYPERLINK("https://twitter.com/pascalrossini/status/922395604424282112","922395604424282112")</f>
        <v>922395604424282112</v>
      </c>
      <c r="F1262" s="23" t="s">
        <v>187</v>
      </c>
      <c r="G1262" s="24">
        <v>5425.0</v>
      </c>
      <c r="H1262" s="24">
        <v>3686.0</v>
      </c>
      <c r="I1262" s="24">
        <v>0.0</v>
      </c>
      <c r="J1262" s="24">
        <v>0.0</v>
      </c>
      <c r="K1262" s="23" t="s">
        <v>34</v>
      </c>
      <c r="L1262" s="25">
        <v>39153.028657407405</v>
      </c>
      <c r="M1262" s="26" t="s">
        <v>3221</v>
      </c>
      <c r="N1262" s="26" t="s">
        <v>3222</v>
      </c>
      <c r="O1262" s="22" t="str">
        <f>HYPERLINK("https://pbs.twimg.com/profile_images/480719474102784000/kwxym9nP_normal.jpeg","View")</f>
        <v>View</v>
      </c>
      <c r="P1262" s="27"/>
    </row>
    <row r="1263">
      <c r="A1263" s="14">
        <v>43031.10679398148</v>
      </c>
      <c r="B1263" s="20" t="str">
        <f>HYPERLINK("https://twitter.com/9NewsSyd","@9NewsSyd")</f>
        <v>@9NewsSyd</v>
      </c>
      <c r="C1263" s="21" t="s">
        <v>3223</v>
      </c>
      <c r="D1263" s="21" t="s">
        <v>3205</v>
      </c>
      <c r="E1263" s="22" t="str">
        <f>HYPERLINK("https://twitter.com/9NewsSyd/status/922395620102561792","922395620102561792")</f>
        <v>922395620102561792</v>
      </c>
      <c r="F1263" s="23" t="s">
        <v>427</v>
      </c>
      <c r="G1263" s="24">
        <v>84680.0</v>
      </c>
      <c r="H1263" s="24">
        <v>193.0</v>
      </c>
      <c r="I1263" s="24">
        <v>13.0</v>
      </c>
      <c r="J1263" s="24">
        <v>0.0</v>
      </c>
      <c r="K1263" s="23" t="s">
        <v>34</v>
      </c>
      <c r="L1263" s="25">
        <v>40386.95015046296</v>
      </c>
      <c r="M1263" s="26" t="s">
        <v>3224</v>
      </c>
      <c r="N1263" s="26" t="s">
        <v>3225</v>
      </c>
      <c r="O1263" s="22" t="str">
        <f>HYPERLINK("https://pbs.twimg.com/profile_images/907488269503307777/8mFEvP-2_normal.jpg","View")</f>
        <v>View</v>
      </c>
      <c r="P1263" s="27"/>
    </row>
    <row r="1264">
      <c r="A1264" s="14">
        <v>43031.1069212963</v>
      </c>
      <c r="B1264" s="20" t="str">
        <f>HYPERLINK("https://twitter.com/davidtaylor1916","@davidtaylor1916")</f>
        <v>@davidtaylor1916</v>
      </c>
      <c r="C1264" s="21" t="s">
        <v>3226</v>
      </c>
      <c r="D1264" s="21" t="s">
        <v>3227</v>
      </c>
      <c r="E1264" s="22" t="str">
        <f>HYPERLINK("https://twitter.com/davidtaylor1916/status/922395663652048896","922395663652048896")</f>
        <v>922395663652048896</v>
      </c>
      <c r="F1264" s="23" t="s">
        <v>39</v>
      </c>
      <c r="G1264" s="24">
        <v>2392.0</v>
      </c>
      <c r="H1264" s="24">
        <v>1960.0</v>
      </c>
      <c r="I1264" s="24">
        <v>61.0</v>
      </c>
      <c r="J1264" s="24">
        <v>0.0</v>
      </c>
      <c r="K1264" s="23" t="s">
        <v>34</v>
      </c>
      <c r="L1264" s="25">
        <v>41386.57519675926</v>
      </c>
      <c r="M1264" s="28"/>
      <c r="N1264" s="26" t="s">
        <v>3228</v>
      </c>
      <c r="O1264" s="22" t="str">
        <f>HYPERLINK("https://pbs.twimg.com/profile_images/3601215656/bbe69359a596131c121c55d3390725e7_normal.jpeg","View")</f>
        <v>View</v>
      </c>
      <c r="P1264" s="27"/>
    </row>
    <row r="1265">
      <c r="A1265" s="14">
        <v>43031.10700231481</v>
      </c>
      <c r="B1265" s="20" t="str">
        <f>HYPERLINK("https://twitter.com/hskenncutter","@hskenncutter")</f>
        <v>@hskenncutter</v>
      </c>
      <c r="C1265" s="21" t="s">
        <v>3229</v>
      </c>
      <c r="D1265" s="21" t="s">
        <v>3178</v>
      </c>
      <c r="E1265" s="22" t="str">
        <f>HYPERLINK("https://twitter.com/hskenncutter/status/922395693414735872","922395693414735872")</f>
        <v>922395693414735872</v>
      </c>
      <c r="F1265" s="23" t="s">
        <v>33</v>
      </c>
      <c r="G1265" s="24">
        <v>2624.0</v>
      </c>
      <c r="H1265" s="24">
        <v>2728.0</v>
      </c>
      <c r="I1265" s="24">
        <v>6.0</v>
      </c>
      <c r="J1265" s="24">
        <v>0.0</v>
      </c>
      <c r="K1265" s="23" t="s">
        <v>34</v>
      </c>
      <c r="L1265" s="25">
        <v>40205.74252314815</v>
      </c>
      <c r="M1265" s="26" t="s">
        <v>3230</v>
      </c>
      <c r="N1265" s="26" t="s">
        <v>3231</v>
      </c>
      <c r="O1265" s="22" t="str">
        <f>HYPERLINK("https://pbs.twimg.com/profile_images/910962924553854976/4U-8Xm0N_normal.jpg","View")</f>
        <v>View</v>
      </c>
      <c r="P1265" s="27"/>
    </row>
    <row r="1266">
      <c r="A1266" s="14">
        <v>43031.10701388889</v>
      </c>
      <c r="B1266" s="20" t="str">
        <f>HYPERLINK("https://twitter.com/BejahNEWS","@BejahNEWS")</f>
        <v>@BejahNEWS</v>
      </c>
      <c r="C1266" s="21" t="s">
        <v>3232</v>
      </c>
      <c r="D1266" s="21" t="s">
        <v>3233</v>
      </c>
      <c r="E1266" s="22" t="str">
        <f>HYPERLINK("https://twitter.com/BejahNEWS/status/922395699865620480","922395699865620480")</f>
        <v>922395699865620480</v>
      </c>
      <c r="F1266" s="23" t="s">
        <v>1119</v>
      </c>
      <c r="G1266" s="24">
        <v>10151.0</v>
      </c>
      <c r="H1266" s="24">
        <v>10167.0</v>
      </c>
      <c r="I1266" s="24">
        <v>0.0</v>
      </c>
      <c r="J1266" s="24">
        <v>0.0</v>
      </c>
      <c r="K1266" s="23" t="s">
        <v>34</v>
      </c>
      <c r="L1266" s="25">
        <v>40944.122835648144</v>
      </c>
      <c r="M1266" s="26" t="s">
        <v>3234</v>
      </c>
      <c r="N1266" s="26" t="s">
        <v>3235</v>
      </c>
      <c r="O1266" s="22" t="str">
        <f>HYPERLINK("https://pbs.twimg.com/profile_images/1805750945/news__LOGO_NEWS__Reduced__normal.JPG","View")</f>
        <v>View</v>
      </c>
      <c r="P1266" s="27"/>
    </row>
    <row r="1267">
      <c r="A1267" s="14">
        <v>43031.1072337963</v>
      </c>
      <c r="B1267" s="20" t="str">
        <f>HYPERLINK("https://twitter.com/rafabueno59","@rafabueno59")</f>
        <v>@rafabueno59</v>
      </c>
      <c r="C1267" s="21" t="s">
        <v>3236</v>
      </c>
      <c r="D1267" s="21" t="s">
        <v>3237</v>
      </c>
      <c r="E1267" s="22" t="str">
        <f>HYPERLINK("https://twitter.com/rafabueno59/status/922395778592706560","922395778592706560")</f>
        <v>922395778592706560</v>
      </c>
      <c r="F1267" s="23" t="s">
        <v>33</v>
      </c>
      <c r="G1267" s="24">
        <v>320.0</v>
      </c>
      <c r="H1267" s="24">
        <v>314.0</v>
      </c>
      <c r="I1267" s="24">
        <v>1.0</v>
      </c>
      <c r="J1267" s="24">
        <v>0.0</v>
      </c>
      <c r="K1267" s="23" t="s">
        <v>34</v>
      </c>
      <c r="L1267" s="25">
        <v>40511.64803240741</v>
      </c>
      <c r="M1267" s="26" t="s">
        <v>3238</v>
      </c>
      <c r="N1267" s="26" t="s">
        <v>3239</v>
      </c>
      <c r="O1267" s="22" t="str">
        <f>HYPERLINK("https://pbs.twimg.com/profile_images/730351920674689024/zXIf0uCS_normal.jpg","View")</f>
        <v>View</v>
      </c>
      <c r="P1267" s="27"/>
    </row>
    <row r="1268">
      <c r="A1268" s="14">
        <v>43031.10728009259</v>
      </c>
      <c r="B1268" s="20" t="str">
        <f>HYPERLINK("https://twitter.com/RielHolganza","@RielHolganza")</f>
        <v>@RielHolganza</v>
      </c>
      <c r="C1268" s="21" t="s">
        <v>3240</v>
      </c>
      <c r="D1268" s="21" t="s">
        <v>3241</v>
      </c>
      <c r="E1268" s="22" t="str">
        <f>HYPERLINK("https://twitter.com/RielHolganza/status/922395794686251009","922395794686251009")</f>
        <v>922395794686251009</v>
      </c>
      <c r="F1268" s="23" t="s">
        <v>187</v>
      </c>
      <c r="G1268" s="24">
        <v>80.0</v>
      </c>
      <c r="H1268" s="24">
        <v>347.0</v>
      </c>
      <c r="I1268" s="24">
        <v>0.0</v>
      </c>
      <c r="J1268" s="24">
        <v>0.0</v>
      </c>
      <c r="K1268" s="23" t="s">
        <v>34</v>
      </c>
      <c r="L1268" s="25">
        <v>41051.8506712963</v>
      </c>
      <c r="M1268" s="26" t="s">
        <v>3242</v>
      </c>
      <c r="N1268" s="26" t="s">
        <v>3243</v>
      </c>
      <c r="O1268" s="22" t="str">
        <f>HYPERLINK("https://pbs.twimg.com/profile_images/820646370524545024/BUuC2m0H_normal.jpg","View")</f>
        <v>View</v>
      </c>
      <c r="P1268" s="27"/>
    </row>
    <row r="1269">
      <c r="A1269" s="14">
        <v>43031.10738425926</v>
      </c>
      <c r="B1269" s="20" t="str">
        <f>HYPERLINK("https://twitter.com/ogataKCHGIM","@ogataKCHGIM")</f>
        <v>@ogataKCHGIM</v>
      </c>
      <c r="C1269" s="21" t="s">
        <v>3244</v>
      </c>
      <c r="D1269" s="21" t="s">
        <v>3245</v>
      </c>
      <c r="E1269" s="22" t="str">
        <f>HYPERLINK("https://twitter.com/ogataKCHGIM/status/922395833156321280","922395833156321280")</f>
        <v>922395833156321280</v>
      </c>
      <c r="F1269" s="23" t="s">
        <v>230</v>
      </c>
      <c r="G1269" s="24">
        <v>1718.0</v>
      </c>
      <c r="H1269" s="24">
        <v>1001.0</v>
      </c>
      <c r="I1269" s="24">
        <v>6.0</v>
      </c>
      <c r="J1269" s="24">
        <v>0.0</v>
      </c>
      <c r="K1269" s="23" t="s">
        <v>34</v>
      </c>
      <c r="L1269" s="25">
        <v>40396.14730324074</v>
      </c>
      <c r="M1269" s="26" t="s">
        <v>3246</v>
      </c>
      <c r="N1269" s="26" t="s">
        <v>3247</v>
      </c>
      <c r="O1269" s="22" t="str">
        <f>HYPERLINK("https://pbs.twimg.com/profile_images/888592519507746816/JMXtgrD__normal.jpg","View")</f>
        <v>View</v>
      </c>
      <c r="P1269" s="27"/>
    </row>
    <row r="1270">
      <c r="A1270" s="14">
        <v>43031.10741898148</v>
      </c>
      <c r="B1270" s="20" t="str">
        <f>HYPERLINK("https://twitter.com/the_real_udit","@the_real_udit")</f>
        <v>@the_real_udit</v>
      </c>
      <c r="C1270" s="21" t="s">
        <v>3248</v>
      </c>
      <c r="D1270" s="21" t="s">
        <v>42</v>
      </c>
      <c r="E1270" s="22" t="str">
        <f>HYPERLINK("https://twitter.com/the_real_udit/status/922395844388691968","922395844388691968")</f>
        <v>922395844388691968</v>
      </c>
      <c r="F1270" s="23" t="s">
        <v>33</v>
      </c>
      <c r="G1270" s="24">
        <v>43.0</v>
      </c>
      <c r="H1270" s="24">
        <v>118.0</v>
      </c>
      <c r="I1270" s="24">
        <v>8501.0</v>
      </c>
      <c r="J1270" s="24">
        <v>0.0</v>
      </c>
      <c r="K1270" s="23" t="s">
        <v>34</v>
      </c>
      <c r="L1270" s="25">
        <v>42362.802523148144</v>
      </c>
      <c r="M1270" s="26" t="s">
        <v>3249</v>
      </c>
      <c r="N1270" s="26" t="s">
        <v>3250</v>
      </c>
      <c r="O1270" s="22" t="str">
        <f>HYPERLINK("https://pbs.twimg.com/profile_images/884720177019052032/ejlU4NYk_normal.jpg","View")</f>
        <v>View</v>
      </c>
      <c r="P1270" s="27"/>
    </row>
    <row r="1271">
      <c r="A1271" s="14">
        <v>43031.10741898148</v>
      </c>
      <c r="B1271" s="20" t="str">
        <f>HYPERLINK("https://twitter.com/rcrohitc","@rcrohitc")</f>
        <v>@rcrohitc</v>
      </c>
      <c r="C1271" s="21" t="s">
        <v>3251</v>
      </c>
      <c r="D1271" s="21" t="s">
        <v>42</v>
      </c>
      <c r="E1271" s="22" t="str">
        <f>HYPERLINK("https://twitter.com/rcrohitc/status/922395844623532034","922395844623532034")</f>
        <v>922395844623532034</v>
      </c>
      <c r="F1271" s="23" t="s">
        <v>33</v>
      </c>
      <c r="G1271" s="24">
        <v>44.0</v>
      </c>
      <c r="H1271" s="24">
        <v>147.0</v>
      </c>
      <c r="I1271" s="24">
        <v>8501.0</v>
      </c>
      <c r="J1271" s="24">
        <v>0.0</v>
      </c>
      <c r="K1271" s="23" t="s">
        <v>34</v>
      </c>
      <c r="L1271" s="25">
        <v>42279.37804398148</v>
      </c>
      <c r="M1271" s="26" t="s">
        <v>2356</v>
      </c>
      <c r="N1271" s="28"/>
      <c r="O1271" s="22" t="str">
        <f>HYPERLINK("https://pbs.twimg.com/profile_images/649979000949858304/Utxpolcr_normal.jpg","View")</f>
        <v>View</v>
      </c>
      <c r="P1271" s="27"/>
    </row>
    <row r="1272">
      <c r="A1272" s="14">
        <v>43031.10752314815</v>
      </c>
      <c r="B1272" s="20" t="str">
        <f>HYPERLINK("https://twitter.com/vikas9890309098","@vikas9890309098")</f>
        <v>@vikas9890309098</v>
      </c>
      <c r="C1272" s="21" t="s">
        <v>3252</v>
      </c>
      <c r="D1272" s="21" t="s">
        <v>42</v>
      </c>
      <c r="E1272" s="22" t="str">
        <f>HYPERLINK("https://twitter.com/vikas9890309098/status/922395882707750912","922395882707750912")</f>
        <v>922395882707750912</v>
      </c>
      <c r="F1272" s="23" t="s">
        <v>33</v>
      </c>
      <c r="G1272" s="24">
        <v>53.0</v>
      </c>
      <c r="H1272" s="24">
        <v>158.0</v>
      </c>
      <c r="I1272" s="24">
        <v>8501.0</v>
      </c>
      <c r="J1272" s="24">
        <v>0.0</v>
      </c>
      <c r="K1272" s="23" t="s">
        <v>34</v>
      </c>
      <c r="L1272" s="25">
        <v>42353.22042824074</v>
      </c>
      <c r="M1272" s="28"/>
      <c r="N1272" s="26" t="s">
        <v>3253</v>
      </c>
      <c r="O1272" s="22" t="str">
        <f>HYPERLINK("https://pbs.twimg.com/profile_images/915139298369822721/v6fucmjh_normal.jpg","View")</f>
        <v>View</v>
      </c>
      <c r="P1272" s="27"/>
    </row>
    <row r="1273">
      <c r="A1273" s="14">
        <v>43031.10761574074</v>
      </c>
      <c r="B1273" s="20" t="str">
        <f>HYPERLINK("https://twitter.com/Orgetorix","@Orgetorix")</f>
        <v>@Orgetorix</v>
      </c>
      <c r="C1273" s="21" t="s">
        <v>3254</v>
      </c>
      <c r="D1273" s="21" t="s">
        <v>3255</v>
      </c>
      <c r="E1273" s="22" t="str">
        <f>HYPERLINK("https://twitter.com/Orgetorix/status/922395918544064512","922395918544064512")</f>
        <v>922395918544064512</v>
      </c>
      <c r="F1273" s="23" t="s">
        <v>55</v>
      </c>
      <c r="G1273" s="24">
        <v>3411.0</v>
      </c>
      <c r="H1273" s="24">
        <v>5001.0</v>
      </c>
      <c r="I1273" s="24">
        <v>1.0</v>
      </c>
      <c r="J1273" s="24">
        <v>0.0</v>
      </c>
      <c r="K1273" s="23" t="s">
        <v>34</v>
      </c>
      <c r="L1273" s="25">
        <v>39888.9191087963</v>
      </c>
      <c r="M1273" s="26" t="s">
        <v>40</v>
      </c>
      <c r="N1273" s="26" t="s">
        <v>3256</v>
      </c>
      <c r="O1273" s="22" t="str">
        <f>HYPERLINK("https://pbs.twimg.com/profile_images/3082717867/20845cf67d93f95a09bf879b63c61c74_normal.jpeg","View")</f>
        <v>View</v>
      </c>
      <c r="P1273" s="27"/>
    </row>
    <row r="1274">
      <c r="A1274" s="14">
        <v>43031.10765046296</v>
      </c>
      <c r="B1274" s="20" t="str">
        <f>HYPERLINK("https://twitter.com/CarolynMCash","@CarolynMCash")</f>
        <v>@CarolynMCash</v>
      </c>
      <c r="C1274" s="21" t="s">
        <v>3257</v>
      </c>
      <c r="D1274" s="21" t="s">
        <v>3205</v>
      </c>
      <c r="E1274" s="22" t="str">
        <f>HYPERLINK("https://twitter.com/CarolynMCash/status/922395928459296768","922395928459296768")</f>
        <v>922395928459296768</v>
      </c>
      <c r="F1274" s="23" t="s">
        <v>769</v>
      </c>
      <c r="G1274" s="24">
        <v>352.0</v>
      </c>
      <c r="H1274" s="24">
        <v>249.0</v>
      </c>
      <c r="I1274" s="24">
        <v>13.0</v>
      </c>
      <c r="J1274" s="24">
        <v>0.0</v>
      </c>
      <c r="K1274" s="23" t="s">
        <v>34</v>
      </c>
      <c r="L1274" s="25">
        <v>40399.28046296296</v>
      </c>
      <c r="M1274" s="26" t="s">
        <v>3258</v>
      </c>
      <c r="N1274" s="26" t="s">
        <v>3259</v>
      </c>
      <c r="O1274" s="22" t="str">
        <f>HYPERLINK("https://pbs.twimg.com/profile_images/702694783874039808/XGt0DC2z_normal.jpg","View")</f>
        <v>View</v>
      </c>
      <c r="P1274" s="27"/>
    </row>
    <row r="1275">
      <c r="A1275" s="14">
        <v>43031.10769675926</v>
      </c>
      <c r="B1275" s="20" t="str">
        <f>HYPERLINK("https://twitter.com/Prings07444284","@Prings07444284")</f>
        <v>@Prings07444284</v>
      </c>
      <c r="C1275" s="21" t="s">
        <v>3260</v>
      </c>
      <c r="D1275" s="21" t="s">
        <v>42</v>
      </c>
      <c r="E1275" s="22" t="str">
        <f>HYPERLINK("https://twitter.com/Prings07444284/status/922395946587013121","922395946587013121")</f>
        <v>922395946587013121</v>
      </c>
      <c r="F1275" s="23" t="s">
        <v>33</v>
      </c>
      <c r="G1275" s="24">
        <v>0.0</v>
      </c>
      <c r="H1275" s="24">
        <v>95.0</v>
      </c>
      <c r="I1275" s="24">
        <v>8501.0</v>
      </c>
      <c r="J1275" s="24">
        <v>0.0</v>
      </c>
      <c r="K1275" s="23" t="s">
        <v>34</v>
      </c>
      <c r="L1275" s="25">
        <v>43022.9721412037</v>
      </c>
      <c r="M1275" s="28"/>
      <c r="N1275" s="28"/>
      <c r="O1275" s="22" t="str">
        <f>HYPERLINK("https://abs.twimg.com/sticky/default_profile_images/default_profile_normal.png","View")</f>
        <v>View</v>
      </c>
      <c r="P1275" s="27"/>
    </row>
    <row r="1276">
      <c r="A1276" s="14">
        <v>43031.10784722222</v>
      </c>
      <c r="B1276" s="20" t="str">
        <f>HYPERLINK("https://twitter.com/Lalitsh111997","@Lalitsh111997")</f>
        <v>@Lalitsh111997</v>
      </c>
      <c r="C1276" s="21" t="s">
        <v>3261</v>
      </c>
      <c r="D1276" s="21" t="s">
        <v>42</v>
      </c>
      <c r="E1276" s="22" t="str">
        <f>HYPERLINK("https://twitter.com/Lalitsh111997/status/922395999460515841","922395999460515841")</f>
        <v>922395999460515841</v>
      </c>
      <c r="F1276" s="23" t="s">
        <v>33</v>
      </c>
      <c r="G1276" s="24">
        <v>4.0</v>
      </c>
      <c r="H1276" s="24">
        <v>10.0</v>
      </c>
      <c r="I1276" s="24">
        <v>8501.0</v>
      </c>
      <c r="J1276" s="24">
        <v>0.0</v>
      </c>
      <c r="K1276" s="23" t="s">
        <v>34</v>
      </c>
      <c r="L1276" s="25">
        <v>42846.5530787037</v>
      </c>
      <c r="M1276" s="26" t="s">
        <v>3262</v>
      </c>
      <c r="N1276" s="26" t="s">
        <v>3263</v>
      </c>
      <c r="O1276" s="22" t="str">
        <f>HYPERLINK("https://pbs.twimg.com/profile_images/922395319727407106/33ii1sFH_normal.jpg","View")</f>
        <v>View</v>
      </c>
      <c r="P1276" s="27"/>
    </row>
    <row r="1277">
      <c r="A1277" s="14">
        <v>43031.1078587963</v>
      </c>
      <c r="B1277" s="20" t="str">
        <f>HYPERLINK("https://twitter.com/cgnetwork","@cgnetwork")</f>
        <v>@cgnetwork</v>
      </c>
      <c r="C1277" s="21" t="s">
        <v>1891</v>
      </c>
      <c r="D1277" s="21" t="s">
        <v>3264</v>
      </c>
      <c r="E1277" s="22" t="str">
        <f>HYPERLINK("https://twitter.com/cgnetwork/status/922396002937602049","922396002937602049")</f>
        <v>922396002937602049</v>
      </c>
      <c r="F1277" s="23" t="s">
        <v>91</v>
      </c>
      <c r="G1277" s="24">
        <v>1173.0</v>
      </c>
      <c r="H1277" s="24">
        <v>497.0</v>
      </c>
      <c r="I1277" s="24">
        <v>0.0</v>
      </c>
      <c r="J1277" s="24">
        <v>0.0</v>
      </c>
      <c r="K1277" s="23" t="s">
        <v>34</v>
      </c>
      <c r="L1277" s="25">
        <v>39992.06197916667</v>
      </c>
      <c r="M1277" s="26" t="s">
        <v>1893</v>
      </c>
      <c r="N1277" s="26" t="s">
        <v>1894</v>
      </c>
      <c r="O1277" s="22" t="str">
        <f>HYPERLINK("https://pbs.twimg.com/profile_images/286683233/Francis_Lim_Passport_Size_photo_image.jpg_normal.jpg","View")</f>
        <v>View</v>
      </c>
      <c r="P1277" s="27"/>
    </row>
    <row r="1278">
      <c r="A1278" s="14">
        <v>43031.107881944445</v>
      </c>
      <c r="B1278" s="20" t="str">
        <f>HYPERLINK("https://twitter.com/ABKamalapur","@ABKamalapur")</f>
        <v>@ABKamalapur</v>
      </c>
      <c r="C1278" s="21" t="s">
        <v>3265</v>
      </c>
      <c r="D1278" s="21" t="s">
        <v>42</v>
      </c>
      <c r="E1278" s="22" t="str">
        <f>HYPERLINK("https://twitter.com/ABKamalapur/status/922396011233918977","922396011233918977")</f>
        <v>922396011233918977</v>
      </c>
      <c r="F1278" s="23" t="s">
        <v>33</v>
      </c>
      <c r="G1278" s="24">
        <v>83.0</v>
      </c>
      <c r="H1278" s="24">
        <v>22.0</v>
      </c>
      <c r="I1278" s="24">
        <v>8501.0</v>
      </c>
      <c r="J1278" s="24">
        <v>0.0</v>
      </c>
      <c r="K1278" s="23" t="s">
        <v>34</v>
      </c>
      <c r="L1278" s="25">
        <v>41784.253113425926</v>
      </c>
      <c r="M1278" s="26" t="s">
        <v>3266</v>
      </c>
      <c r="N1278" s="28"/>
      <c r="O1278" s="22" t="str">
        <f>HYPERLINK("https://pbs.twimg.com/profile_images/595197972951871488/THHZZ-ED_normal.jpg","View")</f>
        <v>View</v>
      </c>
      <c r="P1278" s="27"/>
    </row>
    <row r="1279">
      <c r="A1279" s="14">
        <v>43031.107881944445</v>
      </c>
      <c r="B1279" s="20" t="str">
        <f>HYPERLINK("https://twitter.com/Abhijit18691164","@Abhijit18691164")</f>
        <v>@Abhijit18691164</v>
      </c>
      <c r="C1279" s="21" t="s">
        <v>3267</v>
      </c>
      <c r="D1279" s="21" t="s">
        <v>42</v>
      </c>
      <c r="E1279" s="22" t="str">
        <f>HYPERLINK("https://twitter.com/Abhijit18691164/status/922396014840913921","922396014840913921")</f>
        <v>922396014840913921</v>
      </c>
      <c r="F1279" s="23" t="s">
        <v>33</v>
      </c>
      <c r="G1279" s="24">
        <v>105.0</v>
      </c>
      <c r="H1279" s="24">
        <v>1523.0</v>
      </c>
      <c r="I1279" s="24">
        <v>8501.0</v>
      </c>
      <c r="J1279" s="24">
        <v>0.0</v>
      </c>
      <c r="K1279" s="23" t="s">
        <v>34</v>
      </c>
      <c r="L1279" s="25">
        <v>43014.949270833335</v>
      </c>
      <c r="M1279" s="26" t="s">
        <v>204</v>
      </c>
      <c r="N1279" s="28"/>
      <c r="O1279" s="22" t="str">
        <f>HYPERLINK("https://pbs.twimg.com/profile_images/916541306540666881/Whfcc_0l_normal.jpg","View")</f>
        <v>View</v>
      </c>
      <c r="P1279" s="27"/>
    </row>
    <row r="1280">
      <c r="A1280" s="14">
        <v>43031.10791666667</v>
      </c>
      <c r="B1280" s="20" t="str">
        <f>HYPERLINK("https://twitter.com/shinobu71152284","@shinobu71152284")</f>
        <v>@shinobu71152284</v>
      </c>
      <c r="C1280" s="21" t="s">
        <v>3268</v>
      </c>
      <c r="D1280" s="21" t="s">
        <v>42</v>
      </c>
      <c r="E1280" s="22" t="str">
        <f>HYPERLINK("https://twitter.com/shinobu71152284/status/922396027184758784","922396027184758784")</f>
        <v>922396027184758784</v>
      </c>
      <c r="F1280" s="23" t="s">
        <v>39</v>
      </c>
      <c r="G1280" s="24">
        <v>1293.0</v>
      </c>
      <c r="H1280" s="24">
        <v>1437.0</v>
      </c>
      <c r="I1280" s="24">
        <v>8501.0</v>
      </c>
      <c r="J1280" s="24">
        <v>0.0</v>
      </c>
      <c r="K1280" s="23" t="s">
        <v>34</v>
      </c>
      <c r="L1280" s="25">
        <v>41791.781805555554</v>
      </c>
      <c r="M1280" s="28"/>
      <c r="N1280" s="26" t="s">
        <v>3269</v>
      </c>
      <c r="O1280" s="22" t="str">
        <f>HYPERLINK("https://pbs.twimg.com/profile_images/473280288823332864/wC0uSOVw_normal.jpeg","View")</f>
        <v>View</v>
      </c>
      <c r="P1280" s="27"/>
    </row>
    <row r="1281">
      <c r="A1281" s="14">
        <v>43031.10796296297</v>
      </c>
      <c r="B1281" s="20" t="str">
        <f>HYPERLINK("https://twitter.com/hotter22","@hotter22")</f>
        <v>@hotter22</v>
      </c>
      <c r="C1281" s="21" t="s">
        <v>3140</v>
      </c>
      <c r="D1281" s="21" t="s">
        <v>513</v>
      </c>
      <c r="E1281" s="22" t="str">
        <f>HYPERLINK("https://twitter.com/hotter22/status/922396041529266177","922396041529266177")</f>
        <v>922396041529266177</v>
      </c>
      <c r="F1281" s="23" t="s">
        <v>230</v>
      </c>
      <c r="G1281" s="24">
        <v>178.0</v>
      </c>
      <c r="H1281" s="24">
        <v>185.0</v>
      </c>
      <c r="I1281" s="24">
        <v>101.0</v>
      </c>
      <c r="J1281" s="24">
        <v>0.0</v>
      </c>
      <c r="K1281" s="23" t="s">
        <v>34</v>
      </c>
      <c r="L1281" s="25">
        <v>39953.12740740741</v>
      </c>
      <c r="M1281" s="26" t="s">
        <v>3141</v>
      </c>
      <c r="N1281" s="26" t="s">
        <v>3142</v>
      </c>
      <c r="O1281" s="22" t="str">
        <f>HYPERLINK("https://pbs.twimg.com/profile_images/721877414393982976/O9ZD9sUL_normal.jpg","View")</f>
        <v>View</v>
      </c>
      <c r="P1281" s="27"/>
    </row>
    <row r="1282">
      <c r="A1282" s="14">
        <v>43031.10797453704</v>
      </c>
      <c r="B1282" s="20" t="str">
        <f>HYPERLINK("https://twitter.com/Lukaku_touch9","@Lukaku_touch9")</f>
        <v>@Lukaku_touch9</v>
      </c>
      <c r="C1282" s="21" t="s">
        <v>3270</v>
      </c>
      <c r="D1282" s="21" t="s">
        <v>42</v>
      </c>
      <c r="E1282" s="22" t="str">
        <f>HYPERLINK("https://twitter.com/Lukaku_touch9/status/922396047732645890","922396047732645890")</f>
        <v>922396047732645890</v>
      </c>
      <c r="F1282" s="23" t="s">
        <v>33</v>
      </c>
      <c r="G1282" s="24">
        <v>549.0</v>
      </c>
      <c r="H1282" s="24">
        <v>5003.0</v>
      </c>
      <c r="I1282" s="24">
        <v>8501.0</v>
      </c>
      <c r="J1282" s="24">
        <v>0.0</v>
      </c>
      <c r="K1282" s="23" t="s">
        <v>34</v>
      </c>
      <c r="L1282" s="25">
        <v>40239.336377314816</v>
      </c>
      <c r="M1282" s="26" t="s">
        <v>3271</v>
      </c>
      <c r="N1282" s="28"/>
      <c r="O1282" s="22" t="str">
        <f>HYPERLINK("https://pbs.twimg.com/profile_images/909793583187689472/3D_nTiSI_normal.jpg","View")</f>
        <v>View</v>
      </c>
      <c r="P1282" s="27"/>
    </row>
    <row r="1283">
      <c r="A1283" s="14">
        <v>43031.10802083333</v>
      </c>
      <c r="B1283" s="20" t="str">
        <f>HYPERLINK("https://twitter.com/imesskay","@imesskay")</f>
        <v>@imesskay</v>
      </c>
      <c r="C1283" s="21" t="s">
        <v>3272</v>
      </c>
      <c r="D1283" s="21" t="s">
        <v>42</v>
      </c>
      <c r="E1283" s="22" t="str">
        <f>HYPERLINK("https://twitter.com/imesskay/status/922396065529184257","922396065529184257")</f>
        <v>922396065529184257</v>
      </c>
      <c r="F1283" s="23" t="s">
        <v>33</v>
      </c>
      <c r="G1283" s="24">
        <v>259.0</v>
      </c>
      <c r="H1283" s="24">
        <v>90.0</v>
      </c>
      <c r="I1283" s="24">
        <v>8501.0</v>
      </c>
      <c r="J1283" s="24">
        <v>0.0</v>
      </c>
      <c r="K1283" s="23" t="s">
        <v>34</v>
      </c>
      <c r="L1283" s="25">
        <v>40285.39650462963</v>
      </c>
      <c r="M1283" s="26" t="s">
        <v>3273</v>
      </c>
      <c r="N1283" s="26" t="s">
        <v>3274</v>
      </c>
      <c r="O1283" s="22" t="str">
        <f>HYPERLINK("https://pbs.twimg.com/profile_images/784402474052358145/mXHh9uEk_normal.jpg","View")</f>
        <v>View</v>
      </c>
      <c r="P1283" s="27"/>
    </row>
    <row r="1284">
      <c r="A1284" s="14">
        <v>43031.10804398148</v>
      </c>
      <c r="B1284" s="20" t="str">
        <f>HYPERLINK("https://twitter.com/rudra_klsh","@rudra_klsh")</f>
        <v>@rudra_klsh</v>
      </c>
      <c r="C1284" s="21" t="s">
        <v>3275</v>
      </c>
      <c r="D1284" s="21" t="s">
        <v>42</v>
      </c>
      <c r="E1284" s="22" t="str">
        <f>HYPERLINK("https://twitter.com/rudra_klsh/status/922396073565372416","922396073565372416")</f>
        <v>922396073565372416</v>
      </c>
      <c r="F1284" s="23" t="s">
        <v>33</v>
      </c>
      <c r="G1284" s="24">
        <v>357.0</v>
      </c>
      <c r="H1284" s="24">
        <v>593.0</v>
      </c>
      <c r="I1284" s="24">
        <v>8501.0</v>
      </c>
      <c r="J1284" s="24">
        <v>0.0</v>
      </c>
      <c r="K1284" s="23" t="s">
        <v>34</v>
      </c>
      <c r="L1284" s="25">
        <v>40495.98396990741</v>
      </c>
      <c r="M1284" s="28"/>
      <c r="N1284" s="26" t="s">
        <v>3276</v>
      </c>
      <c r="O1284" s="22" t="str">
        <f>HYPERLINK("https://pbs.twimg.com/profile_images/816349233825677314/QMeXL8ls_normal.jpg","View")</f>
        <v>View</v>
      </c>
      <c r="P1284" s="27"/>
    </row>
    <row r="1285">
      <c r="A1285" s="14">
        <v>43031.108136574076</v>
      </c>
      <c r="B1285" s="20" t="str">
        <f>HYPERLINK("https://twitter.com/drhussein_ismal","@drhussein_ismal")</f>
        <v>@drhussein_ismal</v>
      </c>
      <c r="C1285" s="21" t="s">
        <v>2485</v>
      </c>
      <c r="D1285" s="21" t="s">
        <v>179</v>
      </c>
      <c r="E1285" s="22" t="str">
        <f>HYPERLINK("https://twitter.com/drhussein_ismal/status/922396105815609344","922396105815609344")</f>
        <v>922396105815609344</v>
      </c>
      <c r="F1285" s="23" t="s">
        <v>39</v>
      </c>
      <c r="G1285" s="24">
        <v>235.0</v>
      </c>
      <c r="H1285" s="24">
        <v>566.0</v>
      </c>
      <c r="I1285" s="24">
        <v>30.0</v>
      </c>
      <c r="J1285" s="24">
        <v>0.0</v>
      </c>
      <c r="K1285" s="23" t="s">
        <v>34</v>
      </c>
      <c r="L1285" s="25">
        <v>41521.5224537037</v>
      </c>
      <c r="M1285" s="28"/>
      <c r="N1285" s="28"/>
      <c r="O1285" s="22" t="str">
        <f>HYPERLINK("https://pbs.twimg.com/profile_images/378800000612583753/311c0309fcc8e0f53d99cd42a9440d46_normal.jpeg","View")</f>
        <v>View</v>
      </c>
      <c r="P1285" s="27"/>
    </row>
    <row r="1286">
      <c r="A1286" s="14">
        <v>43031.108182870375</v>
      </c>
      <c r="B1286" s="20" t="str">
        <f>HYPERLINK("https://twitter.com/PKhanaik","@PKhanaik")</f>
        <v>@PKhanaik</v>
      </c>
      <c r="C1286" s="21" t="s">
        <v>3277</v>
      </c>
      <c r="D1286" s="21" t="s">
        <v>42</v>
      </c>
      <c r="E1286" s="22" t="str">
        <f>HYPERLINK("https://twitter.com/PKhanaik/status/922396123192369153","922396123192369153")</f>
        <v>922396123192369153</v>
      </c>
      <c r="F1286" s="23" t="s">
        <v>33</v>
      </c>
      <c r="G1286" s="24">
        <v>32.0</v>
      </c>
      <c r="H1286" s="24">
        <v>263.0</v>
      </c>
      <c r="I1286" s="24">
        <v>8501.0</v>
      </c>
      <c r="J1286" s="24">
        <v>0.0</v>
      </c>
      <c r="K1286" s="23" t="s">
        <v>34</v>
      </c>
      <c r="L1286" s="25">
        <v>42745.99568287037</v>
      </c>
      <c r="M1286" s="26" t="s">
        <v>3278</v>
      </c>
      <c r="N1286" s="26" t="s">
        <v>3279</v>
      </c>
      <c r="O1286" s="22" t="str">
        <f>HYPERLINK("https://pbs.twimg.com/profile_images/917657739077095424/n0pQ308V_normal.jpg","View")</f>
        <v>View</v>
      </c>
      <c r="P1286" s="27"/>
    </row>
    <row r="1287">
      <c r="A1287" s="14">
        <v>43031.10821759259</v>
      </c>
      <c r="B1287" s="20" t="str">
        <f>HYPERLINK("https://twitter.com/lorrainewhat","@lorrainewhat")</f>
        <v>@lorrainewhat</v>
      </c>
      <c r="C1287" s="21" t="s">
        <v>3280</v>
      </c>
      <c r="D1287" s="21" t="s">
        <v>3205</v>
      </c>
      <c r="E1287" s="22" t="str">
        <f>HYPERLINK("https://twitter.com/lorrainewhat/status/922396133770477568","922396133770477568")</f>
        <v>922396133770477568</v>
      </c>
      <c r="F1287" s="23" t="s">
        <v>55</v>
      </c>
      <c r="G1287" s="24">
        <v>4328.0</v>
      </c>
      <c r="H1287" s="24">
        <v>4134.0</v>
      </c>
      <c r="I1287" s="24">
        <v>13.0</v>
      </c>
      <c r="J1287" s="24">
        <v>0.0</v>
      </c>
      <c r="K1287" s="23" t="s">
        <v>34</v>
      </c>
      <c r="L1287" s="25">
        <v>40962.041863425926</v>
      </c>
      <c r="M1287" s="26" t="s">
        <v>3011</v>
      </c>
      <c r="N1287" s="26" t="s">
        <v>3281</v>
      </c>
      <c r="O1287" s="22" t="str">
        <f>HYPERLINK("https://pbs.twimg.com/profile_images/3199410509/47167264e81924cf845ddcc6149f1d0c_normal.jpeg","View")</f>
        <v>View</v>
      </c>
      <c r="P1287" s="27"/>
    </row>
    <row r="1288">
      <c r="A1288" s="14">
        <v>43031.108252314814</v>
      </c>
      <c r="B1288" s="20" t="str">
        <f>HYPERLINK("https://twitter.com/RoiV_Morin","@RoiV_Morin")</f>
        <v>@RoiV_Morin</v>
      </c>
      <c r="C1288" s="21" t="s">
        <v>3282</v>
      </c>
      <c r="D1288" s="21" t="s">
        <v>3178</v>
      </c>
      <c r="E1288" s="22" t="str">
        <f>HYPERLINK("https://twitter.com/RoiV_Morin/status/922396146567299072","922396146567299072")</f>
        <v>922396146567299072</v>
      </c>
      <c r="F1288" s="23" t="s">
        <v>230</v>
      </c>
      <c r="G1288" s="24">
        <v>183.0</v>
      </c>
      <c r="H1288" s="24">
        <v>174.0</v>
      </c>
      <c r="I1288" s="24">
        <v>6.0</v>
      </c>
      <c r="J1288" s="24">
        <v>0.0</v>
      </c>
      <c r="K1288" s="23" t="s">
        <v>34</v>
      </c>
      <c r="L1288" s="25">
        <v>42127.26013888889</v>
      </c>
      <c r="M1288" s="26" t="s">
        <v>3283</v>
      </c>
      <c r="N1288" s="26" t="s">
        <v>3284</v>
      </c>
      <c r="O1288" s="22" t="str">
        <f>HYPERLINK("https://pbs.twimg.com/profile_images/921419634384896000/BpnbABG6_normal.jpg","View")</f>
        <v>View</v>
      </c>
      <c r="P1288" s="27"/>
    </row>
    <row r="1289">
      <c r="A1289" s="14">
        <v>43031.10828703704</v>
      </c>
      <c r="B1289" s="20" t="str">
        <f>HYPERLINK("https://twitter.com/jah01127","@jah01127")</f>
        <v>@jah01127</v>
      </c>
      <c r="C1289" s="21" t="s">
        <v>3285</v>
      </c>
      <c r="D1289" s="21" t="s">
        <v>42</v>
      </c>
      <c r="E1289" s="22" t="str">
        <f>HYPERLINK("https://twitter.com/jah01127/status/922396158944620544","922396158944620544")</f>
        <v>922396158944620544</v>
      </c>
      <c r="F1289" s="23" t="s">
        <v>230</v>
      </c>
      <c r="G1289" s="24">
        <v>1417.0</v>
      </c>
      <c r="H1289" s="24">
        <v>362.0</v>
      </c>
      <c r="I1289" s="24">
        <v>8501.0</v>
      </c>
      <c r="J1289" s="24">
        <v>0.0</v>
      </c>
      <c r="K1289" s="23" t="s">
        <v>34</v>
      </c>
      <c r="L1289" s="25">
        <v>41320.24086805555</v>
      </c>
      <c r="M1289" s="26" t="s">
        <v>3286</v>
      </c>
      <c r="N1289" s="26" t="s">
        <v>3287</v>
      </c>
      <c r="O1289" s="22" t="str">
        <f>HYPERLINK("https://pbs.twimg.com/profile_images/606704106892173312/rXDKvelH_normal.jpg","View")</f>
        <v>View</v>
      </c>
      <c r="P1289" s="27"/>
    </row>
    <row r="1290">
      <c r="A1290" s="14">
        <v>43031.10851851852</v>
      </c>
      <c r="B1290" s="20" t="str">
        <f>HYPERLINK("https://twitter.com/Ilayara83489480","@Ilayara83489480")</f>
        <v>@Ilayara83489480</v>
      </c>
      <c r="C1290" s="21" t="s">
        <v>3288</v>
      </c>
      <c r="D1290" s="21" t="s">
        <v>42</v>
      </c>
      <c r="E1290" s="22" t="str">
        <f>HYPERLINK("https://twitter.com/Ilayara83489480/status/922396242507808769","922396242507808769")</f>
        <v>922396242507808769</v>
      </c>
      <c r="F1290" s="23" t="s">
        <v>33</v>
      </c>
      <c r="G1290" s="24">
        <v>395.0</v>
      </c>
      <c r="H1290" s="24">
        <v>218.0</v>
      </c>
      <c r="I1290" s="24">
        <v>8501.0</v>
      </c>
      <c r="J1290" s="24">
        <v>0.0</v>
      </c>
      <c r="K1290" s="23" t="s">
        <v>34</v>
      </c>
      <c r="L1290" s="25">
        <v>42522.98077546296</v>
      </c>
      <c r="M1290" s="26" t="s">
        <v>3289</v>
      </c>
      <c r="N1290" s="26" t="s">
        <v>3290</v>
      </c>
      <c r="O1290" s="22" t="str">
        <f>HYPERLINK("https://pbs.twimg.com/profile_images/738345198082654208/l1WToQWT_normal.jpg","View")</f>
        <v>View</v>
      </c>
      <c r="P1290" s="27"/>
    </row>
    <row r="1291">
      <c r="A1291" s="14">
        <v>43031.108564814815</v>
      </c>
      <c r="B1291" s="20" t="str">
        <f>HYPERLINK("https://twitter.com/uniindianews","@uniindianews")</f>
        <v>@uniindianews</v>
      </c>
      <c r="C1291" s="21" t="s">
        <v>3291</v>
      </c>
      <c r="D1291" s="21" t="s">
        <v>3292</v>
      </c>
      <c r="E1291" s="22" t="str">
        <f>HYPERLINK("https://twitter.com/uniindianews/status/922396259658420225","922396259658420225")</f>
        <v>922396259658420225</v>
      </c>
      <c r="F1291" s="23" t="s">
        <v>48</v>
      </c>
      <c r="G1291" s="24">
        <v>1026.0</v>
      </c>
      <c r="H1291" s="24">
        <v>4.0</v>
      </c>
      <c r="I1291" s="24">
        <v>0.0</v>
      </c>
      <c r="J1291" s="24">
        <v>0.0</v>
      </c>
      <c r="K1291" s="23" t="s">
        <v>34</v>
      </c>
      <c r="L1291" s="25">
        <v>42156.292025462964</v>
      </c>
      <c r="M1291" s="26" t="s">
        <v>136</v>
      </c>
      <c r="N1291" s="26" t="s">
        <v>3293</v>
      </c>
      <c r="O1291" s="22" t="str">
        <f>HYPERLINK("https://pbs.twimg.com/profile_images/605374259389554689/PogxCG3n_normal.jpg","View")</f>
        <v>View</v>
      </c>
      <c r="P1291" s="27"/>
    </row>
    <row r="1292">
      <c r="A1292" s="14">
        <v>43031.108622685184</v>
      </c>
      <c r="B1292" s="20" t="str">
        <f>HYPERLINK("https://twitter.com/sumitkulkarni_","@sumitkulkarni_")</f>
        <v>@sumitkulkarni_</v>
      </c>
      <c r="C1292" s="21" t="s">
        <v>3294</v>
      </c>
      <c r="D1292" s="21" t="s">
        <v>42</v>
      </c>
      <c r="E1292" s="22" t="str">
        <f>HYPERLINK("https://twitter.com/sumitkulkarni_/status/922396283171618816","922396283171618816")</f>
        <v>922396283171618816</v>
      </c>
      <c r="F1292" s="23" t="s">
        <v>33</v>
      </c>
      <c r="G1292" s="24">
        <v>12.0</v>
      </c>
      <c r="H1292" s="24">
        <v>63.0</v>
      </c>
      <c r="I1292" s="24">
        <v>8501.0</v>
      </c>
      <c r="J1292" s="24">
        <v>0.0</v>
      </c>
      <c r="K1292" s="23" t="s">
        <v>34</v>
      </c>
      <c r="L1292" s="25">
        <v>42724.09533564815</v>
      </c>
      <c r="M1292" s="26" t="s">
        <v>3295</v>
      </c>
      <c r="N1292" s="28"/>
      <c r="O1292" s="22" t="str">
        <f>HYPERLINK("https://pbs.twimg.com/profile_images/899618745798148097/SsetJRMa_normal.jpg","View")</f>
        <v>View</v>
      </c>
      <c r="P1292" s="27"/>
    </row>
    <row r="1293">
      <c r="A1293" s="14">
        <v>43031.10863425926</v>
      </c>
      <c r="B1293" s="20" t="str">
        <f>HYPERLINK("https://twitter.com/KCTV5","@KCTV5")</f>
        <v>@KCTV5</v>
      </c>
      <c r="C1293" s="21" t="s">
        <v>3296</v>
      </c>
      <c r="D1293" s="21" t="s">
        <v>3297</v>
      </c>
      <c r="E1293" s="22" t="str">
        <f>HYPERLINK("https://twitter.com/KCTV5/status/922396285608562688","922396285608562688")</f>
        <v>922396285608562688</v>
      </c>
      <c r="F1293" s="23" t="s">
        <v>3298</v>
      </c>
      <c r="G1293" s="24">
        <v>141839.0</v>
      </c>
      <c r="H1293" s="24">
        <v>920.0</v>
      </c>
      <c r="I1293" s="24">
        <v>0.0</v>
      </c>
      <c r="J1293" s="24">
        <v>1.0</v>
      </c>
      <c r="K1293" s="23" t="s">
        <v>34</v>
      </c>
      <c r="L1293" s="25">
        <v>39589.52885416667</v>
      </c>
      <c r="M1293" s="26" t="s">
        <v>3299</v>
      </c>
      <c r="N1293" s="26" t="s">
        <v>3300</v>
      </c>
      <c r="O1293" s="22" t="str">
        <f>HYPERLINK("https://pbs.twimg.com/profile_images/899972143068450816/KcrocRbh_normal.jpg","View")</f>
        <v>View</v>
      </c>
      <c r="P1293" s="27"/>
    </row>
    <row r="1294">
      <c r="A1294" s="14">
        <v>43031.10863425926</v>
      </c>
      <c r="B1294" s="20" t="str">
        <f>HYPERLINK("https://twitter.com/drsreerajvs","@drsreerajvs")</f>
        <v>@drsreerajvs</v>
      </c>
      <c r="C1294" s="21" t="s">
        <v>3301</v>
      </c>
      <c r="D1294" s="21" t="s">
        <v>42</v>
      </c>
      <c r="E1294" s="22" t="str">
        <f>HYPERLINK("https://twitter.com/drsreerajvs/status/922396286845882373","922396286845882373")</f>
        <v>922396286845882373</v>
      </c>
      <c r="F1294" s="23" t="s">
        <v>33</v>
      </c>
      <c r="G1294" s="24">
        <v>869.0</v>
      </c>
      <c r="H1294" s="24">
        <v>1325.0</v>
      </c>
      <c r="I1294" s="24">
        <v>8501.0</v>
      </c>
      <c r="J1294" s="24">
        <v>0.0</v>
      </c>
      <c r="K1294" s="23" t="s">
        <v>34</v>
      </c>
      <c r="L1294" s="25">
        <v>40073.96172453704</v>
      </c>
      <c r="M1294" s="26" t="s">
        <v>3302</v>
      </c>
      <c r="N1294" s="26" t="s">
        <v>3303</v>
      </c>
      <c r="O1294" s="22" t="str">
        <f>HYPERLINK("https://pbs.twimg.com/profile_images/781724214512398336/nf2l4BeA_normal.jpg","View")</f>
        <v>View</v>
      </c>
      <c r="P1294" s="27"/>
    </row>
    <row r="1295">
      <c r="A1295" s="14">
        <v>43031.10864583333</v>
      </c>
      <c r="B1295" s="20" t="str">
        <f>HYPERLINK("https://twitter.com/Alpha_Dada","@Alpha_Dada")</f>
        <v>@Alpha_Dada</v>
      </c>
      <c r="C1295" s="21" t="s">
        <v>3304</v>
      </c>
      <c r="D1295" s="21" t="s">
        <v>42</v>
      </c>
      <c r="E1295" s="22" t="str">
        <f>HYPERLINK("https://twitter.com/Alpha_Dada/status/922396290159390720","922396290159390720")</f>
        <v>922396290159390720</v>
      </c>
      <c r="F1295" s="23" t="s">
        <v>33</v>
      </c>
      <c r="G1295" s="24">
        <v>68.0</v>
      </c>
      <c r="H1295" s="24">
        <v>274.0</v>
      </c>
      <c r="I1295" s="24">
        <v>8501.0</v>
      </c>
      <c r="J1295" s="24">
        <v>0.0</v>
      </c>
      <c r="K1295" s="23" t="s">
        <v>34</v>
      </c>
      <c r="L1295" s="25">
        <v>39983.21130787037</v>
      </c>
      <c r="M1295" s="26" t="s">
        <v>3305</v>
      </c>
      <c r="N1295" s="28"/>
      <c r="O1295" s="22" t="str">
        <f>HYPERLINK("https://pbs.twimg.com/profile_images/769298459102945280/A_7VFis8_normal.jpg","View")</f>
        <v>View</v>
      </c>
      <c r="P1295" s="27"/>
    </row>
    <row r="1296">
      <c r="A1296" s="14">
        <v>43031.10864583333</v>
      </c>
      <c r="B1296" s="20" t="str">
        <f>HYPERLINK("https://twitter.com/walkileaks","@walkileaks")</f>
        <v>@walkileaks</v>
      </c>
      <c r="C1296" s="21" t="s">
        <v>3306</v>
      </c>
      <c r="D1296" s="21" t="s">
        <v>3307</v>
      </c>
      <c r="E1296" s="22" t="str">
        <f>HYPERLINK("https://twitter.com/walkileaks/status/922396290750799872","922396290750799872")</f>
        <v>922396290750799872</v>
      </c>
      <c r="F1296" s="30" t="s">
        <v>191</v>
      </c>
      <c r="G1296" s="24">
        <v>530.0</v>
      </c>
      <c r="H1296" s="24">
        <v>739.0</v>
      </c>
      <c r="I1296" s="24">
        <v>0.0</v>
      </c>
      <c r="J1296" s="24">
        <v>0.0</v>
      </c>
      <c r="K1296" s="23" t="s">
        <v>34</v>
      </c>
      <c r="L1296" s="25">
        <v>41239.39423611111</v>
      </c>
      <c r="M1296" s="26" t="s">
        <v>68</v>
      </c>
      <c r="N1296" s="26" t="s">
        <v>3308</v>
      </c>
      <c r="O1296" s="22" t="str">
        <f>HYPERLINK("https://pbs.twimg.com/profile_images/782945569501286401/BOfnIaHw_normal.jpg","View")</f>
        <v>View</v>
      </c>
      <c r="P1296" s="27"/>
    </row>
    <row r="1297">
      <c r="A1297" s="14">
        <v>43031.10865740741</v>
      </c>
      <c r="B1297" s="20" t="str">
        <f>HYPERLINK("https://twitter.com/Goywer","@Goywer")</f>
        <v>@Goywer</v>
      </c>
      <c r="C1297" s="21" t="s">
        <v>3309</v>
      </c>
      <c r="D1297" s="21" t="s">
        <v>32</v>
      </c>
      <c r="E1297" s="22" t="str">
        <f>HYPERLINK("https://twitter.com/Goywer/status/922396292306948096","922396292306948096")</f>
        <v>922396292306948096</v>
      </c>
      <c r="F1297" s="23" t="s">
        <v>33</v>
      </c>
      <c r="G1297" s="24">
        <v>1119.0</v>
      </c>
      <c r="H1297" s="24">
        <v>1096.0</v>
      </c>
      <c r="I1297" s="24">
        <v>471.0</v>
      </c>
      <c r="J1297" s="24">
        <v>0.0</v>
      </c>
      <c r="K1297" s="23" t="s">
        <v>34</v>
      </c>
      <c r="L1297" s="25">
        <v>40623.14790509259</v>
      </c>
      <c r="M1297" s="28"/>
      <c r="N1297" s="26" t="s">
        <v>3310</v>
      </c>
      <c r="O1297" s="22" t="str">
        <f>HYPERLINK("https://pbs.twimg.com/profile_images/799188857619148800/_LFxCPKP_normal.jpg","View")</f>
        <v>View</v>
      </c>
      <c r="P1297" s="27"/>
    </row>
    <row r="1298">
      <c r="A1298" s="14">
        <v>43031.10870370371</v>
      </c>
      <c r="B1298" s="20" t="str">
        <f>HYPERLINK("https://twitter.com/jinxyamy_","@jinxyamy_")</f>
        <v>@jinxyamy_</v>
      </c>
      <c r="C1298" s="21" t="s">
        <v>3311</v>
      </c>
      <c r="D1298" s="21" t="s">
        <v>32</v>
      </c>
      <c r="E1298" s="22" t="str">
        <f>HYPERLINK("https://twitter.com/jinxyamy_/status/922396312162664450","922396312162664450")</f>
        <v>922396312162664450</v>
      </c>
      <c r="F1298" s="23" t="s">
        <v>33</v>
      </c>
      <c r="G1298" s="24">
        <v>88.0</v>
      </c>
      <c r="H1298" s="24">
        <v>289.0</v>
      </c>
      <c r="I1298" s="24">
        <v>471.0</v>
      </c>
      <c r="J1298" s="24">
        <v>0.0</v>
      </c>
      <c r="K1298" s="23" t="s">
        <v>34</v>
      </c>
      <c r="L1298" s="25">
        <v>42181.42835648148</v>
      </c>
      <c r="M1298" s="28"/>
      <c r="N1298" s="26" t="s">
        <v>3312</v>
      </c>
      <c r="O1298" s="22" t="str">
        <f>HYPERLINK("https://pbs.twimg.com/profile_images/894478830949347328/4EhBZL7v_normal.jpg","View")</f>
        <v>View</v>
      </c>
      <c r="P1298" s="27"/>
    </row>
    <row r="1299">
      <c r="A1299" s="14">
        <v>43031.10879629629</v>
      </c>
      <c r="B1299" s="20" t="str">
        <f>HYPERLINK("https://twitter.com/NewsDingo","@NewsDingo")</f>
        <v>@NewsDingo</v>
      </c>
      <c r="C1299" s="21" t="s">
        <v>3313</v>
      </c>
      <c r="D1299" s="21" t="s">
        <v>3314</v>
      </c>
      <c r="E1299" s="22" t="str">
        <f>HYPERLINK("https://twitter.com/NewsDingo/status/922396343892660225","922396343892660225")</f>
        <v>922396343892660225</v>
      </c>
      <c r="F1299" s="23" t="s">
        <v>3315</v>
      </c>
      <c r="G1299" s="24">
        <v>140.0</v>
      </c>
      <c r="H1299" s="24">
        <v>55.0</v>
      </c>
      <c r="I1299" s="24">
        <v>0.0</v>
      </c>
      <c r="J1299" s="24">
        <v>0.0</v>
      </c>
      <c r="K1299" s="23" t="s">
        <v>34</v>
      </c>
      <c r="L1299" s="25">
        <v>40282.52636574074</v>
      </c>
      <c r="M1299" s="26" t="s">
        <v>3316</v>
      </c>
      <c r="N1299" s="26" t="s">
        <v>3317</v>
      </c>
      <c r="O1299" s="22" t="str">
        <f>HYPERLINK("https://pbs.twimg.com/profile_images/823485261/news_dingo_48_normal.gif","View")</f>
        <v>View</v>
      </c>
      <c r="P1299" s="27"/>
    </row>
    <row r="1300">
      <c r="A1300" s="14">
        <v>43031.108819444446</v>
      </c>
      <c r="B1300" s="20" t="str">
        <f>HYPERLINK("https://twitter.com/Shishir63964417","@Shishir63964417")</f>
        <v>@Shishir63964417</v>
      </c>
      <c r="C1300" s="21" t="s">
        <v>3318</v>
      </c>
      <c r="D1300" s="21" t="s">
        <v>42</v>
      </c>
      <c r="E1300" s="22" t="str">
        <f>HYPERLINK("https://twitter.com/Shishir63964417/status/922396355049545730","922396355049545730")</f>
        <v>922396355049545730</v>
      </c>
      <c r="F1300" s="23" t="s">
        <v>33</v>
      </c>
      <c r="G1300" s="24">
        <v>158.0</v>
      </c>
      <c r="H1300" s="24">
        <v>923.0</v>
      </c>
      <c r="I1300" s="24">
        <v>8501.0</v>
      </c>
      <c r="J1300" s="24">
        <v>0.0</v>
      </c>
      <c r="K1300" s="23" t="s">
        <v>34</v>
      </c>
      <c r="L1300" s="25">
        <v>42487.746516203704</v>
      </c>
      <c r="M1300" s="28"/>
      <c r="N1300" s="28"/>
      <c r="O1300" s="22" t="str">
        <f>HYPERLINK("https://pbs.twimg.com/profile_images/793091138706038784/REbgN_la_normal.jpg","View")</f>
        <v>View</v>
      </c>
      <c r="P1300" s="27"/>
    </row>
    <row r="1301">
      <c r="A1301" s="14">
        <v>43031.108831018515</v>
      </c>
      <c r="B1301" s="20" t="str">
        <f>HYPERLINK("https://twitter.com/Jat_APT","@Jat_APT")</f>
        <v>@Jat_APT</v>
      </c>
      <c r="C1301" s="21" t="s">
        <v>3319</v>
      </c>
      <c r="D1301" s="21" t="s">
        <v>2748</v>
      </c>
      <c r="E1301" s="22" t="str">
        <f>HYPERLINK("https://twitter.com/Jat_APT/status/922396358509842437","922396358509842437")</f>
        <v>922396358509842437</v>
      </c>
      <c r="F1301" s="23" t="s">
        <v>39</v>
      </c>
      <c r="G1301" s="24">
        <v>128.0</v>
      </c>
      <c r="H1301" s="24">
        <v>164.0</v>
      </c>
      <c r="I1301" s="24">
        <v>15.0</v>
      </c>
      <c r="J1301" s="24">
        <v>0.0</v>
      </c>
      <c r="K1301" s="23" t="s">
        <v>34</v>
      </c>
      <c r="L1301" s="25">
        <v>40400.063935185186</v>
      </c>
      <c r="M1301" s="26" t="s">
        <v>334</v>
      </c>
      <c r="N1301" s="28"/>
      <c r="O1301" s="22" t="str">
        <f>HYPERLINK("https://pbs.twimg.com/profile_images/515236759350034432/Qv0qKgGa_normal.jpeg","View")</f>
        <v>View</v>
      </c>
      <c r="P1301" s="27"/>
    </row>
    <row r="1302">
      <c r="A1302" s="14">
        <v>43031.10885416667</v>
      </c>
      <c r="B1302" s="20" t="str">
        <f>HYPERLINK("https://twitter.com/EricAshBeck","@EricAshBeck")</f>
        <v>@EricAshBeck</v>
      </c>
      <c r="C1302" s="21" t="s">
        <v>3320</v>
      </c>
      <c r="D1302" s="21" t="s">
        <v>3321</v>
      </c>
      <c r="E1302" s="22" t="str">
        <f>HYPERLINK("https://twitter.com/EricAshBeck/status/922396366151847936","922396366151847936")</f>
        <v>922396366151847936</v>
      </c>
      <c r="F1302" s="23" t="s">
        <v>33</v>
      </c>
      <c r="G1302" s="24">
        <v>39.0</v>
      </c>
      <c r="H1302" s="24">
        <v>303.0</v>
      </c>
      <c r="I1302" s="24">
        <v>64.0</v>
      </c>
      <c r="J1302" s="24">
        <v>0.0</v>
      </c>
      <c r="K1302" s="23" t="s">
        <v>34</v>
      </c>
      <c r="L1302" s="25">
        <v>41385.767430555556</v>
      </c>
      <c r="M1302" s="26" t="s">
        <v>3322</v>
      </c>
      <c r="N1302" s="26" t="s">
        <v>3323</v>
      </c>
      <c r="O1302" s="22" t="str">
        <f>HYPERLINK("https://pbs.twimg.com/profile_images/515569993941913600/9-15nOgW_normal.jpeg","View")</f>
        <v>View</v>
      </c>
      <c r="P1302" s="27"/>
    </row>
    <row r="1303">
      <c r="A1303" s="14">
        <v>43031.108877314815</v>
      </c>
      <c r="B1303" s="20" t="str">
        <f>HYPERLINK("https://twitter.com/dkshinde16","@dkshinde16")</f>
        <v>@dkshinde16</v>
      </c>
      <c r="C1303" s="21" t="s">
        <v>3324</v>
      </c>
      <c r="D1303" s="21" t="s">
        <v>42</v>
      </c>
      <c r="E1303" s="22" t="str">
        <f>HYPERLINK("https://twitter.com/dkshinde16/status/922396375215636481","922396375215636481")</f>
        <v>922396375215636481</v>
      </c>
      <c r="F1303" s="23" t="s">
        <v>33</v>
      </c>
      <c r="G1303" s="24">
        <v>76.0</v>
      </c>
      <c r="H1303" s="24">
        <v>249.0</v>
      </c>
      <c r="I1303" s="24">
        <v>8501.0</v>
      </c>
      <c r="J1303" s="24">
        <v>0.0</v>
      </c>
      <c r="K1303" s="23" t="s">
        <v>34</v>
      </c>
      <c r="L1303" s="25">
        <v>41786.95626157407</v>
      </c>
      <c r="M1303" s="28"/>
      <c r="N1303" s="26" t="s">
        <v>3325</v>
      </c>
      <c r="O1303" s="22" t="str">
        <f>HYPERLINK("https://pbs.twimg.com/profile_images/755359386881691649/Da7HAxzs_normal.jpg","View")</f>
        <v>View</v>
      </c>
      <c r="P1303" s="27"/>
    </row>
    <row r="1304">
      <c r="A1304" s="14">
        <v>43031.10896990741</v>
      </c>
      <c r="B1304" s="20" t="str">
        <f>HYPERLINK("https://twitter.com/rizza_mohammad","@rizza_mohammad")</f>
        <v>@rizza_mohammad</v>
      </c>
      <c r="C1304" s="21" t="s">
        <v>3326</v>
      </c>
      <c r="D1304" s="21" t="s">
        <v>1444</v>
      </c>
      <c r="E1304" s="22" t="str">
        <f>HYPERLINK("https://twitter.com/rizza_mohammad/status/922396405741756416","922396405741756416")</f>
        <v>922396405741756416</v>
      </c>
      <c r="F1304" s="23" t="s">
        <v>33</v>
      </c>
      <c r="G1304" s="24">
        <v>4.0</v>
      </c>
      <c r="H1304" s="24">
        <v>207.0</v>
      </c>
      <c r="I1304" s="24">
        <v>50.0</v>
      </c>
      <c r="J1304" s="24">
        <v>0.0</v>
      </c>
      <c r="K1304" s="23" t="s">
        <v>34</v>
      </c>
      <c r="L1304" s="25">
        <v>41551.19967592593</v>
      </c>
      <c r="M1304" s="26" t="s">
        <v>3327</v>
      </c>
      <c r="N1304" s="26" t="s">
        <v>3328</v>
      </c>
      <c r="O1304" s="22" t="str">
        <f>HYPERLINK("https://pbs.twimg.com/profile_images/695487952307130368/ASNWqkJx_normal.jpg","View")</f>
        <v>View</v>
      </c>
      <c r="P1304" s="27"/>
    </row>
    <row r="1305">
      <c r="A1305" s="14">
        <v>43031.10899305556</v>
      </c>
      <c r="B1305" s="20" t="str">
        <f>HYPERLINK("https://twitter.com/opennewswindows","@opennewswindows")</f>
        <v>@opennewswindows</v>
      </c>
      <c r="C1305" s="21" t="s">
        <v>3329</v>
      </c>
      <c r="D1305" s="21" t="s">
        <v>3330</v>
      </c>
      <c r="E1305" s="22" t="str">
        <f>HYPERLINK("https://twitter.com/opennewswindows/status/922396415980163072","922396415980163072")</f>
        <v>922396415980163072</v>
      </c>
      <c r="F1305" s="30" t="s">
        <v>191</v>
      </c>
      <c r="G1305" s="24">
        <v>19.0</v>
      </c>
      <c r="H1305" s="24">
        <v>110.0</v>
      </c>
      <c r="I1305" s="24">
        <v>0.0</v>
      </c>
      <c r="J1305" s="24">
        <v>0.0</v>
      </c>
      <c r="K1305" s="23" t="s">
        <v>34</v>
      </c>
      <c r="L1305" s="25">
        <v>43004.63564814815</v>
      </c>
      <c r="M1305" s="26" t="s">
        <v>3331</v>
      </c>
      <c r="N1305" s="26" t="s">
        <v>3332</v>
      </c>
      <c r="O1305" s="22" t="str">
        <f>HYPERLINK("https://pbs.twimg.com/profile_images/912804383087366144/hQyd6i9c_normal.jpg","View")</f>
        <v>View</v>
      </c>
      <c r="P1305" s="27"/>
    </row>
    <row r="1306">
      <c r="A1306" s="14">
        <v>43031.10902777778</v>
      </c>
      <c r="B1306" s="20" t="str">
        <f>HYPERLINK("https://twitter.com/HasdaaPunjab","@HasdaaPunjab")</f>
        <v>@HasdaaPunjab</v>
      </c>
      <c r="C1306" s="21" t="s">
        <v>3333</v>
      </c>
      <c r="D1306" s="21" t="s">
        <v>42</v>
      </c>
      <c r="E1306" s="22" t="str">
        <f>HYPERLINK("https://twitter.com/HasdaaPunjab/status/922396427275223040","922396427275223040")</f>
        <v>922396427275223040</v>
      </c>
      <c r="F1306" s="23" t="s">
        <v>33</v>
      </c>
      <c r="G1306" s="24">
        <v>89.0</v>
      </c>
      <c r="H1306" s="24">
        <v>308.0</v>
      </c>
      <c r="I1306" s="24">
        <v>8501.0</v>
      </c>
      <c r="J1306" s="24">
        <v>0.0</v>
      </c>
      <c r="K1306" s="23" t="s">
        <v>34</v>
      </c>
      <c r="L1306" s="25">
        <v>42511.02716435185</v>
      </c>
      <c r="M1306" s="28"/>
      <c r="N1306" s="26" t="s">
        <v>3334</v>
      </c>
      <c r="O1306" s="22" t="str">
        <f>HYPERLINK("https://pbs.twimg.com/profile_images/909634817578303488/F8nxKiA0_normal.jpg","View")</f>
        <v>View</v>
      </c>
      <c r="P1306" s="27"/>
    </row>
    <row r="1307">
      <c r="A1307" s="14">
        <v>43031.10907407408</v>
      </c>
      <c r="B1307" s="20" t="str">
        <f>HYPERLINK("https://twitter.com/marvellous997","@marvellous997")</f>
        <v>@marvellous997</v>
      </c>
      <c r="C1307" s="21" t="s">
        <v>3335</v>
      </c>
      <c r="D1307" s="21" t="s">
        <v>3336</v>
      </c>
      <c r="E1307" s="22" t="str">
        <f>HYPERLINK("https://twitter.com/marvellous997/status/922396446141403136","922396446141403136")</f>
        <v>922396446141403136</v>
      </c>
      <c r="F1307" s="23" t="s">
        <v>91</v>
      </c>
      <c r="G1307" s="24">
        <v>793.0</v>
      </c>
      <c r="H1307" s="24">
        <v>59.0</v>
      </c>
      <c r="I1307" s="24">
        <v>0.0</v>
      </c>
      <c r="J1307" s="24">
        <v>0.0</v>
      </c>
      <c r="K1307" s="23" t="s">
        <v>34</v>
      </c>
      <c r="L1307" s="25">
        <v>41334.15880787037</v>
      </c>
      <c r="M1307" s="26" t="s">
        <v>3337</v>
      </c>
      <c r="N1307" s="26" t="s">
        <v>3338</v>
      </c>
      <c r="O1307" s="22" t="str">
        <f>HYPERLINK("https://pbs.twimg.com/profile_images/765082261150720000/AKwZsJGh_normal.jpg","View")</f>
        <v>View</v>
      </c>
      <c r="P1307" s="27"/>
    </row>
    <row r="1308">
      <c r="A1308" s="14">
        <v>43031.10912037037</v>
      </c>
      <c r="B1308" s="20" t="str">
        <f>HYPERLINK("https://twitter.com/SunilSi97425542","@SunilSi97425542")</f>
        <v>@SunilSi97425542</v>
      </c>
      <c r="C1308" s="21" t="s">
        <v>3339</v>
      </c>
      <c r="D1308" s="21" t="s">
        <v>42</v>
      </c>
      <c r="E1308" s="22" t="str">
        <f>HYPERLINK("https://twitter.com/SunilSi97425542/status/922396463988011008","922396463988011008")</f>
        <v>922396463988011008</v>
      </c>
      <c r="F1308" s="23" t="s">
        <v>33</v>
      </c>
      <c r="G1308" s="24">
        <v>329.0</v>
      </c>
      <c r="H1308" s="24">
        <v>724.0</v>
      </c>
      <c r="I1308" s="24">
        <v>8501.0</v>
      </c>
      <c r="J1308" s="24">
        <v>0.0</v>
      </c>
      <c r="K1308" s="23" t="s">
        <v>34</v>
      </c>
      <c r="L1308" s="25">
        <v>42942.33274305555</v>
      </c>
      <c r="M1308" s="26" t="s">
        <v>3340</v>
      </c>
      <c r="N1308" s="26" t="s">
        <v>3341</v>
      </c>
      <c r="O1308" s="22" t="str">
        <f>HYPERLINK("https://pbs.twimg.com/profile_images/894318131807633408/2FPBHUTA_normal.jpg","View")</f>
        <v>View</v>
      </c>
      <c r="P1308" s="27"/>
    </row>
    <row r="1309">
      <c r="A1309" s="14">
        <v>43031.109178240746</v>
      </c>
      <c r="B1309" s="20" t="str">
        <f>HYPERLINK("https://twitter.com/joemaya164","@joemaya164")</f>
        <v>@joemaya164</v>
      </c>
      <c r="C1309" s="21" t="s">
        <v>3342</v>
      </c>
      <c r="D1309" s="21" t="s">
        <v>3343</v>
      </c>
      <c r="E1309" s="22" t="str">
        <f>HYPERLINK("https://twitter.com/joemaya164/status/922396481151225856","922396481151225856")</f>
        <v>922396481151225856</v>
      </c>
      <c r="F1309" s="30" t="s">
        <v>191</v>
      </c>
      <c r="G1309" s="24">
        <v>409.0</v>
      </c>
      <c r="H1309" s="24">
        <v>993.0</v>
      </c>
      <c r="I1309" s="24">
        <v>0.0</v>
      </c>
      <c r="J1309" s="24">
        <v>0.0</v>
      </c>
      <c r="K1309" s="23" t="s">
        <v>34</v>
      </c>
      <c r="L1309" s="25">
        <v>42550.40243055555</v>
      </c>
      <c r="M1309" s="26" t="s">
        <v>3331</v>
      </c>
      <c r="N1309" s="26" t="s">
        <v>3344</v>
      </c>
      <c r="O1309" s="22" t="str">
        <f>HYPERLINK("https://pbs.twimg.com/profile_images/884050860480835584/F1xYkB9H_normal.jpg","View")</f>
        <v>View</v>
      </c>
      <c r="P1309" s="27"/>
    </row>
    <row r="1310">
      <c r="A1310" s="14">
        <v>43031.109178240746</v>
      </c>
      <c r="B1310" s="20" t="str">
        <f>HYPERLINK("https://twitter.com/PiyushJhawar9","@PiyushJhawar9")</f>
        <v>@PiyushJhawar9</v>
      </c>
      <c r="C1310" s="21" t="s">
        <v>3345</v>
      </c>
      <c r="D1310" s="21" t="s">
        <v>42</v>
      </c>
      <c r="E1310" s="22" t="str">
        <f>HYPERLINK("https://twitter.com/PiyushJhawar9/status/922396482942132224","922396482942132224")</f>
        <v>922396482942132224</v>
      </c>
      <c r="F1310" s="23" t="s">
        <v>33</v>
      </c>
      <c r="G1310" s="24">
        <v>13.0</v>
      </c>
      <c r="H1310" s="24">
        <v>596.0</v>
      </c>
      <c r="I1310" s="24">
        <v>8501.0</v>
      </c>
      <c r="J1310" s="24">
        <v>0.0</v>
      </c>
      <c r="K1310" s="23" t="s">
        <v>34</v>
      </c>
      <c r="L1310" s="25">
        <v>42939.96805555555</v>
      </c>
      <c r="M1310" s="26" t="s">
        <v>207</v>
      </c>
      <c r="N1310" s="26" t="s">
        <v>3346</v>
      </c>
      <c r="O1310" s="22" t="str">
        <f>HYPERLINK("https://pbs.twimg.com/profile_images/908156475310305280/oE4USTBl_normal.jpg","View")</f>
        <v>View</v>
      </c>
      <c r="P1310" s="27"/>
    </row>
    <row r="1311">
      <c r="A1311" s="14">
        <v>43031.109189814815</v>
      </c>
      <c r="B1311" s="20" t="str">
        <f>HYPERLINK("https://twitter.com/AnointingLawal","@AnointingLawal")</f>
        <v>@AnointingLawal</v>
      </c>
      <c r="C1311" s="21" t="s">
        <v>3347</v>
      </c>
      <c r="D1311" s="21" t="s">
        <v>3348</v>
      </c>
      <c r="E1311" s="22" t="str">
        <f>HYPERLINK("https://twitter.com/AnointingLawal/status/922396489032269824","922396489032269824")</f>
        <v>922396489032269824</v>
      </c>
      <c r="F1311" s="30" t="s">
        <v>191</v>
      </c>
      <c r="G1311" s="24">
        <v>34.0</v>
      </c>
      <c r="H1311" s="24">
        <v>165.0</v>
      </c>
      <c r="I1311" s="24">
        <v>0.0</v>
      </c>
      <c r="J1311" s="24">
        <v>0.0</v>
      </c>
      <c r="K1311" s="23" t="s">
        <v>34</v>
      </c>
      <c r="L1311" s="25">
        <v>42984.754791666666</v>
      </c>
      <c r="M1311" s="26" t="s">
        <v>3331</v>
      </c>
      <c r="N1311" s="26" t="s">
        <v>3349</v>
      </c>
      <c r="O1311" s="22" t="str">
        <f>HYPERLINK("https://pbs.twimg.com/profile_images/907291839874641920/JjBgrCXj_normal.jpg","View")</f>
        <v>View</v>
      </c>
      <c r="P1311" s="27"/>
    </row>
    <row r="1312">
      <c r="A1312" s="14">
        <v>43031.10925925926</v>
      </c>
      <c r="B1312" s="20" t="str">
        <f>HYPERLINK("https://twitter.com/sanjayray76_ray","@sanjayray76_ray")</f>
        <v>@sanjayray76_ray</v>
      </c>
      <c r="C1312" s="21" t="s">
        <v>3350</v>
      </c>
      <c r="D1312" s="21" t="s">
        <v>42</v>
      </c>
      <c r="E1312" s="22" t="str">
        <f>HYPERLINK("https://twitter.com/sanjayray76_ray/status/922396511668858881","922396511668858881")</f>
        <v>922396511668858881</v>
      </c>
      <c r="F1312" s="23" t="s">
        <v>33</v>
      </c>
      <c r="G1312" s="24">
        <v>103.0</v>
      </c>
      <c r="H1312" s="24">
        <v>220.0</v>
      </c>
      <c r="I1312" s="24">
        <v>8501.0</v>
      </c>
      <c r="J1312" s="24">
        <v>0.0</v>
      </c>
      <c r="K1312" s="23" t="s">
        <v>34</v>
      </c>
      <c r="L1312" s="25">
        <v>41711.092627314814</v>
      </c>
      <c r="M1312" s="26" t="s">
        <v>204</v>
      </c>
      <c r="N1312" s="28"/>
      <c r="O1312" s="22" t="str">
        <f>HYPERLINK("https://pbs.twimg.com/profile_images/920897296874614785/heu1LVYv_normal.jpg","View")</f>
        <v>View</v>
      </c>
      <c r="P1312" s="27"/>
    </row>
    <row r="1313">
      <c r="A1313" s="14">
        <v>43031.10934027778</v>
      </c>
      <c r="B1313" s="20" t="str">
        <f>HYPERLINK("https://twitter.com/ItsMeTadashi","@ItsMeTadashi")</f>
        <v>@ItsMeTadashi</v>
      </c>
      <c r="C1313" s="21" t="s">
        <v>3351</v>
      </c>
      <c r="D1313" s="21" t="s">
        <v>3352</v>
      </c>
      <c r="E1313" s="22" t="str">
        <f>HYPERLINK("https://twitter.com/ItsMeTadashi/status/922396543126081536","922396543126081536")</f>
        <v>922396543126081536</v>
      </c>
      <c r="F1313" s="23" t="s">
        <v>33</v>
      </c>
      <c r="G1313" s="24">
        <v>71323.0</v>
      </c>
      <c r="H1313" s="24">
        <v>447.0</v>
      </c>
      <c r="I1313" s="24">
        <v>3.0</v>
      </c>
      <c r="J1313" s="24">
        <v>0.0</v>
      </c>
      <c r="K1313" s="23" t="s">
        <v>34</v>
      </c>
      <c r="L1313" s="25">
        <v>42564.32351851852</v>
      </c>
      <c r="M1313" s="26" t="s">
        <v>3353</v>
      </c>
      <c r="N1313" s="26" t="s">
        <v>3354</v>
      </c>
      <c r="O1313" s="22" t="str">
        <f>HYPERLINK("https://pbs.twimg.com/profile_images/888441188197335040/e5PDMpDw_normal.jpg","View")</f>
        <v>View</v>
      </c>
      <c r="P1313" s="27"/>
    </row>
    <row r="1314">
      <c r="A1314" s="14">
        <v>43031.109456018516</v>
      </c>
      <c r="B1314" s="20" t="str">
        <f>HYPERLINK("https://twitter.com/barik_arun","@barik_arun")</f>
        <v>@barik_arun</v>
      </c>
      <c r="C1314" s="21" t="s">
        <v>3355</v>
      </c>
      <c r="D1314" s="21" t="s">
        <v>42</v>
      </c>
      <c r="E1314" s="22" t="str">
        <f>HYPERLINK("https://twitter.com/barik_arun/status/922396583622090752","922396583622090752")</f>
        <v>922396583622090752</v>
      </c>
      <c r="F1314" s="23" t="s">
        <v>33</v>
      </c>
      <c r="G1314" s="24">
        <v>1013.0</v>
      </c>
      <c r="H1314" s="24">
        <v>2309.0</v>
      </c>
      <c r="I1314" s="24">
        <v>8501.0</v>
      </c>
      <c r="J1314" s="24">
        <v>0.0</v>
      </c>
      <c r="K1314" s="23" t="s">
        <v>34</v>
      </c>
      <c r="L1314" s="25">
        <v>41335.132835648146</v>
      </c>
      <c r="M1314" s="26" t="s">
        <v>3356</v>
      </c>
      <c r="N1314" s="26" t="s">
        <v>3357</v>
      </c>
      <c r="O1314" s="22" t="str">
        <f>HYPERLINK("https://pbs.twimg.com/profile_images/795329254061797376/kFY8s1Q8_normal.jpg","View")</f>
        <v>View</v>
      </c>
      <c r="P1314" s="27"/>
    </row>
    <row r="1315">
      <c r="A1315" s="14">
        <v>43031.10962962963</v>
      </c>
      <c r="B1315" s="20" t="str">
        <f>HYPERLINK("https://twitter.com/jostaryoutube13","@jostaryoutube13")</f>
        <v>@jostaryoutube13</v>
      </c>
      <c r="C1315" s="21" t="s">
        <v>3358</v>
      </c>
      <c r="D1315" s="21" t="s">
        <v>3359</v>
      </c>
      <c r="E1315" s="22" t="str">
        <f>HYPERLINK("https://twitter.com/jostaryoutube13/status/922396645802721280","922396645802721280")</f>
        <v>922396645802721280</v>
      </c>
      <c r="F1315" s="30" t="s">
        <v>659</v>
      </c>
      <c r="G1315" s="24">
        <v>58.0</v>
      </c>
      <c r="H1315" s="24">
        <v>20.0</v>
      </c>
      <c r="I1315" s="24">
        <v>0.0</v>
      </c>
      <c r="J1315" s="24">
        <v>0.0</v>
      </c>
      <c r="K1315" s="23" t="s">
        <v>34</v>
      </c>
      <c r="L1315" s="25">
        <v>42604.41011574074</v>
      </c>
      <c r="M1315" s="26" t="s">
        <v>660</v>
      </c>
      <c r="N1315" s="26" t="s">
        <v>3360</v>
      </c>
      <c r="O1315" s="22" t="str">
        <f>HYPERLINK("https://pbs.twimg.com/profile_images/767766459590193152/l1kWRROh_normal.jpg","View")</f>
        <v>View</v>
      </c>
      <c r="P1315" s="27"/>
    </row>
    <row r="1316">
      <c r="A1316" s="14">
        <v>43031.10962962963</v>
      </c>
      <c r="B1316" s="20" t="str">
        <f>HYPERLINK("https://twitter.com/HackneyBooks","@HackneyBooks")</f>
        <v>@HackneyBooks</v>
      </c>
      <c r="C1316" s="21" t="s">
        <v>3361</v>
      </c>
      <c r="D1316" s="21" t="s">
        <v>3362</v>
      </c>
      <c r="E1316" s="22" t="str">
        <f>HYPERLINK("https://twitter.com/HackneyBooks/status/922396647170113536","922396647170113536")</f>
        <v>922396647170113536</v>
      </c>
      <c r="F1316" s="23" t="s">
        <v>55</v>
      </c>
      <c r="G1316" s="24">
        <v>67.0</v>
      </c>
      <c r="H1316" s="24">
        <v>111.0</v>
      </c>
      <c r="I1316" s="24">
        <v>0.0</v>
      </c>
      <c r="J1316" s="24">
        <v>0.0</v>
      </c>
      <c r="K1316" s="23" t="s">
        <v>34</v>
      </c>
      <c r="L1316" s="25">
        <v>42894.99153935185</v>
      </c>
      <c r="M1316" s="26" t="s">
        <v>3363</v>
      </c>
      <c r="N1316" s="26" t="s">
        <v>3364</v>
      </c>
      <c r="O1316" s="22" t="str">
        <f>HYPERLINK("https://pbs.twimg.com/profile_images/874348605464883200/dQHmv4AJ_normal.jpg","View")</f>
        <v>View</v>
      </c>
      <c r="P1316" s="27"/>
    </row>
    <row r="1317">
      <c r="A1317" s="14">
        <v>43031.10967592592</v>
      </c>
      <c r="B1317" s="20" t="str">
        <f>HYPERLINK("https://twitter.com/amit3948","@amit3948")</f>
        <v>@amit3948</v>
      </c>
      <c r="C1317" s="21" t="s">
        <v>3365</v>
      </c>
      <c r="D1317" s="21" t="s">
        <v>42</v>
      </c>
      <c r="E1317" s="22" t="str">
        <f>HYPERLINK("https://twitter.com/amit3948/status/922396661275439104","922396661275439104")</f>
        <v>922396661275439104</v>
      </c>
      <c r="F1317" s="23" t="s">
        <v>33</v>
      </c>
      <c r="G1317" s="24">
        <v>402.0</v>
      </c>
      <c r="H1317" s="24">
        <v>124.0</v>
      </c>
      <c r="I1317" s="24">
        <v>8501.0</v>
      </c>
      <c r="J1317" s="24">
        <v>0.0</v>
      </c>
      <c r="K1317" s="23" t="s">
        <v>34</v>
      </c>
      <c r="L1317" s="25">
        <v>41517.84038194444</v>
      </c>
      <c r="M1317" s="26" t="s">
        <v>423</v>
      </c>
      <c r="N1317" s="26" t="s">
        <v>3366</v>
      </c>
      <c r="O1317" s="22" t="str">
        <f>HYPERLINK("https://pbs.twimg.com/profile_images/921126983165030406/nydaMbmU_normal.jpg","View")</f>
        <v>View</v>
      </c>
      <c r="P1317" s="27"/>
    </row>
    <row r="1318">
      <c r="A1318" s="14">
        <v>43031.10975694444</v>
      </c>
      <c r="B1318" s="20" t="str">
        <f>HYPERLINK("https://twitter.com/axi_art","@axi_art")</f>
        <v>@axi_art</v>
      </c>
      <c r="C1318" s="21" t="s">
        <v>3367</v>
      </c>
      <c r="D1318" s="21" t="s">
        <v>3368</v>
      </c>
      <c r="E1318" s="22" t="str">
        <f>HYPERLINK("https://twitter.com/axi_art/status/922396691424337920","922396691424337920")</f>
        <v>922396691424337920</v>
      </c>
      <c r="F1318" s="23" t="s">
        <v>230</v>
      </c>
      <c r="G1318" s="24">
        <v>124.0</v>
      </c>
      <c r="H1318" s="24">
        <v>411.0</v>
      </c>
      <c r="I1318" s="24">
        <v>0.0</v>
      </c>
      <c r="J1318" s="24">
        <v>0.0</v>
      </c>
      <c r="K1318" s="23" t="s">
        <v>34</v>
      </c>
      <c r="L1318" s="25">
        <v>40979.1640625</v>
      </c>
      <c r="M1318" s="26" t="s">
        <v>3369</v>
      </c>
      <c r="N1318" s="26" t="s">
        <v>3370</v>
      </c>
      <c r="O1318" s="22" t="str">
        <f>HYPERLINK("https://pbs.twimg.com/profile_images/802285725995716608/KGJx17nD_normal.jpg","View")</f>
        <v>View</v>
      </c>
      <c r="P1318" s="27"/>
    </row>
    <row r="1319">
      <c r="A1319" s="14">
        <v>43031.10984953704</v>
      </c>
      <c r="B1319" s="20" t="str">
        <f>HYPERLINK("https://twitter.com/jdesignz","@jdesignz")</f>
        <v>@jdesignz</v>
      </c>
      <c r="C1319" s="21" t="s">
        <v>337</v>
      </c>
      <c r="D1319" s="21" t="s">
        <v>3371</v>
      </c>
      <c r="E1319" s="22" t="str">
        <f>HYPERLINK("https://twitter.com/jdesignz/status/922396725138083841","922396725138083841")</f>
        <v>922396725138083841</v>
      </c>
      <c r="F1319" s="23" t="s">
        <v>187</v>
      </c>
      <c r="G1319" s="24">
        <v>2097.0</v>
      </c>
      <c r="H1319" s="24">
        <v>2062.0</v>
      </c>
      <c r="I1319" s="24">
        <v>0.0</v>
      </c>
      <c r="J1319" s="24">
        <v>0.0</v>
      </c>
      <c r="K1319" s="23" t="s">
        <v>34</v>
      </c>
      <c r="L1319" s="25">
        <v>39722.75944444444</v>
      </c>
      <c r="M1319" s="26" t="s">
        <v>339</v>
      </c>
      <c r="N1319" s="26" t="s">
        <v>340</v>
      </c>
      <c r="O1319" s="22" t="str">
        <f>HYPERLINK("https://pbs.twimg.com/profile_images/904365241349193729/G1uZr9Cq_normal.jpg","View")</f>
        <v>View</v>
      </c>
      <c r="P1319" s="27"/>
    </row>
    <row r="1320">
      <c r="A1320" s="14">
        <v>43031.10988425926</v>
      </c>
      <c r="B1320" s="20" t="str">
        <f>HYPERLINK("https://twitter.com/firstpost","@firstpost")</f>
        <v>@firstpost</v>
      </c>
      <c r="C1320" s="21" t="s">
        <v>3372</v>
      </c>
      <c r="D1320" s="21" t="s">
        <v>3373</v>
      </c>
      <c r="E1320" s="22" t="str">
        <f>HYPERLINK("https://twitter.com/firstpost/status/922396738224136192","922396738224136192")</f>
        <v>922396738224136192</v>
      </c>
      <c r="F1320" s="23" t="s">
        <v>55</v>
      </c>
      <c r="G1320" s="24">
        <v>1870378.0</v>
      </c>
      <c r="H1320" s="24">
        <v>999.0</v>
      </c>
      <c r="I1320" s="24">
        <v>3.0</v>
      </c>
      <c r="J1320" s="24">
        <v>6.0</v>
      </c>
      <c r="K1320" s="23" t="s">
        <v>34</v>
      </c>
      <c r="L1320" s="25">
        <v>40597.214837962965</v>
      </c>
      <c r="M1320" s="26" t="s">
        <v>246</v>
      </c>
      <c r="N1320" s="26" t="s">
        <v>3374</v>
      </c>
      <c r="O1320" s="22" t="str">
        <f>HYPERLINK("https://pbs.twimg.com/profile_images/696601463322075137/svSxRGyn_normal.jpg","View")</f>
        <v>View</v>
      </c>
      <c r="P1320" s="27"/>
    </row>
    <row r="1321">
      <c r="A1321" s="14">
        <v>43031.109930555554</v>
      </c>
      <c r="B1321" s="20" t="str">
        <f>HYPERLINK("https://twitter.com/MuhammadOsama86","@MuhammadOsama86")</f>
        <v>@MuhammadOsama86</v>
      </c>
      <c r="C1321" s="21" t="s">
        <v>3375</v>
      </c>
      <c r="D1321" s="21" t="s">
        <v>3376</v>
      </c>
      <c r="E1321" s="22" t="str">
        <f>HYPERLINK("https://twitter.com/MuhammadOsama86/status/922396754833678343","922396754833678343")</f>
        <v>922396754833678343</v>
      </c>
      <c r="F1321" s="23" t="s">
        <v>187</v>
      </c>
      <c r="G1321" s="24">
        <v>303.0</v>
      </c>
      <c r="H1321" s="24">
        <v>1187.0</v>
      </c>
      <c r="I1321" s="24">
        <v>0.0</v>
      </c>
      <c r="J1321" s="24">
        <v>0.0</v>
      </c>
      <c r="K1321" s="23" t="s">
        <v>34</v>
      </c>
      <c r="L1321" s="25">
        <v>42454.512337962966</v>
      </c>
      <c r="M1321" s="28"/>
      <c r="N1321" s="28"/>
      <c r="O1321" s="22" t="str">
        <f>HYPERLINK("https://pbs.twimg.com/profile_images/713445800735555585/CaeHw_C6_normal.jpg","View")</f>
        <v>View</v>
      </c>
      <c r="P1321" s="27"/>
    </row>
    <row r="1322">
      <c r="A1322" s="14">
        <v>43031.10998842593</v>
      </c>
      <c r="B1322" s="20" t="str">
        <f>HYPERLINK("https://twitter.com/liquidskydesign","@liquidskydesign")</f>
        <v>@liquidskydesign</v>
      </c>
      <c r="C1322" s="21" t="s">
        <v>3377</v>
      </c>
      <c r="D1322" s="21" t="s">
        <v>3378</v>
      </c>
      <c r="E1322" s="22" t="str">
        <f>HYPERLINK("https://twitter.com/liquidskydesign/status/922396776551927808","922396776551927808")</f>
        <v>922396776551927808</v>
      </c>
      <c r="F1322" s="23" t="s">
        <v>187</v>
      </c>
      <c r="G1322" s="24">
        <v>1634.0</v>
      </c>
      <c r="H1322" s="24">
        <v>796.0</v>
      </c>
      <c r="I1322" s="24">
        <v>0.0</v>
      </c>
      <c r="J1322" s="24">
        <v>0.0</v>
      </c>
      <c r="K1322" s="23" t="s">
        <v>34</v>
      </c>
      <c r="L1322" s="25">
        <v>39900.46163194445</v>
      </c>
      <c r="M1322" s="26" t="s">
        <v>3379</v>
      </c>
      <c r="N1322" s="26" t="s">
        <v>3380</v>
      </c>
      <c r="O1322" s="22" t="str">
        <f>HYPERLINK("https://pbs.twimg.com/profile_images/791418013107032064/bXRIcy4-_normal.jpg","View")</f>
        <v>View</v>
      </c>
      <c r="P1322" s="27"/>
    </row>
    <row r="1323">
      <c r="A1323" s="14">
        <v>43031.11016203703</v>
      </c>
      <c r="B1323" s="20" t="str">
        <f>HYPERLINK("https://twitter.com/indu_jha","@indu_jha")</f>
        <v>@indu_jha</v>
      </c>
      <c r="C1323" s="21" t="s">
        <v>3381</v>
      </c>
      <c r="D1323" s="21" t="s">
        <v>42</v>
      </c>
      <c r="E1323" s="22" t="str">
        <f>HYPERLINK("https://twitter.com/indu_jha/status/922396838136705025","922396838136705025")</f>
        <v>922396838136705025</v>
      </c>
      <c r="F1323" s="23" t="s">
        <v>33</v>
      </c>
      <c r="G1323" s="24">
        <v>1423.0</v>
      </c>
      <c r="H1323" s="24">
        <v>350.0</v>
      </c>
      <c r="I1323" s="24">
        <v>8501.0</v>
      </c>
      <c r="J1323" s="24">
        <v>0.0</v>
      </c>
      <c r="K1323" s="23" t="s">
        <v>34</v>
      </c>
      <c r="L1323" s="25">
        <v>40951.202048611114</v>
      </c>
      <c r="M1323" s="28"/>
      <c r="N1323" s="28"/>
      <c r="O1323" s="22" t="str">
        <f>HYPERLINK("https://pbs.twimg.com/profile_images/917630515070435328/rlv68zYh_normal.jpg","View")</f>
        <v>View</v>
      </c>
      <c r="P1323" s="27"/>
    </row>
    <row r="1324">
      <c r="A1324" s="14">
        <v>43031.11016203703</v>
      </c>
      <c r="B1324" s="20" t="str">
        <f>HYPERLINK("https://twitter.com/jozhuma","@jozhuma")</f>
        <v>@jozhuma</v>
      </c>
      <c r="C1324" s="21" t="s">
        <v>3382</v>
      </c>
      <c r="D1324" s="21" t="s">
        <v>82</v>
      </c>
      <c r="E1324" s="22" t="str">
        <f>HYPERLINK("https://twitter.com/jozhuma/status/922396839592321024","922396839592321024")</f>
        <v>922396839592321024</v>
      </c>
      <c r="F1324" s="23" t="s">
        <v>33</v>
      </c>
      <c r="G1324" s="24">
        <v>6.0</v>
      </c>
      <c r="H1324" s="24">
        <v>174.0</v>
      </c>
      <c r="I1324" s="24">
        <v>38.0</v>
      </c>
      <c r="J1324" s="24">
        <v>0.0</v>
      </c>
      <c r="K1324" s="23" t="s">
        <v>34</v>
      </c>
      <c r="L1324" s="25">
        <v>42922.8734375</v>
      </c>
      <c r="M1324" s="32" t="s">
        <v>3383</v>
      </c>
      <c r="N1324" s="33" t="s">
        <v>3384</v>
      </c>
      <c r="O1324" s="22" t="str">
        <f>HYPERLINK("https://pbs.twimg.com/profile_images/883177740194729988/xVfDEr9D_normal.jpg","View")</f>
        <v>View</v>
      </c>
      <c r="P1324" s="27"/>
    </row>
    <row r="1325">
      <c r="A1325" s="14">
        <v>43031.11023148148</v>
      </c>
      <c r="B1325" s="20" t="str">
        <f>HYPERLINK("https://twitter.com/Shunnsasaki","@Shunnsasaki")</f>
        <v>@Shunnsasaki</v>
      </c>
      <c r="C1325" s="21" t="s">
        <v>3385</v>
      </c>
      <c r="D1325" s="21" t="s">
        <v>3386</v>
      </c>
      <c r="E1325" s="22" t="str">
        <f>HYPERLINK("https://twitter.com/Shunnsasaki/status/922396862685908997","922396862685908997")</f>
        <v>922396862685908997</v>
      </c>
      <c r="F1325" s="23" t="s">
        <v>55</v>
      </c>
      <c r="G1325" s="24">
        <v>106.0</v>
      </c>
      <c r="H1325" s="24">
        <v>268.0</v>
      </c>
      <c r="I1325" s="24">
        <v>0.0</v>
      </c>
      <c r="J1325" s="24">
        <v>1.0</v>
      </c>
      <c r="K1325" s="23" t="s">
        <v>34</v>
      </c>
      <c r="L1325" s="25">
        <v>40673.308020833334</v>
      </c>
      <c r="M1325" s="28"/>
      <c r="N1325" s="26" t="s">
        <v>3387</v>
      </c>
      <c r="O1325" s="22" t="str">
        <f>HYPERLINK("https://pbs.twimg.com/profile_images/1347039387/imagesCACP37Q7_-_____normal.jpg","View")</f>
        <v>View</v>
      </c>
      <c r="P1325" s="27"/>
    </row>
    <row r="1326">
      <c r="A1326" s="14">
        <v>43031.110289351855</v>
      </c>
      <c r="B1326" s="20" t="str">
        <f>HYPERLINK("https://twitter.com/Norgaz012","@Norgaz012")</f>
        <v>@Norgaz012</v>
      </c>
      <c r="C1326" s="21" t="s">
        <v>3388</v>
      </c>
      <c r="D1326" s="21" t="s">
        <v>42</v>
      </c>
      <c r="E1326" s="22" t="str">
        <f>HYPERLINK("https://twitter.com/Norgaz012/status/922396884118814720","922396884118814720")</f>
        <v>922396884118814720</v>
      </c>
      <c r="F1326" s="23" t="s">
        <v>39</v>
      </c>
      <c r="G1326" s="24">
        <v>35.0</v>
      </c>
      <c r="H1326" s="24">
        <v>90.0</v>
      </c>
      <c r="I1326" s="24">
        <v>8501.0</v>
      </c>
      <c r="J1326" s="24">
        <v>0.0</v>
      </c>
      <c r="K1326" s="23" t="s">
        <v>34</v>
      </c>
      <c r="L1326" s="25">
        <v>42772.28361111111</v>
      </c>
      <c r="M1326" s="26" t="s">
        <v>3389</v>
      </c>
      <c r="N1326" s="26" t="s">
        <v>3390</v>
      </c>
      <c r="O1326" s="22" t="str">
        <f>HYPERLINK("https://pbs.twimg.com/profile_images/911466018400124928/8pe9Pi9c_normal.jpg","View")</f>
        <v>View</v>
      </c>
      <c r="P1326" s="27"/>
    </row>
    <row r="1327">
      <c r="A1327" s="14">
        <v>43031.1103125</v>
      </c>
      <c r="B1327" s="20" t="str">
        <f>HYPERLINK("https://twitter.com/JamesAlanAnslow","@JamesAlanAnslow")</f>
        <v>@JamesAlanAnslow</v>
      </c>
      <c r="C1327" s="21" t="s">
        <v>3391</v>
      </c>
      <c r="D1327" s="21" t="s">
        <v>3392</v>
      </c>
      <c r="E1327" s="22" t="str">
        <f>HYPERLINK("https://twitter.com/JamesAlanAnslow/status/922396896034983936","922396896034983936")</f>
        <v>922396896034983936</v>
      </c>
      <c r="F1327" s="23" t="s">
        <v>33</v>
      </c>
      <c r="G1327" s="24">
        <v>5417.0</v>
      </c>
      <c r="H1327" s="24">
        <v>3365.0</v>
      </c>
      <c r="I1327" s="24">
        <v>0.0</v>
      </c>
      <c r="J1327" s="24">
        <v>0.0</v>
      </c>
      <c r="K1327" s="23" t="s">
        <v>34</v>
      </c>
      <c r="L1327" s="25">
        <v>39800.43041666667</v>
      </c>
      <c r="M1327" s="26" t="s">
        <v>708</v>
      </c>
      <c r="N1327" s="26" t="s">
        <v>3393</v>
      </c>
      <c r="O1327" s="22" t="str">
        <f>HYPERLINK("https://pbs.twimg.com/profile_images/853673713555968000/96Q7dxsN_normal.jpg","View")</f>
        <v>View</v>
      </c>
      <c r="P1327" s="27"/>
    </row>
    <row r="1328">
      <c r="A1328" s="14">
        <v>43031.11032407408</v>
      </c>
      <c r="B1328" s="20" t="str">
        <f>HYPERLINK("https://twitter.com/vjchandra2003","@vjchandra2003")</f>
        <v>@vjchandra2003</v>
      </c>
      <c r="C1328" s="21" t="s">
        <v>3394</v>
      </c>
      <c r="D1328" s="21" t="s">
        <v>42</v>
      </c>
      <c r="E1328" s="22" t="str">
        <f>HYPERLINK("https://twitter.com/vjchandra2003/status/922396897905491968","922396897905491968")</f>
        <v>922396897905491968</v>
      </c>
      <c r="F1328" s="23" t="s">
        <v>33</v>
      </c>
      <c r="G1328" s="24">
        <v>16.0</v>
      </c>
      <c r="H1328" s="24">
        <v>76.0</v>
      </c>
      <c r="I1328" s="24">
        <v>8501.0</v>
      </c>
      <c r="J1328" s="24">
        <v>0.0</v>
      </c>
      <c r="K1328" s="23" t="s">
        <v>34</v>
      </c>
      <c r="L1328" s="25">
        <v>40168.622662037036</v>
      </c>
      <c r="M1328" s="26" t="s">
        <v>3266</v>
      </c>
      <c r="N1328" s="26" t="s">
        <v>3395</v>
      </c>
      <c r="O1328" s="22" t="str">
        <f>HYPERLINK("https://pbs.twimg.com/profile_images/665469497436798976/vle8rZ3T_normal.jpg","View")</f>
        <v>View</v>
      </c>
      <c r="P1328" s="27"/>
    </row>
    <row r="1329">
      <c r="A1329" s="14">
        <v>43031.110347222224</v>
      </c>
      <c r="B1329" s="20" t="str">
        <f>HYPERLINK("https://twitter.com/rizza_mohammad","@rizza_mohammad")</f>
        <v>@rizza_mohammad</v>
      </c>
      <c r="C1329" s="21" t="s">
        <v>3326</v>
      </c>
      <c r="D1329" s="21" t="s">
        <v>3396</v>
      </c>
      <c r="E1329" s="22" t="str">
        <f>HYPERLINK("https://twitter.com/rizza_mohammad/status/922396905337896960","922396905337896960")</f>
        <v>922396905337896960</v>
      </c>
      <c r="F1329" s="23" t="s">
        <v>33</v>
      </c>
      <c r="G1329" s="24">
        <v>4.0</v>
      </c>
      <c r="H1329" s="24">
        <v>207.0</v>
      </c>
      <c r="I1329" s="24">
        <v>3.0</v>
      </c>
      <c r="J1329" s="24">
        <v>0.0</v>
      </c>
      <c r="K1329" s="23" t="s">
        <v>34</v>
      </c>
      <c r="L1329" s="25">
        <v>41551.19967592593</v>
      </c>
      <c r="M1329" s="26" t="s">
        <v>3327</v>
      </c>
      <c r="N1329" s="26" t="s">
        <v>3328</v>
      </c>
      <c r="O1329" s="22" t="str">
        <f>HYPERLINK("https://pbs.twimg.com/profile_images/695487952307130368/ASNWqkJx_normal.jpg","View")</f>
        <v>View</v>
      </c>
      <c r="P1329" s="27"/>
    </row>
    <row r="1330">
      <c r="A1330" s="14">
        <v>43031.11040509259</v>
      </c>
      <c r="B1330" s="20" t="str">
        <f>HYPERLINK("https://twitter.com/SameerK73848849","@SameerK73848849")</f>
        <v>@SameerK73848849</v>
      </c>
      <c r="C1330" s="21" t="s">
        <v>3397</v>
      </c>
      <c r="D1330" s="21" t="s">
        <v>42</v>
      </c>
      <c r="E1330" s="22" t="str">
        <f>HYPERLINK("https://twitter.com/SameerK73848849/status/922396928381521921","922396928381521921")</f>
        <v>922396928381521921</v>
      </c>
      <c r="F1330" s="23" t="s">
        <v>33</v>
      </c>
      <c r="G1330" s="24">
        <v>1.0</v>
      </c>
      <c r="H1330" s="24">
        <v>69.0</v>
      </c>
      <c r="I1330" s="24">
        <v>8501.0</v>
      </c>
      <c r="J1330" s="24">
        <v>0.0</v>
      </c>
      <c r="K1330" s="23" t="s">
        <v>34</v>
      </c>
      <c r="L1330" s="25">
        <v>43031.10628472222</v>
      </c>
      <c r="M1330" s="28"/>
      <c r="N1330" s="28"/>
      <c r="O1330" s="22" t="str">
        <f>HYPERLINK("https://abs.twimg.com/sticky/default_profile_images/default_profile_normal.png","View")</f>
        <v>View</v>
      </c>
      <c r="P1330" s="27"/>
    </row>
    <row r="1331">
      <c r="A1331" s="14">
        <v>43031.110451388886</v>
      </c>
      <c r="B1331" s="20" t="str">
        <f>HYPERLINK("https://twitter.com/Mithile29503652","@Mithile29503652")</f>
        <v>@Mithile29503652</v>
      </c>
      <c r="C1331" s="21" t="s">
        <v>3398</v>
      </c>
      <c r="D1331" s="21" t="s">
        <v>42</v>
      </c>
      <c r="E1331" s="22" t="str">
        <f>HYPERLINK("https://twitter.com/Mithile29503652/status/922396945884127232","922396945884127232")</f>
        <v>922396945884127232</v>
      </c>
      <c r="F1331" s="23" t="s">
        <v>33</v>
      </c>
      <c r="G1331" s="24">
        <v>63.0</v>
      </c>
      <c r="H1331" s="24">
        <v>251.0</v>
      </c>
      <c r="I1331" s="24">
        <v>8501.0</v>
      </c>
      <c r="J1331" s="24">
        <v>0.0</v>
      </c>
      <c r="K1331" s="23" t="s">
        <v>34</v>
      </c>
      <c r="L1331" s="25">
        <v>42995.82934027778</v>
      </c>
      <c r="M1331" s="26" t="s">
        <v>3399</v>
      </c>
      <c r="N1331" s="26" t="s">
        <v>3400</v>
      </c>
      <c r="O1331" s="22" t="str">
        <f>HYPERLINK("https://pbs.twimg.com/profile_images/909618001921531904/ndP0OiCr_normal.jpg","View")</f>
        <v>View</v>
      </c>
      <c r="P1331" s="27"/>
    </row>
    <row r="1332">
      <c r="A1332" s="14">
        <v>43031.11053240741</v>
      </c>
      <c r="B1332" s="20" t="str">
        <f>HYPERLINK("https://twitter.com/archanatriv","@archanatriv")</f>
        <v>@archanatriv</v>
      </c>
      <c r="C1332" s="21" t="s">
        <v>3401</v>
      </c>
      <c r="D1332" s="21" t="s">
        <v>42</v>
      </c>
      <c r="E1332" s="22" t="str">
        <f>HYPERLINK("https://twitter.com/archanatriv/status/922396972299960320","922396972299960320")</f>
        <v>922396972299960320</v>
      </c>
      <c r="F1332" s="23" t="s">
        <v>33</v>
      </c>
      <c r="G1332" s="24">
        <v>101.0</v>
      </c>
      <c r="H1332" s="24">
        <v>165.0</v>
      </c>
      <c r="I1332" s="24">
        <v>8501.0</v>
      </c>
      <c r="J1332" s="24">
        <v>0.0</v>
      </c>
      <c r="K1332" s="23" t="s">
        <v>34</v>
      </c>
      <c r="L1332" s="25">
        <v>42354.90138888889</v>
      </c>
      <c r="M1332" s="26" t="s">
        <v>3402</v>
      </c>
      <c r="N1332" s="26" t="s">
        <v>3403</v>
      </c>
      <c r="O1332" s="22" t="str">
        <f>HYPERLINK("https://pbs.twimg.com/profile_images/922092938225639425/5xhY1vcQ_normal.jpg","View")</f>
        <v>View</v>
      </c>
      <c r="P1332" s="27"/>
    </row>
    <row r="1333">
      <c r="A1333" s="14">
        <v>43031.11053240741</v>
      </c>
      <c r="B1333" s="20" t="str">
        <f>HYPERLINK("https://twitter.com/jepangnet","@jepangnet")</f>
        <v>@jepangnet</v>
      </c>
      <c r="C1333" s="29" t="s">
        <v>3404</v>
      </c>
      <c r="D1333" s="21" t="s">
        <v>3405</v>
      </c>
      <c r="E1333" s="22" t="str">
        <f>HYPERLINK("https://twitter.com/jepangnet/status/922396974032097281","922396974032097281")</f>
        <v>922396974032097281</v>
      </c>
      <c r="F1333" s="30" t="s">
        <v>411</v>
      </c>
      <c r="G1333" s="24">
        <v>1830.0</v>
      </c>
      <c r="H1333" s="24">
        <v>73.0</v>
      </c>
      <c r="I1333" s="24">
        <v>0.0</v>
      </c>
      <c r="J1333" s="24">
        <v>0.0</v>
      </c>
      <c r="K1333" s="23" t="s">
        <v>34</v>
      </c>
      <c r="L1333" s="25">
        <v>41367.07915509259</v>
      </c>
      <c r="M1333" s="28"/>
      <c r="N1333" s="26" t="s">
        <v>3406</v>
      </c>
      <c r="O1333" s="22" t="str">
        <f>HYPERLINK("https://pbs.twimg.com/profile_images/584780080838115328/JAX1NIUM_normal.jpg","View")</f>
        <v>View</v>
      </c>
      <c r="P1333" s="27"/>
    </row>
    <row r="1334">
      <c r="A1334" s="14">
        <v>43031.11060185185</v>
      </c>
      <c r="B1334" s="20" t="str">
        <f>HYPERLINK("https://twitter.com/LThubten","@LThubten")</f>
        <v>@LThubten</v>
      </c>
      <c r="C1334" s="21" t="s">
        <v>3407</v>
      </c>
      <c r="D1334" s="21" t="s">
        <v>3408</v>
      </c>
      <c r="E1334" s="22" t="str">
        <f>HYPERLINK("https://twitter.com/LThubten/status/922396999139422208","922396999139422208")</f>
        <v>922396999139422208</v>
      </c>
      <c r="F1334" s="23" t="s">
        <v>230</v>
      </c>
      <c r="G1334" s="24">
        <v>259.0</v>
      </c>
      <c r="H1334" s="24">
        <v>15.0</v>
      </c>
      <c r="I1334" s="24">
        <v>1.0</v>
      </c>
      <c r="J1334" s="24">
        <v>0.0</v>
      </c>
      <c r="K1334" s="23" t="s">
        <v>34</v>
      </c>
      <c r="L1334" s="25">
        <v>40403.2322337963</v>
      </c>
      <c r="M1334" s="26" t="s">
        <v>3409</v>
      </c>
      <c r="N1334" s="26" t="s">
        <v>3410</v>
      </c>
      <c r="O1334" s="22" t="str">
        <f>HYPERLINK("https://pbs.twimg.com/profile_images/892731054733357056/jmr-P5Yq_normal.jpg","View")</f>
        <v>View</v>
      </c>
      <c r="P1334" s="27"/>
    </row>
    <row r="1335">
      <c r="A1335" s="14">
        <v>43031.11063657407</v>
      </c>
      <c r="B1335" s="20" t="str">
        <f>HYPERLINK("https://twitter.com/zxyfinancial","@zxyfinancial")</f>
        <v>@zxyfinancial</v>
      </c>
      <c r="C1335" s="21" t="s">
        <v>3411</v>
      </c>
      <c r="D1335" s="21" t="s">
        <v>3412</v>
      </c>
      <c r="E1335" s="22" t="str">
        <f>HYPERLINK("https://twitter.com/zxyfinancial/status/922397013043548161","922397013043548161")</f>
        <v>922397013043548161</v>
      </c>
      <c r="F1335" s="23" t="s">
        <v>187</v>
      </c>
      <c r="G1335" s="24">
        <v>225.0</v>
      </c>
      <c r="H1335" s="24">
        <v>219.0</v>
      </c>
      <c r="I1335" s="24">
        <v>0.0</v>
      </c>
      <c r="J1335" s="24">
        <v>0.0</v>
      </c>
      <c r="K1335" s="23" t="s">
        <v>34</v>
      </c>
      <c r="L1335" s="25">
        <v>41336.85023148148</v>
      </c>
      <c r="M1335" s="26" t="s">
        <v>2185</v>
      </c>
      <c r="N1335" s="26" t="s">
        <v>3413</v>
      </c>
      <c r="O1335" s="22" t="str">
        <f>HYPERLINK("https://pbs.twimg.com/profile_images/3336325234/ae2147401108328f64c452da26b406c4_normal.jpeg","View")</f>
        <v>View</v>
      </c>
      <c r="P1335" s="27"/>
    </row>
    <row r="1336">
      <c r="A1336" s="14">
        <v>43031.110671296294</v>
      </c>
      <c r="B1336" s="20" t="str">
        <f>HYPERLINK("https://twitter.com/_kranga","@_kranga")</f>
        <v>@_kranga</v>
      </c>
      <c r="C1336" s="21" t="s">
        <v>3414</v>
      </c>
      <c r="D1336" s="21" t="s">
        <v>3415</v>
      </c>
      <c r="E1336" s="22" t="str">
        <f>HYPERLINK("https://twitter.com/_kranga/status/922397024045199361","922397024045199361")</f>
        <v>922397024045199361</v>
      </c>
      <c r="F1336" s="23" t="s">
        <v>39</v>
      </c>
      <c r="G1336" s="24">
        <v>111.0</v>
      </c>
      <c r="H1336" s="24">
        <v>75.0</v>
      </c>
      <c r="I1336" s="24">
        <v>3.0</v>
      </c>
      <c r="J1336" s="24">
        <v>0.0</v>
      </c>
      <c r="K1336" s="23" t="s">
        <v>34</v>
      </c>
      <c r="L1336" s="25">
        <v>41784.07699074074</v>
      </c>
      <c r="M1336" s="26" t="s">
        <v>575</v>
      </c>
      <c r="N1336" s="26" t="s">
        <v>3416</v>
      </c>
      <c r="O1336" s="22" t="str">
        <f>HYPERLINK("https://abs.twimg.com/sticky/default_profile_images/default_profile_normal.png","View")</f>
        <v>View</v>
      </c>
      <c r="P1336" s="27"/>
    </row>
    <row r="1337">
      <c r="A1337" s="14">
        <v>43031.11076388889</v>
      </c>
      <c r="B1337" s="20" t="str">
        <f>HYPERLINK("https://twitter.com/LibDem_News","@LibDem_News")</f>
        <v>@LibDem_News</v>
      </c>
      <c r="C1337" s="21" t="s">
        <v>3417</v>
      </c>
      <c r="D1337" s="21" t="s">
        <v>3418</v>
      </c>
      <c r="E1337" s="22" t="str">
        <f>HYPERLINK("https://twitter.com/LibDem_News/status/922397056064516097","922397056064516097")</f>
        <v>922397056064516097</v>
      </c>
      <c r="F1337" s="23" t="s">
        <v>3419</v>
      </c>
      <c r="G1337" s="24">
        <v>9959.0</v>
      </c>
      <c r="H1337" s="24">
        <v>10223.0</v>
      </c>
      <c r="I1337" s="24">
        <v>0.0</v>
      </c>
      <c r="J1337" s="24">
        <v>0.0</v>
      </c>
      <c r="K1337" s="23" t="s">
        <v>34</v>
      </c>
      <c r="L1337" s="25">
        <v>40363.36215277778</v>
      </c>
      <c r="M1337" s="28"/>
      <c r="N1337" s="26" t="s">
        <v>3420</v>
      </c>
      <c r="O1337" s="22" t="str">
        <f>HYPERLINK("https://pbs.twimg.com/profile_images/1050633160/LIBDEM_normal.png","View")</f>
        <v>View</v>
      </c>
      <c r="P1337" s="27"/>
    </row>
    <row r="1338">
      <c r="A1338" s="14">
        <v>43031.11078703703</v>
      </c>
      <c r="B1338" s="20" t="str">
        <f>HYPERLINK("https://twitter.com/vikalpande","@vikalpande")</f>
        <v>@vikalpande</v>
      </c>
      <c r="C1338" s="21" t="s">
        <v>3421</v>
      </c>
      <c r="D1338" s="21" t="s">
        <v>42</v>
      </c>
      <c r="E1338" s="22" t="str">
        <f>HYPERLINK("https://twitter.com/vikalpande/status/922397065468153856","922397065468153856")</f>
        <v>922397065468153856</v>
      </c>
      <c r="F1338" s="23" t="s">
        <v>33</v>
      </c>
      <c r="G1338" s="24">
        <v>6.0</v>
      </c>
      <c r="H1338" s="24">
        <v>25.0</v>
      </c>
      <c r="I1338" s="24">
        <v>8501.0</v>
      </c>
      <c r="J1338" s="24">
        <v>0.0</v>
      </c>
      <c r="K1338" s="23" t="s">
        <v>34</v>
      </c>
      <c r="L1338" s="25">
        <v>43007.23869212963</v>
      </c>
      <c r="M1338" s="26" t="s">
        <v>2770</v>
      </c>
      <c r="N1338" s="26" t="s">
        <v>3422</v>
      </c>
      <c r="O1338" s="22" t="str">
        <f>HYPERLINK("https://pbs.twimg.com/profile_images/913748530145009665/aKBo2UFa_normal.jpg","View")</f>
        <v>View</v>
      </c>
      <c r="P1338" s="27"/>
    </row>
    <row r="1339">
      <c r="A1339" s="14">
        <v>43031.1108912037</v>
      </c>
      <c r="B1339" s="20" t="str">
        <f>HYPERLINK("https://twitter.com/abhishe33314144","@abhishe33314144")</f>
        <v>@abhishe33314144</v>
      </c>
      <c r="C1339" s="21" t="s">
        <v>3423</v>
      </c>
      <c r="D1339" s="21" t="s">
        <v>42</v>
      </c>
      <c r="E1339" s="22" t="str">
        <f>HYPERLINK("https://twitter.com/abhishe33314144/status/922397105024524288","922397105024524288")</f>
        <v>922397105024524288</v>
      </c>
      <c r="F1339" s="23" t="s">
        <v>33</v>
      </c>
      <c r="G1339" s="24">
        <v>1.0</v>
      </c>
      <c r="H1339" s="24">
        <v>2.0</v>
      </c>
      <c r="I1339" s="24">
        <v>8501.0</v>
      </c>
      <c r="J1339" s="24">
        <v>0.0</v>
      </c>
      <c r="K1339" s="23" t="s">
        <v>34</v>
      </c>
      <c r="L1339" s="25">
        <v>43019.20990740741</v>
      </c>
      <c r="M1339" s="26" t="s">
        <v>2020</v>
      </c>
      <c r="N1339" s="28"/>
      <c r="O1339" s="22" t="str">
        <f>HYPERLINK("https://pbs.twimg.com/profile_images/918086348438773760/i3S1m2F4_normal.jpg","View")</f>
        <v>View</v>
      </c>
      <c r="P1339" s="27"/>
    </row>
    <row r="1340">
      <c r="A1340" s="14">
        <v>43031.111030092594</v>
      </c>
      <c r="B1340" s="20" t="str">
        <f>HYPERLINK("https://twitter.com/biz_business","@biz_business")</f>
        <v>@biz_business</v>
      </c>
      <c r="C1340" s="21" t="s">
        <v>3424</v>
      </c>
      <c r="D1340" s="21" t="s">
        <v>3425</v>
      </c>
      <c r="E1340" s="22" t="str">
        <f>HYPERLINK("https://twitter.com/biz_business/status/922397155867979777","922397155867979777")</f>
        <v>922397155867979777</v>
      </c>
      <c r="F1340" s="23" t="s">
        <v>187</v>
      </c>
      <c r="G1340" s="24">
        <v>31.0</v>
      </c>
      <c r="H1340" s="24">
        <v>20.0</v>
      </c>
      <c r="I1340" s="24">
        <v>0.0</v>
      </c>
      <c r="J1340" s="24">
        <v>0.0</v>
      </c>
      <c r="K1340" s="23" t="s">
        <v>34</v>
      </c>
      <c r="L1340" s="25">
        <v>41461.40623842592</v>
      </c>
      <c r="M1340" s="28"/>
      <c r="N1340" s="28"/>
      <c r="O1340" s="22" t="str">
        <f>HYPERLINK("https://abs.twimg.com/sticky/default_profile_images/default_profile_normal.png","View")</f>
        <v>View</v>
      </c>
      <c r="P1340" s="27"/>
    </row>
    <row r="1341">
      <c r="A1341" s="14">
        <v>43031.11104166666</v>
      </c>
      <c r="B1341" s="20" t="str">
        <f>HYPERLINK("https://twitter.com/pBdDz5tSKyGPBCC","@pBdDz5tSKyGPBCC")</f>
        <v>@pBdDz5tSKyGPBCC</v>
      </c>
      <c r="C1341" s="21" t="s">
        <v>3426</v>
      </c>
      <c r="D1341" s="21" t="s">
        <v>42</v>
      </c>
      <c r="E1341" s="22" t="str">
        <f>HYPERLINK("https://twitter.com/pBdDz5tSKyGPBCC/status/922397156459233280","922397156459233280")</f>
        <v>922397156459233280</v>
      </c>
      <c r="F1341" s="23" t="s">
        <v>33</v>
      </c>
      <c r="G1341" s="24">
        <v>454.0</v>
      </c>
      <c r="H1341" s="24">
        <v>994.0</v>
      </c>
      <c r="I1341" s="24">
        <v>8501.0</v>
      </c>
      <c r="J1341" s="24">
        <v>0.0</v>
      </c>
      <c r="K1341" s="23" t="s">
        <v>34</v>
      </c>
      <c r="L1341" s="25">
        <v>42837.87670138889</v>
      </c>
      <c r="M1341" s="26" t="s">
        <v>3427</v>
      </c>
      <c r="N1341" s="26" t="s">
        <v>3428</v>
      </c>
      <c r="O1341" s="22" t="str">
        <f>HYPERLINK("https://pbs.twimg.com/profile_images/859852584609304576/Gjs-Vfav_normal.jpg","View")</f>
        <v>View</v>
      </c>
      <c r="P1341" s="27"/>
    </row>
    <row r="1342">
      <c r="A1342" s="14">
        <v>43031.11113425926</v>
      </c>
      <c r="B1342" s="20" t="str">
        <f>HYPERLINK("https://twitter.com/RishuSingh2000","@RishuSingh2000")</f>
        <v>@RishuSingh2000</v>
      </c>
      <c r="C1342" s="21" t="s">
        <v>3429</v>
      </c>
      <c r="D1342" s="21" t="s">
        <v>42</v>
      </c>
      <c r="E1342" s="22" t="str">
        <f>HYPERLINK("https://twitter.com/RishuSingh2000/status/922397190915465216","922397190915465216")</f>
        <v>922397190915465216</v>
      </c>
      <c r="F1342" s="23" t="s">
        <v>43</v>
      </c>
      <c r="G1342" s="24">
        <v>43.0</v>
      </c>
      <c r="H1342" s="24">
        <v>57.0</v>
      </c>
      <c r="I1342" s="24">
        <v>8501.0</v>
      </c>
      <c r="J1342" s="24">
        <v>0.0</v>
      </c>
      <c r="K1342" s="23" t="s">
        <v>34</v>
      </c>
      <c r="L1342" s="25">
        <v>41775.474594907406</v>
      </c>
      <c r="M1342" s="26" t="s">
        <v>3430</v>
      </c>
      <c r="N1342" s="26" t="s">
        <v>3431</v>
      </c>
      <c r="O1342" s="22" t="str">
        <f>HYPERLINK("https://pbs.twimg.com/profile_images/883249052825120769/0ukJFsNS_normal.jpg","View")</f>
        <v>View</v>
      </c>
      <c r="P1342" s="27"/>
    </row>
    <row r="1343">
      <c r="A1343" s="14">
        <v>43031.11114583333</v>
      </c>
      <c r="B1343" s="20" t="str">
        <f>HYPERLINK("https://twitter.com/nalandalus","@nalandalus")</f>
        <v>@nalandalus</v>
      </c>
      <c r="C1343" s="21" t="s">
        <v>3432</v>
      </c>
      <c r="D1343" s="21" t="s">
        <v>3433</v>
      </c>
      <c r="E1343" s="22" t="str">
        <f>HYPERLINK("https://twitter.com/nalandalus/status/922397195529269248","922397195529269248")</f>
        <v>922397195529269248</v>
      </c>
      <c r="F1343" s="23" t="s">
        <v>230</v>
      </c>
      <c r="G1343" s="24">
        <v>16.0</v>
      </c>
      <c r="H1343" s="24">
        <v>15.0</v>
      </c>
      <c r="I1343" s="24">
        <v>1.0</v>
      </c>
      <c r="J1343" s="24">
        <v>0.0</v>
      </c>
      <c r="K1343" s="23" t="s">
        <v>34</v>
      </c>
      <c r="L1343" s="25">
        <v>42250.32738425926</v>
      </c>
      <c r="M1343" s="28"/>
      <c r="N1343" s="26" t="s">
        <v>3434</v>
      </c>
      <c r="O1343" s="22" t="str">
        <f>HYPERLINK("https://pbs.twimg.com/profile_images/891406578095665152/XtRX1sWS_normal.jpg","View")</f>
        <v>View</v>
      </c>
      <c r="P1343" s="27"/>
    </row>
    <row r="1344">
      <c r="A1344" s="14">
        <v>43031.1112037037</v>
      </c>
      <c r="B1344" s="20" t="str">
        <f>HYPERLINK("https://twitter.com/rajanrs46","@rajanrs46")</f>
        <v>@rajanrs46</v>
      </c>
      <c r="C1344" s="21" t="s">
        <v>3435</v>
      </c>
      <c r="D1344" s="21" t="s">
        <v>42</v>
      </c>
      <c r="E1344" s="22" t="str">
        <f>HYPERLINK("https://twitter.com/rajanrs46/status/922397218690056192","922397218690056192")</f>
        <v>922397218690056192</v>
      </c>
      <c r="F1344" s="23" t="s">
        <v>39</v>
      </c>
      <c r="G1344" s="24">
        <v>2.0</v>
      </c>
      <c r="H1344" s="24">
        <v>15.0</v>
      </c>
      <c r="I1344" s="24">
        <v>8501.0</v>
      </c>
      <c r="J1344" s="24">
        <v>0.0</v>
      </c>
      <c r="K1344" s="23" t="s">
        <v>34</v>
      </c>
      <c r="L1344" s="25">
        <v>41692.27605324074</v>
      </c>
      <c r="M1344" s="28"/>
      <c r="N1344" s="28"/>
      <c r="O1344" s="22" t="str">
        <f>HYPERLINK("https://pbs.twimg.com/profile_images/634247507166433280/usOPMk0u_normal.jpg","View")</f>
        <v>View</v>
      </c>
      <c r="P1344" s="27"/>
    </row>
    <row r="1345">
      <c r="A1345" s="14">
        <v>43031.11122685185</v>
      </c>
      <c r="B1345" s="20" t="str">
        <f>HYPERLINK("https://twitter.com/toshi_wildlife","@toshi_wildlife")</f>
        <v>@toshi_wildlife</v>
      </c>
      <c r="C1345" s="21" t="s">
        <v>3436</v>
      </c>
      <c r="D1345" s="21" t="s">
        <v>126</v>
      </c>
      <c r="E1345" s="22" t="str">
        <f>HYPERLINK("https://twitter.com/toshi_wildlife/status/922397224213950465","922397224213950465")</f>
        <v>922397224213950465</v>
      </c>
      <c r="F1345" s="23" t="s">
        <v>33</v>
      </c>
      <c r="G1345" s="24">
        <v>1052.0</v>
      </c>
      <c r="H1345" s="24">
        <v>1627.0</v>
      </c>
      <c r="I1345" s="24">
        <v>62.0</v>
      </c>
      <c r="J1345" s="24">
        <v>0.0</v>
      </c>
      <c r="K1345" s="23" t="s">
        <v>34</v>
      </c>
      <c r="L1345" s="25">
        <v>41867.129108796296</v>
      </c>
      <c r="M1345" s="26" t="s">
        <v>3437</v>
      </c>
      <c r="N1345" s="26" t="s">
        <v>3438</v>
      </c>
      <c r="O1345" s="22" t="str">
        <f>HYPERLINK("https://pbs.twimg.com/profile_images/897523323701149696/DyXUcz4k_normal.jpg","View")</f>
        <v>View</v>
      </c>
      <c r="P1345" s="27"/>
    </row>
    <row r="1346">
      <c r="A1346" s="14">
        <v>43031.111238425925</v>
      </c>
      <c r="B1346" s="20" t="str">
        <f>HYPERLINK("https://twitter.com/neri_nishino","@neri_nishino")</f>
        <v>@neri_nishino</v>
      </c>
      <c r="C1346" s="21" t="s">
        <v>3439</v>
      </c>
      <c r="D1346" s="21" t="s">
        <v>42</v>
      </c>
      <c r="E1346" s="22" t="str">
        <f>HYPERLINK("https://twitter.com/neri_nishino/status/922397228785741826","922397228785741826")</f>
        <v>922397228785741826</v>
      </c>
      <c r="F1346" s="23" t="s">
        <v>39</v>
      </c>
      <c r="G1346" s="24">
        <v>139.0</v>
      </c>
      <c r="H1346" s="24">
        <v>8.0</v>
      </c>
      <c r="I1346" s="24">
        <v>8501.0</v>
      </c>
      <c r="J1346" s="24">
        <v>0.0</v>
      </c>
      <c r="K1346" s="23" t="s">
        <v>34</v>
      </c>
      <c r="L1346" s="25">
        <v>42723.15883101852</v>
      </c>
      <c r="M1346" s="26" t="s">
        <v>271</v>
      </c>
      <c r="N1346" s="26" t="s">
        <v>3440</v>
      </c>
      <c r="O1346" s="22" t="str">
        <f>HYPERLINK("https://pbs.twimg.com/profile_images/813425771209314304/JIH3TGb4_normal.jpg","View")</f>
        <v>View</v>
      </c>
      <c r="P1346" s="27"/>
    </row>
    <row r="1347">
      <c r="A1347" s="14">
        <v>43031.11126157407</v>
      </c>
      <c r="B1347" s="20" t="str">
        <f>HYPERLINK("https://twitter.com/jpnyctky","@jpnyctky")</f>
        <v>@jpnyctky</v>
      </c>
      <c r="C1347" s="21" t="s">
        <v>3441</v>
      </c>
      <c r="D1347" s="21" t="s">
        <v>3442</v>
      </c>
      <c r="E1347" s="22" t="str">
        <f>HYPERLINK("https://twitter.com/jpnyctky/status/922397238659371008","922397238659371008")</f>
        <v>922397238659371008</v>
      </c>
      <c r="F1347" s="23" t="s">
        <v>187</v>
      </c>
      <c r="G1347" s="24">
        <v>915.0</v>
      </c>
      <c r="H1347" s="24">
        <v>1762.0</v>
      </c>
      <c r="I1347" s="24">
        <v>0.0</v>
      </c>
      <c r="J1347" s="24">
        <v>0.0</v>
      </c>
      <c r="K1347" s="23" t="s">
        <v>34</v>
      </c>
      <c r="L1347" s="25">
        <v>41417.86788194445</v>
      </c>
      <c r="M1347" s="26" t="s">
        <v>3443</v>
      </c>
      <c r="N1347" s="26" t="s">
        <v>3444</v>
      </c>
      <c r="O1347" s="22" t="str">
        <f>HYPERLINK("https://pbs.twimg.com/profile_images/461384483053113344/1ewDovGJ_normal.jpeg","View")</f>
        <v>View</v>
      </c>
      <c r="P1347" s="27"/>
    </row>
    <row r="1348">
      <c r="A1348" s="14">
        <v>43031.111388888894</v>
      </c>
      <c r="B1348" s="20" t="str">
        <f>HYPERLINK("https://twitter.com/bpolitics","@bpolitics")</f>
        <v>@bpolitics</v>
      </c>
      <c r="C1348" s="21" t="s">
        <v>3445</v>
      </c>
      <c r="D1348" s="21" t="s">
        <v>3446</v>
      </c>
      <c r="E1348" s="22" t="str">
        <f>HYPERLINK("https://twitter.com/bpolitics/status/922397283714441216","922397283714441216")</f>
        <v>922397283714441216</v>
      </c>
      <c r="F1348" s="30" t="s">
        <v>2744</v>
      </c>
      <c r="G1348" s="24">
        <v>221050.0</v>
      </c>
      <c r="H1348" s="24">
        <v>865.0</v>
      </c>
      <c r="I1348" s="24">
        <v>3.0</v>
      </c>
      <c r="J1348" s="24">
        <v>3.0</v>
      </c>
      <c r="K1348" s="23" t="s">
        <v>34</v>
      </c>
      <c r="L1348" s="25">
        <v>41025.57640046296</v>
      </c>
      <c r="M1348" s="28"/>
      <c r="N1348" s="26" t="s">
        <v>3447</v>
      </c>
      <c r="O1348" s="22" t="str">
        <f>HYPERLINK("https://pbs.twimg.com/profile_images/714804098890133504/cUO4gD1A_normal.jpg","View")</f>
        <v>View</v>
      </c>
      <c r="P1348" s="27"/>
    </row>
    <row r="1349">
      <c r="A1349" s="14">
        <v>43031.111446759256</v>
      </c>
      <c r="B1349" s="20" t="str">
        <f>HYPERLINK("https://twitter.com/Yuji1027M","@Yuji1027M")</f>
        <v>@Yuji1027M</v>
      </c>
      <c r="C1349" s="21" t="s">
        <v>3448</v>
      </c>
      <c r="D1349" s="21" t="s">
        <v>42</v>
      </c>
      <c r="E1349" s="22" t="str">
        <f>HYPERLINK("https://twitter.com/Yuji1027M/status/922397303519850497","922397303519850497")</f>
        <v>922397303519850497</v>
      </c>
      <c r="F1349" s="23" t="s">
        <v>39</v>
      </c>
      <c r="G1349" s="24">
        <v>19565.0</v>
      </c>
      <c r="H1349" s="24">
        <v>19453.0</v>
      </c>
      <c r="I1349" s="24">
        <v>8501.0</v>
      </c>
      <c r="J1349" s="24">
        <v>0.0</v>
      </c>
      <c r="K1349" s="23" t="s">
        <v>34</v>
      </c>
      <c r="L1349" s="25">
        <v>41381.58818287037</v>
      </c>
      <c r="M1349" s="26" t="s">
        <v>71</v>
      </c>
      <c r="N1349" s="26" t="s">
        <v>3449</v>
      </c>
      <c r="O1349" s="22" t="str">
        <f>HYPERLINK("https://pbs.twimg.com/profile_images/429877519257309185/6UdWxX7I_normal.jpeg","View")</f>
        <v>View</v>
      </c>
      <c r="P1349" s="27"/>
    </row>
    <row r="1350">
      <c r="A1350" s="14">
        <v>43031.11150462963</v>
      </c>
      <c r="B1350" s="20" t="str">
        <f>HYPERLINK("https://twitter.com/BloombergTV","@BloombergTV")</f>
        <v>@BloombergTV</v>
      </c>
      <c r="C1350" s="21" t="s">
        <v>1723</v>
      </c>
      <c r="D1350" s="21" t="s">
        <v>3450</v>
      </c>
      <c r="E1350" s="22" t="str">
        <f>HYPERLINK("https://twitter.com/BloombergTV/status/922397327649775616","922397327649775616")</f>
        <v>922397327649775616</v>
      </c>
      <c r="F1350" s="30" t="s">
        <v>2744</v>
      </c>
      <c r="G1350" s="24">
        <v>452743.0</v>
      </c>
      <c r="H1350" s="24">
        <v>458.0</v>
      </c>
      <c r="I1350" s="24">
        <v>6.0</v>
      </c>
      <c r="J1350" s="24">
        <v>3.0</v>
      </c>
      <c r="K1350" s="23" t="s">
        <v>34</v>
      </c>
      <c r="L1350" s="25">
        <v>39927.48997685185</v>
      </c>
      <c r="M1350" s="26" t="s">
        <v>389</v>
      </c>
      <c r="N1350" s="26" t="s">
        <v>1725</v>
      </c>
      <c r="O1350" s="22" t="str">
        <f>HYPERLINK("https://pbs.twimg.com/profile_images/714801760632770560/7My2hMBt_normal.jpg","View")</f>
        <v>View</v>
      </c>
      <c r="P1350" s="27"/>
    </row>
    <row r="1351">
      <c r="A1351" s="14">
        <v>43031.111562499995</v>
      </c>
      <c r="B1351" s="20" t="str">
        <f>HYPERLINK("https://twitter.com/jakpost","@jakpost")</f>
        <v>@jakpost</v>
      </c>
      <c r="C1351" s="21" t="s">
        <v>3451</v>
      </c>
      <c r="D1351" s="21" t="s">
        <v>3452</v>
      </c>
      <c r="E1351" s="22" t="str">
        <f>HYPERLINK("https://twitter.com/jakpost/status/922397346247401472","922397346247401472")</f>
        <v>922397346247401472</v>
      </c>
      <c r="F1351" s="23" t="s">
        <v>3086</v>
      </c>
      <c r="G1351" s="24">
        <v>761585.0</v>
      </c>
      <c r="H1351" s="24">
        <v>4.0</v>
      </c>
      <c r="I1351" s="24">
        <v>3.0</v>
      </c>
      <c r="J1351" s="24">
        <v>3.0</v>
      </c>
      <c r="K1351" s="23" t="s">
        <v>34</v>
      </c>
      <c r="L1351" s="25">
        <v>40049.79241898148</v>
      </c>
      <c r="M1351" s="26" t="s">
        <v>3453</v>
      </c>
      <c r="N1351" s="26" t="s">
        <v>3454</v>
      </c>
      <c r="O1351" s="22" t="str">
        <f>HYPERLINK("https://pbs.twimg.com/profile_images/715730311800172544/T4OlLnFq_normal.jpg","View")</f>
        <v>View</v>
      </c>
      <c r="P1351" s="27"/>
    </row>
    <row r="1352">
      <c r="A1352" s="14">
        <v>43031.111562499995</v>
      </c>
      <c r="B1352" s="20" t="str">
        <f>HYPERLINK("https://twitter.com/BloombergAsia","@BloombergAsia")</f>
        <v>@BloombergAsia</v>
      </c>
      <c r="C1352" s="21" t="s">
        <v>1726</v>
      </c>
      <c r="D1352" s="21" t="s">
        <v>3455</v>
      </c>
      <c r="E1352" s="22" t="str">
        <f>HYPERLINK("https://twitter.com/BloombergAsia/status/922397346641666048","922397346641666048")</f>
        <v>922397346641666048</v>
      </c>
      <c r="F1352" s="23" t="s">
        <v>1103</v>
      </c>
      <c r="G1352" s="24">
        <v>28807.0</v>
      </c>
      <c r="H1352" s="24">
        <v>97.0</v>
      </c>
      <c r="I1352" s="24">
        <v>2.0</v>
      </c>
      <c r="J1352" s="24">
        <v>2.0</v>
      </c>
      <c r="K1352" s="23" t="s">
        <v>34</v>
      </c>
      <c r="L1352" s="25">
        <v>41052.238483796296</v>
      </c>
      <c r="M1352" s="28"/>
      <c r="N1352" s="26" t="s">
        <v>1728</v>
      </c>
      <c r="O1352" s="22" t="str">
        <f>HYPERLINK("https://pbs.twimg.com/profile_images/778129630284902401/gXjFkqGM_normal.jpg","View")</f>
        <v>View</v>
      </c>
      <c r="P1352" s="27"/>
    </row>
    <row r="1353">
      <c r="A1353" s="14">
        <v>43031.11163194444</v>
      </c>
      <c r="B1353" s="20" t="str">
        <f>HYPERLINK("https://twitter.com/SnairRaja","@SnairRaja")</f>
        <v>@SnairRaja</v>
      </c>
      <c r="C1353" s="21" t="s">
        <v>3456</v>
      </c>
      <c r="D1353" s="21" t="s">
        <v>42</v>
      </c>
      <c r="E1353" s="22" t="str">
        <f>HYPERLINK("https://twitter.com/SnairRaja/status/922397373489233923","922397373489233923")</f>
        <v>922397373489233923</v>
      </c>
      <c r="F1353" s="23" t="s">
        <v>33</v>
      </c>
      <c r="G1353" s="24">
        <v>141.0</v>
      </c>
      <c r="H1353" s="24">
        <v>1017.0</v>
      </c>
      <c r="I1353" s="24">
        <v>8501.0</v>
      </c>
      <c r="J1353" s="24">
        <v>0.0</v>
      </c>
      <c r="K1353" s="23" t="s">
        <v>34</v>
      </c>
      <c r="L1353" s="25">
        <v>40776.1796875</v>
      </c>
      <c r="M1353" s="28"/>
      <c r="N1353" s="28"/>
      <c r="O1353" s="22" t="str">
        <f>HYPERLINK("https://pbs.twimg.com/profile_images/647423056181198848/JFBhBYAH_normal.jpg","View")</f>
        <v>View</v>
      </c>
      <c r="P1353" s="27"/>
    </row>
    <row r="1354">
      <c r="A1354" s="14">
        <v>43031.11168981482</v>
      </c>
      <c r="B1354" s="20" t="str">
        <f>HYPERLINK("https://twitter.com/SloggerRK","@SloggerRK")</f>
        <v>@SloggerRK</v>
      </c>
      <c r="C1354" s="21" t="s">
        <v>3457</v>
      </c>
      <c r="D1354" s="21" t="s">
        <v>42</v>
      </c>
      <c r="E1354" s="22" t="str">
        <f>HYPERLINK("https://twitter.com/SloggerRK/status/922397394917924864","922397394917924864")</f>
        <v>922397394917924864</v>
      </c>
      <c r="F1354" s="23" t="s">
        <v>55</v>
      </c>
      <c r="G1354" s="24">
        <v>31455.0</v>
      </c>
      <c r="H1354" s="24">
        <v>4621.0</v>
      </c>
      <c r="I1354" s="24">
        <v>8501.0</v>
      </c>
      <c r="J1354" s="24">
        <v>0.0</v>
      </c>
      <c r="K1354" s="23" t="s">
        <v>34</v>
      </c>
      <c r="L1354" s="25">
        <v>41166.12533564815</v>
      </c>
      <c r="M1354" s="26" t="s">
        <v>204</v>
      </c>
      <c r="N1354" s="26" t="s">
        <v>3458</v>
      </c>
      <c r="O1354" s="22" t="str">
        <f>HYPERLINK("https://pbs.twimg.com/profile_images/837257265547722753/gKwniTxV_normal.jpg","View")</f>
        <v>View</v>
      </c>
      <c r="P1354" s="27"/>
    </row>
    <row r="1355">
      <c r="A1355" s="14">
        <v>43031.11173611111</v>
      </c>
      <c r="B1355" s="20" t="str">
        <f>HYPERLINK("https://twitter.com/AndrewRalphPC","@AndrewRalphPC")</f>
        <v>@AndrewRalphPC</v>
      </c>
      <c r="C1355" s="21" t="s">
        <v>3459</v>
      </c>
      <c r="D1355" s="21" t="s">
        <v>3460</v>
      </c>
      <c r="E1355" s="22" t="str">
        <f>HYPERLINK("https://twitter.com/AndrewRalphPC/status/922397410277625856","922397410277625856")</f>
        <v>922397410277625856</v>
      </c>
      <c r="F1355" s="23" t="s">
        <v>230</v>
      </c>
      <c r="G1355" s="24">
        <v>1669.0</v>
      </c>
      <c r="H1355" s="24">
        <v>2944.0</v>
      </c>
      <c r="I1355" s="24">
        <v>63.0</v>
      </c>
      <c r="J1355" s="24">
        <v>0.0</v>
      </c>
      <c r="K1355" s="23" t="s">
        <v>34</v>
      </c>
      <c r="L1355" s="25">
        <v>41900.50212962963</v>
      </c>
      <c r="M1355" s="26" t="s">
        <v>3461</v>
      </c>
      <c r="N1355" s="26" t="s">
        <v>3462</v>
      </c>
      <c r="O1355" s="22" t="str">
        <f>HYPERLINK("https://pbs.twimg.com/profile_images/920241607613566977/B5tVOAcl_normal.jpg","View")</f>
        <v>View</v>
      </c>
      <c r="P1355" s="27"/>
    </row>
    <row r="1356">
      <c r="A1356" s="14">
        <v>43031.11177083333</v>
      </c>
      <c r="B1356" s="20" t="str">
        <f>HYPERLINK("https://twitter.com/Norni2L","@Norni2L")</f>
        <v>@Norni2L</v>
      </c>
      <c r="C1356" s="21" t="s">
        <v>3463</v>
      </c>
      <c r="D1356" s="21" t="s">
        <v>3464</v>
      </c>
      <c r="E1356" s="22" t="str">
        <f>HYPERLINK("https://twitter.com/Norni2L/status/922397424609570816","922397424609570816")</f>
        <v>922397424609570816</v>
      </c>
      <c r="F1356" s="23" t="s">
        <v>55</v>
      </c>
      <c r="G1356" s="24">
        <v>144.0</v>
      </c>
      <c r="H1356" s="24">
        <v>751.0</v>
      </c>
      <c r="I1356" s="24">
        <v>3.0</v>
      </c>
      <c r="J1356" s="24">
        <v>0.0</v>
      </c>
      <c r="K1356" s="23" t="s">
        <v>34</v>
      </c>
      <c r="L1356" s="25">
        <v>42733.0180324074</v>
      </c>
      <c r="M1356" s="28"/>
      <c r="N1356" s="26" t="s">
        <v>3465</v>
      </c>
      <c r="O1356" s="22" t="str">
        <f>HYPERLINK("https://pbs.twimg.com/profile_images/848654574089064448/Oe2m6o2t_normal.jpg","View")</f>
        <v>View</v>
      </c>
      <c r="P1356" s="27"/>
    </row>
    <row r="1357">
      <c r="A1357" s="14">
        <v>43031.11179398149</v>
      </c>
      <c r="B1357" s="20" t="str">
        <f>HYPERLINK("https://twitter.com/veriffiedbhakt","@veriffiedbhakt")</f>
        <v>@veriffiedbhakt</v>
      </c>
      <c r="C1357" s="21" t="s">
        <v>3466</v>
      </c>
      <c r="D1357" s="21" t="s">
        <v>42</v>
      </c>
      <c r="E1357" s="22" t="str">
        <f>HYPERLINK("https://twitter.com/veriffiedbhakt/status/922397430808760320","922397430808760320")</f>
        <v>922397430808760320</v>
      </c>
      <c r="F1357" s="23" t="s">
        <v>33</v>
      </c>
      <c r="G1357" s="24">
        <v>163.0</v>
      </c>
      <c r="H1357" s="24">
        <v>4.0</v>
      </c>
      <c r="I1357" s="24">
        <v>8501.0</v>
      </c>
      <c r="J1357" s="24">
        <v>0.0</v>
      </c>
      <c r="K1357" s="23" t="s">
        <v>34</v>
      </c>
      <c r="L1357" s="25">
        <v>42750.262766203705</v>
      </c>
      <c r="M1357" s="28"/>
      <c r="N1357" s="26" t="s">
        <v>3467</v>
      </c>
      <c r="O1357" s="22" t="str">
        <f>HYPERLINK("https://pbs.twimg.com/profile_images/822495563656503296/wiHCxess_normal.jpg","View")</f>
        <v>View</v>
      </c>
      <c r="P1357" s="27"/>
    </row>
    <row r="1358">
      <c r="A1358" s="14">
        <v>43031.11188657407</v>
      </c>
      <c r="B1358" s="20" t="str">
        <f>HYPERLINK("https://twitter.com/ManasKumarBera","@ManasKumarBera")</f>
        <v>@ManasKumarBera</v>
      </c>
      <c r="C1358" s="21" t="s">
        <v>3468</v>
      </c>
      <c r="D1358" s="21" t="s">
        <v>42</v>
      </c>
      <c r="E1358" s="22" t="str">
        <f>HYPERLINK("https://twitter.com/ManasKumarBera/status/922397462878236672","922397462878236672")</f>
        <v>922397462878236672</v>
      </c>
      <c r="F1358" s="23" t="s">
        <v>33</v>
      </c>
      <c r="G1358" s="24">
        <v>9.0</v>
      </c>
      <c r="H1358" s="24">
        <v>41.0</v>
      </c>
      <c r="I1358" s="24">
        <v>8501.0</v>
      </c>
      <c r="J1358" s="24">
        <v>0.0</v>
      </c>
      <c r="K1358" s="23" t="s">
        <v>34</v>
      </c>
      <c r="L1358" s="25">
        <v>41467.29697916667</v>
      </c>
      <c r="M1358" s="28"/>
      <c r="N1358" s="26" t="s">
        <v>3469</v>
      </c>
      <c r="O1358" s="22" t="str">
        <f>HYPERLINK("https://pbs.twimg.com/profile_images/378800000124848007/e4911de59337333c3d2d7445b86aae0f_normal.jpeg","View")</f>
        <v>View</v>
      </c>
      <c r="P1358" s="27"/>
    </row>
    <row r="1359">
      <c r="A1359" s="14">
        <v>43031.11189814815</v>
      </c>
      <c r="B1359" s="20" t="str">
        <f>HYPERLINK("https://twitter.com/nkjadaunn","@nkjadaunn")</f>
        <v>@nkjadaunn</v>
      </c>
      <c r="C1359" s="21" t="s">
        <v>3470</v>
      </c>
      <c r="D1359" s="21" t="s">
        <v>42</v>
      </c>
      <c r="E1359" s="22" t="str">
        <f>HYPERLINK("https://twitter.com/nkjadaunn/status/922397469316562944","922397469316562944")</f>
        <v>922397469316562944</v>
      </c>
      <c r="F1359" s="23" t="s">
        <v>33</v>
      </c>
      <c r="G1359" s="24">
        <v>3552.0</v>
      </c>
      <c r="H1359" s="24">
        <v>4898.0</v>
      </c>
      <c r="I1359" s="24">
        <v>8501.0</v>
      </c>
      <c r="J1359" s="24">
        <v>0.0</v>
      </c>
      <c r="K1359" s="23" t="s">
        <v>34</v>
      </c>
      <c r="L1359" s="25">
        <v>41213.0021412037</v>
      </c>
      <c r="M1359" s="26" t="s">
        <v>3471</v>
      </c>
      <c r="N1359" s="26" t="s">
        <v>3472</v>
      </c>
      <c r="O1359" s="22" t="str">
        <f>HYPERLINK("https://pbs.twimg.com/profile_images/918468084381315072/rU58IiMU_normal.jpg","View")</f>
        <v>View</v>
      </c>
      <c r="P1359" s="27"/>
    </row>
    <row r="1360">
      <c r="A1360" s="14">
        <v>43031.11189814815</v>
      </c>
      <c r="B1360" s="20" t="str">
        <f>HYPERLINK("https://twitter.com/Anon_Eu","@Anon_Eu")</f>
        <v>@Anon_Eu</v>
      </c>
      <c r="C1360" s="21" t="s">
        <v>3473</v>
      </c>
      <c r="D1360" s="21" t="s">
        <v>3474</v>
      </c>
      <c r="E1360" s="22" t="str">
        <f>HYPERLINK("https://twitter.com/Anon_Eu/status/922397470105092097","922397470105092097")</f>
        <v>922397470105092097</v>
      </c>
      <c r="F1360" s="30" t="s">
        <v>411</v>
      </c>
      <c r="G1360" s="24">
        <v>13134.0</v>
      </c>
      <c r="H1360" s="24">
        <v>6958.0</v>
      </c>
      <c r="I1360" s="24">
        <v>1.0</v>
      </c>
      <c r="J1360" s="24">
        <v>1.0</v>
      </c>
      <c r="K1360" s="23" t="s">
        <v>34</v>
      </c>
      <c r="L1360" s="25">
        <v>41161.59104166667</v>
      </c>
      <c r="M1360" s="26" t="s">
        <v>3475</v>
      </c>
      <c r="N1360" s="26" t="s">
        <v>3476</v>
      </c>
      <c r="O1360" s="22" t="str">
        <f>HYPERLINK("https://pbs.twimg.com/profile_images/839870179282669570/K5jLYmlF_normal.jpg","View")</f>
        <v>View</v>
      </c>
      <c r="P1360" s="27"/>
    </row>
    <row r="1361">
      <c r="A1361" s="14">
        <v>43031.11195601852</v>
      </c>
      <c r="B1361" s="20" t="str">
        <f>HYPERLINK("https://twitter.com/AIDIndia3","@AIDIndia3")</f>
        <v>@AIDIndia3</v>
      </c>
      <c r="C1361" s="21" t="s">
        <v>3477</v>
      </c>
      <c r="D1361" s="21" t="s">
        <v>3478</v>
      </c>
      <c r="E1361" s="22" t="str">
        <f>HYPERLINK("https://twitter.com/AIDIndia3/status/922397489185124352","922397489185124352")</f>
        <v>922397489185124352</v>
      </c>
      <c r="F1361" s="23" t="s">
        <v>3479</v>
      </c>
      <c r="G1361" s="24">
        <v>289.0</v>
      </c>
      <c r="H1361" s="24">
        <v>152.0</v>
      </c>
      <c r="I1361" s="24">
        <v>4.0</v>
      </c>
      <c r="J1361" s="24">
        <v>0.0</v>
      </c>
      <c r="K1361" s="23" t="s">
        <v>34</v>
      </c>
      <c r="L1361" s="25">
        <v>42625.206296296295</v>
      </c>
      <c r="M1361" s="26" t="s">
        <v>575</v>
      </c>
      <c r="N1361" s="26" t="s">
        <v>3480</v>
      </c>
      <c r="O1361" s="22" t="str">
        <f>HYPERLINK("https://pbs.twimg.com/profile_images/775305592504217600/Ea7UL5A7_normal.jpg","View")</f>
        <v>View</v>
      </c>
      <c r="P1361" s="27"/>
    </row>
    <row r="1362">
      <c r="A1362" s="14">
        <v>43031.11201388889</v>
      </c>
      <c r="B1362" s="20" t="str">
        <f>HYPERLINK("https://twitter.com/DiaeHora","@DiaeHora")</f>
        <v>@DiaeHora</v>
      </c>
      <c r="C1362" s="21" t="s">
        <v>2507</v>
      </c>
      <c r="D1362" s="21" t="s">
        <v>2748</v>
      </c>
      <c r="E1362" s="22" t="str">
        <f>HYPERLINK("https://twitter.com/DiaeHora/status/922397510106271746","922397510106271746")</f>
        <v>922397510106271746</v>
      </c>
      <c r="F1362" s="23" t="s">
        <v>33</v>
      </c>
      <c r="G1362" s="24">
        <v>37.0</v>
      </c>
      <c r="H1362" s="24">
        <v>426.0</v>
      </c>
      <c r="I1362" s="24">
        <v>15.0</v>
      </c>
      <c r="J1362" s="24">
        <v>0.0</v>
      </c>
      <c r="K1362" s="23" t="s">
        <v>34</v>
      </c>
      <c r="L1362" s="25">
        <v>42964.36016203703</v>
      </c>
      <c r="M1362" s="26" t="s">
        <v>1124</v>
      </c>
      <c r="N1362" s="26" t="s">
        <v>2508</v>
      </c>
      <c r="O1362" s="22" t="str">
        <f>HYPERLINK("https://pbs.twimg.com/profile_images/919982091189850112/jKd3GvQX_normal.jpg","View")</f>
        <v>View</v>
      </c>
      <c r="P1362" s="27"/>
    </row>
    <row r="1363">
      <c r="A1363" s="14">
        <v>43031.11206018519</v>
      </c>
      <c r="B1363" s="20" t="str">
        <f>HYPERLINK("https://twitter.com/PHILAlerts","@PHILAlerts")</f>
        <v>@PHILAlerts</v>
      </c>
      <c r="C1363" s="21" t="s">
        <v>3481</v>
      </c>
      <c r="D1363" s="21" t="s">
        <v>3482</v>
      </c>
      <c r="E1363" s="22" t="str">
        <f>HYPERLINK("https://twitter.com/PHILAlerts/status/922397527885926401","922397527885926401")</f>
        <v>922397527885926401</v>
      </c>
      <c r="F1363" s="23" t="s">
        <v>187</v>
      </c>
      <c r="G1363" s="24">
        <v>1315.0</v>
      </c>
      <c r="H1363" s="24">
        <v>3.0</v>
      </c>
      <c r="I1363" s="24">
        <v>0.0</v>
      </c>
      <c r="J1363" s="24">
        <v>0.0</v>
      </c>
      <c r="K1363" s="23" t="s">
        <v>34</v>
      </c>
      <c r="L1363" s="25">
        <v>41153.71976851852</v>
      </c>
      <c r="M1363" s="26" t="s">
        <v>265</v>
      </c>
      <c r="N1363" s="26" t="s">
        <v>3483</v>
      </c>
      <c r="O1363" s="22" t="str">
        <f>HYPERLINK("https://pbs.twimg.com/profile_images/378800000513718638/3fd5d8661316ab39a32c5786949eb77f_normal.jpeg","View")</f>
        <v>View</v>
      </c>
      <c r="P1363" s="27"/>
    </row>
    <row r="1364">
      <c r="A1364" s="14">
        <v>43031.11222222222</v>
      </c>
      <c r="B1364" s="20" t="str">
        <f>HYPERLINK("https://twitter.com/ShivarajV9","@ShivarajV9")</f>
        <v>@ShivarajV9</v>
      </c>
      <c r="C1364" s="21" t="s">
        <v>3484</v>
      </c>
      <c r="D1364" s="21" t="s">
        <v>42</v>
      </c>
      <c r="E1364" s="22" t="str">
        <f>HYPERLINK("https://twitter.com/ShivarajV9/status/922397587495202817","922397587495202817")</f>
        <v>922397587495202817</v>
      </c>
      <c r="F1364" s="23" t="s">
        <v>33</v>
      </c>
      <c r="G1364" s="24">
        <v>71.0</v>
      </c>
      <c r="H1364" s="24">
        <v>253.0</v>
      </c>
      <c r="I1364" s="24">
        <v>8501.0</v>
      </c>
      <c r="J1364" s="24">
        <v>0.0</v>
      </c>
      <c r="K1364" s="23" t="s">
        <v>34</v>
      </c>
      <c r="L1364" s="25">
        <v>42878.546319444446</v>
      </c>
      <c r="M1364" s="26" t="s">
        <v>204</v>
      </c>
      <c r="N1364" s="26" t="s">
        <v>3485</v>
      </c>
      <c r="O1364" s="22" t="str">
        <f>HYPERLINK("https://pbs.twimg.com/profile_images/914055470314164224/FvX5Kn7B_normal.jpg","View")</f>
        <v>View</v>
      </c>
      <c r="P1364" s="27"/>
    </row>
    <row r="1365">
      <c r="A1365" s="14">
        <v>43031.11225694444</v>
      </c>
      <c r="B1365" s="20" t="str">
        <f>HYPERLINK("https://twitter.com/BloombergAsia","@BloombergAsia")</f>
        <v>@BloombergAsia</v>
      </c>
      <c r="C1365" s="21" t="s">
        <v>1726</v>
      </c>
      <c r="D1365" s="21" t="s">
        <v>3486</v>
      </c>
      <c r="E1365" s="22" t="str">
        <f>HYPERLINK("https://twitter.com/BloombergAsia/status/922397597540655104","922397597540655104")</f>
        <v>922397597540655104</v>
      </c>
      <c r="F1365" s="30" t="s">
        <v>2744</v>
      </c>
      <c r="G1365" s="24">
        <v>28807.0</v>
      </c>
      <c r="H1365" s="24">
        <v>97.0</v>
      </c>
      <c r="I1365" s="24">
        <v>4.0</v>
      </c>
      <c r="J1365" s="24">
        <v>3.0</v>
      </c>
      <c r="K1365" s="23" t="s">
        <v>34</v>
      </c>
      <c r="L1365" s="25">
        <v>41052.238483796296</v>
      </c>
      <c r="M1365" s="28"/>
      <c r="N1365" s="26" t="s">
        <v>1728</v>
      </c>
      <c r="O1365" s="22" t="str">
        <f>HYPERLINK("https://pbs.twimg.com/profile_images/778129630284902401/gXjFkqGM_normal.jpg","View")</f>
        <v>View</v>
      </c>
      <c r="P1365" s="27"/>
    </row>
    <row r="1366">
      <c r="A1366" s="14">
        <v>43031.11225694444</v>
      </c>
      <c r="B1366" s="20" t="str">
        <f>HYPERLINK("https://twitter.com/Satyaa_vachan","@Satyaa_vachan")</f>
        <v>@Satyaa_vachan</v>
      </c>
      <c r="C1366" s="21" t="s">
        <v>3487</v>
      </c>
      <c r="D1366" s="21" t="s">
        <v>42</v>
      </c>
      <c r="E1366" s="22" t="str">
        <f>HYPERLINK("https://twitter.com/Satyaa_vachan/status/922397599977500673","922397599977500673")</f>
        <v>922397599977500673</v>
      </c>
      <c r="F1366" s="23" t="s">
        <v>43</v>
      </c>
      <c r="G1366" s="24">
        <v>41.0</v>
      </c>
      <c r="H1366" s="24">
        <v>59.0</v>
      </c>
      <c r="I1366" s="24">
        <v>8501.0</v>
      </c>
      <c r="J1366" s="24">
        <v>0.0</v>
      </c>
      <c r="K1366" s="23" t="s">
        <v>34</v>
      </c>
      <c r="L1366" s="25">
        <v>40776.38391203704</v>
      </c>
      <c r="M1366" s="26" t="s">
        <v>204</v>
      </c>
      <c r="N1366" s="26" t="s">
        <v>3488</v>
      </c>
      <c r="O1366" s="22" t="str">
        <f>HYPERLINK("https://pbs.twimg.com/profile_images/922131429210734592/6wf9AJiO_normal.jpg","View")</f>
        <v>View</v>
      </c>
      <c r="P1366" s="27"/>
    </row>
    <row r="1367">
      <c r="A1367" s="14">
        <v>43031.11226851852</v>
      </c>
      <c r="B1367" s="20" t="str">
        <f>HYPERLINK("https://twitter.com/Lily_raccoondog","@Lily_raccoondog")</f>
        <v>@Lily_raccoondog</v>
      </c>
      <c r="C1367" s="21" t="s">
        <v>3489</v>
      </c>
      <c r="D1367" s="21" t="s">
        <v>3205</v>
      </c>
      <c r="E1367" s="22" t="str">
        <f>HYPERLINK("https://twitter.com/Lily_raccoondog/status/922397603446136832","922397603446136832")</f>
        <v>922397603446136832</v>
      </c>
      <c r="F1367" s="23" t="s">
        <v>39</v>
      </c>
      <c r="G1367" s="24">
        <v>81.0</v>
      </c>
      <c r="H1367" s="24">
        <v>210.0</v>
      </c>
      <c r="I1367" s="24">
        <v>13.0</v>
      </c>
      <c r="J1367" s="24">
        <v>0.0</v>
      </c>
      <c r="K1367" s="23" t="s">
        <v>34</v>
      </c>
      <c r="L1367" s="25">
        <v>42939.184328703705</v>
      </c>
      <c r="M1367" s="26" t="s">
        <v>3490</v>
      </c>
      <c r="N1367" s="26" t="s">
        <v>3491</v>
      </c>
      <c r="O1367" s="22" t="str">
        <f>HYPERLINK("https://pbs.twimg.com/profile_images/918480050046955520/YSk0eDh6_normal.jpg","View")</f>
        <v>View</v>
      </c>
      <c r="P1367" s="27"/>
    </row>
    <row r="1368">
      <c r="A1368" s="14">
        <v>43031.112337962964</v>
      </c>
      <c r="B1368" s="20" t="str">
        <f>HYPERLINK("https://twitter.com/gulf_times","@gulf_times")</f>
        <v>@gulf_times</v>
      </c>
      <c r="C1368" s="21" t="s">
        <v>3492</v>
      </c>
      <c r="D1368" s="21" t="s">
        <v>3493</v>
      </c>
      <c r="E1368" s="22" t="str">
        <f>HYPERLINK("https://twitter.com/gulf_times/status/922397627068579840","922397627068579840")</f>
        <v>922397627068579840</v>
      </c>
      <c r="F1368" s="23" t="s">
        <v>48</v>
      </c>
      <c r="G1368" s="24">
        <v>60.0</v>
      </c>
      <c r="H1368" s="24">
        <v>169.0</v>
      </c>
      <c r="I1368" s="24">
        <v>0.0</v>
      </c>
      <c r="J1368" s="24">
        <v>0.0</v>
      </c>
      <c r="K1368" s="23" t="s">
        <v>34</v>
      </c>
      <c r="L1368" s="25">
        <v>41312.34439814815</v>
      </c>
      <c r="M1368" s="28"/>
      <c r="N1368" s="28"/>
      <c r="O1368" s="22" t="str">
        <f>HYPERLINK("https://abs.twimg.com/sticky/default_profile_images/default_profile_normal.png","View")</f>
        <v>View</v>
      </c>
      <c r="P1368" s="27"/>
    </row>
    <row r="1369">
      <c r="A1369" s="14">
        <v>43031.112337962964</v>
      </c>
      <c r="B1369" s="20" t="str">
        <f>HYPERLINK("https://twitter.com/ELiddell5","@ELiddell5")</f>
        <v>@ELiddell5</v>
      </c>
      <c r="C1369" s="21" t="s">
        <v>3494</v>
      </c>
      <c r="D1369" s="21" t="s">
        <v>3205</v>
      </c>
      <c r="E1369" s="22" t="str">
        <f>HYPERLINK("https://twitter.com/ELiddell5/status/922397627420774402","922397627420774402")</f>
        <v>922397627420774402</v>
      </c>
      <c r="F1369" s="23" t="s">
        <v>230</v>
      </c>
      <c r="G1369" s="24">
        <v>46.0</v>
      </c>
      <c r="H1369" s="24">
        <v>79.0</v>
      </c>
      <c r="I1369" s="24">
        <v>13.0</v>
      </c>
      <c r="J1369" s="24">
        <v>0.0</v>
      </c>
      <c r="K1369" s="23" t="s">
        <v>34</v>
      </c>
      <c r="L1369" s="25">
        <v>42802.019270833334</v>
      </c>
      <c r="M1369" s="28"/>
      <c r="N1369" s="28"/>
      <c r="O1369" s="22" t="str">
        <f>HYPERLINK("https://pbs.twimg.com/profile_images/845404647216996352/KEQaqUKe_normal.jpg","View")</f>
        <v>View</v>
      </c>
      <c r="P1369" s="27"/>
    </row>
    <row r="1370">
      <c r="A1370" s="14">
        <v>43031.11237268518</v>
      </c>
      <c r="B1370" s="20" t="str">
        <f>HYPERLINK("https://twitter.com/Shadrac_k","@Shadrac_k")</f>
        <v>@Shadrac_k</v>
      </c>
      <c r="C1370" s="21" t="s">
        <v>3495</v>
      </c>
      <c r="D1370" s="21" t="s">
        <v>32</v>
      </c>
      <c r="E1370" s="22" t="str">
        <f>HYPERLINK("https://twitter.com/Shadrac_k/status/922397641023074304","922397641023074304")</f>
        <v>922397641023074304</v>
      </c>
      <c r="F1370" s="23" t="s">
        <v>33</v>
      </c>
      <c r="G1370" s="24">
        <v>1025.0</v>
      </c>
      <c r="H1370" s="24">
        <v>571.0</v>
      </c>
      <c r="I1370" s="24">
        <v>471.0</v>
      </c>
      <c r="J1370" s="24">
        <v>0.0</v>
      </c>
      <c r="K1370" s="23" t="s">
        <v>34</v>
      </c>
      <c r="L1370" s="25">
        <v>40773.23548611111</v>
      </c>
      <c r="M1370" s="26" t="s">
        <v>282</v>
      </c>
      <c r="N1370" s="26" t="s">
        <v>3496</v>
      </c>
      <c r="O1370" s="22" t="str">
        <f>HYPERLINK("https://pbs.twimg.com/profile_images/555802020532482050/55vaLVbS_normal.jpeg","View")</f>
        <v>View</v>
      </c>
      <c r="P1370" s="27"/>
    </row>
    <row r="1371">
      <c r="A1371" s="14">
        <v>43031.1124074074</v>
      </c>
      <c r="B1371" s="20" t="str">
        <f>HYPERLINK("https://twitter.com/NHKsport","@NHKsport")</f>
        <v>@NHKsport</v>
      </c>
      <c r="C1371" s="21" t="s">
        <v>3497</v>
      </c>
      <c r="D1371" s="21" t="s">
        <v>42</v>
      </c>
      <c r="E1371" s="22" t="str">
        <f>HYPERLINK("https://twitter.com/NHKsport/status/922397653505208320","922397653505208320")</f>
        <v>922397653505208320</v>
      </c>
      <c r="F1371" s="23" t="s">
        <v>39</v>
      </c>
      <c r="G1371" s="24">
        <v>73.0</v>
      </c>
      <c r="H1371" s="24">
        <v>43.0</v>
      </c>
      <c r="I1371" s="24">
        <v>8501.0</v>
      </c>
      <c r="J1371" s="24">
        <v>0.0</v>
      </c>
      <c r="K1371" s="23" t="s">
        <v>34</v>
      </c>
      <c r="L1371" s="25">
        <v>40932.33767361111</v>
      </c>
      <c r="M1371" s="26" t="s">
        <v>71</v>
      </c>
      <c r="N1371" s="28"/>
      <c r="O1371" s="22" t="str">
        <f>HYPERLINK("https://pbs.twimg.com/profile_images/813745143744372736/TliGyNbf_normal.jpg","View")</f>
        <v>View</v>
      </c>
      <c r="P1371" s="27"/>
    </row>
    <row r="1372">
      <c r="A1372" s="14">
        <v>43031.11243055556</v>
      </c>
      <c r="B1372" s="20" t="str">
        <f>HYPERLINK("https://twitter.com/gueine","@gueine")</f>
        <v>@gueine</v>
      </c>
      <c r="C1372" s="21" t="s">
        <v>3498</v>
      </c>
      <c r="D1372" s="21" t="s">
        <v>42</v>
      </c>
      <c r="E1372" s="22" t="str">
        <f>HYPERLINK("https://twitter.com/gueine/status/922397661205970944","922397661205970944")</f>
        <v>922397661205970944</v>
      </c>
      <c r="F1372" s="23" t="s">
        <v>39</v>
      </c>
      <c r="G1372" s="24">
        <v>2260.0</v>
      </c>
      <c r="H1372" s="24">
        <v>2332.0</v>
      </c>
      <c r="I1372" s="24">
        <v>8501.0</v>
      </c>
      <c r="J1372" s="24">
        <v>0.0</v>
      </c>
      <c r="K1372" s="23" t="s">
        <v>34</v>
      </c>
      <c r="L1372" s="25">
        <v>39970.112025462964</v>
      </c>
      <c r="M1372" s="26" t="s">
        <v>3499</v>
      </c>
      <c r="N1372" s="26" t="s">
        <v>3500</v>
      </c>
      <c r="O1372" s="22" t="str">
        <f>HYPERLINK("https://pbs.twimg.com/profile_images/1442267914/icon2_edited_normal.jpg","View")</f>
        <v>View</v>
      </c>
      <c r="P1372" s="27"/>
    </row>
    <row r="1373">
      <c r="A1373" s="14">
        <v>43031.11251157407</v>
      </c>
      <c r="B1373" s="20" t="str">
        <f>HYPERLINK("https://twitter.com/duckducknigga1","@duckducknigga1")</f>
        <v>@duckducknigga1</v>
      </c>
      <c r="C1373" s="21" t="s">
        <v>3501</v>
      </c>
      <c r="D1373" s="21" t="s">
        <v>42</v>
      </c>
      <c r="E1373" s="22" t="str">
        <f>HYPERLINK("https://twitter.com/duckducknigga1/status/922397689769213952","922397689769213952")</f>
        <v>922397689769213952</v>
      </c>
      <c r="F1373" s="23" t="s">
        <v>33</v>
      </c>
      <c r="G1373" s="24">
        <v>96.0</v>
      </c>
      <c r="H1373" s="24">
        <v>299.0</v>
      </c>
      <c r="I1373" s="24">
        <v>8501.0</v>
      </c>
      <c r="J1373" s="24">
        <v>0.0</v>
      </c>
      <c r="K1373" s="23" t="s">
        <v>34</v>
      </c>
      <c r="L1373" s="25">
        <v>42916.117013888885</v>
      </c>
      <c r="M1373" s="28"/>
      <c r="N1373" s="26" t="s">
        <v>3502</v>
      </c>
      <c r="O1373" s="22" t="str">
        <f>HYPERLINK("https://pbs.twimg.com/profile_images/906585842843492353/uD7O-wY-_normal.jpg","View")</f>
        <v>View</v>
      </c>
      <c r="P1373" s="27"/>
    </row>
    <row r="1374">
      <c r="A1374" s="14">
        <v>43031.11252314815</v>
      </c>
      <c r="B1374" s="20" t="str">
        <f>HYPERLINK("https://twitter.com/yamato55takeru","@yamato55takeru")</f>
        <v>@yamato55takeru</v>
      </c>
      <c r="C1374" s="21" t="s">
        <v>3503</v>
      </c>
      <c r="D1374" s="21" t="s">
        <v>42</v>
      </c>
      <c r="E1374" s="22" t="str">
        <f>HYPERLINK("https://twitter.com/yamato55takeru/status/922397697037934594","922397697037934594")</f>
        <v>922397697037934594</v>
      </c>
      <c r="F1374" s="23" t="s">
        <v>33</v>
      </c>
      <c r="G1374" s="24">
        <v>686.0</v>
      </c>
      <c r="H1374" s="24">
        <v>776.0</v>
      </c>
      <c r="I1374" s="24">
        <v>8501.0</v>
      </c>
      <c r="J1374" s="24">
        <v>0.0</v>
      </c>
      <c r="K1374" s="23" t="s">
        <v>34</v>
      </c>
      <c r="L1374" s="25">
        <v>41708.45576388889</v>
      </c>
      <c r="M1374" s="28"/>
      <c r="N1374" s="26" t="s">
        <v>3504</v>
      </c>
      <c r="O1374" s="22" t="str">
        <f>HYPERLINK("https://pbs.twimg.com/profile_images/443243188338192384/rKisMB47_normal.jpeg","View")</f>
        <v>View</v>
      </c>
      <c r="P1374" s="27"/>
    </row>
    <row r="1375">
      <c r="A1375" s="14">
        <v>43031.112546296295</v>
      </c>
      <c r="B1375" s="20" t="str">
        <f>HYPERLINK("https://twitter.com/forexmultiverse","@forexmultiverse")</f>
        <v>@forexmultiverse</v>
      </c>
      <c r="C1375" s="21" t="s">
        <v>3505</v>
      </c>
      <c r="D1375" s="21" t="s">
        <v>3506</v>
      </c>
      <c r="E1375" s="22" t="str">
        <f>HYPERLINK("https://twitter.com/forexmultiverse/status/922397703279185920","922397703279185920")</f>
        <v>922397703279185920</v>
      </c>
      <c r="F1375" s="23" t="s">
        <v>187</v>
      </c>
      <c r="G1375" s="24">
        <v>884.0</v>
      </c>
      <c r="H1375" s="24">
        <v>360.0</v>
      </c>
      <c r="I1375" s="24">
        <v>0.0</v>
      </c>
      <c r="J1375" s="24">
        <v>0.0</v>
      </c>
      <c r="K1375" s="23" t="s">
        <v>34</v>
      </c>
      <c r="L1375" s="25">
        <v>42539.531875</v>
      </c>
      <c r="M1375" s="26" t="s">
        <v>3507</v>
      </c>
      <c r="N1375" s="26" t="s">
        <v>3508</v>
      </c>
      <c r="O1375" s="22" t="str">
        <f>HYPERLINK("https://pbs.twimg.com/profile_images/863936088804425728/_o3WjsfH_normal.jpg","View")</f>
        <v>View</v>
      </c>
      <c r="P1375" s="27"/>
    </row>
    <row r="1376">
      <c r="A1376" s="14">
        <v>43031.11261574074</v>
      </c>
      <c r="B1376" s="20" t="str">
        <f>HYPERLINK("https://twitter.com/BrMassami","@BrMassami")</f>
        <v>@BrMassami</v>
      </c>
      <c r="C1376" s="21" t="s">
        <v>3509</v>
      </c>
      <c r="D1376" s="21" t="s">
        <v>3464</v>
      </c>
      <c r="E1376" s="22" t="str">
        <f>HYPERLINK("https://twitter.com/BrMassami/status/922397727144665088","922397727144665088")</f>
        <v>922397727144665088</v>
      </c>
      <c r="F1376" s="23" t="s">
        <v>33</v>
      </c>
      <c r="G1376" s="24">
        <v>3128.0</v>
      </c>
      <c r="H1376" s="24">
        <v>3075.0</v>
      </c>
      <c r="I1376" s="24">
        <v>3.0</v>
      </c>
      <c r="J1376" s="24">
        <v>0.0</v>
      </c>
      <c r="K1376" s="23" t="s">
        <v>34</v>
      </c>
      <c r="L1376" s="25">
        <v>40333.81418981482</v>
      </c>
      <c r="M1376" s="26" t="s">
        <v>3510</v>
      </c>
      <c r="N1376" s="26" t="s">
        <v>3511</v>
      </c>
      <c r="O1376" s="22" t="str">
        <f>HYPERLINK("https://pbs.twimg.com/profile_images/782227205552152577/H94nn0Cf_normal.jpg","View")</f>
        <v>View</v>
      </c>
      <c r="P1376" s="27"/>
    </row>
    <row r="1377">
      <c r="A1377" s="14">
        <v>43031.11269675926</v>
      </c>
      <c r="B1377" s="20" t="str">
        <f>HYPERLINK("https://twitter.com/RadhikaHindu","@RadhikaHindu")</f>
        <v>@RadhikaHindu</v>
      </c>
      <c r="C1377" s="21" t="s">
        <v>3512</v>
      </c>
      <c r="D1377" s="21" t="s">
        <v>42</v>
      </c>
      <c r="E1377" s="22" t="str">
        <f>HYPERLINK("https://twitter.com/RadhikaHindu/status/922397756014043136","922397756014043136")</f>
        <v>922397756014043136</v>
      </c>
      <c r="F1377" s="23" t="s">
        <v>33</v>
      </c>
      <c r="G1377" s="24">
        <v>564.0</v>
      </c>
      <c r="H1377" s="24">
        <v>287.0</v>
      </c>
      <c r="I1377" s="24">
        <v>8501.0</v>
      </c>
      <c r="J1377" s="24">
        <v>0.0</v>
      </c>
      <c r="K1377" s="23" t="s">
        <v>34</v>
      </c>
      <c r="L1377" s="25">
        <v>42968.51155092593</v>
      </c>
      <c r="M1377" s="26" t="s">
        <v>575</v>
      </c>
      <c r="N1377" s="26" t="s">
        <v>3513</v>
      </c>
      <c r="O1377" s="22" t="str">
        <f>HYPERLINK("https://pbs.twimg.com/profile_images/906837149982507008/48D8p_YR_normal.jpg","View")</f>
        <v>View</v>
      </c>
      <c r="P1377" s="27"/>
    </row>
    <row r="1378">
      <c r="A1378" s="14">
        <v>43031.11269675926</v>
      </c>
      <c r="B1378" s="20" t="str">
        <f>HYPERLINK("https://twitter.com/DJJC137","@DJJC137")</f>
        <v>@DJJC137</v>
      </c>
      <c r="C1378" s="21" t="s">
        <v>3514</v>
      </c>
      <c r="D1378" s="21" t="s">
        <v>3515</v>
      </c>
      <c r="E1378" s="22" t="str">
        <f>HYPERLINK("https://twitter.com/DJJC137/status/922397756198547457","922397756198547457")</f>
        <v>922397756198547457</v>
      </c>
      <c r="F1378" s="23" t="s">
        <v>55</v>
      </c>
      <c r="G1378" s="24">
        <v>3283.0</v>
      </c>
      <c r="H1378" s="24">
        <v>4995.0</v>
      </c>
      <c r="I1378" s="24">
        <v>0.0</v>
      </c>
      <c r="J1378" s="24">
        <v>0.0</v>
      </c>
      <c r="K1378" s="23" t="s">
        <v>34</v>
      </c>
      <c r="L1378" s="25">
        <v>42743.80810185186</v>
      </c>
      <c r="M1378" s="26" t="s">
        <v>3516</v>
      </c>
      <c r="N1378" s="26" t="s">
        <v>3517</v>
      </c>
      <c r="O1378" s="22" t="str">
        <f>HYPERLINK("https://pbs.twimg.com/profile_images/825181412647014401/vKHYFehN_normal.jpg","View")</f>
        <v>View</v>
      </c>
      <c r="P1378" s="27"/>
    </row>
    <row r="1379">
      <c r="A1379" s="14">
        <v>43031.11273148148</v>
      </c>
      <c r="B1379" s="20" t="str">
        <f>HYPERLINK("https://twitter.com/3NovicesJapan","@3NovicesJapan")</f>
        <v>@3NovicesJapan</v>
      </c>
      <c r="C1379" s="21" t="s">
        <v>3518</v>
      </c>
      <c r="D1379" s="21" t="s">
        <v>3519</v>
      </c>
      <c r="E1379" s="22" t="str">
        <f>HYPERLINK("https://twitter.com/3NovicesJapan/status/922397769234513922","922397769234513922")</f>
        <v>922397769234513922</v>
      </c>
      <c r="F1379" s="23" t="s">
        <v>187</v>
      </c>
      <c r="G1379" s="24">
        <v>322.0</v>
      </c>
      <c r="H1379" s="24">
        <v>424.0</v>
      </c>
      <c r="I1379" s="24">
        <v>0.0</v>
      </c>
      <c r="J1379" s="24">
        <v>0.0</v>
      </c>
      <c r="K1379" s="23" t="s">
        <v>34</v>
      </c>
      <c r="L1379" s="25">
        <v>42040.90976851852</v>
      </c>
      <c r="M1379" s="26" t="s">
        <v>3520</v>
      </c>
      <c r="N1379" s="26" t="s">
        <v>3521</v>
      </c>
      <c r="O1379" s="22" t="str">
        <f>HYPERLINK("https://pbs.twimg.com/profile_images/563575884653682688/aSGn7bqz_normal.jpeg","View")</f>
        <v>View</v>
      </c>
      <c r="P1379" s="27"/>
    </row>
    <row r="1380">
      <c r="A1380" s="14">
        <v>43031.11273148148</v>
      </c>
      <c r="B1380" s="20" t="str">
        <f>HYPERLINK("https://twitter.com/Shinisuke1795","@Shinisuke1795")</f>
        <v>@Shinisuke1795</v>
      </c>
      <c r="C1380" s="21" t="s">
        <v>3522</v>
      </c>
      <c r="D1380" s="21" t="s">
        <v>42</v>
      </c>
      <c r="E1380" s="22" t="str">
        <f>HYPERLINK("https://twitter.com/Shinisuke1795/status/922397770484408321","922397770484408321")</f>
        <v>922397770484408321</v>
      </c>
      <c r="F1380" s="23" t="s">
        <v>39</v>
      </c>
      <c r="G1380" s="24">
        <v>458.0</v>
      </c>
      <c r="H1380" s="24">
        <v>818.0</v>
      </c>
      <c r="I1380" s="24">
        <v>8501.0</v>
      </c>
      <c r="J1380" s="24">
        <v>0.0</v>
      </c>
      <c r="K1380" s="23" t="s">
        <v>34</v>
      </c>
      <c r="L1380" s="25">
        <v>42976.068506944444</v>
      </c>
      <c r="M1380" s="28"/>
      <c r="N1380" s="26" t="s">
        <v>3523</v>
      </c>
      <c r="O1380" s="22" t="str">
        <f>HYPERLINK("https://pbs.twimg.com/profile_images/914862516089450498/6M4bueIS_normal.jpg","View")</f>
        <v>View</v>
      </c>
      <c r="P1380" s="27"/>
    </row>
    <row r="1381">
      <c r="A1381" s="14">
        <v>43031.1127662037</v>
      </c>
      <c r="B1381" s="20" t="str">
        <f>HYPERLINK("https://twitter.com/PaginaNuova","@PaginaNuova")</f>
        <v>@PaginaNuova</v>
      </c>
      <c r="C1381" s="21" t="s">
        <v>1802</v>
      </c>
      <c r="D1381" s="21" t="s">
        <v>3524</v>
      </c>
      <c r="E1381" s="22" t="str">
        <f>HYPERLINK("https://twitter.com/PaginaNuova/status/922397784183115776","922397784183115776")</f>
        <v>922397784183115776</v>
      </c>
      <c r="F1381" s="23" t="s">
        <v>187</v>
      </c>
      <c r="G1381" s="24">
        <v>1153.0</v>
      </c>
      <c r="H1381" s="24">
        <v>503.0</v>
      </c>
      <c r="I1381" s="24">
        <v>0.0</v>
      </c>
      <c r="J1381" s="24">
        <v>0.0</v>
      </c>
      <c r="K1381" s="23" t="s">
        <v>34</v>
      </c>
      <c r="L1381" s="25">
        <v>39795.738541666666</v>
      </c>
      <c r="M1381" s="26" t="s">
        <v>1804</v>
      </c>
      <c r="N1381" s="26" t="s">
        <v>1805</v>
      </c>
      <c r="O1381" s="22" t="str">
        <f>HYPERLINK("https://pbs.twimg.com/profile_images/733085909457993728/CNCcL-S7_normal.jpg","View")</f>
        <v>View</v>
      </c>
      <c r="P1381" s="27"/>
    </row>
    <row r="1382">
      <c r="A1382" s="14">
        <v>43031.1127662037</v>
      </c>
      <c r="B1382" s="20" t="str">
        <f>HYPERLINK("https://twitter.com/suga_numazu","@suga_numazu")</f>
        <v>@suga_numazu</v>
      </c>
      <c r="C1382" s="21" t="s">
        <v>3525</v>
      </c>
      <c r="D1382" s="21" t="s">
        <v>42</v>
      </c>
      <c r="E1382" s="22" t="str">
        <f>HYPERLINK("https://twitter.com/suga_numazu/status/922397785147654144","922397785147654144")</f>
        <v>922397785147654144</v>
      </c>
      <c r="F1382" s="23" t="s">
        <v>33</v>
      </c>
      <c r="G1382" s="24">
        <v>576.0</v>
      </c>
      <c r="H1382" s="24">
        <v>375.0</v>
      </c>
      <c r="I1382" s="24">
        <v>8501.0</v>
      </c>
      <c r="J1382" s="24">
        <v>0.0</v>
      </c>
      <c r="K1382" s="23" t="s">
        <v>34</v>
      </c>
      <c r="L1382" s="25">
        <v>40189.77155092593</v>
      </c>
      <c r="M1382" s="26" t="s">
        <v>3526</v>
      </c>
      <c r="N1382" s="26" t="s">
        <v>3527</v>
      </c>
      <c r="O1382" s="22" t="str">
        <f>HYPERLINK("https://pbs.twimg.com/profile_images/862291078187171840/4OvB7Ec7_normal.jpg","View")</f>
        <v>View</v>
      </c>
      <c r="P1382" s="27"/>
    </row>
    <row r="1383">
      <c r="A1383" s="14">
        <v>43031.11296296296</v>
      </c>
      <c r="B1383" s="20" t="str">
        <f>HYPERLINK("https://twitter.com/MorakhiaDarshit","@MorakhiaDarshit")</f>
        <v>@MorakhiaDarshit</v>
      </c>
      <c r="C1383" s="21" t="s">
        <v>3528</v>
      </c>
      <c r="D1383" s="21" t="s">
        <v>42</v>
      </c>
      <c r="E1383" s="22" t="str">
        <f>HYPERLINK("https://twitter.com/MorakhiaDarshit/status/922397854420701185","922397854420701185")</f>
        <v>922397854420701185</v>
      </c>
      <c r="F1383" s="23" t="s">
        <v>39</v>
      </c>
      <c r="G1383" s="24">
        <v>202.0</v>
      </c>
      <c r="H1383" s="24">
        <v>569.0</v>
      </c>
      <c r="I1383" s="24">
        <v>8501.0</v>
      </c>
      <c r="J1383" s="24">
        <v>0.0</v>
      </c>
      <c r="K1383" s="23" t="s">
        <v>34</v>
      </c>
      <c r="L1383" s="25">
        <v>41208.31377314815</v>
      </c>
      <c r="M1383" s="28"/>
      <c r="N1383" s="26" t="s">
        <v>3529</v>
      </c>
      <c r="O1383" s="22" t="str">
        <f>HYPERLINK("https://pbs.twimg.com/profile_images/884326306644492288/SYb-8F8w_normal.jpg","View")</f>
        <v>View</v>
      </c>
      <c r="P1383" s="27"/>
    </row>
    <row r="1384">
      <c r="A1384" s="14">
        <v>43031.11309027778</v>
      </c>
      <c r="B1384" s="20" t="str">
        <f>HYPERLINK("https://twitter.com/AndrewRalphPC","@AndrewRalphPC")</f>
        <v>@AndrewRalphPC</v>
      </c>
      <c r="C1384" s="21" t="s">
        <v>3459</v>
      </c>
      <c r="D1384" s="21" t="s">
        <v>3530</v>
      </c>
      <c r="E1384" s="22" t="str">
        <f>HYPERLINK("https://twitter.com/AndrewRalphPC/status/922397900365328384","922397900365328384")</f>
        <v>922397900365328384</v>
      </c>
      <c r="F1384" s="23" t="s">
        <v>230</v>
      </c>
      <c r="G1384" s="24">
        <v>1669.0</v>
      </c>
      <c r="H1384" s="24">
        <v>2944.0</v>
      </c>
      <c r="I1384" s="24">
        <v>56.0</v>
      </c>
      <c r="J1384" s="24">
        <v>0.0</v>
      </c>
      <c r="K1384" s="23" t="s">
        <v>34</v>
      </c>
      <c r="L1384" s="25">
        <v>41900.50212962963</v>
      </c>
      <c r="M1384" s="26" t="s">
        <v>3461</v>
      </c>
      <c r="N1384" s="26" t="s">
        <v>3462</v>
      </c>
      <c r="O1384" s="22" t="str">
        <f>HYPERLINK("https://pbs.twimg.com/profile_images/920241607613566977/B5tVOAcl_normal.jpg","View")</f>
        <v>View</v>
      </c>
      <c r="P1384" s="27"/>
    </row>
    <row r="1385">
      <c r="A1385" s="14">
        <v>43031.11315972223</v>
      </c>
      <c r="B1385" s="20" t="str">
        <f>HYPERLINK("https://twitter.com/DipendraBhardw1","@DipendraBhardw1")</f>
        <v>@DipendraBhardw1</v>
      </c>
      <c r="C1385" s="21" t="s">
        <v>3531</v>
      </c>
      <c r="D1385" s="21" t="s">
        <v>42</v>
      </c>
      <c r="E1385" s="22" t="str">
        <f>HYPERLINK("https://twitter.com/DipendraBhardw1/status/922397927825223680","922397927825223680")</f>
        <v>922397927825223680</v>
      </c>
      <c r="F1385" s="23" t="s">
        <v>33</v>
      </c>
      <c r="G1385" s="24">
        <v>3.0</v>
      </c>
      <c r="H1385" s="24">
        <v>151.0</v>
      </c>
      <c r="I1385" s="24">
        <v>8501.0</v>
      </c>
      <c r="J1385" s="24">
        <v>0.0</v>
      </c>
      <c r="K1385" s="23" t="s">
        <v>34</v>
      </c>
      <c r="L1385" s="25">
        <v>43022.95753472223</v>
      </c>
      <c r="M1385" s="26" t="s">
        <v>3532</v>
      </c>
      <c r="N1385" s="28"/>
      <c r="O1385" s="22" t="str">
        <f>HYPERLINK("https://pbs.twimg.com/profile_images/921244327048749056/N6jGRRK-_normal.jpg","View")</f>
        <v>View</v>
      </c>
      <c r="P1385" s="27"/>
    </row>
    <row r="1386">
      <c r="A1386" s="14">
        <v>43031.113171296296</v>
      </c>
      <c r="B1386" s="20" t="str">
        <f>HYPERLINK("https://twitter.com/sidgoyal1","@sidgoyal1")</f>
        <v>@sidgoyal1</v>
      </c>
      <c r="C1386" s="21" t="s">
        <v>3533</v>
      </c>
      <c r="D1386" s="21" t="s">
        <v>42</v>
      </c>
      <c r="E1386" s="22" t="str">
        <f>HYPERLINK("https://twitter.com/sidgoyal1/status/922397929905836032","922397929905836032")</f>
        <v>922397929905836032</v>
      </c>
      <c r="F1386" s="23" t="s">
        <v>33</v>
      </c>
      <c r="G1386" s="24">
        <v>5477.0</v>
      </c>
      <c r="H1386" s="24">
        <v>1413.0</v>
      </c>
      <c r="I1386" s="24">
        <v>8501.0</v>
      </c>
      <c r="J1386" s="24">
        <v>0.0</v>
      </c>
      <c r="K1386" s="23" t="s">
        <v>34</v>
      </c>
      <c r="L1386" s="25">
        <v>39785.26584490741</v>
      </c>
      <c r="M1386" s="26" t="s">
        <v>1961</v>
      </c>
      <c r="N1386" s="26" t="s">
        <v>3534</v>
      </c>
      <c r="O1386" s="22" t="str">
        <f>HYPERLINK("https://pbs.twimg.com/profile_images/915366433302904833/PuBaOwFw_normal.jpg","View")</f>
        <v>View</v>
      </c>
      <c r="P1386" s="27"/>
    </row>
    <row r="1387">
      <c r="A1387" s="14">
        <v>43031.11336805555</v>
      </c>
      <c r="B1387" s="20" t="str">
        <f>HYPERLINK("https://twitter.com/paras4423","@paras4423")</f>
        <v>@paras4423</v>
      </c>
      <c r="C1387" s="21" t="s">
        <v>3535</v>
      </c>
      <c r="D1387" s="21" t="s">
        <v>42</v>
      </c>
      <c r="E1387" s="22" t="str">
        <f>HYPERLINK("https://twitter.com/paras4423/status/922398001087131648","922398001087131648")</f>
        <v>922398001087131648</v>
      </c>
      <c r="F1387" s="23" t="s">
        <v>33</v>
      </c>
      <c r="G1387" s="24">
        <v>918.0</v>
      </c>
      <c r="H1387" s="24">
        <v>118.0</v>
      </c>
      <c r="I1387" s="24">
        <v>8501.0</v>
      </c>
      <c r="J1387" s="24">
        <v>0.0</v>
      </c>
      <c r="K1387" s="23" t="s">
        <v>34</v>
      </c>
      <c r="L1387" s="25">
        <v>42461.497465277775</v>
      </c>
      <c r="M1387" s="26" t="s">
        <v>3536</v>
      </c>
      <c r="N1387" s="26" t="s">
        <v>3537</v>
      </c>
      <c r="O1387" s="22" t="str">
        <f>HYPERLINK("https://pbs.twimg.com/profile_images/873479064639635457/SxB-1pl1_normal.jpg","View")</f>
        <v>View</v>
      </c>
      <c r="P1387" s="27"/>
    </row>
    <row r="1388">
      <c r="A1388" s="14">
        <v>43031.11341435185</v>
      </c>
      <c r="B1388" s="20" t="str">
        <f>HYPERLINK("https://twitter.com/sitifatimahnet","@sitifatimahnet")</f>
        <v>@sitifatimahnet</v>
      </c>
      <c r="C1388" s="21" t="s">
        <v>1762</v>
      </c>
      <c r="D1388" s="21" t="s">
        <v>3538</v>
      </c>
      <c r="E1388" s="22" t="str">
        <f>HYPERLINK("https://twitter.com/sitifatimahnet/status/922398016513986560","922398016513986560")</f>
        <v>922398016513986560</v>
      </c>
      <c r="F1388" s="23" t="s">
        <v>187</v>
      </c>
      <c r="G1388" s="24">
        <v>309.0</v>
      </c>
      <c r="H1388" s="24">
        <v>27.0</v>
      </c>
      <c r="I1388" s="24">
        <v>0.0</v>
      </c>
      <c r="J1388" s="24">
        <v>0.0</v>
      </c>
      <c r="K1388" s="23" t="s">
        <v>34</v>
      </c>
      <c r="L1388" s="25">
        <v>42698.43719907408</v>
      </c>
      <c r="M1388" s="26" t="s">
        <v>1764</v>
      </c>
      <c r="N1388" s="26" t="s">
        <v>1765</v>
      </c>
      <c r="O1388" s="22" t="str">
        <f>HYPERLINK("https://pbs.twimg.com/profile_images/897683241594912769/-rSDzg9T_normal.jpg","View")</f>
        <v>View</v>
      </c>
      <c r="P1388" s="27"/>
    </row>
    <row r="1389">
      <c r="A1389" s="14">
        <v>43031.11341435185</v>
      </c>
      <c r="B1389" s="20" t="str">
        <f>HYPERLINK("https://twitter.com/ResoluteGlobal","@ResoluteGlobal")</f>
        <v>@ResoluteGlobal</v>
      </c>
      <c r="C1389" s="21" t="s">
        <v>3539</v>
      </c>
      <c r="D1389" s="21" t="s">
        <v>2748</v>
      </c>
      <c r="E1389" s="22" t="str">
        <f>HYPERLINK("https://twitter.com/ResoluteGlobal/status/922398019047383040","922398019047383040")</f>
        <v>922398019047383040</v>
      </c>
      <c r="F1389" s="23" t="s">
        <v>33</v>
      </c>
      <c r="G1389" s="24">
        <v>11.0</v>
      </c>
      <c r="H1389" s="24">
        <v>134.0</v>
      </c>
      <c r="I1389" s="24">
        <v>15.0</v>
      </c>
      <c r="J1389" s="24">
        <v>0.0</v>
      </c>
      <c r="K1389" s="23" t="s">
        <v>34</v>
      </c>
      <c r="L1389" s="25">
        <v>43014.54591435185</v>
      </c>
      <c r="M1389" s="26" t="s">
        <v>3540</v>
      </c>
      <c r="N1389" s="26" t="s">
        <v>3541</v>
      </c>
      <c r="O1389" s="22" t="str">
        <f>HYPERLINK("https://pbs.twimg.com/profile_images/917253986742239233/kTvEnuqP_normal.jpg","View")</f>
        <v>View</v>
      </c>
      <c r="P1389" s="27"/>
    </row>
    <row r="1390">
      <c r="A1390" s="14">
        <v>43031.11342592593</v>
      </c>
      <c r="B1390" s="20" t="str">
        <f>HYPERLINK("https://twitter.com/sitifatimahnet","@sitifatimahnet")</f>
        <v>@sitifatimahnet</v>
      </c>
      <c r="C1390" s="21" t="s">
        <v>1762</v>
      </c>
      <c r="D1390" s="21" t="s">
        <v>3542</v>
      </c>
      <c r="E1390" s="22" t="str">
        <f>HYPERLINK("https://twitter.com/sitifatimahnet/status/922398021366833152","922398021366833152")</f>
        <v>922398021366833152</v>
      </c>
      <c r="F1390" s="23" t="s">
        <v>187</v>
      </c>
      <c r="G1390" s="24">
        <v>309.0</v>
      </c>
      <c r="H1390" s="24">
        <v>27.0</v>
      </c>
      <c r="I1390" s="24">
        <v>0.0</v>
      </c>
      <c r="J1390" s="24">
        <v>0.0</v>
      </c>
      <c r="K1390" s="23" t="s">
        <v>34</v>
      </c>
      <c r="L1390" s="25">
        <v>42698.43719907408</v>
      </c>
      <c r="M1390" s="26" t="s">
        <v>1764</v>
      </c>
      <c r="N1390" s="26" t="s">
        <v>1765</v>
      </c>
      <c r="O1390" s="22" t="str">
        <f>HYPERLINK("https://pbs.twimg.com/profile_images/897683241594912769/-rSDzg9T_normal.jpg","View")</f>
        <v>View</v>
      </c>
      <c r="P1390" s="27"/>
    </row>
    <row r="1391">
      <c r="A1391" s="14">
        <v>43031.11342592593</v>
      </c>
      <c r="B1391" s="20" t="str">
        <f>HYPERLINK("https://twitter.com/realvishu","@realvishu")</f>
        <v>@realvishu</v>
      </c>
      <c r="C1391" s="21" t="s">
        <v>3543</v>
      </c>
      <c r="D1391" s="21" t="s">
        <v>42</v>
      </c>
      <c r="E1391" s="22" t="str">
        <f>HYPERLINK("https://twitter.com/realvishu/status/922398021446377472","922398021446377472")</f>
        <v>922398021446377472</v>
      </c>
      <c r="F1391" s="23" t="s">
        <v>33</v>
      </c>
      <c r="G1391" s="24">
        <v>5505.0</v>
      </c>
      <c r="H1391" s="24">
        <v>95.0</v>
      </c>
      <c r="I1391" s="24">
        <v>8501.0</v>
      </c>
      <c r="J1391" s="24">
        <v>0.0</v>
      </c>
      <c r="K1391" s="23" t="s">
        <v>34</v>
      </c>
      <c r="L1391" s="25">
        <v>41719.793969907405</v>
      </c>
      <c r="M1391" s="26" t="s">
        <v>1633</v>
      </c>
      <c r="N1391" s="26" t="s">
        <v>3544</v>
      </c>
      <c r="O1391" s="22" t="str">
        <f>HYPERLINK("https://pbs.twimg.com/profile_images/920533220105469952/-iaOjrr7_normal.jpg","View")</f>
        <v>View</v>
      </c>
      <c r="P1391" s="27"/>
    </row>
    <row r="1392">
      <c r="A1392" s="14">
        <v>43031.113483796296</v>
      </c>
      <c r="B1392" s="20" t="str">
        <f>HYPERLINK("https://twitter.com/GiroCarlo","@GiroCarlo")</f>
        <v>@GiroCarlo</v>
      </c>
      <c r="C1392" s="21" t="s">
        <v>3545</v>
      </c>
      <c r="D1392" s="21" t="s">
        <v>3546</v>
      </c>
      <c r="E1392" s="22" t="str">
        <f>HYPERLINK("https://twitter.com/GiroCarlo/status/922398041923039232","922398041923039232")</f>
        <v>922398041923039232</v>
      </c>
      <c r="F1392" s="23" t="s">
        <v>55</v>
      </c>
      <c r="G1392" s="24">
        <v>43.0</v>
      </c>
      <c r="H1392" s="24">
        <v>364.0</v>
      </c>
      <c r="I1392" s="24">
        <v>4.0</v>
      </c>
      <c r="J1392" s="24">
        <v>0.0</v>
      </c>
      <c r="K1392" s="23" t="s">
        <v>34</v>
      </c>
      <c r="L1392" s="25">
        <v>41835.54790509259</v>
      </c>
      <c r="M1392" s="26" t="s">
        <v>2660</v>
      </c>
      <c r="N1392" s="26" t="s">
        <v>3547</v>
      </c>
      <c r="O1392" s="22" t="str">
        <f>HYPERLINK("https://abs.twimg.com/sticky/default_profile_images/default_profile_normal.png","View")</f>
        <v>View</v>
      </c>
      <c r="P1392" s="27"/>
    </row>
    <row r="1393">
      <c r="A1393" s="14">
        <v>43031.11349537037</v>
      </c>
      <c r="B1393" s="20" t="str">
        <f>HYPERLINK("https://twitter.com/WeeklyJour","@WeeklyJour")</f>
        <v>@WeeklyJour</v>
      </c>
      <c r="C1393" s="21" t="s">
        <v>2961</v>
      </c>
      <c r="D1393" s="21" t="s">
        <v>3548</v>
      </c>
      <c r="E1393" s="22" t="str">
        <f>HYPERLINK("https://twitter.com/WeeklyJour/status/922398047824465921","922398047824465921")</f>
        <v>922398047824465921</v>
      </c>
      <c r="F1393" s="23" t="s">
        <v>187</v>
      </c>
      <c r="G1393" s="24">
        <v>93.0</v>
      </c>
      <c r="H1393" s="24">
        <v>0.0</v>
      </c>
      <c r="I1393" s="24">
        <v>0.0</v>
      </c>
      <c r="J1393" s="24">
        <v>0.0</v>
      </c>
      <c r="K1393" s="23" t="s">
        <v>34</v>
      </c>
      <c r="L1393" s="25">
        <v>42502.51699074074</v>
      </c>
      <c r="M1393" s="26" t="s">
        <v>2534</v>
      </c>
      <c r="N1393" s="26" t="s">
        <v>2963</v>
      </c>
      <c r="O1393" s="22" t="str">
        <f>HYPERLINK("https://pbs.twimg.com/profile_images/915062885910376448/ds5TEJgU_normal.jpg","View")</f>
        <v>View</v>
      </c>
      <c r="P1393" s="27"/>
    </row>
    <row r="1394">
      <c r="A1394" s="14">
        <v>43031.11350694444</v>
      </c>
      <c r="B1394" s="20" t="str">
        <f>HYPERLINK("https://twitter.com/AshokSh14174246","@AshokSh14174246")</f>
        <v>@AshokSh14174246</v>
      </c>
      <c r="C1394" s="21" t="s">
        <v>3549</v>
      </c>
      <c r="D1394" s="21" t="s">
        <v>3550</v>
      </c>
      <c r="E1394" s="22" t="str">
        <f>HYPERLINK("https://twitter.com/AshokSh14174246/status/922398050470961152","922398050470961152")</f>
        <v>922398050470961152</v>
      </c>
      <c r="F1394" s="23" t="s">
        <v>33</v>
      </c>
      <c r="G1394" s="24">
        <v>2.0</v>
      </c>
      <c r="H1394" s="24">
        <v>22.0</v>
      </c>
      <c r="I1394" s="24">
        <v>19.0</v>
      </c>
      <c r="J1394" s="24">
        <v>0.0</v>
      </c>
      <c r="K1394" s="23" t="s">
        <v>34</v>
      </c>
      <c r="L1394" s="25">
        <v>42976.38931712963</v>
      </c>
      <c r="M1394" s="28"/>
      <c r="N1394" s="28"/>
      <c r="O1394" s="22" t="str">
        <f>HYPERLINK("https://abs.twimg.com/sticky/default_profile_images/default_profile_normal.png","View")</f>
        <v>View</v>
      </c>
      <c r="P1394" s="27"/>
    </row>
    <row r="1395">
      <c r="A1395" s="14">
        <v>43031.113541666666</v>
      </c>
      <c r="B1395" s="20" t="str">
        <f>HYPERLINK("https://twitter.com/K_Ogolla","@K_Ogolla")</f>
        <v>@K_Ogolla</v>
      </c>
      <c r="C1395" s="21" t="s">
        <v>3551</v>
      </c>
      <c r="D1395" s="21" t="s">
        <v>32</v>
      </c>
      <c r="E1395" s="22" t="str">
        <f>HYPERLINK("https://twitter.com/K_Ogolla/status/922398065377595392","922398065377595392")</f>
        <v>922398065377595392</v>
      </c>
      <c r="F1395" s="23" t="s">
        <v>33</v>
      </c>
      <c r="G1395" s="24">
        <v>3853.0</v>
      </c>
      <c r="H1395" s="24">
        <v>4775.0</v>
      </c>
      <c r="I1395" s="24">
        <v>471.0</v>
      </c>
      <c r="J1395" s="24">
        <v>0.0</v>
      </c>
      <c r="K1395" s="23" t="s">
        <v>34</v>
      </c>
      <c r="L1395" s="25">
        <v>40202.278657407405</v>
      </c>
      <c r="M1395" s="26" t="s">
        <v>114</v>
      </c>
      <c r="N1395" s="26" t="s">
        <v>3552</v>
      </c>
      <c r="O1395" s="22" t="str">
        <f>HYPERLINK("https://pbs.twimg.com/profile_images/900812026548801536/SF1yv6-B_normal.jpg","View")</f>
        <v>View</v>
      </c>
      <c r="P1395" s="27"/>
    </row>
    <row r="1396">
      <c r="A1396" s="14">
        <v>43031.11355324074</v>
      </c>
      <c r="B1396" s="20" t="str">
        <f>HYPERLINK("https://twitter.com/CollectedN","@CollectedN")</f>
        <v>@CollectedN</v>
      </c>
      <c r="C1396" s="21" t="s">
        <v>3553</v>
      </c>
      <c r="D1396" s="21" t="s">
        <v>3554</v>
      </c>
      <c r="E1396" s="22" t="str">
        <f>HYPERLINK("https://twitter.com/CollectedN/status/922398069634879489","922398069634879489")</f>
        <v>922398069634879489</v>
      </c>
      <c r="F1396" s="23" t="s">
        <v>187</v>
      </c>
      <c r="G1396" s="24">
        <v>21993.0</v>
      </c>
      <c r="H1396" s="24">
        <v>16541.0</v>
      </c>
      <c r="I1396" s="24">
        <v>0.0</v>
      </c>
      <c r="J1396" s="24">
        <v>0.0</v>
      </c>
      <c r="K1396" s="23" t="s">
        <v>34</v>
      </c>
      <c r="L1396" s="25">
        <v>41333.76840277778</v>
      </c>
      <c r="M1396" s="28"/>
      <c r="N1396" s="26" t="s">
        <v>3555</v>
      </c>
      <c r="O1396" s="22" t="str">
        <f>HYPERLINK("https://pbs.twimg.com/profile_images/705925817277108224/nGS1Ko7F_normal.jpg","View")</f>
        <v>View</v>
      </c>
      <c r="P1396" s="27"/>
    </row>
    <row r="1397">
      <c r="A1397" s="14">
        <v>43031.11358796296</v>
      </c>
      <c r="B1397" s="20" t="str">
        <f>HYPERLINK("https://twitter.com/arunCharming","@arunCharming")</f>
        <v>@arunCharming</v>
      </c>
      <c r="C1397" s="21" t="s">
        <v>3556</v>
      </c>
      <c r="D1397" s="21" t="s">
        <v>430</v>
      </c>
      <c r="E1397" s="22" t="str">
        <f>HYPERLINK("https://twitter.com/arunCharming/status/922398081651314688","922398081651314688")</f>
        <v>922398081651314688</v>
      </c>
      <c r="F1397" s="23" t="s">
        <v>33</v>
      </c>
      <c r="G1397" s="24">
        <v>22.0</v>
      </c>
      <c r="H1397" s="24">
        <v>492.0</v>
      </c>
      <c r="I1397" s="24">
        <v>62.0</v>
      </c>
      <c r="J1397" s="24">
        <v>0.0</v>
      </c>
      <c r="K1397" s="23" t="s">
        <v>34</v>
      </c>
      <c r="L1397" s="25">
        <v>43012.99375</v>
      </c>
      <c r="M1397" s="26" t="s">
        <v>3557</v>
      </c>
      <c r="N1397" s="26" t="s">
        <v>3558</v>
      </c>
      <c r="O1397" s="22" t="str">
        <f>HYPERLINK("https://pbs.twimg.com/profile_images/920893265506791424/bYFjUNz5_normal.jpg","View")</f>
        <v>View</v>
      </c>
      <c r="P1397" s="27"/>
    </row>
    <row r="1398">
      <c r="A1398" s="14">
        <v>43031.11361111111</v>
      </c>
      <c r="B1398" s="20" t="str">
        <f>HYPERLINK("https://twitter.com/newsly","@newsly")</f>
        <v>@newsly</v>
      </c>
      <c r="C1398" s="21" t="s">
        <v>3559</v>
      </c>
      <c r="D1398" s="21" t="s">
        <v>3560</v>
      </c>
      <c r="E1398" s="22" t="str">
        <f>HYPERLINK("https://twitter.com/newsly/status/922398089327071233","922398089327071233")</f>
        <v>922398089327071233</v>
      </c>
      <c r="F1398" s="23" t="s">
        <v>187</v>
      </c>
      <c r="G1398" s="24">
        <v>307.0</v>
      </c>
      <c r="H1398" s="24">
        <v>2.0</v>
      </c>
      <c r="I1398" s="24">
        <v>0.0</v>
      </c>
      <c r="J1398" s="24">
        <v>0.0</v>
      </c>
      <c r="K1398" s="23" t="s">
        <v>34</v>
      </c>
      <c r="L1398" s="25">
        <v>42393.464224537034</v>
      </c>
      <c r="M1398" s="26" t="s">
        <v>708</v>
      </c>
      <c r="N1398" s="26" t="s">
        <v>3561</v>
      </c>
      <c r="O1398" s="22" t="str">
        <f>HYPERLINK("https://pbs.twimg.com/profile_images/776195317549105152/HsppNplW_normal.jpg","View")</f>
        <v>View</v>
      </c>
      <c r="P1398" s="27"/>
    </row>
    <row r="1399">
      <c r="A1399" s="14">
        <v>43031.11361111111</v>
      </c>
      <c r="B1399" s="20" t="str">
        <f>HYPERLINK("https://twitter.com/costanzo740","@costanzo740")</f>
        <v>@costanzo740</v>
      </c>
      <c r="C1399" s="21" t="s">
        <v>3562</v>
      </c>
      <c r="D1399" s="21" t="s">
        <v>760</v>
      </c>
      <c r="E1399" s="22" t="str">
        <f>HYPERLINK("https://twitter.com/costanzo740/status/922398089834479616","922398089834479616")</f>
        <v>922398089834479616</v>
      </c>
      <c r="F1399" s="23" t="s">
        <v>33</v>
      </c>
      <c r="G1399" s="24">
        <v>1078.0</v>
      </c>
      <c r="H1399" s="24">
        <v>1498.0</v>
      </c>
      <c r="I1399" s="24">
        <v>62.0</v>
      </c>
      <c r="J1399" s="24">
        <v>0.0</v>
      </c>
      <c r="K1399" s="23" t="s">
        <v>34</v>
      </c>
      <c r="L1399" s="25">
        <v>41578.42099537037</v>
      </c>
      <c r="M1399" s="26" t="s">
        <v>3563</v>
      </c>
      <c r="N1399" s="26" t="s">
        <v>3564</v>
      </c>
      <c r="O1399" s="22" t="str">
        <f>HYPERLINK("https://pbs.twimg.com/profile_images/871315469579321344/zOhrfxxR_normal.jpg","View")</f>
        <v>View</v>
      </c>
      <c r="P1399" s="27"/>
    </row>
    <row r="1400">
      <c r="A1400" s="14">
        <v>43031.11362268518</v>
      </c>
      <c r="B1400" s="20" t="str">
        <f>HYPERLINK("https://twitter.com/VinaySi49085017","@VinaySi49085017")</f>
        <v>@VinaySi49085017</v>
      </c>
      <c r="C1400" s="21" t="s">
        <v>3565</v>
      </c>
      <c r="D1400" s="21" t="s">
        <v>42</v>
      </c>
      <c r="E1400" s="22" t="str">
        <f>HYPERLINK("https://twitter.com/VinaySi49085017/status/922398092137152512","922398092137152512")</f>
        <v>922398092137152512</v>
      </c>
      <c r="F1400" s="23" t="s">
        <v>33</v>
      </c>
      <c r="G1400" s="24">
        <v>59.0</v>
      </c>
      <c r="H1400" s="24">
        <v>163.0</v>
      </c>
      <c r="I1400" s="24">
        <v>8501.0</v>
      </c>
      <c r="J1400" s="24">
        <v>0.0</v>
      </c>
      <c r="K1400" s="23" t="s">
        <v>34</v>
      </c>
      <c r="L1400" s="25">
        <v>42965.07434027777</v>
      </c>
      <c r="M1400" s="26" t="s">
        <v>3566</v>
      </c>
      <c r="N1400" s="26" t="s">
        <v>3567</v>
      </c>
      <c r="O1400" s="22" t="str">
        <f>HYPERLINK("https://pbs.twimg.com/profile_images/900780487186071553/kkHPGK29_normal.jpg","View")</f>
        <v>View</v>
      </c>
      <c r="P1400" s="27"/>
    </row>
    <row r="1401">
      <c r="A1401" s="14">
        <v>43031.11366898148</v>
      </c>
      <c r="B1401" s="20" t="str">
        <f>HYPERLINK("https://twitter.com/Shunnsasaki","@Shunnsasaki")</f>
        <v>@Shunnsasaki</v>
      </c>
      <c r="C1401" s="21" t="s">
        <v>3385</v>
      </c>
      <c r="D1401" s="21" t="s">
        <v>3568</v>
      </c>
      <c r="E1401" s="22" t="str">
        <f>HYPERLINK("https://twitter.com/Shunnsasaki/status/922398110982139904","922398110982139904")</f>
        <v>922398110982139904</v>
      </c>
      <c r="F1401" s="23" t="s">
        <v>55</v>
      </c>
      <c r="G1401" s="24">
        <v>106.0</v>
      </c>
      <c r="H1401" s="24">
        <v>268.0</v>
      </c>
      <c r="I1401" s="24">
        <v>1.0</v>
      </c>
      <c r="J1401" s="24">
        <v>1.0</v>
      </c>
      <c r="K1401" s="23" t="s">
        <v>34</v>
      </c>
      <c r="L1401" s="25">
        <v>40673.308020833334</v>
      </c>
      <c r="M1401" s="28"/>
      <c r="N1401" s="26" t="s">
        <v>3387</v>
      </c>
      <c r="O1401" s="22" t="str">
        <f>HYPERLINK("https://pbs.twimg.com/profile_images/1347039387/imagesCACP37Q7_-_____normal.jpg","View")</f>
        <v>View</v>
      </c>
      <c r="P1401" s="27"/>
    </row>
    <row r="1402">
      <c r="A1402" s="14">
        <v>43031.11377314814</v>
      </c>
      <c r="B1402" s="20" t="str">
        <f>HYPERLINK("https://twitter.com/MepGis","@MepGis")</f>
        <v>@MepGis</v>
      </c>
      <c r="C1402" s="21" t="s">
        <v>3569</v>
      </c>
      <c r="D1402" s="21" t="s">
        <v>42</v>
      </c>
      <c r="E1402" s="22" t="str">
        <f>HYPERLINK("https://twitter.com/MepGis/status/922398149628411905","922398149628411905")</f>
        <v>922398149628411905</v>
      </c>
      <c r="F1402" s="23" t="s">
        <v>33</v>
      </c>
      <c r="G1402" s="24">
        <v>54.0</v>
      </c>
      <c r="H1402" s="24">
        <v>264.0</v>
      </c>
      <c r="I1402" s="24">
        <v>8501.0</v>
      </c>
      <c r="J1402" s="24">
        <v>0.0</v>
      </c>
      <c r="K1402" s="23" t="s">
        <v>34</v>
      </c>
      <c r="L1402" s="25">
        <v>42279.85980324074</v>
      </c>
      <c r="M1402" s="28"/>
      <c r="N1402" s="28"/>
      <c r="O1402" s="22" t="str">
        <f>HYPERLINK("https://pbs.twimg.com/profile_images/893145197382574086/eDMcoJ1T_normal.jpg","View")</f>
        <v>View</v>
      </c>
      <c r="P1402" s="27"/>
    </row>
    <row r="1403">
      <c r="A1403" s="14">
        <v>43031.11388888889</v>
      </c>
      <c r="B1403" s="20" t="str">
        <f>HYPERLINK("https://twitter.com/didierdelmer","@didierdelmer")</f>
        <v>@didierdelmer</v>
      </c>
      <c r="C1403" s="21" t="s">
        <v>3570</v>
      </c>
      <c r="D1403" s="21" t="s">
        <v>3571</v>
      </c>
      <c r="E1403" s="22" t="str">
        <f>HYPERLINK("https://twitter.com/didierdelmer/status/922398189105438720","922398189105438720")</f>
        <v>922398189105438720</v>
      </c>
      <c r="F1403" s="23" t="s">
        <v>3572</v>
      </c>
      <c r="G1403" s="24">
        <v>19604.0</v>
      </c>
      <c r="H1403" s="24">
        <v>13285.0</v>
      </c>
      <c r="I1403" s="24">
        <v>0.0</v>
      </c>
      <c r="J1403" s="24">
        <v>1.0</v>
      </c>
      <c r="K1403" s="23" t="s">
        <v>34</v>
      </c>
      <c r="L1403" s="25">
        <v>39272.16715277778</v>
      </c>
      <c r="M1403" s="26" t="s">
        <v>3573</v>
      </c>
      <c r="N1403" s="26" t="s">
        <v>3574</v>
      </c>
      <c r="O1403" s="22" t="str">
        <f>HYPERLINK("https://pbs.twimg.com/profile_images/749347780657897473/EPMIfAjG_normal.jpg","View")</f>
        <v>View</v>
      </c>
      <c r="P1403" s="27"/>
    </row>
    <row r="1404">
      <c r="A1404" s="14">
        <v>43031.113900462966</v>
      </c>
      <c r="B1404" s="20" t="str">
        <f>HYPERLINK("https://twitter.com/VishnuJ90959793","@VishnuJ90959793")</f>
        <v>@VishnuJ90959793</v>
      </c>
      <c r="C1404" s="21" t="s">
        <v>3575</v>
      </c>
      <c r="D1404" s="21" t="s">
        <v>42</v>
      </c>
      <c r="E1404" s="22" t="str">
        <f>HYPERLINK("https://twitter.com/VishnuJ90959793/status/922398192389431296","922398192389431296")</f>
        <v>922398192389431296</v>
      </c>
      <c r="F1404" s="23" t="s">
        <v>33</v>
      </c>
      <c r="G1404" s="24">
        <v>25.0</v>
      </c>
      <c r="H1404" s="24">
        <v>380.0</v>
      </c>
      <c r="I1404" s="24">
        <v>8501.0</v>
      </c>
      <c r="J1404" s="24">
        <v>0.0</v>
      </c>
      <c r="K1404" s="23" t="s">
        <v>34</v>
      </c>
      <c r="L1404" s="25">
        <v>42949.85487268519</v>
      </c>
      <c r="M1404" s="26" t="s">
        <v>3576</v>
      </c>
      <c r="N1404" s="26" t="s">
        <v>3577</v>
      </c>
      <c r="O1404" s="22" t="str">
        <f>HYPERLINK("https://pbs.twimg.com/profile_images/897036863940083712/EL9mGoKs_normal.jpg","View")</f>
        <v>View</v>
      </c>
      <c r="P1404" s="27"/>
    </row>
    <row r="1405">
      <c r="A1405" s="14">
        <v>43031.113912037035</v>
      </c>
      <c r="B1405" s="20" t="str">
        <f>HYPERLINK("https://twitter.com/Wealth_FM","@Wealth_FM")</f>
        <v>@Wealth_FM</v>
      </c>
      <c r="C1405" s="21" t="s">
        <v>2156</v>
      </c>
      <c r="D1405" s="21" t="s">
        <v>3578</v>
      </c>
      <c r="E1405" s="22" t="str">
        <f>HYPERLINK("https://twitter.com/Wealth_FM/status/922398196998873089","922398196998873089")</f>
        <v>922398196998873089</v>
      </c>
      <c r="F1405" s="23" t="s">
        <v>55</v>
      </c>
      <c r="G1405" s="24">
        <v>140.0</v>
      </c>
      <c r="H1405" s="24">
        <v>239.0</v>
      </c>
      <c r="I1405" s="24">
        <v>6.0</v>
      </c>
      <c r="J1405" s="24">
        <v>0.0</v>
      </c>
      <c r="K1405" s="23" t="s">
        <v>34</v>
      </c>
      <c r="L1405" s="25">
        <v>42808.96616898148</v>
      </c>
      <c r="M1405" s="26" t="s">
        <v>2158</v>
      </c>
      <c r="N1405" s="26" t="s">
        <v>2159</v>
      </c>
      <c r="O1405" s="22" t="str">
        <f>HYPERLINK("https://pbs.twimg.com/profile_images/841896867587866624/oywl8sKi_normal.jpg","View")</f>
        <v>View</v>
      </c>
      <c r="P1405" s="27"/>
    </row>
    <row r="1406">
      <c r="A1406" s="14">
        <v>43031.11395833333</v>
      </c>
      <c r="B1406" s="20" t="str">
        <f>HYPERLINK("https://twitter.com/mohamedwerzeg","@mohamedwerzeg")</f>
        <v>@mohamedwerzeg</v>
      </c>
      <c r="C1406" s="21" t="s">
        <v>3579</v>
      </c>
      <c r="D1406" s="21" t="s">
        <v>2555</v>
      </c>
      <c r="E1406" s="22" t="str">
        <f>HYPERLINK("https://twitter.com/mohamedwerzeg/status/922398215596625920","922398215596625920")</f>
        <v>922398215596625920</v>
      </c>
      <c r="F1406" s="23" t="s">
        <v>33</v>
      </c>
      <c r="G1406" s="24">
        <v>621.0</v>
      </c>
      <c r="H1406" s="24">
        <v>2473.0</v>
      </c>
      <c r="I1406" s="24">
        <v>58.0</v>
      </c>
      <c r="J1406" s="24">
        <v>0.0</v>
      </c>
      <c r="K1406" s="23" t="s">
        <v>34</v>
      </c>
      <c r="L1406" s="25">
        <v>40934.19388888889</v>
      </c>
      <c r="M1406" s="26" t="s">
        <v>3580</v>
      </c>
      <c r="N1406" s="26" t="s">
        <v>3581</v>
      </c>
      <c r="O1406" s="22" t="str">
        <f>HYPERLINK("https://pbs.twimg.com/profile_images/847424758169837569/80olzsRK_normal.jpg","View")</f>
        <v>View</v>
      </c>
      <c r="P1406" s="27"/>
    </row>
    <row r="1407">
      <c r="A1407" s="14">
        <v>43031.11398148148</v>
      </c>
      <c r="B1407" s="20" t="str">
        <f>HYPERLINK("https://twitter.com/jptweets4fun","@jptweets4fun")</f>
        <v>@jptweets4fun</v>
      </c>
      <c r="C1407" s="21" t="s">
        <v>3582</v>
      </c>
      <c r="D1407" s="21" t="s">
        <v>430</v>
      </c>
      <c r="E1407" s="22" t="str">
        <f>HYPERLINK("https://twitter.com/jptweets4fun/status/922398225637761024","922398225637761024")</f>
        <v>922398225637761024</v>
      </c>
      <c r="F1407" s="23" t="s">
        <v>3583</v>
      </c>
      <c r="G1407" s="24">
        <v>151.0</v>
      </c>
      <c r="H1407" s="24">
        <v>60.0</v>
      </c>
      <c r="I1407" s="24">
        <v>62.0</v>
      </c>
      <c r="J1407" s="24">
        <v>0.0</v>
      </c>
      <c r="K1407" s="23" t="s">
        <v>34</v>
      </c>
      <c r="L1407" s="25">
        <v>42852.32273148149</v>
      </c>
      <c r="M1407" s="26" t="s">
        <v>1961</v>
      </c>
      <c r="N1407" s="26" t="s">
        <v>3584</v>
      </c>
      <c r="O1407" s="22" t="str">
        <f>HYPERLINK("https://pbs.twimg.com/profile_images/871463009226559492/ulj0anCs_normal.jpg","View")</f>
        <v>View</v>
      </c>
      <c r="P1407" s="27"/>
    </row>
    <row r="1408">
      <c r="A1408" s="14">
        <v>43031.114004629635</v>
      </c>
      <c r="B1408" s="20" t="str">
        <f>HYPERLINK("https://twitter.com/SherryPraji","@SherryPraji")</f>
        <v>@SherryPraji</v>
      </c>
      <c r="C1408" s="21" t="s">
        <v>3585</v>
      </c>
      <c r="D1408" s="21" t="s">
        <v>42</v>
      </c>
      <c r="E1408" s="22" t="str">
        <f>HYPERLINK("https://twitter.com/SherryPraji/status/922398233854222337","922398233854222337")</f>
        <v>922398233854222337</v>
      </c>
      <c r="F1408" s="23" t="s">
        <v>33</v>
      </c>
      <c r="G1408" s="24">
        <v>11.0</v>
      </c>
      <c r="H1408" s="24">
        <v>206.0</v>
      </c>
      <c r="I1408" s="24">
        <v>8501.0</v>
      </c>
      <c r="J1408" s="24">
        <v>0.0</v>
      </c>
      <c r="K1408" s="23" t="s">
        <v>34</v>
      </c>
      <c r="L1408" s="25">
        <v>43003.86585648148</v>
      </c>
      <c r="M1408" s="28"/>
      <c r="N1408" s="28"/>
      <c r="O1408" s="22" t="str">
        <f>HYPERLINK("https://abs.twimg.com/sticky/default_profile_images/default_profile_normal.png","View")</f>
        <v>View</v>
      </c>
      <c r="P1408" s="27"/>
    </row>
    <row r="1409">
      <c r="A1409" s="14">
        <v>43031.114027777774</v>
      </c>
      <c r="B1409" s="20" t="str">
        <f>HYPERLINK("https://twitter.com/TopFiveTraders","@TopFiveTraders")</f>
        <v>@TopFiveTraders</v>
      </c>
      <c r="C1409" s="21" t="s">
        <v>1984</v>
      </c>
      <c r="D1409" s="21" t="s">
        <v>3586</v>
      </c>
      <c r="E1409" s="22" t="str">
        <f>HYPERLINK("https://twitter.com/TopFiveTraders/status/922398238593908737","922398238593908737")</f>
        <v>922398238593908737</v>
      </c>
      <c r="F1409" s="23" t="s">
        <v>187</v>
      </c>
      <c r="G1409" s="24">
        <v>8168.0</v>
      </c>
      <c r="H1409" s="24">
        <v>6711.0</v>
      </c>
      <c r="I1409" s="24">
        <v>1.0</v>
      </c>
      <c r="J1409" s="24">
        <v>0.0</v>
      </c>
      <c r="K1409" s="23" t="s">
        <v>34</v>
      </c>
      <c r="L1409" s="25">
        <v>41573.484201388885</v>
      </c>
      <c r="M1409" s="26" t="s">
        <v>1986</v>
      </c>
      <c r="N1409" s="26" t="s">
        <v>1987</v>
      </c>
      <c r="O1409" s="22" t="str">
        <f>HYPERLINK("https://pbs.twimg.com/profile_images/729113141444026370/hi202Ffp_normal.jpg","View")</f>
        <v>View</v>
      </c>
      <c r="P1409" s="27"/>
    </row>
    <row r="1410">
      <c r="A1410" s="14">
        <v>43031.114074074074</v>
      </c>
      <c r="B1410" s="20" t="str">
        <f>HYPERLINK("https://twitter.com/mishra_kasturi","@mishra_kasturi")</f>
        <v>@mishra_kasturi</v>
      </c>
      <c r="C1410" s="21" t="s">
        <v>3587</v>
      </c>
      <c r="D1410" s="21" t="s">
        <v>42</v>
      </c>
      <c r="E1410" s="22" t="str">
        <f>HYPERLINK("https://twitter.com/mishra_kasturi/status/922398258101608449","922398258101608449")</f>
        <v>922398258101608449</v>
      </c>
      <c r="F1410" s="23" t="s">
        <v>33</v>
      </c>
      <c r="G1410" s="24">
        <v>737.0</v>
      </c>
      <c r="H1410" s="24">
        <v>122.0</v>
      </c>
      <c r="I1410" s="24">
        <v>8501.0</v>
      </c>
      <c r="J1410" s="24">
        <v>0.0</v>
      </c>
      <c r="K1410" s="23" t="s">
        <v>34</v>
      </c>
      <c r="L1410" s="25">
        <v>42828.25645833333</v>
      </c>
      <c r="M1410" s="26" t="s">
        <v>3588</v>
      </c>
      <c r="N1410" s="26" t="s">
        <v>3589</v>
      </c>
      <c r="O1410" s="22" t="str">
        <f>HYPERLINK("https://pbs.twimg.com/profile_images/896564256472047617/TTy-CrKc_normal.jpg","View")</f>
        <v>View</v>
      </c>
      <c r="P1410" s="27"/>
    </row>
    <row r="1411">
      <c r="A1411" s="14">
        <v>43031.11409722222</v>
      </c>
      <c r="B1411" s="20" t="str">
        <f>HYPERLINK("https://twitter.com/alanatpaterra","@alanatpaterra")</f>
        <v>@alanatpaterra</v>
      </c>
      <c r="C1411" s="21" t="s">
        <v>3590</v>
      </c>
      <c r="D1411" s="21" t="s">
        <v>3591</v>
      </c>
      <c r="E1411" s="22" t="str">
        <f>HYPERLINK("https://twitter.com/alanatpaterra/status/922398264455860224","922398264455860224")</f>
        <v>922398264455860224</v>
      </c>
      <c r="F1411" s="23" t="s">
        <v>55</v>
      </c>
      <c r="G1411" s="24">
        <v>434.0</v>
      </c>
      <c r="H1411" s="24">
        <v>353.0</v>
      </c>
      <c r="I1411" s="24">
        <v>0.0</v>
      </c>
      <c r="J1411" s="24">
        <v>0.0</v>
      </c>
      <c r="K1411" s="23" t="s">
        <v>34</v>
      </c>
      <c r="L1411" s="25">
        <v>39917.64771990741</v>
      </c>
      <c r="M1411" s="26" t="s">
        <v>271</v>
      </c>
      <c r="N1411" s="26" t="s">
        <v>3592</v>
      </c>
      <c r="O1411" s="22" t="str">
        <f>HYPERLINK("https://pbs.twimg.com/profile_images/819387066525986816/hoPDkB6Q_normal.jpg","View")</f>
        <v>View</v>
      </c>
      <c r="P1411" s="27"/>
    </row>
    <row r="1412">
      <c r="A1412" s="14">
        <v>43031.11420138889</v>
      </c>
      <c r="B1412" s="20" t="str">
        <f>HYPERLINK("https://twitter.com/pierremercer","@pierremercer")</f>
        <v>@pierremercer</v>
      </c>
      <c r="C1412" s="21" t="s">
        <v>3593</v>
      </c>
      <c r="D1412" s="21" t="s">
        <v>3594</v>
      </c>
      <c r="E1412" s="22" t="str">
        <f>HYPERLINK("https://twitter.com/pierremercer/status/922398303085457410","922398303085457410")</f>
        <v>922398303085457410</v>
      </c>
      <c r="F1412" s="23" t="s">
        <v>55</v>
      </c>
      <c r="G1412" s="24">
        <v>2249.0</v>
      </c>
      <c r="H1412" s="24">
        <v>952.0</v>
      </c>
      <c r="I1412" s="24">
        <v>0.0</v>
      </c>
      <c r="J1412" s="24">
        <v>0.0</v>
      </c>
      <c r="K1412" s="23" t="s">
        <v>34</v>
      </c>
      <c r="L1412" s="25">
        <v>41080.68547453704</v>
      </c>
      <c r="M1412" s="26" t="s">
        <v>3595</v>
      </c>
      <c r="N1412" s="26" t="s">
        <v>3596</v>
      </c>
      <c r="O1412" s="22" t="str">
        <f>HYPERLINK("https://pbs.twimg.com/profile_images/378800000512241059/7e94eb77383f14a61cae7899568a7910_normal.jpeg","View")</f>
        <v>View</v>
      </c>
      <c r="P1412" s="27"/>
    </row>
    <row r="1413">
      <c r="A1413" s="14">
        <v>43031.11420138889</v>
      </c>
      <c r="B1413" s="20" t="str">
        <f>HYPERLINK("https://twitter.com/hawken_john","@hawken_john")</f>
        <v>@hawken_john</v>
      </c>
      <c r="C1413" s="21" t="s">
        <v>3597</v>
      </c>
      <c r="D1413" s="21" t="s">
        <v>1444</v>
      </c>
      <c r="E1413" s="22" t="str">
        <f>HYPERLINK("https://twitter.com/hawken_john/status/922398304570302464","922398304570302464")</f>
        <v>922398304570302464</v>
      </c>
      <c r="F1413" s="23" t="s">
        <v>33</v>
      </c>
      <c r="G1413" s="24">
        <v>29.0</v>
      </c>
      <c r="H1413" s="24">
        <v>39.0</v>
      </c>
      <c r="I1413" s="24">
        <v>50.0</v>
      </c>
      <c r="J1413" s="24">
        <v>0.0</v>
      </c>
      <c r="K1413" s="23" t="s">
        <v>34</v>
      </c>
      <c r="L1413" s="25">
        <v>41933.850636574076</v>
      </c>
      <c r="M1413" s="28"/>
      <c r="N1413" s="28"/>
      <c r="O1413" s="22" t="str">
        <f>HYPERLINK("https://pbs.twimg.com/profile_images/524803617891438593/2lvoIzds_normal.jpeg","View")</f>
        <v>View</v>
      </c>
      <c r="P1413" s="27"/>
    </row>
    <row r="1414">
      <c r="A1414" s="14">
        <v>43031.11431712963</v>
      </c>
      <c r="B1414" s="20" t="str">
        <f>HYPERLINK("https://twitter.com/manakchawla","@manakchawla")</f>
        <v>@manakchawla</v>
      </c>
      <c r="C1414" s="21" t="s">
        <v>3598</v>
      </c>
      <c r="D1414" s="21" t="s">
        <v>42</v>
      </c>
      <c r="E1414" s="22" t="str">
        <f>HYPERLINK("https://twitter.com/manakchawla/status/922398345686953985","922398345686953985")</f>
        <v>922398345686953985</v>
      </c>
      <c r="F1414" s="23" t="s">
        <v>33</v>
      </c>
      <c r="G1414" s="24">
        <v>4.0</v>
      </c>
      <c r="H1414" s="24">
        <v>196.0</v>
      </c>
      <c r="I1414" s="24">
        <v>8501.0</v>
      </c>
      <c r="J1414" s="24">
        <v>0.0</v>
      </c>
      <c r="K1414" s="23" t="s">
        <v>34</v>
      </c>
      <c r="L1414" s="25">
        <v>41509.82834490741</v>
      </c>
      <c r="M1414" s="28"/>
      <c r="N1414" s="28"/>
      <c r="O1414" s="22" t="str">
        <f>HYPERLINK("https://pbs.twimg.com/profile_images/904614984411262980/03QmfwkZ_normal.jpg","View")</f>
        <v>View</v>
      </c>
      <c r="P1414" s="27"/>
    </row>
    <row r="1415">
      <c r="A1415" s="14">
        <v>43031.114328703705</v>
      </c>
      <c r="B1415" s="20" t="str">
        <f>HYPERLINK("https://twitter.com/anujbanaita","@anujbanaita")</f>
        <v>@anujbanaita</v>
      </c>
      <c r="C1415" s="21" t="s">
        <v>3599</v>
      </c>
      <c r="D1415" s="21" t="s">
        <v>42</v>
      </c>
      <c r="E1415" s="22" t="str">
        <f>HYPERLINK("https://twitter.com/anujbanaita/status/922398348350341120","922398348350341120")</f>
        <v>922398348350341120</v>
      </c>
      <c r="F1415" s="23" t="s">
        <v>33</v>
      </c>
      <c r="G1415" s="24">
        <v>306.0</v>
      </c>
      <c r="H1415" s="24">
        <v>1214.0</v>
      </c>
      <c r="I1415" s="24">
        <v>8501.0</v>
      </c>
      <c r="J1415" s="24">
        <v>0.0</v>
      </c>
      <c r="K1415" s="23" t="s">
        <v>34</v>
      </c>
      <c r="L1415" s="25">
        <v>40940.262974537036</v>
      </c>
      <c r="M1415" s="26" t="s">
        <v>3600</v>
      </c>
      <c r="N1415" s="26" t="s">
        <v>3601</v>
      </c>
      <c r="O1415" s="22" t="str">
        <f>HYPERLINK("https://pbs.twimg.com/profile_images/917462037726322689/dmZP3i-r_normal.jpg","View")</f>
        <v>View</v>
      </c>
      <c r="P1415" s="27"/>
    </row>
    <row r="1416">
      <c r="A1416" s="14">
        <v>43031.11449074074</v>
      </c>
      <c r="B1416" s="20" t="str">
        <f>HYPERLINK("https://twitter.com/360mediaX","@360mediaX")</f>
        <v>@360mediaX</v>
      </c>
      <c r="C1416" s="21" t="s">
        <v>3602</v>
      </c>
      <c r="D1416" s="21" t="s">
        <v>3603</v>
      </c>
      <c r="E1416" s="22" t="str">
        <f>HYPERLINK("https://twitter.com/360mediaX/status/922398406236098560","922398406236098560")</f>
        <v>922398406236098560</v>
      </c>
      <c r="F1416" s="23" t="s">
        <v>91</v>
      </c>
      <c r="G1416" s="24">
        <v>60.0</v>
      </c>
      <c r="H1416" s="24">
        <v>29.0</v>
      </c>
      <c r="I1416" s="24">
        <v>0.0</v>
      </c>
      <c r="J1416" s="24">
        <v>0.0</v>
      </c>
      <c r="K1416" s="23" t="s">
        <v>34</v>
      </c>
      <c r="L1416" s="25">
        <v>41998.059432870374</v>
      </c>
      <c r="M1416" s="26" t="s">
        <v>3604</v>
      </c>
      <c r="N1416" s="26" t="s">
        <v>3605</v>
      </c>
      <c r="O1416" s="22" t="str">
        <f>HYPERLINK("https://pbs.twimg.com/profile_images/834405611592769536/tz9saEfB_normal.jpg","View")</f>
        <v>View</v>
      </c>
      <c r="P1416" s="27"/>
    </row>
    <row r="1417">
      <c r="A1417" s="14">
        <v>43031.11457175926</v>
      </c>
      <c r="B1417" s="20" t="str">
        <f>HYPERLINK("https://twitter.com/pcovery","@pcovery")</f>
        <v>@pcovery</v>
      </c>
      <c r="C1417" s="21" t="s">
        <v>3606</v>
      </c>
      <c r="D1417" s="21" t="s">
        <v>2456</v>
      </c>
      <c r="E1417" s="22" t="str">
        <f>HYPERLINK("https://twitter.com/pcovery/status/922398438372925441","922398438372925441")</f>
        <v>922398438372925441</v>
      </c>
      <c r="F1417" s="23" t="s">
        <v>39</v>
      </c>
      <c r="G1417" s="24">
        <v>85.0</v>
      </c>
      <c r="H1417" s="24">
        <v>337.0</v>
      </c>
      <c r="I1417" s="24">
        <v>49.0</v>
      </c>
      <c r="J1417" s="24">
        <v>0.0</v>
      </c>
      <c r="K1417" s="23" t="s">
        <v>34</v>
      </c>
      <c r="L1417" s="25">
        <v>41092.65304398148</v>
      </c>
      <c r="M1417" s="28"/>
      <c r="N1417" s="28"/>
      <c r="O1417" s="22" t="str">
        <f>HYPERLINK("https://pbs.twimg.com/profile_images/2362033699/image_normal.jpg","View")</f>
        <v>View</v>
      </c>
      <c r="P1417" s="27"/>
    </row>
    <row r="1418">
      <c r="A1418" s="14">
        <v>43031.11459490741</v>
      </c>
      <c r="B1418" s="20" t="str">
        <f>HYPERLINK("https://twitter.com/bishtmk","@bishtmk")</f>
        <v>@bishtmk</v>
      </c>
      <c r="C1418" s="21" t="s">
        <v>3607</v>
      </c>
      <c r="D1418" s="21" t="s">
        <v>42</v>
      </c>
      <c r="E1418" s="22" t="str">
        <f>HYPERLINK("https://twitter.com/bishtmk/status/922398446891364354","922398446891364354")</f>
        <v>922398446891364354</v>
      </c>
      <c r="F1418" s="23" t="s">
        <v>33</v>
      </c>
      <c r="G1418" s="24">
        <v>145.0</v>
      </c>
      <c r="H1418" s="24">
        <v>151.0</v>
      </c>
      <c r="I1418" s="24">
        <v>8501.0</v>
      </c>
      <c r="J1418" s="24">
        <v>0.0</v>
      </c>
      <c r="K1418" s="23" t="s">
        <v>34</v>
      </c>
      <c r="L1418" s="25">
        <v>40866.416608796295</v>
      </c>
      <c r="M1418" s="28"/>
      <c r="N1418" s="26" t="s">
        <v>3608</v>
      </c>
      <c r="O1418" s="22" t="str">
        <f>HYPERLINK("https://pbs.twimg.com/profile_images/2386441060/8hojwjb1ztdwsscvuwja_normal.jpeg","View")</f>
        <v>View</v>
      </c>
      <c r="P1418" s="27"/>
    </row>
    <row r="1419">
      <c r="A1419" s="14">
        <v>43031.11460648148</v>
      </c>
      <c r="B1419" s="20" t="str">
        <f>HYPERLINK("https://twitter.com/newlytruly","@newlytruly")</f>
        <v>@newlytruly</v>
      </c>
      <c r="C1419" s="21" t="s">
        <v>1845</v>
      </c>
      <c r="D1419" s="21" t="s">
        <v>3546</v>
      </c>
      <c r="E1419" s="22" t="str">
        <f>HYPERLINK("https://twitter.com/newlytruly/status/922398452062961664","922398452062961664")</f>
        <v>922398452062961664</v>
      </c>
      <c r="F1419" s="23" t="s">
        <v>33</v>
      </c>
      <c r="G1419" s="24">
        <v>1232.0</v>
      </c>
      <c r="H1419" s="24">
        <v>2652.0</v>
      </c>
      <c r="I1419" s="24">
        <v>4.0</v>
      </c>
      <c r="J1419" s="24">
        <v>0.0</v>
      </c>
      <c r="K1419" s="23" t="s">
        <v>34</v>
      </c>
      <c r="L1419" s="25">
        <v>40376.9275</v>
      </c>
      <c r="M1419" s="26" t="s">
        <v>1847</v>
      </c>
      <c r="N1419" s="26" t="s">
        <v>1848</v>
      </c>
      <c r="O1419" s="22" t="str">
        <f>HYPERLINK("https://pbs.twimg.com/profile_images/885829128967999488/USvbihlI_normal.jpg","View")</f>
        <v>View</v>
      </c>
      <c r="P1419" s="27"/>
    </row>
    <row r="1420">
      <c r="A1420" s="14">
        <v>43031.114641203705</v>
      </c>
      <c r="B1420" s="20" t="str">
        <f>HYPERLINK("https://twitter.com/Dehati_Dude","@Dehati_Dude")</f>
        <v>@Dehati_Dude</v>
      </c>
      <c r="C1420" s="21" t="s">
        <v>3609</v>
      </c>
      <c r="D1420" s="21" t="s">
        <v>42</v>
      </c>
      <c r="E1420" s="22" t="str">
        <f>HYPERLINK("https://twitter.com/Dehati_Dude/status/922398464364834817","922398464364834817")</f>
        <v>922398464364834817</v>
      </c>
      <c r="F1420" s="23" t="s">
        <v>33</v>
      </c>
      <c r="G1420" s="24">
        <v>1.0</v>
      </c>
      <c r="H1420" s="24">
        <v>48.0</v>
      </c>
      <c r="I1420" s="24">
        <v>8501.0</v>
      </c>
      <c r="J1420" s="24">
        <v>0.0</v>
      </c>
      <c r="K1420" s="23" t="s">
        <v>34</v>
      </c>
      <c r="L1420" s="25">
        <v>42983.81774305555</v>
      </c>
      <c r="M1420" s="28"/>
      <c r="N1420" s="28"/>
      <c r="O1420" s="22" t="str">
        <f t="shared" ref="O1420:O1421" si="15">HYPERLINK("https://abs.twimg.com/sticky/default_profile_images/default_profile_normal.png","View")</f>
        <v>View</v>
      </c>
      <c r="P1420" s="27"/>
    </row>
    <row r="1421">
      <c r="A1421" s="14">
        <v>43031.11466435185</v>
      </c>
      <c r="B1421" s="20" t="str">
        <f>HYPERLINK("https://twitter.com/MONkGOLDsamurai","@MONkGOLDsamurai")</f>
        <v>@MONkGOLDsamurai</v>
      </c>
      <c r="C1421" s="21" t="s">
        <v>3610</v>
      </c>
      <c r="D1421" s="21" t="s">
        <v>3611</v>
      </c>
      <c r="E1421" s="22" t="str">
        <f>HYPERLINK("https://twitter.com/MONkGOLDsamurai/status/922398473026072576","922398473026072576")</f>
        <v>922398473026072576</v>
      </c>
      <c r="F1421" s="23" t="s">
        <v>55</v>
      </c>
      <c r="G1421" s="24">
        <v>26.0</v>
      </c>
      <c r="H1421" s="24">
        <v>212.0</v>
      </c>
      <c r="I1421" s="24">
        <v>0.0</v>
      </c>
      <c r="J1421" s="24">
        <v>0.0</v>
      </c>
      <c r="K1421" s="23" t="s">
        <v>34</v>
      </c>
      <c r="L1421" s="25">
        <v>39950.27431712963</v>
      </c>
      <c r="M1421" s="28"/>
      <c r="N1421" s="28"/>
      <c r="O1421" s="22" t="str">
        <f t="shared" si="15"/>
        <v>View</v>
      </c>
      <c r="P1421" s="27"/>
    </row>
    <row r="1422">
      <c r="A1422" s="14">
        <v>43031.11467592593</v>
      </c>
      <c r="B1422" s="20" t="str">
        <f>HYPERLINK("https://twitter.com/Avinash_singh18","@Avinash_singh18")</f>
        <v>@Avinash_singh18</v>
      </c>
      <c r="C1422" s="21" t="s">
        <v>3612</v>
      </c>
      <c r="D1422" s="21" t="s">
        <v>42</v>
      </c>
      <c r="E1422" s="22" t="str">
        <f>HYPERLINK("https://twitter.com/Avinash_singh18/status/922398475207065600","922398475207065600")</f>
        <v>922398475207065600</v>
      </c>
      <c r="F1422" s="23" t="s">
        <v>33</v>
      </c>
      <c r="G1422" s="24">
        <v>27.0</v>
      </c>
      <c r="H1422" s="24">
        <v>145.0</v>
      </c>
      <c r="I1422" s="24">
        <v>8501.0</v>
      </c>
      <c r="J1422" s="24">
        <v>0.0</v>
      </c>
      <c r="K1422" s="23" t="s">
        <v>34</v>
      </c>
      <c r="L1422" s="25">
        <v>42757.51585648148</v>
      </c>
      <c r="M1422" s="26" t="s">
        <v>575</v>
      </c>
      <c r="N1422" s="26" t="s">
        <v>3613</v>
      </c>
      <c r="O1422" s="22" t="str">
        <f>HYPERLINK("https://pbs.twimg.com/profile_images/853302067477270528/W98zcr_e_normal.jpg","View")</f>
        <v>View</v>
      </c>
      <c r="P1422" s="27"/>
    </row>
    <row r="1423">
      <c r="A1423" s="14">
        <v>43031.1147337963</v>
      </c>
      <c r="B1423" s="20" t="str">
        <f>HYPERLINK("https://twitter.com/airnews_shi","@airnews_shi")</f>
        <v>@airnews_shi</v>
      </c>
      <c r="C1423" s="21" t="s">
        <v>3614</v>
      </c>
      <c r="D1423" s="21" t="s">
        <v>42</v>
      </c>
      <c r="E1423" s="22" t="str">
        <f>HYPERLINK("https://twitter.com/airnews_shi/status/922398498233892865","922398498233892865")</f>
        <v>922398498233892865</v>
      </c>
      <c r="F1423" s="23" t="s">
        <v>55</v>
      </c>
      <c r="G1423" s="24">
        <v>64.0</v>
      </c>
      <c r="H1423" s="24">
        <v>37.0</v>
      </c>
      <c r="I1423" s="24">
        <v>8501.0</v>
      </c>
      <c r="J1423" s="24">
        <v>0.0</v>
      </c>
      <c r="K1423" s="23" t="s">
        <v>34</v>
      </c>
      <c r="L1423" s="25">
        <v>42818.169432870374</v>
      </c>
      <c r="M1423" s="26" t="s">
        <v>3615</v>
      </c>
      <c r="N1423" s="26" t="s">
        <v>3616</v>
      </c>
      <c r="O1423" s="22" t="str">
        <f>HYPERLINK("https://pbs.twimg.com/profile_images/845230550763790336/LC8Srxnn_normal.jpg","View")</f>
        <v>View</v>
      </c>
      <c r="P1423" s="27"/>
    </row>
    <row r="1424">
      <c r="A1424" s="14">
        <v>43031.1147800926</v>
      </c>
      <c r="B1424" s="20" t="str">
        <f>HYPERLINK("https://twitter.com/raj333mehta","@raj333mehta")</f>
        <v>@raj333mehta</v>
      </c>
      <c r="C1424" s="21" t="s">
        <v>3617</v>
      </c>
      <c r="D1424" s="21" t="s">
        <v>42</v>
      </c>
      <c r="E1424" s="22" t="str">
        <f>HYPERLINK("https://twitter.com/raj333mehta/status/922398514151415808","922398514151415808")</f>
        <v>922398514151415808</v>
      </c>
      <c r="F1424" s="23" t="s">
        <v>33</v>
      </c>
      <c r="G1424" s="24">
        <v>563.0</v>
      </c>
      <c r="H1424" s="24">
        <v>1061.0</v>
      </c>
      <c r="I1424" s="24">
        <v>8501.0</v>
      </c>
      <c r="J1424" s="24">
        <v>0.0</v>
      </c>
      <c r="K1424" s="23" t="s">
        <v>34</v>
      </c>
      <c r="L1424" s="25">
        <v>42304.04517361111</v>
      </c>
      <c r="M1424" s="26" t="s">
        <v>3618</v>
      </c>
      <c r="N1424" s="26" t="s">
        <v>3619</v>
      </c>
      <c r="O1424" s="22" t="str">
        <f>HYPERLINK("https://pbs.twimg.com/profile_images/658920276588146688/Nn4HJefY_normal.jpg","View")</f>
        <v>View</v>
      </c>
      <c r="P1424" s="27"/>
    </row>
    <row r="1425">
      <c r="A1425" s="14">
        <v>43031.11479166667</v>
      </c>
      <c r="B1425" s="20" t="str">
        <f>HYPERLINK("https://twitter.com/akshaychandorka","@akshaychandorka")</f>
        <v>@akshaychandorka</v>
      </c>
      <c r="C1425" s="21" t="s">
        <v>3620</v>
      </c>
      <c r="D1425" s="21" t="s">
        <v>163</v>
      </c>
      <c r="E1425" s="22" t="str">
        <f>HYPERLINK("https://twitter.com/akshaychandorka/status/922398515694731264","922398515694731264")</f>
        <v>922398515694731264</v>
      </c>
      <c r="F1425" s="23" t="s">
        <v>33</v>
      </c>
      <c r="G1425" s="24">
        <v>700.0</v>
      </c>
      <c r="H1425" s="24">
        <v>166.0</v>
      </c>
      <c r="I1425" s="24">
        <v>1005.0</v>
      </c>
      <c r="J1425" s="24">
        <v>0.0</v>
      </c>
      <c r="K1425" s="23" t="s">
        <v>34</v>
      </c>
      <c r="L1425" s="25">
        <v>40780.131273148145</v>
      </c>
      <c r="M1425" s="28"/>
      <c r="N1425" s="28"/>
      <c r="O1425" s="22" t="str">
        <f>HYPERLINK("https://pbs.twimg.com/profile_images/900599926819704832/AgzQHIYg_normal.jpg","View")</f>
        <v>View</v>
      </c>
      <c r="P1425" s="27"/>
    </row>
    <row r="1426">
      <c r="A1426" s="14">
        <v>43031.11482638889</v>
      </c>
      <c r="B1426" s="20" t="str">
        <f>HYPERLINK("https://twitter.com/SBSNews","@SBSNews")</f>
        <v>@SBSNews</v>
      </c>
      <c r="C1426" s="21" t="s">
        <v>3621</v>
      </c>
      <c r="D1426" s="21" t="s">
        <v>3622</v>
      </c>
      <c r="E1426" s="22" t="str">
        <f>HYPERLINK("https://twitter.com/SBSNews/status/922398528185364481","922398528185364481")</f>
        <v>922398528185364481</v>
      </c>
      <c r="F1426" s="23" t="s">
        <v>769</v>
      </c>
      <c r="G1426" s="24">
        <v>287745.0</v>
      </c>
      <c r="H1426" s="24">
        <v>936.0</v>
      </c>
      <c r="I1426" s="24">
        <v>2.0</v>
      </c>
      <c r="J1426" s="24">
        <v>1.0</v>
      </c>
      <c r="K1426" s="23" t="s">
        <v>34</v>
      </c>
      <c r="L1426" s="25">
        <v>39308.98663194444</v>
      </c>
      <c r="M1426" s="26" t="s">
        <v>3011</v>
      </c>
      <c r="N1426" s="26" t="s">
        <v>3623</v>
      </c>
      <c r="O1426" s="22" t="str">
        <f>HYPERLINK("https://pbs.twimg.com/profile_images/693965193869590529/yynghoyu_normal.png","View")</f>
        <v>View</v>
      </c>
      <c r="P1426" s="27"/>
    </row>
    <row r="1427">
      <c r="A1427" s="14">
        <v>43031.11483796296</v>
      </c>
      <c r="B1427" s="20" t="str">
        <f>HYPERLINK("https://twitter.com/TFTCS","@TFTCS")</f>
        <v>@TFTCS</v>
      </c>
      <c r="C1427" s="21" t="s">
        <v>1851</v>
      </c>
      <c r="D1427" s="21" t="s">
        <v>3624</v>
      </c>
      <c r="E1427" s="22" t="str">
        <f>HYPERLINK("https://twitter.com/TFTCS/status/922398534019805184","922398534019805184")</f>
        <v>922398534019805184</v>
      </c>
      <c r="F1427" s="23" t="s">
        <v>187</v>
      </c>
      <c r="G1427" s="24">
        <v>4389.0</v>
      </c>
      <c r="H1427" s="24">
        <v>4555.0</v>
      </c>
      <c r="I1427" s="24">
        <v>0.0</v>
      </c>
      <c r="J1427" s="24">
        <v>0.0</v>
      </c>
      <c r="K1427" s="23" t="s">
        <v>34</v>
      </c>
      <c r="L1427" s="25">
        <v>41868.76810185185</v>
      </c>
      <c r="M1427" s="26" t="s">
        <v>1853</v>
      </c>
      <c r="N1427" s="26" t="s">
        <v>1854</v>
      </c>
      <c r="O1427" s="22" t="str">
        <f>HYPERLINK("https://pbs.twimg.com/profile_images/736027772800368640/DdLGgNNU_normal.jpg","View")</f>
        <v>View</v>
      </c>
      <c r="P1427" s="27"/>
    </row>
    <row r="1428">
      <c r="A1428" s="14">
        <v>43031.11483796296</v>
      </c>
      <c r="B1428" s="20" t="str">
        <f>HYPERLINK("https://twitter.com/kammadeva","@kammadeva")</f>
        <v>@kammadeva</v>
      </c>
      <c r="C1428" s="21" t="s">
        <v>3625</v>
      </c>
      <c r="D1428" s="21" t="s">
        <v>3626</v>
      </c>
      <c r="E1428" s="22" t="str">
        <f>HYPERLINK("https://twitter.com/kammadeva/status/922398534401449984","922398534401449984")</f>
        <v>922398534401449984</v>
      </c>
      <c r="F1428" s="23" t="s">
        <v>33</v>
      </c>
      <c r="G1428" s="24">
        <v>120.0</v>
      </c>
      <c r="H1428" s="24">
        <v>246.0</v>
      </c>
      <c r="I1428" s="24">
        <v>27.0</v>
      </c>
      <c r="J1428" s="24">
        <v>0.0</v>
      </c>
      <c r="K1428" s="23" t="s">
        <v>34</v>
      </c>
      <c r="L1428" s="25">
        <v>42415.80960648148</v>
      </c>
      <c r="M1428" s="28"/>
      <c r="N1428" s="26" t="s">
        <v>3627</v>
      </c>
      <c r="O1428" s="22" t="str">
        <f>HYPERLINK("https://pbs.twimg.com/profile_images/918177873885908992/rB6jfB9p_normal.jpg","View")</f>
        <v>View</v>
      </c>
      <c r="P1428" s="27"/>
    </row>
    <row r="1429">
      <c r="A1429" s="14">
        <v>43031.11496527778</v>
      </c>
      <c r="B1429" s="20" t="str">
        <f>HYPERLINK("https://twitter.com/Jochen_mn","@Jochen_mn")</f>
        <v>@Jochen_mn</v>
      </c>
      <c r="C1429" s="21" t="s">
        <v>3628</v>
      </c>
      <c r="D1429" s="21" t="s">
        <v>3578</v>
      </c>
      <c r="E1429" s="22" t="str">
        <f>HYPERLINK("https://twitter.com/Jochen_mn/status/922398580165496832","922398580165496832")</f>
        <v>922398580165496832</v>
      </c>
      <c r="F1429" s="23" t="s">
        <v>33</v>
      </c>
      <c r="G1429" s="24">
        <v>13067.0</v>
      </c>
      <c r="H1429" s="24">
        <v>14137.0</v>
      </c>
      <c r="I1429" s="24">
        <v>6.0</v>
      </c>
      <c r="J1429" s="24">
        <v>0.0</v>
      </c>
      <c r="K1429" s="23" t="s">
        <v>34</v>
      </c>
      <c r="L1429" s="25">
        <v>40855.81667824074</v>
      </c>
      <c r="M1429" s="28"/>
      <c r="N1429" s="26" t="s">
        <v>3629</v>
      </c>
      <c r="O1429" s="22" t="str">
        <f>HYPERLINK("https://pbs.twimg.com/profile_images/902515969473503232/64jbHjD0_normal.jpg","View")</f>
        <v>View</v>
      </c>
      <c r="P1429" s="27"/>
    </row>
    <row r="1430">
      <c r="A1430" s="14">
        <v>43031.11497685185</v>
      </c>
      <c r="B1430" s="20" t="str">
        <f>HYPERLINK("https://twitter.com/mahanthanut","@mahanthanut")</f>
        <v>@mahanthanut</v>
      </c>
      <c r="C1430" s="21" t="s">
        <v>3630</v>
      </c>
      <c r="D1430" s="21" t="s">
        <v>3631</v>
      </c>
      <c r="E1430" s="22" t="str">
        <f>HYPERLINK("https://twitter.com/mahanthanut/status/922398582367334400","922398582367334400")</f>
        <v>922398582367334400</v>
      </c>
      <c r="F1430" s="23" t="s">
        <v>55</v>
      </c>
      <c r="G1430" s="24">
        <v>757.0</v>
      </c>
      <c r="H1430" s="24">
        <v>1962.0</v>
      </c>
      <c r="I1430" s="24">
        <v>0.0</v>
      </c>
      <c r="J1430" s="24">
        <v>0.0</v>
      </c>
      <c r="K1430" s="23" t="s">
        <v>34</v>
      </c>
      <c r="L1430" s="25">
        <v>42066.306504629625</v>
      </c>
      <c r="M1430" s="28"/>
      <c r="N1430" s="28"/>
      <c r="O1430" s="22" t="str">
        <f>HYPERLINK("https://pbs.twimg.com/profile_images/602460467231985666/I5K3SbBA_normal.jpg","View")</f>
        <v>View</v>
      </c>
      <c r="P1430" s="27"/>
    </row>
    <row r="1431">
      <c r="A1431" s="14">
        <v>43031.115011574075</v>
      </c>
      <c r="B1431" s="20" t="str">
        <f>HYPERLINK("https://twitter.com/shady_aphraiam","@shady_aphraiam")</f>
        <v>@shady_aphraiam</v>
      </c>
      <c r="C1431" s="21" t="s">
        <v>3632</v>
      </c>
      <c r="D1431" s="21" t="s">
        <v>3633</v>
      </c>
      <c r="E1431" s="22" t="str">
        <f>HYPERLINK("https://twitter.com/shady_aphraiam/status/922398595495747585","922398595495747585")</f>
        <v>922398595495747585</v>
      </c>
      <c r="F1431" s="23" t="s">
        <v>427</v>
      </c>
      <c r="G1431" s="24">
        <v>241.0</v>
      </c>
      <c r="H1431" s="24">
        <v>720.0</v>
      </c>
      <c r="I1431" s="24">
        <v>0.0</v>
      </c>
      <c r="J1431" s="24">
        <v>0.0</v>
      </c>
      <c r="K1431" s="23" t="s">
        <v>34</v>
      </c>
      <c r="L1431" s="25">
        <v>41134.736655092594</v>
      </c>
      <c r="M1431" s="26" t="s">
        <v>3634</v>
      </c>
      <c r="N1431" s="26" t="s">
        <v>3635</v>
      </c>
      <c r="O1431" s="22" t="str">
        <f>HYPERLINK("https://pbs.twimg.com/profile_images/689100972623269894/dC_IFv_7_normal.jpg","View")</f>
        <v>View</v>
      </c>
      <c r="P1431" s="27"/>
    </row>
    <row r="1432">
      <c r="A1432" s="14">
        <v>43031.115011574075</v>
      </c>
      <c r="B1432" s="20" t="str">
        <f>HYPERLINK("https://twitter.com/VishnuJ90959793","@VishnuJ90959793")</f>
        <v>@VishnuJ90959793</v>
      </c>
      <c r="C1432" s="21" t="s">
        <v>3575</v>
      </c>
      <c r="D1432" s="21" t="s">
        <v>430</v>
      </c>
      <c r="E1432" s="22" t="str">
        <f>HYPERLINK("https://twitter.com/VishnuJ90959793/status/922398597466877952","922398597466877952")</f>
        <v>922398597466877952</v>
      </c>
      <c r="F1432" s="23" t="s">
        <v>33</v>
      </c>
      <c r="G1432" s="24">
        <v>25.0</v>
      </c>
      <c r="H1432" s="24">
        <v>380.0</v>
      </c>
      <c r="I1432" s="24">
        <v>62.0</v>
      </c>
      <c r="J1432" s="24">
        <v>0.0</v>
      </c>
      <c r="K1432" s="23" t="s">
        <v>34</v>
      </c>
      <c r="L1432" s="25">
        <v>42949.85487268519</v>
      </c>
      <c r="M1432" s="26" t="s">
        <v>3576</v>
      </c>
      <c r="N1432" s="26" t="s">
        <v>3577</v>
      </c>
      <c r="O1432" s="22" t="str">
        <f>HYPERLINK("https://pbs.twimg.com/profile_images/897036863940083712/EL9mGoKs_normal.jpg","View")</f>
        <v>View</v>
      </c>
      <c r="P1432" s="27"/>
    </row>
    <row r="1433">
      <c r="A1433" s="14">
        <v>43031.115023148144</v>
      </c>
      <c r="B1433" s="20" t="str">
        <f>HYPERLINK("https://twitter.com/rbstewatia","@rbstewatia")</f>
        <v>@rbstewatia</v>
      </c>
      <c r="C1433" s="21" t="s">
        <v>3636</v>
      </c>
      <c r="D1433" s="21" t="s">
        <v>42</v>
      </c>
      <c r="E1433" s="22" t="str">
        <f>HYPERLINK("https://twitter.com/rbstewatia/status/922398599794823170","922398599794823170")</f>
        <v>922398599794823170</v>
      </c>
      <c r="F1433" s="23" t="s">
        <v>33</v>
      </c>
      <c r="G1433" s="24">
        <v>157.0</v>
      </c>
      <c r="H1433" s="24">
        <v>254.0</v>
      </c>
      <c r="I1433" s="24">
        <v>8501.0</v>
      </c>
      <c r="J1433" s="24">
        <v>0.0</v>
      </c>
      <c r="K1433" s="23" t="s">
        <v>34</v>
      </c>
      <c r="L1433" s="25">
        <v>41334.42627314815</v>
      </c>
      <c r="M1433" s="26" t="s">
        <v>164</v>
      </c>
      <c r="N1433" s="28"/>
      <c r="O1433" s="22" t="str">
        <f>HYPERLINK("https://pbs.twimg.com/profile_images/497718905775742976/JCzuraj0_normal.jpeg","View")</f>
        <v>View</v>
      </c>
      <c r="P1433" s="27"/>
    </row>
    <row r="1434">
      <c r="A1434" s="14">
        <v>43031.11503472222</v>
      </c>
      <c r="B1434" s="20" t="str">
        <f>HYPERLINK("https://twitter.com/worldnews_net","@worldnews_net")</f>
        <v>@worldnews_net</v>
      </c>
      <c r="C1434" s="21" t="s">
        <v>3637</v>
      </c>
      <c r="D1434" s="21" t="s">
        <v>3638</v>
      </c>
      <c r="E1434" s="22" t="str">
        <f>HYPERLINK("https://twitter.com/worldnews_net/status/922398603842347008","922398603842347008")</f>
        <v>922398603842347008</v>
      </c>
      <c r="F1434" s="23" t="s">
        <v>187</v>
      </c>
      <c r="G1434" s="24">
        <v>6452.0</v>
      </c>
      <c r="H1434" s="24">
        <v>1320.0</v>
      </c>
      <c r="I1434" s="24">
        <v>0.0</v>
      </c>
      <c r="J1434" s="24">
        <v>0.0</v>
      </c>
      <c r="K1434" s="23" t="s">
        <v>34</v>
      </c>
      <c r="L1434" s="25">
        <v>42056.08016203703</v>
      </c>
      <c r="M1434" s="28"/>
      <c r="N1434" s="26" t="s">
        <v>3639</v>
      </c>
      <c r="O1434" s="22" t="str">
        <f>HYPERLINK("https://pbs.twimg.com/profile_images/570163852034076672/nbok5qlW_normal.jpeg","View")</f>
        <v>View</v>
      </c>
      <c r="P1434" s="27"/>
    </row>
    <row r="1435">
      <c r="A1435" s="14">
        <v>43031.11505787037</v>
      </c>
      <c r="B1435" s="20" t="str">
        <f>HYPERLINK("https://twitter.com/DuduradioENT","@DuduradioENT")</f>
        <v>@DuduradioENT</v>
      </c>
      <c r="C1435" s="29" t="s">
        <v>3640</v>
      </c>
      <c r="D1435" s="21" t="s">
        <v>3641</v>
      </c>
      <c r="E1435" s="22" t="str">
        <f>HYPERLINK("https://twitter.com/DuduradioENT/status/922398612444844033","922398612444844033")</f>
        <v>922398612444844033</v>
      </c>
      <c r="F1435" s="23" t="s">
        <v>427</v>
      </c>
      <c r="G1435" s="24">
        <v>1063.0</v>
      </c>
      <c r="H1435" s="24">
        <v>678.0</v>
      </c>
      <c r="I1435" s="24">
        <v>0.0</v>
      </c>
      <c r="J1435" s="24">
        <v>0.0</v>
      </c>
      <c r="K1435" s="23" t="s">
        <v>34</v>
      </c>
      <c r="L1435" s="25">
        <v>40117.43268518519</v>
      </c>
      <c r="M1435" s="26" t="s">
        <v>3642</v>
      </c>
      <c r="N1435" s="26" t="s">
        <v>3643</v>
      </c>
      <c r="O1435" s="22" t="str">
        <f>HYPERLINK("https://pbs.twimg.com/profile_images/3543931273/ea35cf23e43d6ab0c416d7adfb89f3a1_normal.png","View")</f>
        <v>View</v>
      </c>
      <c r="P1435" s="27"/>
    </row>
    <row r="1436">
      <c r="A1436" s="14">
        <v>43031.11508101852</v>
      </c>
      <c r="B1436" s="20" t="str">
        <f>HYPERLINK("https://twitter.com/itsonlyyass","@itsonlyyass")</f>
        <v>@itsonlyyass</v>
      </c>
      <c r="C1436" s="21" t="s">
        <v>3644</v>
      </c>
      <c r="D1436" s="21" t="s">
        <v>3645</v>
      </c>
      <c r="E1436" s="22" t="str">
        <f>HYPERLINK("https://twitter.com/itsonlyyass/status/922398623429783553","922398623429783553")</f>
        <v>922398623429783553</v>
      </c>
      <c r="F1436" s="23" t="s">
        <v>427</v>
      </c>
      <c r="G1436" s="24">
        <v>186.0</v>
      </c>
      <c r="H1436" s="24">
        <v>143.0</v>
      </c>
      <c r="I1436" s="24">
        <v>0.0</v>
      </c>
      <c r="J1436" s="24">
        <v>0.0</v>
      </c>
      <c r="K1436" s="23" t="s">
        <v>34</v>
      </c>
      <c r="L1436" s="25">
        <v>40740.48087962963</v>
      </c>
      <c r="M1436" s="28"/>
      <c r="N1436" s="26" t="s">
        <v>3646</v>
      </c>
      <c r="O1436" s="22" t="str">
        <f>HYPERLINK("https://pbs.twimg.com/profile_images/519406996546932736/eM-ekECX_normal.jpeg","View")</f>
        <v>View</v>
      </c>
      <c r="P1436" s="27"/>
    </row>
    <row r="1437">
      <c r="A1437" s="14">
        <v>43031.115115740744</v>
      </c>
      <c r="B1437" s="20" t="str">
        <f>HYPERLINK("https://twitter.com/BagchiGorakhpur","@BagchiGorakhpur")</f>
        <v>@BagchiGorakhpur</v>
      </c>
      <c r="C1437" s="21" t="s">
        <v>3647</v>
      </c>
      <c r="D1437" s="21" t="s">
        <v>163</v>
      </c>
      <c r="E1437" s="22" t="str">
        <f>HYPERLINK("https://twitter.com/BagchiGorakhpur/status/922398636297850880","922398636297850880")</f>
        <v>922398636297850880</v>
      </c>
      <c r="F1437" s="23" t="s">
        <v>39</v>
      </c>
      <c r="G1437" s="24">
        <v>788.0</v>
      </c>
      <c r="H1437" s="24">
        <v>966.0</v>
      </c>
      <c r="I1437" s="24">
        <v>1005.0</v>
      </c>
      <c r="J1437" s="24">
        <v>0.0</v>
      </c>
      <c r="K1437" s="23" t="s">
        <v>34</v>
      </c>
      <c r="L1437" s="25">
        <v>40354.31873842592</v>
      </c>
      <c r="M1437" s="26" t="s">
        <v>3648</v>
      </c>
      <c r="N1437" s="26" t="s">
        <v>3649</v>
      </c>
      <c r="O1437" s="22" t="str">
        <f>HYPERLINK("https://pbs.twimg.com/profile_images/797854947501109248/BZIiCaPG_normal.jpg","View")</f>
        <v>View</v>
      </c>
      <c r="P1437" s="27"/>
    </row>
    <row r="1438">
      <c r="A1438" s="14">
        <v>43031.11515046297</v>
      </c>
      <c r="B1438" s="20" t="str">
        <f>HYPERLINK("https://twitter.com/emet_news_press","@emet_news_press")</f>
        <v>@emet_news_press</v>
      </c>
      <c r="C1438" s="21" t="s">
        <v>3650</v>
      </c>
      <c r="D1438" s="21" t="s">
        <v>3651</v>
      </c>
      <c r="E1438" s="22" t="str">
        <f>HYPERLINK("https://twitter.com/emet_news_press/status/922398646691356674","922398646691356674")</f>
        <v>922398646691356674</v>
      </c>
      <c r="F1438" s="23" t="s">
        <v>427</v>
      </c>
      <c r="G1438" s="24">
        <v>14273.0</v>
      </c>
      <c r="H1438" s="24">
        <v>3070.0</v>
      </c>
      <c r="I1438" s="24">
        <v>0.0</v>
      </c>
      <c r="J1438" s="24">
        <v>0.0</v>
      </c>
      <c r="K1438" s="23" t="s">
        <v>34</v>
      </c>
      <c r="L1438" s="25">
        <v>42457.10976851852</v>
      </c>
      <c r="M1438" s="26" t="s">
        <v>2068</v>
      </c>
      <c r="N1438" s="26" t="s">
        <v>3652</v>
      </c>
      <c r="O1438" s="22" t="str">
        <f>HYPERLINK("https://pbs.twimg.com/profile_images/867494379308687362/en57rgx2_normal.jpg","View")</f>
        <v>View</v>
      </c>
      <c r="P1438" s="27"/>
    </row>
    <row r="1439">
      <c r="A1439" s="14">
        <v>43031.11515046297</v>
      </c>
      <c r="B1439" s="20" t="str">
        <f>HYPERLINK("https://twitter.com/DuduradioENT","@DuduradioENT")</f>
        <v>@DuduradioENT</v>
      </c>
      <c r="C1439" s="29" t="s">
        <v>3640</v>
      </c>
      <c r="D1439" s="21" t="s">
        <v>3653</v>
      </c>
      <c r="E1439" s="22" t="str">
        <f>HYPERLINK("https://twitter.com/DuduradioENT/status/922398648935305216","922398648935305216")</f>
        <v>922398648935305216</v>
      </c>
      <c r="F1439" s="23" t="s">
        <v>48</v>
      </c>
      <c r="G1439" s="24">
        <v>1063.0</v>
      </c>
      <c r="H1439" s="24">
        <v>678.0</v>
      </c>
      <c r="I1439" s="24">
        <v>0.0</v>
      </c>
      <c r="J1439" s="24">
        <v>0.0</v>
      </c>
      <c r="K1439" s="23" t="s">
        <v>34</v>
      </c>
      <c r="L1439" s="25">
        <v>40117.43268518519</v>
      </c>
      <c r="M1439" s="26" t="s">
        <v>3642</v>
      </c>
      <c r="N1439" s="26" t="s">
        <v>3643</v>
      </c>
      <c r="O1439" s="22" t="str">
        <f>HYPERLINK("https://pbs.twimg.com/profile_images/3543931273/ea35cf23e43d6ab0c416d7adfb89f3a1_normal.png","View")</f>
        <v>View</v>
      </c>
      <c r="P1439" s="27"/>
    </row>
    <row r="1440">
      <c r="A1440" s="14">
        <v>43031.11518518519</v>
      </c>
      <c r="B1440" s="20" t="str">
        <f>HYPERLINK("https://twitter.com/KuddlyKalli","@KuddlyKalli")</f>
        <v>@KuddlyKalli</v>
      </c>
      <c r="C1440" s="21" t="s">
        <v>3654</v>
      </c>
      <c r="D1440" s="21" t="s">
        <v>3655</v>
      </c>
      <c r="E1440" s="22" t="str">
        <f>HYPERLINK("https://twitter.com/KuddlyKalli/status/922398658842132480","922398658842132480")</f>
        <v>922398658842132480</v>
      </c>
      <c r="F1440" s="23" t="s">
        <v>55</v>
      </c>
      <c r="G1440" s="24">
        <v>391.0</v>
      </c>
      <c r="H1440" s="24">
        <v>627.0</v>
      </c>
      <c r="I1440" s="24">
        <v>2.0</v>
      </c>
      <c r="J1440" s="24">
        <v>0.0</v>
      </c>
      <c r="K1440" s="23" t="s">
        <v>34</v>
      </c>
      <c r="L1440" s="25">
        <v>41621.197916666664</v>
      </c>
      <c r="M1440" s="26" t="s">
        <v>3656</v>
      </c>
      <c r="N1440" s="26" t="s">
        <v>3657</v>
      </c>
      <c r="O1440" s="22" t="str">
        <f>HYPERLINK("https://pbs.twimg.com/profile_images/796615429766541312/YRjLuSMm_normal.jpg","View")</f>
        <v>View</v>
      </c>
      <c r="P1440" s="27"/>
    </row>
    <row r="1441">
      <c r="A1441" s="14">
        <v>43031.11519675926</v>
      </c>
      <c r="B1441" s="20" t="str">
        <f>HYPERLINK("https://twitter.com/sixtwoone","@sixtwoone")</f>
        <v>@sixtwoone</v>
      </c>
      <c r="C1441" s="21" t="s">
        <v>3658</v>
      </c>
      <c r="D1441" s="21" t="s">
        <v>42</v>
      </c>
      <c r="E1441" s="22" t="str">
        <f>HYPERLINK("https://twitter.com/sixtwoone/status/922398663783079939","922398663783079939")</f>
        <v>922398663783079939</v>
      </c>
      <c r="F1441" s="23" t="s">
        <v>39</v>
      </c>
      <c r="G1441" s="24">
        <v>760.0</v>
      </c>
      <c r="H1441" s="24">
        <v>821.0</v>
      </c>
      <c r="I1441" s="24">
        <v>8501.0</v>
      </c>
      <c r="J1441" s="24">
        <v>0.0</v>
      </c>
      <c r="K1441" s="23" t="s">
        <v>34</v>
      </c>
      <c r="L1441" s="25">
        <v>40594.7975</v>
      </c>
      <c r="M1441" s="28"/>
      <c r="N1441" s="26" t="s">
        <v>3659</v>
      </c>
      <c r="O1441" s="22" t="str">
        <f>HYPERLINK("https://pbs.twimg.com/profile_images/1250200043/rCACLG0S5_normal.jpg","View")</f>
        <v>View</v>
      </c>
      <c r="P1441" s="27"/>
    </row>
    <row r="1442">
      <c r="A1442" s="14">
        <v>43031.115219907406</v>
      </c>
      <c r="B1442" s="20" t="str">
        <f>HYPERLINK("https://twitter.com/Wealth_FM","@Wealth_FM")</f>
        <v>@Wealth_FM</v>
      </c>
      <c r="C1442" s="21" t="s">
        <v>2156</v>
      </c>
      <c r="D1442" s="21" t="s">
        <v>3660</v>
      </c>
      <c r="E1442" s="22" t="str">
        <f>HYPERLINK("https://twitter.com/Wealth_FM/status/922398672314187777","922398672314187777")</f>
        <v>922398672314187777</v>
      </c>
      <c r="F1442" s="23" t="s">
        <v>55</v>
      </c>
      <c r="G1442" s="24">
        <v>140.0</v>
      </c>
      <c r="H1442" s="24">
        <v>239.0</v>
      </c>
      <c r="I1442" s="24">
        <v>1.0</v>
      </c>
      <c r="J1442" s="24">
        <v>0.0</v>
      </c>
      <c r="K1442" s="23" t="s">
        <v>34</v>
      </c>
      <c r="L1442" s="25">
        <v>42808.96616898148</v>
      </c>
      <c r="M1442" s="26" t="s">
        <v>2158</v>
      </c>
      <c r="N1442" s="26" t="s">
        <v>2159</v>
      </c>
      <c r="O1442" s="22" t="str">
        <f>HYPERLINK("https://pbs.twimg.com/profile_images/841896867587866624/oywl8sKi_normal.jpg","View")</f>
        <v>View</v>
      </c>
      <c r="P1442" s="27"/>
    </row>
    <row r="1443">
      <c r="A1443" s="14">
        <v>43031.11525462963</v>
      </c>
      <c r="B1443" s="20" t="str">
        <f>HYPERLINK("https://twitter.com/EndTimesSynapse","@EndTimesSynapse")</f>
        <v>@EndTimesSynapse</v>
      </c>
      <c r="C1443" s="21" t="s">
        <v>3661</v>
      </c>
      <c r="D1443" s="21" t="s">
        <v>3662</v>
      </c>
      <c r="E1443" s="22" t="str">
        <f>HYPERLINK("https://twitter.com/EndTimesSynapse/status/922398685312573440","922398685312573440")</f>
        <v>922398685312573440</v>
      </c>
      <c r="F1443" s="23" t="s">
        <v>187</v>
      </c>
      <c r="G1443" s="24">
        <v>243.0</v>
      </c>
      <c r="H1443" s="24">
        <v>16.0</v>
      </c>
      <c r="I1443" s="24">
        <v>0.0</v>
      </c>
      <c r="J1443" s="24">
        <v>0.0</v>
      </c>
      <c r="K1443" s="23" t="s">
        <v>34</v>
      </c>
      <c r="L1443" s="25">
        <v>42788.627916666665</v>
      </c>
      <c r="M1443" s="26" t="s">
        <v>68</v>
      </c>
      <c r="N1443" s="26" t="s">
        <v>3663</v>
      </c>
      <c r="O1443" s="22" t="str">
        <f>HYPERLINK("https://pbs.twimg.com/profile_images/835018552000172032/K0DwUlwu_normal.jpg","View")</f>
        <v>View</v>
      </c>
      <c r="P1443" s="27"/>
    </row>
    <row r="1444">
      <c r="A1444" s="14">
        <v>43031.115266203706</v>
      </c>
      <c r="B1444" s="20" t="str">
        <f>HYPERLINK("https://twitter.com/HemantJadav15","@HemantJadav15")</f>
        <v>@HemantJadav15</v>
      </c>
      <c r="C1444" s="21" t="s">
        <v>3664</v>
      </c>
      <c r="D1444" s="21" t="s">
        <v>42</v>
      </c>
      <c r="E1444" s="22" t="str">
        <f>HYPERLINK("https://twitter.com/HemantJadav15/status/922398689687195649","922398689687195649")</f>
        <v>922398689687195649</v>
      </c>
      <c r="F1444" s="23" t="s">
        <v>33</v>
      </c>
      <c r="G1444" s="24">
        <v>23.0</v>
      </c>
      <c r="H1444" s="24">
        <v>380.0</v>
      </c>
      <c r="I1444" s="24">
        <v>8501.0</v>
      </c>
      <c r="J1444" s="24">
        <v>0.0</v>
      </c>
      <c r="K1444" s="23" t="s">
        <v>34</v>
      </c>
      <c r="L1444" s="25">
        <v>42948.47777777778</v>
      </c>
      <c r="M1444" s="26" t="s">
        <v>3665</v>
      </c>
      <c r="N1444" s="26" t="s">
        <v>3666</v>
      </c>
      <c r="O1444" s="22" t="str">
        <f>HYPERLINK("https://pbs.twimg.com/profile_images/892454310101098496/OmSp9H3C_normal.jpg","View")</f>
        <v>View</v>
      </c>
      <c r="P1444" s="27"/>
    </row>
    <row r="1445">
      <c r="A1445" s="14">
        <v>43031.115277777775</v>
      </c>
      <c r="B1445" s="20" t="str">
        <f>HYPERLINK("https://twitter.com/sabharwal_tanvi","@sabharwal_tanvi")</f>
        <v>@sabharwal_tanvi</v>
      </c>
      <c r="C1445" s="21" t="s">
        <v>3667</v>
      </c>
      <c r="D1445" s="21" t="s">
        <v>42</v>
      </c>
      <c r="E1445" s="22" t="str">
        <f>HYPERLINK("https://twitter.com/sabharwal_tanvi/status/922398692967178240","922398692967178240")</f>
        <v>922398692967178240</v>
      </c>
      <c r="F1445" s="23" t="s">
        <v>39</v>
      </c>
      <c r="G1445" s="24">
        <v>392.0</v>
      </c>
      <c r="H1445" s="24">
        <v>374.0</v>
      </c>
      <c r="I1445" s="24">
        <v>8501.0</v>
      </c>
      <c r="J1445" s="24">
        <v>0.0</v>
      </c>
      <c r="K1445" s="23" t="s">
        <v>34</v>
      </c>
      <c r="L1445" s="25">
        <v>41947.008993055555</v>
      </c>
      <c r="M1445" s="26" t="s">
        <v>3668</v>
      </c>
      <c r="N1445" s="26" t="s">
        <v>3669</v>
      </c>
      <c r="O1445" s="22" t="str">
        <f>HYPERLINK("https://pbs.twimg.com/profile_images/820138002215075840/1Ho4SOYf_normal.jpg","View")</f>
        <v>View</v>
      </c>
      <c r="P1445" s="27"/>
    </row>
    <row r="1446">
      <c r="A1446" s="14">
        <v>43031.115324074075</v>
      </c>
      <c r="B1446" s="20" t="str">
        <f>HYPERLINK("https://twitter.com/ferozwala","@ferozwala")</f>
        <v>@ferozwala</v>
      </c>
      <c r="C1446" s="21" t="s">
        <v>3670</v>
      </c>
      <c r="D1446" s="21" t="s">
        <v>3671</v>
      </c>
      <c r="E1446" s="22" t="str">
        <f>HYPERLINK("https://twitter.com/ferozwala/status/922398712198062080","922398712198062080")</f>
        <v>922398712198062080</v>
      </c>
      <c r="F1446" s="23" t="s">
        <v>55</v>
      </c>
      <c r="G1446" s="24">
        <v>612.0</v>
      </c>
      <c r="H1446" s="24">
        <v>1117.0</v>
      </c>
      <c r="I1446" s="24">
        <v>0.0</v>
      </c>
      <c r="J1446" s="24">
        <v>0.0</v>
      </c>
      <c r="K1446" s="23" t="s">
        <v>34</v>
      </c>
      <c r="L1446" s="25">
        <v>39994.72096064815</v>
      </c>
      <c r="M1446" s="26" t="s">
        <v>3672</v>
      </c>
      <c r="N1446" s="26" t="s">
        <v>3673</v>
      </c>
      <c r="O1446" s="22" t="str">
        <f>HYPERLINK("https://pbs.twimg.com/profile_images/885893802627661825/kVLp6Vtz_normal.jpg","View")</f>
        <v>View</v>
      </c>
      <c r="P1446" s="27"/>
    </row>
    <row r="1447">
      <c r="A1447" s="14">
        <v>43031.115381944444</v>
      </c>
      <c r="B1447" s="20" t="str">
        <f>HYPERLINK("https://twitter.com/honnenogod","@honnenogod")</f>
        <v>@honnenogod</v>
      </c>
      <c r="C1447" s="21" t="s">
        <v>3674</v>
      </c>
      <c r="D1447" s="21" t="s">
        <v>2555</v>
      </c>
      <c r="E1447" s="22" t="str">
        <f>HYPERLINK("https://twitter.com/honnenogod/status/922398732229885958","922398732229885958")</f>
        <v>922398732229885958</v>
      </c>
      <c r="F1447" s="23" t="s">
        <v>55</v>
      </c>
      <c r="G1447" s="24">
        <v>12979.0</v>
      </c>
      <c r="H1447" s="24">
        <v>55.0</v>
      </c>
      <c r="I1447" s="24">
        <v>58.0</v>
      </c>
      <c r="J1447" s="24">
        <v>0.0</v>
      </c>
      <c r="K1447" s="23" t="s">
        <v>34</v>
      </c>
      <c r="L1447" s="25">
        <v>40280.276458333334</v>
      </c>
      <c r="M1447" s="28"/>
      <c r="N1447" s="26" t="s">
        <v>3675</v>
      </c>
      <c r="O1447" s="22" t="str">
        <f>HYPERLINK("https://pbs.twimg.com/profile_images/800902721033277440/pCiD6SCq_normal.jpg","View")</f>
        <v>View</v>
      </c>
      <c r="P1447" s="27"/>
    </row>
    <row r="1448">
      <c r="A1448" s="14">
        <v>43031.11541666667</v>
      </c>
      <c r="B1448" s="20" t="str">
        <f>HYPERLINK("https://twitter.com/DINESHK00700","@DINESHK00700")</f>
        <v>@DINESHK00700</v>
      </c>
      <c r="C1448" s="21" t="s">
        <v>3676</v>
      </c>
      <c r="D1448" s="21" t="s">
        <v>42</v>
      </c>
      <c r="E1448" s="22" t="str">
        <f>HYPERLINK("https://twitter.com/DINESHK00700/status/922398743433015297","922398743433015297")</f>
        <v>922398743433015297</v>
      </c>
      <c r="F1448" s="23" t="s">
        <v>33</v>
      </c>
      <c r="G1448" s="24">
        <v>87.0</v>
      </c>
      <c r="H1448" s="24">
        <v>145.0</v>
      </c>
      <c r="I1448" s="24">
        <v>8501.0</v>
      </c>
      <c r="J1448" s="24">
        <v>0.0</v>
      </c>
      <c r="K1448" s="23" t="s">
        <v>34</v>
      </c>
      <c r="L1448" s="25">
        <v>42953.124085648145</v>
      </c>
      <c r="M1448" s="26" t="s">
        <v>575</v>
      </c>
      <c r="N1448" s="26" t="s">
        <v>3677</v>
      </c>
      <c r="O1448" s="22" t="str">
        <f>HYPERLINK("https://pbs.twimg.com/profile_images/894150428589527040/3Usw7cnp_normal.jpg","View")</f>
        <v>View</v>
      </c>
      <c r="P1448" s="27"/>
    </row>
    <row r="1449">
      <c r="A1449" s="14">
        <v>43031.11541666667</v>
      </c>
      <c r="B1449" s="20" t="str">
        <f>HYPERLINK("https://twitter.com/AUSCITY_Forums","@AUSCITY_Forums")</f>
        <v>@AUSCITY_Forums</v>
      </c>
      <c r="C1449" s="21" t="s">
        <v>3678</v>
      </c>
      <c r="D1449" s="21" t="s">
        <v>3679</v>
      </c>
      <c r="E1449" s="22" t="str">
        <f>HYPERLINK("https://twitter.com/AUSCITY_Forums/status/922398743760171008","922398743760171008")</f>
        <v>922398743760171008</v>
      </c>
      <c r="F1449" s="23" t="s">
        <v>91</v>
      </c>
      <c r="G1449" s="24">
        <v>47.0</v>
      </c>
      <c r="H1449" s="24">
        <v>2.0</v>
      </c>
      <c r="I1449" s="24">
        <v>0.0</v>
      </c>
      <c r="J1449" s="24">
        <v>0.0</v>
      </c>
      <c r="K1449" s="23" t="s">
        <v>34</v>
      </c>
      <c r="L1449" s="25">
        <v>40941.41135416667</v>
      </c>
      <c r="M1449" s="26" t="s">
        <v>3680</v>
      </c>
      <c r="N1449" s="26" t="s">
        <v>3678</v>
      </c>
      <c r="O1449" s="22" t="str">
        <f>HYPERLINK("https://pbs.twimg.com/profile_images/1856839058/crawler_normal.jpg","View")</f>
        <v>View</v>
      </c>
      <c r="P1449" s="27"/>
    </row>
    <row r="1450">
      <c r="A1450" s="14">
        <v>43031.11545138889</v>
      </c>
      <c r="B1450" s="20" t="str">
        <f>HYPERLINK("https://twitter.com/MoeedNj","@MoeedNj")</f>
        <v>@MoeedNj</v>
      </c>
      <c r="C1450" s="21" t="s">
        <v>3681</v>
      </c>
      <c r="D1450" s="21" t="s">
        <v>3039</v>
      </c>
      <c r="E1450" s="22" t="str">
        <f>HYPERLINK("https://twitter.com/MoeedNj/status/922398758289240069","922398758289240069")</f>
        <v>922398758289240069</v>
      </c>
      <c r="F1450" s="23" t="s">
        <v>55</v>
      </c>
      <c r="G1450" s="24">
        <v>1447134.0</v>
      </c>
      <c r="H1450" s="24">
        <v>723.0</v>
      </c>
      <c r="I1450" s="24">
        <v>6.0</v>
      </c>
      <c r="J1450" s="24">
        <v>0.0</v>
      </c>
      <c r="K1450" s="23" t="s">
        <v>34</v>
      </c>
      <c r="L1450" s="25">
        <v>41040.5871412037</v>
      </c>
      <c r="M1450" s="26" t="s">
        <v>3682</v>
      </c>
      <c r="N1450" s="26" t="s">
        <v>3683</v>
      </c>
      <c r="O1450" s="22" t="str">
        <f>HYPERLINK("https://pbs.twimg.com/profile_images/2218850823/Dr._Moeed_Pirzada_normal.jpg","View")</f>
        <v>View</v>
      </c>
      <c r="P1450" s="27"/>
    </row>
    <row r="1451">
      <c r="A1451" s="14">
        <v>43031.1155787037</v>
      </c>
      <c r="B1451" s="20" t="str">
        <f>HYPERLINK("https://twitter.com/Apocrifos","@Apocrifos")</f>
        <v>@Apocrifos</v>
      </c>
      <c r="C1451" s="21" t="s">
        <v>3684</v>
      </c>
      <c r="D1451" s="21" t="s">
        <v>3560</v>
      </c>
      <c r="E1451" s="22" t="str">
        <f>HYPERLINK("https://twitter.com/Apocrifos/status/922398803252187137","922398803252187137")</f>
        <v>922398803252187137</v>
      </c>
      <c r="F1451" s="23" t="s">
        <v>187</v>
      </c>
      <c r="G1451" s="24">
        <v>760.0</v>
      </c>
      <c r="H1451" s="24">
        <v>508.0</v>
      </c>
      <c r="I1451" s="24">
        <v>0.0</v>
      </c>
      <c r="J1451" s="24">
        <v>0.0</v>
      </c>
      <c r="K1451" s="23" t="s">
        <v>34</v>
      </c>
      <c r="L1451" s="25">
        <v>39961.426828703705</v>
      </c>
      <c r="M1451" s="26" t="s">
        <v>3685</v>
      </c>
      <c r="N1451" s="26" t="s">
        <v>3686</v>
      </c>
      <c r="O1451" s="22" t="str">
        <f>HYPERLINK("https://pbs.twimg.com/profile_images/3672960453/ea0d6104e1c4773a26d48d5437e962d8_normal.jpeg","View")</f>
        <v>View</v>
      </c>
      <c r="P1451" s="27"/>
    </row>
    <row r="1452">
      <c r="A1452" s="14">
        <v>43031.11560185185</v>
      </c>
      <c r="B1452" s="20" t="str">
        <f>HYPERLINK("https://twitter.com/komoo_1","@komoo_1")</f>
        <v>@komoo_1</v>
      </c>
      <c r="C1452" s="21" t="s">
        <v>3687</v>
      </c>
      <c r="D1452" s="21" t="s">
        <v>2555</v>
      </c>
      <c r="E1452" s="22" t="str">
        <f>HYPERLINK("https://twitter.com/komoo_1/status/922398809640132608","922398809640132608")</f>
        <v>922398809640132608</v>
      </c>
      <c r="F1452" s="23" t="s">
        <v>39</v>
      </c>
      <c r="G1452" s="24">
        <v>446.0</v>
      </c>
      <c r="H1452" s="24">
        <v>568.0</v>
      </c>
      <c r="I1452" s="24">
        <v>58.0</v>
      </c>
      <c r="J1452" s="24">
        <v>0.0</v>
      </c>
      <c r="K1452" s="23" t="s">
        <v>34</v>
      </c>
      <c r="L1452" s="25">
        <v>40777.47534722222</v>
      </c>
      <c r="M1452" s="28"/>
      <c r="N1452" s="26" t="s">
        <v>3688</v>
      </c>
      <c r="O1452" s="22" t="str">
        <f>HYPERLINK("https://pbs.twimg.com/profile_images/880163796630765568/tp6oHRch_normal.jpg","View")</f>
        <v>View</v>
      </c>
      <c r="P1452" s="27"/>
    </row>
    <row r="1453">
      <c r="A1453" s="14">
        <v>43031.11560185185</v>
      </c>
      <c r="B1453" s="20" t="str">
        <f>HYPERLINK("https://twitter.com/bharatiyaAnilK","@bharatiyaAnilK")</f>
        <v>@bharatiyaAnilK</v>
      </c>
      <c r="C1453" s="21" t="s">
        <v>3689</v>
      </c>
      <c r="D1453" s="21" t="s">
        <v>42</v>
      </c>
      <c r="E1453" s="22" t="str">
        <f>HYPERLINK("https://twitter.com/bharatiyaAnilK/status/922398810864799744","922398810864799744")</f>
        <v>922398810864799744</v>
      </c>
      <c r="F1453" s="23" t="s">
        <v>39</v>
      </c>
      <c r="G1453" s="24">
        <v>18.0</v>
      </c>
      <c r="H1453" s="24">
        <v>28.0</v>
      </c>
      <c r="I1453" s="24">
        <v>8501.0</v>
      </c>
      <c r="J1453" s="24">
        <v>0.0</v>
      </c>
      <c r="K1453" s="23" t="s">
        <v>34</v>
      </c>
      <c r="L1453" s="25">
        <v>42892.74431712963</v>
      </c>
      <c r="M1453" s="28"/>
      <c r="N1453" s="28"/>
      <c r="O1453" s="22" t="str">
        <f>HYPERLINK("https://abs.twimg.com/sticky/default_profile_images/default_profile_normal.png","View")</f>
        <v>View</v>
      </c>
      <c r="P1453" s="27"/>
    </row>
    <row r="1454">
      <c r="A1454" s="14">
        <v>43031.11572916667</v>
      </c>
      <c r="B1454" s="20" t="str">
        <f>HYPERLINK("https://twitter.com/culture_japan","@culture_japan")</f>
        <v>@culture_japan</v>
      </c>
      <c r="C1454" s="21" t="s">
        <v>3690</v>
      </c>
      <c r="D1454" s="21" t="s">
        <v>3691</v>
      </c>
      <c r="E1454" s="22" t="str">
        <f>HYPERLINK("https://twitter.com/culture_japan/status/922398856414973952","922398856414973952")</f>
        <v>922398856414973952</v>
      </c>
      <c r="F1454" s="23" t="s">
        <v>3692</v>
      </c>
      <c r="G1454" s="24">
        <v>203.0</v>
      </c>
      <c r="H1454" s="24">
        <v>369.0</v>
      </c>
      <c r="I1454" s="24">
        <v>0.0</v>
      </c>
      <c r="J1454" s="24">
        <v>0.0</v>
      </c>
      <c r="K1454" s="23" t="s">
        <v>34</v>
      </c>
      <c r="L1454" s="25">
        <v>42985.21491898148</v>
      </c>
      <c r="M1454" s="26" t="s">
        <v>3693</v>
      </c>
      <c r="N1454" s="26" t="s">
        <v>3694</v>
      </c>
      <c r="O1454" s="22" t="str">
        <f>HYPERLINK("https://pbs.twimg.com/profile_images/905765841622495233/8kPmmi5H_normal.jpg","View")</f>
        <v>View</v>
      </c>
      <c r="P1454" s="27"/>
    </row>
    <row r="1455">
      <c r="A1455" s="14">
        <v>43031.115740740745</v>
      </c>
      <c r="B1455" s="20" t="str">
        <f>HYPERLINK("https://twitter.com/kalarunac","@kalarunac")</f>
        <v>@kalarunac</v>
      </c>
      <c r="C1455" s="21" t="s">
        <v>3695</v>
      </c>
      <c r="D1455" s="21" t="s">
        <v>42</v>
      </c>
      <c r="E1455" s="22" t="str">
        <f>HYPERLINK("https://twitter.com/kalarunac/status/922398860558811137","922398860558811137")</f>
        <v>922398860558811137</v>
      </c>
      <c r="F1455" s="23" t="s">
        <v>33</v>
      </c>
      <c r="G1455" s="24">
        <v>19.0</v>
      </c>
      <c r="H1455" s="24">
        <v>195.0</v>
      </c>
      <c r="I1455" s="24">
        <v>8501.0</v>
      </c>
      <c r="J1455" s="24">
        <v>0.0</v>
      </c>
      <c r="K1455" s="23" t="s">
        <v>34</v>
      </c>
      <c r="L1455" s="25">
        <v>42912.02949074074</v>
      </c>
      <c r="M1455" s="28"/>
      <c r="N1455" s="28"/>
      <c r="O1455" s="22" t="str">
        <f>HYPERLINK("https://abs.twimg.com/sticky/default_profile_images/default_profile_normal.png","View")</f>
        <v>View</v>
      </c>
      <c r="P1455" s="27"/>
    </row>
    <row r="1456">
      <c r="A1456" s="14">
        <v>43031.11576388888</v>
      </c>
      <c r="B1456" s="20" t="str">
        <f>HYPERLINK("https://twitter.com/jljzen","@jljzen")</f>
        <v>@jljzen</v>
      </c>
      <c r="C1456" s="21" t="s">
        <v>3696</v>
      </c>
      <c r="D1456" s="21" t="s">
        <v>3697</v>
      </c>
      <c r="E1456" s="22" t="str">
        <f>HYPERLINK("https://twitter.com/jljzen/status/922398868741828608","922398868741828608")</f>
        <v>922398868741828608</v>
      </c>
      <c r="F1456" s="23" t="s">
        <v>55</v>
      </c>
      <c r="G1456" s="24">
        <v>4332.0</v>
      </c>
      <c r="H1456" s="24">
        <v>2013.0</v>
      </c>
      <c r="I1456" s="24">
        <v>2.0</v>
      </c>
      <c r="J1456" s="24">
        <v>1.0</v>
      </c>
      <c r="K1456" s="23" t="s">
        <v>34</v>
      </c>
      <c r="L1456" s="25">
        <v>39635.071608796294</v>
      </c>
      <c r="M1456" s="26" t="s">
        <v>3693</v>
      </c>
      <c r="N1456" s="26" t="s">
        <v>3698</v>
      </c>
      <c r="O1456" s="22" t="str">
        <f>HYPERLINK("https://pbs.twimg.com/profile_images/917531279632900096/6oc5ihff_normal.jpg","View")</f>
        <v>View</v>
      </c>
      <c r="P1456" s="27"/>
    </row>
    <row r="1457">
      <c r="A1457" s="14">
        <v>43031.11586805555</v>
      </c>
      <c r="B1457" s="20" t="str">
        <f>HYPERLINK("https://twitter.com/McHarryboyy","@McHarryboyy")</f>
        <v>@McHarryboyy</v>
      </c>
      <c r="C1457" s="21" t="s">
        <v>724</v>
      </c>
      <c r="D1457" s="21" t="s">
        <v>3699</v>
      </c>
      <c r="E1457" s="22" t="str">
        <f>HYPERLINK("https://twitter.com/McHarryboyy/status/922398908806057984","922398908806057984")</f>
        <v>922398908806057984</v>
      </c>
      <c r="F1457" s="23" t="s">
        <v>91</v>
      </c>
      <c r="G1457" s="24">
        <v>349.0</v>
      </c>
      <c r="H1457" s="24">
        <v>447.0</v>
      </c>
      <c r="I1457" s="24">
        <v>0.0</v>
      </c>
      <c r="J1457" s="24">
        <v>0.0</v>
      </c>
      <c r="K1457" s="23" t="s">
        <v>34</v>
      </c>
      <c r="L1457" s="25">
        <v>40965.951261574075</v>
      </c>
      <c r="M1457" s="26" t="s">
        <v>726</v>
      </c>
      <c r="N1457" s="26" t="s">
        <v>727</v>
      </c>
      <c r="O1457" s="22" t="str">
        <f>HYPERLINK("https://pbs.twimg.com/profile_images/742452919866396672/KrreM7Hd_normal.jpg","View")</f>
        <v>View</v>
      </c>
      <c r="P1457" s="27"/>
    </row>
    <row r="1458">
      <c r="A1458" s="14">
        <v>43031.11591435185</v>
      </c>
      <c r="B1458" s="20" t="str">
        <f>HYPERLINK("https://twitter.com/vineetjsharma","@vineetjsharma")</f>
        <v>@vineetjsharma</v>
      </c>
      <c r="C1458" s="21" t="s">
        <v>3700</v>
      </c>
      <c r="D1458" s="21" t="s">
        <v>42</v>
      </c>
      <c r="E1458" s="22" t="str">
        <f>HYPERLINK("https://twitter.com/vineetjsharma/status/922398923926290432","922398923926290432")</f>
        <v>922398923926290432</v>
      </c>
      <c r="F1458" s="23" t="s">
        <v>33</v>
      </c>
      <c r="G1458" s="24">
        <v>2083.0</v>
      </c>
      <c r="H1458" s="24">
        <v>1112.0</v>
      </c>
      <c r="I1458" s="24">
        <v>8501.0</v>
      </c>
      <c r="J1458" s="24">
        <v>0.0</v>
      </c>
      <c r="K1458" s="23" t="s">
        <v>34</v>
      </c>
      <c r="L1458" s="25">
        <v>40805.01837962963</v>
      </c>
      <c r="M1458" s="26" t="s">
        <v>3701</v>
      </c>
      <c r="N1458" s="26" t="s">
        <v>3702</v>
      </c>
      <c r="O1458" s="22" t="str">
        <f>HYPERLINK("https://pbs.twimg.com/profile_images/861113266021560321/jpHbaPSw_normal.jpg","View")</f>
        <v>View</v>
      </c>
      <c r="P1458" s="27"/>
    </row>
    <row r="1459">
      <c r="A1459" s="14">
        <v>43031.11596064815</v>
      </c>
      <c r="B1459" s="20" t="str">
        <f>HYPERLINK("https://twitter.com/Isssaterra","@Isssaterra")</f>
        <v>@Isssaterra</v>
      </c>
      <c r="C1459" s="21" t="s">
        <v>3703</v>
      </c>
      <c r="D1459" s="21" t="s">
        <v>2595</v>
      </c>
      <c r="E1459" s="22" t="str">
        <f>HYPERLINK("https://twitter.com/Isssaterra/status/922398939541790720","922398939541790720")</f>
        <v>922398939541790720</v>
      </c>
      <c r="F1459" s="23" t="s">
        <v>39</v>
      </c>
      <c r="G1459" s="24">
        <v>398.0</v>
      </c>
      <c r="H1459" s="24">
        <v>375.0</v>
      </c>
      <c r="I1459" s="24">
        <v>170.0</v>
      </c>
      <c r="J1459" s="24">
        <v>0.0</v>
      </c>
      <c r="K1459" s="23" t="s">
        <v>34</v>
      </c>
      <c r="L1459" s="25">
        <v>42794.89196759259</v>
      </c>
      <c r="M1459" s="26" t="s">
        <v>3704</v>
      </c>
      <c r="N1459" s="26" t="s">
        <v>3705</v>
      </c>
      <c r="O1459" s="22" t="str">
        <f>HYPERLINK("https://pbs.twimg.com/profile_images/922920107554123778/51TrZpaC_normal.jpg","View")</f>
        <v>View</v>
      </c>
      <c r="P1459" s="27"/>
    </row>
    <row r="1460">
      <c r="A1460" s="14">
        <v>43031.11605324074</v>
      </c>
      <c r="B1460" s="20" t="str">
        <f>HYPERLINK("https://twitter.com/kakaumanudilee1","@kakaumanudilee1")</f>
        <v>@kakaumanudilee1</v>
      </c>
      <c r="C1460" s="21" t="s">
        <v>3706</v>
      </c>
      <c r="D1460" s="21" t="s">
        <v>42</v>
      </c>
      <c r="E1460" s="22" t="str">
        <f>HYPERLINK("https://twitter.com/kakaumanudilee1/status/922398973033299968","922398973033299968")</f>
        <v>922398973033299968</v>
      </c>
      <c r="F1460" s="23" t="s">
        <v>39</v>
      </c>
      <c r="G1460" s="24">
        <v>70.0</v>
      </c>
      <c r="H1460" s="24">
        <v>157.0</v>
      </c>
      <c r="I1460" s="24">
        <v>8501.0</v>
      </c>
      <c r="J1460" s="24">
        <v>0.0</v>
      </c>
      <c r="K1460" s="23" t="s">
        <v>34</v>
      </c>
      <c r="L1460" s="25">
        <v>42893.48924768518</v>
      </c>
      <c r="M1460" s="26" t="s">
        <v>3707</v>
      </c>
      <c r="N1460" s="28"/>
      <c r="O1460" s="22" t="str">
        <f>HYPERLINK("https://pbs.twimg.com/profile_images/921399128331993088/LsPGRlWo_normal.jpg","View")</f>
        <v>View</v>
      </c>
      <c r="P1460" s="27"/>
    </row>
    <row r="1461">
      <c r="A1461" s="14">
        <v>43031.116111111114</v>
      </c>
      <c r="B1461" s="20" t="str">
        <f>HYPERLINK("https://twitter.com/devanandsingh18","@devanandsingh18")</f>
        <v>@devanandsingh18</v>
      </c>
      <c r="C1461" s="21" t="s">
        <v>3708</v>
      </c>
      <c r="D1461" s="21" t="s">
        <v>42</v>
      </c>
      <c r="E1461" s="22" t="str">
        <f>HYPERLINK("https://twitter.com/devanandsingh18/status/922398994252337152","922398994252337152")</f>
        <v>922398994252337152</v>
      </c>
      <c r="F1461" s="23" t="s">
        <v>39</v>
      </c>
      <c r="G1461" s="24">
        <v>8.0</v>
      </c>
      <c r="H1461" s="24">
        <v>39.0</v>
      </c>
      <c r="I1461" s="24">
        <v>8501.0</v>
      </c>
      <c r="J1461" s="24">
        <v>0.0</v>
      </c>
      <c r="K1461" s="23" t="s">
        <v>34</v>
      </c>
      <c r="L1461" s="25">
        <v>41396.48855324074</v>
      </c>
      <c r="M1461" s="26" t="s">
        <v>3709</v>
      </c>
      <c r="N1461" s="28"/>
      <c r="O1461" s="22" t="str">
        <f>HYPERLINK("https://pbs.twimg.com/profile_images/786899274399375360/K5XOyu_G_normal.jpg","View")</f>
        <v>View</v>
      </c>
      <c r="P1461" s="27"/>
    </row>
    <row r="1462">
      <c r="A1462" s="14">
        <v>43031.116122685184</v>
      </c>
      <c r="B1462" s="20" t="str">
        <f>HYPERLINK("https://twitter.com/assemble24","@assemble24")</f>
        <v>@assemble24</v>
      </c>
      <c r="C1462" s="21" t="s">
        <v>3710</v>
      </c>
      <c r="D1462" s="21" t="s">
        <v>42</v>
      </c>
      <c r="E1462" s="22" t="str">
        <f>HYPERLINK("https://twitter.com/assemble24/status/922398999503454208","922398999503454208")</f>
        <v>922398999503454208</v>
      </c>
      <c r="F1462" s="23" t="s">
        <v>33</v>
      </c>
      <c r="G1462" s="24">
        <v>392.0</v>
      </c>
      <c r="H1462" s="24">
        <v>451.0</v>
      </c>
      <c r="I1462" s="24">
        <v>8501.0</v>
      </c>
      <c r="J1462" s="24">
        <v>0.0</v>
      </c>
      <c r="K1462" s="23" t="s">
        <v>34</v>
      </c>
      <c r="L1462" s="25">
        <v>41766.83731481482</v>
      </c>
      <c r="M1462" s="28"/>
      <c r="N1462" s="26" t="s">
        <v>3711</v>
      </c>
      <c r="O1462" s="22" t="str">
        <f>HYPERLINK("https://pbs.twimg.com/profile_images/548498119118188546/Vvjx3Uiy_normal.jpeg","View")</f>
        <v>View</v>
      </c>
      <c r="P1462" s="27"/>
    </row>
    <row r="1463">
      <c r="A1463" s="14">
        <v>43031.11615740741</v>
      </c>
      <c r="B1463" s="20" t="str">
        <f>HYPERLINK("https://twitter.com/MONkGOLDsamurai","@MONkGOLDsamurai")</f>
        <v>@MONkGOLDsamurai</v>
      </c>
      <c r="C1463" s="21" t="s">
        <v>3610</v>
      </c>
      <c r="D1463" s="21" t="s">
        <v>3712</v>
      </c>
      <c r="E1463" s="22" t="str">
        <f>HYPERLINK("https://twitter.com/MONkGOLDsamurai/status/922399014019985413","922399014019985413")</f>
        <v>922399014019985413</v>
      </c>
      <c r="F1463" s="23" t="s">
        <v>55</v>
      </c>
      <c r="G1463" s="24">
        <v>26.0</v>
      </c>
      <c r="H1463" s="24">
        <v>212.0</v>
      </c>
      <c r="I1463" s="24">
        <v>0.0</v>
      </c>
      <c r="J1463" s="24">
        <v>0.0</v>
      </c>
      <c r="K1463" s="23" t="s">
        <v>34</v>
      </c>
      <c r="L1463" s="25">
        <v>39950.27431712963</v>
      </c>
      <c r="M1463" s="28"/>
      <c r="N1463" s="28"/>
      <c r="O1463" s="22" t="str">
        <f>HYPERLINK("https://abs.twimg.com/sticky/default_profile_images/default_profile_normal.png","View")</f>
        <v>View</v>
      </c>
      <c r="P1463" s="27"/>
    </row>
    <row r="1464">
      <c r="A1464" s="14">
        <v>43031.11622685185</v>
      </c>
      <c r="B1464" s="20" t="str">
        <f>HYPERLINK("https://twitter.com/Video_Contagion","@Video_Contagion")</f>
        <v>@Video_Contagion</v>
      </c>
      <c r="C1464" s="21" t="s">
        <v>3713</v>
      </c>
      <c r="D1464" s="21" t="s">
        <v>3714</v>
      </c>
      <c r="E1464" s="22" t="str">
        <f>HYPERLINK("https://twitter.com/Video_Contagion/status/922399036665155587","922399036665155587")</f>
        <v>922399036665155587</v>
      </c>
      <c r="F1464" s="23" t="s">
        <v>187</v>
      </c>
      <c r="G1464" s="24">
        <v>28.0</v>
      </c>
      <c r="H1464" s="24">
        <v>16.0</v>
      </c>
      <c r="I1464" s="24">
        <v>0.0</v>
      </c>
      <c r="J1464" s="24">
        <v>0.0</v>
      </c>
      <c r="K1464" s="23" t="s">
        <v>34</v>
      </c>
      <c r="L1464" s="25">
        <v>42971.38864583333</v>
      </c>
      <c r="M1464" s="26" t="s">
        <v>3715</v>
      </c>
      <c r="N1464" s="26" t="s">
        <v>3716</v>
      </c>
      <c r="O1464" s="22" t="str">
        <f>HYPERLINK("https://pbs.twimg.com/profile_images/900781492011487232/Ki7ANhIV_normal.jpg","View")</f>
        <v>View</v>
      </c>
      <c r="P1464" s="27"/>
    </row>
    <row r="1465">
      <c r="A1465" s="14">
        <v>43031.11623842592</v>
      </c>
      <c r="B1465" s="20" t="str">
        <f>HYPERLINK("https://twitter.com/pragathis7","@pragathis7")</f>
        <v>@pragathis7</v>
      </c>
      <c r="C1465" s="21" t="s">
        <v>3717</v>
      </c>
      <c r="D1465" s="21" t="s">
        <v>42</v>
      </c>
      <c r="E1465" s="22" t="str">
        <f>HYPERLINK("https://twitter.com/pragathis7/status/922399041920438272","922399041920438272")</f>
        <v>922399041920438272</v>
      </c>
      <c r="F1465" s="23" t="s">
        <v>55</v>
      </c>
      <c r="G1465" s="24">
        <v>441.0</v>
      </c>
      <c r="H1465" s="24">
        <v>432.0</v>
      </c>
      <c r="I1465" s="24">
        <v>8501.0</v>
      </c>
      <c r="J1465" s="24">
        <v>0.0</v>
      </c>
      <c r="K1465" s="23" t="s">
        <v>34</v>
      </c>
      <c r="L1465" s="25">
        <v>42065.31013888889</v>
      </c>
      <c r="M1465" s="28"/>
      <c r="N1465" s="26" t="s">
        <v>3718</v>
      </c>
      <c r="O1465" s="22" t="str">
        <f>HYPERLINK("https://pbs.twimg.com/profile_images/725578570328870912/LgDTjvQI_normal.jpg","View")</f>
        <v>View</v>
      </c>
      <c r="P1465" s="27"/>
    </row>
    <row r="1466">
      <c r="A1466" s="14">
        <v>43031.116261574076</v>
      </c>
      <c r="B1466" s="20" t="str">
        <f>HYPERLINK("https://twitter.com/CNBCTradersFan","@CNBCTradersFan")</f>
        <v>@CNBCTradersFan</v>
      </c>
      <c r="C1466" s="21" t="s">
        <v>1945</v>
      </c>
      <c r="D1466" s="21" t="s">
        <v>3719</v>
      </c>
      <c r="E1466" s="22" t="str">
        <f>HYPERLINK("https://twitter.com/CNBCTradersFan/status/922399051102019585","922399051102019585")</f>
        <v>922399051102019585</v>
      </c>
      <c r="F1466" s="23" t="s">
        <v>187</v>
      </c>
      <c r="G1466" s="24">
        <v>17128.0</v>
      </c>
      <c r="H1466" s="24">
        <v>11615.0</v>
      </c>
      <c r="I1466" s="24">
        <v>0.0</v>
      </c>
      <c r="J1466" s="24">
        <v>0.0</v>
      </c>
      <c r="K1466" s="23" t="s">
        <v>34</v>
      </c>
      <c r="L1466" s="25">
        <v>40922.50542824074</v>
      </c>
      <c r="M1466" s="26" t="s">
        <v>1947</v>
      </c>
      <c r="N1466" s="26" t="s">
        <v>1948</v>
      </c>
      <c r="O1466" s="22" t="str">
        <f>HYPERLINK("https://pbs.twimg.com/profile_images/731870469318684672/Ckf7rDdJ_normal.jpg","View")</f>
        <v>View</v>
      </c>
      <c r="P1466" s="27"/>
    </row>
    <row r="1467">
      <c r="A1467" s="14">
        <v>43031.11628472222</v>
      </c>
      <c r="B1467" s="20" t="str">
        <f>HYPERLINK("https://twitter.com/Sandeep89186960","@Sandeep89186960")</f>
        <v>@Sandeep89186960</v>
      </c>
      <c r="C1467" s="21" t="s">
        <v>3720</v>
      </c>
      <c r="D1467" s="21" t="s">
        <v>42</v>
      </c>
      <c r="E1467" s="22" t="str">
        <f>HYPERLINK("https://twitter.com/Sandeep89186960/status/922399059247271936","922399059247271936")</f>
        <v>922399059247271936</v>
      </c>
      <c r="F1467" s="23" t="s">
        <v>33</v>
      </c>
      <c r="G1467" s="24">
        <v>58.0</v>
      </c>
      <c r="H1467" s="24">
        <v>66.0</v>
      </c>
      <c r="I1467" s="24">
        <v>8501.0</v>
      </c>
      <c r="J1467" s="24">
        <v>0.0</v>
      </c>
      <c r="K1467" s="23" t="s">
        <v>34</v>
      </c>
      <c r="L1467" s="25">
        <v>42862.96601851852</v>
      </c>
      <c r="M1467" s="26" t="s">
        <v>3721</v>
      </c>
      <c r="N1467" s="26" t="s">
        <v>3722</v>
      </c>
      <c r="O1467" s="22" t="str">
        <f>HYPERLINK("https://pbs.twimg.com/profile_images/861481372002656257/r-OeGTXq_normal.jpg","View")</f>
        <v>View</v>
      </c>
      <c r="P1467" s="27"/>
    </row>
    <row r="1468">
      <c r="A1468" s="14">
        <v>43031.11630787037</v>
      </c>
      <c r="B1468" s="20" t="str">
        <f>HYPERLINK("https://twitter.com/standardnews","@standardnews")</f>
        <v>@standardnews</v>
      </c>
      <c r="C1468" s="21" t="s">
        <v>3723</v>
      </c>
      <c r="D1468" s="21" t="s">
        <v>3724</v>
      </c>
      <c r="E1468" s="22" t="str">
        <f>HYPERLINK("https://twitter.com/standardnews/status/922399067824705536","922399067824705536")</f>
        <v>922399067824705536</v>
      </c>
      <c r="F1468" s="23" t="s">
        <v>1103</v>
      </c>
      <c r="G1468" s="24">
        <v>559873.0</v>
      </c>
      <c r="H1468" s="24">
        <v>889.0</v>
      </c>
      <c r="I1468" s="24">
        <v>5.0</v>
      </c>
      <c r="J1468" s="24">
        <v>6.0</v>
      </c>
      <c r="K1468" s="23" t="s">
        <v>34</v>
      </c>
      <c r="L1468" s="25">
        <v>39939.07440972222</v>
      </c>
      <c r="M1468" s="26" t="s">
        <v>334</v>
      </c>
      <c r="N1468" s="26" t="s">
        <v>3725</v>
      </c>
      <c r="O1468" s="22" t="str">
        <f>HYPERLINK("https://pbs.twimg.com/profile_images/880423025249837057/nLJje0A8_normal.jpg","View")</f>
        <v>View</v>
      </c>
      <c r="P1468" s="27"/>
    </row>
    <row r="1469">
      <c r="A1469" s="14">
        <v>43031.116319444445</v>
      </c>
      <c r="B1469" s="20" t="str">
        <f>HYPERLINK("https://twitter.com/cedricsam","@cedricsam")</f>
        <v>@cedricsam</v>
      </c>
      <c r="C1469" s="21" t="s">
        <v>3726</v>
      </c>
      <c r="D1469" s="21" t="s">
        <v>3727</v>
      </c>
      <c r="E1469" s="22" t="str">
        <f>HYPERLINK("https://twitter.com/cedricsam/status/922399072828510208","922399072828510208")</f>
        <v>922399072828510208</v>
      </c>
      <c r="F1469" s="23" t="s">
        <v>55</v>
      </c>
      <c r="G1469" s="24">
        <v>2365.0</v>
      </c>
      <c r="H1469" s="24">
        <v>3224.0</v>
      </c>
      <c r="I1469" s="24">
        <v>0.0</v>
      </c>
      <c r="J1469" s="24">
        <v>0.0</v>
      </c>
      <c r="K1469" s="23" t="s">
        <v>34</v>
      </c>
      <c r="L1469" s="25">
        <v>39718.96487268519</v>
      </c>
      <c r="M1469" s="26" t="s">
        <v>2534</v>
      </c>
      <c r="N1469" s="26" t="s">
        <v>3728</v>
      </c>
      <c r="O1469" s="22" t="str">
        <f>HYPERLINK("https://pbs.twimg.com/profile_images/664113503016325121/DWYNAQF__normal.jpg","View")</f>
        <v>View</v>
      </c>
      <c r="P1469" s="27"/>
    </row>
    <row r="1470">
      <c r="A1470" s="14">
        <v>43031.11633101852</v>
      </c>
      <c r="B1470" s="20" t="str">
        <f>HYPERLINK("https://twitter.com/Foreverfruheer","@Foreverfruheer")</f>
        <v>@Foreverfruheer</v>
      </c>
      <c r="C1470" s="21" t="s">
        <v>3729</v>
      </c>
      <c r="D1470" s="21" t="s">
        <v>42</v>
      </c>
      <c r="E1470" s="22" t="str">
        <f>HYPERLINK("https://twitter.com/Foreverfruheer/status/922399076850659329","922399076850659329")</f>
        <v>922399076850659329</v>
      </c>
      <c r="F1470" s="23" t="s">
        <v>33</v>
      </c>
      <c r="G1470" s="24">
        <v>5181.0</v>
      </c>
      <c r="H1470" s="24">
        <v>1865.0</v>
      </c>
      <c r="I1470" s="24">
        <v>8501.0</v>
      </c>
      <c r="J1470" s="24">
        <v>0.0</v>
      </c>
      <c r="K1470" s="23" t="s">
        <v>34</v>
      </c>
      <c r="L1470" s="25">
        <v>42050.994467592594</v>
      </c>
      <c r="M1470" s="26" t="s">
        <v>3730</v>
      </c>
      <c r="N1470" s="26" t="s">
        <v>3731</v>
      </c>
      <c r="O1470" s="22" t="str">
        <f>HYPERLINK("https://pbs.twimg.com/profile_images/921233656131153920/Vl6KRQYK_normal.jpg","View")</f>
        <v>View</v>
      </c>
      <c r="P1470" s="27"/>
    </row>
    <row r="1471">
      <c r="A1471" s="14">
        <v>43031.116435185184</v>
      </c>
      <c r="B1471" s="20" t="str">
        <f>HYPERLINK("https://twitter.com/MoneyWeek","@MoneyWeek")</f>
        <v>@MoneyWeek</v>
      </c>
      <c r="C1471" s="21" t="s">
        <v>3732</v>
      </c>
      <c r="D1471" s="21" t="s">
        <v>3733</v>
      </c>
      <c r="E1471" s="22" t="str">
        <f>HYPERLINK("https://twitter.com/MoneyWeek/status/922399111671877634","922399111671877634")</f>
        <v>922399111671877634</v>
      </c>
      <c r="F1471" s="23" t="s">
        <v>427</v>
      </c>
      <c r="G1471" s="24">
        <v>19395.0</v>
      </c>
      <c r="H1471" s="24">
        <v>293.0</v>
      </c>
      <c r="I1471" s="24">
        <v>4.0</v>
      </c>
      <c r="J1471" s="24">
        <v>2.0</v>
      </c>
      <c r="K1471" s="23" t="s">
        <v>34</v>
      </c>
      <c r="L1471" s="25">
        <v>39798.04381944444</v>
      </c>
      <c r="M1471" s="26" t="s">
        <v>334</v>
      </c>
      <c r="N1471" s="26" t="s">
        <v>3734</v>
      </c>
      <c r="O1471" s="22" t="str">
        <f>HYPERLINK("https://pbs.twimg.com/profile_images/648856894434607104/gO3YexCh_normal.png","View")</f>
        <v>View</v>
      </c>
      <c r="P1471" s="27"/>
    </row>
    <row r="1472">
      <c r="A1472" s="14">
        <v>43031.11644675926</v>
      </c>
      <c r="B1472" s="20" t="str">
        <f>HYPERLINK("https://twitter.com/iAnandPrakash","@iAnandPrakash")</f>
        <v>@iAnandPrakash</v>
      </c>
      <c r="C1472" s="21" t="s">
        <v>3735</v>
      </c>
      <c r="D1472" s="21" t="s">
        <v>42</v>
      </c>
      <c r="E1472" s="22" t="str">
        <f>HYPERLINK("https://twitter.com/iAnandPrakash/status/922399115685666816","922399115685666816")</f>
        <v>922399115685666816</v>
      </c>
      <c r="F1472" s="23" t="s">
        <v>780</v>
      </c>
      <c r="G1472" s="24">
        <v>315.0</v>
      </c>
      <c r="H1472" s="24">
        <v>55.0</v>
      </c>
      <c r="I1472" s="24">
        <v>8501.0</v>
      </c>
      <c r="J1472" s="24">
        <v>0.0</v>
      </c>
      <c r="K1472" s="23" t="s">
        <v>34</v>
      </c>
      <c r="L1472" s="25">
        <v>40945.145949074074</v>
      </c>
      <c r="M1472" s="26" t="s">
        <v>3736</v>
      </c>
      <c r="N1472" s="26" t="s">
        <v>3737</v>
      </c>
      <c r="O1472" s="22" t="str">
        <f>HYPERLINK("https://pbs.twimg.com/profile_images/870683295247286276/I0lf2xvQ_normal.jpg","View")</f>
        <v>View</v>
      </c>
      <c r="P1472" s="27"/>
    </row>
    <row r="1473">
      <c r="A1473" s="14">
        <v>43031.11649305555</v>
      </c>
      <c r="B1473" s="20" t="str">
        <f>HYPERLINK("https://twitter.com/sandeepms3","@sandeepms3")</f>
        <v>@sandeepms3</v>
      </c>
      <c r="C1473" s="21" t="s">
        <v>3738</v>
      </c>
      <c r="D1473" s="21" t="s">
        <v>163</v>
      </c>
      <c r="E1473" s="22" t="str">
        <f>HYPERLINK("https://twitter.com/sandeepms3/status/922399134039998464","922399134039998464")</f>
        <v>922399134039998464</v>
      </c>
      <c r="F1473" s="23" t="s">
        <v>33</v>
      </c>
      <c r="G1473" s="24">
        <v>55.0</v>
      </c>
      <c r="H1473" s="24">
        <v>355.0</v>
      </c>
      <c r="I1473" s="24">
        <v>1005.0</v>
      </c>
      <c r="J1473" s="24">
        <v>0.0</v>
      </c>
      <c r="K1473" s="23" t="s">
        <v>34</v>
      </c>
      <c r="L1473" s="25">
        <v>40567.27815972222</v>
      </c>
      <c r="M1473" s="26" t="s">
        <v>3739</v>
      </c>
      <c r="N1473" s="26" t="s">
        <v>3740</v>
      </c>
      <c r="O1473" s="22" t="str">
        <f>HYPERLINK("https://pbs.twimg.com/profile_images/1226904682/fc_barcelona_normal.jpg","View")</f>
        <v>View</v>
      </c>
      <c r="P1473" s="27"/>
    </row>
    <row r="1474">
      <c r="A1474" s="14">
        <v>43031.11651620371</v>
      </c>
      <c r="B1474" s="20" t="str">
        <f>HYPERLINK("https://twitter.com/sainaaevelyn","@sainaaevelyn")</f>
        <v>@sainaaevelyn</v>
      </c>
      <c r="C1474" s="21" t="s">
        <v>3741</v>
      </c>
      <c r="D1474" s="21" t="s">
        <v>3578</v>
      </c>
      <c r="E1474" s="22" t="str">
        <f>HYPERLINK("https://twitter.com/sainaaevelyn/status/922399143544340480","922399143544340480")</f>
        <v>922399143544340480</v>
      </c>
      <c r="F1474" s="23" t="s">
        <v>55</v>
      </c>
      <c r="G1474" s="24">
        <v>9149.0</v>
      </c>
      <c r="H1474" s="24">
        <v>4968.0</v>
      </c>
      <c r="I1474" s="24">
        <v>6.0</v>
      </c>
      <c r="J1474" s="24">
        <v>0.0</v>
      </c>
      <c r="K1474" s="23" t="s">
        <v>34</v>
      </c>
      <c r="L1474" s="25">
        <v>42096.03310185185</v>
      </c>
      <c r="M1474" s="26" t="s">
        <v>3742</v>
      </c>
      <c r="N1474" s="26" t="s">
        <v>3743</v>
      </c>
      <c r="O1474" s="22" t="str">
        <f>HYPERLINK("https://pbs.twimg.com/profile_images/818708099007557632/ot07xbzy_normal.jpg","View")</f>
        <v>View</v>
      </c>
      <c r="P1474" s="27"/>
    </row>
    <row r="1475">
      <c r="A1475" s="14">
        <v>43031.11653935185</v>
      </c>
      <c r="B1475" s="20" t="str">
        <f>HYPERLINK("https://twitter.com/mwongelamariki","@mwongelamariki")</f>
        <v>@mwongelamariki</v>
      </c>
      <c r="C1475" s="21" t="s">
        <v>3744</v>
      </c>
      <c r="D1475" s="21" t="s">
        <v>32</v>
      </c>
      <c r="E1475" s="22" t="str">
        <f>HYPERLINK("https://twitter.com/mwongelamariki/status/922399149881950208","922399149881950208")</f>
        <v>922399149881950208</v>
      </c>
      <c r="F1475" s="23" t="s">
        <v>33</v>
      </c>
      <c r="G1475" s="24">
        <v>475.0</v>
      </c>
      <c r="H1475" s="24">
        <v>173.0</v>
      </c>
      <c r="I1475" s="24">
        <v>471.0</v>
      </c>
      <c r="J1475" s="24">
        <v>0.0</v>
      </c>
      <c r="K1475" s="23" t="s">
        <v>34</v>
      </c>
      <c r="L1475" s="25">
        <v>39977.24888888889</v>
      </c>
      <c r="M1475" s="26" t="s">
        <v>3745</v>
      </c>
      <c r="N1475" s="26" t="s">
        <v>3746</v>
      </c>
      <c r="O1475" s="22" t="str">
        <f>HYPERLINK("https://pbs.twimg.com/profile_images/917517203133620224/p1h07t6w_normal.jpg","View")</f>
        <v>View</v>
      </c>
      <c r="P1475" s="27"/>
    </row>
    <row r="1476">
      <c r="A1476" s="14">
        <v>43031.11657407407</v>
      </c>
      <c r="B1476" s="20" t="str">
        <f>HYPERLINK("https://twitter.com/Waldorfia","@Waldorfia")</f>
        <v>@Waldorfia</v>
      </c>
      <c r="C1476" s="21" t="s">
        <v>3747</v>
      </c>
      <c r="D1476" s="21" t="s">
        <v>3748</v>
      </c>
      <c r="E1476" s="22" t="str">
        <f>HYPERLINK("https://twitter.com/Waldorfia/status/922399162603257861","922399162603257861")</f>
        <v>922399162603257861</v>
      </c>
      <c r="F1476" s="23" t="s">
        <v>769</v>
      </c>
      <c r="G1476" s="24">
        <v>1532.0</v>
      </c>
      <c r="H1476" s="24">
        <v>2988.0</v>
      </c>
      <c r="I1476" s="24">
        <v>10.0</v>
      </c>
      <c r="J1476" s="24">
        <v>0.0</v>
      </c>
      <c r="K1476" s="23" t="s">
        <v>34</v>
      </c>
      <c r="L1476" s="25">
        <v>40220.84241898148</v>
      </c>
      <c r="M1476" s="28"/>
      <c r="N1476" s="26" t="s">
        <v>3749</v>
      </c>
      <c r="O1476" s="22" t="str">
        <f>HYPERLINK("https://pbs.twimg.com/profile_images/875605493816872961/YLgTMPOZ_normal.jpg","View")</f>
        <v>View</v>
      </c>
      <c r="P1476" s="27"/>
    </row>
    <row r="1477">
      <c r="A1477" s="14">
        <v>43031.11670138889</v>
      </c>
      <c r="B1477" s="20" t="str">
        <f>HYPERLINK("https://twitter.com/EmmanuelVyronas","@EmmanuelVyronas")</f>
        <v>@EmmanuelVyronas</v>
      </c>
      <c r="C1477" s="21" t="s">
        <v>3750</v>
      </c>
      <c r="D1477" s="21" t="s">
        <v>3751</v>
      </c>
      <c r="E1477" s="22" t="str">
        <f>HYPERLINK("https://twitter.com/EmmanuelVyronas/status/922399208929398784","922399208929398784")</f>
        <v>922399208929398784</v>
      </c>
      <c r="F1477" s="23" t="s">
        <v>55</v>
      </c>
      <c r="G1477" s="24">
        <v>460.0</v>
      </c>
      <c r="H1477" s="24">
        <v>617.0</v>
      </c>
      <c r="I1477" s="24">
        <v>5.0</v>
      </c>
      <c r="J1477" s="24">
        <v>0.0</v>
      </c>
      <c r="K1477" s="23" t="s">
        <v>34</v>
      </c>
      <c r="L1477" s="25">
        <v>40661.242789351854</v>
      </c>
      <c r="M1477" s="26" t="s">
        <v>3752</v>
      </c>
      <c r="N1477" s="28"/>
      <c r="O1477" s="22" t="str">
        <f>HYPERLINK("https://pbs.twimg.com/profile_images/913352225593942017/_cjJSgDn_normal.jpg","View")</f>
        <v>View</v>
      </c>
      <c r="P1477" s="27"/>
    </row>
    <row r="1478">
      <c r="A1478" s="14">
        <v>43031.11670138889</v>
      </c>
      <c r="B1478" s="20" t="str">
        <f>HYPERLINK("https://twitter.com/JaiHind3012","@JaiHind3012")</f>
        <v>@JaiHind3012</v>
      </c>
      <c r="C1478" s="21" t="s">
        <v>3753</v>
      </c>
      <c r="D1478" s="21" t="s">
        <v>42</v>
      </c>
      <c r="E1478" s="22" t="str">
        <f>HYPERLINK("https://twitter.com/JaiHind3012/status/922399210221088773","922399210221088773")</f>
        <v>922399210221088773</v>
      </c>
      <c r="F1478" s="23" t="s">
        <v>43</v>
      </c>
      <c r="G1478" s="24">
        <v>1103.0</v>
      </c>
      <c r="H1478" s="24">
        <v>1438.0</v>
      </c>
      <c r="I1478" s="24">
        <v>8501.0</v>
      </c>
      <c r="J1478" s="24">
        <v>0.0</v>
      </c>
      <c r="K1478" s="23" t="s">
        <v>34</v>
      </c>
      <c r="L1478" s="25">
        <v>40248.39908564815</v>
      </c>
      <c r="M1478" s="28"/>
      <c r="N1478" s="26" t="s">
        <v>3754</v>
      </c>
      <c r="O1478" s="22" t="str">
        <f>HYPERLINK("https://pbs.twimg.com/profile_images/841333324459175936/92IZCs70_normal.jpg","View")</f>
        <v>View</v>
      </c>
      <c r="P1478" s="27"/>
    </row>
    <row r="1479">
      <c r="A1479" s="14">
        <v>43031.11670138889</v>
      </c>
      <c r="B1479" s="20" t="str">
        <f>HYPERLINK("https://twitter.com/KapilMalav9","@KapilMalav9")</f>
        <v>@KapilMalav9</v>
      </c>
      <c r="C1479" s="21" t="s">
        <v>3755</v>
      </c>
      <c r="D1479" s="21" t="s">
        <v>42</v>
      </c>
      <c r="E1479" s="22" t="str">
        <f>HYPERLINK("https://twitter.com/KapilMalav9/status/922399210418384896","922399210418384896")</f>
        <v>922399210418384896</v>
      </c>
      <c r="F1479" s="23" t="s">
        <v>33</v>
      </c>
      <c r="G1479" s="24">
        <v>35.0</v>
      </c>
      <c r="H1479" s="24">
        <v>317.0</v>
      </c>
      <c r="I1479" s="24">
        <v>8501.0</v>
      </c>
      <c r="J1479" s="24">
        <v>0.0</v>
      </c>
      <c r="K1479" s="23" t="s">
        <v>34</v>
      </c>
      <c r="L1479" s="25">
        <v>42977.03262731481</v>
      </c>
      <c r="M1479" s="26" t="s">
        <v>3756</v>
      </c>
      <c r="N1479" s="26" t="s">
        <v>3757</v>
      </c>
      <c r="O1479" s="22" t="str">
        <f>HYPERLINK("https://pbs.twimg.com/profile_images/902803804952838144/sZWvpbDW_normal.jpg","View")</f>
        <v>View</v>
      </c>
      <c r="P1479" s="27"/>
    </row>
    <row r="1480">
      <c r="A1480" s="14">
        <v>43031.11677083334</v>
      </c>
      <c r="B1480" s="20" t="str">
        <f>HYPERLINK("https://twitter.com/InvestingLatest","@InvestingLatest")</f>
        <v>@InvestingLatest</v>
      </c>
      <c r="C1480" s="21" t="s">
        <v>3758</v>
      </c>
      <c r="D1480" s="21" t="s">
        <v>3759</v>
      </c>
      <c r="E1480" s="22" t="str">
        <f>HYPERLINK("https://twitter.com/InvestingLatest/status/922399234187563008","922399234187563008")</f>
        <v>922399234187563008</v>
      </c>
      <c r="F1480" s="23" t="s">
        <v>187</v>
      </c>
      <c r="G1480" s="24">
        <v>1534.0</v>
      </c>
      <c r="H1480" s="24">
        <v>33.0</v>
      </c>
      <c r="I1480" s="24">
        <v>0.0</v>
      </c>
      <c r="J1480" s="24">
        <v>0.0</v>
      </c>
      <c r="K1480" s="23" t="s">
        <v>34</v>
      </c>
      <c r="L1480" s="25">
        <v>41946.3308912037</v>
      </c>
      <c r="M1480" s="28"/>
      <c r="N1480" s="26" t="s">
        <v>3760</v>
      </c>
      <c r="O1480" s="22" t="str">
        <f>HYPERLINK("https://pbs.twimg.com/profile_images/529461684297945089/uscUz0UO_normal.jpeg","View")</f>
        <v>View</v>
      </c>
      <c r="P1480" s="27"/>
    </row>
    <row r="1481">
      <c r="A1481" s="14">
        <v>43031.11677083334</v>
      </c>
      <c r="B1481" s="20" t="str">
        <f>HYPERLINK("https://twitter.com/emi_business","@emi_business")</f>
        <v>@emi_business</v>
      </c>
      <c r="C1481" s="21" t="s">
        <v>3761</v>
      </c>
      <c r="D1481" s="21" t="s">
        <v>3762</v>
      </c>
      <c r="E1481" s="22" t="str">
        <f>HYPERLINK("https://twitter.com/emi_business/status/922399235387084802","922399235387084802")</f>
        <v>922399235387084802</v>
      </c>
      <c r="F1481" s="23" t="s">
        <v>33</v>
      </c>
      <c r="G1481" s="24">
        <v>151.0</v>
      </c>
      <c r="H1481" s="24">
        <v>42.0</v>
      </c>
      <c r="I1481" s="24">
        <v>0.0</v>
      </c>
      <c r="J1481" s="24">
        <v>0.0</v>
      </c>
      <c r="K1481" s="23" t="s">
        <v>34</v>
      </c>
      <c r="L1481" s="25">
        <v>42446.2262037037</v>
      </c>
      <c r="M1481" s="26" t="s">
        <v>3093</v>
      </c>
      <c r="N1481" s="28"/>
      <c r="O1481" s="22" t="str">
        <f>HYPERLINK("https://pbs.twimg.com/profile_images/833340834112217088/XhhJLmjo_normal.jpg","View")</f>
        <v>View</v>
      </c>
      <c r="P1481" s="27"/>
    </row>
    <row r="1482">
      <c r="A1482" s="14">
        <v>43031.11679398148</v>
      </c>
      <c r="B1482" s="20" t="str">
        <f>HYPERLINK("https://twitter.com/italyst","@italyst")</f>
        <v>@italyst</v>
      </c>
      <c r="C1482" s="21" t="s">
        <v>3763</v>
      </c>
      <c r="D1482" s="21" t="s">
        <v>32</v>
      </c>
      <c r="E1482" s="22" t="str">
        <f>HYPERLINK("https://twitter.com/italyst/status/922399243301769216","922399243301769216")</f>
        <v>922399243301769216</v>
      </c>
      <c r="F1482" s="23" t="s">
        <v>33</v>
      </c>
      <c r="G1482" s="24">
        <v>8.0</v>
      </c>
      <c r="H1482" s="24">
        <v>90.0</v>
      </c>
      <c r="I1482" s="24">
        <v>471.0</v>
      </c>
      <c r="J1482" s="24">
        <v>0.0</v>
      </c>
      <c r="K1482" s="23" t="s">
        <v>34</v>
      </c>
      <c r="L1482" s="25">
        <v>40381.58127314815</v>
      </c>
      <c r="M1482" s="28"/>
      <c r="N1482" s="28"/>
      <c r="O1482" s="22" t="str">
        <f>HYPERLINK("https://abs.twimg.com/sticky/default_profile_images/default_profile_normal.png","View")</f>
        <v>View</v>
      </c>
      <c r="P1482" s="27"/>
    </row>
    <row r="1483">
      <c r="A1483" s="14">
        <v>43031.11681712963</v>
      </c>
      <c r="B1483" s="20" t="str">
        <f>HYPERLINK("https://twitter.com/losriley","@losriley")</f>
        <v>@losriley</v>
      </c>
      <c r="C1483" s="21" t="s">
        <v>3764</v>
      </c>
      <c r="D1483" s="21" t="s">
        <v>3751</v>
      </c>
      <c r="E1483" s="22" t="str">
        <f>HYPERLINK("https://twitter.com/losriley/status/922399252512460800","922399252512460800")</f>
        <v>922399252512460800</v>
      </c>
      <c r="F1483" s="23" t="s">
        <v>55</v>
      </c>
      <c r="G1483" s="24">
        <v>5770.0</v>
      </c>
      <c r="H1483" s="24">
        <v>5249.0</v>
      </c>
      <c r="I1483" s="24">
        <v>5.0</v>
      </c>
      <c r="J1483" s="24">
        <v>0.0</v>
      </c>
      <c r="K1483" s="23" t="s">
        <v>34</v>
      </c>
      <c r="L1483" s="25">
        <v>40363.19825231482</v>
      </c>
      <c r="M1483" s="26" t="s">
        <v>3765</v>
      </c>
      <c r="N1483" s="26" t="s">
        <v>3766</v>
      </c>
      <c r="O1483" s="22" t="str">
        <f>HYPERLINK("https://pbs.twimg.com/profile_images/807255533350686720/r9fKHy8d_normal.jpg","View")</f>
        <v>View</v>
      </c>
      <c r="P1483" s="27"/>
    </row>
    <row r="1484">
      <c r="A1484" s="14">
        <v>43031.116875</v>
      </c>
      <c r="B1484" s="20" t="str">
        <f>HYPERLINK("https://twitter.com/Anubhav3714","@Anubhav3714")</f>
        <v>@Anubhav3714</v>
      </c>
      <c r="C1484" s="21" t="s">
        <v>3767</v>
      </c>
      <c r="D1484" s="21" t="s">
        <v>42</v>
      </c>
      <c r="E1484" s="22" t="str">
        <f>HYPERLINK("https://twitter.com/Anubhav3714/status/922399274268102656","922399274268102656")</f>
        <v>922399274268102656</v>
      </c>
      <c r="F1484" s="23" t="s">
        <v>33</v>
      </c>
      <c r="G1484" s="24">
        <v>58.0</v>
      </c>
      <c r="H1484" s="24">
        <v>181.0</v>
      </c>
      <c r="I1484" s="24">
        <v>8501.0</v>
      </c>
      <c r="J1484" s="24">
        <v>0.0</v>
      </c>
      <c r="K1484" s="23" t="s">
        <v>34</v>
      </c>
      <c r="L1484" s="25">
        <v>42813.82356481481</v>
      </c>
      <c r="M1484" s="26" t="s">
        <v>603</v>
      </c>
      <c r="N1484" s="26" t="s">
        <v>3768</v>
      </c>
      <c r="O1484" s="22" t="str">
        <f>HYPERLINK("https://pbs.twimg.com/profile_images/915943323759648768/pPBcyiFR_normal.jpg","View")</f>
        <v>View</v>
      </c>
      <c r="P1484" s="27"/>
    </row>
    <row r="1485">
      <c r="A1485" s="14">
        <v>43031.11688657408</v>
      </c>
      <c r="B1485" s="20" t="str">
        <f>HYPERLINK("https://twitter.com/vrai777","@vrai777")</f>
        <v>@vrai777</v>
      </c>
      <c r="C1485" s="21" t="s">
        <v>1770</v>
      </c>
      <c r="D1485" s="21" t="s">
        <v>3769</v>
      </c>
      <c r="E1485" s="22" t="str">
        <f>HYPERLINK("https://twitter.com/vrai777/status/922399276461907970","922399276461907970")</f>
        <v>922399276461907970</v>
      </c>
      <c r="F1485" s="23" t="s">
        <v>187</v>
      </c>
      <c r="G1485" s="24">
        <v>7944.0</v>
      </c>
      <c r="H1485" s="24">
        <v>71.0</v>
      </c>
      <c r="I1485" s="24">
        <v>0.0</v>
      </c>
      <c r="J1485" s="24">
        <v>0.0</v>
      </c>
      <c r="K1485" s="23" t="s">
        <v>34</v>
      </c>
      <c r="L1485" s="25">
        <v>39878.7593287037</v>
      </c>
      <c r="M1485" s="26" t="s">
        <v>1024</v>
      </c>
      <c r="N1485" s="26" t="s">
        <v>1772</v>
      </c>
      <c r="O1485" s="22" t="str">
        <f>HYPERLINK("https://pbs.twimg.com/profile_images/688775800284266496/qhWTo08H_normal.png","View")</f>
        <v>View</v>
      </c>
      <c r="P1485" s="27"/>
    </row>
    <row r="1486">
      <c r="A1486" s="14">
        <v>43031.11688657408</v>
      </c>
      <c r="B1486" s="20" t="str">
        <f>HYPERLINK("https://twitter.com/Ramesh_raj","@Ramesh_raj")</f>
        <v>@Ramesh_raj</v>
      </c>
      <c r="C1486" s="21" t="s">
        <v>3770</v>
      </c>
      <c r="D1486" s="21" t="s">
        <v>42</v>
      </c>
      <c r="E1486" s="22" t="str">
        <f>HYPERLINK("https://twitter.com/Ramesh_raj/status/922399276755402752","922399276755402752")</f>
        <v>922399276755402752</v>
      </c>
      <c r="F1486" s="23" t="s">
        <v>33</v>
      </c>
      <c r="G1486" s="24">
        <v>55.0</v>
      </c>
      <c r="H1486" s="24">
        <v>165.0</v>
      </c>
      <c r="I1486" s="24">
        <v>8501.0</v>
      </c>
      <c r="J1486" s="24">
        <v>0.0</v>
      </c>
      <c r="K1486" s="23" t="s">
        <v>34</v>
      </c>
      <c r="L1486" s="25">
        <v>40297.87534722222</v>
      </c>
      <c r="M1486" s="26" t="s">
        <v>3771</v>
      </c>
      <c r="N1486" s="26" t="s">
        <v>3772</v>
      </c>
      <c r="O1486" s="22" t="str">
        <f>HYPERLINK("https://pbs.twimg.com/profile_images/378800000764881393/11c8876a7afff4767d911bf08031d47c_normal.jpeg","View")</f>
        <v>View</v>
      </c>
      <c r="P1486" s="27"/>
    </row>
    <row r="1487">
      <c r="A1487" s="14">
        <v>43031.11690972222</v>
      </c>
      <c r="B1487" s="20" t="str">
        <f>HYPERLINK("https://twitter.com/RealTimeHack","@RealTimeHack")</f>
        <v>@RealTimeHack</v>
      </c>
      <c r="C1487" s="21" t="s">
        <v>3773</v>
      </c>
      <c r="D1487" s="21" t="s">
        <v>3774</v>
      </c>
      <c r="E1487" s="22" t="str">
        <f>HYPERLINK("https://twitter.com/RealTimeHack/status/922399285777436672","922399285777436672")</f>
        <v>922399285777436672</v>
      </c>
      <c r="F1487" s="23" t="s">
        <v>187</v>
      </c>
      <c r="G1487" s="24">
        <v>2189.0</v>
      </c>
      <c r="H1487" s="24">
        <v>1282.0</v>
      </c>
      <c r="I1487" s="24">
        <v>0.0</v>
      </c>
      <c r="J1487" s="24">
        <v>0.0</v>
      </c>
      <c r="K1487" s="23" t="s">
        <v>34</v>
      </c>
      <c r="L1487" s="25">
        <v>40641.39920138889</v>
      </c>
      <c r="M1487" s="26" t="s">
        <v>3775</v>
      </c>
      <c r="N1487" s="26" t="s">
        <v>3776</v>
      </c>
      <c r="O1487" s="22" t="str">
        <f>HYPERLINK("https://pbs.twimg.com/profile_images/1304602852/Nuke_Egg_normal.gif","View")</f>
        <v>View</v>
      </c>
      <c r="P1487" s="27"/>
    </row>
    <row r="1488">
      <c r="A1488" s="14">
        <v>43031.11693287037</v>
      </c>
      <c r="B1488" s="20" t="str">
        <f>HYPERLINK("https://twitter.com/unlewis","@unlewis")</f>
        <v>@unlewis</v>
      </c>
      <c r="C1488" s="21" t="s">
        <v>2684</v>
      </c>
      <c r="D1488" s="21" t="s">
        <v>3464</v>
      </c>
      <c r="E1488" s="22" t="str">
        <f>HYPERLINK("https://twitter.com/unlewis/status/922399293545242624","922399293545242624")</f>
        <v>922399293545242624</v>
      </c>
      <c r="F1488" s="23" t="s">
        <v>230</v>
      </c>
      <c r="G1488" s="24">
        <v>2973.0</v>
      </c>
      <c r="H1488" s="24">
        <v>2099.0</v>
      </c>
      <c r="I1488" s="24">
        <v>3.0</v>
      </c>
      <c r="J1488" s="24">
        <v>0.0</v>
      </c>
      <c r="K1488" s="23" t="s">
        <v>34</v>
      </c>
      <c r="L1488" s="25">
        <v>41159.83283564815</v>
      </c>
      <c r="M1488" s="28"/>
      <c r="N1488" s="26" t="s">
        <v>2685</v>
      </c>
      <c r="O1488" s="22" t="str">
        <f>HYPERLINK("https://pbs.twimg.com/profile_images/862117304196255744/4KSB5b7P_normal.jpg","View")</f>
        <v>View</v>
      </c>
      <c r="P1488" s="27"/>
    </row>
    <row r="1489">
      <c r="A1489" s="14">
        <v>43031.11695601852</v>
      </c>
      <c r="B1489" s="20" t="str">
        <f>HYPERLINK("https://twitter.com/Nilakurinji","@Nilakurinji")</f>
        <v>@Nilakurinji</v>
      </c>
      <c r="C1489" s="21" t="s">
        <v>3777</v>
      </c>
      <c r="D1489" s="21" t="s">
        <v>42</v>
      </c>
      <c r="E1489" s="22" t="str">
        <f>HYPERLINK("https://twitter.com/Nilakurinji/status/922399300428079104","922399300428079104")</f>
        <v>922399300428079104</v>
      </c>
      <c r="F1489" s="23" t="s">
        <v>33</v>
      </c>
      <c r="G1489" s="24">
        <v>84.0</v>
      </c>
      <c r="H1489" s="24">
        <v>25.0</v>
      </c>
      <c r="I1489" s="24">
        <v>8501.0</v>
      </c>
      <c r="J1489" s="24">
        <v>0.0</v>
      </c>
      <c r="K1489" s="23" t="s">
        <v>34</v>
      </c>
      <c r="L1489" s="25">
        <v>42389.31138888889</v>
      </c>
      <c r="M1489" s="26" t="s">
        <v>65</v>
      </c>
      <c r="N1489" s="26" t="s">
        <v>3778</v>
      </c>
      <c r="O1489" s="22" t="str">
        <f>HYPERLINK("https://pbs.twimg.com/profile_images/915276129526673408/n09YI2ux_normal.jpg","View")</f>
        <v>View</v>
      </c>
      <c r="P1489" s="27"/>
    </row>
    <row r="1490">
      <c r="A1490" s="14">
        <v>43031.11695601852</v>
      </c>
      <c r="B1490" s="20" t="str">
        <f>HYPERLINK("https://twitter.com/RealTimeHack","@RealTimeHack")</f>
        <v>@RealTimeHack</v>
      </c>
      <c r="C1490" s="21" t="s">
        <v>3773</v>
      </c>
      <c r="D1490" s="21" t="s">
        <v>3779</v>
      </c>
      <c r="E1490" s="22" t="str">
        <f>HYPERLINK("https://twitter.com/RealTimeHack/status/922399301933944832","922399301933944832")</f>
        <v>922399301933944832</v>
      </c>
      <c r="F1490" s="23" t="s">
        <v>187</v>
      </c>
      <c r="G1490" s="24">
        <v>2189.0</v>
      </c>
      <c r="H1490" s="24">
        <v>1282.0</v>
      </c>
      <c r="I1490" s="24">
        <v>0.0</v>
      </c>
      <c r="J1490" s="24">
        <v>0.0</v>
      </c>
      <c r="K1490" s="23" t="s">
        <v>34</v>
      </c>
      <c r="L1490" s="25">
        <v>40641.39920138889</v>
      </c>
      <c r="M1490" s="26" t="s">
        <v>3775</v>
      </c>
      <c r="N1490" s="26" t="s">
        <v>3776</v>
      </c>
      <c r="O1490" s="22" t="str">
        <f>HYPERLINK("https://pbs.twimg.com/profile_images/1304602852/Nuke_Egg_normal.gif","View")</f>
        <v>View</v>
      </c>
      <c r="P1490" s="27"/>
    </row>
    <row r="1491">
      <c r="A1491" s="14">
        <v>43031.11696759259</v>
      </c>
      <c r="B1491" s="20" t="str">
        <f>HYPERLINK("https://twitter.com/TopFiveTraders","@TopFiveTraders")</f>
        <v>@TopFiveTraders</v>
      </c>
      <c r="C1491" s="21" t="s">
        <v>1984</v>
      </c>
      <c r="D1491" s="21" t="s">
        <v>3780</v>
      </c>
      <c r="E1491" s="22" t="str">
        <f>HYPERLINK("https://twitter.com/TopFiveTraders/status/922399304454737921","922399304454737921")</f>
        <v>922399304454737921</v>
      </c>
      <c r="F1491" s="23" t="s">
        <v>187</v>
      </c>
      <c r="G1491" s="24">
        <v>8168.0</v>
      </c>
      <c r="H1491" s="24">
        <v>6711.0</v>
      </c>
      <c r="I1491" s="24">
        <v>0.0</v>
      </c>
      <c r="J1491" s="24">
        <v>0.0</v>
      </c>
      <c r="K1491" s="23" t="s">
        <v>34</v>
      </c>
      <c r="L1491" s="25">
        <v>41573.484201388885</v>
      </c>
      <c r="M1491" s="26" t="s">
        <v>1986</v>
      </c>
      <c r="N1491" s="26" t="s">
        <v>1987</v>
      </c>
      <c r="O1491" s="22" t="str">
        <f>HYPERLINK("https://pbs.twimg.com/profile_images/729113141444026370/hi202Ffp_normal.jpg","View")</f>
        <v>View</v>
      </c>
      <c r="P1491" s="27"/>
    </row>
    <row r="1492">
      <c r="A1492" s="14">
        <v>43031.117013888885</v>
      </c>
      <c r="B1492" s="20" t="str">
        <f>HYPERLINK("https://twitter.com/IFA_Asia","@IFA_Asia")</f>
        <v>@IFA_Asia</v>
      </c>
      <c r="C1492" s="21" t="s">
        <v>3781</v>
      </c>
      <c r="D1492" s="21" t="s">
        <v>3782</v>
      </c>
      <c r="E1492" s="22" t="str">
        <f>HYPERLINK("https://twitter.com/IFA_Asia/status/922399324096552960","922399324096552960")</f>
        <v>922399324096552960</v>
      </c>
      <c r="F1492" s="23" t="s">
        <v>39</v>
      </c>
      <c r="G1492" s="24">
        <v>141.0</v>
      </c>
      <c r="H1492" s="24">
        <v>284.0</v>
      </c>
      <c r="I1492" s="24">
        <v>0.0</v>
      </c>
      <c r="J1492" s="24">
        <v>0.0</v>
      </c>
      <c r="K1492" s="23" t="s">
        <v>34</v>
      </c>
      <c r="L1492" s="25">
        <v>40510.65734953704</v>
      </c>
      <c r="M1492" s="26" t="s">
        <v>3783</v>
      </c>
      <c r="N1492" s="26" t="s">
        <v>3784</v>
      </c>
      <c r="O1492" s="22" t="str">
        <f>HYPERLINK("https://pbs.twimg.com/profile_images/499441990807724032/cvWMckQR_normal.jpeg","View")</f>
        <v>View</v>
      </c>
      <c r="P1492" s="27"/>
    </row>
    <row r="1493">
      <c r="A1493" s="14">
        <v>43031.11709490741</v>
      </c>
      <c r="B1493" s="20" t="str">
        <f>HYPERLINK("https://twitter.com/KnowYourLeaker","@KnowYourLeaker")</f>
        <v>@KnowYourLeaker</v>
      </c>
      <c r="C1493" s="21" t="s">
        <v>2228</v>
      </c>
      <c r="D1493" s="21" t="s">
        <v>3785</v>
      </c>
      <c r="E1493" s="22" t="str">
        <f>HYPERLINK("https://twitter.com/KnowYourLeaker/status/922399352580165632","922399352580165632")</f>
        <v>922399352580165632</v>
      </c>
      <c r="F1493" s="23" t="s">
        <v>2228</v>
      </c>
      <c r="G1493" s="24">
        <v>471.0</v>
      </c>
      <c r="H1493" s="24">
        <v>0.0</v>
      </c>
      <c r="I1493" s="24">
        <v>0.0</v>
      </c>
      <c r="J1493" s="24">
        <v>0.0</v>
      </c>
      <c r="K1493" s="23" t="s">
        <v>34</v>
      </c>
      <c r="L1493" s="25">
        <v>42777.71098379629</v>
      </c>
      <c r="M1493" s="28"/>
      <c r="N1493" s="26" t="s">
        <v>2230</v>
      </c>
      <c r="O1493" s="22" t="str">
        <f>HYPERLINK("https://pbs.twimg.com/profile_images/830990097109630976/vaqM4Gji_normal.jpg","View")</f>
        <v>View</v>
      </c>
      <c r="P1493" s="27"/>
    </row>
    <row r="1494">
      <c r="A1494" s="14">
        <v>43031.11716435185</v>
      </c>
      <c r="B1494" s="20" t="str">
        <f>HYPERLINK("https://twitter.com/janardan4646","@janardan4646")</f>
        <v>@janardan4646</v>
      </c>
      <c r="C1494" s="21" t="s">
        <v>3786</v>
      </c>
      <c r="D1494" s="21" t="s">
        <v>3787</v>
      </c>
      <c r="E1494" s="22" t="str">
        <f>HYPERLINK("https://twitter.com/janardan4646/status/922399375824793601","922399375824793601")</f>
        <v>922399375824793601</v>
      </c>
      <c r="F1494" s="23" t="s">
        <v>33</v>
      </c>
      <c r="G1494" s="24">
        <v>7.0</v>
      </c>
      <c r="H1494" s="24">
        <v>108.0</v>
      </c>
      <c r="I1494" s="24">
        <v>25.0</v>
      </c>
      <c r="J1494" s="24">
        <v>0.0</v>
      </c>
      <c r="K1494" s="23" t="s">
        <v>34</v>
      </c>
      <c r="L1494" s="25">
        <v>42986.10219907407</v>
      </c>
      <c r="M1494" s="26" t="s">
        <v>167</v>
      </c>
      <c r="N1494" s="26" t="s">
        <v>3788</v>
      </c>
      <c r="O1494" s="22" t="str">
        <f>HYPERLINK("https://pbs.twimg.com/profile_images/918900896842391552/u5TVbyGl_normal.jpg","View")</f>
        <v>View</v>
      </c>
      <c r="P1494" s="27"/>
    </row>
    <row r="1495">
      <c r="A1495" s="14">
        <v>43031.11716435185</v>
      </c>
      <c r="B1495" s="20" t="str">
        <f>HYPERLINK("https://twitter.com/kaerickson1","@kaerickson1")</f>
        <v>@kaerickson1</v>
      </c>
      <c r="C1495" s="21" t="s">
        <v>3789</v>
      </c>
      <c r="D1495" s="21" t="s">
        <v>1583</v>
      </c>
      <c r="E1495" s="22" t="str">
        <f>HYPERLINK("https://twitter.com/kaerickson1/status/922399376101781505","922399376101781505")</f>
        <v>922399376101781505</v>
      </c>
      <c r="F1495" s="23" t="s">
        <v>39</v>
      </c>
      <c r="G1495" s="24">
        <v>48.0</v>
      </c>
      <c r="H1495" s="24">
        <v>77.0</v>
      </c>
      <c r="I1495" s="24">
        <v>12.0</v>
      </c>
      <c r="J1495" s="24">
        <v>0.0</v>
      </c>
      <c r="K1495" s="23" t="s">
        <v>34</v>
      </c>
      <c r="L1495" s="25">
        <v>40286.28244212963</v>
      </c>
      <c r="M1495" s="28"/>
      <c r="N1495" s="26" t="s">
        <v>3790</v>
      </c>
      <c r="O1495" s="22" t="str">
        <f>HYPERLINK("https://abs.twimg.com/sticky/default_profile_images/default_profile_normal.png","View")</f>
        <v>View</v>
      </c>
      <c r="P1495" s="27"/>
    </row>
    <row r="1496">
      <c r="A1496" s="14">
        <v>43031.11724537037</v>
      </c>
      <c r="B1496" s="20" t="str">
        <f>HYPERLINK("https://twitter.com/Rajendr47990537","@Rajendr47990537")</f>
        <v>@Rajendr47990537</v>
      </c>
      <c r="C1496" s="21" t="s">
        <v>3791</v>
      </c>
      <c r="D1496" s="21" t="s">
        <v>42</v>
      </c>
      <c r="E1496" s="22" t="str">
        <f>HYPERLINK("https://twitter.com/Rajendr47990537/status/922399407328210944","922399407328210944")</f>
        <v>922399407328210944</v>
      </c>
      <c r="F1496" s="23" t="s">
        <v>33</v>
      </c>
      <c r="G1496" s="24">
        <v>0.0</v>
      </c>
      <c r="H1496" s="24">
        <v>112.0</v>
      </c>
      <c r="I1496" s="24">
        <v>8501.0</v>
      </c>
      <c r="J1496" s="24">
        <v>0.0</v>
      </c>
      <c r="K1496" s="23" t="s">
        <v>34</v>
      </c>
      <c r="L1496" s="25">
        <v>43017.008055555554</v>
      </c>
      <c r="M1496" s="28"/>
      <c r="N1496" s="28"/>
      <c r="O1496" s="22" t="str">
        <f>HYPERLINK("https://pbs.twimg.com/profile_images/920089003428274176/3zOgEUd8_normal.jpg","View")</f>
        <v>View</v>
      </c>
      <c r="P1496" s="27"/>
    </row>
    <row r="1497">
      <c r="A1497" s="14">
        <v>43031.117372685185</v>
      </c>
      <c r="B1497" s="20" t="str">
        <f>HYPERLINK("https://twitter.com/ayaz_khan007","@ayaz_khan007")</f>
        <v>@ayaz_khan007</v>
      </c>
      <c r="C1497" s="21" t="s">
        <v>3792</v>
      </c>
      <c r="D1497" s="21" t="s">
        <v>3039</v>
      </c>
      <c r="E1497" s="22" t="str">
        <f>HYPERLINK("https://twitter.com/ayaz_khan007/status/922399453788635136","922399453788635136")</f>
        <v>922399453788635136</v>
      </c>
      <c r="F1497" s="23" t="s">
        <v>33</v>
      </c>
      <c r="G1497" s="24">
        <v>3355.0</v>
      </c>
      <c r="H1497" s="24">
        <v>2235.0</v>
      </c>
      <c r="I1497" s="24">
        <v>6.0</v>
      </c>
      <c r="J1497" s="24">
        <v>0.0</v>
      </c>
      <c r="K1497" s="23" t="s">
        <v>34</v>
      </c>
      <c r="L1497" s="25">
        <v>41018.51929398148</v>
      </c>
      <c r="M1497" s="26" t="s">
        <v>3793</v>
      </c>
      <c r="N1497" s="26" t="s">
        <v>3794</v>
      </c>
      <c r="O1497" s="22" t="str">
        <f>HYPERLINK("https://pbs.twimg.com/profile_images/836524909086015489/juVaXEYi_normal.jpg","View")</f>
        <v>View</v>
      </c>
      <c r="P1497" s="27"/>
    </row>
    <row r="1498">
      <c r="A1498" s="14">
        <v>43031.11740740741</v>
      </c>
      <c r="B1498" s="20" t="str">
        <f>HYPERLINK("https://twitter.com/SwissBanking","@SwissBanking")</f>
        <v>@SwissBanking</v>
      </c>
      <c r="C1498" s="21" t="s">
        <v>3795</v>
      </c>
      <c r="D1498" s="21" t="s">
        <v>3796</v>
      </c>
      <c r="E1498" s="22" t="str">
        <f>HYPERLINK("https://twitter.com/SwissBanking/status/922399465914359808","922399465914359808")</f>
        <v>922399465914359808</v>
      </c>
      <c r="F1498" s="30" t="s">
        <v>411</v>
      </c>
      <c r="G1498" s="24">
        <v>150.0</v>
      </c>
      <c r="H1498" s="24">
        <v>261.0</v>
      </c>
      <c r="I1498" s="24">
        <v>0.0</v>
      </c>
      <c r="J1498" s="24">
        <v>0.0</v>
      </c>
      <c r="K1498" s="23" t="s">
        <v>34</v>
      </c>
      <c r="L1498" s="25">
        <v>40124.34940972222</v>
      </c>
      <c r="M1498" s="26" t="s">
        <v>3379</v>
      </c>
      <c r="N1498" s="26" t="s">
        <v>3797</v>
      </c>
      <c r="O1498" s="22" t="str">
        <f>HYPERLINK("https://pbs.twimg.com/profile_images/1786821678/12_normal.jpg","View")</f>
        <v>View</v>
      </c>
      <c r="P1498" s="27"/>
    </row>
    <row r="1499">
      <c r="A1499" s="14">
        <v>43031.11741898148</v>
      </c>
      <c r="B1499" s="20" t="str">
        <f>HYPERLINK("https://twitter.com/Jodie3735","@Jodie3735")</f>
        <v>@Jodie3735</v>
      </c>
      <c r="C1499" s="21" t="s">
        <v>3798</v>
      </c>
      <c r="D1499" s="21" t="s">
        <v>3655</v>
      </c>
      <c r="E1499" s="22" t="str">
        <f>HYPERLINK("https://twitter.com/Jodie3735/status/922399468216913920","922399468216913920")</f>
        <v>922399468216913920</v>
      </c>
      <c r="F1499" s="23" t="s">
        <v>39</v>
      </c>
      <c r="G1499" s="24">
        <v>706.0</v>
      </c>
      <c r="H1499" s="24">
        <v>905.0</v>
      </c>
      <c r="I1499" s="24">
        <v>2.0</v>
      </c>
      <c r="J1499" s="24">
        <v>0.0</v>
      </c>
      <c r="K1499" s="23" t="s">
        <v>34</v>
      </c>
      <c r="L1499" s="25">
        <v>40314.75902777778</v>
      </c>
      <c r="M1499" s="26" t="s">
        <v>3799</v>
      </c>
      <c r="N1499" s="26" t="s">
        <v>3800</v>
      </c>
      <c r="O1499" s="22" t="str">
        <f>HYPERLINK("https://pbs.twimg.com/profile_images/892703982077976576/MMCsdB5y_normal.jpg","View")</f>
        <v>View</v>
      </c>
      <c r="P1499" s="27"/>
    </row>
    <row r="1500">
      <c r="A1500" s="14">
        <v>43031.11741898148</v>
      </c>
      <c r="B1500" s="20" t="str">
        <f>HYPERLINK("https://twitter.com/akariasakana","@akariasakana")</f>
        <v>@akariasakana</v>
      </c>
      <c r="C1500" s="21" t="s">
        <v>3801</v>
      </c>
      <c r="D1500" s="21" t="s">
        <v>3178</v>
      </c>
      <c r="E1500" s="22" t="str">
        <f>HYPERLINK("https://twitter.com/akariasakana/status/922399468657373184","922399468657373184")</f>
        <v>922399468657373184</v>
      </c>
      <c r="F1500" s="23" t="s">
        <v>39</v>
      </c>
      <c r="G1500" s="24">
        <v>1621.0</v>
      </c>
      <c r="H1500" s="24">
        <v>70.0</v>
      </c>
      <c r="I1500" s="24">
        <v>6.0</v>
      </c>
      <c r="J1500" s="24">
        <v>0.0</v>
      </c>
      <c r="K1500" s="23" t="s">
        <v>34</v>
      </c>
      <c r="L1500" s="25">
        <v>41714.03826388889</v>
      </c>
      <c r="M1500" s="28"/>
      <c r="N1500" s="26" t="s">
        <v>3802</v>
      </c>
      <c r="O1500" s="22" t="str">
        <f>HYPERLINK("https://pbs.twimg.com/profile_images/445108931044454401/Dldq7sX-_normal.jpeg","View")</f>
        <v>View</v>
      </c>
      <c r="P1500" s="27"/>
    </row>
    <row r="1501">
      <c r="A1501" s="14">
        <v>43031.117476851854</v>
      </c>
      <c r="B1501" s="20" t="str">
        <f>HYPERLINK("https://twitter.com/Ravindra_Muley","@Ravindra_Muley")</f>
        <v>@Ravindra_Muley</v>
      </c>
      <c r="C1501" s="21" t="s">
        <v>3803</v>
      </c>
      <c r="D1501" s="21" t="s">
        <v>3804</v>
      </c>
      <c r="E1501" s="22" t="str">
        <f>HYPERLINK("https://twitter.com/Ravindra_Muley/status/922399492082614278","922399492082614278")</f>
        <v>922399492082614278</v>
      </c>
      <c r="F1501" s="23" t="s">
        <v>33</v>
      </c>
      <c r="G1501" s="24">
        <v>11562.0</v>
      </c>
      <c r="H1501" s="24">
        <v>11854.0</v>
      </c>
      <c r="I1501" s="24">
        <v>1.0</v>
      </c>
      <c r="J1501" s="24">
        <v>0.0</v>
      </c>
      <c r="K1501" s="23" t="s">
        <v>34</v>
      </c>
      <c r="L1501" s="25">
        <v>40654.26789351852</v>
      </c>
      <c r="M1501" s="26" t="s">
        <v>207</v>
      </c>
      <c r="N1501" s="26" t="s">
        <v>3805</v>
      </c>
      <c r="O1501" s="22" t="str">
        <f>HYPERLINK("https://pbs.twimg.com/profile_images/917422695020498945/tv_3nPNQ_normal.jpg","View")</f>
        <v>View</v>
      </c>
      <c r="P1501" s="27"/>
    </row>
    <row r="1502">
      <c r="A1502" s="14">
        <v>43031.11752314815</v>
      </c>
      <c r="B1502" s="20" t="str">
        <f>HYPERLINK("https://twitter.com/Ava__z","@Ava__z")</f>
        <v>@Ava__z</v>
      </c>
      <c r="C1502" s="21" t="s">
        <v>3806</v>
      </c>
      <c r="D1502" s="21" t="s">
        <v>1583</v>
      </c>
      <c r="E1502" s="22" t="str">
        <f>HYPERLINK("https://twitter.com/Ava__z/status/922399507458994176","922399507458994176")</f>
        <v>922399507458994176</v>
      </c>
      <c r="F1502" s="23" t="s">
        <v>3807</v>
      </c>
      <c r="G1502" s="24">
        <v>3830.0</v>
      </c>
      <c r="H1502" s="24">
        <v>4994.0</v>
      </c>
      <c r="I1502" s="24">
        <v>12.0</v>
      </c>
      <c r="J1502" s="24">
        <v>0.0</v>
      </c>
      <c r="K1502" s="23" t="s">
        <v>34</v>
      </c>
      <c r="L1502" s="25">
        <v>42823.382627314815</v>
      </c>
      <c r="M1502" s="26" t="s">
        <v>708</v>
      </c>
      <c r="N1502" s="28"/>
      <c r="O1502" s="22" t="str">
        <f>HYPERLINK("https://pbs.twimg.com/profile_images/847119945209200640/7gz6zrfi_normal.jpg","View")</f>
        <v>View</v>
      </c>
      <c r="P1502" s="27"/>
    </row>
    <row r="1503">
      <c r="A1503" s="14">
        <v>43031.11752314815</v>
      </c>
      <c r="B1503" s="20" t="str">
        <f>HYPERLINK("https://twitter.com/RakeshB0702","@RakeshB0702")</f>
        <v>@RakeshB0702</v>
      </c>
      <c r="C1503" s="21" t="s">
        <v>3808</v>
      </c>
      <c r="D1503" s="21" t="s">
        <v>42</v>
      </c>
      <c r="E1503" s="22" t="str">
        <f>HYPERLINK("https://twitter.com/RakeshB0702/status/922399509082079233","922399509082079233")</f>
        <v>922399509082079233</v>
      </c>
      <c r="F1503" s="23" t="s">
        <v>33</v>
      </c>
      <c r="G1503" s="24">
        <v>1010.0</v>
      </c>
      <c r="H1503" s="24">
        <v>4995.0</v>
      </c>
      <c r="I1503" s="24">
        <v>8501.0</v>
      </c>
      <c r="J1503" s="24">
        <v>0.0</v>
      </c>
      <c r="K1503" s="23" t="s">
        <v>34</v>
      </c>
      <c r="L1503" s="25">
        <v>42879.004907407405</v>
      </c>
      <c r="M1503" s="26" t="s">
        <v>3809</v>
      </c>
      <c r="N1503" s="26" t="s">
        <v>3810</v>
      </c>
      <c r="O1503" s="22" t="str">
        <f>HYPERLINK("https://pbs.twimg.com/profile_images/894167313204690945/S8x0qKGG_normal.jpg","View")</f>
        <v>View</v>
      </c>
      <c r="P1503" s="27"/>
    </row>
    <row r="1504">
      <c r="A1504" s="14">
        <v>43031.1175462963</v>
      </c>
      <c r="B1504" s="20" t="str">
        <f>HYPERLINK("https://twitter.com/Rashikasomani1","@Rashikasomani1")</f>
        <v>@Rashikasomani1</v>
      </c>
      <c r="C1504" s="21" t="s">
        <v>3811</v>
      </c>
      <c r="D1504" s="21" t="s">
        <v>3812</v>
      </c>
      <c r="E1504" s="22" t="str">
        <f>HYPERLINK("https://twitter.com/Rashikasomani1/status/922399514874580992","922399514874580992")</f>
        <v>922399514874580992</v>
      </c>
      <c r="F1504" s="23" t="s">
        <v>3813</v>
      </c>
      <c r="G1504" s="24">
        <v>1.0</v>
      </c>
      <c r="H1504" s="24">
        <v>100.0</v>
      </c>
      <c r="I1504" s="24">
        <v>2.0</v>
      </c>
      <c r="J1504" s="24">
        <v>0.0</v>
      </c>
      <c r="K1504" s="23" t="s">
        <v>34</v>
      </c>
      <c r="L1504" s="25">
        <v>43028.254166666666</v>
      </c>
      <c r="M1504" s="28"/>
      <c r="N1504" s="28"/>
      <c r="O1504" s="22" t="str">
        <f t="shared" ref="O1504:O1505" si="16">HYPERLINK("https://abs.twimg.com/sticky/default_profile_images/default_profile_normal.png","View")</f>
        <v>View</v>
      </c>
      <c r="P1504" s="27"/>
    </row>
    <row r="1505">
      <c r="A1505" s="14">
        <v>43031.11767361111</v>
      </c>
      <c r="B1505" s="20" t="str">
        <f>HYPERLINK("https://twitter.com/Mrityun96862101","@Mrityun96862101")</f>
        <v>@Mrityun96862101</v>
      </c>
      <c r="C1505" s="21" t="s">
        <v>3814</v>
      </c>
      <c r="D1505" s="21" t="s">
        <v>42</v>
      </c>
      <c r="E1505" s="22" t="str">
        <f>HYPERLINK("https://twitter.com/Mrityun96862101/status/922399561015898112","922399561015898112")</f>
        <v>922399561015898112</v>
      </c>
      <c r="F1505" s="23" t="s">
        <v>33</v>
      </c>
      <c r="G1505" s="24">
        <v>1.0</v>
      </c>
      <c r="H1505" s="24">
        <v>73.0</v>
      </c>
      <c r="I1505" s="24">
        <v>8501.0</v>
      </c>
      <c r="J1505" s="24">
        <v>0.0</v>
      </c>
      <c r="K1505" s="23" t="s">
        <v>34</v>
      </c>
      <c r="L1505" s="25">
        <v>43030.42561342593</v>
      </c>
      <c r="M1505" s="28"/>
      <c r="N1505" s="28"/>
      <c r="O1505" s="22" t="str">
        <f t="shared" si="16"/>
        <v>View</v>
      </c>
      <c r="P1505" s="27"/>
    </row>
    <row r="1506">
      <c r="A1506" s="14">
        <v>43031.11775462963</v>
      </c>
      <c r="B1506" s="20" t="str">
        <f>HYPERLINK("https://twitter.com/21Alt555","@21Alt555")</f>
        <v>@21Alt555</v>
      </c>
      <c r="C1506" s="21" t="s">
        <v>3815</v>
      </c>
      <c r="D1506" s="21" t="s">
        <v>42</v>
      </c>
      <c r="E1506" s="22" t="str">
        <f>HYPERLINK("https://twitter.com/21Alt555/status/922399590585794561","922399590585794561")</f>
        <v>922399590585794561</v>
      </c>
      <c r="F1506" s="23" t="s">
        <v>39</v>
      </c>
      <c r="G1506" s="24">
        <v>1792.0</v>
      </c>
      <c r="H1506" s="24">
        <v>932.0</v>
      </c>
      <c r="I1506" s="24">
        <v>8501.0</v>
      </c>
      <c r="J1506" s="24">
        <v>0.0</v>
      </c>
      <c r="K1506" s="23" t="s">
        <v>34</v>
      </c>
      <c r="L1506" s="25">
        <v>41432.65899305556</v>
      </c>
      <c r="M1506" s="26" t="s">
        <v>3816</v>
      </c>
      <c r="N1506" s="26" t="s">
        <v>3817</v>
      </c>
      <c r="O1506" s="22" t="str">
        <f>HYPERLINK("https://pbs.twimg.com/profile_images/852897103902789633/XYuNskNX_normal.jpg","View")</f>
        <v>View</v>
      </c>
      <c r="P1506" s="27"/>
    </row>
    <row r="1507">
      <c r="A1507" s="14">
        <v>43031.11780092593</v>
      </c>
      <c r="B1507" s="20" t="str">
        <f>HYPERLINK("https://twitter.com/QxNews","@QxNews")</f>
        <v>@QxNews</v>
      </c>
      <c r="C1507" s="21" t="s">
        <v>3818</v>
      </c>
      <c r="D1507" s="21" t="s">
        <v>2748</v>
      </c>
      <c r="E1507" s="22" t="str">
        <f>HYPERLINK("https://twitter.com/QxNews/status/922399609304924160","922399609304924160")</f>
        <v>922399609304924160</v>
      </c>
      <c r="F1507" s="23" t="s">
        <v>3819</v>
      </c>
      <c r="G1507" s="24">
        <v>3220.0</v>
      </c>
      <c r="H1507" s="24">
        <v>271.0</v>
      </c>
      <c r="I1507" s="24">
        <v>15.0</v>
      </c>
      <c r="J1507" s="24">
        <v>0.0</v>
      </c>
      <c r="K1507" s="23" t="s">
        <v>34</v>
      </c>
      <c r="L1507" s="25">
        <v>41497.85806712963</v>
      </c>
      <c r="M1507" s="26" t="s">
        <v>905</v>
      </c>
      <c r="N1507" s="26" t="s">
        <v>3820</v>
      </c>
      <c r="O1507" s="22" t="str">
        <f>HYPERLINK("https://pbs.twimg.com/profile_images/597288578092240896/ePlmSYCH_normal.png","View")</f>
        <v>View</v>
      </c>
      <c r="P1507" s="27"/>
    </row>
    <row r="1508">
      <c r="A1508" s="14">
        <v>43031.11783564815</v>
      </c>
      <c r="B1508" s="20" t="str">
        <f>HYPERLINK("https://twitter.com/jhajiten","@jhajiten")</f>
        <v>@jhajiten</v>
      </c>
      <c r="C1508" s="21" t="s">
        <v>3821</v>
      </c>
      <c r="D1508" s="21" t="s">
        <v>2738</v>
      </c>
      <c r="E1508" s="22" t="str">
        <f>HYPERLINK("https://twitter.com/jhajiten/status/922399619773972480","922399619773972480")</f>
        <v>922399619773972480</v>
      </c>
      <c r="F1508" s="23" t="s">
        <v>33</v>
      </c>
      <c r="G1508" s="24">
        <v>296.0</v>
      </c>
      <c r="H1508" s="24">
        <v>122.0</v>
      </c>
      <c r="I1508" s="24">
        <v>7.0</v>
      </c>
      <c r="J1508" s="24">
        <v>0.0</v>
      </c>
      <c r="K1508" s="23" t="s">
        <v>34</v>
      </c>
      <c r="L1508" s="25">
        <v>41486.08751157408</v>
      </c>
      <c r="M1508" s="26" t="s">
        <v>96</v>
      </c>
      <c r="N1508" s="26" t="s">
        <v>3822</v>
      </c>
      <c r="O1508" s="22" t="str">
        <f>HYPERLINK("https://pbs.twimg.com/profile_images/421887209608728577/RBdDkeJG_normal.jpeg","View")</f>
        <v>View</v>
      </c>
      <c r="P1508" s="27"/>
    </row>
    <row r="1509">
      <c r="A1509" s="14">
        <v>43031.11785879629</v>
      </c>
      <c r="B1509" s="20" t="str">
        <f>HYPERLINK("https://twitter.com/dennisjgreene","@dennisjgreene")</f>
        <v>@dennisjgreene</v>
      </c>
      <c r="C1509" s="21" t="s">
        <v>3823</v>
      </c>
      <c r="D1509" s="21" t="s">
        <v>3751</v>
      </c>
      <c r="E1509" s="22" t="str">
        <f>HYPERLINK("https://twitter.com/dennisjgreene/status/922399628271665152","922399628271665152")</f>
        <v>922399628271665152</v>
      </c>
      <c r="F1509" s="23" t="s">
        <v>39</v>
      </c>
      <c r="G1509" s="24">
        <v>128.0</v>
      </c>
      <c r="H1509" s="24">
        <v>293.0</v>
      </c>
      <c r="I1509" s="24">
        <v>5.0</v>
      </c>
      <c r="J1509" s="24">
        <v>0.0</v>
      </c>
      <c r="K1509" s="23" t="s">
        <v>34</v>
      </c>
      <c r="L1509" s="25">
        <v>39156.038506944446</v>
      </c>
      <c r="M1509" s="28"/>
      <c r="N1509" s="26" t="s">
        <v>3824</v>
      </c>
      <c r="O1509" s="22" t="str">
        <f>HYPERLINK("https://pbs.twimg.com/profile_images/616305609730838528/nGvcNmID_normal.jpg","View")</f>
        <v>View</v>
      </c>
      <c r="P1509" s="27"/>
    </row>
    <row r="1510">
      <c r="A1510" s="14">
        <v>43031.11792824074</v>
      </c>
      <c r="B1510" s="20" t="str">
        <f>HYPERLINK("https://twitter.com/VIJAYraghavSING","@VIJAYraghavSING")</f>
        <v>@VIJAYraghavSING</v>
      </c>
      <c r="C1510" s="21" t="s">
        <v>3825</v>
      </c>
      <c r="D1510" s="21" t="s">
        <v>260</v>
      </c>
      <c r="E1510" s="22" t="str">
        <f>HYPERLINK("https://twitter.com/VIJAYraghavSING/status/922399655152910336","922399655152910336")</f>
        <v>922399655152910336</v>
      </c>
      <c r="F1510" s="23" t="s">
        <v>33</v>
      </c>
      <c r="G1510" s="24">
        <v>275.0</v>
      </c>
      <c r="H1510" s="24">
        <v>305.0</v>
      </c>
      <c r="I1510" s="24">
        <v>8.0</v>
      </c>
      <c r="J1510" s="24">
        <v>0.0</v>
      </c>
      <c r="K1510" s="23" t="s">
        <v>34</v>
      </c>
      <c r="L1510" s="25">
        <v>40551.187569444446</v>
      </c>
      <c r="M1510" s="28"/>
      <c r="N1510" s="28"/>
      <c r="O1510" s="22" t="str">
        <f>HYPERLINK("https://pbs.twimg.com/profile_images/1210043003/VIJAY_normal.jpg","View")</f>
        <v>View</v>
      </c>
      <c r="P1510" s="27"/>
    </row>
    <row r="1511">
      <c r="A1511" s="14">
        <v>43031.117997685185</v>
      </c>
      <c r="B1511" s="20" t="str">
        <f>HYPERLINK("https://twitter.com/sumangalama","@sumangalama")</f>
        <v>@sumangalama</v>
      </c>
      <c r="C1511" s="21" t="s">
        <v>3826</v>
      </c>
      <c r="D1511" s="21" t="s">
        <v>163</v>
      </c>
      <c r="E1511" s="22" t="str">
        <f>HYPERLINK("https://twitter.com/sumangalama/status/922399681052684290","922399681052684290")</f>
        <v>922399681052684290</v>
      </c>
      <c r="F1511" s="23" t="s">
        <v>33</v>
      </c>
      <c r="G1511" s="24">
        <v>208.0</v>
      </c>
      <c r="H1511" s="24">
        <v>460.0</v>
      </c>
      <c r="I1511" s="24">
        <v>1005.0</v>
      </c>
      <c r="J1511" s="24">
        <v>0.0</v>
      </c>
      <c r="K1511" s="23" t="s">
        <v>34</v>
      </c>
      <c r="L1511" s="25">
        <v>40160.968935185185</v>
      </c>
      <c r="M1511" s="28"/>
      <c r="N1511" s="26" t="s">
        <v>3827</v>
      </c>
      <c r="O1511" s="22" t="str">
        <f>HYPERLINK("https://pbs.twimg.com/profile_images/755265307019767808/r_fy7vJH_normal.jpg","View")</f>
        <v>View</v>
      </c>
      <c r="P1511" s="27"/>
    </row>
    <row r="1512">
      <c r="A1512" s="14">
        <v>43031.118009259255</v>
      </c>
      <c r="B1512" s="20" t="str">
        <f>HYPERLINK("https://twitter.com/aamirrashidkhan","@aamirrashidkhan")</f>
        <v>@aamirrashidkhan</v>
      </c>
      <c r="C1512" s="21" t="s">
        <v>3828</v>
      </c>
      <c r="D1512" s="21" t="s">
        <v>3829</v>
      </c>
      <c r="E1512" s="22" t="str">
        <f>HYPERLINK("https://twitter.com/aamirrashidkhan/status/922399684731183104","922399684731183104")</f>
        <v>922399684731183104</v>
      </c>
      <c r="F1512" s="30" t="s">
        <v>411</v>
      </c>
      <c r="G1512" s="24">
        <v>57.0</v>
      </c>
      <c r="H1512" s="24">
        <v>34.0</v>
      </c>
      <c r="I1512" s="24">
        <v>0.0</v>
      </c>
      <c r="J1512" s="24">
        <v>0.0</v>
      </c>
      <c r="K1512" s="23" t="s">
        <v>34</v>
      </c>
      <c r="L1512" s="25">
        <v>40160.43053240741</v>
      </c>
      <c r="M1512" s="28"/>
      <c r="N1512" s="26" t="s">
        <v>3830</v>
      </c>
      <c r="O1512" s="22" t="str">
        <f>HYPERLINK("https://pbs.twimg.com/profile_images/800993452037115904/ZtO6cUGv_normal.jpg","View")</f>
        <v>View</v>
      </c>
      <c r="P1512" s="27"/>
    </row>
    <row r="1513">
      <c r="A1513" s="14">
        <v>43031.118055555555</v>
      </c>
      <c r="B1513" s="20" t="str">
        <f>HYPERLINK("https://twitter.com/jackhammer3853","@jackhammer3853")</f>
        <v>@jackhammer3853</v>
      </c>
      <c r="C1513" s="21" t="s">
        <v>3831</v>
      </c>
      <c r="D1513" s="21" t="s">
        <v>3832</v>
      </c>
      <c r="E1513" s="22" t="str">
        <f>HYPERLINK("https://twitter.com/jackhammer3853/status/922399702083129344","922399702083129344")</f>
        <v>922399702083129344</v>
      </c>
      <c r="F1513" s="23" t="s">
        <v>39</v>
      </c>
      <c r="G1513" s="24">
        <v>1638.0</v>
      </c>
      <c r="H1513" s="24">
        <v>4759.0</v>
      </c>
      <c r="I1513" s="24">
        <v>1.0</v>
      </c>
      <c r="J1513" s="24">
        <v>0.0</v>
      </c>
      <c r="K1513" s="23" t="s">
        <v>34</v>
      </c>
      <c r="L1513" s="25">
        <v>39775.426030092596</v>
      </c>
      <c r="M1513" s="26" t="s">
        <v>3833</v>
      </c>
      <c r="N1513" s="26" t="s">
        <v>3834</v>
      </c>
      <c r="O1513" s="22" t="str">
        <f>HYPERLINK("https://pbs.twimg.com/profile_images/882821583181676544/3NlayQ1s_normal.jpg","View")</f>
        <v>View</v>
      </c>
      <c r="P1513" s="27"/>
    </row>
    <row r="1514">
      <c r="A1514" s="14">
        <v>43031.11809027778</v>
      </c>
      <c r="B1514" s="20" t="str">
        <f>HYPERLINK("https://twitter.com/GCM_2016","@GCM_2016")</f>
        <v>@GCM_2016</v>
      </c>
      <c r="C1514" s="21" t="s">
        <v>3835</v>
      </c>
      <c r="D1514" s="21" t="s">
        <v>3836</v>
      </c>
      <c r="E1514" s="22" t="str">
        <f>HYPERLINK("https://twitter.com/GCM_2016/status/922399712531107841","922399712531107841")</f>
        <v>922399712531107841</v>
      </c>
      <c r="F1514" s="23" t="s">
        <v>2255</v>
      </c>
      <c r="G1514" s="24">
        <v>169.0</v>
      </c>
      <c r="H1514" s="24">
        <v>79.0</v>
      </c>
      <c r="I1514" s="24">
        <v>0.0</v>
      </c>
      <c r="J1514" s="24">
        <v>0.0</v>
      </c>
      <c r="K1514" s="23" t="s">
        <v>34</v>
      </c>
      <c r="L1514" s="25">
        <v>42370.558344907404</v>
      </c>
      <c r="M1514" s="28"/>
      <c r="N1514" s="28"/>
      <c r="O1514" s="22" t="str">
        <f>HYPERLINK("https://pbs.twimg.com/profile_images/693546638913064962/zYlFyIoK_normal.jpg","View")</f>
        <v>View</v>
      </c>
      <c r="P1514" s="27"/>
    </row>
    <row r="1515">
      <c r="A1515" s="14">
        <v>43031.118125</v>
      </c>
      <c r="B1515" s="20" t="str">
        <f>HYPERLINK("https://twitter.com/adellapasos","@adellapasos")</f>
        <v>@adellapasos</v>
      </c>
      <c r="C1515" s="21" t="s">
        <v>3837</v>
      </c>
      <c r="D1515" s="21" t="s">
        <v>3838</v>
      </c>
      <c r="E1515" s="22" t="str">
        <f>HYPERLINK("https://twitter.com/adellapasos/status/922399724916953088","922399724916953088")</f>
        <v>922399724916953088</v>
      </c>
      <c r="F1515" s="30" t="s">
        <v>3839</v>
      </c>
      <c r="G1515" s="24">
        <v>48847.0</v>
      </c>
      <c r="H1515" s="24">
        <v>2908.0</v>
      </c>
      <c r="I1515" s="24">
        <v>0.0</v>
      </c>
      <c r="J1515" s="24">
        <v>0.0</v>
      </c>
      <c r="K1515" s="23" t="s">
        <v>34</v>
      </c>
      <c r="L1515" s="25">
        <v>39902.40702546296</v>
      </c>
      <c r="M1515" s="26" t="s">
        <v>3840</v>
      </c>
      <c r="N1515" s="26" t="s">
        <v>3841</v>
      </c>
      <c r="O1515" s="22" t="str">
        <f>HYPERLINK("https://pbs.twimg.com/profile_images/3090730143/bb3bd092ceec55d57e0fbf36568664ca_normal.jpeg","View")</f>
        <v>View</v>
      </c>
      <c r="P1515" s="27"/>
    </row>
    <row r="1516">
      <c r="A1516" s="14">
        <v>43031.118159722224</v>
      </c>
      <c r="B1516" s="20" t="str">
        <f>HYPERLINK("https://twitter.com/japantimes","@japantimes")</f>
        <v>@japantimes</v>
      </c>
      <c r="C1516" s="21" t="s">
        <v>3842</v>
      </c>
      <c r="D1516" s="21" t="s">
        <v>3843</v>
      </c>
      <c r="E1516" s="22" t="str">
        <f>HYPERLINK("https://twitter.com/japantimes/status/922399737361371137","922399737361371137")</f>
        <v>922399737361371137</v>
      </c>
      <c r="F1516" s="23" t="s">
        <v>427</v>
      </c>
      <c r="G1516" s="24">
        <v>257870.0</v>
      </c>
      <c r="H1516" s="24">
        <v>40.0</v>
      </c>
      <c r="I1516" s="24">
        <v>23.0</v>
      </c>
      <c r="J1516" s="24">
        <v>20.0</v>
      </c>
      <c r="K1516" s="23" t="s">
        <v>34</v>
      </c>
      <c r="L1516" s="25">
        <v>39275.096875</v>
      </c>
      <c r="M1516" s="26" t="s">
        <v>923</v>
      </c>
      <c r="N1516" s="26" t="s">
        <v>3844</v>
      </c>
      <c r="O1516" s="22" t="str">
        <f>HYPERLINK("https://pbs.twimg.com/profile_images/877093724714434560/RlloH0si_normal.jpg","View")</f>
        <v>View</v>
      </c>
      <c r="P1516" s="27"/>
    </row>
    <row r="1517">
      <c r="A1517" s="14">
        <v>43031.1181712963</v>
      </c>
      <c r="B1517" s="20" t="str">
        <f>HYPERLINK("https://twitter.com/londonpopbox","@londonpopbox")</f>
        <v>@londonpopbox</v>
      </c>
      <c r="C1517" s="21" t="s">
        <v>3845</v>
      </c>
      <c r="D1517" s="21" t="s">
        <v>3751</v>
      </c>
      <c r="E1517" s="22" t="str">
        <f>HYPERLINK("https://twitter.com/londonpopbox/status/922399740184154112","922399740184154112")</f>
        <v>922399740184154112</v>
      </c>
      <c r="F1517" s="23" t="s">
        <v>55</v>
      </c>
      <c r="G1517" s="24">
        <v>1201.0</v>
      </c>
      <c r="H1517" s="24">
        <v>1750.0</v>
      </c>
      <c r="I1517" s="24">
        <v>5.0</v>
      </c>
      <c r="J1517" s="24">
        <v>0.0</v>
      </c>
      <c r="K1517" s="23" t="s">
        <v>34</v>
      </c>
      <c r="L1517" s="25">
        <v>42763.6388425926</v>
      </c>
      <c r="M1517" s="26" t="s">
        <v>1308</v>
      </c>
      <c r="N1517" s="26" t="s">
        <v>3846</v>
      </c>
      <c r="O1517" s="22" t="str">
        <f>HYPERLINK("https://pbs.twimg.com/profile_images/840992166256222208/p8tn1Sic_normal.jpg","View")</f>
        <v>View</v>
      </c>
      <c r="P1517" s="27"/>
    </row>
    <row r="1518">
      <c r="A1518" s="14">
        <v>43031.11818287037</v>
      </c>
      <c r="B1518" s="20" t="str">
        <f>HYPERLINK("https://twitter.com/m7m5ea","@m7m5ea")</f>
        <v>@m7m5ea</v>
      </c>
      <c r="C1518" s="21" t="s">
        <v>2733</v>
      </c>
      <c r="D1518" s="21" t="s">
        <v>3578</v>
      </c>
      <c r="E1518" s="22" t="str">
        <f>HYPERLINK("https://twitter.com/m7m5ea/status/922399746374770688","922399746374770688")</f>
        <v>922399746374770688</v>
      </c>
      <c r="F1518" s="23" t="s">
        <v>33</v>
      </c>
      <c r="G1518" s="24">
        <v>146.0</v>
      </c>
      <c r="H1518" s="24">
        <v>797.0</v>
      </c>
      <c r="I1518" s="24">
        <v>6.0</v>
      </c>
      <c r="J1518" s="24">
        <v>0.0</v>
      </c>
      <c r="K1518" s="23" t="s">
        <v>34</v>
      </c>
      <c r="L1518" s="25">
        <v>42568.20162037037</v>
      </c>
      <c r="M1518" s="28"/>
      <c r="N1518" s="26" t="s">
        <v>2734</v>
      </c>
      <c r="O1518" s="22" t="str">
        <f>HYPERLINK("https://pbs.twimg.com/profile_images/856484077456601088/sUHTZafL_normal.jpg","View")</f>
        <v>View</v>
      </c>
      <c r="P1518" s="27"/>
    </row>
    <row r="1519">
      <c r="A1519" s="14">
        <v>43031.11822916666</v>
      </c>
      <c r="B1519" s="20" t="str">
        <f>HYPERLINK("https://twitter.com/kumar_lipuna","@kumar_lipuna")</f>
        <v>@kumar_lipuna</v>
      </c>
      <c r="C1519" s="21" t="s">
        <v>3847</v>
      </c>
      <c r="D1519" s="21" t="s">
        <v>42</v>
      </c>
      <c r="E1519" s="22" t="str">
        <f>HYPERLINK("https://twitter.com/kumar_lipuna/status/922399761038061568","922399761038061568")</f>
        <v>922399761038061568</v>
      </c>
      <c r="F1519" s="23" t="s">
        <v>33</v>
      </c>
      <c r="G1519" s="24">
        <v>2.0</v>
      </c>
      <c r="H1519" s="24">
        <v>155.0</v>
      </c>
      <c r="I1519" s="24">
        <v>8501.0</v>
      </c>
      <c r="J1519" s="24">
        <v>0.0</v>
      </c>
      <c r="K1519" s="23" t="s">
        <v>34</v>
      </c>
      <c r="L1519" s="25">
        <v>43025.44695601852</v>
      </c>
      <c r="M1519" s="26" t="s">
        <v>3848</v>
      </c>
      <c r="N1519" s="26" t="s">
        <v>3849</v>
      </c>
      <c r="O1519" s="22" t="str">
        <f>HYPERLINK("https://pbs.twimg.com/profile_images/920346297801961472/9DlCy-ix_normal.jpg","View")</f>
        <v>View</v>
      </c>
      <c r="P1519" s="27"/>
    </row>
    <row r="1520">
      <c r="A1520" s="14">
        <v>43031.11833333333</v>
      </c>
      <c r="B1520" s="20" t="str">
        <f>HYPERLINK("https://twitter.com/mssamant","@mssamant")</f>
        <v>@mssamant</v>
      </c>
      <c r="C1520" s="21" t="s">
        <v>3850</v>
      </c>
      <c r="D1520" s="21" t="s">
        <v>42</v>
      </c>
      <c r="E1520" s="22" t="str">
        <f>HYPERLINK("https://twitter.com/mssamant/status/922399799147556869","922399799147556869")</f>
        <v>922399799147556869</v>
      </c>
      <c r="F1520" s="23" t="s">
        <v>33</v>
      </c>
      <c r="G1520" s="24">
        <v>23.0</v>
      </c>
      <c r="H1520" s="24">
        <v>68.0</v>
      </c>
      <c r="I1520" s="24">
        <v>8501.0</v>
      </c>
      <c r="J1520" s="24">
        <v>0.0</v>
      </c>
      <c r="K1520" s="23" t="s">
        <v>34</v>
      </c>
      <c r="L1520" s="25">
        <v>40371.18944444445</v>
      </c>
      <c r="M1520" s="28"/>
      <c r="N1520" s="28"/>
      <c r="O1520" s="22" t="str">
        <f>HYPERLINK("https://pbs.twimg.com/profile_images/775634449501450240/6R-2CngJ_normal.jpg","View")</f>
        <v>View</v>
      </c>
      <c r="P1520" s="27"/>
    </row>
    <row r="1521">
      <c r="A1521" s="14">
        <v>43031.11834490741</v>
      </c>
      <c r="B1521" s="20" t="str">
        <f>HYPERLINK("https://twitter.com/MNNtweet","@MNNtweet")</f>
        <v>@MNNtweet</v>
      </c>
      <c r="C1521" s="21" t="s">
        <v>3851</v>
      </c>
      <c r="D1521" s="21" t="s">
        <v>3578</v>
      </c>
      <c r="E1521" s="22" t="str">
        <f>HYPERLINK("https://twitter.com/MNNtweet/status/922399805321695232","922399805321695232")</f>
        <v>922399805321695232</v>
      </c>
      <c r="F1521" s="23" t="s">
        <v>55</v>
      </c>
      <c r="G1521" s="24">
        <v>55434.0</v>
      </c>
      <c r="H1521" s="24">
        <v>13232.0</v>
      </c>
      <c r="I1521" s="24">
        <v>6.0</v>
      </c>
      <c r="J1521" s="24">
        <v>0.0</v>
      </c>
      <c r="K1521" s="23" t="s">
        <v>34</v>
      </c>
      <c r="L1521" s="25">
        <v>41135.899097222224</v>
      </c>
      <c r="M1521" s="28"/>
      <c r="N1521" s="26" t="s">
        <v>3852</v>
      </c>
      <c r="O1521" s="22" t="str">
        <f>HYPERLINK("https://pbs.twimg.com/profile_images/665843242739630080/7R3ZFxqa_normal.jpg","View")</f>
        <v>View</v>
      </c>
      <c r="P1521" s="27"/>
    </row>
    <row r="1522">
      <c r="A1522" s="14">
        <v>43031.11834490741</v>
      </c>
      <c r="B1522" s="20" t="str">
        <f>HYPERLINK("https://twitter.com/Zotac6","@Zotac6")</f>
        <v>@Zotac6</v>
      </c>
      <c r="C1522" s="21" t="s">
        <v>3853</v>
      </c>
      <c r="D1522" s="21" t="s">
        <v>2369</v>
      </c>
      <c r="E1522" s="22" t="str">
        <f>HYPERLINK("https://twitter.com/Zotac6/status/922399806189965312","922399806189965312")</f>
        <v>922399806189965312</v>
      </c>
      <c r="F1522" s="23" t="s">
        <v>3854</v>
      </c>
      <c r="G1522" s="24">
        <v>90.0</v>
      </c>
      <c r="H1522" s="24">
        <v>1032.0</v>
      </c>
      <c r="I1522" s="24">
        <v>23.0</v>
      </c>
      <c r="J1522" s="24">
        <v>0.0</v>
      </c>
      <c r="K1522" s="23" t="s">
        <v>34</v>
      </c>
      <c r="L1522" s="25">
        <v>42935.346863425926</v>
      </c>
      <c r="M1522" s="26" t="s">
        <v>68</v>
      </c>
      <c r="N1522" s="28"/>
      <c r="O1522" s="22" t="str">
        <f>HYPERLINK("https://pbs.twimg.com/profile_images/887693908750237697/wrgYF88C_normal.jpg","View")</f>
        <v>View</v>
      </c>
      <c r="P1522" s="27"/>
    </row>
    <row r="1523">
      <c r="A1523" s="14">
        <v>43031.118356481486</v>
      </c>
      <c r="B1523" s="20" t="str">
        <f>HYPERLINK("https://twitter.com/manoj_k90","@manoj_k90")</f>
        <v>@manoj_k90</v>
      </c>
      <c r="C1523" s="21" t="s">
        <v>3855</v>
      </c>
      <c r="D1523" s="21" t="s">
        <v>42</v>
      </c>
      <c r="E1523" s="22" t="str">
        <f>HYPERLINK("https://twitter.com/manoj_k90/status/922399807141904386","922399807141904386")</f>
        <v>922399807141904386</v>
      </c>
      <c r="F1523" s="23" t="s">
        <v>33</v>
      </c>
      <c r="G1523" s="24">
        <v>263.0</v>
      </c>
      <c r="H1523" s="24">
        <v>273.0</v>
      </c>
      <c r="I1523" s="24">
        <v>8501.0</v>
      </c>
      <c r="J1523" s="24">
        <v>0.0</v>
      </c>
      <c r="K1523" s="23" t="s">
        <v>34</v>
      </c>
      <c r="L1523" s="25">
        <v>40140.223078703704</v>
      </c>
      <c r="M1523" s="28"/>
      <c r="N1523" s="26" t="s">
        <v>3856</v>
      </c>
      <c r="O1523" s="22" t="str">
        <f>HYPERLINK("https://pbs.twimg.com/profile_images/810017242662305792/YwwI9PGj_normal.jpg","View")</f>
        <v>View</v>
      </c>
      <c r="P1523" s="27"/>
    </row>
    <row r="1524">
      <c r="A1524" s="14">
        <v>43031.11839120371</v>
      </c>
      <c r="B1524" s="20" t="str">
        <f>HYPERLINK("https://twitter.com/bhabharsanjay","@bhabharsanjay")</f>
        <v>@bhabharsanjay</v>
      </c>
      <c r="C1524" s="21" t="s">
        <v>3857</v>
      </c>
      <c r="D1524" s="21" t="s">
        <v>42</v>
      </c>
      <c r="E1524" s="22" t="str">
        <f>HYPERLINK("https://twitter.com/bhabharsanjay/status/922399823638044674","922399823638044674")</f>
        <v>922399823638044674</v>
      </c>
      <c r="F1524" s="23" t="s">
        <v>33</v>
      </c>
      <c r="G1524" s="24">
        <v>2363.0</v>
      </c>
      <c r="H1524" s="24">
        <v>29.0</v>
      </c>
      <c r="I1524" s="24">
        <v>8501.0</v>
      </c>
      <c r="J1524" s="24">
        <v>0.0</v>
      </c>
      <c r="K1524" s="23" t="s">
        <v>34</v>
      </c>
      <c r="L1524" s="25">
        <v>42041.903344907405</v>
      </c>
      <c r="M1524" s="26" t="s">
        <v>204</v>
      </c>
      <c r="N1524" s="28"/>
      <c r="O1524" s="22" t="str">
        <f>HYPERLINK("https://pbs.twimg.com/profile_images/922401247709208576/RwTv02mz_normal.jpg","View")</f>
        <v>View</v>
      </c>
      <c r="P1524" s="27"/>
    </row>
    <row r="1525">
      <c r="A1525" s="14">
        <v>43031.1184375</v>
      </c>
      <c r="B1525" s="20" t="str">
        <f>HYPERLINK("https://twitter.com/jmhamiltonblog","@jmhamiltonblog")</f>
        <v>@jmhamiltonblog</v>
      </c>
      <c r="C1525" s="21" t="s">
        <v>3858</v>
      </c>
      <c r="D1525" s="21" t="s">
        <v>3859</v>
      </c>
      <c r="E1525" s="22" t="str">
        <f>HYPERLINK("https://twitter.com/jmhamiltonblog/status/922399839970906113","922399839970906113")</f>
        <v>922399839970906113</v>
      </c>
      <c r="F1525" s="23" t="s">
        <v>55</v>
      </c>
      <c r="G1525" s="24">
        <v>5966.0</v>
      </c>
      <c r="H1525" s="24">
        <v>5477.0</v>
      </c>
      <c r="I1525" s="24">
        <v>1.0</v>
      </c>
      <c r="J1525" s="24">
        <v>0.0</v>
      </c>
      <c r="K1525" s="23" t="s">
        <v>34</v>
      </c>
      <c r="L1525" s="25">
        <v>40565.48446759259</v>
      </c>
      <c r="M1525" s="26" t="s">
        <v>3860</v>
      </c>
      <c r="N1525" s="26" t="s">
        <v>3861</v>
      </c>
      <c r="O1525" s="22" t="str">
        <f>HYPERLINK("https://pbs.twimg.com/profile_images/1261161568/Camera_Phone_009_normal.jpg","View")</f>
        <v>View</v>
      </c>
      <c r="P1525" s="27"/>
    </row>
    <row r="1526">
      <c r="A1526" s="14">
        <v>43031.11849537037</v>
      </c>
      <c r="B1526" s="20" t="str">
        <f>HYPERLINK("https://twitter.com/GreaterLDN","@GreaterLDN")</f>
        <v>@GreaterLDN</v>
      </c>
      <c r="C1526" s="21" t="s">
        <v>3862</v>
      </c>
      <c r="D1526" s="21" t="s">
        <v>3863</v>
      </c>
      <c r="E1526" s="22" t="str">
        <f>HYPERLINK("https://twitter.com/GreaterLDN/status/922399858954260480","922399858954260480")</f>
        <v>922399858954260480</v>
      </c>
      <c r="F1526" s="23" t="s">
        <v>187</v>
      </c>
      <c r="G1526" s="24">
        <v>793.0</v>
      </c>
      <c r="H1526" s="24">
        <v>100.0</v>
      </c>
      <c r="I1526" s="24">
        <v>0.0</v>
      </c>
      <c r="J1526" s="24">
        <v>0.0</v>
      </c>
      <c r="K1526" s="23" t="s">
        <v>34</v>
      </c>
      <c r="L1526" s="25">
        <v>42680.3705787037</v>
      </c>
      <c r="M1526" s="26" t="s">
        <v>3864</v>
      </c>
      <c r="N1526" s="26" t="s">
        <v>3865</v>
      </c>
      <c r="O1526" s="22" t="str">
        <f>HYPERLINK("https://pbs.twimg.com/profile_images/795310199800266752/j69eJkFy_normal.jpg","View")</f>
        <v>View</v>
      </c>
      <c r="P1526" s="27"/>
    </row>
    <row r="1527">
      <c r="A1527" s="14">
        <v>43031.11850694445</v>
      </c>
      <c r="B1527" s="20" t="str">
        <f>HYPERLINK("https://twitter.com/Oliveyellow","@Oliveyellow")</f>
        <v>@Oliveyellow</v>
      </c>
      <c r="C1527" s="21" t="s">
        <v>3866</v>
      </c>
      <c r="D1527" s="21" t="s">
        <v>3867</v>
      </c>
      <c r="E1527" s="22" t="str">
        <f>HYPERLINK("https://twitter.com/Oliveyellow/status/922399864163418112","922399864163418112")</f>
        <v>922399864163418112</v>
      </c>
      <c r="F1527" s="23" t="s">
        <v>39</v>
      </c>
      <c r="G1527" s="24">
        <v>605.0</v>
      </c>
      <c r="H1527" s="24">
        <v>1500.0</v>
      </c>
      <c r="I1527" s="24">
        <v>23.0</v>
      </c>
      <c r="J1527" s="24">
        <v>0.0</v>
      </c>
      <c r="K1527" s="23" t="s">
        <v>34</v>
      </c>
      <c r="L1527" s="25">
        <v>41496.42901620371</v>
      </c>
      <c r="M1527" s="26" t="s">
        <v>3868</v>
      </c>
      <c r="N1527" s="26" t="s">
        <v>3869</v>
      </c>
      <c r="O1527" s="22" t="str">
        <f>HYPERLINK("https://pbs.twimg.com/profile_images/490013874595184641/WSLIEVQu_normal.jpeg","View")</f>
        <v>View</v>
      </c>
      <c r="P1527" s="27"/>
    </row>
    <row r="1528">
      <c r="A1528" s="14">
        <v>43031.11854166667</v>
      </c>
      <c r="B1528" s="20" t="str">
        <f>HYPERLINK("https://twitter.com/nitinb8","@nitinb8")</f>
        <v>@nitinb8</v>
      </c>
      <c r="C1528" s="21" t="s">
        <v>3870</v>
      </c>
      <c r="D1528" s="21" t="s">
        <v>42</v>
      </c>
      <c r="E1528" s="22" t="str">
        <f>HYPERLINK("https://twitter.com/nitinb8/status/922399876905820162","922399876905820162")</f>
        <v>922399876905820162</v>
      </c>
      <c r="F1528" s="23" t="s">
        <v>43</v>
      </c>
      <c r="G1528" s="24">
        <v>65.0</v>
      </c>
      <c r="H1528" s="24">
        <v>146.0</v>
      </c>
      <c r="I1528" s="24">
        <v>8501.0</v>
      </c>
      <c r="J1528" s="24">
        <v>0.0</v>
      </c>
      <c r="K1528" s="23" t="s">
        <v>34</v>
      </c>
      <c r="L1528" s="25">
        <v>41325.27103009259</v>
      </c>
      <c r="M1528" s="26" t="s">
        <v>3871</v>
      </c>
      <c r="N1528" s="26" t="s">
        <v>3872</v>
      </c>
      <c r="O1528" s="22" t="str">
        <f t="shared" ref="O1528:O1529" si="17">HYPERLINK("https://abs.twimg.com/sticky/default_profile_images/default_profile_normal.png","View")</f>
        <v>View</v>
      </c>
      <c r="P1528" s="27"/>
    </row>
    <row r="1529">
      <c r="A1529" s="14">
        <v>43031.11857638889</v>
      </c>
      <c r="B1529" s="20" t="str">
        <f>HYPERLINK("https://twitter.com/kaerickson1","@kaerickson1")</f>
        <v>@kaerickson1</v>
      </c>
      <c r="C1529" s="21" t="s">
        <v>3789</v>
      </c>
      <c r="D1529" s="21" t="s">
        <v>3873</v>
      </c>
      <c r="E1529" s="22" t="str">
        <f>HYPERLINK("https://twitter.com/kaerickson1/status/922399888268251136","922399888268251136")</f>
        <v>922399888268251136</v>
      </c>
      <c r="F1529" s="23" t="s">
        <v>39</v>
      </c>
      <c r="G1529" s="24">
        <v>48.0</v>
      </c>
      <c r="H1529" s="24">
        <v>77.0</v>
      </c>
      <c r="I1529" s="24">
        <v>8.0</v>
      </c>
      <c r="J1529" s="24">
        <v>0.0</v>
      </c>
      <c r="K1529" s="23" t="s">
        <v>34</v>
      </c>
      <c r="L1529" s="25">
        <v>40286.28244212963</v>
      </c>
      <c r="M1529" s="28"/>
      <c r="N1529" s="26" t="s">
        <v>3790</v>
      </c>
      <c r="O1529" s="22" t="str">
        <f t="shared" si="17"/>
        <v>View</v>
      </c>
      <c r="P1529" s="27"/>
    </row>
    <row r="1530">
      <c r="A1530" s="14">
        <v>43031.11861111112</v>
      </c>
      <c r="B1530" s="20" t="str">
        <f>HYPERLINK("https://twitter.com/AnilCha35534207","@AnilCha35534207")</f>
        <v>@AnilCha35534207</v>
      </c>
      <c r="C1530" s="21" t="s">
        <v>3874</v>
      </c>
      <c r="D1530" s="21" t="s">
        <v>42</v>
      </c>
      <c r="E1530" s="22" t="str">
        <f>HYPERLINK("https://twitter.com/AnilCha35534207/status/922399902432448512","922399902432448512")</f>
        <v>922399902432448512</v>
      </c>
      <c r="F1530" s="23" t="s">
        <v>39</v>
      </c>
      <c r="G1530" s="24">
        <v>3.0</v>
      </c>
      <c r="H1530" s="24">
        <v>106.0</v>
      </c>
      <c r="I1530" s="24">
        <v>8501.0</v>
      </c>
      <c r="J1530" s="24">
        <v>0.0</v>
      </c>
      <c r="K1530" s="23" t="s">
        <v>34</v>
      </c>
      <c r="L1530" s="25">
        <v>43015.00039351852</v>
      </c>
      <c r="M1530" s="26" t="s">
        <v>3875</v>
      </c>
      <c r="N1530" s="26" t="s">
        <v>3876</v>
      </c>
      <c r="O1530" s="22" t="str">
        <f>HYPERLINK("https://pbs.twimg.com/profile_images/916559661452709888/-qGGEO7E_normal.jpg","View")</f>
        <v>View</v>
      </c>
      <c r="P1530" s="27"/>
    </row>
    <row r="1531">
      <c r="A1531" s="14">
        <v>43031.118622685186</v>
      </c>
      <c r="B1531" s="20" t="str">
        <f>HYPERLINK("https://twitter.com/KANHAIY95665337","@KANHAIY95665337")</f>
        <v>@KANHAIY95665337</v>
      </c>
      <c r="C1531" s="21" t="s">
        <v>3877</v>
      </c>
      <c r="D1531" s="21" t="s">
        <v>42</v>
      </c>
      <c r="E1531" s="22" t="str">
        <f>HYPERLINK("https://twitter.com/KANHAIY95665337/status/922399906668584960","922399906668584960")</f>
        <v>922399906668584960</v>
      </c>
      <c r="F1531" s="23" t="s">
        <v>33</v>
      </c>
      <c r="G1531" s="24">
        <v>3.0</v>
      </c>
      <c r="H1531" s="24">
        <v>30.0</v>
      </c>
      <c r="I1531" s="24">
        <v>8501.0</v>
      </c>
      <c r="J1531" s="24">
        <v>0.0</v>
      </c>
      <c r="K1531" s="23" t="s">
        <v>34</v>
      </c>
      <c r="L1531" s="25">
        <v>42892.03097222222</v>
      </c>
      <c r="M1531" s="26" t="s">
        <v>575</v>
      </c>
      <c r="N1531" s="26" t="s">
        <v>3878</v>
      </c>
      <c r="O1531" s="22" t="str">
        <f>HYPERLINK("https://pbs.twimg.com/profile_images/872049428374315008/trwx_7mN_normal.jpg","View")</f>
        <v>View</v>
      </c>
      <c r="P1531" s="27"/>
    </row>
    <row r="1532">
      <c r="A1532" s="14">
        <v>43031.118842592594</v>
      </c>
      <c r="B1532" s="20" t="str">
        <f>HYPERLINK("https://twitter.com/thearpitkatiyar","@thearpitkatiyar")</f>
        <v>@thearpitkatiyar</v>
      </c>
      <c r="C1532" s="21" t="s">
        <v>3879</v>
      </c>
      <c r="D1532" s="21" t="s">
        <v>42</v>
      </c>
      <c r="E1532" s="22" t="str">
        <f>HYPERLINK("https://twitter.com/thearpitkatiyar/status/922399985655787520","922399985655787520")</f>
        <v>922399985655787520</v>
      </c>
      <c r="F1532" s="23" t="s">
        <v>33</v>
      </c>
      <c r="G1532" s="24">
        <v>15060.0</v>
      </c>
      <c r="H1532" s="24">
        <v>10370.0</v>
      </c>
      <c r="I1532" s="24">
        <v>8501.0</v>
      </c>
      <c r="J1532" s="24">
        <v>0.0</v>
      </c>
      <c r="K1532" s="23" t="s">
        <v>34</v>
      </c>
      <c r="L1532" s="25">
        <v>42235.14671296296</v>
      </c>
      <c r="M1532" s="26" t="s">
        <v>3880</v>
      </c>
      <c r="N1532" s="26" t="s">
        <v>3881</v>
      </c>
      <c r="O1532" s="22" t="str">
        <f>HYPERLINK("https://pbs.twimg.com/profile_images/900653732727279616/nQ636tEz_normal.jpg","View")</f>
        <v>View</v>
      </c>
      <c r="P1532" s="27"/>
    </row>
    <row r="1533">
      <c r="A1533" s="14">
        <v>43031.118981481486</v>
      </c>
      <c r="B1533" s="20" t="str">
        <f>HYPERLINK("https://twitter.com/twistools_en","@twistools_en")</f>
        <v>@twistools_en</v>
      </c>
      <c r="C1533" s="21" t="s">
        <v>3882</v>
      </c>
      <c r="D1533" s="21" t="s">
        <v>3883</v>
      </c>
      <c r="E1533" s="22" t="str">
        <f>HYPERLINK("https://twitter.com/twistools_en/status/922400034049716225","922400034049716225")</f>
        <v>922400034049716225</v>
      </c>
      <c r="F1533" s="23" t="s">
        <v>3884</v>
      </c>
      <c r="G1533" s="24">
        <v>146238.0</v>
      </c>
      <c r="H1533" s="24">
        <v>421.0</v>
      </c>
      <c r="I1533" s="24">
        <v>2.0</v>
      </c>
      <c r="J1533" s="24">
        <v>0.0</v>
      </c>
      <c r="K1533" s="23" t="s">
        <v>34</v>
      </c>
      <c r="L1533" s="25">
        <v>41341.57958333333</v>
      </c>
      <c r="M1533" s="26" t="s">
        <v>3507</v>
      </c>
      <c r="N1533" s="26" t="s">
        <v>3885</v>
      </c>
      <c r="O1533" s="22" t="str">
        <f>HYPERLINK("https://pbs.twimg.com/profile_images/593468667712638978/0W4DmlPs_normal.png","View")</f>
        <v>View</v>
      </c>
      <c r="P1533" s="27"/>
    </row>
    <row r="1534">
      <c r="A1534" s="14">
        <v>43031.118981481486</v>
      </c>
      <c r="B1534" s="20" t="str">
        <f>HYPERLINK("https://twitter.com/AndreLildre2000","@AndreLildre2000")</f>
        <v>@AndreLildre2000</v>
      </c>
      <c r="C1534" s="21" t="s">
        <v>3886</v>
      </c>
      <c r="D1534" s="21" t="s">
        <v>2595</v>
      </c>
      <c r="E1534" s="22" t="str">
        <f>HYPERLINK("https://twitter.com/AndreLildre2000/status/922400036033413120","922400036033413120")</f>
        <v>922400036033413120</v>
      </c>
      <c r="F1534" s="23" t="s">
        <v>33</v>
      </c>
      <c r="G1534" s="24">
        <v>180.0</v>
      </c>
      <c r="H1534" s="24">
        <v>262.0</v>
      </c>
      <c r="I1534" s="24">
        <v>170.0</v>
      </c>
      <c r="J1534" s="24">
        <v>0.0</v>
      </c>
      <c r="K1534" s="23" t="s">
        <v>34</v>
      </c>
      <c r="L1534" s="25">
        <v>41340.895844907405</v>
      </c>
      <c r="M1534" s="26" t="s">
        <v>3887</v>
      </c>
      <c r="N1534" s="26" t="s">
        <v>3888</v>
      </c>
      <c r="O1534" s="22" t="str">
        <f>HYPERLINK("https://pbs.twimg.com/profile_images/922934051907833857/yPJJ2mHJ_normal.jpg","View")</f>
        <v>View</v>
      </c>
      <c r="P1534" s="27"/>
    </row>
    <row r="1535">
      <c r="A1535" s="14">
        <v>43031.119004629625</v>
      </c>
      <c r="B1535" s="20" t="str">
        <f>HYPERLINK("https://twitter.com/bsurveillance","@bsurveillance")</f>
        <v>@bsurveillance</v>
      </c>
      <c r="C1535" s="21" t="s">
        <v>3889</v>
      </c>
      <c r="D1535" s="21" t="s">
        <v>3890</v>
      </c>
      <c r="E1535" s="22" t="str">
        <f>HYPERLINK("https://twitter.com/bsurveillance/status/922400042148941825","922400042148941825")</f>
        <v>922400042148941825</v>
      </c>
      <c r="F1535" s="23" t="s">
        <v>55</v>
      </c>
      <c r="G1535" s="24">
        <v>32422.0</v>
      </c>
      <c r="H1535" s="24">
        <v>1338.0</v>
      </c>
      <c r="I1535" s="24">
        <v>1.0</v>
      </c>
      <c r="J1535" s="24">
        <v>0.0</v>
      </c>
      <c r="K1535" s="23" t="s">
        <v>34</v>
      </c>
      <c r="L1535" s="25">
        <v>39926.463842592595</v>
      </c>
      <c r="M1535" s="28"/>
      <c r="N1535" s="26" t="s">
        <v>3891</v>
      </c>
      <c r="O1535" s="22" t="str">
        <f>HYPERLINK("https://pbs.twimg.com/profile_images/653948597742997504/oyd0AD7O_normal.jpg","View")</f>
        <v>View</v>
      </c>
      <c r="P1535" s="27"/>
    </row>
    <row r="1536">
      <c r="A1536" s="14">
        <v>43031.119004629625</v>
      </c>
      <c r="B1536" s="20" t="str">
        <f>HYPERLINK("https://twitter.com/rayonkiran29","@rayonkiran29")</f>
        <v>@rayonkiran29</v>
      </c>
      <c r="C1536" s="21" t="s">
        <v>3892</v>
      </c>
      <c r="D1536" s="21" t="s">
        <v>42</v>
      </c>
      <c r="E1536" s="22" t="str">
        <f>HYPERLINK("https://twitter.com/rayonkiran29/status/922400042954113024","922400042954113024")</f>
        <v>922400042954113024</v>
      </c>
      <c r="F1536" s="23" t="s">
        <v>33</v>
      </c>
      <c r="G1536" s="24">
        <v>7.0</v>
      </c>
      <c r="H1536" s="24">
        <v>145.0</v>
      </c>
      <c r="I1536" s="24">
        <v>8501.0</v>
      </c>
      <c r="J1536" s="24">
        <v>0.0</v>
      </c>
      <c r="K1536" s="23" t="s">
        <v>34</v>
      </c>
      <c r="L1536" s="25">
        <v>40660.34091435185</v>
      </c>
      <c r="M1536" s="26" t="s">
        <v>96</v>
      </c>
      <c r="N1536" s="26" t="s">
        <v>3893</v>
      </c>
      <c r="O1536" s="22" t="str">
        <f>HYPERLINK("https://pbs.twimg.com/profile_images/2657527559/64e8cddda454a30cca67012fbd364cab_normal.jpeg","View")</f>
        <v>View</v>
      </c>
      <c r="P1536" s="27"/>
    </row>
    <row r="1537">
      <c r="A1537" s="14">
        <v>43031.11902777778</v>
      </c>
      <c r="B1537" s="20" t="str">
        <f>HYPERLINK("https://twitter.com/colleggedropout","@colleggedropout")</f>
        <v>@colleggedropout</v>
      </c>
      <c r="C1537" s="21" t="s">
        <v>3894</v>
      </c>
      <c r="D1537" s="21" t="s">
        <v>32</v>
      </c>
      <c r="E1537" s="22" t="str">
        <f>HYPERLINK("https://twitter.com/colleggedropout/status/922400054203289600","922400054203289600")</f>
        <v>922400054203289600</v>
      </c>
      <c r="F1537" s="23" t="s">
        <v>3895</v>
      </c>
      <c r="G1537" s="24">
        <v>421.0</v>
      </c>
      <c r="H1537" s="24">
        <v>481.0</v>
      </c>
      <c r="I1537" s="24">
        <v>471.0</v>
      </c>
      <c r="J1537" s="24">
        <v>0.0</v>
      </c>
      <c r="K1537" s="23" t="s">
        <v>34</v>
      </c>
      <c r="L1537" s="25">
        <v>40727.207291666666</v>
      </c>
      <c r="M1537" s="28"/>
      <c r="N1537" s="26" t="s">
        <v>3896</v>
      </c>
      <c r="O1537" s="22" t="str">
        <f>HYPERLINK("https://pbs.twimg.com/profile_images/918199165896839168/yE_MJrVK_normal.jpg","View")</f>
        <v>View</v>
      </c>
      <c r="P1537" s="27"/>
    </row>
    <row r="1538">
      <c r="A1538" s="14">
        <v>43031.11903935185</v>
      </c>
      <c r="B1538" s="20" t="str">
        <f>HYPERLINK("https://twitter.com/anupamsharma96","@anupamsharma96")</f>
        <v>@anupamsharma96</v>
      </c>
      <c r="C1538" s="21" t="s">
        <v>3897</v>
      </c>
      <c r="D1538" s="21" t="s">
        <v>42</v>
      </c>
      <c r="E1538" s="22" t="str">
        <f>HYPERLINK("https://twitter.com/anupamsharma96/status/922400057491521536","922400057491521536")</f>
        <v>922400057491521536</v>
      </c>
      <c r="F1538" s="23" t="s">
        <v>55</v>
      </c>
      <c r="G1538" s="24">
        <v>2191.0</v>
      </c>
      <c r="H1538" s="24">
        <v>1981.0</v>
      </c>
      <c r="I1538" s="24">
        <v>8501.0</v>
      </c>
      <c r="J1538" s="24">
        <v>0.0</v>
      </c>
      <c r="K1538" s="23" t="s">
        <v>34</v>
      </c>
      <c r="L1538" s="25">
        <v>40464.460810185185</v>
      </c>
      <c r="M1538" s="26" t="s">
        <v>3898</v>
      </c>
      <c r="N1538" s="26" t="s">
        <v>3899</v>
      </c>
      <c r="O1538" s="22" t="str">
        <f>HYPERLINK("https://pbs.twimg.com/profile_images/860333134533013505/SjxOY615_normal.jpg","View")</f>
        <v>View</v>
      </c>
      <c r="P1538" s="27"/>
    </row>
    <row r="1539">
      <c r="A1539" s="14">
        <v>43031.119108796294</v>
      </c>
      <c r="B1539" s="20" t="str">
        <f>HYPERLINK("https://twitter.com/SumanSo55285201","@SumanSo55285201")</f>
        <v>@SumanSo55285201</v>
      </c>
      <c r="C1539" s="21" t="s">
        <v>3900</v>
      </c>
      <c r="D1539" s="21" t="s">
        <v>42</v>
      </c>
      <c r="E1539" s="22" t="str">
        <f>HYPERLINK("https://twitter.com/SumanSo55285201/status/922400083026386944","922400083026386944")</f>
        <v>922400083026386944</v>
      </c>
      <c r="F1539" s="23" t="s">
        <v>33</v>
      </c>
      <c r="G1539" s="24">
        <v>77.0</v>
      </c>
      <c r="H1539" s="24">
        <v>41.0</v>
      </c>
      <c r="I1539" s="24">
        <v>8501.0</v>
      </c>
      <c r="J1539" s="24">
        <v>0.0</v>
      </c>
      <c r="K1539" s="23" t="s">
        <v>34</v>
      </c>
      <c r="L1539" s="25">
        <v>42810.11263888889</v>
      </c>
      <c r="M1539" s="26" t="s">
        <v>3901</v>
      </c>
      <c r="N1539" s="26" t="s">
        <v>3902</v>
      </c>
      <c r="O1539" s="22" t="str">
        <f>HYPERLINK("https://pbs.twimg.com/profile_images/876438532537155584/o_8Lkv4S_normal.jpg","View")</f>
        <v>View</v>
      </c>
      <c r="P1539" s="27"/>
    </row>
    <row r="1540">
      <c r="A1540" s="14">
        <v>43031.11913194445</v>
      </c>
      <c r="B1540" s="20" t="str">
        <f>HYPERLINK("https://twitter.com/JadhavShivaji12","@JadhavShivaji12")</f>
        <v>@JadhavShivaji12</v>
      </c>
      <c r="C1540" s="21" t="s">
        <v>3903</v>
      </c>
      <c r="D1540" s="21" t="s">
        <v>42</v>
      </c>
      <c r="E1540" s="22" t="str">
        <f>HYPERLINK("https://twitter.com/JadhavShivaji12/status/922400088336535553","922400088336535553")</f>
        <v>922400088336535553</v>
      </c>
      <c r="F1540" s="23" t="s">
        <v>39</v>
      </c>
      <c r="G1540" s="24">
        <v>28.0</v>
      </c>
      <c r="H1540" s="24">
        <v>241.0</v>
      </c>
      <c r="I1540" s="24">
        <v>8501.0</v>
      </c>
      <c r="J1540" s="24">
        <v>0.0</v>
      </c>
      <c r="K1540" s="23" t="s">
        <v>34</v>
      </c>
      <c r="L1540" s="25">
        <v>42193.42192129629</v>
      </c>
      <c r="M1540" s="26" t="s">
        <v>3904</v>
      </c>
      <c r="N1540" s="26" t="s">
        <v>3905</v>
      </c>
      <c r="O1540" s="22" t="str">
        <f>HYPERLINK("https://pbs.twimg.com/profile_images/749641676558331904/E9m79y6Y_normal.jpg","View")</f>
        <v>View</v>
      </c>
      <c r="P1540" s="27"/>
    </row>
    <row r="1541">
      <c r="A1541" s="14">
        <v>43031.11916666667</v>
      </c>
      <c r="B1541" s="20" t="str">
        <f>HYPERLINK("https://twitter.com/timelivenews","@timelivenews")</f>
        <v>@timelivenews</v>
      </c>
      <c r="C1541" s="21" t="s">
        <v>2820</v>
      </c>
      <c r="D1541" s="21" t="s">
        <v>3906</v>
      </c>
      <c r="E1541" s="22" t="str">
        <f>HYPERLINK("https://twitter.com/timelivenews/status/922400102886420480","922400102886420480")</f>
        <v>922400102886420480</v>
      </c>
      <c r="F1541" s="23" t="s">
        <v>55</v>
      </c>
      <c r="G1541" s="24">
        <v>1004.0</v>
      </c>
      <c r="H1541" s="24">
        <v>1997.0</v>
      </c>
      <c r="I1541" s="24">
        <v>0.0</v>
      </c>
      <c r="J1541" s="24">
        <v>0.0</v>
      </c>
      <c r="K1541" s="23" t="s">
        <v>34</v>
      </c>
      <c r="L1541" s="25">
        <v>41173.31891203704</v>
      </c>
      <c r="M1541" s="28"/>
      <c r="N1541" s="28"/>
      <c r="O1541" s="22" t="str">
        <f>HYPERLINK("https://pbs.twimg.com/profile_images/2645914047/c79803e0dea4e4b85f99f5b019bf0f4c_normal.png","View")</f>
        <v>View</v>
      </c>
      <c r="P1541" s="27"/>
    </row>
    <row r="1542">
      <c r="A1542" s="14">
        <v>43031.11928240741</v>
      </c>
      <c r="B1542" s="20" t="str">
        <f>HYPERLINK("https://twitter.com/DIndiatripura","@DIndiatripura")</f>
        <v>@DIndiatripura</v>
      </c>
      <c r="C1542" s="21" t="s">
        <v>3907</v>
      </c>
      <c r="D1542" s="21" t="s">
        <v>42</v>
      </c>
      <c r="E1542" s="22" t="str">
        <f>HYPERLINK("https://twitter.com/DIndiatripura/status/922400145064411136","922400145064411136")</f>
        <v>922400145064411136</v>
      </c>
      <c r="F1542" s="23" t="s">
        <v>33</v>
      </c>
      <c r="G1542" s="24">
        <v>2.0</v>
      </c>
      <c r="H1542" s="24">
        <v>110.0</v>
      </c>
      <c r="I1542" s="24">
        <v>8501.0</v>
      </c>
      <c r="J1542" s="24">
        <v>0.0</v>
      </c>
      <c r="K1542" s="23" t="s">
        <v>34</v>
      </c>
      <c r="L1542" s="25">
        <v>42984.474745370375</v>
      </c>
      <c r="M1542" s="26" t="s">
        <v>227</v>
      </c>
      <c r="N1542" s="26" t="s">
        <v>3908</v>
      </c>
      <c r="O1542" s="22" t="str">
        <f>HYPERLINK("https://pbs.twimg.com/profile_images/921642459699953664/XuU2N6Qe_normal.jpg","View")</f>
        <v>View</v>
      </c>
      <c r="P1542" s="27"/>
    </row>
    <row r="1543">
      <c r="A1543" s="14">
        <v>43031.119305555556</v>
      </c>
      <c r="B1543" s="20" t="str">
        <f>HYPERLINK("https://twitter.com/fusasippona","@fusasippona")</f>
        <v>@fusasippona</v>
      </c>
      <c r="C1543" s="21" t="s">
        <v>1857</v>
      </c>
      <c r="D1543" s="21" t="s">
        <v>3867</v>
      </c>
      <c r="E1543" s="22" t="str">
        <f>HYPERLINK("https://twitter.com/fusasippona/status/922400151880085504","922400151880085504")</f>
        <v>922400151880085504</v>
      </c>
      <c r="F1543" s="23" t="s">
        <v>55</v>
      </c>
      <c r="G1543" s="24">
        <v>1435.0</v>
      </c>
      <c r="H1543" s="24">
        <v>1673.0</v>
      </c>
      <c r="I1543" s="24">
        <v>23.0</v>
      </c>
      <c r="J1543" s="24">
        <v>0.0</v>
      </c>
      <c r="K1543" s="23" t="s">
        <v>34</v>
      </c>
      <c r="L1543" s="25">
        <v>40246.03875</v>
      </c>
      <c r="M1543" s="28"/>
      <c r="N1543" s="26" t="s">
        <v>1859</v>
      </c>
      <c r="O1543" s="22" t="str">
        <f>HYPERLINK("https://pbs.twimg.com/profile_images/754306736643645440/Hwgedab0_normal.jpg","View")</f>
        <v>View</v>
      </c>
      <c r="P1543" s="27"/>
    </row>
    <row r="1544">
      <c r="A1544" s="14">
        <v>43031.119351851856</v>
      </c>
      <c r="B1544" s="20" t="str">
        <f>HYPERLINK("https://twitter.com/desuyo_poketai","@desuyo_poketai")</f>
        <v>@desuyo_poketai</v>
      </c>
      <c r="C1544" s="21" t="s">
        <v>3909</v>
      </c>
      <c r="D1544" s="21" t="s">
        <v>3626</v>
      </c>
      <c r="E1544" s="22" t="str">
        <f>HYPERLINK("https://twitter.com/desuyo_poketai/status/922400169332686849","922400169332686849")</f>
        <v>922400169332686849</v>
      </c>
      <c r="F1544" s="23" t="s">
        <v>39</v>
      </c>
      <c r="G1544" s="24">
        <v>4560.0</v>
      </c>
      <c r="H1544" s="24">
        <v>4413.0</v>
      </c>
      <c r="I1544" s="24">
        <v>27.0</v>
      </c>
      <c r="J1544" s="24">
        <v>0.0</v>
      </c>
      <c r="K1544" s="23" t="s">
        <v>34</v>
      </c>
      <c r="L1544" s="25">
        <v>41944.80228009259</v>
      </c>
      <c r="M1544" s="26" t="s">
        <v>3910</v>
      </c>
      <c r="N1544" s="26" t="s">
        <v>3911</v>
      </c>
      <c r="O1544" s="22" t="str">
        <f>HYPERLINK("https://pbs.twimg.com/profile_images/679558247783661568/3shRo3bT_normal.png","View")</f>
        <v>View</v>
      </c>
      <c r="P1544" s="27"/>
    </row>
    <row r="1545">
      <c r="A1545" s="14">
        <v>43031.11951388889</v>
      </c>
      <c r="B1545" s="20" t="str">
        <f>HYPERLINK("https://twitter.com/kaynyk","@kaynyk")</f>
        <v>@kaynyk</v>
      </c>
      <c r="C1545" s="21" t="s">
        <v>3912</v>
      </c>
      <c r="D1545" s="21" t="s">
        <v>42</v>
      </c>
      <c r="E1545" s="22" t="str">
        <f>HYPERLINK("https://twitter.com/kaynyk/status/922400226606026752","922400226606026752")</f>
        <v>922400226606026752</v>
      </c>
      <c r="F1545" s="23" t="s">
        <v>33</v>
      </c>
      <c r="G1545" s="24">
        <v>150.0</v>
      </c>
      <c r="H1545" s="24">
        <v>139.0</v>
      </c>
      <c r="I1545" s="24">
        <v>8501.0</v>
      </c>
      <c r="J1545" s="24">
        <v>0.0</v>
      </c>
      <c r="K1545" s="23" t="s">
        <v>34</v>
      </c>
      <c r="L1545" s="25">
        <v>39997.503333333334</v>
      </c>
      <c r="M1545" s="26" t="s">
        <v>3913</v>
      </c>
      <c r="N1545" s="26" t="s">
        <v>3914</v>
      </c>
      <c r="O1545" s="22" t="str">
        <f>HYPERLINK("https://pbs.twimg.com/profile_images/888757726360334337/vd3WFSRe_normal.jpg","View")</f>
        <v>View</v>
      </c>
      <c r="P1545" s="27"/>
    </row>
    <row r="1546">
      <c r="A1546" s="14">
        <v>43031.11957175926</v>
      </c>
      <c r="B1546" s="20" t="str">
        <f>HYPERLINK("https://twitter.com/adeeeola","@adeeeola")</f>
        <v>@adeeeola</v>
      </c>
      <c r="C1546" s="21" t="s">
        <v>3915</v>
      </c>
      <c r="D1546" s="21" t="s">
        <v>2595</v>
      </c>
      <c r="E1546" s="22" t="str">
        <f>HYPERLINK("https://twitter.com/adeeeola/status/922400248131211264","922400248131211264")</f>
        <v>922400248131211264</v>
      </c>
      <c r="F1546" s="23" t="s">
        <v>39</v>
      </c>
      <c r="G1546" s="24">
        <v>553.0</v>
      </c>
      <c r="H1546" s="24">
        <v>487.0</v>
      </c>
      <c r="I1546" s="24">
        <v>170.0</v>
      </c>
      <c r="J1546" s="24">
        <v>0.0</v>
      </c>
      <c r="K1546" s="23" t="s">
        <v>34</v>
      </c>
      <c r="L1546" s="25">
        <v>41458.22922453703</v>
      </c>
      <c r="M1546" s="26" t="s">
        <v>3916</v>
      </c>
      <c r="N1546" s="26" t="s">
        <v>3917</v>
      </c>
      <c r="O1546" s="22" t="str">
        <f>HYPERLINK("https://pbs.twimg.com/profile_images/918469339375964160/HteTQ9k__normal.jpg","View")</f>
        <v>View</v>
      </c>
      <c r="P1546" s="27"/>
    </row>
    <row r="1547">
      <c r="A1547" s="14">
        <v>43031.11958333333</v>
      </c>
      <c r="B1547" s="20" t="str">
        <f>HYPERLINK("https://twitter.com/ombirchauhanbjp","@ombirchauhanbjp")</f>
        <v>@ombirchauhanbjp</v>
      </c>
      <c r="C1547" s="21" t="s">
        <v>3918</v>
      </c>
      <c r="D1547" s="21" t="s">
        <v>42</v>
      </c>
      <c r="E1547" s="22" t="str">
        <f>HYPERLINK("https://twitter.com/ombirchauhanbjp/status/922400252757282817","922400252757282817")</f>
        <v>922400252757282817</v>
      </c>
      <c r="F1547" s="23" t="s">
        <v>33</v>
      </c>
      <c r="G1547" s="24">
        <v>359.0</v>
      </c>
      <c r="H1547" s="24">
        <v>3057.0</v>
      </c>
      <c r="I1547" s="24">
        <v>8501.0</v>
      </c>
      <c r="J1547" s="24">
        <v>0.0</v>
      </c>
      <c r="K1547" s="23" t="s">
        <v>34</v>
      </c>
      <c r="L1547" s="25">
        <v>43010.21865740741</v>
      </c>
      <c r="M1547" s="26" t="s">
        <v>3919</v>
      </c>
      <c r="N1547" s="26" t="s">
        <v>3920</v>
      </c>
      <c r="O1547" s="22" t="str">
        <f>HYPERLINK("https://pbs.twimg.com/profile_images/915814766383206400/TS5oiHG7_normal.jpg","View")</f>
        <v>View</v>
      </c>
      <c r="P1547" s="27"/>
    </row>
    <row r="1548">
      <c r="A1548" s="14">
        <v>43031.11958333333</v>
      </c>
      <c r="B1548" s="20" t="str">
        <f>HYPERLINK("https://twitter.com/Lady_Penquin","@Lady_Penquin")</f>
        <v>@Lady_Penquin</v>
      </c>
      <c r="C1548" s="21" t="s">
        <v>3921</v>
      </c>
      <c r="D1548" s="21" t="s">
        <v>42</v>
      </c>
      <c r="E1548" s="22" t="str">
        <f>HYPERLINK("https://twitter.com/Lady_Penquin/status/922400252996542464","922400252996542464")</f>
        <v>922400252996542464</v>
      </c>
      <c r="F1548" s="23" t="s">
        <v>55</v>
      </c>
      <c r="G1548" s="24">
        <v>3539.0</v>
      </c>
      <c r="H1548" s="24">
        <v>2775.0</v>
      </c>
      <c r="I1548" s="24">
        <v>8501.0</v>
      </c>
      <c r="J1548" s="24">
        <v>0.0</v>
      </c>
      <c r="K1548" s="23" t="s">
        <v>34</v>
      </c>
      <c r="L1548" s="25">
        <v>40367.218622685185</v>
      </c>
      <c r="M1548" s="26" t="s">
        <v>3922</v>
      </c>
      <c r="N1548" s="26" t="s">
        <v>3923</v>
      </c>
      <c r="O1548" s="22" t="str">
        <f>HYPERLINK("https://pbs.twimg.com/profile_images/1061856196/penguin2_1__normal.jpg","View")</f>
        <v>View</v>
      </c>
      <c r="P1548" s="27"/>
    </row>
    <row r="1549">
      <c r="A1549" s="14">
        <v>43031.119618055556</v>
      </c>
      <c r="B1549" s="20" t="str">
        <f>HYPERLINK("https://twitter.com/AabisUmm","@AabisUmm")</f>
        <v>@AabisUmm</v>
      </c>
      <c r="C1549" s="21" t="s">
        <v>3924</v>
      </c>
      <c r="D1549" s="21" t="s">
        <v>3748</v>
      </c>
      <c r="E1549" s="22" t="str">
        <f>HYPERLINK("https://twitter.com/AabisUmm/status/922400264451231744","922400264451231744")</f>
        <v>922400264451231744</v>
      </c>
      <c r="F1549" s="23" t="s">
        <v>33</v>
      </c>
      <c r="G1549" s="24">
        <v>368.0</v>
      </c>
      <c r="H1549" s="24">
        <v>569.0</v>
      </c>
      <c r="I1549" s="24">
        <v>10.0</v>
      </c>
      <c r="J1549" s="24">
        <v>0.0</v>
      </c>
      <c r="K1549" s="23" t="s">
        <v>34</v>
      </c>
      <c r="L1549" s="25">
        <v>42244.12070601852</v>
      </c>
      <c r="M1549" s="28"/>
      <c r="N1549" s="26" t="s">
        <v>3925</v>
      </c>
      <c r="O1549" s="22" t="str">
        <f>HYPERLINK("https://pbs.twimg.com/profile_images/641573978306387969/kZvlWF_5_normal.jpg","View")</f>
        <v>View</v>
      </c>
      <c r="P1549" s="27"/>
    </row>
    <row r="1550">
      <c r="A1550" s="14">
        <v>43031.119618055556</v>
      </c>
      <c r="B1550" s="20" t="str">
        <f>HYPERLINK("https://twitter.com/elimashe","@elimashe")</f>
        <v>@elimashe</v>
      </c>
      <c r="C1550" s="21" t="s">
        <v>3926</v>
      </c>
      <c r="D1550" s="21" t="s">
        <v>32</v>
      </c>
      <c r="E1550" s="22" t="str">
        <f>HYPERLINK("https://twitter.com/elimashe/status/922400266703527936","922400266703527936")</f>
        <v>922400266703527936</v>
      </c>
      <c r="F1550" s="23" t="s">
        <v>33</v>
      </c>
      <c r="G1550" s="24">
        <v>1187.0</v>
      </c>
      <c r="H1550" s="24">
        <v>2332.0</v>
      </c>
      <c r="I1550" s="24">
        <v>471.0</v>
      </c>
      <c r="J1550" s="24">
        <v>0.0</v>
      </c>
      <c r="K1550" s="23" t="s">
        <v>34</v>
      </c>
      <c r="L1550" s="25">
        <v>42285.27410879629</v>
      </c>
      <c r="M1550" s="28"/>
      <c r="N1550" s="28"/>
      <c r="O1550" s="22" t="str">
        <f>HYPERLINK("https://pbs.twimg.com/profile_images/918052706949959680/YnKpJfY8_normal.jpg","View")</f>
        <v>View</v>
      </c>
      <c r="P1550" s="27"/>
    </row>
    <row r="1551">
      <c r="A1551" s="14">
        <v>43031.1196412037</v>
      </c>
      <c r="B1551" s="20" t="str">
        <f>HYPERLINK("https://twitter.com/3X04N0N","@3X04N0N")</f>
        <v>@3X04N0N</v>
      </c>
      <c r="C1551" s="21" t="s">
        <v>3927</v>
      </c>
      <c r="D1551" s="21" t="s">
        <v>3928</v>
      </c>
      <c r="E1551" s="22" t="str">
        <f>HYPERLINK("https://twitter.com/3X04N0N/status/922400272659505152","922400272659505152")</f>
        <v>922400272659505152</v>
      </c>
      <c r="F1551" s="23" t="s">
        <v>187</v>
      </c>
      <c r="G1551" s="24">
        <v>915.0</v>
      </c>
      <c r="H1551" s="24">
        <v>295.0</v>
      </c>
      <c r="I1551" s="24">
        <v>0.0</v>
      </c>
      <c r="J1551" s="24">
        <v>0.0</v>
      </c>
      <c r="K1551" s="23" t="s">
        <v>34</v>
      </c>
      <c r="L1551" s="25">
        <v>42066.56685185185</v>
      </c>
      <c r="M1551" s="28"/>
      <c r="N1551" s="26" t="s">
        <v>3929</v>
      </c>
      <c r="O1551" s="22" t="str">
        <f>HYPERLINK("https://pbs.twimg.com/profile_images/793550507205914625/qBVxzsrU_normal.jpg","View")</f>
        <v>View</v>
      </c>
      <c r="P1551" s="27"/>
    </row>
    <row r="1552">
      <c r="A1552" s="14">
        <v>43031.11966435185</v>
      </c>
      <c r="B1552" s="20" t="str">
        <f>HYPERLINK("https://twitter.com/CNBCTradersFan","@CNBCTradersFan")</f>
        <v>@CNBCTradersFan</v>
      </c>
      <c r="C1552" s="21" t="s">
        <v>1945</v>
      </c>
      <c r="D1552" s="21" t="s">
        <v>3930</v>
      </c>
      <c r="E1552" s="22" t="str">
        <f>HYPERLINK("https://twitter.com/CNBCTradersFan/status/922400283891847168","922400283891847168")</f>
        <v>922400283891847168</v>
      </c>
      <c r="F1552" s="23" t="s">
        <v>187</v>
      </c>
      <c r="G1552" s="24">
        <v>17128.0</v>
      </c>
      <c r="H1552" s="24">
        <v>11615.0</v>
      </c>
      <c r="I1552" s="24">
        <v>0.0</v>
      </c>
      <c r="J1552" s="24">
        <v>0.0</v>
      </c>
      <c r="K1552" s="23" t="s">
        <v>34</v>
      </c>
      <c r="L1552" s="25">
        <v>40922.50542824074</v>
      </c>
      <c r="M1552" s="26" t="s">
        <v>1947</v>
      </c>
      <c r="N1552" s="26" t="s">
        <v>1948</v>
      </c>
      <c r="O1552" s="22" t="str">
        <f>HYPERLINK("https://pbs.twimg.com/profile_images/731870469318684672/Ckf7rDdJ_normal.jpg","View")</f>
        <v>View</v>
      </c>
      <c r="P1552" s="27"/>
    </row>
    <row r="1553">
      <c r="A1553" s="14">
        <v>43031.11980324074</v>
      </c>
      <c r="B1553" s="20" t="str">
        <f>HYPERLINK("https://twitter.com/kuronyun0107","@kuronyun0107")</f>
        <v>@kuronyun0107</v>
      </c>
      <c r="C1553" s="21" t="s">
        <v>3931</v>
      </c>
      <c r="D1553" s="21" t="s">
        <v>42</v>
      </c>
      <c r="E1553" s="22" t="str">
        <f>HYPERLINK("https://twitter.com/kuronyun0107/status/922400333711622144","922400333711622144")</f>
        <v>922400333711622144</v>
      </c>
      <c r="F1553" s="23" t="s">
        <v>39</v>
      </c>
      <c r="G1553" s="24">
        <v>263.0</v>
      </c>
      <c r="H1553" s="24">
        <v>465.0</v>
      </c>
      <c r="I1553" s="24">
        <v>8501.0</v>
      </c>
      <c r="J1553" s="24">
        <v>0.0</v>
      </c>
      <c r="K1553" s="23" t="s">
        <v>34</v>
      </c>
      <c r="L1553" s="25">
        <v>42570.907905092594</v>
      </c>
      <c r="M1553" s="26" t="s">
        <v>3932</v>
      </c>
      <c r="N1553" s="26" t="s">
        <v>3933</v>
      </c>
      <c r="O1553" s="22" t="str">
        <f>HYPERLINK("https://pbs.twimg.com/profile_images/922481367190880257/wjhzA1dR_normal.jpg","View")</f>
        <v>View</v>
      </c>
      <c r="P1553" s="27"/>
    </row>
    <row r="1554">
      <c r="A1554" s="14">
        <v>43031.11990740741</v>
      </c>
      <c r="B1554" s="20" t="str">
        <f>HYPERLINK("https://twitter.com/jitendra60singh","@jitendra60singh")</f>
        <v>@jitendra60singh</v>
      </c>
      <c r="C1554" s="21" t="s">
        <v>3934</v>
      </c>
      <c r="D1554" s="21" t="s">
        <v>42</v>
      </c>
      <c r="E1554" s="22" t="str">
        <f>HYPERLINK("https://twitter.com/jitendra60singh/status/922400372844478464","922400372844478464")</f>
        <v>922400372844478464</v>
      </c>
      <c r="F1554" s="23" t="s">
        <v>39</v>
      </c>
      <c r="G1554" s="24">
        <v>77.0</v>
      </c>
      <c r="H1554" s="24">
        <v>173.0</v>
      </c>
      <c r="I1554" s="24">
        <v>8501.0</v>
      </c>
      <c r="J1554" s="24">
        <v>0.0</v>
      </c>
      <c r="K1554" s="23" t="s">
        <v>34</v>
      </c>
      <c r="L1554" s="25">
        <v>40301.0471875</v>
      </c>
      <c r="M1554" s="28"/>
      <c r="N1554" s="28"/>
      <c r="O1554" s="22" t="str">
        <f>HYPERLINK("https://pbs.twimg.com/profile_images/799298240675975168/XpsQHOV1_normal.jpg","View")</f>
        <v>View</v>
      </c>
      <c r="P1554" s="27"/>
    </row>
    <row r="1555">
      <c r="A1555" s="14">
        <v>43031.12003472222</v>
      </c>
      <c r="B1555" s="20" t="str">
        <f>HYPERLINK("https://twitter.com/koyaman31","@koyaman31")</f>
        <v>@koyaman31</v>
      </c>
      <c r="C1555" s="21" t="s">
        <v>3935</v>
      </c>
      <c r="D1555" s="21" t="s">
        <v>42</v>
      </c>
      <c r="E1555" s="22" t="str">
        <f>HYPERLINK("https://twitter.com/koyaman31/status/922400419107631104","922400419107631104")</f>
        <v>922400419107631104</v>
      </c>
      <c r="F1555" s="23" t="s">
        <v>33</v>
      </c>
      <c r="G1555" s="24">
        <v>353.0</v>
      </c>
      <c r="H1555" s="24">
        <v>703.0</v>
      </c>
      <c r="I1555" s="24">
        <v>8501.0</v>
      </c>
      <c r="J1555" s="24">
        <v>0.0</v>
      </c>
      <c r="K1555" s="23" t="s">
        <v>34</v>
      </c>
      <c r="L1555" s="25">
        <v>42360.19428240741</v>
      </c>
      <c r="M1555" s="28"/>
      <c r="N1555" s="26" t="s">
        <v>3936</v>
      </c>
      <c r="O1555" s="22" t="str">
        <f>HYPERLINK("https://pbs.twimg.com/profile_images/679281146299977729/RQ2AR4Ic_normal.jpg","View")</f>
        <v>View</v>
      </c>
      <c r="P1555" s="27"/>
    </row>
    <row r="1556">
      <c r="A1556" s="14">
        <v>43031.120046296295</v>
      </c>
      <c r="B1556" s="20" t="str">
        <f>HYPERLINK("https://twitter.com/business","@business")</f>
        <v>@business</v>
      </c>
      <c r="C1556" s="21" t="s">
        <v>3937</v>
      </c>
      <c r="D1556" s="21" t="s">
        <v>3938</v>
      </c>
      <c r="E1556" s="22" t="str">
        <f>HYPERLINK("https://twitter.com/business/status/922400419418116096","922400419418116096")</f>
        <v>922400419418116096</v>
      </c>
      <c r="F1556" s="23" t="s">
        <v>1103</v>
      </c>
      <c r="G1556" s="24">
        <v>4337406.0</v>
      </c>
      <c r="H1556" s="24">
        <v>1088.0</v>
      </c>
      <c r="I1556" s="24">
        <v>14.0</v>
      </c>
      <c r="J1556" s="24">
        <v>20.0</v>
      </c>
      <c r="K1556" s="23" t="s">
        <v>34</v>
      </c>
      <c r="L1556" s="25">
        <v>39926.545335648145</v>
      </c>
      <c r="M1556" s="26" t="s">
        <v>3939</v>
      </c>
      <c r="N1556" s="26" t="s">
        <v>3940</v>
      </c>
      <c r="O1556" s="22" t="str">
        <f>HYPERLINK("https://pbs.twimg.com/profile_images/714946924105883648/4fgNVF4H_normal.jpg","View")</f>
        <v>View</v>
      </c>
      <c r="P1556" s="27"/>
    </row>
    <row r="1557">
      <c r="A1557" s="14">
        <v>43031.12012731482</v>
      </c>
      <c r="B1557" s="20" t="str">
        <f>HYPERLINK("https://twitter.com/cbs46","@cbs46")</f>
        <v>@cbs46</v>
      </c>
      <c r="C1557" s="21" t="s">
        <v>3941</v>
      </c>
      <c r="D1557" s="21" t="s">
        <v>3942</v>
      </c>
      <c r="E1557" s="22" t="str">
        <f>HYPERLINK("https://twitter.com/cbs46/status/922400450917396480","922400450917396480")</f>
        <v>922400450917396480</v>
      </c>
      <c r="F1557" s="23" t="s">
        <v>3298</v>
      </c>
      <c r="G1557" s="24">
        <v>74534.0</v>
      </c>
      <c r="H1557" s="24">
        <v>1886.0</v>
      </c>
      <c r="I1557" s="24">
        <v>0.0</v>
      </c>
      <c r="J1557" s="24">
        <v>0.0</v>
      </c>
      <c r="K1557" s="23" t="s">
        <v>34</v>
      </c>
      <c r="L1557" s="25">
        <v>40144.59413194445</v>
      </c>
      <c r="M1557" s="26" t="s">
        <v>3943</v>
      </c>
      <c r="N1557" s="26" t="s">
        <v>3944</v>
      </c>
      <c r="O1557" s="22" t="str">
        <f>HYPERLINK("https://pbs.twimg.com/profile_images/723709828535848960/x5powsHT_normal.jpg","View")</f>
        <v>View</v>
      </c>
      <c r="P1557" s="27"/>
    </row>
    <row r="1558">
      <c r="A1558" s="14">
        <v>43031.120150462964</v>
      </c>
      <c r="B1558" s="20" t="str">
        <f>HYPERLINK("https://twitter.com/Atheist_vashali","@Atheist_vashali")</f>
        <v>@Atheist_vashali</v>
      </c>
      <c r="C1558" s="21" t="s">
        <v>3945</v>
      </c>
      <c r="D1558" s="21" t="s">
        <v>42</v>
      </c>
      <c r="E1558" s="22" t="str">
        <f>HYPERLINK("https://twitter.com/Atheist_vashali/status/922400458357948416","922400458357948416")</f>
        <v>922400458357948416</v>
      </c>
      <c r="F1558" s="23" t="s">
        <v>33</v>
      </c>
      <c r="G1558" s="24">
        <v>4927.0</v>
      </c>
      <c r="H1558" s="24">
        <v>23.0</v>
      </c>
      <c r="I1558" s="24">
        <v>8501.0</v>
      </c>
      <c r="J1558" s="24">
        <v>0.0</v>
      </c>
      <c r="K1558" s="23" t="s">
        <v>34</v>
      </c>
      <c r="L1558" s="25">
        <v>42841.49083333333</v>
      </c>
      <c r="M1558" s="26" t="s">
        <v>2761</v>
      </c>
      <c r="N1558" s="26" t="s">
        <v>3946</v>
      </c>
      <c r="O1558" s="22" t="str">
        <f>HYPERLINK("https://pbs.twimg.com/profile_images/922986777035411456/XqEjNQ2q_normal.jpg","View")</f>
        <v>View</v>
      </c>
      <c r="P1558" s="27"/>
    </row>
    <row r="1559">
      <c r="A1559" s="14">
        <v>43031.120150462964</v>
      </c>
      <c r="B1559" s="20" t="str">
        <f>HYPERLINK("https://twitter.com/singhpariharS","@singhpariharS")</f>
        <v>@singhpariharS</v>
      </c>
      <c r="C1559" s="21" t="s">
        <v>3947</v>
      </c>
      <c r="D1559" s="21" t="s">
        <v>42</v>
      </c>
      <c r="E1559" s="22" t="str">
        <f>HYPERLINK("https://twitter.com/singhpariharS/status/922400460320882688","922400460320882688")</f>
        <v>922400460320882688</v>
      </c>
      <c r="F1559" s="23" t="s">
        <v>33</v>
      </c>
      <c r="G1559" s="24">
        <v>64.0</v>
      </c>
      <c r="H1559" s="24">
        <v>70.0</v>
      </c>
      <c r="I1559" s="24">
        <v>8501.0</v>
      </c>
      <c r="J1559" s="24">
        <v>0.0</v>
      </c>
      <c r="K1559" s="23" t="s">
        <v>34</v>
      </c>
      <c r="L1559" s="25">
        <v>41669.99287037037</v>
      </c>
      <c r="M1559" s="26" t="s">
        <v>3948</v>
      </c>
      <c r="N1559" s="26" t="s">
        <v>3949</v>
      </c>
      <c r="O1559" s="22" t="str">
        <f>HYPERLINK("https://pbs.twimg.com/profile_images/911505466001285120/L1S55B2k_normal.jpg","View")</f>
        <v>View</v>
      </c>
      <c r="P1559" s="27"/>
    </row>
    <row r="1560">
      <c r="A1560" s="14">
        <v>43031.12017361111</v>
      </c>
      <c r="B1560" s="20" t="str">
        <f>HYPERLINK("https://twitter.com/ArielBlocker","@ArielBlocker")</f>
        <v>@ArielBlocker</v>
      </c>
      <c r="C1560" s="21" t="s">
        <v>3950</v>
      </c>
      <c r="D1560" s="21" t="s">
        <v>3951</v>
      </c>
      <c r="E1560" s="22" t="str">
        <f>HYPERLINK("https://twitter.com/ArielBlocker/status/922400468839600129","922400468839600129")</f>
        <v>922400468839600129</v>
      </c>
      <c r="F1560" s="23" t="s">
        <v>230</v>
      </c>
      <c r="G1560" s="24">
        <v>1605.0</v>
      </c>
      <c r="H1560" s="24">
        <v>5001.0</v>
      </c>
      <c r="I1560" s="24">
        <v>0.0</v>
      </c>
      <c r="J1560" s="24">
        <v>0.0</v>
      </c>
      <c r="K1560" s="23" t="s">
        <v>34</v>
      </c>
      <c r="L1560" s="25">
        <v>42332.50444444444</v>
      </c>
      <c r="M1560" s="26" t="s">
        <v>3952</v>
      </c>
      <c r="N1560" s="26" t="s">
        <v>3953</v>
      </c>
      <c r="O1560" s="22" t="str">
        <f>HYPERLINK("https://pbs.twimg.com/profile_images/918425319698325506/2pLo9mu7_normal.jpg","View")</f>
        <v>View</v>
      </c>
      <c r="P1560" s="27"/>
    </row>
    <row r="1561">
      <c r="A1561" s="14">
        <v>43031.120208333334</v>
      </c>
      <c r="B1561" s="20" t="str">
        <f>HYPERLINK("https://twitter.com/SumanKu59445649","@SumanKu59445649")</f>
        <v>@SumanKu59445649</v>
      </c>
      <c r="C1561" s="21" t="s">
        <v>3954</v>
      </c>
      <c r="D1561" s="21" t="s">
        <v>42</v>
      </c>
      <c r="E1561" s="22" t="str">
        <f>HYPERLINK("https://twitter.com/SumanKu59445649/status/922400480898068480","922400480898068480")</f>
        <v>922400480898068480</v>
      </c>
      <c r="F1561" s="23" t="s">
        <v>33</v>
      </c>
      <c r="G1561" s="24">
        <v>2.0</v>
      </c>
      <c r="H1561" s="24">
        <v>8.0</v>
      </c>
      <c r="I1561" s="24">
        <v>8501.0</v>
      </c>
      <c r="J1561" s="24">
        <v>0.0</v>
      </c>
      <c r="K1561" s="23" t="s">
        <v>34</v>
      </c>
      <c r="L1561" s="25">
        <v>43031.10398148149</v>
      </c>
      <c r="M1561" s="26" t="s">
        <v>3955</v>
      </c>
      <c r="N1561" s="28"/>
      <c r="O1561" s="22" t="str">
        <f>HYPERLINK("https://pbs.twimg.com/profile_images/922396380743704577/W2Q3YNk4_normal.jpg","View")</f>
        <v>View</v>
      </c>
      <c r="P1561" s="27"/>
    </row>
    <row r="1562">
      <c r="A1562" s="14">
        <v>43031.12028935185</v>
      </c>
      <c r="B1562" s="20" t="str">
        <f>HYPERLINK("https://twitter.com/KoreaCenterHQ","@KoreaCenterHQ")</f>
        <v>@KoreaCenterHQ</v>
      </c>
      <c r="C1562" s="21" t="s">
        <v>3956</v>
      </c>
      <c r="D1562" s="21" t="s">
        <v>3957</v>
      </c>
      <c r="E1562" s="22" t="str">
        <f>HYPERLINK("https://twitter.com/KoreaCenterHQ/status/922400508576501760","922400508576501760")</f>
        <v>922400508576501760</v>
      </c>
      <c r="F1562" s="23" t="s">
        <v>187</v>
      </c>
      <c r="G1562" s="24">
        <v>71.0</v>
      </c>
      <c r="H1562" s="24">
        <v>5.0</v>
      </c>
      <c r="I1562" s="24">
        <v>0.0</v>
      </c>
      <c r="J1562" s="24">
        <v>0.0</v>
      </c>
      <c r="K1562" s="23" t="s">
        <v>34</v>
      </c>
      <c r="L1562" s="25">
        <v>42259.78550925926</v>
      </c>
      <c r="M1562" s="26" t="s">
        <v>3958</v>
      </c>
      <c r="N1562" s="26" t="s">
        <v>3959</v>
      </c>
      <c r="O1562" s="22" t="str">
        <f>HYPERLINK("https://pbs.twimg.com/profile_images/902288054987182080/2Zsh6ms3_normal.jpg","View")</f>
        <v>View</v>
      </c>
      <c r="P1562" s="27"/>
    </row>
    <row r="1563">
      <c r="A1563" s="14">
        <v>43031.120358796295</v>
      </c>
      <c r="B1563" s="20" t="str">
        <f>HYPERLINK("https://twitter.com/jaimeotero_","@jaimeotero_")</f>
        <v>@jaimeotero_</v>
      </c>
      <c r="C1563" s="21" t="s">
        <v>3960</v>
      </c>
      <c r="D1563" s="21" t="s">
        <v>3961</v>
      </c>
      <c r="E1563" s="22" t="str">
        <f>HYPERLINK("https://twitter.com/jaimeotero_/status/922400533247418368","922400533247418368")</f>
        <v>922400533247418368</v>
      </c>
      <c r="F1563" s="23" t="s">
        <v>187</v>
      </c>
      <c r="G1563" s="24">
        <v>34534.0</v>
      </c>
      <c r="H1563" s="24">
        <v>31264.0</v>
      </c>
      <c r="I1563" s="24">
        <v>0.0</v>
      </c>
      <c r="J1563" s="24">
        <v>0.0</v>
      </c>
      <c r="K1563" s="23" t="s">
        <v>34</v>
      </c>
      <c r="L1563" s="25">
        <v>42531.01219907407</v>
      </c>
      <c r="M1563" s="26" t="s">
        <v>3962</v>
      </c>
      <c r="N1563" s="26" t="s">
        <v>3963</v>
      </c>
      <c r="O1563" s="22" t="str">
        <f>HYPERLINK("https://pbs.twimg.com/profile_images/849817561281818626/acAU04SD_normal.jpg","View")</f>
        <v>View</v>
      </c>
      <c r="P1563" s="27"/>
    </row>
    <row r="1564">
      <c r="A1564" s="14">
        <v>43031.120358796295</v>
      </c>
      <c r="B1564" s="20" t="str">
        <f>HYPERLINK("https://twitter.com/lekh27","@lekh27")</f>
        <v>@lekh27</v>
      </c>
      <c r="C1564" s="21" t="s">
        <v>3964</v>
      </c>
      <c r="D1564" s="21" t="s">
        <v>3965</v>
      </c>
      <c r="E1564" s="22" t="str">
        <f>HYPERLINK("https://twitter.com/lekh27/status/922400533574508544","922400533574508544")</f>
        <v>922400533574508544</v>
      </c>
      <c r="F1564" s="23" t="s">
        <v>86</v>
      </c>
      <c r="G1564" s="24">
        <v>564.0</v>
      </c>
      <c r="H1564" s="24">
        <v>1003.0</v>
      </c>
      <c r="I1564" s="24">
        <v>14.0</v>
      </c>
      <c r="J1564" s="24">
        <v>0.0</v>
      </c>
      <c r="K1564" s="23" t="s">
        <v>34</v>
      </c>
      <c r="L1564" s="25">
        <v>40514.02559027778</v>
      </c>
      <c r="M1564" s="26" t="s">
        <v>1210</v>
      </c>
      <c r="N1564" s="26" t="s">
        <v>3966</v>
      </c>
      <c r="O1564" s="22" t="str">
        <f>HYPERLINK("https://pbs.twimg.com/profile_images/694521215331889152/IhzXDQHr_normal.jpg","View")</f>
        <v>View</v>
      </c>
      <c r="P1564" s="27"/>
    </row>
    <row r="1565">
      <c r="A1565" s="14">
        <v>43031.120370370365</v>
      </c>
      <c r="B1565" s="20" t="str">
        <f>HYPERLINK("https://twitter.com/swissifg","@swissifg")</f>
        <v>@swissifg</v>
      </c>
      <c r="C1565" s="21" t="s">
        <v>3967</v>
      </c>
      <c r="D1565" s="21" t="s">
        <v>3968</v>
      </c>
      <c r="E1565" s="22" t="str">
        <f>HYPERLINK("https://twitter.com/swissifg/status/922400536858710016","922400536858710016")</f>
        <v>922400536858710016</v>
      </c>
      <c r="F1565" s="23" t="s">
        <v>187</v>
      </c>
      <c r="G1565" s="24">
        <v>1204.0</v>
      </c>
      <c r="H1565" s="24">
        <v>671.0</v>
      </c>
      <c r="I1565" s="24">
        <v>0.0</v>
      </c>
      <c r="J1565" s="24">
        <v>0.0</v>
      </c>
      <c r="K1565" s="23" t="s">
        <v>34</v>
      </c>
      <c r="L1565" s="25">
        <v>42499.2341087963</v>
      </c>
      <c r="M1565" s="26" t="s">
        <v>3969</v>
      </c>
      <c r="N1565" s="26" t="s">
        <v>3970</v>
      </c>
      <c r="O1565" s="22" t="str">
        <f>HYPERLINK("https://pbs.twimg.com/profile_images/729681805088063489/N4ls5vb8_normal.jpg","View")</f>
        <v>View</v>
      </c>
      <c r="P1565" s="27"/>
    </row>
    <row r="1566">
      <c r="A1566" s="14">
        <v>43031.12039351852</v>
      </c>
      <c r="B1566" s="20" t="str">
        <f>HYPERLINK("https://twitter.com/unlewis","@unlewis")</f>
        <v>@unlewis</v>
      </c>
      <c r="C1566" s="21" t="s">
        <v>2684</v>
      </c>
      <c r="D1566" s="21" t="s">
        <v>3867</v>
      </c>
      <c r="E1566" s="22" t="str">
        <f>HYPERLINK("https://twitter.com/unlewis/status/922400547889594369","922400547889594369")</f>
        <v>922400547889594369</v>
      </c>
      <c r="F1566" s="23" t="s">
        <v>230</v>
      </c>
      <c r="G1566" s="24">
        <v>2973.0</v>
      </c>
      <c r="H1566" s="24">
        <v>2099.0</v>
      </c>
      <c r="I1566" s="24">
        <v>23.0</v>
      </c>
      <c r="J1566" s="24">
        <v>0.0</v>
      </c>
      <c r="K1566" s="23" t="s">
        <v>34</v>
      </c>
      <c r="L1566" s="25">
        <v>41159.83283564815</v>
      </c>
      <c r="M1566" s="28"/>
      <c r="N1566" s="26" t="s">
        <v>2685</v>
      </c>
      <c r="O1566" s="22" t="str">
        <f>HYPERLINK("https://pbs.twimg.com/profile_images/862117304196255744/4KSB5b7P_normal.jpg","View")</f>
        <v>View</v>
      </c>
      <c r="P1566" s="27"/>
    </row>
    <row r="1567">
      <c r="A1567" s="14">
        <v>43031.12039351852</v>
      </c>
      <c r="B1567" s="20" t="str">
        <f>HYPERLINK("https://twitter.com/WeeklyJour","@WeeklyJour")</f>
        <v>@WeeklyJour</v>
      </c>
      <c r="C1567" s="21" t="s">
        <v>2961</v>
      </c>
      <c r="D1567" s="21" t="s">
        <v>3971</v>
      </c>
      <c r="E1567" s="22" t="str">
        <f>HYPERLINK("https://twitter.com/WeeklyJour/status/922400548338401280","922400548338401280")</f>
        <v>922400548338401280</v>
      </c>
      <c r="F1567" s="23" t="s">
        <v>187</v>
      </c>
      <c r="G1567" s="24">
        <v>93.0</v>
      </c>
      <c r="H1567" s="24">
        <v>0.0</v>
      </c>
      <c r="I1567" s="24">
        <v>0.0</v>
      </c>
      <c r="J1567" s="24">
        <v>0.0</v>
      </c>
      <c r="K1567" s="23" t="s">
        <v>34</v>
      </c>
      <c r="L1567" s="25">
        <v>42502.51699074074</v>
      </c>
      <c r="M1567" s="26" t="s">
        <v>2534</v>
      </c>
      <c r="N1567" s="26" t="s">
        <v>2963</v>
      </c>
      <c r="O1567" s="22" t="str">
        <f>HYPERLINK("https://pbs.twimg.com/profile_images/915062885910376448/ds5TEJgU_normal.jpg","View")</f>
        <v>View</v>
      </c>
      <c r="P1567" s="27"/>
    </row>
    <row r="1568">
      <c r="A1568" s="14">
        <v>43031.12042824074</v>
      </c>
      <c r="B1568" s="20" t="str">
        <f>HYPERLINK("https://twitter.com/akemmapapa","@akemmapapa")</f>
        <v>@akemmapapa</v>
      </c>
      <c r="C1568" s="21" t="s">
        <v>3972</v>
      </c>
      <c r="D1568" s="21" t="s">
        <v>3751</v>
      </c>
      <c r="E1568" s="22" t="str">
        <f>HYPERLINK("https://twitter.com/akemmapapa/status/922400558580985856","922400558580985856")</f>
        <v>922400558580985856</v>
      </c>
      <c r="F1568" s="23" t="s">
        <v>39</v>
      </c>
      <c r="G1568" s="24">
        <v>741.0</v>
      </c>
      <c r="H1568" s="24">
        <v>1443.0</v>
      </c>
      <c r="I1568" s="24">
        <v>5.0</v>
      </c>
      <c r="J1568" s="24">
        <v>0.0</v>
      </c>
      <c r="K1568" s="23" t="s">
        <v>34</v>
      </c>
      <c r="L1568" s="25">
        <v>40493.50646990741</v>
      </c>
      <c r="M1568" s="28"/>
      <c r="N1568" s="28"/>
      <c r="O1568" s="22" t="str">
        <f>HYPERLINK("https://pbs.twimg.com/profile_images/598097212355272704/P6FCYoqb_normal.jpg","View")</f>
        <v>View</v>
      </c>
      <c r="P1568" s="27"/>
    </row>
    <row r="1569">
      <c r="A1569" s="14">
        <v>43031.12042824074</v>
      </c>
      <c r="B1569" s="20" t="str">
        <f>HYPERLINK("https://twitter.com/Senag23","@Senag23")</f>
        <v>@Senag23</v>
      </c>
      <c r="C1569" s="21" t="s">
        <v>3973</v>
      </c>
      <c r="D1569" s="21" t="s">
        <v>42</v>
      </c>
      <c r="E1569" s="22" t="str">
        <f>HYPERLINK("https://twitter.com/Senag23/status/922400559839055872","922400559839055872")</f>
        <v>922400559839055872</v>
      </c>
      <c r="F1569" s="23" t="s">
        <v>33</v>
      </c>
      <c r="G1569" s="24">
        <v>244.0</v>
      </c>
      <c r="H1569" s="24">
        <v>45.0</v>
      </c>
      <c r="I1569" s="24">
        <v>8501.0</v>
      </c>
      <c r="J1569" s="24">
        <v>0.0</v>
      </c>
      <c r="K1569" s="23" t="s">
        <v>34</v>
      </c>
      <c r="L1569" s="25">
        <v>40200.133368055554</v>
      </c>
      <c r="M1569" s="26" t="s">
        <v>3974</v>
      </c>
      <c r="N1569" s="26" t="s">
        <v>3975</v>
      </c>
      <c r="O1569" s="22" t="str">
        <f>HYPERLINK("https://pbs.twimg.com/profile_images/3303620279/7caa8b56b2df0a08dcbdb5556e7ffc0f_normal.jpeg","View")</f>
        <v>View</v>
      </c>
      <c r="P1569" s="27"/>
    </row>
    <row r="1570">
      <c r="A1570" s="14">
        <v>43031.12043981481</v>
      </c>
      <c r="B1570" s="20" t="str">
        <f>HYPERLINK("https://twitter.com/CollectedN","@CollectedN")</f>
        <v>@CollectedN</v>
      </c>
      <c r="C1570" s="21" t="s">
        <v>3553</v>
      </c>
      <c r="D1570" s="21" t="s">
        <v>3976</v>
      </c>
      <c r="E1570" s="22" t="str">
        <f>HYPERLINK("https://twitter.com/CollectedN/status/922400563966496768","922400563966496768")</f>
        <v>922400563966496768</v>
      </c>
      <c r="F1570" s="23" t="s">
        <v>187</v>
      </c>
      <c r="G1570" s="24">
        <v>21993.0</v>
      </c>
      <c r="H1570" s="24">
        <v>16541.0</v>
      </c>
      <c r="I1570" s="24">
        <v>0.0</v>
      </c>
      <c r="J1570" s="24">
        <v>0.0</v>
      </c>
      <c r="K1570" s="23" t="s">
        <v>34</v>
      </c>
      <c r="L1570" s="25">
        <v>41333.76840277778</v>
      </c>
      <c r="M1570" s="28"/>
      <c r="N1570" s="26" t="s">
        <v>3555</v>
      </c>
      <c r="O1570" s="22" t="str">
        <f>HYPERLINK("https://pbs.twimg.com/profile_images/705925817277108224/nGS1Ko7F_normal.jpg","View")</f>
        <v>View</v>
      </c>
      <c r="P1570" s="27"/>
    </row>
    <row r="1571">
      <c r="A1571" s="14">
        <v>43031.120474537034</v>
      </c>
      <c r="B1571" s="20" t="str">
        <f>HYPERLINK("https://twitter.com/jepangnet","@jepangnet")</f>
        <v>@jepangnet</v>
      </c>
      <c r="C1571" s="29" t="s">
        <v>3404</v>
      </c>
      <c r="D1571" s="21" t="s">
        <v>3977</v>
      </c>
      <c r="E1571" s="22" t="str">
        <f>HYPERLINK("https://twitter.com/jepangnet/status/922400575475605504","922400575475605504")</f>
        <v>922400575475605504</v>
      </c>
      <c r="F1571" s="23" t="s">
        <v>187</v>
      </c>
      <c r="G1571" s="24">
        <v>1830.0</v>
      </c>
      <c r="H1571" s="24">
        <v>73.0</v>
      </c>
      <c r="I1571" s="24">
        <v>0.0</v>
      </c>
      <c r="J1571" s="24">
        <v>0.0</v>
      </c>
      <c r="K1571" s="23" t="s">
        <v>34</v>
      </c>
      <c r="L1571" s="25">
        <v>41367.07915509259</v>
      </c>
      <c r="M1571" s="28"/>
      <c r="N1571" s="26" t="s">
        <v>3406</v>
      </c>
      <c r="O1571" s="22" t="str">
        <f>HYPERLINK("https://pbs.twimg.com/profile_images/584780080838115328/JAX1NIUM_normal.jpg","View")</f>
        <v>View</v>
      </c>
      <c r="P1571" s="27"/>
    </row>
    <row r="1572">
      <c r="A1572" s="14">
        <v>43031.120474537034</v>
      </c>
      <c r="B1572" s="20" t="str">
        <f>HYPERLINK("https://twitter.com/yQcMLR7Y8yABuOk","@yQcMLR7Y8yABuOk")</f>
        <v>@yQcMLR7Y8yABuOk</v>
      </c>
      <c r="C1572" s="21" t="s">
        <v>3978</v>
      </c>
      <c r="D1572" s="21" t="s">
        <v>42</v>
      </c>
      <c r="E1572" s="22" t="str">
        <f>HYPERLINK("https://twitter.com/yQcMLR7Y8yABuOk/status/922400575727091713","922400575727091713")</f>
        <v>922400575727091713</v>
      </c>
      <c r="F1572" s="23" t="s">
        <v>33</v>
      </c>
      <c r="G1572" s="24">
        <v>161.0</v>
      </c>
      <c r="H1572" s="24">
        <v>206.0</v>
      </c>
      <c r="I1572" s="24">
        <v>8501.0</v>
      </c>
      <c r="J1572" s="24">
        <v>0.0</v>
      </c>
      <c r="K1572" s="23" t="s">
        <v>34</v>
      </c>
      <c r="L1572" s="25">
        <v>42409.68199074074</v>
      </c>
      <c r="M1572" s="28"/>
      <c r="N1572" s="26" t="s">
        <v>3979</v>
      </c>
      <c r="O1572" s="22" t="str">
        <f>HYPERLINK("https://pbs.twimg.com/profile_images/875560797090398208/cEsiktAY_normal.jpg","View")</f>
        <v>View</v>
      </c>
      <c r="P1572" s="27"/>
    </row>
    <row r="1573">
      <c r="A1573" s="14">
        <v>43031.12049768519</v>
      </c>
      <c r="B1573" s="20" t="str">
        <f t="shared" ref="B1573:B1574" si="18">HYPERLINK("https://twitter.com/Parmigiani_S","@Parmigiani_S")</f>
        <v>@Parmigiani_S</v>
      </c>
      <c r="C1573" s="21" t="s">
        <v>3980</v>
      </c>
      <c r="D1573" s="21" t="s">
        <v>3981</v>
      </c>
      <c r="E1573" s="22" t="str">
        <f>HYPERLINK("https://twitter.com/Parmigiani_S/status/922400586120691712","922400586120691712")</f>
        <v>922400586120691712</v>
      </c>
      <c r="F1573" s="23" t="s">
        <v>187</v>
      </c>
      <c r="G1573" s="24">
        <v>62360.0</v>
      </c>
      <c r="H1573" s="24">
        <v>0.0</v>
      </c>
      <c r="I1573" s="24">
        <v>0.0</v>
      </c>
      <c r="J1573" s="24">
        <v>0.0</v>
      </c>
      <c r="K1573" s="23" t="s">
        <v>34</v>
      </c>
      <c r="L1573" s="25">
        <v>40232.53990740741</v>
      </c>
      <c r="M1573" s="28"/>
      <c r="N1573" s="26" t="s">
        <v>3982</v>
      </c>
      <c r="O1573" s="22" t="str">
        <f t="shared" ref="O1573:O1574" si="19">HYPERLINK("https://pbs.twimg.com/profile_images/761990466053218305/dxRy0zdw_normal.jpg","View")</f>
        <v>View</v>
      </c>
      <c r="P1573" s="27"/>
    </row>
    <row r="1574">
      <c r="A1574" s="14">
        <v>43031.12054398148</v>
      </c>
      <c r="B1574" s="20" t="str">
        <f t="shared" si="18"/>
        <v>@Parmigiani_S</v>
      </c>
      <c r="C1574" s="21" t="s">
        <v>3980</v>
      </c>
      <c r="D1574" s="21" t="s">
        <v>3983</v>
      </c>
      <c r="E1574" s="22" t="str">
        <f>HYPERLINK("https://twitter.com/Parmigiani_S/status/922400601497047040","922400601497047040")</f>
        <v>922400601497047040</v>
      </c>
      <c r="F1574" s="23" t="s">
        <v>187</v>
      </c>
      <c r="G1574" s="24">
        <v>62360.0</v>
      </c>
      <c r="H1574" s="24">
        <v>0.0</v>
      </c>
      <c r="I1574" s="24">
        <v>0.0</v>
      </c>
      <c r="J1574" s="24">
        <v>0.0</v>
      </c>
      <c r="K1574" s="23" t="s">
        <v>34</v>
      </c>
      <c r="L1574" s="25">
        <v>40232.53990740741</v>
      </c>
      <c r="M1574" s="28"/>
      <c r="N1574" s="26" t="s">
        <v>3982</v>
      </c>
      <c r="O1574" s="22" t="str">
        <f t="shared" si="19"/>
        <v>View</v>
      </c>
      <c r="P1574" s="27"/>
    </row>
    <row r="1575">
      <c r="A1575" s="14">
        <v>43031.120567129634</v>
      </c>
      <c r="B1575" s="20" t="str">
        <f>HYPERLINK("https://twitter.com/mariorustan","@mariorustan")</f>
        <v>@mariorustan</v>
      </c>
      <c r="C1575" s="21" t="s">
        <v>3984</v>
      </c>
      <c r="D1575" s="21" t="s">
        <v>3985</v>
      </c>
      <c r="E1575" s="22" t="str">
        <f>HYPERLINK("https://twitter.com/mariorustan/status/922400610913206272","922400610913206272")</f>
        <v>922400610913206272</v>
      </c>
      <c r="F1575" s="23" t="s">
        <v>33</v>
      </c>
      <c r="G1575" s="24">
        <v>501.0</v>
      </c>
      <c r="H1575" s="24">
        <v>300.0</v>
      </c>
      <c r="I1575" s="24">
        <v>3.0</v>
      </c>
      <c r="J1575" s="24">
        <v>0.0</v>
      </c>
      <c r="K1575" s="23" t="s">
        <v>34</v>
      </c>
      <c r="L1575" s="25">
        <v>40146.13413194445</v>
      </c>
      <c r="M1575" s="26" t="s">
        <v>3986</v>
      </c>
      <c r="N1575" s="26" t="s">
        <v>3987</v>
      </c>
      <c r="O1575" s="22" t="str">
        <f>HYPERLINK("https://pbs.twimg.com/profile_images/919231211687444481/U94RksKA_normal.jpg","View")</f>
        <v>View</v>
      </c>
      <c r="P1575" s="27"/>
    </row>
    <row r="1576">
      <c r="A1576" s="14">
        <v>43031.1205787037</v>
      </c>
      <c r="B1576" s="20" t="str">
        <f>HYPERLINK("https://twitter.com/JakWit","@JakWit")</f>
        <v>@JakWit</v>
      </c>
      <c r="C1576" s="21" t="s">
        <v>3988</v>
      </c>
      <c r="D1576" s="21" t="s">
        <v>3965</v>
      </c>
      <c r="E1576" s="22" t="str">
        <f>HYPERLINK("https://twitter.com/JakWit/status/922400615040462848","922400615040462848")</f>
        <v>922400615040462848</v>
      </c>
      <c r="F1576" s="23" t="s">
        <v>55</v>
      </c>
      <c r="G1576" s="24">
        <v>1791.0</v>
      </c>
      <c r="H1576" s="24">
        <v>1926.0</v>
      </c>
      <c r="I1576" s="24">
        <v>14.0</v>
      </c>
      <c r="J1576" s="24">
        <v>0.0</v>
      </c>
      <c r="K1576" s="23" t="s">
        <v>34</v>
      </c>
      <c r="L1576" s="25">
        <v>41260.881064814814</v>
      </c>
      <c r="M1576" s="28"/>
      <c r="N1576" s="26" t="s">
        <v>3989</v>
      </c>
      <c r="O1576" s="22" t="str">
        <f>HYPERLINK("https://pbs.twimg.com/profile_images/520615756808327169/4vhwCbH7_normal.jpeg","View")</f>
        <v>View</v>
      </c>
      <c r="P1576" s="27"/>
    </row>
    <row r="1577">
      <c r="A1577" s="14">
        <v>43031.12060185186</v>
      </c>
      <c r="B1577" s="20" t="str">
        <f>HYPERLINK("https://twitter.com/marketsjoe","@marketsjoe")</f>
        <v>@marketsjoe</v>
      </c>
      <c r="C1577" s="21" t="s">
        <v>3990</v>
      </c>
      <c r="D1577" s="21" t="s">
        <v>3991</v>
      </c>
      <c r="E1577" s="22" t="str">
        <f>HYPERLINK("https://twitter.com/marketsjoe/status/922400623525580801","922400623525580801")</f>
        <v>922400623525580801</v>
      </c>
      <c r="F1577" s="23" t="s">
        <v>55</v>
      </c>
      <c r="G1577" s="24">
        <v>802.0</v>
      </c>
      <c r="H1577" s="24">
        <v>222.0</v>
      </c>
      <c r="I1577" s="24">
        <v>0.0</v>
      </c>
      <c r="J1577" s="24">
        <v>0.0</v>
      </c>
      <c r="K1577" s="23" t="s">
        <v>34</v>
      </c>
      <c r="L1577" s="25">
        <v>40685.20630787037</v>
      </c>
      <c r="M1577" s="26" t="s">
        <v>334</v>
      </c>
      <c r="N1577" s="26" t="s">
        <v>3992</v>
      </c>
      <c r="O1577" s="22" t="str">
        <f>HYPERLINK("https://pbs.twimg.com/profile_images/789127860023881728/xVK_ir7q_normal.jpg","View")</f>
        <v>View</v>
      </c>
      <c r="P1577" s="27"/>
    </row>
    <row r="1578">
      <c r="A1578" s="14">
        <v>43031.12065972222</v>
      </c>
      <c r="B1578" s="20" t="str">
        <f>HYPERLINK("https://twitter.com/sanjaymwadhwani","@sanjaymwadhwani")</f>
        <v>@sanjaymwadhwani</v>
      </c>
      <c r="C1578" s="21" t="s">
        <v>3993</v>
      </c>
      <c r="D1578" s="21" t="s">
        <v>42</v>
      </c>
      <c r="E1578" s="22" t="str">
        <f>HYPERLINK("https://twitter.com/sanjaymwadhwani/status/922400642244796417","922400642244796417")</f>
        <v>922400642244796417</v>
      </c>
      <c r="F1578" s="23" t="s">
        <v>33</v>
      </c>
      <c r="G1578" s="24">
        <v>298.0</v>
      </c>
      <c r="H1578" s="24">
        <v>202.0</v>
      </c>
      <c r="I1578" s="24">
        <v>8501.0</v>
      </c>
      <c r="J1578" s="24">
        <v>0.0</v>
      </c>
      <c r="K1578" s="23" t="s">
        <v>34</v>
      </c>
      <c r="L1578" s="25">
        <v>40784.94289351852</v>
      </c>
      <c r="M1578" s="26" t="s">
        <v>204</v>
      </c>
      <c r="N1578" s="26" t="s">
        <v>3994</v>
      </c>
      <c r="O1578" s="22" t="str">
        <f>HYPERLINK("https://pbs.twimg.com/profile_images/904053653610397696/i9i07bAR_normal.jpg","View")</f>
        <v>View</v>
      </c>
      <c r="P1578" s="27"/>
    </row>
    <row r="1579">
      <c r="A1579" s="14">
        <v>43031.12068287037</v>
      </c>
      <c r="B1579" s="20" t="str">
        <f>HYPERLINK("https://twitter.com/15MikeMike15","@15MikeMike15")</f>
        <v>@15MikeMike15</v>
      </c>
      <c r="C1579" s="21" t="s">
        <v>1582</v>
      </c>
      <c r="D1579" s="21" t="s">
        <v>108</v>
      </c>
      <c r="E1579" s="22" t="str">
        <f>HYPERLINK("https://twitter.com/15MikeMike15/status/922400650100662272","922400650100662272")</f>
        <v>922400650100662272</v>
      </c>
      <c r="F1579" s="23" t="s">
        <v>1584</v>
      </c>
      <c r="G1579" s="24">
        <v>1034.0</v>
      </c>
      <c r="H1579" s="24">
        <v>1951.0</v>
      </c>
      <c r="I1579" s="24">
        <v>88.0</v>
      </c>
      <c r="J1579" s="24">
        <v>0.0</v>
      </c>
      <c r="K1579" s="23" t="s">
        <v>34</v>
      </c>
      <c r="L1579" s="25">
        <v>42809.583402777775</v>
      </c>
      <c r="M1579" s="28"/>
      <c r="N1579" s="28"/>
      <c r="O1579" s="22" t="str">
        <f>HYPERLINK("https://pbs.twimg.com/profile_images/864951920045289473/bAoGibet_normal.jpg","View")</f>
        <v>View</v>
      </c>
      <c r="P1579" s="27"/>
    </row>
    <row r="1580">
      <c r="A1580" s="14">
        <v>43031.12075231482</v>
      </c>
      <c r="B1580" s="20" t="str">
        <f>HYPERLINK("https://twitter.com/BerlandGroup","@BerlandGroup")</f>
        <v>@BerlandGroup</v>
      </c>
      <c r="C1580" s="21" t="s">
        <v>3995</v>
      </c>
      <c r="D1580" s="21" t="s">
        <v>3996</v>
      </c>
      <c r="E1580" s="22" t="str">
        <f>HYPERLINK("https://twitter.com/BerlandGroup/status/922400679309672449","922400679309672449")</f>
        <v>922400679309672449</v>
      </c>
      <c r="F1580" s="23" t="s">
        <v>33</v>
      </c>
      <c r="G1580" s="24">
        <v>640.0</v>
      </c>
      <c r="H1580" s="24">
        <v>285.0</v>
      </c>
      <c r="I1580" s="24">
        <v>4.0</v>
      </c>
      <c r="J1580" s="24">
        <v>0.0</v>
      </c>
      <c r="K1580" s="23" t="s">
        <v>34</v>
      </c>
      <c r="L1580" s="25">
        <v>42106.587384259255</v>
      </c>
      <c r="M1580" s="26" t="s">
        <v>1224</v>
      </c>
      <c r="N1580" s="26" t="s">
        <v>3997</v>
      </c>
      <c r="O1580" s="22" t="str">
        <f>HYPERLINK("https://pbs.twimg.com/profile_images/769239006747975680/Rb7xHUoL_normal.jpg","View")</f>
        <v>View</v>
      </c>
      <c r="P1580" s="27"/>
    </row>
    <row r="1581">
      <c r="A1581" s="14">
        <v>43031.12077546296</v>
      </c>
      <c r="B1581" s="20" t="str">
        <f>HYPERLINK("https://twitter.com/alokarukha","@alokarukha")</f>
        <v>@alokarukha</v>
      </c>
      <c r="C1581" s="21" t="s">
        <v>3998</v>
      </c>
      <c r="D1581" s="21" t="s">
        <v>163</v>
      </c>
      <c r="E1581" s="22" t="str">
        <f>HYPERLINK("https://twitter.com/alokarukha/status/922400686133747712","922400686133747712")</f>
        <v>922400686133747712</v>
      </c>
      <c r="F1581" s="23" t="s">
        <v>33</v>
      </c>
      <c r="G1581" s="24">
        <v>220.0</v>
      </c>
      <c r="H1581" s="24">
        <v>463.0</v>
      </c>
      <c r="I1581" s="24">
        <v>1005.0</v>
      </c>
      <c r="J1581" s="24">
        <v>0.0</v>
      </c>
      <c r="K1581" s="23" t="s">
        <v>34</v>
      </c>
      <c r="L1581" s="25">
        <v>41341.40375</v>
      </c>
      <c r="M1581" s="26" t="s">
        <v>3999</v>
      </c>
      <c r="N1581" s="26" t="s">
        <v>4000</v>
      </c>
      <c r="O1581" s="22" t="str">
        <f>HYPERLINK("https://pbs.twimg.com/profile_images/922800161952112642/evrNHa27_normal.jpg","View")</f>
        <v>View</v>
      </c>
      <c r="P1581" s="27"/>
    </row>
    <row r="1582">
      <c r="A1582" s="14">
        <v>43031.120844907404</v>
      </c>
      <c r="B1582" s="20" t="str">
        <f>HYPERLINK("https://twitter.com/BerlandGroup","@BerlandGroup")</f>
        <v>@BerlandGroup</v>
      </c>
      <c r="C1582" s="21" t="s">
        <v>3995</v>
      </c>
      <c r="D1582" s="21" t="s">
        <v>4001</v>
      </c>
      <c r="E1582" s="22" t="str">
        <f>HYPERLINK("https://twitter.com/BerlandGroup/status/922400711492509696","922400711492509696")</f>
        <v>922400711492509696</v>
      </c>
      <c r="F1582" s="23" t="s">
        <v>33</v>
      </c>
      <c r="G1582" s="24">
        <v>640.0</v>
      </c>
      <c r="H1582" s="24">
        <v>285.0</v>
      </c>
      <c r="I1582" s="24">
        <v>58.0</v>
      </c>
      <c r="J1582" s="24">
        <v>0.0</v>
      </c>
      <c r="K1582" s="23" t="s">
        <v>34</v>
      </c>
      <c r="L1582" s="25">
        <v>42106.587384259255</v>
      </c>
      <c r="M1582" s="26" t="s">
        <v>1224</v>
      </c>
      <c r="N1582" s="26" t="s">
        <v>3997</v>
      </c>
      <c r="O1582" s="22" t="str">
        <f>HYPERLINK("https://pbs.twimg.com/profile_images/769239006747975680/Rb7xHUoL_normal.jpg","View")</f>
        <v>View</v>
      </c>
      <c r="P1582" s="27"/>
    </row>
    <row r="1583">
      <c r="A1583" s="14">
        <v>43031.120995370366</v>
      </c>
      <c r="B1583" s="20" t="str">
        <f>HYPERLINK("https://twitter.com/ArunGup78282900","@ArunGup78282900")</f>
        <v>@ArunGup78282900</v>
      </c>
      <c r="C1583" s="21" t="s">
        <v>4002</v>
      </c>
      <c r="D1583" s="21" t="s">
        <v>42</v>
      </c>
      <c r="E1583" s="22" t="str">
        <f>HYPERLINK("https://twitter.com/ArunGup78282900/status/922400765129428993","922400765129428993")</f>
        <v>922400765129428993</v>
      </c>
      <c r="F1583" s="23" t="s">
        <v>33</v>
      </c>
      <c r="G1583" s="24">
        <v>124.0</v>
      </c>
      <c r="H1583" s="24">
        <v>362.0</v>
      </c>
      <c r="I1583" s="24">
        <v>8501.0</v>
      </c>
      <c r="J1583" s="24">
        <v>0.0</v>
      </c>
      <c r="K1583" s="23" t="s">
        <v>34</v>
      </c>
      <c r="L1583" s="25">
        <v>42961.948275462964</v>
      </c>
      <c r="M1583" s="26" t="s">
        <v>4003</v>
      </c>
      <c r="N1583" s="26" t="s">
        <v>4004</v>
      </c>
      <c r="O1583" s="22" t="str">
        <f>HYPERLINK("https://pbs.twimg.com/profile_images/897427503266099200/j3X1F0D0_normal.jpg","View")</f>
        <v>View</v>
      </c>
      <c r="P1583" s="27"/>
    </row>
    <row r="1584">
      <c r="A1584" s="14">
        <v>43031.12100694445</v>
      </c>
      <c r="B1584" s="20" t="str">
        <f>HYPERLINK("https://twitter.com/srajksaha","@srajksaha")</f>
        <v>@srajksaha</v>
      </c>
      <c r="C1584" s="21" t="s">
        <v>4005</v>
      </c>
      <c r="D1584" s="21" t="s">
        <v>42</v>
      </c>
      <c r="E1584" s="22" t="str">
        <f>HYPERLINK("https://twitter.com/srajksaha/status/922400770124783616","922400770124783616")</f>
        <v>922400770124783616</v>
      </c>
      <c r="F1584" s="23" t="s">
        <v>33</v>
      </c>
      <c r="G1584" s="24">
        <v>11.0</v>
      </c>
      <c r="H1584" s="24">
        <v>23.0</v>
      </c>
      <c r="I1584" s="24">
        <v>8501.0</v>
      </c>
      <c r="J1584" s="24">
        <v>0.0</v>
      </c>
      <c r="K1584" s="23" t="s">
        <v>34</v>
      </c>
      <c r="L1584" s="25">
        <v>41193.47398148148</v>
      </c>
      <c r="M1584" s="28"/>
      <c r="N1584" s="26" t="s">
        <v>4006</v>
      </c>
      <c r="O1584" s="22" t="str">
        <f>HYPERLINK("https://pbs.twimg.com/profile_images/826669878056800257/pQVDnNst_normal.jpg","View")</f>
        <v>View</v>
      </c>
      <c r="P1584" s="27"/>
    </row>
    <row r="1585">
      <c r="A1585" s="14">
        <v>43031.12101851852</v>
      </c>
      <c r="B1585" s="20" t="str">
        <f>HYPERLINK("https://twitter.com/dhyani872","@dhyani872")</f>
        <v>@dhyani872</v>
      </c>
      <c r="C1585" s="21" t="s">
        <v>4007</v>
      </c>
      <c r="D1585" s="21" t="s">
        <v>42</v>
      </c>
      <c r="E1585" s="22" t="str">
        <f>HYPERLINK("https://twitter.com/dhyani872/status/922400771878072320","922400771878072320")</f>
        <v>922400771878072320</v>
      </c>
      <c r="F1585" s="23" t="s">
        <v>39</v>
      </c>
      <c r="G1585" s="24">
        <v>5.0</v>
      </c>
      <c r="H1585" s="24">
        <v>44.0</v>
      </c>
      <c r="I1585" s="24">
        <v>8501.0</v>
      </c>
      <c r="J1585" s="24">
        <v>0.0</v>
      </c>
      <c r="K1585" s="23" t="s">
        <v>34</v>
      </c>
      <c r="L1585" s="25">
        <v>40296.034525462965</v>
      </c>
      <c r="M1585" s="26" t="s">
        <v>575</v>
      </c>
      <c r="N1585" s="28"/>
      <c r="O1585" s="22" t="str">
        <f>HYPERLINK("https://abs.twimg.com/sticky/default_profile_images/default_profile_normal.png","View")</f>
        <v>View</v>
      </c>
      <c r="P1585" s="27"/>
    </row>
    <row r="1586">
      <c r="A1586" s="14">
        <v>43031.12103009259</v>
      </c>
      <c r="B1586" s="20" t="str">
        <f>HYPERLINK("https://twitter.com/sanjeevkohli999","@sanjeevkohli999")</f>
        <v>@sanjeevkohli999</v>
      </c>
      <c r="C1586" s="21" t="s">
        <v>4008</v>
      </c>
      <c r="D1586" s="21" t="s">
        <v>42</v>
      </c>
      <c r="E1586" s="22" t="str">
        <f>HYPERLINK("https://twitter.com/sanjeevkohli999/status/922400777255055360","922400777255055360")</f>
        <v>922400777255055360</v>
      </c>
      <c r="F1586" s="23" t="s">
        <v>33</v>
      </c>
      <c r="G1586" s="24">
        <v>667.0</v>
      </c>
      <c r="H1586" s="24">
        <v>1579.0</v>
      </c>
      <c r="I1586" s="24">
        <v>8501.0</v>
      </c>
      <c r="J1586" s="24">
        <v>0.0</v>
      </c>
      <c r="K1586" s="23" t="s">
        <v>34</v>
      </c>
      <c r="L1586" s="25">
        <v>41653.23694444445</v>
      </c>
      <c r="M1586" s="28"/>
      <c r="N1586" s="26" t="s">
        <v>4009</v>
      </c>
      <c r="O1586" s="22" t="str">
        <f>HYPERLINK("https://pbs.twimg.com/profile_images/899478859455668225/PDugjp1n_normal.jpg","View")</f>
        <v>View</v>
      </c>
      <c r="P1586" s="27"/>
    </row>
    <row r="1587">
      <c r="A1587" s="14">
        <v>43031.12105324074</v>
      </c>
      <c r="B1587" s="20" t="str">
        <f>HYPERLINK("https://twitter.com/prepzilla","@prepzilla")</f>
        <v>@prepzilla</v>
      </c>
      <c r="C1587" s="21" t="s">
        <v>4010</v>
      </c>
      <c r="D1587" s="21" t="s">
        <v>4011</v>
      </c>
      <c r="E1587" s="22" t="str">
        <f>HYPERLINK("https://twitter.com/prepzilla/status/922400787917164544","922400787917164544")</f>
        <v>922400787917164544</v>
      </c>
      <c r="F1587" s="23" t="s">
        <v>187</v>
      </c>
      <c r="G1587" s="24">
        <v>7689.0</v>
      </c>
      <c r="H1587" s="24">
        <v>476.0</v>
      </c>
      <c r="I1587" s="24">
        <v>0.0</v>
      </c>
      <c r="J1587" s="24">
        <v>0.0</v>
      </c>
      <c r="K1587" s="23" t="s">
        <v>34</v>
      </c>
      <c r="L1587" s="25">
        <v>41299.741736111115</v>
      </c>
      <c r="M1587" s="26" t="s">
        <v>4012</v>
      </c>
      <c r="N1587" s="26" t="s">
        <v>4013</v>
      </c>
      <c r="O1587" s="22" t="str">
        <f>HYPERLINK("https://pbs.twimg.com/profile_images/900797880516005888/1bWN5qbC_normal.jpg","View")</f>
        <v>View</v>
      </c>
      <c r="P1587" s="27"/>
    </row>
    <row r="1588">
      <c r="A1588" s="14">
        <v>43031.121087962965</v>
      </c>
      <c r="B1588" s="20" t="str">
        <f>HYPERLINK("https://twitter.com/tkmeyer0524","@tkmeyer0524")</f>
        <v>@tkmeyer0524</v>
      </c>
      <c r="C1588" s="21" t="s">
        <v>4014</v>
      </c>
      <c r="D1588" s="21" t="s">
        <v>4015</v>
      </c>
      <c r="E1588" s="22" t="str">
        <f>HYPERLINK("https://twitter.com/tkmeyer0524/status/922400797023002624","922400797023002624")</f>
        <v>922400797023002624</v>
      </c>
      <c r="F1588" s="23" t="s">
        <v>39</v>
      </c>
      <c r="G1588" s="24">
        <v>1582.0</v>
      </c>
      <c r="H1588" s="24">
        <v>3813.0</v>
      </c>
      <c r="I1588" s="24">
        <v>1.0</v>
      </c>
      <c r="J1588" s="24">
        <v>0.0</v>
      </c>
      <c r="K1588" s="23" t="s">
        <v>34</v>
      </c>
      <c r="L1588" s="25">
        <v>40030.5071875</v>
      </c>
      <c r="M1588" s="26" t="s">
        <v>1362</v>
      </c>
      <c r="N1588" s="26" t="s">
        <v>4016</v>
      </c>
      <c r="O1588" s="22" t="str">
        <f>HYPERLINK("https://pbs.twimg.com/profile_images/2915098330/f590bbb65f3c3b455b6933671e9eef5e_normal.jpeg","View")</f>
        <v>View</v>
      </c>
      <c r="P1588" s="27"/>
    </row>
    <row r="1589">
      <c r="A1589" s="14">
        <v>43031.121145833335</v>
      </c>
      <c r="B1589" s="20" t="str">
        <f>HYPERLINK("https://twitter.com/Arunabh_ch","@Arunabh_ch")</f>
        <v>@Arunabh_ch</v>
      </c>
      <c r="C1589" s="21" t="s">
        <v>4017</v>
      </c>
      <c r="D1589" s="21" t="s">
        <v>42</v>
      </c>
      <c r="E1589" s="22" t="str">
        <f>HYPERLINK("https://twitter.com/Arunabh_ch/status/922400820422778880","922400820422778880")</f>
        <v>922400820422778880</v>
      </c>
      <c r="F1589" s="23" t="s">
        <v>39</v>
      </c>
      <c r="G1589" s="24">
        <v>144.0</v>
      </c>
      <c r="H1589" s="24">
        <v>343.0</v>
      </c>
      <c r="I1589" s="24">
        <v>8501.0</v>
      </c>
      <c r="J1589" s="24">
        <v>0.0</v>
      </c>
      <c r="K1589" s="23" t="s">
        <v>34</v>
      </c>
      <c r="L1589" s="25">
        <v>40341.59351851852</v>
      </c>
      <c r="M1589" s="28"/>
      <c r="N1589" s="28"/>
      <c r="O1589" s="22" t="str">
        <f>HYPERLINK("https://pbs.twimg.com/profile_images/867688346121842688/2CdOTq1m_normal.jpg","View")</f>
        <v>View</v>
      </c>
      <c r="P1589" s="27"/>
    </row>
    <row r="1590">
      <c r="A1590" s="14">
        <v>43031.121145833335</v>
      </c>
      <c r="B1590" s="20" t="str">
        <f>HYPERLINK("https://twitter.com/biz_business","@biz_business")</f>
        <v>@biz_business</v>
      </c>
      <c r="C1590" s="21" t="s">
        <v>3424</v>
      </c>
      <c r="D1590" s="21" t="s">
        <v>4018</v>
      </c>
      <c r="E1590" s="22" t="str">
        <f>HYPERLINK("https://twitter.com/biz_business/status/922400821098303488","922400821098303488")</f>
        <v>922400821098303488</v>
      </c>
      <c r="F1590" s="23" t="s">
        <v>187</v>
      </c>
      <c r="G1590" s="24">
        <v>31.0</v>
      </c>
      <c r="H1590" s="24">
        <v>20.0</v>
      </c>
      <c r="I1590" s="24">
        <v>0.0</v>
      </c>
      <c r="J1590" s="24">
        <v>0.0</v>
      </c>
      <c r="K1590" s="23" t="s">
        <v>34</v>
      </c>
      <c r="L1590" s="25">
        <v>41461.40623842592</v>
      </c>
      <c r="M1590" s="28"/>
      <c r="N1590" s="28"/>
      <c r="O1590" s="22" t="str">
        <f>HYPERLINK("https://abs.twimg.com/sticky/default_profile_images/default_profile_normal.png","View")</f>
        <v>View</v>
      </c>
      <c r="P1590" s="27"/>
    </row>
    <row r="1591">
      <c r="A1591" s="14">
        <v>43031.121203703704</v>
      </c>
      <c r="B1591" s="20" t="str">
        <f>HYPERLINK("https://twitter.com/sakikumi427","@sakikumi427")</f>
        <v>@sakikumi427</v>
      </c>
      <c r="C1591" s="21" t="s">
        <v>4019</v>
      </c>
      <c r="D1591" s="21" t="s">
        <v>42</v>
      </c>
      <c r="E1591" s="22" t="str">
        <f>HYPERLINK("https://twitter.com/sakikumi427/status/922400841549594624","922400841549594624")</f>
        <v>922400841549594624</v>
      </c>
      <c r="F1591" s="23" t="s">
        <v>55</v>
      </c>
      <c r="G1591" s="24">
        <v>672.0</v>
      </c>
      <c r="H1591" s="24">
        <v>674.0</v>
      </c>
      <c r="I1591" s="24">
        <v>8501.0</v>
      </c>
      <c r="J1591" s="24">
        <v>0.0</v>
      </c>
      <c r="K1591" s="23" t="s">
        <v>34</v>
      </c>
      <c r="L1591" s="25">
        <v>41161.09675925926</v>
      </c>
      <c r="M1591" s="26" t="s">
        <v>4020</v>
      </c>
      <c r="N1591" s="26" t="s">
        <v>4021</v>
      </c>
      <c r="O1591" s="22" t="str">
        <f>HYPERLINK("https://pbs.twimg.com/profile_images/3438534528/a4930aa87b8992b0ebd9ee600b5199b2_normal.jpeg","View")</f>
        <v>View</v>
      </c>
      <c r="P1591" s="27"/>
    </row>
    <row r="1592">
      <c r="A1592" s="14">
        <v>43031.12121527777</v>
      </c>
      <c r="B1592" s="20" t="str">
        <f>HYPERLINK("https://twitter.com/serge_poznanski","@serge_poznanski")</f>
        <v>@serge_poznanski</v>
      </c>
      <c r="C1592" s="21" t="s">
        <v>2763</v>
      </c>
      <c r="D1592" s="21" t="s">
        <v>4022</v>
      </c>
      <c r="E1592" s="22" t="str">
        <f>HYPERLINK("https://twitter.com/serge_poznanski/status/922400844254973954","922400844254973954")</f>
        <v>922400844254973954</v>
      </c>
      <c r="F1592" s="23" t="s">
        <v>187</v>
      </c>
      <c r="G1592" s="24">
        <v>1438.0</v>
      </c>
      <c r="H1592" s="24">
        <v>2138.0</v>
      </c>
      <c r="I1592" s="24">
        <v>0.0</v>
      </c>
      <c r="J1592" s="24">
        <v>0.0</v>
      </c>
      <c r="K1592" s="23" t="s">
        <v>34</v>
      </c>
      <c r="L1592" s="25">
        <v>42271.47445601852</v>
      </c>
      <c r="M1592" s="28"/>
      <c r="N1592" s="28"/>
      <c r="O1592" s="22" t="str">
        <f>HYPERLINK("https://pbs.twimg.com/profile_images/647277253240291328/3GezjFCJ_normal.jpg","View")</f>
        <v>View</v>
      </c>
      <c r="P1592" s="27"/>
    </row>
    <row r="1593">
      <c r="A1593" s="14">
        <v>43031.12123842593</v>
      </c>
      <c r="B1593" s="20" t="str">
        <f>HYPERLINK("https://twitter.com/Yathishbr7","@Yathishbr7")</f>
        <v>@Yathishbr7</v>
      </c>
      <c r="C1593" s="21" t="s">
        <v>4023</v>
      </c>
      <c r="D1593" s="21" t="s">
        <v>42</v>
      </c>
      <c r="E1593" s="22" t="str">
        <f>HYPERLINK("https://twitter.com/Yathishbr7/status/922400853733937153","922400853733937153")</f>
        <v>922400853733937153</v>
      </c>
      <c r="F1593" s="23" t="s">
        <v>33</v>
      </c>
      <c r="G1593" s="24">
        <v>9.0</v>
      </c>
      <c r="H1593" s="24">
        <v>93.0</v>
      </c>
      <c r="I1593" s="24">
        <v>8501.0</v>
      </c>
      <c r="J1593" s="24">
        <v>0.0</v>
      </c>
      <c r="K1593" s="23" t="s">
        <v>34</v>
      </c>
      <c r="L1593" s="25">
        <v>41885.07451388889</v>
      </c>
      <c r="M1593" s="28"/>
      <c r="N1593" s="26" t="s">
        <v>4024</v>
      </c>
      <c r="O1593" s="22" t="str">
        <f>HYPERLINK("https://pbs.twimg.com/profile_images/920987301332656128/gl2Cmlph_normal.jpg","View")</f>
        <v>View</v>
      </c>
      <c r="P1593" s="27"/>
    </row>
    <row r="1594">
      <c r="A1594" s="14">
        <v>43031.12126157407</v>
      </c>
      <c r="B1594" s="20" t="str">
        <f>HYPERLINK("https://twitter.com/Hail_ram","@Hail_ram")</f>
        <v>@Hail_ram</v>
      </c>
      <c r="C1594" s="21" t="s">
        <v>4025</v>
      </c>
      <c r="D1594" s="21" t="s">
        <v>163</v>
      </c>
      <c r="E1594" s="22" t="str">
        <f>HYPERLINK("https://twitter.com/Hail_ram/status/922400861216632832","922400861216632832")</f>
        <v>922400861216632832</v>
      </c>
      <c r="F1594" s="23" t="s">
        <v>39</v>
      </c>
      <c r="G1594" s="24">
        <v>323.0</v>
      </c>
      <c r="H1594" s="24">
        <v>684.0</v>
      </c>
      <c r="I1594" s="24">
        <v>1005.0</v>
      </c>
      <c r="J1594" s="24">
        <v>0.0</v>
      </c>
      <c r="K1594" s="23" t="s">
        <v>34</v>
      </c>
      <c r="L1594" s="25">
        <v>40006.29041666667</v>
      </c>
      <c r="M1594" s="26" t="s">
        <v>4026</v>
      </c>
      <c r="N1594" s="26" t="s">
        <v>4027</v>
      </c>
      <c r="O1594" s="22" t="str">
        <f>HYPERLINK("https://pbs.twimg.com/profile_images/487266089756160000/svrDuRrL_normal.jpeg","View")</f>
        <v>View</v>
      </c>
      <c r="P1594" s="27"/>
    </row>
    <row r="1595">
      <c r="A1595" s="14">
        <v>43031.12128472222</v>
      </c>
      <c r="B1595" s="20" t="str">
        <f>HYPERLINK("https://twitter.com/ActionSharma","@ActionSharma")</f>
        <v>@ActionSharma</v>
      </c>
      <c r="C1595" s="21" t="s">
        <v>4028</v>
      </c>
      <c r="D1595" s="21" t="s">
        <v>42</v>
      </c>
      <c r="E1595" s="22" t="str">
        <f>HYPERLINK("https://twitter.com/ActionSharma/status/922400870897147904","922400870897147904")</f>
        <v>922400870897147904</v>
      </c>
      <c r="F1595" s="23" t="s">
        <v>33</v>
      </c>
      <c r="G1595" s="24">
        <v>1040.0</v>
      </c>
      <c r="H1595" s="24">
        <v>3939.0</v>
      </c>
      <c r="I1595" s="24">
        <v>8501.0</v>
      </c>
      <c r="J1595" s="24">
        <v>0.0</v>
      </c>
      <c r="K1595" s="23" t="s">
        <v>34</v>
      </c>
      <c r="L1595" s="25">
        <v>41474.529652777775</v>
      </c>
      <c r="M1595" s="26" t="s">
        <v>4029</v>
      </c>
      <c r="N1595" s="26" t="s">
        <v>4030</v>
      </c>
      <c r="O1595" s="22" t="str">
        <f>HYPERLINK("https://pbs.twimg.com/profile_images/836551438708928512/0YYYiQWK_normal.jpg","View")</f>
        <v>View</v>
      </c>
      <c r="P1595" s="27"/>
    </row>
    <row r="1596">
      <c r="A1596" s="14">
        <v>43031.12137731482</v>
      </c>
      <c r="B1596" s="20" t="str">
        <f>HYPERLINK("https://twitter.com/captainmalik2","@captainmalik2")</f>
        <v>@captainmalik2</v>
      </c>
      <c r="C1596" s="21" t="s">
        <v>2365</v>
      </c>
      <c r="D1596" s="21" t="s">
        <v>42</v>
      </c>
      <c r="E1596" s="22" t="str">
        <f>HYPERLINK("https://twitter.com/captainmalik2/status/922400903214370816","922400903214370816")</f>
        <v>922400903214370816</v>
      </c>
      <c r="F1596" s="23" t="s">
        <v>39</v>
      </c>
      <c r="G1596" s="24">
        <v>744.0</v>
      </c>
      <c r="H1596" s="24">
        <v>925.0</v>
      </c>
      <c r="I1596" s="24">
        <v>8501.0</v>
      </c>
      <c r="J1596" s="24">
        <v>0.0</v>
      </c>
      <c r="K1596" s="23" t="s">
        <v>34</v>
      </c>
      <c r="L1596" s="25">
        <v>42211.204293981486</v>
      </c>
      <c r="M1596" s="28"/>
      <c r="N1596" s="26" t="s">
        <v>4031</v>
      </c>
      <c r="O1596" s="22" t="str">
        <f>HYPERLINK("https://pbs.twimg.com/profile_images/919082197750915072/1egg7Nb8_normal.jpg","View")</f>
        <v>View</v>
      </c>
      <c r="P1596" s="27"/>
    </row>
    <row r="1597">
      <c r="A1597" s="14">
        <v>43031.12149305556</v>
      </c>
      <c r="B1597" s="20" t="str">
        <f>HYPERLINK("https://twitter.com/shininglightsuk","@shininglightsuk")</f>
        <v>@shininglightsuk</v>
      </c>
      <c r="C1597" s="21" t="s">
        <v>4032</v>
      </c>
      <c r="D1597" s="21" t="s">
        <v>4033</v>
      </c>
      <c r="E1597" s="22" t="str">
        <f>HYPERLINK("https://twitter.com/shininglightsuk/status/922400946541473792","922400946541473792")</f>
        <v>922400946541473792</v>
      </c>
      <c r="F1597" s="23" t="s">
        <v>55</v>
      </c>
      <c r="G1597" s="24">
        <v>2460.0</v>
      </c>
      <c r="H1597" s="24">
        <v>2151.0</v>
      </c>
      <c r="I1597" s="24">
        <v>0.0</v>
      </c>
      <c r="J1597" s="24">
        <v>0.0</v>
      </c>
      <c r="K1597" s="23" t="s">
        <v>34</v>
      </c>
      <c r="L1597" s="25">
        <v>40863.33087962963</v>
      </c>
      <c r="M1597" s="26" t="s">
        <v>2068</v>
      </c>
      <c r="N1597" s="26" t="s">
        <v>4034</v>
      </c>
      <c r="O1597" s="22" t="str">
        <f>HYPERLINK("https://pbs.twimg.com/profile_images/875828672237842432/lC3H3F3R_normal.jpg","View")</f>
        <v>View</v>
      </c>
      <c r="P1597" s="27"/>
    </row>
    <row r="1598">
      <c r="A1598" s="14">
        <v>43031.12149305556</v>
      </c>
      <c r="B1598" s="20" t="str">
        <f>HYPERLINK("https://twitter.com/CNNTweetsNow","@CNNTweetsNow")</f>
        <v>@CNNTweetsNow</v>
      </c>
      <c r="C1598" s="21" t="s">
        <v>4035</v>
      </c>
      <c r="D1598" s="21" t="s">
        <v>2748</v>
      </c>
      <c r="E1598" s="22" t="str">
        <f>HYPERLINK("https://twitter.com/CNNTweetsNow/status/922400947258777600","922400947258777600")</f>
        <v>922400947258777600</v>
      </c>
      <c r="F1598" s="23" t="s">
        <v>33</v>
      </c>
      <c r="G1598" s="24">
        <v>9.0</v>
      </c>
      <c r="H1598" s="24">
        <v>1.0</v>
      </c>
      <c r="I1598" s="24">
        <v>15.0</v>
      </c>
      <c r="J1598" s="24">
        <v>0.0</v>
      </c>
      <c r="K1598" s="23" t="s">
        <v>34</v>
      </c>
      <c r="L1598" s="25">
        <v>42620.22704861111</v>
      </c>
      <c r="M1598" s="26" t="s">
        <v>68</v>
      </c>
      <c r="N1598" s="26" t="s">
        <v>4036</v>
      </c>
      <c r="O1598" s="22" t="str">
        <f>HYPERLINK("https://pbs.twimg.com/profile_images/922566285472555008/TfUzEelH_normal.jpg","View")</f>
        <v>View</v>
      </c>
      <c r="P1598" s="27"/>
    </row>
    <row r="1599">
      <c r="A1599" s="14">
        <v>43031.12153935185</v>
      </c>
      <c r="B1599" s="20" t="str">
        <f>HYPERLINK("https://twitter.com/AMIT61992754","@AMIT61992754")</f>
        <v>@AMIT61992754</v>
      </c>
      <c r="C1599" s="21" t="s">
        <v>4037</v>
      </c>
      <c r="D1599" s="21" t="s">
        <v>42</v>
      </c>
      <c r="E1599" s="22" t="str">
        <f>HYPERLINK("https://twitter.com/AMIT61992754/status/922400961305251841","922400961305251841")</f>
        <v>922400961305251841</v>
      </c>
      <c r="F1599" s="23" t="s">
        <v>33</v>
      </c>
      <c r="G1599" s="24">
        <v>34.0</v>
      </c>
      <c r="H1599" s="24">
        <v>670.0</v>
      </c>
      <c r="I1599" s="24">
        <v>8501.0</v>
      </c>
      <c r="J1599" s="24">
        <v>0.0</v>
      </c>
      <c r="K1599" s="23" t="s">
        <v>34</v>
      </c>
      <c r="L1599" s="25">
        <v>41653.36534722222</v>
      </c>
      <c r="M1599" s="26" t="s">
        <v>4038</v>
      </c>
      <c r="N1599" s="26" t="s">
        <v>4039</v>
      </c>
      <c r="O1599" s="22" t="str">
        <f>HYPERLINK("https://pbs.twimg.com/profile_images/786064305892552704/MNUHkFJE_normal.jpg","View")</f>
        <v>View</v>
      </c>
      <c r="P1599" s="27"/>
    </row>
    <row r="1600">
      <c r="A1600" s="14">
        <v>43031.12153935185</v>
      </c>
      <c r="B1600" s="20" t="str">
        <f>HYPERLINK("https://twitter.com/SallamaariM","@SallamaariM")</f>
        <v>@SallamaariM</v>
      </c>
      <c r="C1600" s="21" t="s">
        <v>4040</v>
      </c>
      <c r="D1600" s="21" t="s">
        <v>3965</v>
      </c>
      <c r="E1600" s="22" t="str">
        <f>HYPERLINK("https://twitter.com/SallamaariM/status/922400964425986049","922400964425986049")</f>
        <v>922400964425986049</v>
      </c>
      <c r="F1600" s="23" t="s">
        <v>55</v>
      </c>
      <c r="G1600" s="24">
        <v>3102.0</v>
      </c>
      <c r="H1600" s="24">
        <v>1558.0</v>
      </c>
      <c r="I1600" s="24">
        <v>14.0</v>
      </c>
      <c r="J1600" s="24">
        <v>0.0</v>
      </c>
      <c r="K1600" s="23" t="s">
        <v>34</v>
      </c>
      <c r="L1600" s="25">
        <v>40859.39655092593</v>
      </c>
      <c r="M1600" s="26" t="s">
        <v>4041</v>
      </c>
      <c r="N1600" s="26" t="s">
        <v>4042</v>
      </c>
      <c r="O1600" s="22" t="str">
        <f>HYPERLINK("https://pbs.twimg.com/profile_images/776345809667391488/Egn417OV_normal.jpg","View")</f>
        <v>View</v>
      </c>
      <c r="P1600" s="27"/>
    </row>
    <row r="1601">
      <c r="A1601" s="14">
        <v>43031.12157407407</v>
      </c>
      <c r="B1601" s="20" t="str">
        <f>HYPERLINK("https://twitter.com/Bambism","@Bambism")</f>
        <v>@Bambism</v>
      </c>
      <c r="C1601" s="21" t="s">
        <v>4043</v>
      </c>
      <c r="D1601" s="21" t="s">
        <v>126</v>
      </c>
      <c r="E1601" s="22" t="str">
        <f>HYPERLINK("https://twitter.com/Bambism/status/922400976593600513","922400976593600513")</f>
        <v>922400976593600513</v>
      </c>
      <c r="F1601" s="23" t="s">
        <v>55</v>
      </c>
      <c r="G1601" s="24">
        <v>934.0</v>
      </c>
      <c r="H1601" s="24">
        <v>1452.0</v>
      </c>
      <c r="I1601" s="24">
        <v>62.0</v>
      </c>
      <c r="J1601" s="24">
        <v>0.0</v>
      </c>
      <c r="K1601" s="23" t="s">
        <v>34</v>
      </c>
      <c r="L1601" s="25">
        <v>39985.936875</v>
      </c>
      <c r="M1601" s="28"/>
      <c r="N1601" s="26" t="s">
        <v>4044</v>
      </c>
      <c r="O1601" s="22" t="str">
        <f>HYPERLINK("https://pbs.twimg.com/profile_images/860771476802162688/uL6QqKNu_normal.jpg","View")</f>
        <v>View</v>
      </c>
      <c r="P1601" s="27"/>
    </row>
    <row r="1602">
      <c r="A1602" s="14">
        <v>43031.12165509259</v>
      </c>
      <c r="B1602" s="20" t="str">
        <f>HYPERLINK("https://twitter.com/FairyBallington","@FairyBallington")</f>
        <v>@FairyBallington</v>
      </c>
      <c r="C1602" s="21" t="s">
        <v>1881</v>
      </c>
      <c r="D1602" s="21" t="s">
        <v>108</v>
      </c>
      <c r="E1602" s="22" t="str">
        <f>HYPERLINK("https://twitter.com/FairyBallington/status/922401003479191554","922401003479191554")</f>
        <v>922401003479191554</v>
      </c>
      <c r="F1602" s="23" t="s">
        <v>1883</v>
      </c>
      <c r="G1602" s="24">
        <v>383.0</v>
      </c>
      <c r="H1602" s="24">
        <v>2453.0</v>
      </c>
      <c r="I1602" s="24">
        <v>88.0</v>
      </c>
      <c r="J1602" s="24">
        <v>0.0</v>
      </c>
      <c r="K1602" s="23" t="s">
        <v>34</v>
      </c>
      <c r="L1602" s="25">
        <v>41674.963055555556</v>
      </c>
      <c r="M1602" s="28"/>
      <c r="N1602" s="28"/>
      <c r="O1602" s="22" t="str">
        <f>HYPERLINK("https://abs.twimg.com/sticky/default_profile_images/default_profile_normal.png","View")</f>
        <v>View</v>
      </c>
      <c r="P1602" s="27"/>
    </row>
    <row r="1603">
      <c r="A1603" s="14">
        <v>43031.12177083333</v>
      </c>
      <c r="B1603" s="20" t="str">
        <f>HYPERLINK("https://twitter.com/BondsFx","@BondsFx")</f>
        <v>@BondsFx</v>
      </c>
      <c r="C1603" s="21" t="s">
        <v>4045</v>
      </c>
      <c r="D1603" s="21" t="s">
        <v>4046</v>
      </c>
      <c r="E1603" s="22" t="str">
        <f>HYPERLINK("https://twitter.com/BondsFx/status/922401047624278016","922401047624278016")</f>
        <v>922401047624278016</v>
      </c>
      <c r="F1603" s="23" t="s">
        <v>769</v>
      </c>
      <c r="G1603" s="24">
        <v>1847.0</v>
      </c>
      <c r="H1603" s="24">
        <v>450.0</v>
      </c>
      <c r="I1603" s="24">
        <v>0.0</v>
      </c>
      <c r="J1603" s="24">
        <v>0.0</v>
      </c>
      <c r="K1603" s="23" t="s">
        <v>34</v>
      </c>
      <c r="L1603" s="25">
        <v>40765.28309027778</v>
      </c>
      <c r="M1603" s="26" t="s">
        <v>2534</v>
      </c>
      <c r="N1603" s="26" t="s">
        <v>4047</v>
      </c>
      <c r="O1603" s="22" t="str">
        <f>HYPERLINK("https://pbs.twimg.com/profile_images/592770727855677440/2tvT4fOE_normal.png","View")</f>
        <v>View</v>
      </c>
      <c r="P1603" s="27"/>
    </row>
    <row r="1604">
      <c r="A1604" s="14">
        <v>43031.12180555555</v>
      </c>
      <c r="B1604" s="20" t="str">
        <f>HYPERLINK("https://twitter.com/niyraj","@niyraj")</f>
        <v>@niyraj</v>
      </c>
      <c r="C1604" s="21" t="s">
        <v>4048</v>
      </c>
      <c r="D1604" s="21" t="s">
        <v>42</v>
      </c>
      <c r="E1604" s="22" t="str">
        <f>HYPERLINK("https://twitter.com/niyraj/status/922401057170477056","922401057170477056")</f>
        <v>922401057170477056</v>
      </c>
      <c r="F1604" s="23" t="s">
        <v>33</v>
      </c>
      <c r="G1604" s="24">
        <v>264.0</v>
      </c>
      <c r="H1604" s="24">
        <v>2060.0</v>
      </c>
      <c r="I1604" s="24">
        <v>8501.0</v>
      </c>
      <c r="J1604" s="24">
        <v>0.0</v>
      </c>
      <c r="K1604" s="23" t="s">
        <v>34</v>
      </c>
      <c r="L1604" s="25">
        <v>39981.92915509259</v>
      </c>
      <c r="M1604" s="28"/>
      <c r="N1604" s="26" t="s">
        <v>4049</v>
      </c>
      <c r="O1604" s="22" t="str">
        <f>HYPERLINK("https://pbs.twimg.com/profile_images/828226802724245504/QtTBmF0-_normal.jpg","View")</f>
        <v>View</v>
      </c>
      <c r="P1604" s="27"/>
    </row>
    <row r="1605">
      <c r="A1605" s="14">
        <v>43031.12189814815</v>
      </c>
      <c r="B1605" s="20" t="str">
        <f>HYPERLINK("https://twitter.com/Tekki_VR","@Tekki_VR")</f>
        <v>@Tekki_VR</v>
      </c>
      <c r="C1605" s="21" t="s">
        <v>4050</v>
      </c>
      <c r="D1605" s="21" t="s">
        <v>4051</v>
      </c>
      <c r="E1605" s="22" t="str">
        <f>HYPERLINK("https://twitter.com/Tekki_VR/status/922401093887381505","922401093887381505")</f>
        <v>922401093887381505</v>
      </c>
      <c r="F1605" s="23" t="s">
        <v>187</v>
      </c>
      <c r="G1605" s="24">
        <v>1899.0</v>
      </c>
      <c r="H1605" s="24">
        <v>2480.0</v>
      </c>
      <c r="I1605" s="24">
        <v>0.0</v>
      </c>
      <c r="J1605" s="24">
        <v>0.0</v>
      </c>
      <c r="K1605" s="23" t="s">
        <v>34</v>
      </c>
      <c r="L1605" s="25">
        <v>42263.54553240741</v>
      </c>
      <c r="M1605" s="26" t="s">
        <v>4052</v>
      </c>
      <c r="N1605" s="26" t="s">
        <v>4053</v>
      </c>
      <c r="O1605" s="22" t="str">
        <f>HYPERLINK("https://pbs.twimg.com/profile_images/760662770694098944/h1nSBfE8_normal.jpg","View")</f>
        <v>View</v>
      </c>
      <c r="P1605" s="27"/>
    </row>
    <row r="1606">
      <c r="A1606" s="14">
        <v>43031.121932870374</v>
      </c>
      <c r="B1606" s="20" t="str">
        <f>HYPERLINK("https://twitter.com/abhishekmontu","@abhishekmontu")</f>
        <v>@abhishekmontu</v>
      </c>
      <c r="C1606" s="21" t="s">
        <v>4054</v>
      </c>
      <c r="D1606" s="21" t="s">
        <v>163</v>
      </c>
      <c r="E1606" s="22" t="str">
        <f>HYPERLINK("https://twitter.com/abhishekmontu/status/922401104226164736","922401104226164736")</f>
        <v>922401104226164736</v>
      </c>
      <c r="F1606" s="23" t="s">
        <v>33</v>
      </c>
      <c r="G1606" s="24">
        <v>1344.0</v>
      </c>
      <c r="H1606" s="24">
        <v>1149.0</v>
      </c>
      <c r="I1606" s="24">
        <v>1005.0</v>
      </c>
      <c r="J1606" s="24">
        <v>0.0</v>
      </c>
      <c r="K1606" s="23" t="s">
        <v>34</v>
      </c>
      <c r="L1606" s="25">
        <v>40168.4821875</v>
      </c>
      <c r="M1606" s="26" t="s">
        <v>4055</v>
      </c>
      <c r="N1606" s="28"/>
      <c r="O1606" s="22" t="str">
        <f>HYPERLINK("https://pbs.twimg.com/profile_images/1867117929/Photo1698_normal.jpg","View")</f>
        <v>View</v>
      </c>
      <c r="P1606" s="27"/>
    </row>
    <row r="1607">
      <c r="A1607" s="14">
        <v>43031.12194444444</v>
      </c>
      <c r="B1607" s="20" t="str">
        <f>HYPERLINK("https://twitter.com/rishi_iitr","@rishi_iitr")</f>
        <v>@rishi_iitr</v>
      </c>
      <c r="C1607" s="21" t="s">
        <v>4056</v>
      </c>
      <c r="D1607" s="21" t="s">
        <v>42</v>
      </c>
      <c r="E1607" s="22" t="str">
        <f>HYPERLINK("https://twitter.com/rishi_iitr/status/922401111335518209","922401111335518209")</f>
        <v>922401111335518209</v>
      </c>
      <c r="F1607" s="23" t="s">
        <v>33</v>
      </c>
      <c r="G1607" s="24">
        <v>260.0</v>
      </c>
      <c r="H1607" s="24">
        <v>263.0</v>
      </c>
      <c r="I1607" s="24">
        <v>8501.0</v>
      </c>
      <c r="J1607" s="24">
        <v>0.0</v>
      </c>
      <c r="K1607" s="23" t="s">
        <v>34</v>
      </c>
      <c r="L1607" s="25">
        <v>40449.38251157408</v>
      </c>
      <c r="M1607" s="26" t="s">
        <v>457</v>
      </c>
      <c r="N1607" s="26" t="s">
        <v>4057</v>
      </c>
      <c r="O1607" s="22" t="str">
        <f>HYPERLINK("https://pbs.twimg.com/profile_images/703107247597981698/yEhrN1me_normal.jpg","View")</f>
        <v>View</v>
      </c>
      <c r="P1607" s="27"/>
    </row>
    <row r="1608">
      <c r="A1608" s="14">
        <v>43031.12195601852</v>
      </c>
      <c r="B1608" s="20" t="str">
        <f>HYPERLINK("https://twitter.com/Rjain02","@Rjain02")</f>
        <v>@Rjain02</v>
      </c>
      <c r="C1608" s="21" t="s">
        <v>4058</v>
      </c>
      <c r="D1608" s="21" t="s">
        <v>42</v>
      </c>
      <c r="E1608" s="22" t="str">
        <f>HYPERLINK("https://twitter.com/Rjain02/status/922401113797681153","922401113797681153")</f>
        <v>922401113797681153</v>
      </c>
      <c r="F1608" s="23" t="s">
        <v>43</v>
      </c>
      <c r="G1608" s="24">
        <v>101.0</v>
      </c>
      <c r="H1608" s="24">
        <v>195.0</v>
      </c>
      <c r="I1608" s="24">
        <v>8501.0</v>
      </c>
      <c r="J1608" s="24">
        <v>0.0</v>
      </c>
      <c r="K1608" s="23" t="s">
        <v>34</v>
      </c>
      <c r="L1608" s="25">
        <v>42534.06224537037</v>
      </c>
      <c r="M1608" s="26" t="s">
        <v>4059</v>
      </c>
      <c r="N1608" s="26" t="s">
        <v>4060</v>
      </c>
      <c r="O1608" s="22" t="str">
        <f>HYPERLINK("https://pbs.twimg.com/profile_images/910396200288845824/JS_ZWlQ__normal.jpg","View")</f>
        <v>View</v>
      </c>
      <c r="P1608" s="27"/>
    </row>
    <row r="1609">
      <c r="A1609" s="14">
        <v>43031.12204861111</v>
      </c>
      <c r="B1609" s="20" t="str">
        <f>HYPERLINK("https://twitter.com/JunkieNews_News","@JunkieNews_News")</f>
        <v>@JunkieNews_News</v>
      </c>
      <c r="C1609" s="21" t="s">
        <v>4061</v>
      </c>
      <c r="D1609" s="21" t="s">
        <v>108</v>
      </c>
      <c r="E1609" s="22" t="str">
        <f>HYPERLINK("https://twitter.com/JunkieNews_News/status/922401148736327681","922401148736327681")</f>
        <v>922401148736327681</v>
      </c>
      <c r="F1609" s="23" t="s">
        <v>230</v>
      </c>
      <c r="G1609" s="24">
        <v>84765.0</v>
      </c>
      <c r="H1609" s="24">
        <v>84367.0</v>
      </c>
      <c r="I1609" s="24">
        <v>88.0</v>
      </c>
      <c r="J1609" s="24">
        <v>0.0</v>
      </c>
      <c r="K1609" s="23" t="s">
        <v>34</v>
      </c>
      <c r="L1609" s="25">
        <v>41971.310428240744</v>
      </c>
      <c r="M1609" s="26" t="s">
        <v>2068</v>
      </c>
      <c r="N1609" s="26" t="s">
        <v>4062</v>
      </c>
      <c r="O1609" s="22" t="str">
        <f>HYPERLINK("https://pbs.twimg.com/profile_images/541309825683304449/ek6xnjtB_normal.jpeg","View")</f>
        <v>View</v>
      </c>
      <c r="P1609" s="27"/>
    </row>
    <row r="1610">
      <c r="A1610" s="14">
        <v>43031.12215277778</v>
      </c>
      <c r="B1610" s="20" t="str">
        <f>HYPERLINK("https://twitter.com/saadhyudu2011","@saadhyudu2011")</f>
        <v>@saadhyudu2011</v>
      </c>
      <c r="C1610" s="21" t="s">
        <v>4063</v>
      </c>
      <c r="D1610" s="21" t="s">
        <v>42</v>
      </c>
      <c r="E1610" s="22" t="str">
        <f>HYPERLINK("https://twitter.com/saadhyudu2011/status/922401182835916801","922401182835916801")</f>
        <v>922401182835916801</v>
      </c>
      <c r="F1610" s="23" t="s">
        <v>33</v>
      </c>
      <c r="G1610" s="24">
        <v>2118.0</v>
      </c>
      <c r="H1610" s="24">
        <v>4880.0</v>
      </c>
      <c r="I1610" s="24">
        <v>8501.0</v>
      </c>
      <c r="J1610" s="24">
        <v>0.0</v>
      </c>
      <c r="K1610" s="23" t="s">
        <v>34</v>
      </c>
      <c r="L1610" s="25">
        <v>42150.514340277776</v>
      </c>
      <c r="M1610" s="26" t="s">
        <v>4064</v>
      </c>
      <c r="N1610" s="26" t="s">
        <v>4065</v>
      </c>
      <c r="O1610" s="22" t="str">
        <f>HYPERLINK("https://pbs.twimg.com/profile_images/641263344553361408/rbDjMj2e_normal.jpg","View")</f>
        <v>View</v>
      </c>
      <c r="P1610" s="27"/>
    </row>
    <row r="1611">
      <c r="A1611" s="14">
        <v>43031.12216435185</v>
      </c>
      <c r="B1611" s="20" t="str">
        <f>HYPERLINK("https://twitter.com/Awinklednawab","@Awinklednawab")</f>
        <v>@Awinklednawab</v>
      </c>
      <c r="C1611" s="21" t="s">
        <v>4066</v>
      </c>
      <c r="D1611" s="21" t="s">
        <v>42</v>
      </c>
      <c r="E1611" s="22" t="str">
        <f>HYPERLINK("https://twitter.com/Awinklednawab/status/922401187151802368","922401187151802368")</f>
        <v>922401187151802368</v>
      </c>
      <c r="F1611" s="23" t="s">
        <v>33</v>
      </c>
      <c r="G1611" s="24">
        <v>38.0</v>
      </c>
      <c r="H1611" s="24">
        <v>122.0</v>
      </c>
      <c r="I1611" s="24">
        <v>8501.0</v>
      </c>
      <c r="J1611" s="24">
        <v>0.0</v>
      </c>
      <c r="K1611" s="23" t="s">
        <v>34</v>
      </c>
      <c r="L1611" s="25">
        <v>40907.15949074074</v>
      </c>
      <c r="M1611" s="26" t="s">
        <v>4067</v>
      </c>
      <c r="N1611" s="26" t="s">
        <v>4068</v>
      </c>
      <c r="O1611" s="22" t="str">
        <f>HYPERLINK("https://pbs.twimg.com/profile_images/721930741739859969/zIYDXxP9_normal.jpg","View")</f>
        <v>View</v>
      </c>
      <c r="P1611" s="27"/>
    </row>
    <row r="1612">
      <c r="A1612" s="14">
        <v>43031.12217592592</v>
      </c>
      <c r="B1612" s="20" t="str">
        <f>HYPERLINK("https://twitter.com/AMIT_KR_TIWARI","@AMIT_KR_TIWARI")</f>
        <v>@AMIT_KR_TIWARI</v>
      </c>
      <c r="C1612" s="21" t="s">
        <v>4069</v>
      </c>
      <c r="D1612" s="21" t="s">
        <v>42</v>
      </c>
      <c r="E1612" s="22" t="str">
        <f>HYPERLINK("https://twitter.com/AMIT_KR_TIWARI/status/922401194336833538","922401194336833538")</f>
        <v>922401194336833538</v>
      </c>
      <c r="F1612" s="23" t="s">
        <v>39</v>
      </c>
      <c r="G1612" s="24">
        <v>85.0</v>
      </c>
      <c r="H1612" s="24">
        <v>237.0</v>
      </c>
      <c r="I1612" s="24">
        <v>8501.0</v>
      </c>
      <c r="J1612" s="24">
        <v>0.0</v>
      </c>
      <c r="K1612" s="23" t="s">
        <v>34</v>
      </c>
      <c r="L1612" s="25">
        <v>40525.17222222222</v>
      </c>
      <c r="M1612" s="26" t="s">
        <v>4070</v>
      </c>
      <c r="N1612" s="26" t="s">
        <v>4071</v>
      </c>
      <c r="O1612" s="22" t="str">
        <f>HYPERLINK("https://pbs.twimg.com/profile_images/825555423478562816/5gKG8cpt_normal.jpg","View")</f>
        <v>View</v>
      </c>
      <c r="P1612" s="27"/>
    </row>
    <row r="1613">
      <c r="A1613" s="14">
        <v>43031.12226851852</v>
      </c>
      <c r="B1613" s="20" t="str">
        <f>HYPERLINK("https://twitter.com/Rick4312","@Rick4312")</f>
        <v>@Rick4312</v>
      </c>
      <c r="C1613" s="21" t="s">
        <v>1515</v>
      </c>
      <c r="D1613" s="21" t="s">
        <v>3965</v>
      </c>
      <c r="E1613" s="22" t="str">
        <f>HYPERLINK("https://twitter.com/Rick4312/status/922401228268756992","922401228268756992")</f>
        <v>922401228268756992</v>
      </c>
      <c r="F1613" s="23" t="s">
        <v>33</v>
      </c>
      <c r="G1613" s="24">
        <v>350.0</v>
      </c>
      <c r="H1613" s="24">
        <v>341.0</v>
      </c>
      <c r="I1613" s="24">
        <v>14.0</v>
      </c>
      <c r="J1613" s="24">
        <v>0.0</v>
      </c>
      <c r="K1613" s="23" t="s">
        <v>34</v>
      </c>
      <c r="L1613" s="25">
        <v>39926.19918981481</v>
      </c>
      <c r="M1613" s="28"/>
      <c r="N1613" s="26" t="s">
        <v>1516</v>
      </c>
      <c r="O1613" s="22" t="str">
        <f>HYPERLINK("https://pbs.twimg.com/profile_images/378800000606169554/baf9e73de18cf5538945e01f8656543c_normal.png","View")</f>
        <v>View</v>
      </c>
      <c r="P1613" s="27"/>
    </row>
    <row r="1614">
      <c r="A1614" s="14">
        <v>43031.12231481481</v>
      </c>
      <c r="B1614" s="20" t="str">
        <f>HYPERLINK("https://twitter.com/shailendra_nair","@shailendra_nair")</f>
        <v>@shailendra_nair</v>
      </c>
      <c r="C1614" s="21" t="s">
        <v>4072</v>
      </c>
      <c r="D1614" s="21" t="s">
        <v>4073</v>
      </c>
      <c r="E1614" s="22" t="str">
        <f>HYPERLINK("https://twitter.com/shailendra_nair/status/922401244307697664","922401244307697664")</f>
        <v>922401244307697664</v>
      </c>
      <c r="F1614" s="23" t="s">
        <v>187</v>
      </c>
      <c r="G1614" s="24">
        <v>3990.0</v>
      </c>
      <c r="H1614" s="24">
        <v>1041.0</v>
      </c>
      <c r="I1614" s="24">
        <v>0.0</v>
      </c>
      <c r="J1614" s="24">
        <v>0.0</v>
      </c>
      <c r="K1614" s="23" t="s">
        <v>34</v>
      </c>
      <c r="L1614" s="25">
        <v>40362.43798611111</v>
      </c>
      <c r="M1614" s="26" t="s">
        <v>246</v>
      </c>
      <c r="N1614" s="26" t="s">
        <v>4074</v>
      </c>
      <c r="O1614" s="22" t="str">
        <f>HYPERLINK("https://pbs.twimg.com/profile_images/884758468879466497/M_w6UjD3_normal.jpg","View")</f>
        <v>View</v>
      </c>
      <c r="P1614" s="27"/>
    </row>
    <row r="1615">
      <c r="A1615" s="14">
        <v>43031.122349537036</v>
      </c>
      <c r="B1615" s="20" t="str">
        <f>HYPERLINK("https://twitter.com/BSAFunds","@BSAFunds")</f>
        <v>@BSAFunds</v>
      </c>
      <c r="C1615" s="21" t="s">
        <v>1248</v>
      </c>
      <c r="D1615" s="21" t="s">
        <v>4075</v>
      </c>
      <c r="E1615" s="22" t="str">
        <f>HYPERLINK("https://twitter.com/BSAFunds/status/922401256110374912","922401256110374912")</f>
        <v>922401256110374912</v>
      </c>
      <c r="F1615" s="23" t="s">
        <v>187</v>
      </c>
      <c r="G1615" s="24">
        <v>20910.0</v>
      </c>
      <c r="H1615" s="24">
        <v>8929.0</v>
      </c>
      <c r="I1615" s="24">
        <v>0.0</v>
      </c>
      <c r="J1615" s="24">
        <v>0.0</v>
      </c>
      <c r="K1615" s="23" t="s">
        <v>34</v>
      </c>
      <c r="L1615" s="25">
        <v>42601.94818287037</v>
      </c>
      <c r="M1615" s="26" t="s">
        <v>1250</v>
      </c>
      <c r="N1615" s="26" t="s">
        <v>1251</v>
      </c>
      <c r="O1615" s="22" t="str">
        <f>HYPERLINK("https://pbs.twimg.com/profile_images/912769166960033792/N4LAmrTs_normal.jpg","View")</f>
        <v>View</v>
      </c>
      <c r="P1615" s="27"/>
    </row>
    <row r="1616">
      <c r="A1616" s="14">
        <v>43031.12240740741</v>
      </c>
      <c r="B1616" s="20" t="str">
        <f>HYPERLINK("https://twitter.com/rob3knews","@rob3knews")</f>
        <v>@rob3knews</v>
      </c>
      <c r="C1616" s="21" t="s">
        <v>1226</v>
      </c>
      <c r="D1616" s="21" t="s">
        <v>4076</v>
      </c>
      <c r="E1616" s="22" t="str">
        <f>HYPERLINK("https://twitter.com/rob3knews/status/922401276117356544","922401276117356544")</f>
        <v>922401276117356544</v>
      </c>
      <c r="F1616" s="23" t="s">
        <v>91</v>
      </c>
      <c r="G1616" s="24">
        <v>24.0</v>
      </c>
      <c r="H1616" s="24">
        <v>0.0</v>
      </c>
      <c r="I1616" s="24">
        <v>0.0</v>
      </c>
      <c r="J1616" s="24">
        <v>0.0</v>
      </c>
      <c r="K1616" s="23" t="s">
        <v>34</v>
      </c>
      <c r="L1616" s="25">
        <v>40659.28465277778</v>
      </c>
      <c r="M1616" s="28"/>
      <c r="N1616" s="28"/>
      <c r="O1616" s="22" t="str">
        <f>HYPERLINK("https://abs.twimg.com/sticky/default_profile_images/default_profile_normal.png","View")</f>
        <v>View</v>
      </c>
      <c r="P1616" s="27"/>
    </row>
    <row r="1617">
      <c r="A1617" s="14">
        <v>43031.12240740741</v>
      </c>
      <c r="B1617" s="20" t="str">
        <f>HYPERLINK("https://twitter.com/martisys","@martisys")</f>
        <v>@martisys</v>
      </c>
      <c r="C1617" s="21" t="s">
        <v>4077</v>
      </c>
      <c r="D1617" s="21" t="s">
        <v>3578</v>
      </c>
      <c r="E1617" s="22" t="str">
        <f>HYPERLINK("https://twitter.com/martisys/status/922401276910030848","922401276910030848")</f>
        <v>922401276910030848</v>
      </c>
      <c r="F1617" s="23" t="s">
        <v>4078</v>
      </c>
      <c r="G1617" s="24">
        <v>32.0</v>
      </c>
      <c r="H1617" s="24">
        <v>105.0</v>
      </c>
      <c r="I1617" s="24">
        <v>6.0</v>
      </c>
      <c r="J1617" s="24">
        <v>0.0</v>
      </c>
      <c r="K1617" s="23" t="s">
        <v>34</v>
      </c>
      <c r="L1617" s="25">
        <v>39637.977847222224</v>
      </c>
      <c r="M1617" s="26" t="s">
        <v>4079</v>
      </c>
      <c r="N1617" s="28"/>
      <c r="O1617" s="22" t="str">
        <f>HYPERLINK("https://pbs.twimg.com/profile_images/469465712486936576/6RlRpqje_normal.jpeg","View")</f>
        <v>View</v>
      </c>
      <c r="P1617" s="27"/>
    </row>
    <row r="1618">
      <c r="A1618" s="14">
        <v>43031.122453703705</v>
      </c>
      <c r="B1618" s="20" t="str">
        <f>HYPERLINK("https://twitter.com/mlnangalama","@mlnangalama")</f>
        <v>@mlnangalama</v>
      </c>
      <c r="C1618" s="21" t="s">
        <v>925</v>
      </c>
      <c r="D1618" s="21" t="s">
        <v>4080</v>
      </c>
      <c r="E1618" s="22" t="str">
        <f>HYPERLINK("https://twitter.com/mlnangalama/status/922401292126965760","922401292126965760")</f>
        <v>922401292126965760</v>
      </c>
      <c r="F1618" s="23" t="s">
        <v>187</v>
      </c>
      <c r="G1618" s="24">
        <v>2366.0</v>
      </c>
      <c r="H1618" s="24">
        <v>1582.0</v>
      </c>
      <c r="I1618" s="24">
        <v>0.0</v>
      </c>
      <c r="J1618" s="24">
        <v>0.0</v>
      </c>
      <c r="K1618" s="23" t="s">
        <v>34</v>
      </c>
      <c r="L1618" s="25">
        <v>41041.54378472222</v>
      </c>
      <c r="M1618" s="26" t="s">
        <v>927</v>
      </c>
      <c r="N1618" s="26" t="s">
        <v>928</v>
      </c>
      <c r="O1618" s="22" t="str">
        <f>HYPERLINK("https://pbs.twimg.com/profile_images/900915882444173313/biUHzvpx_normal.jpg","View")</f>
        <v>View</v>
      </c>
      <c r="P1618" s="27"/>
    </row>
    <row r="1619">
      <c r="A1619" s="14">
        <v>43031.12247685185</v>
      </c>
      <c r="B1619" s="20" t="str">
        <f>HYPERLINK("https://twitter.com/channel1atlanta","@channel1atlanta")</f>
        <v>@channel1atlanta</v>
      </c>
      <c r="C1619" s="21" t="s">
        <v>4081</v>
      </c>
      <c r="D1619" s="21" t="s">
        <v>4082</v>
      </c>
      <c r="E1619" s="22" t="str">
        <f>HYPERLINK("https://twitter.com/channel1atlanta/status/922401300695994368","922401300695994368")</f>
        <v>922401300695994368</v>
      </c>
      <c r="F1619" s="23" t="s">
        <v>187</v>
      </c>
      <c r="G1619" s="24">
        <v>3380.0</v>
      </c>
      <c r="H1619" s="24">
        <v>4282.0</v>
      </c>
      <c r="I1619" s="24">
        <v>0.0</v>
      </c>
      <c r="J1619" s="24">
        <v>0.0</v>
      </c>
      <c r="K1619" s="23" t="s">
        <v>34</v>
      </c>
      <c r="L1619" s="25">
        <v>39810.59538194444</v>
      </c>
      <c r="M1619" s="26" t="s">
        <v>4083</v>
      </c>
      <c r="N1619" s="26" t="s">
        <v>4084</v>
      </c>
      <c r="O1619" s="22" t="str">
        <f>HYPERLINK("https://pbs.twimg.com/profile_images/863843040204607488/ACWcv13P_normal.jpg","View")</f>
        <v>View</v>
      </c>
      <c r="P1619" s="27"/>
    </row>
    <row r="1620">
      <c r="A1620" s="14">
        <v>43031.12247685185</v>
      </c>
      <c r="B1620" s="20" t="str">
        <f>HYPERLINK("https://twitter.com/Msd4evr","@Msd4evr")</f>
        <v>@Msd4evr</v>
      </c>
      <c r="C1620" s="21" t="s">
        <v>4085</v>
      </c>
      <c r="D1620" s="21" t="s">
        <v>42</v>
      </c>
      <c r="E1620" s="22" t="str">
        <f>HYPERLINK("https://twitter.com/Msd4evr/status/922401304139350018","922401304139350018")</f>
        <v>922401304139350018</v>
      </c>
      <c r="F1620" s="23" t="s">
        <v>33</v>
      </c>
      <c r="G1620" s="24">
        <v>281.0</v>
      </c>
      <c r="H1620" s="24">
        <v>1401.0</v>
      </c>
      <c r="I1620" s="24">
        <v>8501.0</v>
      </c>
      <c r="J1620" s="24">
        <v>0.0</v>
      </c>
      <c r="K1620" s="23" t="s">
        <v>34</v>
      </c>
      <c r="L1620" s="25">
        <v>40051.11077546296</v>
      </c>
      <c r="M1620" s="26" t="s">
        <v>92</v>
      </c>
      <c r="N1620" s="26" t="s">
        <v>4086</v>
      </c>
      <c r="O1620" s="22" t="str">
        <f>HYPERLINK("https://pbs.twimg.com/profile_images/922382538085056512/xvwvLGEX_normal.jpg","View")</f>
        <v>View</v>
      </c>
      <c r="P1620" s="27"/>
    </row>
    <row r="1621">
      <c r="A1621" s="14">
        <v>43031.1225462963</v>
      </c>
      <c r="B1621" s="20" t="str">
        <f>HYPERLINK("https://twitter.com/Hvemerdu","@Hvemerdu")</f>
        <v>@Hvemerdu</v>
      </c>
      <c r="C1621" s="21" t="s">
        <v>4087</v>
      </c>
      <c r="D1621" s="21" t="s">
        <v>3965</v>
      </c>
      <c r="E1621" s="22" t="str">
        <f>HYPERLINK("https://twitter.com/Hvemerdu/status/922401327501557765","922401327501557765")</f>
        <v>922401327501557765</v>
      </c>
      <c r="F1621" s="23" t="s">
        <v>2119</v>
      </c>
      <c r="G1621" s="24">
        <v>555.0</v>
      </c>
      <c r="H1621" s="24">
        <v>673.0</v>
      </c>
      <c r="I1621" s="24">
        <v>14.0</v>
      </c>
      <c r="J1621" s="24">
        <v>0.0</v>
      </c>
      <c r="K1621" s="23" t="s">
        <v>34</v>
      </c>
      <c r="L1621" s="25">
        <v>40129.13637731482</v>
      </c>
      <c r="M1621" s="26" t="s">
        <v>4088</v>
      </c>
      <c r="N1621" s="26" t="s">
        <v>4089</v>
      </c>
      <c r="O1621" s="22" t="str">
        <f>HYPERLINK("https://pbs.twimg.com/profile_images/1879003714/_____2________________something-like-hikonyan-is-arrested_normal.jpg","View")</f>
        <v>View</v>
      </c>
      <c r="P1621" s="27"/>
    </row>
    <row r="1622">
      <c r="A1622" s="14">
        <v>43031.1225925926</v>
      </c>
      <c r="B1622" s="20" t="str">
        <f>HYPERLINK("https://twitter.com/akshaychandorka","@akshaychandorka")</f>
        <v>@akshaychandorka</v>
      </c>
      <c r="C1622" s="21" t="s">
        <v>3620</v>
      </c>
      <c r="D1622" s="21" t="s">
        <v>42</v>
      </c>
      <c r="E1622" s="22" t="str">
        <f>HYPERLINK("https://twitter.com/akshaychandorka/status/922401345964929024","922401345964929024")</f>
        <v>922401345964929024</v>
      </c>
      <c r="F1622" s="23" t="s">
        <v>33</v>
      </c>
      <c r="G1622" s="24">
        <v>700.0</v>
      </c>
      <c r="H1622" s="24">
        <v>166.0</v>
      </c>
      <c r="I1622" s="24">
        <v>8501.0</v>
      </c>
      <c r="J1622" s="24">
        <v>0.0</v>
      </c>
      <c r="K1622" s="23" t="s">
        <v>34</v>
      </c>
      <c r="L1622" s="25">
        <v>40780.131273148145</v>
      </c>
      <c r="M1622" s="28"/>
      <c r="N1622" s="28"/>
      <c r="O1622" s="22" t="str">
        <f>HYPERLINK("https://pbs.twimg.com/profile_images/900599926819704832/AgzQHIYg_normal.jpg","View")</f>
        <v>View</v>
      </c>
      <c r="P1622" s="27"/>
    </row>
    <row r="1623">
      <c r="A1623" s="14">
        <v>43031.12261574074</v>
      </c>
      <c r="B1623" s="20" t="str">
        <f t="shared" ref="B1623:B1624" si="20">HYPERLINK("https://twitter.com/AynurIsil","@AynurIsil")</f>
        <v>@AynurIsil</v>
      </c>
      <c r="C1623" s="21" t="s">
        <v>4090</v>
      </c>
      <c r="D1623" s="21" t="s">
        <v>4091</v>
      </c>
      <c r="E1623" s="22" t="str">
        <f>HYPERLINK("https://twitter.com/AynurIsil/status/922401351044354048","922401351044354048")</f>
        <v>922401351044354048</v>
      </c>
      <c r="F1623" s="23" t="s">
        <v>55</v>
      </c>
      <c r="G1623" s="24">
        <v>894.0</v>
      </c>
      <c r="H1623" s="24">
        <v>1600.0</v>
      </c>
      <c r="I1623" s="24">
        <v>6.0</v>
      </c>
      <c r="J1623" s="24">
        <v>0.0</v>
      </c>
      <c r="K1623" s="23" t="s">
        <v>34</v>
      </c>
      <c r="L1623" s="25">
        <v>41817.12467592592</v>
      </c>
      <c r="M1623" s="28"/>
      <c r="N1623" s="26" t="s">
        <v>4092</v>
      </c>
      <c r="O1623" s="22" t="str">
        <f t="shared" ref="O1623:O1624" si="21">HYPERLINK("https://pbs.twimg.com/profile_images/922399978764619776/j-R8mpMu_normal.jpg","View")</f>
        <v>View</v>
      </c>
      <c r="P1623" s="27"/>
    </row>
    <row r="1624">
      <c r="A1624" s="14">
        <v>43031.12265046296</v>
      </c>
      <c r="B1624" s="20" t="str">
        <f t="shared" si="20"/>
        <v>@AynurIsil</v>
      </c>
      <c r="C1624" s="21" t="s">
        <v>4090</v>
      </c>
      <c r="D1624" s="21" t="s">
        <v>4093</v>
      </c>
      <c r="E1624" s="22" t="str">
        <f>HYPERLINK("https://twitter.com/AynurIsil/status/922401363774066689","922401363774066689")</f>
        <v>922401363774066689</v>
      </c>
      <c r="F1624" s="23" t="s">
        <v>55</v>
      </c>
      <c r="G1624" s="24">
        <v>894.0</v>
      </c>
      <c r="H1624" s="24">
        <v>1600.0</v>
      </c>
      <c r="I1624" s="24">
        <v>5.0</v>
      </c>
      <c r="J1624" s="24">
        <v>0.0</v>
      </c>
      <c r="K1624" s="23" t="s">
        <v>34</v>
      </c>
      <c r="L1624" s="25">
        <v>41817.12467592592</v>
      </c>
      <c r="M1624" s="28"/>
      <c r="N1624" s="26" t="s">
        <v>4092</v>
      </c>
      <c r="O1624" s="22" t="str">
        <f t="shared" si="21"/>
        <v>View</v>
      </c>
      <c r="P1624" s="27"/>
    </row>
    <row r="1625">
      <c r="A1625" s="14">
        <v>43031.12269675926</v>
      </c>
      <c r="B1625" s="20" t="str">
        <f>HYPERLINK("https://twitter.com/mparadiso29877","@mparadiso29877")</f>
        <v>@mparadiso29877</v>
      </c>
      <c r="C1625" s="21" t="s">
        <v>4094</v>
      </c>
      <c r="D1625" s="21" t="s">
        <v>108</v>
      </c>
      <c r="E1625" s="22" t="str">
        <f>HYPERLINK("https://twitter.com/mparadiso29877/status/922401380840722432","922401380840722432")</f>
        <v>922401380840722432</v>
      </c>
      <c r="F1625" s="23" t="s">
        <v>39</v>
      </c>
      <c r="G1625" s="24">
        <v>75.0</v>
      </c>
      <c r="H1625" s="24">
        <v>504.0</v>
      </c>
      <c r="I1625" s="24">
        <v>88.0</v>
      </c>
      <c r="J1625" s="24">
        <v>0.0</v>
      </c>
      <c r="K1625" s="23" t="s">
        <v>34</v>
      </c>
      <c r="L1625" s="25">
        <v>39538.3875925926</v>
      </c>
      <c r="M1625" s="26" t="s">
        <v>4095</v>
      </c>
      <c r="N1625" s="26" t="s">
        <v>4096</v>
      </c>
      <c r="O1625" s="22" t="str">
        <f>HYPERLINK("https://pbs.twimg.com/profile_images/967946810/little_me_normal.jpg","View")</f>
        <v>View</v>
      </c>
      <c r="P1625" s="27"/>
    </row>
    <row r="1626">
      <c r="A1626" s="14">
        <v>43031.12278935185</v>
      </c>
      <c r="B1626" s="20" t="str">
        <f>HYPERLINK("https://twitter.com/hanzawata","@hanzawata")</f>
        <v>@hanzawata</v>
      </c>
      <c r="C1626" s="21" t="s">
        <v>4097</v>
      </c>
      <c r="D1626" s="21" t="s">
        <v>42</v>
      </c>
      <c r="E1626" s="22" t="str">
        <f>HYPERLINK("https://twitter.com/hanzawata/status/922401413816205312","922401413816205312")</f>
        <v>922401413816205312</v>
      </c>
      <c r="F1626" s="23" t="s">
        <v>55</v>
      </c>
      <c r="G1626" s="24">
        <v>66.0</v>
      </c>
      <c r="H1626" s="24">
        <v>93.0</v>
      </c>
      <c r="I1626" s="24">
        <v>8501.0</v>
      </c>
      <c r="J1626" s="24">
        <v>0.0</v>
      </c>
      <c r="K1626" s="23" t="s">
        <v>34</v>
      </c>
      <c r="L1626" s="25">
        <v>41551.71524305556</v>
      </c>
      <c r="M1626" s="28"/>
      <c r="N1626" s="28"/>
      <c r="O1626" s="22" t="str">
        <f>HYPERLINK("https://pbs.twimg.com/profile_images/917733101723250688/89YEFKfo_normal.jpg","View")</f>
        <v>View</v>
      </c>
      <c r="P1626" s="27"/>
    </row>
    <row r="1627">
      <c r="A1627" s="14">
        <v>43031.122812500005</v>
      </c>
      <c r="B1627" s="20" t="str">
        <f>HYPERLINK("https://twitter.com/Memarketgroup","@Memarketgroup")</f>
        <v>@Memarketgroup</v>
      </c>
      <c r="C1627" s="21" t="s">
        <v>4098</v>
      </c>
      <c r="D1627" s="21" t="s">
        <v>4099</v>
      </c>
      <c r="E1627" s="22" t="str">
        <f>HYPERLINK("https://twitter.com/Memarketgroup/status/922401425312894976","922401425312894976")</f>
        <v>922401425312894976</v>
      </c>
      <c r="F1627" s="23" t="s">
        <v>4100</v>
      </c>
      <c r="G1627" s="24">
        <v>15423.0</v>
      </c>
      <c r="H1627" s="24">
        <v>14516.0</v>
      </c>
      <c r="I1627" s="24">
        <v>0.0</v>
      </c>
      <c r="J1627" s="24">
        <v>0.0</v>
      </c>
      <c r="K1627" s="23" t="s">
        <v>34</v>
      </c>
      <c r="L1627" s="25">
        <v>40794.6156712963</v>
      </c>
      <c r="M1627" s="26" t="s">
        <v>4101</v>
      </c>
      <c r="N1627" s="26" t="s">
        <v>4102</v>
      </c>
      <c r="O1627" s="22" t="str">
        <f>HYPERLINK("https://pbs.twimg.com/profile_images/575105777247084544/8dwKWjXz_normal.jpeg","View")</f>
        <v>View</v>
      </c>
      <c r="P1627" s="27"/>
    </row>
    <row r="1628">
      <c r="A1628" s="14">
        <v>43031.1228587963</v>
      </c>
      <c r="B1628" s="20" t="str">
        <f>HYPERLINK("https://twitter.com/mparadiso29877","@mparadiso29877")</f>
        <v>@mparadiso29877</v>
      </c>
      <c r="C1628" s="21" t="s">
        <v>4094</v>
      </c>
      <c r="D1628" s="21" t="s">
        <v>760</v>
      </c>
      <c r="E1628" s="22" t="str">
        <f>HYPERLINK("https://twitter.com/mparadiso29877/status/922401442039726081","922401442039726081")</f>
        <v>922401442039726081</v>
      </c>
      <c r="F1628" s="23" t="s">
        <v>39</v>
      </c>
      <c r="G1628" s="24">
        <v>75.0</v>
      </c>
      <c r="H1628" s="24">
        <v>504.0</v>
      </c>
      <c r="I1628" s="24">
        <v>62.0</v>
      </c>
      <c r="J1628" s="24">
        <v>0.0</v>
      </c>
      <c r="K1628" s="23" t="s">
        <v>34</v>
      </c>
      <c r="L1628" s="25">
        <v>39538.3875925926</v>
      </c>
      <c r="M1628" s="26" t="s">
        <v>4095</v>
      </c>
      <c r="N1628" s="26" t="s">
        <v>4096</v>
      </c>
      <c r="O1628" s="22" t="str">
        <f>HYPERLINK("https://pbs.twimg.com/profile_images/967946810/little_me_normal.jpg","View")</f>
        <v>View</v>
      </c>
      <c r="P1628" s="27"/>
    </row>
    <row r="1629">
      <c r="A1629" s="14">
        <v>43031.12287037037</v>
      </c>
      <c r="B1629" s="20" t="str">
        <f>HYPERLINK("https://twitter.com/mlawise1","@mlawise1")</f>
        <v>@mlawise1</v>
      </c>
      <c r="C1629" s="21" t="s">
        <v>4103</v>
      </c>
      <c r="D1629" s="21" t="s">
        <v>32</v>
      </c>
      <c r="E1629" s="22" t="str">
        <f>HYPERLINK("https://twitter.com/mlawise1/status/922401443323240448","922401443323240448")</f>
        <v>922401443323240448</v>
      </c>
      <c r="F1629" s="23" t="s">
        <v>33</v>
      </c>
      <c r="G1629" s="24">
        <v>40.0</v>
      </c>
      <c r="H1629" s="24">
        <v>114.0</v>
      </c>
      <c r="I1629" s="24">
        <v>471.0</v>
      </c>
      <c r="J1629" s="24">
        <v>0.0</v>
      </c>
      <c r="K1629" s="23" t="s">
        <v>34</v>
      </c>
      <c r="L1629" s="25">
        <v>42178.98398148148</v>
      </c>
      <c r="M1629" s="28"/>
      <c r="N1629" s="28"/>
      <c r="O1629" s="22" t="str">
        <f>HYPERLINK("https://pbs.twimg.com/profile_images/905718699704934401/7jiiR9-j_normal.jpg","View")</f>
        <v>View</v>
      </c>
      <c r="P1629" s="27"/>
    </row>
    <row r="1630">
      <c r="A1630" s="14">
        <v>43031.12290509259</v>
      </c>
      <c r="B1630" s="20" t="str">
        <f>HYPERLINK("https://twitter.com/Amrapali_c","@Amrapali_c")</f>
        <v>@Amrapali_c</v>
      </c>
      <c r="C1630" s="21" t="s">
        <v>4104</v>
      </c>
      <c r="D1630" s="21" t="s">
        <v>42</v>
      </c>
      <c r="E1630" s="22" t="str">
        <f>HYPERLINK("https://twitter.com/Amrapali_c/status/922401457285951489","922401457285951489")</f>
        <v>922401457285951489</v>
      </c>
      <c r="F1630" s="23" t="s">
        <v>55</v>
      </c>
      <c r="G1630" s="24">
        <v>1379.0</v>
      </c>
      <c r="H1630" s="24">
        <v>4942.0</v>
      </c>
      <c r="I1630" s="24">
        <v>8501.0</v>
      </c>
      <c r="J1630" s="24">
        <v>0.0</v>
      </c>
      <c r="K1630" s="23" t="s">
        <v>34</v>
      </c>
      <c r="L1630" s="25">
        <v>40907.32193287037</v>
      </c>
      <c r="M1630" s="26" t="s">
        <v>4105</v>
      </c>
      <c r="N1630" s="26" t="s">
        <v>4106</v>
      </c>
      <c r="O1630" s="22" t="str">
        <f>HYPERLINK("https://pbs.twimg.com/profile_images/895169890142871552/9BjCkt18_normal.jpg","View")</f>
        <v>View</v>
      </c>
      <c r="P1630" s="27"/>
    </row>
    <row r="1631">
      <c r="A1631" s="14">
        <v>43031.12291666667</v>
      </c>
      <c r="B1631" s="20" t="str">
        <f>HYPERLINK("https://twitter.com/dwimidhaM","@dwimidhaM")</f>
        <v>@dwimidhaM</v>
      </c>
      <c r="C1631" s="21" t="s">
        <v>4107</v>
      </c>
      <c r="D1631" s="21" t="s">
        <v>4108</v>
      </c>
      <c r="E1631" s="22" t="str">
        <f>HYPERLINK("https://twitter.com/dwimidhaM/status/922401460234739712","922401460234739712")</f>
        <v>922401460234739712</v>
      </c>
      <c r="F1631" s="23" t="s">
        <v>33</v>
      </c>
      <c r="G1631" s="24">
        <v>4980.0</v>
      </c>
      <c r="H1631" s="24">
        <v>3824.0</v>
      </c>
      <c r="I1631" s="24">
        <v>39.0</v>
      </c>
      <c r="J1631" s="24">
        <v>0.0</v>
      </c>
      <c r="K1631" s="23" t="s">
        <v>34</v>
      </c>
      <c r="L1631" s="25">
        <v>41706.32480324074</v>
      </c>
      <c r="M1631" s="26" t="s">
        <v>204</v>
      </c>
      <c r="N1631" s="26" t="s">
        <v>4109</v>
      </c>
      <c r="O1631" s="22" t="str">
        <f>HYPERLINK("https://pbs.twimg.com/profile_images/921073556456271872/IgFCDF_o_normal.jpg","View")</f>
        <v>View</v>
      </c>
      <c r="P1631" s="27"/>
    </row>
    <row r="1632">
      <c r="A1632" s="14">
        <v>43031.12291666667</v>
      </c>
      <c r="B1632" s="20" t="str">
        <f>HYPERLINK("https://twitter.com/majid7_abdul","@majid7_abdul")</f>
        <v>@majid7_abdul</v>
      </c>
      <c r="C1632" s="21" t="s">
        <v>4110</v>
      </c>
      <c r="D1632" s="21" t="s">
        <v>3867</v>
      </c>
      <c r="E1632" s="22" t="str">
        <f>HYPERLINK("https://twitter.com/majid7_abdul/status/922401463170715649","922401463170715649")</f>
        <v>922401463170715649</v>
      </c>
      <c r="F1632" s="23" t="s">
        <v>55</v>
      </c>
      <c r="G1632" s="24">
        <v>427.0</v>
      </c>
      <c r="H1632" s="24">
        <v>383.0</v>
      </c>
      <c r="I1632" s="24">
        <v>23.0</v>
      </c>
      <c r="J1632" s="24">
        <v>0.0</v>
      </c>
      <c r="K1632" s="23" t="s">
        <v>34</v>
      </c>
      <c r="L1632" s="25">
        <v>41821.23085648148</v>
      </c>
      <c r="M1632" s="26" t="s">
        <v>4111</v>
      </c>
      <c r="N1632" s="28"/>
      <c r="O1632" s="22" t="str">
        <f>HYPERLINK("https://abs.twimg.com/sticky/default_profile_images/default_profile_normal.png","View")</f>
        <v>View</v>
      </c>
      <c r="P1632" s="27"/>
    </row>
    <row r="1633">
      <c r="A1633" s="14">
        <v>43031.12296296297</v>
      </c>
      <c r="B1633" s="20" t="str">
        <f>HYPERLINK("https://twitter.com/Equateall","@Equateall")</f>
        <v>@Equateall</v>
      </c>
      <c r="C1633" s="21" t="s">
        <v>4112</v>
      </c>
      <c r="D1633" s="21" t="s">
        <v>42</v>
      </c>
      <c r="E1633" s="22" t="str">
        <f>HYPERLINK("https://twitter.com/Equateall/status/922401477867421696","922401477867421696")</f>
        <v>922401477867421696</v>
      </c>
      <c r="F1633" s="23" t="s">
        <v>33</v>
      </c>
      <c r="G1633" s="24">
        <v>6791.0</v>
      </c>
      <c r="H1633" s="24">
        <v>982.0</v>
      </c>
      <c r="I1633" s="24">
        <v>8501.0</v>
      </c>
      <c r="J1633" s="24">
        <v>0.0</v>
      </c>
      <c r="K1633" s="23" t="s">
        <v>34</v>
      </c>
      <c r="L1633" s="25">
        <v>40585.50818287037</v>
      </c>
      <c r="M1633" s="26" t="s">
        <v>204</v>
      </c>
      <c r="N1633" s="26" t="s">
        <v>4113</v>
      </c>
      <c r="O1633" s="22" t="str">
        <f>HYPERLINK("https://pbs.twimg.com/profile_images/593107824411971584/i60zM2VV_normal.jpg","View")</f>
        <v>View</v>
      </c>
      <c r="P1633" s="27"/>
    </row>
    <row r="1634">
      <c r="A1634" s="14">
        <v>43031.12306712963</v>
      </c>
      <c r="B1634" s="20" t="str">
        <f>HYPERLINK("https://twitter.com/Bullish","@Bullish")</f>
        <v>@Bullish</v>
      </c>
      <c r="C1634" s="21" t="s">
        <v>2943</v>
      </c>
      <c r="D1634" s="21" t="s">
        <v>4114</v>
      </c>
      <c r="E1634" s="22" t="str">
        <f>HYPERLINK("https://twitter.com/Bullish/status/922401516862038016","922401516862038016")</f>
        <v>922401516862038016</v>
      </c>
      <c r="F1634" s="23" t="s">
        <v>187</v>
      </c>
      <c r="G1634" s="24">
        <v>184.0</v>
      </c>
      <c r="H1634" s="24">
        <v>87.0</v>
      </c>
      <c r="I1634" s="24">
        <v>0.0</v>
      </c>
      <c r="J1634" s="24">
        <v>0.0</v>
      </c>
      <c r="K1634" s="23" t="s">
        <v>34</v>
      </c>
      <c r="L1634" s="25">
        <v>42618.75304398148</v>
      </c>
      <c r="M1634" s="28"/>
      <c r="N1634" s="28"/>
      <c r="O1634" s="22" t="str">
        <f>HYPERLINK("https://pbs.twimg.com/profile_images/798692093736599552/UikI9dNE_normal.jpg","View")</f>
        <v>View</v>
      </c>
      <c r="P1634" s="27"/>
    </row>
    <row r="1635">
      <c r="A1635" s="14">
        <v>43031.123206018514</v>
      </c>
      <c r="B1635" s="20" t="str">
        <f>HYPERLINK("https://twitter.com/warriorrajputs","@warriorrajputs")</f>
        <v>@warriorrajputs</v>
      </c>
      <c r="C1635" s="21" t="s">
        <v>4115</v>
      </c>
      <c r="D1635" s="21" t="s">
        <v>163</v>
      </c>
      <c r="E1635" s="22" t="str">
        <f>HYPERLINK("https://twitter.com/warriorrajputs/status/922401565557665792","922401565557665792")</f>
        <v>922401565557665792</v>
      </c>
      <c r="F1635" s="23" t="s">
        <v>33</v>
      </c>
      <c r="G1635" s="24">
        <v>501.0</v>
      </c>
      <c r="H1635" s="24">
        <v>2335.0</v>
      </c>
      <c r="I1635" s="24">
        <v>1005.0</v>
      </c>
      <c r="J1635" s="24">
        <v>0.0</v>
      </c>
      <c r="K1635" s="23" t="s">
        <v>34</v>
      </c>
      <c r="L1635" s="25">
        <v>39933.08146990741</v>
      </c>
      <c r="M1635" s="28"/>
      <c r="N1635" s="26" t="s">
        <v>4116</v>
      </c>
      <c r="O1635" s="22" t="str">
        <f>HYPERLINK("https://pbs.twimg.com/profile_images/921416614473428992/PfVKjRni_normal.jpg","View")</f>
        <v>View</v>
      </c>
      <c r="P1635" s="27"/>
    </row>
    <row r="1636">
      <c r="A1636" s="14">
        <v>43031.123252314814</v>
      </c>
      <c r="B1636" s="20" t="str">
        <f>HYPERLINK("https://twitter.com/rakeshbhardwaj0","@rakeshbhardwaj0")</f>
        <v>@rakeshbhardwaj0</v>
      </c>
      <c r="C1636" s="21" t="s">
        <v>4117</v>
      </c>
      <c r="D1636" s="21" t="s">
        <v>42</v>
      </c>
      <c r="E1636" s="22" t="str">
        <f>HYPERLINK("https://twitter.com/rakeshbhardwaj0/status/922401583052111872","922401583052111872")</f>
        <v>922401583052111872</v>
      </c>
      <c r="F1636" s="23" t="s">
        <v>33</v>
      </c>
      <c r="G1636" s="24">
        <v>318.0</v>
      </c>
      <c r="H1636" s="24">
        <v>721.0</v>
      </c>
      <c r="I1636" s="24">
        <v>8501.0</v>
      </c>
      <c r="J1636" s="24">
        <v>0.0</v>
      </c>
      <c r="K1636" s="23" t="s">
        <v>34</v>
      </c>
      <c r="L1636" s="25">
        <v>42332.2281712963</v>
      </c>
      <c r="M1636" s="26" t="s">
        <v>2189</v>
      </c>
      <c r="N1636" s="26" t="s">
        <v>4118</v>
      </c>
      <c r="O1636" s="22" t="str">
        <f>HYPERLINK("https://pbs.twimg.com/profile_images/695462901922959360/NHOniRKX_normal.jpg","View")</f>
        <v>View</v>
      </c>
      <c r="P1636" s="27"/>
    </row>
    <row r="1637">
      <c r="A1637" s="14">
        <v>43031.12328703704</v>
      </c>
      <c r="B1637" s="20" t="str">
        <f>HYPERLINK("https://twitter.com/vikramsarin","@vikramsarin")</f>
        <v>@vikramsarin</v>
      </c>
      <c r="C1637" s="21" t="s">
        <v>4119</v>
      </c>
      <c r="D1637" s="21" t="s">
        <v>42</v>
      </c>
      <c r="E1637" s="22" t="str">
        <f>HYPERLINK("https://twitter.com/vikramsarin/status/922401596868239360","922401596868239360")</f>
        <v>922401596868239360</v>
      </c>
      <c r="F1637" s="23" t="s">
        <v>33</v>
      </c>
      <c r="G1637" s="24">
        <v>7404.0</v>
      </c>
      <c r="H1637" s="24">
        <v>5198.0</v>
      </c>
      <c r="I1637" s="24">
        <v>8501.0</v>
      </c>
      <c r="J1637" s="24">
        <v>0.0</v>
      </c>
      <c r="K1637" s="23" t="s">
        <v>34</v>
      </c>
      <c r="L1637" s="25">
        <v>40721.099814814814</v>
      </c>
      <c r="M1637" s="26" t="s">
        <v>4120</v>
      </c>
      <c r="N1637" s="26" t="s">
        <v>4121</v>
      </c>
      <c r="O1637" s="22" t="str">
        <f>HYPERLINK("https://pbs.twimg.com/profile_images/874893837881266176/5Re2x9mc_normal.jpg","View")</f>
        <v>View</v>
      </c>
      <c r="P1637" s="27"/>
    </row>
    <row r="1638">
      <c r="A1638" s="14">
        <v>43031.12328703704</v>
      </c>
      <c r="B1638" s="20" t="str">
        <f>HYPERLINK("https://twitter.com/cgnetwork","@cgnetwork")</f>
        <v>@cgnetwork</v>
      </c>
      <c r="C1638" s="21" t="s">
        <v>1891</v>
      </c>
      <c r="D1638" s="21" t="s">
        <v>4122</v>
      </c>
      <c r="E1638" s="22" t="str">
        <f>HYPERLINK("https://twitter.com/cgnetwork/status/922401597698736128","922401597698736128")</f>
        <v>922401597698736128</v>
      </c>
      <c r="F1638" s="23" t="s">
        <v>91</v>
      </c>
      <c r="G1638" s="24">
        <v>1173.0</v>
      </c>
      <c r="H1638" s="24">
        <v>497.0</v>
      </c>
      <c r="I1638" s="24">
        <v>0.0</v>
      </c>
      <c r="J1638" s="24">
        <v>0.0</v>
      </c>
      <c r="K1638" s="23" t="s">
        <v>34</v>
      </c>
      <c r="L1638" s="25">
        <v>39992.06197916667</v>
      </c>
      <c r="M1638" s="26" t="s">
        <v>1893</v>
      </c>
      <c r="N1638" s="26" t="s">
        <v>1894</v>
      </c>
      <c r="O1638" s="22" t="str">
        <f>HYPERLINK("https://pbs.twimg.com/profile_images/286683233/Francis_Lim_Passport_Size_photo_image.jpg_normal.jpg","View")</f>
        <v>View</v>
      </c>
      <c r="P1638" s="27"/>
    </row>
    <row r="1639">
      <c r="A1639" s="14">
        <v>43031.12329861111</v>
      </c>
      <c r="B1639" s="20" t="str">
        <f>HYPERLINK("https://twitter.com/AyamAtmaBrahm","@AyamAtmaBrahm")</f>
        <v>@AyamAtmaBrahm</v>
      </c>
      <c r="C1639" s="21" t="s">
        <v>4123</v>
      </c>
      <c r="D1639" s="21" t="s">
        <v>42</v>
      </c>
      <c r="E1639" s="22" t="str">
        <f>HYPERLINK("https://twitter.com/AyamAtmaBrahm/status/922401600748081152","922401600748081152")</f>
        <v>922401600748081152</v>
      </c>
      <c r="F1639" s="23" t="s">
        <v>39</v>
      </c>
      <c r="G1639" s="24">
        <v>999.0</v>
      </c>
      <c r="H1639" s="24">
        <v>151.0</v>
      </c>
      <c r="I1639" s="24">
        <v>8501.0</v>
      </c>
      <c r="J1639" s="24">
        <v>0.0</v>
      </c>
      <c r="K1639" s="23" t="s">
        <v>34</v>
      </c>
      <c r="L1639" s="25">
        <v>41340.389652777776</v>
      </c>
      <c r="M1639" s="26" t="s">
        <v>4124</v>
      </c>
      <c r="N1639" s="26" t="s">
        <v>4125</v>
      </c>
      <c r="O1639" s="22" t="str">
        <f>HYPERLINK("https://pbs.twimg.com/profile_images/911514812118700038/WVcv_JJK_normal.jpg","View")</f>
        <v>View</v>
      </c>
      <c r="P1639" s="27"/>
    </row>
    <row r="1640">
      <c r="A1640" s="14">
        <v>43031.12333333334</v>
      </c>
      <c r="B1640" s="20" t="str">
        <f>HYPERLINK("https://twitter.com/RakeshBDesai2","@RakeshBDesai2")</f>
        <v>@RakeshBDesai2</v>
      </c>
      <c r="C1640" s="21" t="s">
        <v>4126</v>
      </c>
      <c r="D1640" s="21" t="s">
        <v>42</v>
      </c>
      <c r="E1640" s="22" t="str">
        <f>HYPERLINK("https://twitter.com/RakeshBDesai2/status/922401612592685056","922401612592685056")</f>
        <v>922401612592685056</v>
      </c>
      <c r="F1640" s="23" t="s">
        <v>33</v>
      </c>
      <c r="G1640" s="24">
        <v>245.0</v>
      </c>
      <c r="H1640" s="24">
        <v>49.0</v>
      </c>
      <c r="I1640" s="24">
        <v>8501.0</v>
      </c>
      <c r="J1640" s="24">
        <v>0.0</v>
      </c>
      <c r="K1640" s="23" t="s">
        <v>34</v>
      </c>
      <c r="L1640" s="25">
        <v>42613.787997685184</v>
      </c>
      <c r="M1640" s="26" t="s">
        <v>204</v>
      </c>
      <c r="N1640" s="26" t="s">
        <v>4127</v>
      </c>
      <c r="O1640" s="22" t="str">
        <f>HYPERLINK("https://pbs.twimg.com/profile_images/872308117438173185/lR8zSDpy_normal.jpg","View")</f>
        <v>View</v>
      </c>
      <c r="P1640" s="27"/>
    </row>
    <row r="1641">
      <c r="A1641" s="14">
        <v>43031.12337962963</v>
      </c>
      <c r="B1641" s="20" t="str">
        <f>HYPERLINK("https://twitter.com/MelissaMaine05","@MelissaMaine05")</f>
        <v>@MelissaMaine05</v>
      </c>
      <c r="C1641" s="21" t="s">
        <v>4128</v>
      </c>
      <c r="D1641" s="21" t="s">
        <v>42</v>
      </c>
      <c r="E1641" s="22" t="str">
        <f>HYPERLINK("https://twitter.com/MelissaMaine05/status/922401630284320768","922401630284320768")</f>
        <v>922401630284320768</v>
      </c>
      <c r="F1641" s="23" t="s">
        <v>39</v>
      </c>
      <c r="G1641" s="24">
        <v>3601.0</v>
      </c>
      <c r="H1641" s="24">
        <v>1968.0</v>
      </c>
      <c r="I1641" s="24">
        <v>8501.0</v>
      </c>
      <c r="J1641" s="24">
        <v>0.0</v>
      </c>
      <c r="K1641" s="23" t="s">
        <v>34</v>
      </c>
      <c r="L1641" s="25">
        <v>42568.69185185185</v>
      </c>
      <c r="M1641" s="26" t="s">
        <v>4129</v>
      </c>
      <c r="N1641" s="26" t="s">
        <v>4130</v>
      </c>
      <c r="O1641" s="22" t="str">
        <f>HYPERLINK("https://pbs.twimg.com/profile_images/853535958704238592/Wo0wiXz3_normal.jpg","View")</f>
        <v>View</v>
      </c>
      <c r="P1641" s="27"/>
    </row>
    <row r="1642">
      <c r="A1642" s="14">
        <v>43031.12337962963</v>
      </c>
      <c r="B1642" s="20" t="str">
        <f>HYPERLINK("https://twitter.com/twistools_en","@twistools_en")</f>
        <v>@twistools_en</v>
      </c>
      <c r="C1642" s="21" t="s">
        <v>3882</v>
      </c>
      <c r="D1642" s="21" t="s">
        <v>4131</v>
      </c>
      <c r="E1642" s="22" t="str">
        <f>HYPERLINK("https://twitter.com/twistools_en/status/922401630879969282","922401630879969282")</f>
        <v>922401630879969282</v>
      </c>
      <c r="F1642" s="23" t="s">
        <v>3884</v>
      </c>
      <c r="G1642" s="24">
        <v>146238.0</v>
      </c>
      <c r="H1642" s="24">
        <v>421.0</v>
      </c>
      <c r="I1642" s="24">
        <v>1.0</v>
      </c>
      <c r="J1642" s="24">
        <v>1.0</v>
      </c>
      <c r="K1642" s="23" t="s">
        <v>34</v>
      </c>
      <c r="L1642" s="25">
        <v>41341.57958333333</v>
      </c>
      <c r="M1642" s="26" t="s">
        <v>3507</v>
      </c>
      <c r="N1642" s="26" t="s">
        <v>3885</v>
      </c>
      <c r="O1642" s="22" t="str">
        <f>HYPERLINK("https://pbs.twimg.com/profile_images/593468667712638978/0W4DmlPs_normal.png","View")</f>
        <v>View</v>
      </c>
      <c r="P1642" s="27"/>
    </row>
    <row r="1643">
      <c r="A1643" s="14">
        <v>43031.123449074075</v>
      </c>
      <c r="B1643" s="20" t="str">
        <f>HYPERLINK("https://twitter.com/Julubdk","@Julubdk")</f>
        <v>@Julubdk</v>
      </c>
      <c r="C1643" s="21" t="s">
        <v>4132</v>
      </c>
      <c r="D1643" s="21" t="s">
        <v>42</v>
      </c>
      <c r="E1643" s="22" t="str">
        <f>HYPERLINK("https://twitter.com/Julubdk/status/922401654678286336","922401654678286336")</f>
        <v>922401654678286336</v>
      </c>
      <c r="F1643" s="23" t="s">
        <v>33</v>
      </c>
      <c r="G1643" s="24">
        <v>1423.0</v>
      </c>
      <c r="H1643" s="24">
        <v>2233.0</v>
      </c>
      <c r="I1643" s="24">
        <v>8501.0</v>
      </c>
      <c r="J1643" s="24">
        <v>0.0</v>
      </c>
      <c r="K1643" s="23" t="s">
        <v>34</v>
      </c>
      <c r="L1643" s="25">
        <v>40451.29783564815</v>
      </c>
      <c r="M1643" s="26" t="s">
        <v>4133</v>
      </c>
      <c r="N1643" s="26" t="s">
        <v>4134</v>
      </c>
      <c r="O1643" s="22" t="str">
        <f>HYPERLINK("https://pbs.twimg.com/profile_images/908618254603632640/Ch_WXCyF_normal.jpg","View")</f>
        <v>View</v>
      </c>
      <c r="P1643" s="27"/>
    </row>
    <row r="1644">
      <c r="A1644" s="14">
        <v>43031.12353009259</v>
      </c>
      <c r="B1644" s="20" t="str">
        <f>HYPERLINK("https://twitter.com/Aakash_shahh","@Aakash_shahh")</f>
        <v>@Aakash_shahh</v>
      </c>
      <c r="C1644" s="21" t="s">
        <v>4135</v>
      </c>
      <c r="D1644" s="21" t="s">
        <v>42</v>
      </c>
      <c r="E1644" s="22" t="str">
        <f>HYPERLINK("https://twitter.com/Aakash_shahh/status/922401684323647489","922401684323647489")</f>
        <v>922401684323647489</v>
      </c>
      <c r="F1644" s="23" t="s">
        <v>39</v>
      </c>
      <c r="G1644" s="24">
        <v>26.0</v>
      </c>
      <c r="H1644" s="24">
        <v>185.0</v>
      </c>
      <c r="I1644" s="24">
        <v>8501.0</v>
      </c>
      <c r="J1644" s="24">
        <v>0.0</v>
      </c>
      <c r="K1644" s="23" t="s">
        <v>34</v>
      </c>
      <c r="L1644" s="25">
        <v>42638.02755787037</v>
      </c>
      <c r="M1644" s="26" t="s">
        <v>1633</v>
      </c>
      <c r="N1644" s="28"/>
      <c r="O1644" s="22" t="str">
        <f>HYPERLINK("https://pbs.twimg.com/profile_images/847404165676453889/oeMWbIzi_normal.jpg","View")</f>
        <v>View</v>
      </c>
      <c r="P1644" s="27"/>
    </row>
    <row r="1645">
      <c r="A1645" s="14">
        <v>43031.12362268519</v>
      </c>
      <c r="B1645" s="20" t="str">
        <f>HYPERLINK("https://twitter.com/6point626","@6point626")</f>
        <v>@6point626</v>
      </c>
      <c r="C1645" s="21" t="s">
        <v>4136</v>
      </c>
      <c r="D1645" s="21" t="s">
        <v>4137</v>
      </c>
      <c r="E1645" s="22" t="str">
        <f>HYPERLINK("https://twitter.com/6point626/status/922401718184431616","922401718184431616")</f>
        <v>922401718184431616</v>
      </c>
      <c r="F1645" s="23" t="s">
        <v>55</v>
      </c>
      <c r="G1645" s="24">
        <v>1992.0</v>
      </c>
      <c r="H1645" s="24">
        <v>597.0</v>
      </c>
      <c r="I1645" s="24">
        <v>2.0</v>
      </c>
      <c r="J1645" s="24">
        <v>11.0</v>
      </c>
      <c r="K1645" s="23" t="s">
        <v>34</v>
      </c>
      <c r="L1645" s="25">
        <v>40626.59465277778</v>
      </c>
      <c r="M1645" s="26" t="s">
        <v>334</v>
      </c>
      <c r="N1645" s="26" t="s">
        <v>4138</v>
      </c>
      <c r="O1645" s="22" t="str">
        <f>HYPERLINK("https://pbs.twimg.com/profile_images/857582430798176256/6nqAr9L2_normal.jpg","View")</f>
        <v>View</v>
      </c>
      <c r="P1645" s="27"/>
    </row>
    <row r="1646">
      <c r="A1646" s="14">
        <v>43031.123715277776</v>
      </c>
      <c r="B1646" s="20" t="str">
        <f>HYPERLINK("https://twitter.com/IcteKlpr","@IcteKlpr")</f>
        <v>@IcteKlpr</v>
      </c>
      <c r="C1646" s="21" t="s">
        <v>4139</v>
      </c>
      <c r="D1646" s="21" t="s">
        <v>42</v>
      </c>
      <c r="E1646" s="22" t="str">
        <f>HYPERLINK("https://twitter.com/IcteKlpr/status/922401749343731712","922401749343731712")</f>
        <v>922401749343731712</v>
      </c>
      <c r="F1646" s="23" t="s">
        <v>43</v>
      </c>
      <c r="G1646" s="24">
        <v>9.0</v>
      </c>
      <c r="H1646" s="24">
        <v>14.0</v>
      </c>
      <c r="I1646" s="24">
        <v>8501.0</v>
      </c>
      <c r="J1646" s="24">
        <v>0.0</v>
      </c>
      <c r="K1646" s="23" t="s">
        <v>34</v>
      </c>
      <c r="L1646" s="25">
        <v>41420.22269675926</v>
      </c>
      <c r="M1646" s="26" t="s">
        <v>204</v>
      </c>
      <c r="N1646" s="28"/>
      <c r="O1646" s="22" t="str">
        <f>HYPERLINK("https://pbs.twimg.com/profile_images/922390318313377792/4ejgQCnF_normal.jpg","View")</f>
        <v>View</v>
      </c>
      <c r="P1646" s="27"/>
    </row>
    <row r="1647">
      <c r="A1647" s="14">
        <v>43031.12375</v>
      </c>
      <c r="B1647" s="20" t="str">
        <f>HYPERLINK("https://twitter.com/CaseyBillX","@CaseyBillX")</f>
        <v>@CaseyBillX</v>
      </c>
      <c r="C1647" s="21" t="s">
        <v>3108</v>
      </c>
      <c r="D1647" s="21" t="s">
        <v>4091</v>
      </c>
      <c r="E1647" s="22" t="str">
        <f>HYPERLINK("https://twitter.com/CaseyBillX/status/922401762396405760","922401762396405760")</f>
        <v>922401762396405760</v>
      </c>
      <c r="F1647" s="23" t="s">
        <v>3109</v>
      </c>
      <c r="G1647" s="24">
        <v>2332.0</v>
      </c>
      <c r="H1647" s="24">
        <v>5001.0</v>
      </c>
      <c r="I1647" s="24">
        <v>6.0</v>
      </c>
      <c r="J1647" s="24">
        <v>0.0</v>
      </c>
      <c r="K1647" s="23" t="s">
        <v>34</v>
      </c>
      <c r="L1647" s="25">
        <v>42997.15302083333</v>
      </c>
      <c r="M1647" s="28"/>
      <c r="N1647" s="28"/>
      <c r="O1647" s="22" t="str">
        <f>HYPERLINK("https://pbs.twimg.com/profile_images/910103474003525633/_kzNa9NX_normal.jpg","View")</f>
        <v>View</v>
      </c>
      <c r="P1647" s="27"/>
    </row>
    <row r="1648">
      <c r="A1648" s="14">
        <v>43031.12375</v>
      </c>
      <c r="B1648" s="20" t="str">
        <f>HYPERLINK("https://twitter.com/sandip1110","@sandip1110")</f>
        <v>@sandip1110</v>
      </c>
      <c r="C1648" s="21" t="s">
        <v>4140</v>
      </c>
      <c r="D1648" s="21" t="s">
        <v>42</v>
      </c>
      <c r="E1648" s="22" t="str">
        <f>HYPERLINK("https://twitter.com/sandip1110/status/922401763700850689","922401763700850689")</f>
        <v>922401763700850689</v>
      </c>
      <c r="F1648" s="23" t="s">
        <v>33</v>
      </c>
      <c r="G1648" s="24">
        <v>122.0</v>
      </c>
      <c r="H1648" s="24">
        <v>170.0</v>
      </c>
      <c r="I1648" s="24">
        <v>8501.0</v>
      </c>
      <c r="J1648" s="24">
        <v>0.0</v>
      </c>
      <c r="K1648" s="23" t="s">
        <v>34</v>
      </c>
      <c r="L1648" s="25">
        <v>41756.44394675926</v>
      </c>
      <c r="M1648" s="26" t="s">
        <v>4141</v>
      </c>
      <c r="N1648" s="26" t="s">
        <v>4142</v>
      </c>
      <c r="O1648" s="22" t="str">
        <f>HYPERLINK("https://pbs.twimg.com/profile_images/850405014426333184/RHFNUrx2_normal.jpg","View")</f>
        <v>View</v>
      </c>
      <c r="P1648" s="27"/>
    </row>
    <row r="1649">
      <c r="A1649" s="14">
        <v>43031.123807870375</v>
      </c>
      <c r="B1649" s="20" t="str">
        <f>HYPERLINK("https://twitter.com/dchalpin","@dchalpin")</f>
        <v>@dchalpin</v>
      </c>
      <c r="C1649" s="21" t="s">
        <v>4143</v>
      </c>
      <c r="D1649" s="21" t="s">
        <v>32</v>
      </c>
      <c r="E1649" s="22" t="str">
        <f>HYPERLINK("https://twitter.com/dchalpin/status/922401786392186880","922401786392186880")</f>
        <v>922401786392186880</v>
      </c>
      <c r="F1649" s="23" t="s">
        <v>2119</v>
      </c>
      <c r="G1649" s="24">
        <v>164.0</v>
      </c>
      <c r="H1649" s="24">
        <v>374.0</v>
      </c>
      <c r="I1649" s="24">
        <v>471.0</v>
      </c>
      <c r="J1649" s="24">
        <v>0.0</v>
      </c>
      <c r="K1649" s="23" t="s">
        <v>34</v>
      </c>
      <c r="L1649" s="25">
        <v>41234.47540509259</v>
      </c>
      <c r="M1649" s="26" t="s">
        <v>843</v>
      </c>
      <c r="N1649" s="26" t="s">
        <v>4144</v>
      </c>
      <c r="O1649" s="22" t="str">
        <f>HYPERLINK("https://pbs.twimg.com/profile_images/378800000616885311/336906e27c37ceeba97bd7569efa5b72_normal.jpeg","View")</f>
        <v>View</v>
      </c>
      <c r="P1649" s="27"/>
    </row>
    <row r="1650">
      <c r="A1650" s="14">
        <v>43031.12390046296</v>
      </c>
      <c r="B1650" s="20" t="str">
        <f>HYPERLINK("https://twitter.com/rolandlim","@rolandlim")</f>
        <v>@rolandlim</v>
      </c>
      <c r="C1650" s="21" t="s">
        <v>4145</v>
      </c>
      <c r="D1650" s="21" t="s">
        <v>1444</v>
      </c>
      <c r="E1650" s="22" t="str">
        <f>HYPERLINK("https://twitter.com/rolandlim/status/922401817522139136","922401817522139136")</f>
        <v>922401817522139136</v>
      </c>
      <c r="F1650" s="23" t="s">
        <v>33</v>
      </c>
      <c r="G1650" s="24">
        <v>60.0</v>
      </c>
      <c r="H1650" s="24">
        <v>142.0</v>
      </c>
      <c r="I1650" s="24">
        <v>50.0</v>
      </c>
      <c r="J1650" s="24">
        <v>0.0</v>
      </c>
      <c r="K1650" s="23" t="s">
        <v>34</v>
      </c>
      <c r="L1650" s="25">
        <v>39854.1346412037</v>
      </c>
      <c r="M1650" s="28"/>
      <c r="N1650" s="28"/>
      <c r="O1650" s="22" t="str">
        <f>HYPERLINK("https://abs.twimg.com/sticky/default_profile_images/default_profile_normal.png","View")</f>
        <v>View</v>
      </c>
      <c r="P1650" s="27"/>
    </row>
    <row r="1651">
      <c r="A1651" s="14">
        <v>43031.123981481476</v>
      </c>
      <c r="B1651" s="20" t="str">
        <f>HYPERLINK("https://twitter.com/dokodemoikeru","@dokodemoikeru")</f>
        <v>@dokodemoikeru</v>
      </c>
      <c r="C1651" s="21" t="s">
        <v>4146</v>
      </c>
      <c r="D1651" s="21" t="s">
        <v>42</v>
      </c>
      <c r="E1651" s="22" t="str">
        <f>HYPERLINK("https://twitter.com/dokodemoikeru/status/922401846433521665","922401846433521665")</f>
        <v>922401846433521665</v>
      </c>
      <c r="F1651" s="23" t="s">
        <v>33</v>
      </c>
      <c r="G1651" s="24">
        <v>728.0</v>
      </c>
      <c r="H1651" s="24">
        <v>811.0</v>
      </c>
      <c r="I1651" s="24">
        <v>8501.0</v>
      </c>
      <c r="J1651" s="24">
        <v>0.0</v>
      </c>
      <c r="K1651" s="23" t="s">
        <v>34</v>
      </c>
      <c r="L1651" s="25">
        <v>39995.18053240741</v>
      </c>
      <c r="M1651" s="26" t="s">
        <v>4147</v>
      </c>
      <c r="N1651" s="26" t="s">
        <v>4148</v>
      </c>
      <c r="O1651" s="22" t="str">
        <f>HYPERLINK("https://pbs.twimg.com/profile_images/1118975756/1271913455705_normal.jpg","View")</f>
        <v>View</v>
      </c>
      <c r="P1651" s="27"/>
    </row>
    <row r="1652">
      <c r="A1652" s="14">
        <v>43031.12422453704</v>
      </c>
      <c r="B1652" s="20" t="str">
        <f>HYPERLINK("https://twitter.com/moneybizines","@moneybizines")</f>
        <v>@moneybizines</v>
      </c>
      <c r="C1652" s="21" t="s">
        <v>4149</v>
      </c>
      <c r="D1652" s="21" t="s">
        <v>4150</v>
      </c>
      <c r="E1652" s="22" t="str">
        <f>HYPERLINK("https://twitter.com/moneybizines/status/922401935801565185","922401935801565185")</f>
        <v>922401935801565185</v>
      </c>
      <c r="F1652" s="23" t="s">
        <v>55</v>
      </c>
      <c r="G1652" s="24">
        <v>887.0</v>
      </c>
      <c r="H1652" s="24">
        <v>4199.0</v>
      </c>
      <c r="I1652" s="24">
        <v>2.0</v>
      </c>
      <c r="J1652" s="24">
        <v>0.0</v>
      </c>
      <c r="K1652" s="23" t="s">
        <v>34</v>
      </c>
      <c r="L1652" s="25">
        <v>40881.17015046296</v>
      </c>
      <c r="M1652" s="26" t="s">
        <v>3295</v>
      </c>
      <c r="N1652" s="26" t="s">
        <v>4151</v>
      </c>
      <c r="O1652" s="22" t="str">
        <f>HYPERLINK("https://pbs.twimg.com/profile_images/921013706569297921/9RfcoiS9_normal.jpg","View")</f>
        <v>View</v>
      </c>
      <c r="P1652" s="27"/>
    </row>
    <row r="1653">
      <c r="A1653" s="14">
        <v>43031.12428240741</v>
      </c>
      <c r="B1653" s="20" t="str">
        <f>HYPERLINK("https://twitter.com/mayurpatel1661","@mayurpatel1661")</f>
        <v>@mayurpatel1661</v>
      </c>
      <c r="C1653" s="21" t="s">
        <v>4152</v>
      </c>
      <c r="D1653" s="21" t="s">
        <v>42</v>
      </c>
      <c r="E1653" s="22" t="str">
        <f>HYPERLINK("https://twitter.com/mayurpatel1661/status/922401956089360384","922401956089360384")</f>
        <v>922401956089360384</v>
      </c>
      <c r="F1653" s="23" t="s">
        <v>33</v>
      </c>
      <c r="G1653" s="24">
        <v>613.0</v>
      </c>
      <c r="H1653" s="24">
        <v>224.0</v>
      </c>
      <c r="I1653" s="24">
        <v>8501.0</v>
      </c>
      <c r="J1653" s="24">
        <v>0.0</v>
      </c>
      <c r="K1653" s="23" t="s">
        <v>34</v>
      </c>
      <c r="L1653" s="25">
        <v>41774.35943287037</v>
      </c>
      <c r="M1653" s="28"/>
      <c r="N1653" s="26" t="s">
        <v>4153</v>
      </c>
      <c r="O1653" s="22" t="str">
        <f>HYPERLINK("https://pbs.twimg.com/profile_images/755116345419706368/arK7bl0K_normal.jpg","View")</f>
        <v>View</v>
      </c>
      <c r="P1653" s="27"/>
    </row>
    <row r="1654">
      <c r="A1654" s="14">
        <v>43031.124340277776</v>
      </c>
      <c r="B1654" s="20" t="str">
        <f>HYPERLINK("https://twitter.com/beyondcoolmag","@beyondcoolmag")</f>
        <v>@beyondcoolmag</v>
      </c>
      <c r="C1654" s="21" t="s">
        <v>4154</v>
      </c>
      <c r="D1654" s="21" t="s">
        <v>1474</v>
      </c>
      <c r="E1654" s="22" t="str">
        <f>HYPERLINK("https://twitter.com/beyondcoolmag/status/922401976213823489","922401976213823489")</f>
        <v>922401976213823489</v>
      </c>
      <c r="F1654" s="23" t="s">
        <v>55</v>
      </c>
      <c r="G1654" s="24">
        <v>81.0</v>
      </c>
      <c r="H1654" s="24">
        <v>255.0</v>
      </c>
      <c r="I1654" s="24">
        <v>29.0</v>
      </c>
      <c r="J1654" s="24">
        <v>0.0</v>
      </c>
      <c r="K1654" s="23" t="s">
        <v>34</v>
      </c>
      <c r="L1654" s="25">
        <v>42151.217557870375</v>
      </c>
      <c r="M1654" s="28"/>
      <c r="N1654" s="28"/>
      <c r="O1654" s="22" t="str">
        <f>HYPERLINK("https://pbs.twimg.com/profile_images/603536166961422336/mse4b6ta_normal.jpg","View")</f>
        <v>View</v>
      </c>
      <c r="P1654" s="27"/>
    </row>
    <row r="1655">
      <c r="A1655" s="14">
        <v>43031.12438657407</v>
      </c>
      <c r="B1655" s="20" t="str">
        <f>HYPERLINK("https://twitter.com/rajuwhabi","@rajuwhabi")</f>
        <v>@rajuwhabi</v>
      </c>
      <c r="C1655" s="21" t="s">
        <v>4155</v>
      </c>
      <c r="D1655" s="21" t="s">
        <v>42</v>
      </c>
      <c r="E1655" s="22" t="str">
        <f>HYPERLINK("https://twitter.com/rajuwhabi/status/922401995629068288","922401995629068288")</f>
        <v>922401995629068288</v>
      </c>
      <c r="F1655" s="23" t="s">
        <v>39</v>
      </c>
      <c r="G1655" s="24">
        <v>815.0</v>
      </c>
      <c r="H1655" s="24">
        <v>606.0</v>
      </c>
      <c r="I1655" s="24">
        <v>8501.0</v>
      </c>
      <c r="J1655" s="24">
        <v>0.0</v>
      </c>
      <c r="K1655" s="23" t="s">
        <v>34</v>
      </c>
      <c r="L1655" s="25">
        <v>40309.38555555556</v>
      </c>
      <c r="M1655" s="26" t="s">
        <v>2265</v>
      </c>
      <c r="N1655" s="26" t="s">
        <v>4156</v>
      </c>
      <c r="O1655" s="22" t="str">
        <f>HYPERLINK("https://pbs.twimg.com/profile_images/461182755695366144/axNnq5xI_normal.jpeg","View")</f>
        <v>View</v>
      </c>
      <c r="P1655" s="27"/>
    </row>
    <row r="1656">
      <c r="A1656" s="14">
        <v>43031.12440972222</v>
      </c>
      <c r="B1656" s="20" t="str">
        <f>HYPERLINK("https://twitter.com/MDAliHu16274024","@MDAliHu16274024")</f>
        <v>@MDAliHu16274024</v>
      </c>
      <c r="C1656" s="21" t="s">
        <v>4157</v>
      </c>
      <c r="D1656" s="21" t="s">
        <v>42</v>
      </c>
      <c r="E1656" s="22" t="str">
        <f>HYPERLINK("https://twitter.com/MDAliHu16274024/status/922402000762912769","922402000762912769")</f>
        <v>922402000762912769</v>
      </c>
      <c r="F1656" s="23" t="s">
        <v>33</v>
      </c>
      <c r="G1656" s="24">
        <v>1.0</v>
      </c>
      <c r="H1656" s="24">
        <v>65.0</v>
      </c>
      <c r="I1656" s="24">
        <v>8501.0</v>
      </c>
      <c r="J1656" s="24">
        <v>0.0</v>
      </c>
      <c r="K1656" s="23" t="s">
        <v>34</v>
      </c>
      <c r="L1656" s="25">
        <v>42982.034953703704</v>
      </c>
      <c r="M1656" s="26" t="s">
        <v>204</v>
      </c>
      <c r="N1656" s="28"/>
      <c r="O1656" s="22" t="str">
        <f>HYPERLINK("https://pbs.twimg.com/profile_images/906373761686937600/eNnOgK0e_normal.jpg","View")</f>
        <v>View</v>
      </c>
      <c r="P1656" s="27"/>
    </row>
    <row r="1657">
      <c r="A1657" s="14">
        <v>43031.12449074074</v>
      </c>
      <c r="B1657" s="20" t="str">
        <f>HYPERLINK("https://twitter.com/nishant10010","@nishant10010")</f>
        <v>@nishant10010</v>
      </c>
      <c r="C1657" s="21" t="s">
        <v>4158</v>
      </c>
      <c r="D1657" s="21" t="s">
        <v>42</v>
      </c>
      <c r="E1657" s="22" t="str">
        <f>HYPERLINK("https://twitter.com/nishant10010/status/922402032715042816","922402032715042816")</f>
        <v>922402032715042816</v>
      </c>
      <c r="F1657" s="23" t="s">
        <v>33</v>
      </c>
      <c r="G1657" s="24">
        <v>138.0</v>
      </c>
      <c r="H1657" s="24">
        <v>185.0</v>
      </c>
      <c r="I1657" s="24">
        <v>8501.0</v>
      </c>
      <c r="J1657" s="24">
        <v>0.0</v>
      </c>
      <c r="K1657" s="23" t="s">
        <v>34</v>
      </c>
      <c r="L1657" s="25">
        <v>41464.11076388889</v>
      </c>
      <c r="M1657" s="26" t="s">
        <v>136</v>
      </c>
      <c r="N1657" s="26" t="s">
        <v>4159</v>
      </c>
      <c r="O1657" s="22" t="str">
        <f>HYPERLINK("https://pbs.twimg.com/profile_images/470960285151268864/30xDPYxB_normal.jpeg","View")</f>
        <v>View</v>
      </c>
      <c r="P1657" s="27"/>
    </row>
    <row r="1658">
      <c r="A1658" s="14">
        <v>43031.124502314815</v>
      </c>
      <c r="B1658" s="20" t="str">
        <f>HYPERLINK("https://twitter.com/DayAsiaTraders","@DayAsiaTraders")</f>
        <v>@DayAsiaTraders</v>
      </c>
      <c r="C1658" s="21" t="s">
        <v>4160</v>
      </c>
      <c r="D1658" s="21" t="s">
        <v>3965</v>
      </c>
      <c r="E1658" s="22" t="str">
        <f>HYPERLINK("https://twitter.com/DayAsiaTraders/status/922402035424673793","922402035424673793")</f>
        <v>922402035424673793</v>
      </c>
      <c r="F1658" s="23" t="s">
        <v>55</v>
      </c>
      <c r="G1658" s="24">
        <v>1392.0</v>
      </c>
      <c r="H1658" s="24">
        <v>3894.0</v>
      </c>
      <c r="I1658" s="24">
        <v>14.0</v>
      </c>
      <c r="J1658" s="24">
        <v>0.0</v>
      </c>
      <c r="K1658" s="23" t="s">
        <v>34</v>
      </c>
      <c r="L1658" s="25">
        <v>42887.30483796296</v>
      </c>
      <c r="M1658" s="26" t="s">
        <v>4161</v>
      </c>
      <c r="N1658" s="26" t="s">
        <v>4162</v>
      </c>
      <c r="O1658" s="22" t="str">
        <f>HYPERLINK("https://pbs.twimg.com/profile_images/920828791265533953/Fvmezblw_normal.jpg","View")</f>
        <v>View</v>
      </c>
      <c r="P1658" s="27"/>
    </row>
    <row r="1659">
      <c r="A1659" s="14">
        <v>43031.124502314815</v>
      </c>
      <c r="B1659" s="20" t="str">
        <f>HYPERLINK("https://twitter.com/seijion_sp","@seijion_sp")</f>
        <v>@seijion_sp</v>
      </c>
      <c r="C1659" s="21" t="s">
        <v>4163</v>
      </c>
      <c r="D1659" s="21" t="s">
        <v>42</v>
      </c>
      <c r="E1659" s="22" t="str">
        <f>HYPERLINK("https://twitter.com/seijion_sp/status/922402035479191554","922402035479191554")</f>
        <v>922402035479191554</v>
      </c>
      <c r="F1659" s="23" t="s">
        <v>33</v>
      </c>
      <c r="G1659" s="24">
        <v>832.0</v>
      </c>
      <c r="H1659" s="24">
        <v>831.0</v>
      </c>
      <c r="I1659" s="24">
        <v>8501.0</v>
      </c>
      <c r="J1659" s="24">
        <v>0.0</v>
      </c>
      <c r="K1659" s="23" t="s">
        <v>34</v>
      </c>
      <c r="L1659" s="25">
        <v>40831.193078703705</v>
      </c>
      <c r="M1659" s="26" t="s">
        <v>4164</v>
      </c>
      <c r="N1659" s="26" t="s">
        <v>4165</v>
      </c>
      <c r="O1659" s="22" t="str">
        <f>HYPERLINK("https://pbs.twimg.com/profile_images/1604253198/prof_img_normal.jpg","View")</f>
        <v>View</v>
      </c>
      <c r="P1659" s="27"/>
    </row>
    <row r="1660">
      <c r="A1660" s="14">
        <v>43031.12453703704</v>
      </c>
      <c r="B1660" s="20" t="str">
        <f>HYPERLINK("https://twitter.com/jjjagdamba","@jjjagdamba")</f>
        <v>@jjjagdamba</v>
      </c>
      <c r="C1660" s="21" t="s">
        <v>4166</v>
      </c>
      <c r="D1660" s="21" t="s">
        <v>42</v>
      </c>
      <c r="E1660" s="22" t="str">
        <f>HYPERLINK("https://twitter.com/jjjagdamba/status/922402050331181056","922402050331181056")</f>
        <v>922402050331181056</v>
      </c>
      <c r="F1660" s="23" t="s">
        <v>33</v>
      </c>
      <c r="G1660" s="24">
        <v>47.0</v>
      </c>
      <c r="H1660" s="24">
        <v>306.0</v>
      </c>
      <c r="I1660" s="24">
        <v>8501.0</v>
      </c>
      <c r="J1660" s="24">
        <v>0.0</v>
      </c>
      <c r="K1660" s="23" t="s">
        <v>34</v>
      </c>
      <c r="L1660" s="25">
        <v>41143.03980324074</v>
      </c>
      <c r="M1660" s="26" t="s">
        <v>204</v>
      </c>
      <c r="N1660" s="28"/>
      <c r="O1660" s="22" t="str">
        <f>HYPERLINK("https://pbs.twimg.com/profile_images/2535575265/rzky37cg59whsqqmk5ot_normal.jpeg","View")</f>
        <v>View</v>
      </c>
      <c r="P1660" s="27"/>
    </row>
    <row r="1661">
      <c r="A1661" s="14">
        <v>43031.124548611115</v>
      </c>
      <c r="B1661" s="20" t="str">
        <f>HYPERLINK("https://twitter.com/bdnews24","@bdnews24")</f>
        <v>@bdnews24</v>
      </c>
      <c r="C1661" s="21" t="s">
        <v>831</v>
      </c>
      <c r="D1661" s="21" t="s">
        <v>4167</v>
      </c>
      <c r="E1661" s="22" t="str">
        <f>HYPERLINK("https://twitter.com/bdnews24/status/922402051270770691","922402051270770691")</f>
        <v>922402051270770691</v>
      </c>
      <c r="F1661" s="23" t="s">
        <v>187</v>
      </c>
      <c r="G1661" s="24">
        <v>215301.0</v>
      </c>
      <c r="H1661" s="24">
        <v>67843.0</v>
      </c>
      <c r="I1661" s="24">
        <v>0.0</v>
      </c>
      <c r="J1661" s="24">
        <v>0.0</v>
      </c>
      <c r="K1661" s="23" t="s">
        <v>34</v>
      </c>
      <c r="L1661" s="25">
        <v>39844.468043981484</v>
      </c>
      <c r="M1661" s="26" t="s">
        <v>833</v>
      </c>
      <c r="N1661" s="26" t="s">
        <v>834</v>
      </c>
      <c r="O1661" s="22" t="str">
        <f>HYPERLINK("https://pbs.twimg.com/profile_images/718433521509994497/4iW9RC_r_normal.jpg","View")</f>
        <v>View</v>
      </c>
      <c r="P1661" s="27"/>
    </row>
    <row r="1662">
      <c r="A1662" s="14">
        <v>43031.124548611115</v>
      </c>
      <c r="B1662" s="20" t="str">
        <f>HYPERLINK("https://twitter.com/supriya06sarma","@supriya06sarma")</f>
        <v>@supriya06sarma</v>
      </c>
      <c r="C1662" s="21" t="s">
        <v>4168</v>
      </c>
      <c r="D1662" s="21" t="s">
        <v>42</v>
      </c>
      <c r="E1662" s="22" t="str">
        <f>HYPERLINK("https://twitter.com/supriya06sarma/status/922402054512840705","922402054512840705")</f>
        <v>922402054512840705</v>
      </c>
      <c r="F1662" s="23" t="s">
        <v>33</v>
      </c>
      <c r="G1662" s="24">
        <v>1242.0</v>
      </c>
      <c r="H1662" s="24">
        <v>441.0</v>
      </c>
      <c r="I1662" s="24">
        <v>8501.0</v>
      </c>
      <c r="J1662" s="24">
        <v>0.0</v>
      </c>
      <c r="K1662" s="23" t="s">
        <v>34</v>
      </c>
      <c r="L1662" s="25">
        <v>41906.41850694444</v>
      </c>
      <c r="M1662" s="28"/>
      <c r="N1662" s="26" t="s">
        <v>4169</v>
      </c>
      <c r="O1662" s="22" t="str">
        <f>HYPERLINK("https://pbs.twimg.com/profile_images/686598909142016000/boUF8gIc_normal.jpg","View")</f>
        <v>View</v>
      </c>
      <c r="P1662" s="27"/>
    </row>
    <row r="1663">
      <c r="A1663" s="14">
        <v>43031.12460648148</v>
      </c>
      <c r="B1663" s="20" t="str">
        <f>HYPERLINK("https://twitter.com/sureshdave","@sureshdave")</f>
        <v>@sureshdave</v>
      </c>
      <c r="C1663" s="21" t="s">
        <v>4170</v>
      </c>
      <c r="D1663" s="21" t="s">
        <v>42</v>
      </c>
      <c r="E1663" s="22" t="str">
        <f>HYPERLINK("https://twitter.com/sureshdave/status/922402072032456704","922402072032456704")</f>
        <v>922402072032456704</v>
      </c>
      <c r="F1663" s="23" t="s">
        <v>39</v>
      </c>
      <c r="G1663" s="24">
        <v>143.0</v>
      </c>
      <c r="H1663" s="24">
        <v>239.0</v>
      </c>
      <c r="I1663" s="24">
        <v>8501.0</v>
      </c>
      <c r="J1663" s="24">
        <v>0.0</v>
      </c>
      <c r="K1663" s="23" t="s">
        <v>34</v>
      </c>
      <c r="L1663" s="25">
        <v>40087.03077546296</v>
      </c>
      <c r="M1663" s="26" t="s">
        <v>2451</v>
      </c>
      <c r="N1663" s="26" t="s">
        <v>4171</v>
      </c>
      <c r="O1663" s="22" t="str">
        <f>HYPERLINK("https://pbs.twimg.com/profile_images/436535227888848897/hxalFPKe_normal.jpeg","View")</f>
        <v>View</v>
      </c>
      <c r="P1663" s="27"/>
    </row>
    <row r="1664">
      <c r="A1664" s="14">
        <v>43031.12460648148</v>
      </c>
      <c r="B1664" s="20" t="str">
        <f>HYPERLINK("https://twitter.com/Misasa0426","@Misasa0426")</f>
        <v>@Misasa0426</v>
      </c>
      <c r="C1664" s="21" t="s">
        <v>4172</v>
      </c>
      <c r="D1664" s="21" t="s">
        <v>42</v>
      </c>
      <c r="E1664" s="22" t="str">
        <f>HYPERLINK("https://twitter.com/Misasa0426/status/922402072275722240","922402072275722240")</f>
        <v>922402072275722240</v>
      </c>
      <c r="F1664" s="23" t="s">
        <v>33</v>
      </c>
      <c r="G1664" s="24">
        <v>314.0</v>
      </c>
      <c r="H1664" s="24">
        <v>361.0</v>
      </c>
      <c r="I1664" s="24">
        <v>8501.0</v>
      </c>
      <c r="J1664" s="24">
        <v>0.0</v>
      </c>
      <c r="K1664" s="23" t="s">
        <v>34</v>
      </c>
      <c r="L1664" s="25">
        <v>42204.04959490741</v>
      </c>
      <c r="M1664" s="28"/>
      <c r="N1664" s="26" t="s">
        <v>4173</v>
      </c>
      <c r="O1664" s="22" t="str">
        <f>HYPERLINK("https://pbs.twimg.com/profile_images/805771606614126592/2XoKVS7z_normal.jpg","View")</f>
        <v>View</v>
      </c>
      <c r="P1664" s="27"/>
    </row>
    <row r="1665">
      <c r="A1665" s="14">
        <v>43031.12461805556</v>
      </c>
      <c r="B1665" s="20" t="str">
        <f>HYPERLINK("https://twitter.com/Sam4delhi","@Sam4delhi")</f>
        <v>@Sam4delhi</v>
      </c>
      <c r="C1665" s="21" t="s">
        <v>4174</v>
      </c>
      <c r="D1665" s="21" t="s">
        <v>163</v>
      </c>
      <c r="E1665" s="22" t="str">
        <f>HYPERLINK("https://twitter.com/Sam4delhi/status/922402076604301312","922402076604301312")</f>
        <v>922402076604301312</v>
      </c>
      <c r="F1665" s="23" t="s">
        <v>39</v>
      </c>
      <c r="G1665" s="24">
        <v>926.0</v>
      </c>
      <c r="H1665" s="24">
        <v>1215.0</v>
      </c>
      <c r="I1665" s="24">
        <v>1005.0</v>
      </c>
      <c r="J1665" s="24">
        <v>0.0</v>
      </c>
      <c r="K1665" s="23" t="s">
        <v>34</v>
      </c>
      <c r="L1665" s="25">
        <v>41456.396574074075</v>
      </c>
      <c r="M1665" s="26" t="s">
        <v>4175</v>
      </c>
      <c r="N1665" s="26" t="s">
        <v>4176</v>
      </c>
      <c r="O1665" s="22" t="str">
        <f>HYPERLINK("https://pbs.twimg.com/profile_images/917232257672265728/WLJyCn_k_normal.jpg","View")</f>
        <v>View</v>
      </c>
      <c r="P1665" s="27"/>
    </row>
    <row r="1666">
      <c r="A1666" s="14">
        <v>43031.12462962963</v>
      </c>
      <c r="B1666" s="20" t="str">
        <f>HYPERLINK("https://twitter.com/Bullheaded_sh","@Bullheaded_sh")</f>
        <v>@Bullheaded_sh</v>
      </c>
      <c r="C1666" s="21" t="s">
        <v>4177</v>
      </c>
      <c r="D1666" s="21" t="s">
        <v>42</v>
      </c>
      <c r="E1666" s="22" t="str">
        <f>HYPERLINK("https://twitter.com/Bullheaded_sh/status/922402084137455616","922402084137455616")</f>
        <v>922402084137455616</v>
      </c>
      <c r="F1666" s="23" t="s">
        <v>39</v>
      </c>
      <c r="G1666" s="24">
        <v>128.0</v>
      </c>
      <c r="H1666" s="24">
        <v>418.0</v>
      </c>
      <c r="I1666" s="24">
        <v>8501.0</v>
      </c>
      <c r="J1666" s="24">
        <v>0.0</v>
      </c>
      <c r="K1666" s="23" t="s">
        <v>34</v>
      </c>
      <c r="L1666" s="25">
        <v>41389.20818287037</v>
      </c>
      <c r="M1666" s="26" t="s">
        <v>4178</v>
      </c>
      <c r="N1666" s="26" t="s">
        <v>4179</v>
      </c>
      <c r="O1666" s="22" t="str">
        <f>HYPERLINK("https://pbs.twimg.com/profile_images/866642101869703169/5N4qEFIR_normal.jpg","View")</f>
        <v>View</v>
      </c>
      <c r="P1666" s="27"/>
    </row>
    <row r="1667">
      <c r="A1667" s="14">
        <v>43031.124814814815</v>
      </c>
      <c r="B1667" s="20" t="str">
        <f>HYPERLINK("https://twitter.com/pawanerp","@pawanerp")</f>
        <v>@pawanerp</v>
      </c>
      <c r="C1667" s="21" t="s">
        <v>4180</v>
      </c>
      <c r="D1667" s="21" t="s">
        <v>42</v>
      </c>
      <c r="E1667" s="22" t="str">
        <f>HYPERLINK("https://twitter.com/pawanerp/status/922402150730174465","922402150730174465")</f>
        <v>922402150730174465</v>
      </c>
      <c r="F1667" s="23" t="s">
        <v>33</v>
      </c>
      <c r="G1667" s="24">
        <v>48.0</v>
      </c>
      <c r="H1667" s="24">
        <v>228.0</v>
      </c>
      <c r="I1667" s="24">
        <v>8501.0</v>
      </c>
      <c r="J1667" s="24">
        <v>0.0</v>
      </c>
      <c r="K1667" s="23" t="s">
        <v>34</v>
      </c>
      <c r="L1667" s="25">
        <v>39940.96766203704</v>
      </c>
      <c r="M1667" s="26" t="s">
        <v>4181</v>
      </c>
      <c r="N1667" s="28"/>
      <c r="O1667" s="22" t="str">
        <f>HYPERLINK("https://pbs.twimg.com/profile_images/2666449357/51770d3c8136492ee69e5234ca663789_normal.jpeg","View")</f>
        <v>View</v>
      </c>
      <c r="P1667" s="27"/>
    </row>
    <row r="1668">
      <c r="A1668" s="14">
        <v>43031.12496527778</v>
      </c>
      <c r="B1668" s="20" t="str">
        <f>HYPERLINK("https://twitter.com/kvijayb1","@kvijayb1")</f>
        <v>@kvijayb1</v>
      </c>
      <c r="C1668" s="21" t="s">
        <v>4182</v>
      </c>
      <c r="D1668" s="21" t="s">
        <v>163</v>
      </c>
      <c r="E1668" s="22" t="str">
        <f>HYPERLINK("https://twitter.com/kvijayb1/status/922402202433417216","922402202433417216")</f>
        <v>922402202433417216</v>
      </c>
      <c r="F1668" s="23" t="s">
        <v>230</v>
      </c>
      <c r="G1668" s="24">
        <v>474.0</v>
      </c>
      <c r="H1668" s="24">
        <v>313.0</v>
      </c>
      <c r="I1668" s="24">
        <v>1005.0</v>
      </c>
      <c r="J1668" s="24">
        <v>0.0</v>
      </c>
      <c r="K1668" s="23" t="s">
        <v>34</v>
      </c>
      <c r="L1668" s="25">
        <v>41879.24457175926</v>
      </c>
      <c r="M1668" s="26" t="s">
        <v>3011</v>
      </c>
      <c r="N1668" s="26" t="s">
        <v>4183</v>
      </c>
      <c r="O1668" s="22" t="str">
        <f>HYPERLINK("https://pbs.twimg.com/profile_images/528417580898209792/ZXEIJMQA_normal.jpeg","View")</f>
        <v>View</v>
      </c>
      <c r="P1668" s="27"/>
    </row>
    <row r="1669">
      <c r="A1669" s="14">
        <v>43031.12496527778</v>
      </c>
      <c r="B1669" s="20" t="str">
        <f>HYPERLINK("https://twitter.com/lfdickey","@lfdickey")</f>
        <v>@lfdickey</v>
      </c>
      <c r="C1669" s="21" t="s">
        <v>4184</v>
      </c>
      <c r="D1669" s="21" t="s">
        <v>4185</v>
      </c>
      <c r="E1669" s="22" t="str">
        <f>HYPERLINK("https://twitter.com/lfdickey/status/922402204090114048","922402204090114048")</f>
        <v>922402204090114048</v>
      </c>
      <c r="F1669" s="23" t="s">
        <v>55</v>
      </c>
      <c r="G1669" s="24">
        <v>1519.0</v>
      </c>
      <c r="H1669" s="24">
        <v>1436.0</v>
      </c>
      <c r="I1669" s="24">
        <v>1.0</v>
      </c>
      <c r="J1669" s="24">
        <v>1.0</v>
      </c>
      <c r="K1669" s="23" t="s">
        <v>34</v>
      </c>
      <c r="L1669" s="25">
        <v>40415.71884259259</v>
      </c>
      <c r="M1669" s="26" t="s">
        <v>4186</v>
      </c>
      <c r="N1669" s="26" t="s">
        <v>4187</v>
      </c>
      <c r="O1669" s="22" t="str">
        <f>HYPERLINK("https://pbs.twimg.com/profile_images/814613461334245376/Mp2Z2JfS_normal.jpg","View")</f>
        <v>View</v>
      </c>
      <c r="P1669" s="27"/>
    </row>
    <row r="1670">
      <c r="A1670" s="14">
        <v>43031.12501157407</v>
      </c>
      <c r="B1670" s="20" t="str">
        <f>HYPERLINK("https://twitter.com/O_M_Jamie","@O_M_Jamie")</f>
        <v>@O_M_Jamie</v>
      </c>
      <c r="C1670" s="21" t="s">
        <v>4188</v>
      </c>
      <c r="D1670" s="21" t="s">
        <v>4189</v>
      </c>
      <c r="E1670" s="22" t="str">
        <f>HYPERLINK("https://twitter.com/O_M_Jamie/status/922402222851395584","922402222851395584")</f>
        <v>922402222851395584</v>
      </c>
      <c r="F1670" s="23" t="s">
        <v>769</v>
      </c>
      <c r="G1670" s="24">
        <v>69.0</v>
      </c>
      <c r="H1670" s="24">
        <v>107.0</v>
      </c>
      <c r="I1670" s="24">
        <v>0.0</v>
      </c>
      <c r="J1670" s="24">
        <v>0.0</v>
      </c>
      <c r="K1670" s="23" t="s">
        <v>34</v>
      </c>
      <c r="L1670" s="25">
        <v>42824.63282407407</v>
      </c>
      <c r="M1670" s="28"/>
      <c r="N1670" s="26" t="s">
        <v>4190</v>
      </c>
      <c r="O1670" s="22" t="str">
        <f>HYPERLINK("https://pbs.twimg.com/profile_images/913728090110611456/VhkHTT5K_normal.jpg","View")</f>
        <v>View</v>
      </c>
      <c r="P1670" s="27"/>
    </row>
    <row r="1671">
      <c r="A1671" s="14">
        <v>43031.12504629629</v>
      </c>
      <c r="B1671" s="20" t="str">
        <f>HYPERLINK("https://twitter.com/ilovedirestrait","@ilovedirestrait")</f>
        <v>@ilovedirestrait</v>
      </c>
      <c r="C1671" s="21" t="s">
        <v>462</v>
      </c>
      <c r="D1671" s="21" t="s">
        <v>42</v>
      </c>
      <c r="E1671" s="22" t="str">
        <f>HYPERLINK("https://twitter.com/ilovedirestrait/status/922402233370656770","922402233370656770")</f>
        <v>922402233370656770</v>
      </c>
      <c r="F1671" s="23" t="s">
        <v>39</v>
      </c>
      <c r="G1671" s="24">
        <v>1221.0</v>
      </c>
      <c r="H1671" s="24">
        <v>1010.0</v>
      </c>
      <c r="I1671" s="24">
        <v>8501.0</v>
      </c>
      <c r="J1671" s="24">
        <v>0.0</v>
      </c>
      <c r="K1671" s="23" t="s">
        <v>34</v>
      </c>
      <c r="L1671" s="25">
        <v>40504.912314814814</v>
      </c>
      <c r="M1671" s="28"/>
      <c r="N1671" s="26" t="s">
        <v>464</v>
      </c>
      <c r="O1671" s="22" t="str">
        <f>HYPERLINK("https://pbs.twimg.com/profile_images/888748952668864512/f7Q19HPa_normal.jpg","View")</f>
        <v>View</v>
      </c>
      <c r="P1671" s="27"/>
    </row>
    <row r="1672">
      <c r="A1672" s="14">
        <v>43031.12504629629</v>
      </c>
      <c r="B1672" s="20" t="str">
        <f>HYPERLINK("https://twitter.com/Global___News","@Global___News")</f>
        <v>@Global___News</v>
      </c>
      <c r="C1672" s="21" t="s">
        <v>4191</v>
      </c>
      <c r="D1672" s="21" t="s">
        <v>4192</v>
      </c>
      <c r="E1672" s="22" t="str">
        <f>HYPERLINK("https://twitter.com/Global___News/status/922402234490425345","922402234490425345")</f>
        <v>922402234490425345</v>
      </c>
      <c r="F1672" s="23" t="s">
        <v>4193</v>
      </c>
      <c r="G1672" s="24">
        <v>820.0</v>
      </c>
      <c r="H1672" s="24">
        <v>4.0</v>
      </c>
      <c r="I1672" s="24">
        <v>0.0</v>
      </c>
      <c r="J1672" s="24">
        <v>0.0</v>
      </c>
      <c r="K1672" s="23" t="s">
        <v>34</v>
      </c>
      <c r="L1672" s="25">
        <v>41404.33153935185</v>
      </c>
      <c r="M1672" s="28"/>
      <c r="N1672" s="26" t="s">
        <v>4191</v>
      </c>
      <c r="O1672" s="22" t="str">
        <f>HYPERLINK("https://pbs.twimg.com/profile_images/3640360348/ca3c8990ec800ecd3004b1c1ab4cc462_normal.png","View")</f>
        <v>View</v>
      </c>
      <c r="P1672" s="27"/>
    </row>
    <row r="1673">
      <c r="A1673" s="14">
        <v>43031.12504629629</v>
      </c>
      <c r="B1673" s="20" t="str">
        <f>HYPERLINK("https://twitter.com/whirrlpool","@whirrlpool")</f>
        <v>@whirrlpool</v>
      </c>
      <c r="C1673" s="21" t="s">
        <v>4194</v>
      </c>
      <c r="D1673" s="21" t="s">
        <v>4195</v>
      </c>
      <c r="E1673" s="22" t="str">
        <f>HYPERLINK("https://twitter.com/whirrlpool/status/922402235438338049","922402235438338049")</f>
        <v>922402235438338049</v>
      </c>
      <c r="F1673" s="23" t="s">
        <v>39</v>
      </c>
      <c r="G1673" s="24">
        <v>401.0</v>
      </c>
      <c r="H1673" s="24">
        <v>519.0</v>
      </c>
      <c r="I1673" s="24">
        <v>0.0</v>
      </c>
      <c r="J1673" s="24">
        <v>1.0</v>
      </c>
      <c r="K1673" s="23" t="s">
        <v>34</v>
      </c>
      <c r="L1673" s="25">
        <v>40917.27068287037</v>
      </c>
      <c r="M1673" s="28"/>
      <c r="N1673" s="26" t="s">
        <v>4196</v>
      </c>
      <c r="O1673" s="22" t="str">
        <f>HYPERLINK("https://pbs.twimg.com/profile_images/701068563767930881/wqjR2jAq_normal.jpg","View")</f>
        <v>View</v>
      </c>
      <c r="P1673" s="27"/>
    </row>
    <row r="1674">
      <c r="A1674" s="14">
        <v>43031.125069444446</v>
      </c>
      <c r="B1674" s="20" t="str">
        <f>HYPERLINK("https://twitter.com/LesegoThinane","@LesegoThinane")</f>
        <v>@LesegoThinane</v>
      </c>
      <c r="C1674" s="21" t="s">
        <v>4197</v>
      </c>
      <c r="D1674" s="21" t="s">
        <v>2555</v>
      </c>
      <c r="E1674" s="22" t="str">
        <f>HYPERLINK("https://twitter.com/LesegoThinane/status/922402243177074688","922402243177074688")</f>
        <v>922402243177074688</v>
      </c>
      <c r="F1674" s="23" t="s">
        <v>39</v>
      </c>
      <c r="G1674" s="24">
        <v>543.0</v>
      </c>
      <c r="H1674" s="24">
        <v>497.0</v>
      </c>
      <c r="I1674" s="24">
        <v>58.0</v>
      </c>
      <c r="J1674" s="24">
        <v>0.0</v>
      </c>
      <c r="K1674" s="23" t="s">
        <v>34</v>
      </c>
      <c r="L1674" s="25">
        <v>40421.64204861111</v>
      </c>
      <c r="M1674" s="26" t="s">
        <v>4198</v>
      </c>
      <c r="N1674" s="26" t="s">
        <v>4199</v>
      </c>
      <c r="O1674" s="22" t="str">
        <f>HYPERLINK("https://pbs.twimg.com/profile_images/919275975581552646/3QuemXOS_normal.jpg","View")</f>
        <v>View</v>
      </c>
      <c r="P1674" s="27"/>
    </row>
    <row r="1675">
      <c r="A1675" s="14">
        <v>43031.125185185185</v>
      </c>
      <c r="B1675" s="20" t="str">
        <f>HYPERLINK("https://twitter.com/Prasannna1980","@Prasannna1980")</f>
        <v>@Prasannna1980</v>
      </c>
      <c r="C1675" s="21" t="s">
        <v>4200</v>
      </c>
      <c r="D1675" s="21" t="s">
        <v>42</v>
      </c>
      <c r="E1675" s="22" t="str">
        <f>HYPERLINK("https://twitter.com/Prasannna1980/status/922402283135967232","922402283135967232")</f>
        <v>922402283135967232</v>
      </c>
      <c r="F1675" s="23" t="s">
        <v>33</v>
      </c>
      <c r="G1675" s="24">
        <v>1.0</v>
      </c>
      <c r="H1675" s="24">
        <v>17.0</v>
      </c>
      <c r="I1675" s="24">
        <v>8501.0</v>
      </c>
      <c r="J1675" s="24">
        <v>0.0</v>
      </c>
      <c r="K1675" s="23" t="s">
        <v>34</v>
      </c>
      <c r="L1675" s="25">
        <v>43029.28517361111</v>
      </c>
      <c r="M1675" s="28"/>
      <c r="N1675" s="28"/>
      <c r="O1675" s="22" t="str">
        <f>HYPERLINK("https://abs.twimg.com/sticky/default_profile_images/default_profile_normal.png","View")</f>
        <v>View</v>
      </c>
      <c r="P1675" s="27"/>
    </row>
    <row r="1676">
      <c r="A1676" s="14">
        <v>43031.125196759254</v>
      </c>
      <c r="B1676" s="20" t="str">
        <f>HYPERLINK("https://twitter.com/StarSunflash21","@StarSunflash21")</f>
        <v>@StarSunflash21</v>
      </c>
      <c r="C1676" s="21" t="s">
        <v>4201</v>
      </c>
      <c r="D1676" s="21" t="s">
        <v>42</v>
      </c>
      <c r="E1676" s="22" t="str">
        <f>HYPERLINK("https://twitter.com/StarSunflash21/status/922402287988883456","922402287988883456")</f>
        <v>922402287988883456</v>
      </c>
      <c r="F1676" s="23" t="s">
        <v>55</v>
      </c>
      <c r="G1676" s="24">
        <v>351.0</v>
      </c>
      <c r="H1676" s="24">
        <v>405.0</v>
      </c>
      <c r="I1676" s="24">
        <v>8501.0</v>
      </c>
      <c r="J1676" s="24">
        <v>0.0</v>
      </c>
      <c r="K1676" s="23" t="s">
        <v>34</v>
      </c>
      <c r="L1676" s="25">
        <v>42777.17555555556</v>
      </c>
      <c r="M1676" s="28"/>
      <c r="N1676" s="26" t="s">
        <v>4202</v>
      </c>
      <c r="O1676" s="22" t="str">
        <f>HYPERLINK("https://pbs.twimg.com/profile_images/860777713312739328/H21EnlP6_normal.jpg","View")</f>
        <v>View</v>
      </c>
      <c r="P1676" s="27"/>
    </row>
    <row r="1677">
      <c r="A1677" s="14">
        <v>43031.12525462963</v>
      </c>
      <c r="B1677" s="20" t="str">
        <f>HYPERLINK("https://twitter.com/13rajnikant1","@13rajnikant1")</f>
        <v>@13rajnikant1</v>
      </c>
      <c r="C1677" s="21" t="s">
        <v>4203</v>
      </c>
      <c r="D1677" s="21" t="s">
        <v>42</v>
      </c>
      <c r="E1677" s="22" t="str">
        <f>HYPERLINK("https://twitter.com/13rajnikant1/status/922402309887238144","922402309887238144")</f>
        <v>922402309887238144</v>
      </c>
      <c r="F1677" s="23" t="s">
        <v>33</v>
      </c>
      <c r="G1677" s="24">
        <v>109.0</v>
      </c>
      <c r="H1677" s="24">
        <v>199.0</v>
      </c>
      <c r="I1677" s="24">
        <v>8501.0</v>
      </c>
      <c r="J1677" s="24">
        <v>0.0</v>
      </c>
      <c r="K1677" s="23" t="s">
        <v>34</v>
      </c>
      <c r="L1677" s="25">
        <v>42826.10228009259</v>
      </c>
      <c r="M1677" s="26" t="s">
        <v>2020</v>
      </c>
      <c r="N1677" s="28"/>
      <c r="O1677" s="22" t="str">
        <f>HYPERLINK("https://pbs.twimg.com/profile_images/892741362067570688/N6mAaOWS_normal.jpg","View")</f>
        <v>View</v>
      </c>
      <c r="P1677" s="27"/>
    </row>
    <row r="1678">
      <c r="A1678" s="14">
        <v>43031.12534722222</v>
      </c>
      <c r="B1678" s="20" t="str">
        <f>HYPERLINK("https://twitter.com/americandailys","@americandailys")</f>
        <v>@americandailys</v>
      </c>
      <c r="C1678" s="21" t="s">
        <v>4204</v>
      </c>
      <c r="D1678" s="21" t="s">
        <v>4205</v>
      </c>
      <c r="E1678" s="22" t="str">
        <f>HYPERLINK("https://twitter.com/americandailys/status/922402340644229120","922402340644229120")</f>
        <v>922402340644229120</v>
      </c>
      <c r="F1678" s="23" t="s">
        <v>91</v>
      </c>
      <c r="G1678" s="24">
        <v>955.0</v>
      </c>
      <c r="H1678" s="24">
        <v>603.0</v>
      </c>
      <c r="I1678" s="24">
        <v>0.0</v>
      </c>
      <c r="J1678" s="24">
        <v>0.0</v>
      </c>
      <c r="K1678" s="23" t="s">
        <v>34</v>
      </c>
      <c r="L1678" s="25">
        <v>42462.41988425926</v>
      </c>
      <c r="M1678" s="26" t="s">
        <v>1250</v>
      </c>
      <c r="N1678" s="26" t="s">
        <v>4206</v>
      </c>
      <c r="O1678" s="22" t="str">
        <f>HYPERLINK("https://pbs.twimg.com/profile_images/907048422347300864/ncTZr8Oz_normal.jpg","View")</f>
        <v>View</v>
      </c>
      <c r="P1678" s="27"/>
    </row>
    <row r="1679">
      <c r="A1679" s="14">
        <v>43031.12550925926</v>
      </c>
      <c r="B1679" s="20" t="str">
        <f>HYPERLINK("https://twitter.com/GboruM","@GboruM")</f>
        <v>@GboruM</v>
      </c>
      <c r="C1679" s="21" t="s">
        <v>1481</v>
      </c>
      <c r="D1679" s="21" t="s">
        <v>4207</v>
      </c>
      <c r="E1679" s="22" t="str">
        <f>HYPERLINK("https://twitter.com/GboruM/status/922402399154769920","922402399154769920")</f>
        <v>922402399154769920</v>
      </c>
      <c r="F1679" s="23" t="s">
        <v>91</v>
      </c>
      <c r="G1679" s="24">
        <v>12140.0</v>
      </c>
      <c r="H1679" s="24">
        <v>287.0</v>
      </c>
      <c r="I1679" s="24">
        <v>0.0</v>
      </c>
      <c r="J1679" s="24">
        <v>0.0</v>
      </c>
      <c r="K1679" s="23" t="s">
        <v>34</v>
      </c>
      <c r="L1679" s="25">
        <v>41246.92685185185</v>
      </c>
      <c r="M1679" s="26" t="s">
        <v>1483</v>
      </c>
      <c r="N1679" s="26" t="s">
        <v>1484</v>
      </c>
      <c r="O1679" s="22" t="str">
        <f>HYPERLINK("https://pbs.twimg.com/profile_images/916061586640470016/W_06rU48_normal.jpg","View")</f>
        <v>View</v>
      </c>
      <c r="P1679" s="27"/>
    </row>
    <row r="1680">
      <c r="A1680" s="14">
        <v>43031.12553240741</v>
      </c>
      <c r="B1680" s="20" t="str">
        <f>HYPERLINK("https://twitter.com/ARODJuristas","@ARODJuristas")</f>
        <v>@ARODJuristas</v>
      </c>
      <c r="C1680" s="21" t="s">
        <v>4208</v>
      </c>
      <c r="D1680" s="21" t="s">
        <v>4209</v>
      </c>
      <c r="E1680" s="22" t="str">
        <f>HYPERLINK("https://twitter.com/ARODJuristas/status/922402410668134400","922402410668134400")</f>
        <v>922402410668134400</v>
      </c>
      <c r="F1680" s="23" t="s">
        <v>2255</v>
      </c>
      <c r="G1680" s="24">
        <v>1698.0</v>
      </c>
      <c r="H1680" s="24">
        <v>4939.0</v>
      </c>
      <c r="I1680" s="24">
        <v>0.0</v>
      </c>
      <c r="J1680" s="24">
        <v>0.0</v>
      </c>
      <c r="K1680" s="23" t="s">
        <v>34</v>
      </c>
      <c r="L1680" s="25">
        <v>42222.3954050926</v>
      </c>
      <c r="M1680" s="26" t="s">
        <v>2569</v>
      </c>
      <c r="N1680" s="26" t="s">
        <v>4210</v>
      </c>
      <c r="O1680" s="22" t="str">
        <f>HYPERLINK("https://pbs.twimg.com/profile_images/848880316458700801/WFtcLlRE_normal.jpg","View")</f>
        <v>View</v>
      </c>
      <c r="P1680" s="27"/>
    </row>
    <row r="1681">
      <c r="A1681" s="14">
        <v>43031.125543981485</v>
      </c>
      <c r="B1681" s="20" t="str">
        <f>HYPERLINK("https://twitter.com/pkgupta_","@pkgupta_")</f>
        <v>@pkgupta_</v>
      </c>
      <c r="C1681" s="21" t="s">
        <v>4211</v>
      </c>
      <c r="D1681" s="21" t="s">
        <v>42</v>
      </c>
      <c r="E1681" s="22" t="str">
        <f>HYPERLINK("https://twitter.com/pkgupta_/status/922402414954668032","922402414954668032")</f>
        <v>922402414954668032</v>
      </c>
      <c r="F1681" s="23" t="s">
        <v>33</v>
      </c>
      <c r="G1681" s="24">
        <v>678.0</v>
      </c>
      <c r="H1681" s="24">
        <v>18.0</v>
      </c>
      <c r="I1681" s="24">
        <v>8501.0</v>
      </c>
      <c r="J1681" s="24">
        <v>0.0</v>
      </c>
      <c r="K1681" s="23" t="s">
        <v>34</v>
      </c>
      <c r="L1681" s="25">
        <v>41592.22920138889</v>
      </c>
      <c r="M1681" s="28"/>
      <c r="N1681" s="26" t="s">
        <v>4212</v>
      </c>
      <c r="O1681" s="22" t="str">
        <f>HYPERLINK("https://pbs.twimg.com/profile_images/875575400918769665/jcdcBCG3_normal.jpg","View")</f>
        <v>View</v>
      </c>
      <c r="P1681" s="27"/>
    </row>
    <row r="1682">
      <c r="A1682" s="14">
        <v>43031.12556712963</v>
      </c>
      <c r="B1682" s="20" t="str">
        <f>HYPERLINK("https://twitter.com/DrElnora","@DrElnora")</f>
        <v>@DrElnora</v>
      </c>
      <c r="C1682" s="21" t="s">
        <v>4213</v>
      </c>
      <c r="D1682" s="21" t="s">
        <v>3965</v>
      </c>
      <c r="E1682" s="22" t="str">
        <f>HYPERLINK("https://twitter.com/DrElnora/status/922402422156296195","922402422156296195")</f>
        <v>922402422156296195</v>
      </c>
      <c r="F1682" s="23" t="s">
        <v>33</v>
      </c>
      <c r="G1682" s="24">
        <v>6445.0</v>
      </c>
      <c r="H1682" s="24">
        <v>4891.0</v>
      </c>
      <c r="I1682" s="24">
        <v>14.0</v>
      </c>
      <c r="J1682" s="24">
        <v>0.0</v>
      </c>
      <c r="K1682" s="23" t="s">
        <v>34</v>
      </c>
      <c r="L1682" s="25">
        <v>41403.65494212963</v>
      </c>
      <c r="M1682" s="28"/>
      <c r="N1682" s="26" t="s">
        <v>4214</v>
      </c>
      <c r="O1682" s="22" t="str">
        <f>HYPERLINK("https://pbs.twimg.com/profile_images/378800000020664644/363a8e7ca064cbd7611800d362cbf9f0_normal.jpeg","View")</f>
        <v>View</v>
      </c>
      <c r="P1682" s="27"/>
    </row>
    <row r="1683">
      <c r="A1683" s="14">
        <v>43031.125625</v>
      </c>
      <c r="B1683" s="20" t="str">
        <f>HYPERLINK("https://twitter.com/abhayshandilyak","@abhayshandilyak")</f>
        <v>@abhayshandilyak</v>
      </c>
      <c r="C1683" s="21" t="s">
        <v>4215</v>
      </c>
      <c r="D1683" s="21" t="s">
        <v>42</v>
      </c>
      <c r="E1683" s="22" t="str">
        <f>HYPERLINK("https://twitter.com/abhayshandilyak/status/922402444381843456","922402444381843456")</f>
        <v>922402444381843456</v>
      </c>
      <c r="F1683" s="23" t="s">
        <v>43</v>
      </c>
      <c r="G1683" s="24">
        <v>113.0</v>
      </c>
      <c r="H1683" s="24">
        <v>135.0</v>
      </c>
      <c r="I1683" s="24">
        <v>8501.0</v>
      </c>
      <c r="J1683" s="24">
        <v>0.0</v>
      </c>
      <c r="K1683" s="23" t="s">
        <v>34</v>
      </c>
      <c r="L1683" s="25">
        <v>42409.25733796296</v>
      </c>
      <c r="M1683" s="26" t="s">
        <v>603</v>
      </c>
      <c r="N1683" s="26" t="s">
        <v>4216</v>
      </c>
      <c r="O1683" s="22" t="str">
        <f>HYPERLINK("https://pbs.twimg.com/profile_images/880081142786871296/O_xlZDXB_normal.jpg","View")</f>
        <v>View</v>
      </c>
      <c r="P1683" s="27"/>
    </row>
    <row r="1684">
      <c r="A1684" s="14">
        <v>43031.12564814815</v>
      </c>
      <c r="B1684" s="20" t="str">
        <f>HYPERLINK("https://twitter.com/rajbhan7","@rajbhan7")</f>
        <v>@rajbhan7</v>
      </c>
      <c r="C1684" s="21" t="s">
        <v>4217</v>
      </c>
      <c r="D1684" s="21" t="s">
        <v>42</v>
      </c>
      <c r="E1684" s="22" t="str">
        <f>HYPERLINK("https://twitter.com/rajbhan7/status/922402450316783616","922402450316783616")</f>
        <v>922402450316783616</v>
      </c>
      <c r="F1684" s="23" t="s">
        <v>33</v>
      </c>
      <c r="G1684" s="24">
        <v>1.0</v>
      </c>
      <c r="H1684" s="24">
        <v>13.0</v>
      </c>
      <c r="I1684" s="24">
        <v>8501.0</v>
      </c>
      <c r="J1684" s="24">
        <v>0.0</v>
      </c>
      <c r="K1684" s="23" t="s">
        <v>34</v>
      </c>
      <c r="L1684" s="25">
        <v>42076.18849537037</v>
      </c>
      <c r="M1684" s="26" t="s">
        <v>4218</v>
      </c>
      <c r="N1684" s="28"/>
      <c r="O1684" s="22" t="str">
        <f>HYPERLINK("https://pbs.twimg.com/profile_images/644844618421551104/QFU0xmAF_normal.jpg","View")</f>
        <v>View</v>
      </c>
      <c r="P1684" s="27"/>
    </row>
    <row r="1685">
      <c r="A1685" s="14">
        <v>43031.12564814815</v>
      </c>
      <c r="B1685" s="20" t="str">
        <f>HYPERLINK("https://twitter.com/ronakshah","@ronakshah")</f>
        <v>@ronakshah</v>
      </c>
      <c r="C1685" s="21" t="s">
        <v>4219</v>
      </c>
      <c r="D1685" s="21" t="s">
        <v>3965</v>
      </c>
      <c r="E1685" s="22" t="str">
        <f>HYPERLINK("https://twitter.com/ronakshah/status/922402451516407808","922402451516407808")</f>
        <v>922402451516407808</v>
      </c>
      <c r="F1685" s="23" t="s">
        <v>33</v>
      </c>
      <c r="G1685" s="24">
        <v>2555.0</v>
      </c>
      <c r="H1685" s="24">
        <v>5001.0</v>
      </c>
      <c r="I1685" s="24">
        <v>14.0</v>
      </c>
      <c r="J1685" s="24">
        <v>0.0</v>
      </c>
      <c r="K1685" s="23" t="s">
        <v>34</v>
      </c>
      <c r="L1685" s="25">
        <v>39411.93680555555</v>
      </c>
      <c r="M1685" s="26" t="s">
        <v>204</v>
      </c>
      <c r="N1685" s="26" t="s">
        <v>4220</v>
      </c>
      <c r="O1685" s="22" t="str">
        <f>HYPERLINK("https://pbs.twimg.com/profile_images/3053522310/2dcf1b729a0c7da03c33cb323a132643_normal.jpeg","View")</f>
        <v>View</v>
      </c>
      <c r="P1685" s="27"/>
    </row>
    <row r="1686">
      <c r="A1686" s="14">
        <v>43031.12567129629</v>
      </c>
      <c r="B1686" s="20" t="str">
        <f>HYPERLINK("https://twitter.com/Rockychoudhar21","@Rockychoudhar21")</f>
        <v>@Rockychoudhar21</v>
      </c>
      <c r="C1686" s="21" t="s">
        <v>4221</v>
      </c>
      <c r="D1686" s="21" t="s">
        <v>42</v>
      </c>
      <c r="E1686" s="22" t="str">
        <f>HYPERLINK("https://twitter.com/Rockychoudhar21/status/922402461486276609","922402461486276609")</f>
        <v>922402461486276609</v>
      </c>
      <c r="F1686" s="23" t="s">
        <v>33</v>
      </c>
      <c r="G1686" s="24">
        <v>185.0</v>
      </c>
      <c r="H1686" s="24">
        <v>269.0</v>
      </c>
      <c r="I1686" s="24">
        <v>8501.0</v>
      </c>
      <c r="J1686" s="24">
        <v>0.0</v>
      </c>
      <c r="K1686" s="23" t="s">
        <v>34</v>
      </c>
      <c r="L1686" s="25">
        <v>42594.04082175926</v>
      </c>
      <c r="M1686" s="26" t="s">
        <v>914</v>
      </c>
      <c r="N1686" s="26" t="s">
        <v>4222</v>
      </c>
      <c r="O1686" s="22" t="str">
        <f>HYPERLINK("https://pbs.twimg.com/profile_images/857483620176601088/F3muI2Bm_normal.jpg","View")</f>
        <v>View</v>
      </c>
      <c r="P1686" s="27"/>
    </row>
    <row r="1687">
      <c r="A1687" s="14">
        <v>43031.12568287037</v>
      </c>
      <c r="B1687" s="20" t="str">
        <f>HYPERLINK("https://twitter.com/WMALDC","@WMALDC")</f>
        <v>@WMALDC</v>
      </c>
      <c r="C1687" s="21" t="s">
        <v>4223</v>
      </c>
      <c r="D1687" s="21" t="s">
        <v>4224</v>
      </c>
      <c r="E1687" s="22" t="str">
        <f>HYPERLINK("https://twitter.com/WMALDC/status/922402462966910976","922402462966910976")</f>
        <v>922402462966910976</v>
      </c>
      <c r="F1687" s="23" t="s">
        <v>427</v>
      </c>
      <c r="G1687" s="24">
        <v>6599.0</v>
      </c>
      <c r="H1687" s="24">
        <v>2907.0</v>
      </c>
      <c r="I1687" s="24">
        <v>0.0</v>
      </c>
      <c r="J1687" s="24">
        <v>0.0</v>
      </c>
      <c r="K1687" s="23" t="s">
        <v>34</v>
      </c>
      <c r="L1687" s="25">
        <v>39720.09577546296</v>
      </c>
      <c r="M1687" s="26" t="s">
        <v>4225</v>
      </c>
      <c r="N1687" s="26" t="s">
        <v>4226</v>
      </c>
      <c r="O1687" s="22" t="str">
        <f>HYPERLINK("https://pbs.twimg.com/profile_images/378800000484349706/9d261aa8bb8f664d40b62be5e2c004db_normal.png","View")</f>
        <v>View</v>
      </c>
      <c r="P1687" s="27"/>
    </row>
    <row r="1688">
      <c r="A1688" s="14">
        <v>43031.12569444445</v>
      </c>
      <c r="B1688" s="20" t="str">
        <f>HYPERLINK("https://twitter.com/wmalnews","@wmalnews")</f>
        <v>@wmalnews</v>
      </c>
      <c r="C1688" s="21" t="s">
        <v>4227</v>
      </c>
      <c r="D1688" s="21" t="s">
        <v>4228</v>
      </c>
      <c r="E1688" s="22" t="str">
        <f>HYPERLINK("https://twitter.com/wmalnews/status/922402469975642112","922402469975642112")</f>
        <v>922402469975642112</v>
      </c>
      <c r="F1688" s="23" t="s">
        <v>427</v>
      </c>
      <c r="G1688" s="24">
        <v>4417.0</v>
      </c>
      <c r="H1688" s="24">
        <v>829.0</v>
      </c>
      <c r="I1688" s="24">
        <v>0.0</v>
      </c>
      <c r="J1688" s="24">
        <v>0.0</v>
      </c>
      <c r="K1688" s="23" t="s">
        <v>34</v>
      </c>
      <c r="L1688" s="25">
        <v>39615.52476851852</v>
      </c>
      <c r="M1688" s="26" t="s">
        <v>4225</v>
      </c>
      <c r="N1688" s="26" t="s">
        <v>4229</v>
      </c>
      <c r="O1688" s="22" t="str">
        <f>HYPERLINK("https://pbs.twimg.com/profile_images/1551839115/wmal_new_logo_200x200_normal.gif","View")</f>
        <v>View</v>
      </c>
      <c r="P1688" s="27"/>
    </row>
    <row r="1689">
      <c r="A1689" s="14">
        <v>43031.12577546296</v>
      </c>
      <c r="B1689" s="20" t="str">
        <f>HYPERLINK("https://twitter.com/bainktesh","@bainktesh")</f>
        <v>@bainktesh</v>
      </c>
      <c r="C1689" s="21" t="s">
        <v>4230</v>
      </c>
      <c r="D1689" s="21" t="s">
        <v>42</v>
      </c>
      <c r="E1689" s="22" t="str">
        <f>HYPERLINK("https://twitter.com/bainktesh/status/922402497515233280","922402497515233280")</f>
        <v>922402497515233280</v>
      </c>
      <c r="F1689" s="23" t="s">
        <v>33</v>
      </c>
      <c r="G1689" s="24">
        <v>1819.0</v>
      </c>
      <c r="H1689" s="24">
        <v>624.0</v>
      </c>
      <c r="I1689" s="24">
        <v>8501.0</v>
      </c>
      <c r="J1689" s="24">
        <v>0.0</v>
      </c>
      <c r="K1689" s="23" t="s">
        <v>34</v>
      </c>
      <c r="L1689" s="25">
        <v>42619.20722222222</v>
      </c>
      <c r="M1689" s="26" t="s">
        <v>4231</v>
      </c>
      <c r="N1689" s="26" t="s">
        <v>4232</v>
      </c>
      <c r="O1689" s="22" t="str">
        <f>HYPERLINK("https://pbs.twimg.com/profile_images/900341699305766912/oWQVAlL5_normal.jpg","View")</f>
        <v>View</v>
      </c>
      <c r="P1689" s="27"/>
    </row>
    <row r="1690">
      <c r="A1690" s="14">
        <v>43031.12584490741</v>
      </c>
      <c r="B1690" s="20" t="str">
        <f>HYPERLINK("https://twitter.com/FairyBallington","@FairyBallington")</f>
        <v>@FairyBallington</v>
      </c>
      <c r="C1690" s="21" t="s">
        <v>1881</v>
      </c>
      <c r="D1690" s="21" t="s">
        <v>839</v>
      </c>
      <c r="E1690" s="22" t="str">
        <f>HYPERLINK("https://twitter.com/FairyBallington/status/922402521779523584","922402521779523584")</f>
        <v>922402521779523584</v>
      </c>
      <c r="F1690" s="23" t="s">
        <v>1883</v>
      </c>
      <c r="G1690" s="24">
        <v>383.0</v>
      </c>
      <c r="H1690" s="24">
        <v>2453.0</v>
      </c>
      <c r="I1690" s="24">
        <v>17.0</v>
      </c>
      <c r="J1690" s="24">
        <v>0.0</v>
      </c>
      <c r="K1690" s="23" t="s">
        <v>34</v>
      </c>
      <c r="L1690" s="25">
        <v>41674.963055555556</v>
      </c>
      <c r="M1690" s="28"/>
      <c r="N1690" s="28"/>
      <c r="O1690" s="22" t="str">
        <f>HYPERLINK("https://abs.twimg.com/sticky/default_profile_images/default_profile_normal.png","View")</f>
        <v>View</v>
      </c>
      <c r="P1690" s="27"/>
    </row>
    <row r="1691">
      <c r="A1691" s="14">
        <v>43031.12585648148</v>
      </c>
      <c r="B1691" s="20" t="str">
        <f>HYPERLINK("https://twitter.com/aomijyo","@aomijyo")</f>
        <v>@aomijyo</v>
      </c>
      <c r="C1691" s="21" t="s">
        <v>4233</v>
      </c>
      <c r="D1691" s="21" t="s">
        <v>42</v>
      </c>
      <c r="E1691" s="22" t="str">
        <f>HYPERLINK("https://twitter.com/aomijyo/status/922402528351862784","922402528351862784")</f>
        <v>922402528351862784</v>
      </c>
      <c r="F1691" s="23" t="s">
        <v>33</v>
      </c>
      <c r="G1691" s="24">
        <v>64.0</v>
      </c>
      <c r="H1691" s="24">
        <v>73.0</v>
      </c>
      <c r="I1691" s="24">
        <v>8501.0</v>
      </c>
      <c r="J1691" s="24">
        <v>0.0</v>
      </c>
      <c r="K1691" s="23" t="s">
        <v>34</v>
      </c>
      <c r="L1691" s="25">
        <v>41136.15967592593</v>
      </c>
      <c r="M1691" s="26" t="s">
        <v>4234</v>
      </c>
      <c r="N1691" s="26" t="s">
        <v>4235</v>
      </c>
      <c r="O1691" s="22" t="str">
        <f>HYPERLINK("https://pbs.twimg.com/profile_images/463705400756285440/DzhnGdeF_normal.png","View")</f>
        <v>View</v>
      </c>
      <c r="P1691" s="27"/>
    </row>
    <row r="1692">
      <c r="A1692" s="14">
        <v>43031.12587962963</v>
      </c>
      <c r="B1692" s="20" t="str">
        <f>HYPERLINK("https://twitter.com/LesegoThinane","@LesegoThinane")</f>
        <v>@LesegoThinane</v>
      </c>
      <c r="C1692" s="21" t="s">
        <v>4197</v>
      </c>
      <c r="D1692" s="21" t="s">
        <v>179</v>
      </c>
      <c r="E1692" s="22" t="str">
        <f>HYPERLINK("https://twitter.com/LesegoThinane/status/922402536409231360","922402536409231360")</f>
        <v>922402536409231360</v>
      </c>
      <c r="F1692" s="23" t="s">
        <v>39</v>
      </c>
      <c r="G1692" s="24">
        <v>543.0</v>
      </c>
      <c r="H1692" s="24">
        <v>497.0</v>
      </c>
      <c r="I1692" s="24">
        <v>30.0</v>
      </c>
      <c r="J1692" s="24">
        <v>0.0</v>
      </c>
      <c r="K1692" s="23" t="s">
        <v>34</v>
      </c>
      <c r="L1692" s="25">
        <v>40421.64204861111</v>
      </c>
      <c r="M1692" s="26" t="s">
        <v>4198</v>
      </c>
      <c r="N1692" s="26" t="s">
        <v>4199</v>
      </c>
      <c r="O1692" s="22" t="str">
        <f>HYPERLINK("https://pbs.twimg.com/profile_images/919275975581552646/3QuemXOS_normal.jpg","View")</f>
        <v>View</v>
      </c>
      <c r="P1692" s="27"/>
    </row>
    <row r="1693">
      <c r="A1693" s="14">
        <v>43031.1258912037</v>
      </c>
      <c r="B1693" s="20" t="str">
        <f>HYPERLINK("https://twitter.com/PokaWala","@PokaWala")</f>
        <v>@PokaWala</v>
      </c>
      <c r="C1693" s="21" t="s">
        <v>4236</v>
      </c>
      <c r="D1693" s="21" t="s">
        <v>42</v>
      </c>
      <c r="E1693" s="22" t="str">
        <f>HYPERLINK("https://twitter.com/PokaWala/status/922402540594933761","922402540594933761")</f>
        <v>922402540594933761</v>
      </c>
      <c r="F1693" s="23" t="s">
        <v>33</v>
      </c>
      <c r="G1693" s="24">
        <v>1.0</v>
      </c>
      <c r="H1693" s="24">
        <v>84.0</v>
      </c>
      <c r="I1693" s="24">
        <v>8501.0</v>
      </c>
      <c r="J1693" s="24">
        <v>0.0</v>
      </c>
      <c r="K1693" s="23" t="s">
        <v>34</v>
      </c>
      <c r="L1693" s="25">
        <v>43018.445185185185</v>
      </c>
      <c r="M1693" s="28"/>
      <c r="N1693" s="28"/>
      <c r="O1693" s="22" t="str">
        <f>HYPERLINK("https://abs.twimg.com/sticky/default_profile_images/default_profile_normal.png","View")</f>
        <v>View</v>
      </c>
      <c r="P1693" s="27"/>
    </row>
    <row r="1694">
      <c r="A1694" s="14">
        <v>43031.125925925924</v>
      </c>
      <c r="B1694" s="20" t="str">
        <f>HYPERLINK("https://twitter.com/bpolitics","@bpolitics")</f>
        <v>@bpolitics</v>
      </c>
      <c r="C1694" s="21" t="s">
        <v>3445</v>
      </c>
      <c r="D1694" s="21" t="s">
        <v>4237</v>
      </c>
      <c r="E1694" s="22" t="str">
        <f>HYPERLINK("https://twitter.com/bpolitics/status/922402550787084288","922402550787084288")</f>
        <v>922402550787084288</v>
      </c>
      <c r="F1694" s="30" t="s">
        <v>2744</v>
      </c>
      <c r="G1694" s="24">
        <v>221050.0</v>
      </c>
      <c r="H1694" s="24">
        <v>865.0</v>
      </c>
      <c r="I1694" s="24">
        <v>3.0</v>
      </c>
      <c r="J1694" s="24">
        <v>2.0</v>
      </c>
      <c r="K1694" s="23" t="s">
        <v>34</v>
      </c>
      <c r="L1694" s="25">
        <v>41025.57640046296</v>
      </c>
      <c r="M1694" s="28"/>
      <c r="N1694" s="26" t="s">
        <v>3447</v>
      </c>
      <c r="O1694" s="22" t="str">
        <f>HYPERLINK("https://pbs.twimg.com/profile_images/714804098890133504/cUO4gD1A_normal.jpg","View")</f>
        <v>View</v>
      </c>
      <c r="P1694" s="27"/>
    </row>
    <row r="1695">
      <c r="A1695" s="14">
        <v>43031.12594907408</v>
      </c>
      <c r="B1695" s="20" t="str">
        <f>HYPERLINK("https://twitter.com/zeeshan_shah_dc","@zeeshan_shah_dc")</f>
        <v>@zeeshan_shah_dc</v>
      </c>
      <c r="C1695" s="21" t="s">
        <v>4238</v>
      </c>
      <c r="D1695" s="21" t="s">
        <v>825</v>
      </c>
      <c r="E1695" s="22" t="str">
        <f>HYPERLINK("https://twitter.com/zeeshan_shah_dc/status/922402559448567808","922402559448567808")</f>
        <v>922402559448567808</v>
      </c>
      <c r="F1695" s="23" t="s">
        <v>39</v>
      </c>
      <c r="G1695" s="24">
        <v>2073.0</v>
      </c>
      <c r="H1695" s="24">
        <v>278.0</v>
      </c>
      <c r="I1695" s="24">
        <v>109.0</v>
      </c>
      <c r="J1695" s="24">
        <v>0.0</v>
      </c>
      <c r="K1695" s="23" t="s">
        <v>34</v>
      </c>
      <c r="L1695" s="25">
        <v>41057.880277777775</v>
      </c>
      <c r="M1695" s="26" t="s">
        <v>4239</v>
      </c>
      <c r="N1695" s="26" t="s">
        <v>4240</v>
      </c>
      <c r="O1695" s="22" t="str">
        <f>HYPERLINK("https://pbs.twimg.com/profile_images/915766155373170688/aHIu0lVW_normal.jpg","View")</f>
        <v>View</v>
      </c>
      <c r="P1695" s="27"/>
    </row>
    <row r="1696">
      <c r="A1696" s="14">
        <v>43031.12600694444</v>
      </c>
      <c r="B1696" s="20" t="str">
        <f>HYPERLINK("https://twitter.com/Orgetorix","@Orgetorix")</f>
        <v>@Orgetorix</v>
      </c>
      <c r="C1696" s="21" t="s">
        <v>3254</v>
      </c>
      <c r="D1696" s="21" t="s">
        <v>4241</v>
      </c>
      <c r="E1696" s="22" t="str">
        <f>HYPERLINK("https://twitter.com/Orgetorix/status/922402579572813824","922402579572813824")</f>
        <v>922402579572813824</v>
      </c>
      <c r="F1696" s="23" t="s">
        <v>55</v>
      </c>
      <c r="G1696" s="24">
        <v>3411.0</v>
      </c>
      <c r="H1696" s="24">
        <v>5001.0</v>
      </c>
      <c r="I1696" s="24">
        <v>0.0</v>
      </c>
      <c r="J1696" s="24">
        <v>0.0</v>
      </c>
      <c r="K1696" s="23" t="s">
        <v>34</v>
      </c>
      <c r="L1696" s="25">
        <v>39888.9191087963</v>
      </c>
      <c r="M1696" s="26" t="s">
        <v>40</v>
      </c>
      <c r="N1696" s="26" t="s">
        <v>3256</v>
      </c>
      <c r="O1696" s="22" t="str">
        <f>HYPERLINK("https://pbs.twimg.com/profile_images/3082717867/20845cf67d93f95a09bf879b63c61c74_normal.jpeg","View")</f>
        <v>View</v>
      </c>
      <c r="P1696" s="27"/>
    </row>
    <row r="1697">
      <c r="A1697" s="14">
        <v>43031.12630787037</v>
      </c>
      <c r="B1697" s="20" t="str">
        <f>HYPERLINK("https://twitter.com/Pramod1902","@Pramod1902")</f>
        <v>@Pramod1902</v>
      </c>
      <c r="C1697" s="21" t="s">
        <v>4242</v>
      </c>
      <c r="D1697" s="21" t="s">
        <v>163</v>
      </c>
      <c r="E1697" s="22" t="str">
        <f>HYPERLINK("https://twitter.com/Pramod1902/status/922402689761271809","922402689761271809")</f>
        <v>922402689761271809</v>
      </c>
      <c r="F1697" s="23" t="s">
        <v>33</v>
      </c>
      <c r="G1697" s="24">
        <v>398.0</v>
      </c>
      <c r="H1697" s="24">
        <v>239.0</v>
      </c>
      <c r="I1697" s="24">
        <v>1005.0</v>
      </c>
      <c r="J1697" s="24">
        <v>0.0</v>
      </c>
      <c r="K1697" s="23" t="s">
        <v>34</v>
      </c>
      <c r="L1697" s="25">
        <v>40479.02474537037</v>
      </c>
      <c r="M1697" s="26" t="s">
        <v>164</v>
      </c>
      <c r="N1697" s="26" t="s">
        <v>4243</v>
      </c>
      <c r="O1697" s="22" t="str">
        <f>HYPERLINK("https://pbs.twimg.com/profile_images/921715546613153793/Y-0AXWaX_normal.jpg","View")</f>
        <v>View</v>
      </c>
      <c r="P1697" s="27"/>
    </row>
    <row r="1698">
      <c r="A1698" s="14">
        <v>43031.12634259259</v>
      </c>
      <c r="B1698" s="20" t="str">
        <f>HYPERLINK("https://twitter.com/BloombergTV","@BloombergTV")</f>
        <v>@BloombergTV</v>
      </c>
      <c r="C1698" s="21" t="s">
        <v>1723</v>
      </c>
      <c r="D1698" s="21" t="s">
        <v>4244</v>
      </c>
      <c r="E1698" s="22" t="str">
        <f>HYPERLINK("https://twitter.com/BloombergTV/status/922402704550395904","922402704550395904")</f>
        <v>922402704550395904</v>
      </c>
      <c r="F1698" s="23" t="s">
        <v>1103</v>
      </c>
      <c r="G1698" s="24">
        <v>452743.0</v>
      </c>
      <c r="H1698" s="24">
        <v>458.0</v>
      </c>
      <c r="I1698" s="24">
        <v>3.0</v>
      </c>
      <c r="J1698" s="24">
        <v>0.0</v>
      </c>
      <c r="K1698" s="23" t="s">
        <v>34</v>
      </c>
      <c r="L1698" s="25">
        <v>39927.48997685185</v>
      </c>
      <c r="M1698" s="26" t="s">
        <v>389</v>
      </c>
      <c r="N1698" s="26" t="s">
        <v>1725</v>
      </c>
      <c r="O1698" s="22" t="str">
        <f>HYPERLINK("https://pbs.twimg.com/profile_images/714801760632770560/7My2hMBt_normal.jpg","View")</f>
        <v>View</v>
      </c>
      <c r="P1698" s="27"/>
    </row>
    <row r="1699">
      <c r="A1699" s="14">
        <v>43031.12640046296</v>
      </c>
      <c r="B1699" s="20" t="str">
        <f>HYPERLINK("https://twitter.com/azureverdefores","@azureverdefores")</f>
        <v>@azureverdefores</v>
      </c>
      <c r="C1699" s="21" t="s">
        <v>4245</v>
      </c>
      <c r="D1699" s="21" t="s">
        <v>760</v>
      </c>
      <c r="E1699" s="22" t="str">
        <f>HYPERLINK("https://twitter.com/azureverdefores/status/922402723680497664","922402723680497664")</f>
        <v>922402723680497664</v>
      </c>
      <c r="F1699" s="23" t="s">
        <v>39</v>
      </c>
      <c r="G1699" s="24">
        <v>4.0</v>
      </c>
      <c r="H1699" s="24">
        <v>14.0</v>
      </c>
      <c r="I1699" s="24">
        <v>62.0</v>
      </c>
      <c r="J1699" s="24">
        <v>0.0</v>
      </c>
      <c r="K1699" s="23" t="s">
        <v>34</v>
      </c>
      <c r="L1699" s="25">
        <v>42761.01505787037</v>
      </c>
      <c r="M1699" s="26" t="s">
        <v>3202</v>
      </c>
      <c r="N1699" s="28"/>
      <c r="O1699" s="22" t="str">
        <f>HYPERLINK("https://pbs.twimg.com/profile_images/824551953430695936/lY3_Z8ZG_normal.jpg","View")</f>
        <v>View</v>
      </c>
      <c r="P1699" s="27"/>
    </row>
    <row r="1700">
      <c r="A1700" s="14">
        <v>43031.12645833333</v>
      </c>
      <c r="B1700" s="20" t="str">
        <f>HYPERLINK("https://twitter.com/anjo2210","@anjo2210")</f>
        <v>@anjo2210</v>
      </c>
      <c r="C1700" s="21" t="s">
        <v>4246</v>
      </c>
      <c r="D1700" s="21" t="s">
        <v>42</v>
      </c>
      <c r="E1700" s="22" t="str">
        <f>HYPERLINK("https://twitter.com/anjo2210/status/922402746313056256","922402746313056256")</f>
        <v>922402746313056256</v>
      </c>
      <c r="F1700" s="23" t="s">
        <v>33</v>
      </c>
      <c r="G1700" s="24">
        <v>30.0</v>
      </c>
      <c r="H1700" s="24">
        <v>50.0</v>
      </c>
      <c r="I1700" s="24">
        <v>8501.0</v>
      </c>
      <c r="J1700" s="24">
        <v>0.0</v>
      </c>
      <c r="K1700" s="23" t="s">
        <v>34</v>
      </c>
      <c r="L1700" s="25">
        <v>40357.04854166666</v>
      </c>
      <c r="M1700" s="28"/>
      <c r="N1700" s="28"/>
      <c r="O1700" s="22" t="str">
        <f>HYPERLINK("https://pbs.twimg.com/profile_images/440701265421414401/OI2u2aAh_normal.jpeg","View")</f>
        <v>View</v>
      </c>
      <c r="P1700" s="27"/>
    </row>
    <row r="1701">
      <c r="A1701" s="14">
        <v>43031.1265625</v>
      </c>
      <c r="B1701" s="20" t="str">
        <f>HYPERLINK("https://twitter.com/3novices","@3novices")</f>
        <v>@3novices</v>
      </c>
      <c r="C1701" s="21" t="s">
        <v>4247</v>
      </c>
      <c r="D1701" s="21" t="s">
        <v>4248</v>
      </c>
      <c r="E1701" s="22" t="str">
        <f>HYPERLINK("https://twitter.com/3novices/status/922402781868232704","922402781868232704")</f>
        <v>922402781868232704</v>
      </c>
      <c r="F1701" s="23" t="s">
        <v>187</v>
      </c>
      <c r="G1701" s="24">
        <v>907.0</v>
      </c>
      <c r="H1701" s="24">
        <v>1121.0</v>
      </c>
      <c r="I1701" s="24">
        <v>0.0</v>
      </c>
      <c r="J1701" s="24">
        <v>0.0</v>
      </c>
      <c r="K1701" s="23" t="s">
        <v>34</v>
      </c>
      <c r="L1701" s="25">
        <v>41858.86174768519</v>
      </c>
      <c r="M1701" s="28"/>
      <c r="N1701" s="26" t="s">
        <v>4249</v>
      </c>
      <c r="O1701" s="22" t="str">
        <f>HYPERLINK("https://pbs.twimg.com/profile_images/497588842510053376/67AA7E5K_normal.jpeg","View")</f>
        <v>View</v>
      </c>
      <c r="P1701" s="27"/>
    </row>
    <row r="1702">
      <c r="A1702" s="14">
        <v>43031.12663194444</v>
      </c>
      <c r="B1702" s="20" t="str">
        <f>HYPERLINK("https://twitter.com/venksaiyan","@venksaiyan")</f>
        <v>@venksaiyan</v>
      </c>
      <c r="C1702" s="21" t="s">
        <v>4250</v>
      </c>
      <c r="D1702" s="21" t="s">
        <v>163</v>
      </c>
      <c r="E1702" s="22" t="str">
        <f>HYPERLINK("https://twitter.com/venksaiyan/status/922402807335890944","922402807335890944")</f>
        <v>922402807335890944</v>
      </c>
      <c r="F1702" s="23" t="s">
        <v>55</v>
      </c>
      <c r="G1702" s="24">
        <v>180.0</v>
      </c>
      <c r="H1702" s="24">
        <v>518.0</v>
      </c>
      <c r="I1702" s="24">
        <v>1005.0</v>
      </c>
      <c r="J1702" s="24">
        <v>0.0</v>
      </c>
      <c r="K1702" s="23" t="s">
        <v>34</v>
      </c>
      <c r="L1702" s="25">
        <v>41367.44097222222</v>
      </c>
      <c r="M1702" s="26" t="s">
        <v>1991</v>
      </c>
      <c r="N1702" s="26" t="s">
        <v>4251</v>
      </c>
      <c r="O1702" s="22" t="str">
        <f>HYPERLINK("https://pbs.twimg.com/profile_images/819942068256505856/iLFt87Pt_normal.jpg","View")</f>
        <v>View</v>
      </c>
      <c r="P1702" s="27"/>
    </row>
    <row r="1703">
      <c r="A1703" s="14">
        <v>43031.12671296296</v>
      </c>
      <c r="B1703" s="20" t="str">
        <f>HYPERLINK("https://twitter.com/Jaikritsingh7","@Jaikritsingh7")</f>
        <v>@Jaikritsingh7</v>
      </c>
      <c r="C1703" s="21" t="s">
        <v>4252</v>
      </c>
      <c r="D1703" s="21" t="s">
        <v>42</v>
      </c>
      <c r="E1703" s="22" t="str">
        <f>HYPERLINK("https://twitter.com/Jaikritsingh7/status/922402835630768128","922402835630768128")</f>
        <v>922402835630768128</v>
      </c>
      <c r="F1703" s="23" t="s">
        <v>33</v>
      </c>
      <c r="G1703" s="24">
        <v>76.0</v>
      </c>
      <c r="H1703" s="24">
        <v>530.0</v>
      </c>
      <c r="I1703" s="24">
        <v>8501.0</v>
      </c>
      <c r="J1703" s="24">
        <v>0.0</v>
      </c>
      <c r="K1703" s="23" t="s">
        <v>34</v>
      </c>
      <c r="L1703" s="25">
        <v>42861.63890046296</v>
      </c>
      <c r="M1703" s="26" t="s">
        <v>4253</v>
      </c>
      <c r="N1703" s="26" t="s">
        <v>4254</v>
      </c>
      <c r="O1703" s="22" t="str">
        <f>HYPERLINK("https://pbs.twimg.com/profile_images/861883950226182144/wzym0MaJ_normal.jpg","View")</f>
        <v>View</v>
      </c>
      <c r="P1703" s="27"/>
    </row>
    <row r="1704">
      <c r="A1704" s="14">
        <v>43031.12671296296</v>
      </c>
      <c r="B1704" s="20" t="str">
        <f>HYPERLINK("https://twitter.com/NAR","@NAR")</f>
        <v>@NAR</v>
      </c>
      <c r="C1704" s="21" t="s">
        <v>4255</v>
      </c>
      <c r="D1704" s="21" t="s">
        <v>4256</v>
      </c>
      <c r="E1704" s="22" t="str">
        <f>HYPERLINK("https://twitter.com/NAR/status/922402838851887104","922402838851887104")</f>
        <v>922402838851887104</v>
      </c>
      <c r="F1704" s="23" t="s">
        <v>4257</v>
      </c>
      <c r="G1704" s="24">
        <v>56998.0</v>
      </c>
      <c r="H1704" s="24">
        <v>23.0</v>
      </c>
      <c r="I1704" s="24">
        <v>3.0</v>
      </c>
      <c r="J1704" s="24">
        <v>4.0</v>
      </c>
      <c r="K1704" s="23" t="s">
        <v>34</v>
      </c>
      <c r="L1704" s="25">
        <v>40890.88686342593</v>
      </c>
      <c r="M1704" s="26" t="s">
        <v>923</v>
      </c>
      <c r="N1704" s="26" t="s">
        <v>4258</v>
      </c>
      <c r="O1704" s="22" t="str">
        <f>HYPERLINK("https://pbs.twimg.com/profile_images/669688096879841280/kyJYc3j-_normal.png","View")</f>
        <v>View</v>
      </c>
      <c r="P1704" s="27"/>
    </row>
    <row r="1705">
      <c r="A1705" s="14">
        <v>43031.12672453704</v>
      </c>
      <c r="B1705" s="20" t="str">
        <f>HYPERLINK("https://twitter.com/_silversmith","@_silversmith")</f>
        <v>@_silversmith</v>
      </c>
      <c r="C1705" s="21" t="s">
        <v>4259</v>
      </c>
      <c r="D1705" s="21" t="s">
        <v>4260</v>
      </c>
      <c r="E1705" s="22" t="str">
        <f>HYPERLINK("https://twitter.com/_silversmith/status/922402841842606081","922402841842606081")</f>
        <v>922402841842606081</v>
      </c>
      <c r="F1705" s="23" t="s">
        <v>39</v>
      </c>
      <c r="G1705" s="24">
        <v>2095.0</v>
      </c>
      <c r="H1705" s="24">
        <v>817.0</v>
      </c>
      <c r="I1705" s="24">
        <v>3.0</v>
      </c>
      <c r="J1705" s="24">
        <v>0.0</v>
      </c>
      <c r="K1705" s="23" t="s">
        <v>34</v>
      </c>
      <c r="L1705" s="25">
        <v>40295.33256944444</v>
      </c>
      <c r="M1705" s="26" t="s">
        <v>4261</v>
      </c>
      <c r="N1705" s="26" t="s">
        <v>4262</v>
      </c>
      <c r="O1705" s="22" t="str">
        <f>HYPERLINK("https://pbs.twimg.com/profile_images/3558219501/b73a7becd3ee44014917010c3d3c696d_normal.jpeg","View")</f>
        <v>View</v>
      </c>
      <c r="P1705" s="27"/>
    </row>
    <row r="1706">
      <c r="A1706" s="14">
        <v>43031.12677083333</v>
      </c>
      <c r="B1706" s="20" t="str">
        <f>HYPERLINK("https://twitter.com/Vickey09AkFan","@Vickey09AkFan")</f>
        <v>@Vickey09AkFan</v>
      </c>
      <c r="C1706" s="21" t="s">
        <v>4263</v>
      </c>
      <c r="D1706" s="21" t="s">
        <v>42</v>
      </c>
      <c r="E1706" s="22" t="str">
        <f>HYPERLINK("https://twitter.com/Vickey09AkFan/status/922402857545904128","922402857545904128")</f>
        <v>922402857545904128</v>
      </c>
      <c r="F1706" s="23" t="s">
        <v>33</v>
      </c>
      <c r="G1706" s="24">
        <v>1291.0</v>
      </c>
      <c r="H1706" s="24">
        <v>129.0</v>
      </c>
      <c r="I1706" s="24">
        <v>8501.0</v>
      </c>
      <c r="J1706" s="24">
        <v>0.0</v>
      </c>
      <c r="K1706" s="23" t="s">
        <v>34</v>
      </c>
      <c r="L1706" s="25">
        <v>41795.44771990741</v>
      </c>
      <c r="M1706" s="26" t="s">
        <v>3756</v>
      </c>
      <c r="N1706" s="26" t="s">
        <v>4264</v>
      </c>
      <c r="O1706" s="22" t="str">
        <f>HYPERLINK("https://pbs.twimg.com/profile_images/919805622626918401/J608bpZI_normal.jpg","View")</f>
        <v>View</v>
      </c>
      <c r="P1706" s="27"/>
    </row>
    <row r="1707">
      <c r="A1707" s="14">
        <v>43031.12684027778</v>
      </c>
      <c r="B1707" s="20" t="str">
        <f>HYPERLINK("https://twitter.com/Vijendra1Verma","@Vijendra1Verma")</f>
        <v>@Vijendra1Verma</v>
      </c>
      <c r="C1707" s="21" t="s">
        <v>4265</v>
      </c>
      <c r="D1707" s="21" t="s">
        <v>42</v>
      </c>
      <c r="E1707" s="22" t="str">
        <f>HYPERLINK("https://twitter.com/Vijendra1Verma/status/922402882787278849","922402882787278849")</f>
        <v>922402882787278849</v>
      </c>
      <c r="F1707" s="23" t="s">
        <v>230</v>
      </c>
      <c r="G1707" s="24">
        <v>856.0</v>
      </c>
      <c r="H1707" s="24">
        <v>2030.0</v>
      </c>
      <c r="I1707" s="24">
        <v>8501.0</v>
      </c>
      <c r="J1707" s="24">
        <v>0.0</v>
      </c>
      <c r="K1707" s="23" t="s">
        <v>34</v>
      </c>
      <c r="L1707" s="25">
        <v>41196.274513888886</v>
      </c>
      <c r="M1707" s="28"/>
      <c r="N1707" s="26" t="s">
        <v>4266</v>
      </c>
      <c r="O1707" s="22" t="str">
        <f>HYPERLINK("https://pbs.twimg.com/profile_images/627910011386081280/kylMOk4k_normal.jpg","View")</f>
        <v>View</v>
      </c>
      <c r="P1707" s="27"/>
    </row>
    <row r="1708">
      <c r="A1708" s="14">
        <v>43031.12684027778</v>
      </c>
      <c r="B1708" s="20" t="str">
        <f>HYPERLINK("https://twitter.com/OperationFear","@OperationFear")</f>
        <v>@OperationFear</v>
      </c>
      <c r="C1708" s="21" t="s">
        <v>4267</v>
      </c>
      <c r="D1708" s="21" t="s">
        <v>4268</v>
      </c>
      <c r="E1708" s="22" t="str">
        <f>HYPERLINK("https://twitter.com/OperationFear/status/922402883345281024","922402883345281024")</f>
        <v>922402883345281024</v>
      </c>
      <c r="F1708" s="23" t="s">
        <v>91</v>
      </c>
      <c r="G1708" s="24">
        <v>90.0</v>
      </c>
      <c r="H1708" s="24">
        <v>198.0</v>
      </c>
      <c r="I1708" s="24">
        <v>0.0</v>
      </c>
      <c r="J1708" s="24">
        <v>0.0</v>
      </c>
      <c r="K1708" s="23" t="s">
        <v>34</v>
      </c>
      <c r="L1708" s="25">
        <v>40062.11383101852</v>
      </c>
      <c r="M1708" s="26" t="s">
        <v>68</v>
      </c>
      <c r="N1708" s="26" t="s">
        <v>4269</v>
      </c>
      <c r="O1708" s="22" t="str">
        <f>HYPERLINK("https://pbs.twimg.com/profile_images/744089482819821568/aZ7YmGRy_normal.jpg","View")</f>
        <v>View</v>
      </c>
      <c r="P1708" s="27"/>
    </row>
    <row r="1709">
      <c r="A1709" s="14">
        <v>43031.12688657407</v>
      </c>
      <c r="B1709" s="20" t="str">
        <f>HYPERLINK("https://twitter.com/aniruddh_kewat","@aniruddh_kewat")</f>
        <v>@aniruddh_kewat</v>
      </c>
      <c r="C1709" s="21" t="s">
        <v>2043</v>
      </c>
      <c r="D1709" s="21" t="s">
        <v>3415</v>
      </c>
      <c r="E1709" s="22" t="str">
        <f>HYPERLINK("https://twitter.com/aniruddh_kewat/status/922402899329564672","922402899329564672")</f>
        <v>922402899329564672</v>
      </c>
      <c r="F1709" s="23" t="s">
        <v>33</v>
      </c>
      <c r="G1709" s="24">
        <v>210.0</v>
      </c>
      <c r="H1709" s="24">
        <v>263.0</v>
      </c>
      <c r="I1709" s="24">
        <v>3.0</v>
      </c>
      <c r="J1709" s="24">
        <v>0.0</v>
      </c>
      <c r="K1709" s="23" t="s">
        <v>34</v>
      </c>
      <c r="L1709" s="25">
        <v>41143.34274305555</v>
      </c>
      <c r="M1709" s="26" t="s">
        <v>2044</v>
      </c>
      <c r="N1709" s="28"/>
      <c r="O1709" s="22" t="str">
        <f>HYPERLINK("https://pbs.twimg.com/profile_images/917965235063001088/V817Cyqu_normal.jpg","View")</f>
        <v>View</v>
      </c>
      <c r="P1709" s="27"/>
    </row>
    <row r="1710">
      <c r="A1710" s="14">
        <v>43031.126909722225</v>
      </c>
      <c r="B1710" s="20" t="str">
        <f>HYPERLINK("https://twitter.com/Gabriel_Espana","@Gabriel_Espana")</f>
        <v>@Gabriel_Espana</v>
      </c>
      <c r="C1710" s="21" t="s">
        <v>4270</v>
      </c>
      <c r="D1710" s="21" t="s">
        <v>4271</v>
      </c>
      <c r="E1710" s="22" t="str">
        <f>HYPERLINK("https://twitter.com/Gabriel_Espana/status/922402910167863296","922402910167863296")</f>
        <v>922402910167863296</v>
      </c>
      <c r="F1710" s="23" t="s">
        <v>187</v>
      </c>
      <c r="G1710" s="24">
        <v>1323.0</v>
      </c>
      <c r="H1710" s="24">
        <v>2653.0</v>
      </c>
      <c r="I1710" s="24">
        <v>0.0</v>
      </c>
      <c r="J1710" s="24">
        <v>0.0</v>
      </c>
      <c r="K1710" s="23" t="s">
        <v>34</v>
      </c>
      <c r="L1710" s="25">
        <v>39930.30246527778</v>
      </c>
      <c r="M1710" s="26" t="s">
        <v>4225</v>
      </c>
      <c r="N1710" s="26" t="s">
        <v>4272</v>
      </c>
      <c r="O1710" s="22" t="str">
        <f>HYPERLINK("https://pbs.twimg.com/profile_images/782980312263434240/UkE9GrfP_normal.jpg","View")</f>
        <v>View</v>
      </c>
      <c r="P1710" s="27"/>
    </row>
    <row r="1711">
      <c r="A1711" s="14">
        <v>43031.12700231481</v>
      </c>
      <c r="B1711" s="20" t="str">
        <f>HYPERLINK("https://twitter.com/newslivenetwork","@newslivenetwork")</f>
        <v>@newslivenetwork</v>
      </c>
      <c r="C1711" s="21" t="s">
        <v>89</v>
      </c>
      <c r="D1711" s="21" t="s">
        <v>4273</v>
      </c>
      <c r="E1711" s="22" t="str">
        <f>HYPERLINK("https://twitter.com/newslivenetwork/status/922402940123602944","922402940123602944")</f>
        <v>922402940123602944</v>
      </c>
      <c r="F1711" s="23" t="s">
        <v>91</v>
      </c>
      <c r="G1711" s="24">
        <v>271.0</v>
      </c>
      <c r="H1711" s="24">
        <v>87.0</v>
      </c>
      <c r="I1711" s="24">
        <v>0.0</v>
      </c>
      <c r="J1711" s="24">
        <v>0.0</v>
      </c>
      <c r="K1711" s="23" t="s">
        <v>34</v>
      </c>
      <c r="L1711" s="25">
        <v>42741.47196759259</v>
      </c>
      <c r="M1711" s="26" t="s">
        <v>92</v>
      </c>
      <c r="N1711" s="26" t="s">
        <v>93</v>
      </c>
      <c r="O1711" s="22" t="str">
        <f>HYPERLINK("https://pbs.twimg.com/profile_images/877414144424660992/scfhocj3_normal.jpg","View")</f>
        <v>View</v>
      </c>
      <c r="P1711" s="27"/>
    </row>
    <row r="1712">
      <c r="A1712" s="14">
        <v>43031.12700231481</v>
      </c>
      <c r="B1712" s="20" t="str">
        <f>HYPERLINK("https://twitter.com/LesegoThinane","@LesegoThinane")</f>
        <v>@LesegoThinane</v>
      </c>
      <c r="C1712" s="21" t="s">
        <v>4197</v>
      </c>
      <c r="D1712" s="21" t="s">
        <v>42</v>
      </c>
      <c r="E1712" s="22" t="str">
        <f>HYPERLINK("https://twitter.com/LesegoThinane/status/922402943529340930","922402943529340930")</f>
        <v>922402943529340930</v>
      </c>
      <c r="F1712" s="23" t="s">
        <v>39</v>
      </c>
      <c r="G1712" s="24">
        <v>543.0</v>
      </c>
      <c r="H1712" s="24">
        <v>497.0</v>
      </c>
      <c r="I1712" s="24">
        <v>8501.0</v>
      </c>
      <c r="J1712" s="24">
        <v>0.0</v>
      </c>
      <c r="K1712" s="23" t="s">
        <v>34</v>
      </c>
      <c r="L1712" s="25">
        <v>40421.64204861111</v>
      </c>
      <c r="M1712" s="26" t="s">
        <v>4198</v>
      </c>
      <c r="N1712" s="26" t="s">
        <v>4199</v>
      </c>
      <c r="O1712" s="22" t="str">
        <f>HYPERLINK("https://pbs.twimg.com/profile_images/919275975581552646/3QuemXOS_normal.jpg","View")</f>
        <v>View</v>
      </c>
      <c r="P1712" s="27"/>
    </row>
    <row r="1713">
      <c r="A1713" s="14">
        <v>43031.127071759256</v>
      </c>
      <c r="B1713" s="20" t="str">
        <f>HYPERLINK("https://twitter.com/ABSingh00468472","@ABSingh00468472")</f>
        <v>@ABSingh00468472</v>
      </c>
      <c r="C1713" s="21" t="s">
        <v>4274</v>
      </c>
      <c r="D1713" s="21" t="s">
        <v>42</v>
      </c>
      <c r="E1713" s="22" t="str">
        <f>HYPERLINK("https://twitter.com/ABSingh00468472/status/922402969256988672","922402969256988672")</f>
        <v>922402969256988672</v>
      </c>
      <c r="F1713" s="23" t="s">
        <v>33</v>
      </c>
      <c r="G1713" s="24">
        <v>37.0</v>
      </c>
      <c r="H1713" s="24">
        <v>473.0</v>
      </c>
      <c r="I1713" s="24">
        <v>8501.0</v>
      </c>
      <c r="J1713" s="24">
        <v>0.0</v>
      </c>
      <c r="K1713" s="23" t="s">
        <v>34</v>
      </c>
      <c r="L1713" s="25">
        <v>43020.776226851856</v>
      </c>
      <c r="M1713" s="28"/>
      <c r="N1713" s="28"/>
      <c r="O1713" s="22" t="str">
        <f>HYPERLINK("https://pbs.twimg.com/profile_images/921003478662520833/wwvjjhyZ_normal.jpg","View")</f>
        <v>View</v>
      </c>
      <c r="P1713" s="27"/>
    </row>
    <row r="1714">
      <c r="A1714" s="14">
        <v>43031.127164351856</v>
      </c>
      <c r="B1714" s="20" t="str">
        <f>HYPERLINK("https://twitter.com/_MuzieB","@_MuzieB")</f>
        <v>@_MuzieB</v>
      </c>
      <c r="C1714" s="21" t="s">
        <v>4275</v>
      </c>
      <c r="D1714" s="21" t="s">
        <v>4276</v>
      </c>
      <c r="E1714" s="22" t="str">
        <f>HYPERLINK("https://twitter.com/_MuzieB/status/922403001343586307","922403001343586307")</f>
        <v>922403001343586307</v>
      </c>
      <c r="F1714" s="23" t="s">
        <v>33</v>
      </c>
      <c r="G1714" s="24">
        <v>6289.0</v>
      </c>
      <c r="H1714" s="24">
        <v>5538.0</v>
      </c>
      <c r="I1714" s="24">
        <v>17.0</v>
      </c>
      <c r="J1714" s="24">
        <v>0.0</v>
      </c>
      <c r="K1714" s="23" t="s">
        <v>34</v>
      </c>
      <c r="L1714" s="25">
        <v>42020.35949074074</v>
      </c>
      <c r="M1714" s="26" t="s">
        <v>4277</v>
      </c>
      <c r="N1714" s="26" t="s">
        <v>4278</v>
      </c>
      <c r="O1714" s="22" t="str">
        <f>HYPERLINK("https://pbs.twimg.com/profile_images/922943548487557120/C8H5eJPQ_normal.jpg","View")</f>
        <v>View</v>
      </c>
      <c r="P1714" s="27"/>
    </row>
    <row r="1715">
      <c r="A1715" s="14">
        <v>43031.127280092594</v>
      </c>
      <c r="B1715" s="20" t="str">
        <f>HYPERLINK("https://twitter.com/FallySomboNkhwa","@FallySomboNkhwa")</f>
        <v>@FallySomboNkhwa</v>
      </c>
      <c r="C1715" s="21" t="s">
        <v>4279</v>
      </c>
      <c r="D1715" s="21" t="s">
        <v>4280</v>
      </c>
      <c r="E1715" s="22" t="str">
        <f>HYPERLINK("https://twitter.com/FallySomboNkhwa/status/922403042225459200","922403042225459200")</f>
        <v>922403042225459200</v>
      </c>
      <c r="F1715" s="23" t="s">
        <v>187</v>
      </c>
      <c r="G1715" s="24">
        <v>406.0</v>
      </c>
      <c r="H1715" s="24">
        <v>2189.0</v>
      </c>
      <c r="I1715" s="24">
        <v>0.0</v>
      </c>
      <c r="J1715" s="24">
        <v>0.0</v>
      </c>
      <c r="K1715" s="23" t="s">
        <v>34</v>
      </c>
      <c r="L1715" s="25">
        <v>41551.82041666667</v>
      </c>
      <c r="M1715" s="26" t="s">
        <v>4281</v>
      </c>
      <c r="N1715" s="26" t="s">
        <v>4282</v>
      </c>
      <c r="O1715" s="22" t="str">
        <f>HYPERLINK("https://pbs.twimg.com/profile_images/543761133505503235/pKcg8bc2_normal.jpeg","View")</f>
        <v>View</v>
      </c>
      <c r="P1715" s="27"/>
    </row>
    <row r="1716">
      <c r="A1716" s="14">
        <v>43031.12734953704</v>
      </c>
      <c r="B1716" s="20" t="str">
        <f>HYPERLINK("https://twitter.com/LinkedInTutors","@LinkedInTutors")</f>
        <v>@LinkedInTutors</v>
      </c>
      <c r="C1716" s="21" t="s">
        <v>4283</v>
      </c>
      <c r="D1716" s="21" t="s">
        <v>4284</v>
      </c>
      <c r="E1716" s="22" t="str">
        <f>HYPERLINK("https://twitter.com/LinkedInTutors/status/922403066980241408","922403066980241408")</f>
        <v>922403066980241408</v>
      </c>
      <c r="F1716" s="23" t="s">
        <v>55</v>
      </c>
      <c r="G1716" s="24">
        <v>4479.0</v>
      </c>
      <c r="H1716" s="24">
        <v>4966.0</v>
      </c>
      <c r="I1716" s="24">
        <v>4.0</v>
      </c>
      <c r="J1716" s="24">
        <v>0.0</v>
      </c>
      <c r="K1716" s="23" t="s">
        <v>34</v>
      </c>
      <c r="L1716" s="25">
        <v>40350.02927083333</v>
      </c>
      <c r="M1716" s="26" t="s">
        <v>334</v>
      </c>
      <c r="N1716" s="26" t="s">
        <v>4285</v>
      </c>
      <c r="O1716" s="22" t="str">
        <f>HYPERLINK("https://pbs.twimg.com/profile_images/659015283592581120/wT5zieQL_normal.jpg","View")</f>
        <v>View</v>
      </c>
      <c r="P1716" s="27"/>
    </row>
    <row r="1717">
      <c r="A1717" s="14">
        <v>43031.12738425926</v>
      </c>
      <c r="B1717" s="20" t="str">
        <f>HYPERLINK("https://twitter.com/GopalPa87645244","@GopalPa87645244")</f>
        <v>@GopalPa87645244</v>
      </c>
      <c r="C1717" s="21" t="s">
        <v>4286</v>
      </c>
      <c r="D1717" s="21" t="s">
        <v>2861</v>
      </c>
      <c r="E1717" s="22" t="str">
        <f>HYPERLINK("https://twitter.com/GopalPa87645244/status/922403078619271168","922403078619271168")</f>
        <v>922403078619271168</v>
      </c>
      <c r="F1717" s="23" t="s">
        <v>33</v>
      </c>
      <c r="G1717" s="24">
        <v>76.0</v>
      </c>
      <c r="H1717" s="24">
        <v>331.0</v>
      </c>
      <c r="I1717" s="24">
        <v>40.0</v>
      </c>
      <c r="J1717" s="24">
        <v>0.0</v>
      </c>
      <c r="K1717" s="23" t="s">
        <v>34</v>
      </c>
      <c r="L1717" s="25">
        <v>42892.94690972222</v>
      </c>
      <c r="M1717" s="28"/>
      <c r="N1717" s="28"/>
      <c r="O1717" s="22" t="str">
        <f>HYPERLINK("https://pbs.twimg.com/profile_images/909271940128415744/C3qaQX5s_normal.jpg","View")</f>
        <v>View</v>
      </c>
      <c r="P1717" s="27"/>
    </row>
    <row r="1718">
      <c r="A1718" s="14">
        <v>43031.1274537037</v>
      </c>
      <c r="B1718" s="20" t="str">
        <f>HYPERLINK("https://twitter.com/NorthKorea_Newz","@NorthKorea_Newz")</f>
        <v>@NorthKorea_Newz</v>
      </c>
      <c r="C1718" s="21" t="s">
        <v>4287</v>
      </c>
      <c r="D1718" s="21" t="s">
        <v>4288</v>
      </c>
      <c r="E1718" s="22" t="str">
        <f>HYPERLINK("https://twitter.com/NorthKorea_Newz/status/922403104569659392","922403104569659392")</f>
        <v>922403104569659392</v>
      </c>
      <c r="F1718" s="23" t="s">
        <v>3884</v>
      </c>
      <c r="G1718" s="24">
        <v>3678.0</v>
      </c>
      <c r="H1718" s="24">
        <v>1938.0</v>
      </c>
      <c r="I1718" s="24">
        <v>1.0</v>
      </c>
      <c r="J1718" s="24">
        <v>1.0</v>
      </c>
      <c r="K1718" s="23" t="s">
        <v>34</v>
      </c>
      <c r="L1718" s="25">
        <v>42926.26702546296</v>
      </c>
      <c r="M1718" s="26" t="s">
        <v>2068</v>
      </c>
      <c r="N1718" s="26" t="s">
        <v>4289</v>
      </c>
      <c r="O1718" s="22" t="str">
        <f>HYPERLINK("https://pbs.twimg.com/profile_images/884405567611170820/vNHrPIXs_normal.jpg","View")</f>
        <v>View</v>
      </c>
      <c r="P1718" s="27"/>
    </row>
    <row r="1719">
      <c r="A1719" s="14">
        <v>43031.127488425926</v>
      </c>
      <c r="B1719" s="20" t="str">
        <f>HYPERLINK("https://twitter.com/patrikakis","@patrikakis")</f>
        <v>@patrikakis</v>
      </c>
      <c r="C1719" s="21" t="s">
        <v>4290</v>
      </c>
      <c r="D1719" s="21" t="s">
        <v>4291</v>
      </c>
      <c r="E1719" s="22" t="str">
        <f>HYPERLINK("https://twitter.com/patrikakis/status/922403119249657856","922403119249657856")</f>
        <v>922403119249657856</v>
      </c>
      <c r="F1719" s="23" t="s">
        <v>55</v>
      </c>
      <c r="G1719" s="24">
        <v>625.0</v>
      </c>
      <c r="H1719" s="24">
        <v>894.0</v>
      </c>
      <c r="I1719" s="24">
        <v>3.0</v>
      </c>
      <c r="J1719" s="24">
        <v>0.0</v>
      </c>
      <c r="K1719" s="23" t="s">
        <v>34</v>
      </c>
      <c r="L1719" s="25">
        <v>40641.252291666664</v>
      </c>
      <c r="M1719" s="26" t="s">
        <v>4292</v>
      </c>
      <c r="N1719" s="26" t="s">
        <v>4293</v>
      </c>
      <c r="O1719" s="22" t="str">
        <f>HYPERLINK("https://pbs.twimg.com/profile_images/750459861541027840/oGhj4BoF_normal.jpg","View")</f>
        <v>View</v>
      </c>
      <c r="P1719" s="27"/>
    </row>
    <row r="1720">
      <c r="A1720" s="14">
        <v>43031.12761574074</v>
      </c>
      <c r="B1720" s="20" t="str">
        <f>HYPERLINK("https://twitter.com/NorthKorea_Newz","@NorthKorea_Newz")</f>
        <v>@NorthKorea_Newz</v>
      </c>
      <c r="C1720" s="21" t="s">
        <v>4287</v>
      </c>
      <c r="D1720" s="21" t="s">
        <v>4294</v>
      </c>
      <c r="E1720" s="22" t="str">
        <f>HYPERLINK("https://twitter.com/NorthKorea_Newz/status/922403165126918144","922403165126918144")</f>
        <v>922403165126918144</v>
      </c>
      <c r="F1720" s="23" t="s">
        <v>3884</v>
      </c>
      <c r="G1720" s="24">
        <v>3678.0</v>
      </c>
      <c r="H1720" s="24">
        <v>1938.0</v>
      </c>
      <c r="I1720" s="24">
        <v>0.0</v>
      </c>
      <c r="J1720" s="24">
        <v>0.0</v>
      </c>
      <c r="K1720" s="23" t="s">
        <v>34</v>
      </c>
      <c r="L1720" s="25">
        <v>42926.26702546296</v>
      </c>
      <c r="M1720" s="26" t="s">
        <v>2068</v>
      </c>
      <c r="N1720" s="26" t="s">
        <v>4289</v>
      </c>
      <c r="O1720" s="22" t="str">
        <f>HYPERLINK("https://pbs.twimg.com/profile_images/884405567611170820/vNHrPIXs_normal.jpg","View")</f>
        <v>View</v>
      </c>
      <c r="P1720" s="27"/>
    </row>
    <row r="1721">
      <c r="A1721" s="14">
        <v>43031.12763888889</v>
      </c>
      <c r="B1721" s="20" t="str">
        <f>HYPERLINK("https://twitter.com/Marysblues","@Marysblues")</f>
        <v>@Marysblues</v>
      </c>
      <c r="C1721" s="21" t="s">
        <v>4295</v>
      </c>
      <c r="D1721" s="21" t="s">
        <v>4260</v>
      </c>
      <c r="E1721" s="22" t="str">
        <f>HYPERLINK("https://twitter.com/Marysblues/status/922403174945886208","922403174945886208")</f>
        <v>922403174945886208</v>
      </c>
      <c r="F1721" s="23" t="s">
        <v>230</v>
      </c>
      <c r="G1721" s="24">
        <v>1062.0</v>
      </c>
      <c r="H1721" s="24">
        <v>3622.0</v>
      </c>
      <c r="I1721" s="24">
        <v>3.0</v>
      </c>
      <c r="J1721" s="24">
        <v>0.0</v>
      </c>
      <c r="K1721" s="23" t="s">
        <v>34</v>
      </c>
      <c r="L1721" s="25">
        <v>39925.643900462965</v>
      </c>
      <c r="M1721" s="26" t="s">
        <v>4296</v>
      </c>
      <c r="N1721" s="26" t="s">
        <v>4297</v>
      </c>
      <c r="O1721" s="22" t="str">
        <f>HYPERLINK("https://pbs.twimg.com/profile_images/453831440166162432/ZJMobcvU_normal.jpeg","View")</f>
        <v>View</v>
      </c>
      <c r="P1721" s="27"/>
    </row>
    <row r="1722">
      <c r="A1722" s="14">
        <v>43031.12767361111</v>
      </c>
      <c r="B1722" s="20" t="str">
        <f>HYPERLINK("https://twitter.com/Aanchal02885715","@Aanchal02885715")</f>
        <v>@Aanchal02885715</v>
      </c>
      <c r="C1722" s="21" t="s">
        <v>4298</v>
      </c>
      <c r="D1722" s="21" t="s">
        <v>42</v>
      </c>
      <c r="E1722" s="22" t="str">
        <f>HYPERLINK("https://twitter.com/Aanchal02885715/status/922403183988686848","922403183988686848")</f>
        <v>922403183988686848</v>
      </c>
      <c r="F1722" s="23" t="s">
        <v>33</v>
      </c>
      <c r="G1722" s="24">
        <v>97.0</v>
      </c>
      <c r="H1722" s="24">
        <v>17.0</v>
      </c>
      <c r="I1722" s="24">
        <v>8501.0</v>
      </c>
      <c r="J1722" s="24">
        <v>0.0</v>
      </c>
      <c r="K1722" s="23" t="s">
        <v>34</v>
      </c>
      <c r="L1722" s="25">
        <v>42945.03347222222</v>
      </c>
      <c r="M1722" s="26" t="s">
        <v>4299</v>
      </c>
      <c r="N1722" s="26" t="s">
        <v>4300</v>
      </c>
      <c r="O1722" s="22" t="str">
        <f>HYPERLINK("https://pbs.twimg.com/profile_images/921731855094751232/I_liFh4E_normal.jpg","View")</f>
        <v>View</v>
      </c>
      <c r="P1722" s="27"/>
    </row>
    <row r="1723">
      <c r="A1723" s="14">
        <v>43031.12770833333</v>
      </c>
      <c r="B1723" s="20" t="str">
        <f>HYPERLINK("https://twitter.com/monkeyFr13nds","@monkeyFr13nds")</f>
        <v>@monkeyFr13nds</v>
      </c>
      <c r="C1723" s="21" t="s">
        <v>4301</v>
      </c>
      <c r="D1723" s="21" t="s">
        <v>2157</v>
      </c>
      <c r="E1723" s="22" t="str">
        <f>HYPERLINK("https://twitter.com/monkeyFr13nds/status/922403196865150976","922403196865150976")</f>
        <v>922403196865150976</v>
      </c>
      <c r="F1723" s="23" t="s">
        <v>39</v>
      </c>
      <c r="G1723" s="24">
        <v>143.0</v>
      </c>
      <c r="H1723" s="24">
        <v>260.0</v>
      </c>
      <c r="I1723" s="24">
        <v>12.0</v>
      </c>
      <c r="J1723" s="24">
        <v>0.0</v>
      </c>
      <c r="K1723" s="23" t="s">
        <v>34</v>
      </c>
      <c r="L1723" s="25">
        <v>40412.25780092592</v>
      </c>
      <c r="M1723" s="28"/>
      <c r="N1723" s="26" t="s">
        <v>4302</v>
      </c>
      <c r="O1723" s="22" t="str">
        <f>HYPERLINK("https://pbs.twimg.com/profile_images/681540839508578304/PoVSaB9b_normal.jpg","View")</f>
        <v>View</v>
      </c>
      <c r="P1723" s="27"/>
    </row>
    <row r="1724">
      <c r="A1724" s="14">
        <v>43031.127812499995</v>
      </c>
      <c r="B1724" s="20" t="str">
        <f>HYPERLINK("https://twitter.com/TopFiveTraders","@TopFiveTraders")</f>
        <v>@TopFiveTraders</v>
      </c>
      <c r="C1724" s="21" t="s">
        <v>1984</v>
      </c>
      <c r="D1724" s="21" t="s">
        <v>4303</v>
      </c>
      <c r="E1724" s="22" t="str">
        <f>HYPERLINK("https://twitter.com/TopFiveTraders/status/922403235490615297","922403235490615297")</f>
        <v>922403235490615297</v>
      </c>
      <c r="F1724" s="23" t="s">
        <v>187</v>
      </c>
      <c r="G1724" s="24">
        <v>8168.0</v>
      </c>
      <c r="H1724" s="24">
        <v>6711.0</v>
      </c>
      <c r="I1724" s="24">
        <v>0.0</v>
      </c>
      <c r="J1724" s="24">
        <v>0.0</v>
      </c>
      <c r="K1724" s="23" t="s">
        <v>34</v>
      </c>
      <c r="L1724" s="25">
        <v>41573.484201388885</v>
      </c>
      <c r="M1724" s="26" t="s">
        <v>1986</v>
      </c>
      <c r="N1724" s="26" t="s">
        <v>1987</v>
      </c>
      <c r="O1724" s="22" t="str">
        <f>HYPERLINK("https://pbs.twimg.com/profile_images/729113141444026370/hi202Ffp_normal.jpg","View")</f>
        <v>View</v>
      </c>
      <c r="P1724" s="27"/>
    </row>
    <row r="1725">
      <c r="A1725" s="14">
        <v>43031.12782407408</v>
      </c>
      <c r="B1725" s="20" t="str">
        <f>HYPERLINK("https://twitter.com/alt_media_today","@alt_media_today")</f>
        <v>@alt_media_today</v>
      </c>
      <c r="C1725" s="21" t="s">
        <v>4304</v>
      </c>
      <c r="D1725" s="21" t="s">
        <v>4305</v>
      </c>
      <c r="E1725" s="22" t="str">
        <f>HYPERLINK("https://twitter.com/alt_media_today/status/922403240104169472","922403240104169472")</f>
        <v>922403240104169472</v>
      </c>
      <c r="F1725" s="30" t="s">
        <v>411</v>
      </c>
      <c r="G1725" s="24">
        <v>8748.0</v>
      </c>
      <c r="H1725" s="24">
        <v>4962.0</v>
      </c>
      <c r="I1725" s="24">
        <v>0.0</v>
      </c>
      <c r="J1725" s="24">
        <v>0.0</v>
      </c>
      <c r="K1725" s="23" t="s">
        <v>34</v>
      </c>
      <c r="L1725" s="25">
        <v>42287.68697916667</v>
      </c>
      <c r="M1725" s="28"/>
      <c r="N1725" s="26" t="s">
        <v>4306</v>
      </c>
      <c r="O1725" s="22" t="str">
        <f>HYPERLINK("https://pbs.twimg.com/profile_images/652996185901260801/KqCtDZcN_normal.jpg","View")</f>
        <v>View</v>
      </c>
      <c r="P1725" s="27"/>
    </row>
    <row r="1726">
      <c r="A1726" s="14">
        <v>43031.12783564815</v>
      </c>
      <c r="B1726" s="20" t="str">
        <f>HYPERLINK("https://twitter.com/gp_theelixir","@gp_theelixir")</f>
        <v>@gp_theelixir</v>
      </c>
      <c r="C1726" s="21" t="s">
        <v>4307</v>
      </c>
      <c r="D1726" s="21" t="s">
        <v>42</v>
      </c>
      <c r="E1726" s="22" t="str">
        <f>HYPERLINK("https://twitter.com/gp_theelixir/status/922403244323749888","922403244323749888")</f>
        <v>922403244323749888</v>
      </c>
      <c r="F1726" s="23" t="s">
        <v>33</v>
      </c>
      <c r="G1726" s="24">
        <v>177.0</v>
      </c>
      <c r="H1726" s="24">
        <v>152.0</v>
      </c>
      <c r="I1726" s="24">
        <v>8501.0</v>
      </c>
      <c r="J1726" s="24">
        <v>0.0</v>
      </c>
      <c r="K1726" s="23" t="s">
        <v>34</v>
      </c>
      <c r="L1726" s="25">
        <v>40102.27207175926</v>
      </c>
      <c r="M1726" s="26" t="s">
        <v>1545</v>
      </c>
      <c r="N1726" s="28"/>
      <c r="O1726" s="22" t="str">
        <f>HYPERLINK("https://pbs.twimg.com/profile_images/474588070/Image003_normal.jpg","View")</f>
        <v>View</v>
      </c>
      <c r="P1726" s="27"/>
    </row>
    <row r="1727">
      <c r="A1727" s="14">
        <v>43031.127858796295</v>
      </c>
      <c r="B1727" s="20" t="str">
        <f>HYPERLINK("https://twitter.com/Santosh822124","@Santosh822124")</f>
        <v>@Santosh822124</v>
      </c>
      <c r="C1727" s="21" t="s">
        <v>4308</v>
      </c>
      <c r="D1727" s="21" t="s">
        <v>42</v>
      </c>
      <c r="E1727" s="22" t="str">
        <f>HYPERLINK("https://twitter.com/Santosh822124/status/922403254562045952","922403254562045952")</f>
        <v>922403254562045952</v>
      </c>
      <c r="F1727" s="23" t="s">
        <v>33</v>
      </c>
      <c r="G1727" s="24">
        <v>698.0</v>
      </c>
      <c r="H1727" s="24">
        <v>2770.0</v>
      </c>
      <c r="I1727" s="24">
        <v>8501.0</v>
      </c>
      <c r="J1727" s="24">
        <v>0.0</v>
      </c>
      <c r="K1727" s="23" t="s">
        <v>34</v>
      </c>
      <c r="L1727" s="25">
        <v>42984.078321759254</v>
      </c>
      <c r="M1727" s="26" t="s">
        <v>4309</v>
      </c>
      <c r="N1727" s="26" t="s">
        <v>4310</v>
      </c>
      <c r="O1727" s="22" t="str">
        <f>HYPERLINK("https://pbs.twimg.com/profile_images/920241355028234240/bSvkl5oj_normal.jpg","View")</f>
        <v>View</v>
      </c>
      <c r="P1727" s="27"/>
    </row>
    <row r="1728">
      <c r="A1728" s="14">
        <v>43031.127962962964</v>
      </c>
      <c r="B1728" s="20" t="str">
        <f>HYPERLINK("https://twitter.com/shubhamgadewar1","@shubhamgadewar1")</f>
        <v>@shubhamgadewar1</v>
      </c>
      <c r="C1728" s="21" t="s">
        <v>4311</v>
      </c>
      <c r="D1728" s="21" t="s">
        <v>42</v>
      </c>
      <c r="E1728" s="22" t="str">
        <f>HYPERLINK("https://twitter.com/shubhamgadewar1/status/922403291002167299","922403291002167299")</f>
        <v>922403291002167299</v>
      </c>
      <c r="F1728" s="23" t="s">
        <v>33</v>
      </c>
      <c r="G1728" s="24">
        <v>88.0</v>
      </c>
      <c r="H1728" s="24">
        <v>429.0</v>
      </c>
      <c r="I1728" s="24">
        <v>8501.0</v>
      </c>
      <c r="J1728" s="24">
        <v>0.0</v>
      </c>
      <c r="K1728" s="23" t="s">
        <v>34</v>
      </c>
      <c r="L1728" s="25">
        <v>42964.425150462965</v>
      </c>
      <c r="M1728" s="26" t="s">
        <v>4312</v>
      </c>
      <c r="N1728" s="26" t="s">
        <v>4313</v>
      </c>
      <c r="O1728" s="22" t="str">
        <f>HYPERLINK("https://pbs.twimg.com/profile_images/916489126353952768/lyxdhrMk_normal.jpg","View")</f>
        <v>View</v>
      </c>
      <c r="P1728" s="27"/>
    </row>
    <row r="1729">
      <c r="A1729" s="14">
        <v>43031.12799768518</v>
      </c>
      <c r="B1729" s="20" t="str">
        <f>HYPERLINK("https://twitter.com/bitubably","@bitubably")</f>
        <v>@bitubably</v>
      </c>
      <c r="C1729" s="21" t="s">
        <v>4314</v>
      </c>
      <c r="D1729" s="21" t="s">
        <v>42</v>
      </c>
      <c r="E1729" s="22" t="str">
        <f>HYPERLINK("https://twitter.com/bitubably/status/922403301202608130","922403301202608130")</f>
        <v>922403301202608130</v>
      </c>
      <c r="F1729" s="23" t="s">
        <v>33</v>
      </c>
      <c r="G1729" s="24">
        <v>25.0</v>
      </c>
      <c r="H1729" s="24">
        <v>192.0</v>
      </c>
      <c r="I1729" s="24">
        <v>8501.0</v>
      </c>
      <c r="J1729" s="24">
        <v>0.0</v>
      </c>
      <c r="K1729" s="23" t="s">
        <v>34</v>
      </c>
      <c r="L1729" s="25">
        <v>41210.15646990741</v>
      </c>
      <c r="M1729" s="26" t="s">
        <v>1189</v>
      </c>
      <c r="N1729" s="26" t="s">
        <v>4315</v>
      </c>
      <c r="O1729" s="22" t="str">
        <f>HYPERLINK("https://pbs.twimg.com/profile_images/757832615005081601/IG8XSuCI_normal.jpg","View")</f>
        <v>View</v>
      </c>
      <c r="P1729" s="27"/>
    </row>
    <row r="1730">
      <c r="A1730" s="14">
        <v>43031.12799768518</v>
      </c>
      <c r="B1730" s="20" t="str">
        <f>HYPERLINK("https://twitter.com/Drhssk","@Drhssk")</f>
        <v>@Drhssk</v>
      </c>
      <c r="C1730" s="21" t="s">
        <v>4316</v>
      </c>
      <c r="D1730" s="21" t="s">
        <v>42</v>
      </c>
      <c r="E1730" s="22" t="str">
        <f>HYPERLINK("https://twitter.com/Drhssk/status/922403304314769408","922403304314769408")</f>
        <v>922403304314769408</v>
      </c>
      <c r="F1730" s="23" t="s">
        <v>33</v>
      </c>
      <c r="G1730" s="24">
        <v>405.0</v>
      </c>
      <c r="H1730" s="24">
        <v>856.0</v>
      </c>
      <c r="I1730" s="24">
        <v>8501.0</v>
      </c>
      <c r="J1730" s="24">
        <v>0.0</v>
      </c>
      <c r="K1730" s="23" t="s">
        <v>34</v>
      </c>
      <c r="L1730" s="25">
        <v>40798.24694444444</v>
      </c>
      <c r="M1730" s="28"/>
      <c r="N1730" s="26" t="s">
        <v>4317</v>
      </c>
      <c r="O1730" s="22" t="str">
        <f>HYPERLINK("https://pbs.twimg.com/profile_images/2631042903/86292d01c34fcd130870b1d4fefef4d6_normal.jpeg","View")</f>
        <v>View</v>
      </c>
      <c r="P1730" s="27"/>
    </row>
    <row r="1731">
      <c r="A1731" s="14">
        <v>43031.12805555556</v>
      </c>
      <c r="B1731" s="20" t="str">
        <f>HYPERLINK("https://twitter.com/AxinteAurelian3","@AxinteAurelian3")</f>
        <v>@AxinteAurelian3</v>
      </c>
      <c r="C1731" s="21" t="s">
        <v>4318</v>
      </c>
      <c r="D1731" s="21" t="s">
        <v>4319</v>
      </c>
      <c r="E1731" s="22" t="str">
        <f>HYPERLINK("https://twitter.com/AxinteAurelian3/status/922403323793367045","922403323793367045")</f>
        <v>922403323793367045</v>
      </c>
      <c r="F1731" s="23" t="s">
        <v>55</v>
      </c>
      <c r="G1731" s="24">
        <v>14.0</v>
      </c>
      <c r="H1731" s="24">
        <v>72.0</v>
      </c>
      <c r="I1731" s="24">
        <v>0.0</v>
      </c>
      <c r="J1731" s="24">
        <v>0.0</v>
      </c>
      <c r="K1731" s="23" t="s">
        <v>34</v>
      </c>
      <c r="L1731" s="25">
        <v>42917.15402777778</v>
      </c>
      <c r="M1731" s="28"/>
      <c r="N1731" s="28"/>
      <c r="O1731" s="22" t="str">
        <f>HYPERLINK("https://abs.twimg.com/sticky/default_profile_images/default_profile_normal.png","View")</f>
        <v>View</v>
      </c>
      <c r="P1731" s="27"/>
    </row>
    <row r="1732">
      <c r="A1732" s="14">
        <v>43031.128182870365</v>
      </c>
      <c r="B1732" s="20" t="str">
        <f t="shared" ref="B1732:B1734" si="22">HYPERLINK("https://twitter.com/radioritson","@radioritson")</f>
        <v>@radioritson</v>
      </c>
      <c r="C1732" s="21" t="s">
        <v>4320</v>
      </c>
      <c r="D1732" s="21" t="s">
        <v>4321</v>
      </c>
      <c r="E1732" s="22" t="str">
        <f>HYPERLINK("https://twitter.com/radioritson/status/922403368219357184","922403368219357184")</f>
        <v>922403368219357184</v>
      </c>
      <c r="F1732" s="23" t="s">
        <v>55</v>
      </c>
      <c r="G1732" s="24">
        <v>254.0</v>
      </c>
      <c r="H1732" s="24">
        <v>211.0</v>
      </c>
      <c r="I1732" s="24">
        <v>0.0</v>
      </c>
      <c r="J1732" s="24">
        <v>0.0</v>
      </c>
      <c r="K1732" s="23" t="s">
        <v>34</v>
      </c>
      <c r="L1732" s="25">
        <v>41894.18077546296</v>
      </c>
      <c r="M1732" s="26" t="s">
        <v>4322</v>
      </c>
      <c r="N1732" s="26" t="s">
        <v>4323</v>
      </c>
      <c r="O1732" s="22" t="str">
        <f t="shared" ref="O1732:O1734" si="23">HYPERLINK("https://pbs.twimg.com/profile_images/511474563998158848/SZsoHT3x_normal.jpeg","View")</f>
        <v>View</v>
      </c>
      <c r="P1732" s="27"/>
    </row>
    <row r="1733">
      <c r="A1733" s="14">
        <v>43031.12822916667</v>
      </c>
      <c r="B1733" s="20" t="str">
        <f t="shared" si="22"/>
        <v>@radioritson</v>
      </c>
      <c r="C1733" s="21" t="s">
        <v>4320</v>
      </c>
      <c r="D1733" s="21" t="s">
        <v>4324</v>
      </c>
      <c r="E1733" s="22" t="str">
        <f>HYPERLINK("https://twitter.com/radioritson/status/922403387110514688","922403387110514688")</f>
        <v>922403387110514688</v>
      </c>
      <c r="F1733" s="23" t="s">
        <v>55</v>
      </c>
      <c r="G1733" s="24">
        <v>254.0</v>
      </c>
      <c r="H1733" s="24">
        <v>211.0</v>
      </c>
      <c r="I1733" s="24">
        <v>0.0</v>
      </c>
      <c r="J1733" s="24">
        <v>0.0</v>
      </c>
      <c r="K1733" s="23" t="s">
        <v>34</v>
      </c>
      <c r="L1733" s="25">
        <v>41894.18077546296</v>
      </c>
      <c r="M1733" s="26" t="s">
        <v>4322</v>
      </c>
      <c r="N1733" s="26" t="s">
        <v>4323</v>
      </c>
      <c r="O1733" s="22" t="str">
        <f t="shared" si="23"/>
        <v>View</v>
      </c>
      <c r="P1733" s="27"/>
    </row>
    <row r="1734">
      <c r="A1734" s="14">
        <v>43031.128287037034</v>
      </c>
      <c r="B1734" s="20" t="str">
        <f t="shared" si="22"/>
        <v>@radioritson</v>
      </c>
      <c r="C1734" s="21" t="s">
        <v>4320</v>
      </c>
      <c r="D1734" s="21" t="s">
        <v>4325</v>
      </c>
      <c r="E1734" s="22" t="str">
        <f>HYPERLINK("https://twitter.com/radioritson/status/922403406458834945","922403406458834945")</f>
        <v>922403406458834945</v>
      </c>
      <c r="F1734" s="23" t="s">
        <v>55</v>
      </c>
      <c r="G1734" s="24">
        <v>254.0</v>
      </c>
      <c r="H1734" s="24">
        <v>211.0</v>
      </c>
      <c r="I1734" s="24">
        <v>0.0</v>
      </c>
      <c r="J1734" s="24">
        <v>0.0</v>
      </c>
      <c r="K1734" s="23" t="s">
        <v>34</v>
      </c>
      <c r="L1734" s="25">
        <v>41894.18077546296</v>
      </c>
      <c r="M1734" s="26" t="s">
        <v>4322</v>
      </c>
      <c r="N1734" s="26" t="s">
        <v>4323</v>
      </c>
      <c r="O1734" s="22" t="str">
        <f t="shared" si="23"/>
        <v>View</v>
      </c>
      <c r="P1734" s="27"/>
    </row>
    <row r="1735">
      <c r="A1735" s="14">
        <v>43031.12831018519</v>
      </c>
      <c r="B1735" s="20" t="str">
        <f>HYPERLINK("https://twitter.com/yamatonohikari","@yamatonohikari")</f>
        <v>@yamatonohikari</v>
      </c>
      <c r="C1735" s="21" t="s">
        <v>4326</v>
      </c>
      <c r="D1735" s="21" t="s">
        <v>42</v>
      </c>
      <c r="E1735" s="22" t="str">
        <f>HYPERLINK("https://twitter.com/yamatonohikari/status/922403416428515328","922403416428515328")</f>
        <v>922403416428515328</v>
      </c>
      <c r="F1735" s="23" t="s">
        <v>33</v>
      </c>
      <c r="G1735" s="24">
        <v>2956.0</v>
      </c>
      <c r="H1735" s="24">
        <v>2844.0</v>
      </c>
      <c r="I1735" s="24">
        <v>8501.0</v>
      </c>
      <c r="J1735" s="24">
        <v>0.0</v>
      </c>
      <c r="K1735" s="23" t="s">
        <v>34</v>
      </c>
      <c r="L1735" s="25">
        <v>41262.33237268518</v>
      </c>
      <c r="M1735" s="26" t="s">
        <v>4327</v>
      </c>
      <c r="N1735" s="26" t="s">
        <v>4328</v>
      </c>
      <c r="O1735" s="22" t="str">
        <f>HYPERLINK("https://pbs.twimg.com/profile_images/615809892713000960/_4Dtzeuw_normal.jpg","View")</f>
        <v>View</v>
      </c>
      <c r="P1735" s="27"/>
    </row>
    <row r="1736">
      <c r="A1736" s="14">
        <v>43031.12847222222</v>
      </c>
      <c r="B1736" s="20" t="str">
        <f>HYPERLINK("https://twitter.com/BikashK02159532","@BikashK02159532")</f>
        <v>@BikashK02159532</v>
      </c>
      <c r="C1736" s="21" t="s">
        <v>4329</v>
      </c>
      <c r="D1736" s="21" t="s">
        <v>42</v>
      </c>
      <c r="E1736" s="22" t="str">
        <f>HYPERLINK("https://twitter.com/BikashK02159532/status/922403474125463553","922403474125463553")</f>
        <v>922403474125463553</v>
      </c>
      <c r="F1736" s="23" t="s">
        <v>33</v>
      </c>
      <c r="G1736" s="24">
        <v>13.0</v>
      </c>
      <c r="H1736" s="24">
        <v>217.0</v>
      </c>
      <c r="I1736" s="24">
        <v>8501.0</v>
      </c>
      <c r="J1736" s="24">
        <v>0.0</v>
      </c>
      <c r="K1736" s="23" t="s">
        <v>34</v>
      </c>
      <c r="L1736" s="25">
        <v>42972.138506944444</v>
      </c>
      <c r="M1736" s="26" t="s">
        <v>227</v>
      </c>
      <c r="N1736" s="28"/>
      <c r="O1736" s="22" t="str">
        <f>HYPERLINK("https://pbs.twimg.com/profile_images/916667932611977216/4D3MfMD9_normal.jpg","View")</f>
        <v>View</v>
      </c>
      <c r="P1736" s="27"/>
    </row>
    <row r="1737">
      <c r="A1737" s="14">
        <v>43031.12851851852</v>
      </c>
      <c r="B1737" s="20" t="str">
        <f>HYPERLINK("https://twitter.com/Prsharma495","@Prsharma495")</f>
        <v>@Prsharma495</v>
      </c>
      <c r="C1737" s="21" t="s">
        <v>4330</v>
      </c>
      <c r="D1737" s="21" t="s">
        <v>42</v>
      </c>
      <c r="E1737" s="22" t="str">
        <f>HYPERLINK("https://twitter.com/Prsharma495/status/922403491490009088","922403491490009088")</f>
        <v>922403491490009088</v>
      </c>
      <c r="F1737" s="23" t="s">
        <v>33</v>
      </c>
      <c r="G1737" s="24">
        <v>33.0</v>
      </c>
      <c r="H1737" s="24">
        <v>95.0</v>
      </c>
      <c r="I1737" s="24">
        <v>8501.0</v>
      </c>
      <c r="J1737" s="24">
        <v>0.0</v>
      </c>
      <c r="K1737" s="23" t="s">
        <v>34</v>
      </c>
      <c r="L1737" s="25">
        <v>40898.91283564815</v>
      </c>
      <c r="M1737" s="26" t="s">
        <v>4331</v>
      </c>
      <c r="N1737" s="28"/>
      <c r="O1737" s="22" t="str">
        <f>HYPERLINK("https://pbs.twimg.com/profile_images/918478624680013824/I9Qn1bR2_normal.jpg","View")</f>
        <v>View</v>
      </c>
      <c r="P1737" s="27"/>
    </row>
    <row r="1738">
      <c r="A1738" s="14">
        <v>43031.128530092596</v>
      </c>
      <c r="B1738" s="20" t="str">
        <f>HYPERLINK("https://twitter.com/samajweekly","@samajweekly")</f>
        <v>@samajweekly</v>
      </c>
      <c r="C1738" s="21" t="s">
        <v>4332</v>
      </c>
      <c r="D1738" s="21" t="s">
        <v>4333</v>
      </c>
      <c r="E1738" s="22" t="str">
        <f>HYPERLINK("https://twitter.com/samajweekly/status/922403496992710656","922403496992710656")</f>
        <v>922403496992710656</v>
      </c>
      <c r="F1738" s="23" t="s">
        <v>55</v>
      </c>
      <c r="G1738" s="24">
        <v>4887.0</v>
      </c>
      <c r="H1738" s="24">
        <v>3182.0</v>
      </c>
      <c r="I1738" s="24">
        <v>0.0</v>
      </c>
      <c r="J1738" s="24">
        <v>0.0</v>
      </c>
      <c r="K1738" s="23" t="s">
        <v>34</v>
      </c>
      <c r="L1738" s="25">
        <v>41551.07450231482</v>
      </c>
      <c r="M1738" s="26" t="s">
        <v>4334</v>
      </c>
      <c r="N1738" s="26" t="s">
        <v>4335</v>
      </c>
      <c r="O1738" s="22" t="str">
        <f>HYPERLINK("https://pbs.twimg.com/profile_images/664130652829327360/s9SwrDk8_normal.png","View")</f>
        <v>View</v>
      </c>
      <c r="P1738" s="27"/>
    </row>
    <row r="1739">
      <c r="A1739" s="14">
        <v>43031.12863425926</v>
      </c>
      <c r="B1739" s="20" t="str">
        <f>HYPERLINK("https://twitter.com/akshaychandorka","@akshaychandorka")</f>
        <v>@akshaychandorka</v>
      </c>
      <c r="C1739" s="21" t="s">
        <v>3620</v>
      </c>
      <c r="D1739" s="21" t="s">
        <v>463</v>
      </c>
      <c r="E1739" s="22" t="str">
        <f>HYPERLINK("https://twitter.com/akshaychandorka/status/922403532396830720","922403532396830720")</f>
        <v>922403532396830720</v>
      </c>
      <c r="F1739" s="23" t="s">
        <v>33</v>
      </c>
      <c r="G1739" s="24">
        <v>700.0</v>
      </c>
      <c r="H1739" s="24">
        <v>166.0</v>
      </c>
      <c r="I1739" s="24">
        <v>4.0</v>
      </c>
      <c r="J1739" s="24">
        <v>0.0</v>
      </c>
      <c r="K1739" s="23" t="s">
        <v>34</v>
      </c>
      <c r="L1739" s="25">
        <v>40780.131273148145</v>
      </c>
      <c r="M1739" s="28"/>
      <c r="N1739" s="28"/>
      <c r="O1739" s="22" t="str">
        <f>HYPERLINK("https://pbs.twimg.com/profile_images/900599926819704832/AgzQHIYg_normal.jpg","View")</f>
        <v>View</v>
      </c>
      <c r="P1739" s="27"/>
    </row>
    <row r="1740">
      <c r="A1740" s="14">
        <v>43031.12868055556</v>
      </c>
      <c r="B1740" s="20" t="str">
        <f>HYPERLINK("https://twitter.com/TFTCS","@TFTCS")</f>
        <v>@TFTCS</v>
      </c>
      <c r="C1740" s="21" t="s">
        <v>1851</v>
      </c>
      <c r="D1740" s="21" t="s">
        <v>4336</v>
      </c>
      <c r="E1740" s="22" t="str">
        <f>HYPERLINK("https://twitter.com/TFTCS/status/922403549472010241","922403549472010241")</f>
        <v>922403549472010241</v>
      </c>
      <c r="F1740" s="23" t="s">
        <v>187</v>
      </c>
      <c r="G1740" s="24">
        <v>4389.0</v>
      </c>
      <c r="H1740" s="24">
        <v>4555.0</v>
      </c>
      <c r="I1740" s="24">
        <v>0.0</v>
      </c>
      <c r="J1740" s="24">
        <v>0.0</v>
      </c>
      <c r="K1740" s="23" t="s">
        <v>34</v>
      </c>
      <c r="L1740" s="25">
        <v>41868.76810185185</v>
      </c>
      <c r="M1740" s="26" t="s">
        <v>1853</v>
      </c>
      <c r="N1740" s="26" t="s">
        <v>1854</v>
      </c>
      <c r="O1740" s="22" t="str">
        <f>HYPERLINK("https://pbs.twimg.com/profile_images/736027772800368640/DdLGgNNU_normal.jpg","View")</f>
        <v>View</v>
      </c>
      <c r="P1740" s="27"/>
    </row>
    <row r="1741">
      <c r="A1741" s="14">
        <v>43031.12869212963</v>
      </c>
      <c r="B1741" s="20" t="str">
        <f>HYPERLINK("https://twitter.com/aryajyotirmay","@aryajyotirmay")</f>
        <v>@aryajyotirmay</v>
      </c>
      <c r="C1741" s="21" t="s">
        <v>4337</v>
      </c>
      <c r="D1741" s="21" t="s">
        <v>42</v>
      </c>
      <c r="E1741" s="22" t="str">
        <f>HYPERLINK("https://twitter.com/aryajyotirmay/status/922403555855695873","922403555855695873")</f>
        <v>922403555855695873</v>
      </c>
      <c r="F1741" s="23" t="s">
        <v>33</v>
      </c>
      <c r="G1741" s="24">
        <v>1416.0</v>
      </c>
      <c r="H1741" s="24">
        <v>1156.0</v>
      </c>
      <c r="I1741" s="24">
        <v>8501.0</v>
      </c>
      <c r="J1741" s="24">
        <v>0.0</v>
      </c>
      <c r="K1741" s="23" t="s">
        <v>34</v>
      </c>
      <c r="L1741" s="25">
        <v>40724.39519675926</v>
      </c>
      <c r="M1741" s="26" t="s">
        <v>4338</v>
      </c>
      <c r="N1741" s="26" t="s">
        <v>4339</v>
      </c>
      <c r="O1741" s="22" t="str">
        <f>HYPERLINK("https://pbs.twimg.com/profile_images/818808435793952768/Mfy6XErL_normal.jpg","View")</f>
        <v>View</v>
      </c>
      <c r="P1741" s="27"/>
    </row>
    <row r="1742">
      <c r="A1742" s="14">
        <v>43031.128807870366</v>
      </c>
      <c r="B1742" s="20" t="str">
        <f>HYPERLINK("https://twitter.com/dragon_i175","@dragon_i175")</f>
        <v>@dragon_i175</v>
      </c>
      <c r="C1742" s="21" t="s">
        <v>4340</v>
      </c>
      <c r="D1742" s="21" t="s">
        <v>42</v>
      </c>
      <c r="E1742" s="22" t="str">
        <f>HYPERLINK("https://twitter.com/dragon_i175/status/922403598381727745","922403598381727745")</f>
        <v>922403598381727745</v>
      </c>
      <c r="F1742" s="23" t="s">
        <v>33</v>
      </c>
      <c r="G1742" s="24">
        <v>2675.0</v>
      </c>
      <c r="H1742" s="24">
        <v>3164.0</v>
      </c>
      <c r="I1742" s="24">
        <v>8501.0</v>
      </c>
      <c r="J1742" s="24">
        <v>0.0</v>
      </c>
      <c r="K1742" s="23" t="s">
        <v>34</v>
      </c>
      <c r="L1742" s="25">
        <v>42033.86965277778</v>
      </c>
      <c r="M1742" s="28"/>
      <c r="N1742" s="26" t="s">
        <v>4341</v>
      </c>
      <c r="O1742" s="22" t="str">
        <f>HYPERLINK("https://pbs.twimg.com/profile_images/566117505244999680/DDMnsz4J_normal.jpeg","View")</f>
        <v>View</v>
      </c>
      <c r="P1742" s="27"/>
    </row>
    <row r="1743">
      <c r="A1743" s="14">
        <v>43031.12887731481</v>
      </c>
      <c r="B1743" s="20" t="str">
        <f>HYPERLINK("https://twitter.com/jmhamiltonblog","@jmhamiltonblog")</f>
        <v>@jmhamiltonblog</v>
      </c>
      <c r="C1743" s="21" t="s">
        <v>3858</v>
      </c>
      <c r="D1743" s="21" t="s">
        <v>67</v>
      </c>
      <c r="E1743" s="22" t="str">
        <f>HYPERLINK("https://twitter.com/jmhamiltonblog/status/922403623656706049","922403623656706049")</f>
        <v>922403623656706049</v>
      </c>
      <c r="F1743" s="23" t="s">
        <v>55</v>
      </c>
      <c r="G1743" s="24">
        <v>5966.0</v>
      </c>
      <c r="H1743" s="24">
        <v>5477.0</v>
      </c>
      <c r="I1743" s="24">
        <v>169.0</v>
      </c>
      <c r="J1743" s="24">
        <v>0.0</v>
      </c>
      <c r="K1743" s="23" t="s">
        <v>34</v>
      </c>
      <c r="L1743" s="25">
        <v>40565.48446759259</v>
      </c>
      <c r="M1743" s="26" t="s">
        <v>3860</v>
      </c>
      <c r="N1743" s="26" t="s">
        <v>3861</v>
      </c>
      <c r="O1743" s="22" t="str">
        <f>HYPERLINK("https://pbs.twimg.com/profile_images/1261161568/Camera_Phone_009_normal.jpg","View")</f>
        <v>View</v>
      </c>
      <c r="P1743" s="27"/>
    </row>
    <row r="1744">
      <c r="A1744" s="14">
        <v>43031.12903935185</v>
      </c>
      <c r="B1744" s="20" t="str">
        <f>HYPERLINK("https://twitter.com/DaleTuggy","@DaleTuggy")</f>
        <v>@DaleTuggy</v>
      </c>
      <c r="C1744" s="21" t="s">
        <v>4342</v>
      </c>
      <c r="D1744" s="21" t="s">
        <v>4343</v>
      </c>
      <c r="E1744" s="22" t="str">
        <f>HYPERLINK("https://twitter.com/DaleTuggy/status/922403681508700161","922403681508700161")</f>
        <v>922403681508700161</v>
      </c>
      <c r="F1744" s="23" t="s">
        <v>55</v>
      </c>
      <c r="G1744" s="24">
        <v>612.0</v>
      </c>
      <c r="H1744" s="24">
        <v>890.0</v>
      </c>
      <c r="I1744" s="24">
        <v>2.0</v>
      </c>
      <c r="J1744" s="24">
        <v>0.0</v>
      </c>
      <c r="K1744" s="23" t="s">
        <v>34</v>
      </c>
      <c r="L1744" s="25">
        <v>42017.434432870374</v>
      </c>
      <c r="M1744" s="26" t="s">
        <v>4344</v>
      </c>
      <c r="N1744" s="26" t="s">
        <v>4345</v>
      </c>
      <c r="O1744" s="22" t="str">
        <f>HYPERLINK("https://pbs.twimg.com/profile_images/555069480359841792/kzOqFsLI_normal.png","View")</f>
        <v>View</v>
      </c>
      <c r="P1744" s="27"/>
    </row>
    <row r="1745">
      <c r="A1745" s="14">
        <v>43031.12912037037</v>
      </c>
      <c r="B1745" s="20" t="str">
        <f>HYPERLINK("https://twitter.com/Kyu_Batau","@Kyu_Batau")</f>
        <v>@Kyu_Batau</v>
      </c>
      <c r="C1745" s="21" t="s">
        <v>4346</v>
      </c>
      <c r="D1745" s="21" t="s">
        <v>163</v>
      </c>
      <c r="E1745" s="22" t="str">
        <f>HYPERLINK("https://twitter.com/Kyu_Batau/status/922403708947664898","922403708947664898")</f>
        <v>922403708947664898</v>
      </c>
      <c r="F1745" s="23" t="s">
        <v>33</v>
      </c>
      <c r="G1745" s="24">
        <v>204.0</v>
      </c>
      <c r="H1745" s="24">
        <v>524.0</v>
      </c>
      <c r="I1745" s="24">
        <v>1005.0</v>
      </c>
      <c r="J1745" s="24">
        <v>0.0</v>
      </c>
      <c r="K1745" s="23" t="s">
        <v>34</v>
      </c>
      <c r="L1745" s="25">
        <v>42334.269537037035</v>
      </c>
      <c r="M1745" s="28"/>
      <c r="N1745" s="28"/>
      <c r="O1745" s="22" t="str">
        <f>HYPERLINK("https://pbs.twimg.com/profile_images/706524169828077568/B3l9cvdF_normal.jpg","View")</f>
        <v>View</v>
      </c>
      <c r="P1745" s="27"/>
    </row>
    <row r="1746">
      <c r="A1746" s="14">
        <v>43031.12917824074</v>
      </c>
      <c r="B1746" s="20" t="str">
        <f>HYPERLINK("https://twitter.com/Pramod1902","@Pramod1902")</f>
        <v>@Pramod1902</v>
      </c>
      <c r="C1746" s="21" t="s">
        <v>4242</v>
      </c>
      <c r="D1746" s="21" t="s">
        <v>42</v>
      </c>
      <c r="E1746" s="22" t="str">
        <f>HYPERLINK("https://twitter.com/Pramod1902/status/922403729688502272","922403729688502272")</f>
        <v>922403729688502272</v>
      </c>
      <c r="F1746" s="23" t="s">
        <v>33</v>
      </c>
      <c r="G1746" s="24">
        <v>398.0</v>
      </c>
      <c r="H1746" s="24">
        <v>239.0</v>
      </c>
      <c r="I1746" s="24">
        <v>8501.0</v>
      </c>
      <c r="J1746" s="24">
        <v>0.0</v>
      </c>
      <c r="K1746" s="23" t="s">
        <v>34</v>
      </c>
      <c r="L1746" s="25">
        <v>40479.02474537037</v>
      </c>
      <c r="M1746" s="26" t="s">
        <v>164</v>
      </c>
      <c r="N1746" s="26" t="s">
        <v>4243</v>
      </c>
      <c r="O1746" s="22" t="str">
        <f>HYPERLINK("https://pbs.twimg.com/profile_images/921715546613153793/Y-0AXWaX_normal.jpg","View")</f>
        <v>View</v>
      </c>
      <c r="P1746" s="27"/>
    </row>
    <row r="1747">
      <c r="A1747" s="14">
        <v>43031.12920138889</v>
      </c>
      <c r="B1747" s="20" t="str">
        <f>HYPERLINK("https://twitter.com/JohnnyGad","@JohnnyGad")</f>
        <v>@JohnnyGad</v>
      </c>
      <c r="C1747" s="21" t="s">
        <v>4347</v>
      </c>
      <c r="D1747" s="21" t="s">
        <v>42</v>
      </c>
      <c r="E1747" s="22" t="str">
        <f>HYPERLINK("https://twitter.com/JohnnyGad/status/922403737825611776","922403737825611776")</f>
        <v>922403737825611776</v>
      </c>
      <c r="F1747" s="23" t="s">
        <v>33</v>
      </c>
      <c r="G1747" s="24">
        <v>215.0</v>
      </c>
      <c r="H1747" s="24">
        <v>134.0</v>
      </c>
      <c r="I1747" s="24">
        <v>8501.0</v>
      </c>
      <c r="J1747" s="24">
        <v>0.0</v>
      </c>
      <c r="K1747" s="23" t="s">
        <v>34</v>
      </c>
      <c r="L1747" s="25">
        <v>39841.64377314815</v>
      </c>
      <c r="M1747" s="26" t="s">
        <v>3604</v>
      </c>
      <c r="N1747" s="28"/>
      <c r="O1747" s="22" t="str">
        <f>HYPERLINK("https://pbs.twimg.com/profile_images/759177957873029120/Km82uX7Y_normal.jpg","View")</f>
        <v>View</v>
      </c>
      <c r="P1747" s="27"/>
    </row>
    <row r="1748">
      <c r="A1748" s="14">
        <v>43031.12929398148</v>
      </c>
      <c r="B1748" s="20" t="str">
        <f>HYPERLINK("https://twitter.com/MyAlliesNews","@MyAlliesNews")</f>
        <v>@MyAlliesNews</v>
      </c>
      <c r="C1748" s="21" t="s">
        <v>253</v>
      </c>
      <c r="D1748" s="21" t="s">
        <v>4348</v>
      </c>
      <c r="E1748" s="22" t="str">
        <f>HYPERLINK("https://twitter.com/MyAlliesNews/status/922403774668398592","922403774668398592")</f>
        <v>922403774668398592</v>
      </c>
      <c r="F1748" s="23" t="s">
        <v>255</v>
      </c>
      <c r="G1748" s="24">
        <v>569.0</v>
      </c>
      <c r="H1748" s="24">
        <v>0.0</v>
      </c>
      <c r="I1748" s="24">
        <v>0.0</v>
      </c>
      <c r="J1748" s="24">
        <v>0.0</v>
      </c>
      <c r="K1748" s="23" t="s">
        <v>34</v>
      </c>
      <c r="L1748" s="25">
        <v>41717.317083333335</v>
      </c>
      <c r="M1748" s="28"/>
      <c r="N1748" s="26" t="s">
        <v>256</v>
      </c>
      <c r="O1748" s="22" t="str">
        <f>HYPERLINK("https://pbs.twimg.com/profile_images/577892873095401473/dP2JPlyp_normal.png","View")</f>
        <v>View</v>
      </c>
      <c r="P1748" s="27"/>
    </row>
    <row r="1749">
      <c r="A1749" s="14">
        <v>43031.12930555556</v>
      </c>
      <c r="B1749" s="20" t="str">
        <f>HYPERLINK("https://twitter.com/PareshPVyas1","@PareshPVyas1")</f>
        <v>@PareshPVyas1</v>
      </c>
      <c r="C1749" s="21" t="s">
        <v>4349</v>
      </c>
      <c r="D1749" s="21" t="s">
        <v>42</v>
      </c>
      <c r="E1749" s="22" t="str">
        <f>HYPERLINK("https://twitter.com/PareshPVyas1/status/922403776337555456","922403776337555456")</f>
        <v>922403776337555456</v>
      </c>
      <c r="F1749" s="23" t="s">
        <v>33</v>
      </c>
      <c r="G1749" s="24">
        <v>18.0</v>
      </c>
      <c r="H1749" s="24">
        <v>115.0</v>
      </c>
      <c r="I1749" s="24">
        <v>8501.0</v>
      </c>
      <c r="J1749" s="24">
        <v>0.0</v>
      </c>
      <c r="K1749" s="23" t="s">
        <v>34</v>
      </c>
      <c r="L1749" s="25">
        <v>42994.4092824074</v>
      </c>
      <c r="M1749" s="28"/>
      <c r="N1749" s="28"/>
      <c r="O1749" s="22" t="str">
        <f>HYPERLINK("https://abs.twimg.com/sticky/default_profile_images/default_profile_normal.png","View")</f>
        <v>View</v>
      </c>
      <c r="P1749" s="27"/>
    </row>
    <row r="1750">
      <c r="A1750" s="14">
        <v>43031.12930555556</v>
      </c>
      <c r="B1750" s="20" t="str">
        <f>HYPERLINK("https://twitter.com/dr77s","@dr77s")</f>
        <v>@dr77s</v>
      </c>
      <c r="C1750" s="21" t="s">
        <v>4350</v>
      </c>
      <c r="D1750" s="21" t="s">
        <v>42</v>
      </c>
      <c r="E1750" s="22" t="str">
        <f>HYPERLINK("https://twitter.com/dr77s/status/922403776950026240","922403776950026240")</f>
        <v>922403776950026240</v>
      </c>
      <c r="F1750" s="23" t="s">
        <v>33</v>
      </c>
      <c r="G1750" s="24">
        <v>196.0</v>
      </c>
      <c r="H1750" s="24">
        <v>1687.0</v>
      </c>
      <c r="I1750" s="24">
        <v>8501.0</v>
      </c>
      <c r="J1750" s="24">
        <v>0.0</v>
      </c>
      <c r="K1750" s="23" t="s">
        <v>34</v>
      </c>
      <c r="L1750" s="25">
        <v>42964.70637731481</v>
      </c>
      <c r="M1750" s="26" t="s">
        <v>603</v>
      </c>
      <c r="N1750" s="26" t="s">
        <v>4351</v>
      </c>
      <c r="O1750" s="22" t="str">
        <f>HYPERLINK("https://pbs.twimg.com/profile_images/903541181438582784/Qii3cwAn_normal.jpg","View")</f>
        <v>View</v>
      </c>
      <c r="P1750" s="27"/>
    </row>
    <row r="1751">
      <c r="A1751" s="14">
        <v>43031.12938657407</v>
      </c>
      <c r="B1751" s="20" t="str">
        <f>HYPERLINK("https://twitter.com/upmanyuharshwal","@upmanyuharshwal")</f>
        <v>@upmanyuharshwal</v>
      </c>
      <c r="C1751" s="21" t="s">
        <v>4352</v>
      </c>
      <c r="D1751" s="21" t="s">
        <v>42</v>
      </c>
      <c r="E1751" s="22" t="str">
        <f>HYPERLINK("https://twitter.com/upmanyuharshwal/status/922403805882228736","922403805882228736")</f>
        <v>922403805882228736</v>
      </c>
      <c r="F1751" s="23" t="s">
        <v>33</v>
      </c>
      <c r="G1751" s="24">
        <v>75.0</v>
      </c>
      <c r="H1751" s="24">
        <v>57.0</v>
      </c>
      <c r="I1751" s="24">
        <v>8501.0</v>
      </c>
      <c r="J1751" s="24">
        <v>0.0</v>
      </c>
      <c r="K1751" s="23" t="s">
        <v>34</v>
      </c>
      <c r="L1751" s="25">
        <v>42725.81489583333</v>
      </c>
      <c r="M1751" s="26" t="s">
        <v>2189</v>
      </c>
      <c r="N1751" s="26" t="s">
        <v>4353</v>
      </c>
      <c r="O1751" s="22" t="str">
        <f>HYPERLINK("https://pbs.twimg.com/profile_images/904241391336734721/NIHlWFS0_normal.jpg","View")</f>
        <v>View</v>
      </c>
      <c r="P1751" s="27"/>
    </row>
    <row r="1752">
      <c r="A1752" s="14">
        <v>43031.12946759259</v>
      </c>
      <c r="B1752" s="20" t="str">
        <f>HYPERLINK("https://twitter.com/tigers485","@tigers485")</f>
        <v>@tigers485</v>
      </c>
      <c r="C1752" s="21" t="s">
        <v>4354</v>
      </c>
      <c r="D1752" s="21" t="s">
        <v>42</v>
      </c>
      <c r="E1752" s="22" t="str">
        <f>HYPERLINK("https://twitter.com/tigers485/status/922403834986504192","922403834986504192")</f>
        <v>922403834986504192</v>
      </c>
      <c r="F1752" s="23" t="s">
        <v>39</v>
      </c>
      <c r="G1752" s="24">
        <v>74.0</v>
      </c>
      <c r="H1752" s="24">
        <v>51.0</v>
      </c>
      <c r="I1752" s="24">
        <v>8501.0</v>
      </c>
      <c r="J1752" s="24">
        <v>0.0</v>
      </c>
      <c r="K1752" s="23" t="s">
        <v>34</v>
      </c>
      <c r="L1752" s="25">
        <v>41278.81363425926</v>
      </c>
      <c r="M1752" s="28"/>
      <c r="N1752" s="28"/>
      <c r="O1752" s="22" t="str">
        <f>HYPERLINK("https://pbs.twimg.com/profile_images/487652182192173056/iZWh9yZW_normal.jpeg","View")</f>
        <v>View</v>
      </c>
      <c r="P1752" s="27"/>
    </row>
    <row r="1753">
      <c r="A1753" s="14">
        <v>43031.12950231481</v>
      </c>
      <c r="B1753" s="20" t="str">
        <f>HYPERLINK("https://twitter.com/shrikantg199","@shrikantg199")</f>
        <v>@shrikantg199</v>
      </c>
      <c r="C1753" s="21" t="s">
        <v>4355</v>
      </c>
      <c r="D1753" s="21" t="s">
        <v>42</v>
      </c>
      <c r="E1753" s="22" t="str">
        <f>HYPERLINK("https://twitter.com/shrikantg199/status/922403849368846336","922403849368846336")</f>
        <v>922403849368846336</v>
      </c>
      <c r="F1753" s="23" t="s">
        <v>33</v>
      </c>
      <c r="G1753" s="24">
        <v>13.0</v>
      </c>
      <c r="H1753" s="24">
        <v>57.0</v>
      </c>
      <c r="I1753" s="24">
        <v>8501.0</v>
      </c>
      <c r="J1753" s="24">
        <v>0.0</v>
      </c>
      <c r="K1753" s="23" t="s">
        <v>34</v>
      </c>
      <c r="L1753" s="25">
        <v>42841.87804398148</v>
      </c>
      <c r="M1753" s="26" t="s">
        <v>531</v>
      </c>
      <c r="N1753" s="26" t="s">
        <v>4356</v>
      </c>
      <c r="O1753" s="22" t="str">
        <f>HYPERLINK("https://pbs.twimg.com/profile_images/919112801297186816/egf0c_gY_normal.jpg","View")</f>
        <v>View</v>
      </c>
      <c r="P1753" s="27"/>
    </row>
    <row r="1754">
      <c r="A1754" s="14">
        <v>43031.12951388889</v>
      </c>
      <c r="B1754" s="20" t="str">
        <f>HYPERLINK("https://twitter.com/JayCrane83","@JayCrane83")</f>
        <v>@JayCrane83</v>
      </c>
      <c r="C1754" s="21" t="s">
        <v>4357</v>
      </c>
      <c r="D1754" s="21" t="s">
        <v>4358</v>
      </c>
      <c r="E1754" s="22" t="str">
        <f>HYPERLINK("https://twitter.com/JayCrane83/status/922403852468572160","922403852468572160")</f>
        <v>922403852468572160</v>
      </c>
      <c r="F1754" s="23" t="s">
        <v>780</v>
      </c>
      <c r="G1754" s="24">
        <v>6438.0</v>
      </c>
      <c r="H1754" s="24">
        <v>2615.0</v>
      </c>
      <c r="I1754" s="24">
        <v>18.0</v>
      </c>
      <c r="J1754" s="24">
        <v>0.0</v>
      </c>
      <c r="K1754" s="23" t="s">
        <v>34</v>
      </c>
      <c r="L1754" s="25">
        <v>42588.395787037036</v>
      </c>
      <c r="M1754" s="26" t="s">
        <v>4359</v>
      </c>
      <c r="N1754" s="26" t="s">
        <v>4360</v>
      </c>
      <c r="O1754" s="22" t="str">
        <f>HYPERLINK("https://pbs.twimg.com/profile_images/922482564220248065/c9wSb0Kz_normal.jpg","View")</f>
        <v>View</v>
      </c>
      <c r="P1754" s="27"/>
    </row>
    <row r="1755">
      <c r="A1755" s="14">
        <v>43031.12956018519</v>
      </c>
      <c r="B1755" s="20" t="str">
        <f>HYPERLINK("https://twitter.com/DrElijahMatolo","@DrElijahMatolo")</f>
        <v>@DrElijahMatolo</v>
      </c>
      <c r="C1755" s="21" t="s">
        <v>4361</v>
      </c>
      <c r="D1755" s="21" t="s">
        <v>32</v>
      </c>
      <c r="E1755" s="22" t="str">
        <f>HYPERLINK("https://twitter.com/DrElijahMatolo/status/922403867463176192","922403867463176192")</f>
        <v>922403867463176192</v>
      </c>
      <c r="F1755" s="23" t="s">
        <v>39</v>
      </c>
      <c r="G1755" s="24">
        <v>1372.0</v>
      </c>
      <c r="H1755" s="24">
        <v>1278.0</v>
      </c>
      <c r="I1755" s="24">
        <v>471.0</v>
      </c>
      <c r="J1755" s="24">
        <v>0.0</v>
      </c>
      <c r="K1755" s="23" t="s">
        <v>34</v>
      </c>
      <c r="L1755" s="25">
        <v>40147.158541666664</v>
      </c>
      <c r="M1755" s="26" t="s">
        <v>4362</v>
      </c>
      <c r="N1755" s="26" t="s">
        <v>4363</v>
      </c>
      <c r="O1755" s="22" t="str">
        <f>HYPERLINK("https://pbs.twimg.com/profile_images/710498307789946881/gaMqPFej_normal.jpg","View")</f>
        <v>View</v>
      </c>
      <c r="P1755" s="27"/>
    </row>
    <row r="1756">
      <c r="A1756" s="14">
        <v>43031.12957175926</v>
      </c>
      <c r="B1756" s="20" t="str">
        <f>HYPERLINK("https://twitter.com/kushi57112","@kushi57112")</f>
        <v>@kushi57112</v>
      </c>
      <c r="C1756" s="21" t="s">
        <v>4364</v>
      </c>
      <c r="D1756" s="21" t="s">
        <v>2861</v>
      </c>
      <c r="E1756" s="22" t="str">
        <f>HYPERLINK("https://twitter.com/kushi57112/status/922403872391303169","922403872391303169")</f>
        <v>922403872391303169</v>
      </c>
      <c r="F1756" s="23" t="s">
        <v>33</v>
      </c>
      <c r="G1756" s="24">
        <v>96.0</v>
      </c>
      <c r="H1756" s="24">
        <v>16.0</v>
      </c>
      <c r="I1756" s="24">
        <v>40.0</v>
      </c>
      <c r="J1756" s="24">
        <v>0.0</v>
      </c>
      <c r="K1756" s="23" t="s">
        <v>34</v>
      </c>
      <c r="L1756" s="25">
        <v>43022.46847222222</v>
      </c>
      <c r="M1756" s="26" t="s">
        <v>2739</v>
      </c>
      <c r="N1756" s="26" t="s">
        <v>4365</v>
      </c>
      <c r="O1756" s="22" t="str">
        <f>HYPERLINK("https://pbs.twimg.com/profile_images/922890594485092353/TlVuR08k_normal.jpg","View")</f>
        <v>View</v>
      </c>
      <c r="P1756" s="27"/>
    </row>
    <row r="1757">
      <c r="A1757" s="14">
        <v>43031.12971064815</v>
      </c>
      <c r="B1757" s="20" t="str">
        <f>HYPERLINK("https://twitter.com/13rajnikant1","@13rajnikant1")</f>
        <v>@13rajnikant1</v>
      </c>
      <c r="C1757" s="21" t="s">
        <v>4203</v>
      </c>
      <c r="D1757" s="21" t="s">
        <v>430</v>
      </c>
      <c r="E1757" s="22" t="str">
        <f>HYPERLINK("https://twitter.com/13rajnikant1/status/922403922509119488","922403922509119488")</f>
        <v>922403922509119488</v>
      </c>
      <c r="F1757" s="23" t="s">
        <v>33</v>
      </c>
      <c r="G1757" s="24">
        <v>109.0</v>
      </c>
      <c r="H1757" s="24">
        <v>199.0</v>
      </c>
      <c r="I1757" s="24">
        <v>62.0</v>
      </c>
      <c r="J1757" s="24">
        <v>0.0</v>
      </c>
      <c r="K1757" s="23" t="s">
        <v>34</v>
      </c>
      <c r="L1757" s="25">
        <v>42826.10228009259</v>
      </c>
      <c r="M1757" s="26" t="s">
        <v>2020</v>
      </c>
      <c r="N1757" s="28"/>
      <c r="O1757" s="22" t="str">
        <f>HYPERLINK("https://pbs.twimg.com/profile_images/892741362067570688/N6mAaOWS_normal.jpg","View")</f>
        <v>View</v>
      </c>
      <c r="P1757" s="27"/>
    </row>
    <row r="1758">
      <c r="A1758" s="14">
        <v>43031.1297337963</v>
      </c>
      <c r="B1758" s="20" t="str">
        <f>HYPERLINK("https://twitter.com/bindukapadiya","@bindukapadiya")</f>
        <v>@bindukapadiya</v>
      </c>
      <c r="C1758" s="21" t="s">
        <v>4366</v>
      </c>
      <c r="D1758" s="21" t="s">
        <v>42</v>
      </c>
      <c r="E1758" s="22" t="str">
        <f>HYPERLINK("https://twitter.com/bindukapadiya/status/922403933737443329","922403933737443329")</f>
        <v>922403933737443329</v>
      </c>
      <c r="F1758" s="23" t="s">
        <v>33</v>
      </c>
      <c r="G1758" s="24">
        <v>17.0</v>
      </c>
      <c r="H1758" s="24">
        <v>270.0</v>
      </c>
      <c r="I1758" s="24">
        <v>8501.0</v>
      </c>
      <c r="J1758" s="24">
        <v>0.0</v>
      </c>
      <c r="K1758" s="23" t="s">
        <v>34</v>
      </c>
      <c r="L1758" s="25">
        <v>41589.9721412037</v>
      </c>
      <c r="M1758" s="28"/>
      <c r="N1758" s="28"/>
      <c r="O1758" s="22" t="str">
        <f t="shared" ref="O1758:O1759" si="24">HYPERLINK("https://abs.twimg.com/sticky/default_profile_images/default_profile_normal.png","View")</f>
        <v>View</v>
      </c>
      <c r="P1758" s="27"/>
    </row>
    <row r="1759">
      <c r="A1759" s="14">
        <v>43031.12976851852</v>
      </c>
      <c r="B1759" s="20" t="str">
        <f>HYPERLINK("https://twitter.com/Uegwen","@Uegwen")</f>
        <v>@Uegwen</v>
      </c>
      <c r="C1759" s="21" t="s">
        <v>4367</v>
      </c>
      <c r="D1759" s="21" t="s">
        <v>825</v>
      </c>
      <c r="E1759" s="22" t="str">
        <f>HYPERLINK("https://twitter.com/Uegwen/status/922403945472917504","922403945472917504")</f>
        <v>922403945472917504</v>
      </c>
      <c r="F1759" s="23" t="s">
        <v>4368</v>
      </c>
      <c r="G1759" s="24">
        <v>131.0</v>
      </c>
      <c r="H1759" s="24">
        <v>886.0</v>
      </c>
      <c r="I1759" s="24">
        <v>109.0</v>
      </c>
      <c r="J1759" s="24">
        <v>0.0</v>
      </c>
      <c r="K1759" s="23" t="s">
        <v>34</v>
      </c>
      <c r="L1759" s="25">
        <v>41267.73005787037</v>
      </c>
      <c r="M1759" s="28"/>
      <c r="N1759" s="28"/>
      <c r="O1759" s="22" t="str">
        <f t="shared" si="24"/>
        <v>View</v>
      </c>
      <c r="P1759" s="27"/>
    </row>
    <row r="1760">
      <c r="A1760" s="14">
        <v>43031.129803240736</v>
      </c>
      <c r="B1760" s="20" t="str">
        <f>HYPERLINK("https://twitter.com/herohemant6","@herohemant6")</f>
        <v>@herohemant6</v>
      </c>
      <c r="C1760" s="21" t="s">
        <v>2775</v>
      </c>
      <c r="D1760" s="21" t="s">
        <v>42</v>
      </c>
      <c r="E1760" s="22" t="str">
        <f>HYPERLINK("https://twitter.com/herohemant6/status/922403959133712384","922403959133712384")</f>
        <v>922403959133712384</v>
      </c>
      <c r="F1760" s="23" t="s">
        <v>33</v>
      </c>
      <c r="G1760" s="24">
        <v>595.0</v>
      </c>
      <c r="H1760" s="24">
        <v>781.0</v>
      </c>
      <c r="I1760" s="24">
        <v>8501.0</v>
      </c>
      <c r="J1760" s="24">
        <v>0.0</v>
      </c>
      <c r="K1760" s="23" t="s">
        <v>34</v>
      </c>
      <c r="L1760" s="25">
        <v>42403.3265162037</v>
      </c>
      <c r="M1760" s="26" t="s">
        <v>204</v>
      </c>
      <c r="N1760" s="26" t="s">
        <v>4369</v>
      </c>
      <c r="O1760" s="22" t="str">
        <f>HYPERLINK("https://pbs.twimg.com/profile_images/922542582692945920/YKYn5GLo_normal.jpg","View")</f>
        <v>View</v>
      </c>
      <c r="P1760" s="27"/>
    </row>
    <row r="1761">
      <c r="A1761" s="14">
        <v>43031.12986111111</v>
      </c>
      <c r="B1761" s="20" t="str">
        <f>HYPERLINK("https://twitter.com/Independent","@Independent")</f>
        <v>@Independent</v>
      </c>
      <c r="C1761" s="21" t="s">
        <v>4370</v>
      </c>
      <c r="D1761" s="21" t="s">
        <v>4371</v>
      </c>
      <c r="E1761" s="22" t="str">
        <f>HYPERLINK("https://twitter.com/Independent/status/922403980185042946","922403980185042946")</f>
        <v>922403980185042946</v>
      </c>
      <c r="F1761" s="23" t="s">
        <v>769</v>
      </c>
      <c r="G1761" s="24">
        <v>2391382.0</v>
      </c>
      <c r="H1761" s="24">
        <v>1104.0</v>
      </c>
      <c r="I1761" s="24">
        <v>16.0</v>
      </c>
      <c r="J1761" s="24">
        <v>10.0</v>
      </c>
      <c r="K1761" s="23" t="s">
        <v>34</v>
      </c>
      <c r="L1761" s="25">
        <v>39746.70866898148</v>
      </c>
      <c r="M1761" s="26" t="s">
        <v>334</v>
      </c>
      <c r="N1761" s="26" t="s">
        <v>4372</v>
      </c>
      <c r="O1761" s="22" t="str">
        <f>HYPERLINK("https://pbs.twimg.com/profile_images/583628771972018176/ztJn926g_normal.png","View")</f>
        <v>View</v>
      </c>
      <c r="P1761" s="27"/>
    </row>
    <row r="1762">
      <c r="A1762" s="14">
        <v>43031.129895833335</v>
      </c>
      <c r="B1762" s="20" t="str">
        <f>HYPERLINK("https://twitter.com/KoreanDictator2","@KoreanDictator2")</f>
        <v>@KoreanDictator2</v>
      </c>
      <c r="C1762" s="21" t="s">
        <v>4373</v>
      </c>
      <c r="D1762" s="21" t="s">
        <v>163</v>
      </c>
      <c r="E1762" s="22" t="str">
        <f>HYPERLINK("https://twitter.com/KoreanDictator2/status/922403991316611072","922403991316611072")</f>
        <v>922403991316611072</v>
      </c>
      <c r="F1762" s="23" t="s">
        <v>39</v>
      </c>
      <c r="G1762" s="24">
        <v>238.0</v>
      </c>
      <c r="H1762" s="24">
        <v>114.0</v>
      </c>
      <c r="I1762" s="24">
        <v>1005.0</v>
      </c>
      <c r="J1762" s="24">
        <v>0.0</v>
      </c>
      <c r="K1762" s="23" t="s">
        <v>34</v>
      </c>
      <c r="L1762" s="25">
        <v>41977.56696759259</v>
      </c>
      <c r="M1762" s="26" t="s">
        <v>4374</v>
      </c>
      <c r="N1762" s="28"/>
      <c r="O1762" s="22" t="str">
        <f>HYPERLINK("https://pbs.twimg.com/profile_images/876339706950148096/KNmG9gqF_normal.jpg","View")</f>
        <v>View</v>
      </c>
      <c r="P1762" s="27"/>
    </row>
    <row r="1763">
      <c r="A1763" s="14">
        <v>43031.12998842592</v>
      </c>
      <c r="B1763" s="20" t="str">
        <f>HYPERLINK("https://twitter.com/pramodkhillare4","@pramodkhillare4")</f>
        <v>@pramodkhillare4</v>
      </c>
      <c r="C1763" s="21" t="s">
        <v>4375</v>
      </c>
      <c r="D1763" s="21" t="s">
        <v>42</v>
      </c>
      <c r="E1763" s="22" t="str">
        <f>HYPERLINK("https://twitter.com/pramodkhillare4/status/922404025827336192","922404025827336192")</f>
        <v>922404025827336192</v>
      </c>
      <c r="F1763" s="23" t="s">
        <v>33</v>
      </c>
      <c r="G1763" s="24">
        <v>85.0</v>
      </c>
      <c r="H1763" s="24">
        <v>339.0</v>
      </c>
      <c r="I1763" s="24">
        <v>8501.0</v>
      </c>
      <c r="J1763" s="24">
        <v>0.0</v>
      </c>
      <c r="K1763" s="23" t="s">
        <v>34</v>
      </c>
      <c r="L1763" s="25">
        <v>41985.93844907408</v>
      </c>
      <c r="M1763" s="28"/>
      <c r="N1763" s="28"/>
      <c r="O1763" s="22" t="str">
        <f>HYPERLINK("https://abs.twimg.com/sticky/default_profile_images/default_profile_normal.png","View")</f>
        <v>View</v>
      </c>
      <c r="P1763" s="27"/>
    </row>
    <row r="1764">
      <c r="A1764" s="14">
        <v>43031.130011574074</v>
      </c>
      <c r="B1764" s="20" t="str">
        <f>HYPERLINK("https://twitter.com/Fiaz786pk","@Fiaz786pk")</f>
        <v>@Fiaz786pk</v>
      </c>
      <c r="C1764" s="21" t="s">
        <v>2521</v>
      </c>
      <c r="D1764" s="21" t="s">
        <v>4376</v>
      </c>
      <c r="E1764" s="22" t="str">
        <f>HYPERLINK("https://twitter.com/Fiaz786pk/status/922404034258132992","922404034258132992")</f>
        <v>922404034258132992</v>
      </c>
      <c r="F1764" s="23" t="s">
        <v>55</v>
      </c>
      <c r="G1764" s="24">
        <v>208.0</v>
      </c>
      <c r="H1764" s="24">
        <v>230.0</v>
      </c>
      <c r="I1764" s="24">
        <v>0.0</v>
      </c>
      <c r="J1764" s="24">
        <v>0.0</v>
      </c>
      <c r="K1764" s="23" t="s">
        <v>34</v>
      </c>
      <c r="L1764" s="25">
        <v>40392.198541666665</v>
      </c>
      <c r="M1764" s="32" t="s">
        <v>2523</v>
      </c>
      <c r="N1764" s="26" t="s">
        <v>2524</v>
      </c>
      <c r="O1764" s="22" t="str">
        <f>HYPERLINK("https://pbs.twimg.com/profile_images/903251420295696384/QWlUa_5__normal.jpg","View")</f>
        <v>View</v>
      </c>
      <c r="P1764" s="27"/>
    </row>
    <row r="1765">
      <c r="A1765" s="14">
        <v>43031.13006944444</v>
      </c>
      <c r="B1765" s="20" t="str">
        <f>HYPERLINK("https://twitter.com/lnarasi","@lnarasi")</f>
        <v>@lnarasi</v>
      </c>
      <c r="C1765" s="21" t="s">
        <v>4377</v>
      </c>
      <c r="D1765" s="21" t="s">
        <v>163</v>
      </c>
      <c r="E1765" s="22" t="str">
        <f>HYPERLINK("https://twitter.com/lnarasi/status/922404052897542145","922404052897542145")</f>
        <v>922404052897542145</v>
      </c>
      <c r="F1765" s="23" t="s">
        <v>33</v>
      </c>
      <c r="G1765" s="24">
        <v>40.0</v>
      </c>
      <c r="H1765" s="24">
        <v>332.0</v>
      </c>
      <c r="I1765" s="24">
        <v>1005.0</v>
      </c>
      <c r="J1765" s="24">
        <v>0.0</v>
      </c>
      <c r="K1765" s="23" t="s">
        <v>34</v>
      </c>
      <c r="L1765" s="25">
        <v>40181.42150462963</v>
      </c>
      <c r="M1765" s="28"/>
      <c r="N1765" s="26" t="s">
        <v>4378</v>
      </c>
      <c r="O1765" s="22" t="str">
        <f>HYPERLINK("https://pbs.twimg.com/profile_images/913458583886532610/-0r3Rp9V_normal.jpg","View")</f>
        <v>View</v>
      </c>
      <c r="P1765" s="27"/>
    </row>
    <row r="1766">
      <c r="A1766" s="14">
        <v>43031.13012731481</v>
      </c>
      <c r="B1766" s="20" t="str">
        <f>HYPERLINK("https://twitter.com/CNBCTradersFan","@CNBCTradersFan")</f>
        <v>@CNBCTradersFan</v>
      </c>
      <c r="C1766" s="21" t="s">
        <v>1945</v>
      </c>
      <c r="D1766" s="21" t="s">
        <v>4379</v>
      </c>
      <c r="E1766" s="22" t="str">
        <f>HYPERLINK("https://twitter.com/CNBCTradersFan/status/922404073999163392","922404073999163392")</f>
        <v>922404073999163392</v>
      </c>
      <c r="F1766" s="23" t="s">
        <v>187</v>
      </c>
      <c r="G1766" s="24">
        <v>17128.0</v>
      </c>
      <c r="H1766" s="24">
        <v>11615.0</v>
      </c>
      <c r="I1766" s="24">
        <v>0.0</v>
      </c>
      <c r="J1766" s="24">
        <v>0.0</v>
      </c>
      <c r="K1766" s="23" t="s">
        <v>34</v>
      </c>
      <c r="L1766" s="25">
        <v>40922.50542824074</v>
      </c>
      <c r="M1766" s="26" t="s">
        <v>1947</v>
      </c>
      <c r="N1766" s="26" t="s">
        <v>1948</v>
      </c>
      <c r="O1766" s="22" t="str">
        <f>HYPERLINK("https://pbs.twimg.com/profile_images/731870469318684672/Ckf7rDdJ_normal.jpg","View")</f>
        <v>View</v>
      </c>
      <c r="P1766" s="27"/>
    </row>
    <row r="1767">
      <c r="A1767" s="14">
        <v>43031.13015046297</v>
      </c>
      <c r="B1767" s="20" t="str">
        <f>HYPERLINK("https://twitter.com/Sharad47764468","@Sharad47764468")</f>
        <v>@Sharad47764468</v>
      </c>
      <c r="C1767" s="21" t="s">
        <v>4380</v>
      </c>
      <c r="D1767" s="21" t="s">
        <v>42</v>
      </c>
      <c r="E1767" s="22" t="str">
        <f>HYPERLINK("https://twitter.com/Sharad47764468/status/922404081414443010","922404081414443010")</f>
        <v>922404081414443010</v>
      </c>
      <c r="F1767" s="23" t="s">
        <v>33</v>
      </c>
      <c r="G1767" s="24">
        <v>43.0</v>
      </c>
      <c r="H1767" s="24">
        <v>118.0</v>
      </c>
      <c r="I1767" s="24">
        <v>8501.0</v>
      </c>
      <c r="J1767" s="24">
        <v>0.0</v>
      </c>
      <c r="K1767" s="23" t="s">
        <v>34</v>
      </c>
      <c r="L1767" s="25">
        <v>42937.936527777776</v>
      </c>
      <c r="M1767" s="26" t="s">
        <v>195</v>
      </c>
      <c r="N1767" s="28"/>
      <c r="O1767" s="22" t="str">
        <f>HYPERLINK("https://pbs.twimg.com/profile_images/888636574468116480/xMzIXAGM_normal.jpg","View")</f>
        <v>View</v>
      </c>
      <c r="P1767" s="27"/>
    </row>
    <row r="1768">
      <c r="A1768" s="14">
        <v>43031.13015046297</v>
      </c>
      <c r="B1768" s="20" t="str">
        <f>HYPERLINK("https://twitter.com/Balaji83325347","@Balaji83325347")</f>
        <v>@Balaji83325347</v>
      </c>
      <c r="C1768" s="21" t="s">
        <v>4381</v>
      </c>
      <c r="D1768" s="21" t="s">
        <v>42</v>
      </c>
      <c r="E1768" s="22" t="str">
        <f>HYPERLINK("https://twitter.com/Balaji83325347/status/922404085122207745","922404085122207745")</f>
        <v>922404085122207745</v>
      </c>
      <c r="F1768" s="23" t="s">
        <v>43</v>
      </c>
      <c r="G1768" s="24">
        <v>18.0</v>
      </c>
      <c r="H1768" s="24">
        <v>170.0</v>
      </c>
      <c r="I1768" s="24">
        <v>8501.0</v>
      </c>
      <c r="J1768" s="24">
        <v>0.0</v>
      </c>
      <c r="K1768" s="23" t="s">
        <v>34</v>
      </c>
      <c r="L1768" s="25">
        <v>42607.289305555554</v>
      </c>
      <c r="M1768" s="28"/>
      <c r="N1768" s="28"/>
      <c r="O1768" s="22" t="str">
        <f>HYPERLINK("https://pbs.twimg.com/profile_images/796603662877519872/fr4rjW73_normal.jpg","View")</f>
        <v>View</v>
      </c>
      <c r="P1768" s="27"/>
    </row>
    <row r="1769">
      <c r="A1769" s="14">
        <v>43031.13018518519</v>
      </c>
      <c r="B1769" s="20" t="str">
        <f>HYPERLINK("https://twitter.com/yuki_no_mannaka","@yuki_no_mannaka")</f>
        <v>@yuki_no_mannaka</v>
      </c>
      <c r="C1769" s="21" t="s">
        <v>4382</v>
      </c>
      <c r="D1769" s="21" t="s">
        <v>42</v>
      </c>
      <c r="E1769" s="22" t="str">
        <f>HYPERLINK("https://twitter.com/yuki_no_mannaka/status/922404094525849602","922404094525849602")</f>
        <v>922404094525849602</v>
      </c>
      <c r="F1769" s="23" t="s">
        <v>33</v>
      </c>
      <c r="G1769" s="24">
        <v>411.0</v>
      </c>
      <c r="H1769" s="24">
        <v>392.0</v>
      </c>
      <c r="I1769" s="24">
        <v>8501.0</v>
      </c>
      <c r="J1769" s="24">
        <v>0.0</v>
      </c>
      <c r="K1769" s="23" t="s">
        <v>34</v>
      </c>
      <c r="L1769" s="25">
        <v>42257.09349537037</v>
      </c>
      <c r="M1769" s="26" t="s">
        <v>4383</v>
      </c>
      <c r="N1769" s="26" t="s">
        <v>4384</v>
      </c>
      <c r="O1769" s="22" t="str">
        <f>HYPERLINK("https://pbs.twimg.com/profile_images/641907529488793604/zos9ZuxE_normal.jpg","View")</f>
        <v>View</v>
      </c>
      <c r="P1769" s="27"/>
    </row>
    <row r="1770">
      <c r="A1770" s="14">
        <v>43031.13018518519</v>
      </c>
      <c r="B1770" s="20" t="str">
        <f>HYPERLINK("https://twitter.com/itsmeGeorginaB","@itsmeGeorginaB")</f>
        <v>@itsmeGeorginaB</v>
      </c>
      <c r="C1770" s="21" t="s">
        <v>4385</v>
      </c>
      <c r="D1770" s="21" t="s">
        <v>4386</v>
      </c>
      <c r="E1770" s="22" t="str">
        <f>HYPERLINK("https://twitter.com/itsmeGeorginaB/status/922404095092146177","922404095092146177")</f>
        <v>922404095092146177</v>
      </c>
      <c r="F1770" s="23" t="s">
        <v>55</v>
      </c>
      <c r="G1770" s="24">
        <v>284.0</v>
      </c>
      <c r="H1770" s="24">
        <v>2101.0</v>
      </c>
      <c r="I1770" s="24">
        <v>16.0</v>
      </c>
      <c r="J1770" s="24">
        <v>0.0</v>
      </c>
      <c r="K1770" s="23" t="s">
        <v>34</v>
      </c>
      <c r="L1770" s="25">
        <v>41807.07378472222</v>
      </c>
      <c r="M1770" s="28"/>
      <c r="N1770" s="26" t="s">
        <v>4387</v>
      </c>
      <c r="O1770" s="22" t="str">
        <f>HYPERLINK("https://pbs.twimg.com/profile_images/633219376070574080/Gv_JLBHx_normal.jpg","View")</f>
        <v>View</v>
      </c>
      <c r="P1770" s="27"/>
    </row>
    <row r="1771">
      <c r="A1771" s="14">
        <v>43031.13023148148</v>
      </c>
      <c r="B1771" s="20" t="str">
        <f>HYPERLINK("https://twitter.com/suteneko0709","@suteneko0709")</f>
        <v>@suteneko0709</v>
      </c>
      <c r="C1771" s="21" t="s">
        <v>4388</v>
      </c>
      <c r="D1771" s="21" t="s">
        <v>42</v>
      </c>
      <c r="E1771" s="22" t="str">
        <f>HYPERLINK("https://twitter.com/suteneko0709/status/922404110804049920","922404110804049920")</f>
        <v>922404110804049920</v>
      </c>
      <c r="F1771" s="23" t="s">
        <v>39</v>
      </c>
      <c r="G1771" s="24">
        <v>584.0</v>
      </c>
      <c r="H1771" s="24">
        <v>297.0</v>
      </c>
      <c r="I1771" s="24">
        <v>8501.0</v>
      </c>
      <c r="J1771" s="24">
        <v>0.0</v>
      </c>
      <c r="K1771" s="23" t="s">
        <v>34</v>
      </c>
      <c r="L1771" s="25">
        <v>41621.64351851852</v>
      </c>
      <c r="M1771" s="28"/>
      <c r="N1771" s="26" t="s">
        <v>4389</v>
      </c>
      <c r="O1771" s="22" t="str">
        <f>HYPERLINK("https://pbs.twimg.com/profile_images/833073768712908800/cIJ3I1oC_normal.jpg","View")</f>
        <v>View</v>
      </c>
      <c r="P1771" s="27"/>
    </row>
    <row r="1772">
      <c r="A1772" s="14">
        <v>43031.13023148148</v>
      </c>
      <c r="B1772" s="20" t="str">
        <f>HYPERLINK("https://twitter.com/bacharamsinghbj","@bacharamsinghbj")</f>
        <v>@bacharamsinghbj</v>
      </c>
      <c r="C1772" s="21" t="s">
        <v>4390</v>
      </c>
      <c r="D1772" s="21" t="s">
        <v>42</v>
      </c>
      <c r="E1772" s="22" t="str">
        <f>HYPERLINK("https://twitter.com/bacharamsinghbj/status/922404113517756416","922404113517756416")</f>
        <v>922404113517756416</v>
      </c>
      <c r="F1772" s="23" t="s">
        <v>33</v>
      </c>
      <c r="G1772" s="24">
        <v>98.0</v>
      </c>
      <c r="H1772" s="24">
        <v>84.0</v>
      </c>
      <c r="I1772" s="24">
        <v>8501.0</v>
      </c>
      <c r="J1772" s="24">
        <v>0.0</v>
      </c>
      <c r="K1772" s="23" t="s">
        <v>34</v>
      </c>
      <c r="L1772" s="25">
        <v>42503.190879629634</v>
      </c>
      <c r="M1772" s="26" t="s">
        <v>575</v>
      </c>
      <c r="N1772" s="26" t="s">
        <v>4391</v>
      </c>
      <c r="O1772" s="22" t="str">
        <f>HYPERLINK("https://pbs.twimg.com/profile_images/786153544483082240/eK6c4KfP_normal.jpg","View")</f>
        <v>View</v>
      </c>
      <c r="P1772" s="27"/>
    </row>
    <row r="1773">
      <c r="A1773" s="14">
        <v>43031.13028935185</v>
      </c>
      <c r="B1773" s="20" t="str">
        <f>HYPERLINK("https://twitter.com/RAHULDI33845992","@RAHULDI33845992")</f>
        <v>@RAHULDI33845992</v>
      </c>
      <c r="C1773" s="21" t="s">
        <v>4392</v>
      </c>
      <c r="D1773" s="21" t="s">
        <v>42</v>
      </c>
      <c r="E1773" s="22" t="str">
        <f>HYPERLINK("https://twitter.com/RAHULDI33845992/status/922404132408909824","922404132408909824")</f>
        <v>922404132408909824</v>
      </c>
      <c r="F1773" s="23" t="s">
        <v>33</v>
      </c>
      <c r="G1773" s="24">
        <v>60.0</v>
      </c>
      <c r="H1773" s="24">
        <v>354.0</v>
      </c>
      <c r="I1773" s="24">
        <v>8501.0</v>
      </c>
      <c r="J1773" s="24">
        <v>0.0</v>
      </c>
      <c r="K1773" s="23" t="s">
        <v>34</v>
      </c>
      <c r="L1773" s="25">
        <v>42723.937430555554</v>
      </c>
      <c r="M1773" s="26" t="s">
        <v>4393</v>
      </c>
      <c r="N1773" s="26" t="s">
        <v>4394</v>
      </c>
      <c r="O1773" s="22" t="str">
        <f>HYPERLINK("https://pbs.twimg.com/profile_images/892773809056608256/AOjo4YVW_normal.jpg","View")</f>
        <v>View</v>
      </c>
      <c r="P1773" s="27"/>
    </row>
    <row r="1774">
      <c r="A1774" s="14">
        <v>43031.13034722222</v>
      </c>
      <c r="B1774" s="20" t="str">
        <f>HYPERLINK("https://twitter.com/LondonCanucks","@LondonCanucks")</f>
        <v>@LondonCanucks</v>
      </c>
      <c r="C1774" s="21" t="s">
        <v>4395</v>
      </c>
      <c r="D1774" s="21" t="s">
        <v>4386</v>
      </c>
      <c r="E1774" s="22" t="str">
        <f>HYPERLINK("https://twitter.com/LondonCanucks/status/922404155213348864","922404155213348864")</f>
        <v>922404155213348864</v>
      </c>
      <c r="F1774" s="23" t="s">
        <v>39</v>
      </c>
      <c r="G1774" s="24">
        <v>386.0</v>
      </c>
      <c r="H1774" s="24">
        <v>657.0</v>
      </c>
      <c r="I1774" s="24">
        <v>16.0</v>
      </c>
      <c r="J1774" s="24">
        <v>0.0</v>
      </c>
      <c r="K1774" s="23" t="s">
        <v>34</v>
      </c>
      <c r="L1774" s="25">
        <v>42379.19072916667</v>
      </c>
      <c r="M1774" s="28"/>
      <c r="N1774" s="26" t="s">
        <v>4396</v>
      </c>
      <c r="O1774" s="22" t="str">
        <f>HYPERLINK("https://pbs.twimg.com/profile_images/921176378762059777/baH-8AjW_normal.jpg","View")</f>
        <v>View</v>
      </c>
      <c r="P1774" s="27"/>
    </row>
    <row r="1775">
      <c r="A1775" s="14">
        <v>43031.13039351851</v>
      </c>
      <c r="B1775" s="20" t="str">
        <f>HYPERLINK("https://twitter.com/hello2sanjay","@hello2sanjay")</f>
        <v>@hello2sanjay</v>
      </c>
      <c r="C1775" s="21" t="s">
        <v>4397</v>
      </c>
      <c r="D1775" s="21" t="s">
        <v>42</v>
      </c>
      <c r="E1775" s="22" t="str">
        <f>HYPERLINK("https://twitter.com/hello2sanjay/status/922404173210980353","922404173210980353")</f>
        <v>922404173210980353</v>
      </c>
      <c r="F1775" s="23" t="s">
        <v>33</v>
      </c>
      <c r="G1775" s="24">
        <v>937.0</v>
      </c>
      <c r="H1775" s="24">
        <v>373.0</v>
      </c>
      <c r="I1775" s="24">
        <v>8501.0</v>
      </c>
      <c r="J1775" s="24">
        <v>0.0</v>
      </c>
      <c r="K1775" s="23" t="s">
        <v>34</v>
      </c>
      <c r="L1775" s="25">
        <v>40291.39436342593</v>
      </c>
      <c r="M1775" s="26" t="s">
        <v>4398</v>
      </c>
      <c r="N1775" s="26" t="s">
        <v>4399</v>
      </c>
      <c r="O1775" s="22" t="str">
        <f>HYPERLINK("https://pbs.twimg.com/profile_images/714798850712727552/5SPxrPLY_normal.jpg","View")</f>
        <v>View</v>
      </c>
      <c r="P1775" s="27"/>
    </row>
    <row r="1776">
      <c r="A1776" s="14">
        <v>43031.13043981481</v>
      </c>
      <c r="B1776" s="20" t="str">
        <f>HYPERLINK("https://twitter.com/bccsharma1","@bccsharma1")</f>
        <v>@bccsharma1</v>
      </c>
      <c r="C1776" s="21" t="s">
        <v>4400</v>
      </c>
      <c r="D1776" s="21" t="s">
        <v>42</v>
      </c>
      <c r="E1776" s="22" t="str">
        <f>HYPERLINK("https://twitter.com/bccsharma1/status/922404187605839872","922404187605839872")</f>
        <v>922404187605839872</v>
      </c>
      <c r="F1776" s="23" t="s">
        <v>33</v>
      </c>
      <c r="G1776" s="24">
        <v>5507.0</v>
      </c>
      <c r="H1776" s="24">
        <v>1935.0</v>
      </c>
      <c r="I1776" s="24">
        <v>8501.0</v>
      </c>
      <c r="J1776" s="24">
        <v>0.0</v>
      </c>
      <c r="K1776" s="23" t="s">
        <v>34</v>
      </c>
      <c r="L1776" s="25">
        <v>40372.95988425926</v>
      </c>
      <c r="M1776" s="26" t="s">
        <v>204</v>
      </c>
      <c r="N1776" s="26" t="s">
        <v>4401</v>
      </c>
      <c r="O1776" s="22" t="str">
        <f>HYPERLINK("https://pbs.twimg.com/profile_images/694424642769924096/5mh686ox_normal.jpg","View")</f>
        <v>View</v>
      </c>
      <c r="P1776" s="27"/>
    </row>
    <row r="1777">
      <c r="A1777" s="14">
        <v>43031.13043981481</v>
      </c>
      <c r="B1777" s="20" t="str">
        <f>HYPERLINK("https://twitter.com/Pramend83118110","@Pramend83118110")</f>
        <v>@Pramend83118110</v>
      </c>
      <c r="C1777" s="21" t="s">
        <v>4402</v>
      </c>
      <c r="D1777" s="21" t="s">
        <v>42</v>
      </c>
      <c r="E1777" s="22" t="str">
        <f>HYPERLINK("https://twitter.com/Pramend83118110/status/922404188457275392","922404188457275392")</f>
        <v>922404188457275392</v>
      </c>
      <c r="F1777" s="23" t="s">
        <v>33</v>
      </c>
      <c r="G1777" s="24">
        <v>13.0</v>
      </c>
      <c r="H1777" s="24">
        <v>137.0</v>
      </c>
      <c r="I1777" s="24">
        <v>8501.0</v>
      </c>
      <c r="J1777" s="24">
        <v>0.0</v>
      </c>
      <c r="K1777" s="23" t="s">
        <v>34</v>
      </c>
      <c r="L1777" s="25">
        <v>42992.91678240741</v>
      </c>
      <c r="M1777" s="26" t="s">
        <v>4403</v>
      </c>
      <c r="N1777" s="26" t="s">
        <v>4404</v>
      </c>
      <c r="O1777" s="22" t="str">
        <f>HYPERLINK("https://pbs.twimg.com/profile_images/915168785975222272/TJwKQZtM_normal.jpg","View")</f>
        <v>View</v>
      </c>
      <c r="P1777" s="27"/>
    </row>
    <row r="1778">
      <c r="A1778" s="14">
        <v>43031.13046296296</v>
      </c>
      <c r="B1778" s="20" t="str">
        <f>HYPERLINK("https://twitter.com/DwivedPlant","@DwivedPlant")</f>
        <v>@DwivedPlant</v>
      </c>
      <c r="C1778" s="21" t="s">
        <v>4405</v>
      </c>
      <c r="D1778" s="21" t="s">
        <v>42</v>
      </c>
      <c r="E1778" s="22" t="str">
        <f>HYPERLINK("https://twitter.com/DwivedPlant/status/922404195621257216","922404195621257216")</f>
        <v>922404195621257216</v>
      </c>
      <c r="F1778" s="23" t="s">
        <v>33</v>
      </c>
      <c r="G1778" s="24">
        <v>3.0</v>
      </c>
      <c r="H1778" s="24">
        <v>29.0</v>
      </c>
      <c r="I1778" s="24">
        <v>8501.0</v>
      </c>
      <c r="J1778" s="24">
        <v>0.0</v>
      </c>
      <c r="K1778" s="23" t="s">
        <v>34</v>
      </c>
      <c r="L1778" s="25">
        <v>43019.26310185185</v>
      </c>
      <c r="M1778" s="26" t="s">
        <v>4406</v>
      </c>
      <c r="N1778" s="26" t="s">
        <v>4407</v>
      </c>
      <c r="O1778" s="22" t="str">
        <f>HYPERLINK("https://pbs.twimg.com/profile_images/918431286682722304/6mEAMlVT_normal.jpg","View")</f>
        <v>View</v>
      </c>
      <c r="P1778" s="27"/>
    </row>
    <row r="1779">
      <c r="A1779" s="14">
        <v>43031.13054398148</v>
      </c>
      <c r="B1779" s="20" t="str">
        <f>HYPERLINK("https://twitter.com/TMReserve","@TMReserve")</f>
        <v>@TMReserve</v>
      </c>
      <c r="C1779" s="21" t="s">
        <v>293</v>
      </c>
      <c r="D1779" s="21" t="s">
        <v>4408</v>
      </c>
      <c r="E1779" s="22" t="str">
        <f>HYPERLINK("https://twitter.com/TMReserve/status/922404224058605568","922404224058605568")</f>
        <v>922404224058605568</v>
      </c>
      <c r="F1779" s="23" t="s">
        <v>55</v>
      </c>
      <c r="G1779" s="24">
        <v>1781.0</v>
      </c>
      <c r="H1779" s="24">
        <v>219.0</v>
      </c>
      <c r="I1779" s="24">
        <v>0.0</v>
      </c>
      <c r="J1779" s="24">
        <v>0.0</v>
      </c>
      <c r="K1779" s="23" t="s">
        <v>34</v>
      </c>
      <c r="L1779" s="25">
        <v>40668.394282407404</v>
      </c>
      <c r="M1779" s="26" t="s">
        <v>295</v>
      </c>
      <c r="N1779" s="26" t="s">
        <v>296</v>
      </c>
      <c r="O1779" s="22" t="str">
        <f>HYPERLINK("https://pbs.twimg.com/profile_images/765776249176354816/VHyr4WKt_normal.jpg","View")</f>
        <v>View</v>
      </c>
      <c r="P1779" s="27"/>
    </row>
    <row r="1780">
      <c r="A1780" s="14">
        <v>43031.13054398148</v>
      </c>
      <c r="B1780" s="20" t="str">
        <f>HYPERLINK("https://twitter.com/alan_rosario69","@alan_rosario69")</f>
        <v>@alan_rosario69</v>
      </c>
      <c r="C1780" s="21" t="s">
        <v>4409</v>
      </c>
      <c r="D1780" s="21" t="s">
        <v>4410</v>
      </c>
      <c r="E1780" s="22" t="str">
        <f>HYPERLINK("https://twitter.com/alan_rosario69/status/922404226629849089","922404226629849089")</f>
        <v>922404226629849089</v>
      </c>
      <c r="F1780" s="23" t="s">
        <v>39</v>
      </c>
      <c r="G1780" s="24">
        <v>3452.0</v>
      </c>
      <c r="H1780" s="24">
        <v>4864.0</v>
      </c>
      <c r="I1780" s="24">
        <v>0.0</v>
      </c>
      <c r="J1780" s="24">
        <v>2.0</v>
      </c>
      <c r="K1780" s="23" t="s">
        <v>34</v>
      </c>
      <c r="L1780" s="25">
        <v>42822.65076388889</v>
      </c>
      <c r="M1780" s="26" t="s">
        <v>4411</v>
      </c>
      <c r="N1780" s="26" t="s">
        <v>4412</v>
      </c>
      <c r="O1780" s="22" t="str">
        <f>HYPERLINK("https://pbs.twimg.com/profile_images/846871249800302592/gFA-7_I0_normal.jpg","View")</f>
        <v>View</v>
      </c>
      <c r="P1780" s="27"/>
    </row>
    <row r="1781">
      <c r="A1781" s="14">
        <v>43031.13054398148</v>
      </c>
      <c r="B1781" s="20" t="str">
        <f>HYPERLINK("https://twitter.com/danielodhiambo","@danielodhiambo")</f>
        <v>@danielodhiambo</v>
      </c>
      <c r="C1781" s="21" t="s">
        <v>4413</v>
      </c>
      <c r="D1781" s="21" t="s">
        <v>32</v>
      </c>
      <c r="E1781" s="22" t="str">
        <f>HYPERLINK("https://twitter.com/danielodhiambo/status/922404226768220160","922404226768220160")</f>
        <v>922404226768220160</v>
      </c>
      <c r="F1781" s="23" t="s">
        <v>33</v>
      </c>
      <c r="G1781" s="24">
        <v>347.0</v>
      </c>
      <c r="H1781" s="24">
        <v>655.0</v>
      </c>
      <c r="I1781" s="24">
        <v>471.0</v>
      </c>
      <c r="J1781" s="24">
        <v>0.0</v>
      </c>
      <c r="K1781" s="23" t="s">
        <v>34</v>
      </c>
      <c r="L1781" s="25">
        <v>40613.53954861111</v>
      </c>
      <c r="M1781" s="26" t="s">
        <v>282</v>
      </c>
      <c r="N1781" s="26" t="s">
        <v>4414</v>
      </c>
      <c r="O1781" s="22" t="str">
        <f>HYPERLINK("https://pbs.twimg.com/profile_images/915859522220150786/tJdW8jAT_normal.jpg","View")</f>
        <v>View</v>
      </c>
      <c r="P1781" s="27"/>
    </row>
    <row r="1782">
      <c r="A1782" s="14">
        <v>43031.13060185185</v>
      </c>
      <c r="B1782" s="20" t="str">
        <f>HYPERLINK("https://twitter.com/CalluyWalt","@CalluyWalt")</f>
        <v>@CalluyWalt</v>
      </c>
      <c r="C1782" s="21" t="s">
        <v>4415</v>
      </c>
      <c r="D1782" s="21" t="s">
        <v>4386</v>
      </c>
      <c r="E1782" s="22" t="str">
        <f>HYPERLINK("https://twitter.com/CalluyWalt/status/922404245969793025","922404245969793025")</f>
        <v>922404245969793025</v>
      </c>
      <c r="F1782" s="23" t="s">
        <v>2289</v>
      </c>
      <c r="G1782" s="24">
        <v>196.0</v>
      </c>
      <c r="H1782" s="24">
        <v>350.0</v>
      </c>
      <c r="I1782" s="24">
        <v>16.0</v>
      </c>
      <c r="J1782" s="24">
        <v>0.0</v>
      </c>
      <c r="K1782" s="23" t="s">
        <v>34</v>
      </c>
      <c r="L1782" s="25">
        <v>40885.265</v>
      </c>
      <c r="M1782" s="26" t="s">
        <v>4416</v>
      </c>
      <c r="N1782" s="26" t="s">
        <v>4417</v>
      </c>
      <c r="O1782" s="22" t="str">
        <f>HYPERLINK("https://pbs.twimg.com/profile_images/1680923654/IMG_0218_normal.jpg","View")</f>
        <v>View</v>
      </c>
      <c r="P1782" s="27"/>
    </row>
    <row r="1783">
      <c r="A1783" s="14">
        <v>43031.13060185185</v>
      </c>
      <c r="B1783" s="20" t="str">
        <f>HYPERLINK("https://twitter.com/wuxinshuimiana","@wuxinshuimiana")</f>
        <v>@wuxinshuimiana</v>
      </c>
      <c r="C1783" s="21" t="s">
        <v>4418</v>
      </c>
      <c r="D1783" s="21" t="s">
        <v>213</v>
      </c>
      <c r="E1783" s="22" t="str">
        <f>HYPERLINK("https://twitter.com/wuxinshuimiana/status/922404247240450049","922404247240450049")</f>
        <v>922404247240450049</v>
      </c>
      <c r="F1783" s="23" t="s">
        <v>55</v>
      </c>
      <c r="G1783" s="24">
        <v>0.0</v>
      </c>
      <c r="H1783" s="24">
        <v>0.0</v>
      </c>
      <c r="I1783" s="24">
        <v>94.0</v>
      </c>
      <c r="J1783" s="24">
        <v>0.0</v>
      </c>
      <c r="K1783" s="23" t="s">
        <v>34</v>
      </c>
      <c r="L1783" s="25">
        <v>43025.27670138889</v>
      </c>
      <c r="M1783" s="28"/>
      <c r="N1783" s="28"/>
      <c r="O1783" s="22" t="str">
        <f>HYPERLINK("https://pbs.twimg.com/profile_images/920284718473420800/5LcSwoqJ_normal.jpg","View")</f>
        <v>View</v>
      </c>
      <c r="P1783" s="27"/>
    </row>
    <row r="1784">
      <c r="A1784" s="14">
        <v>43031.130625000005</v>
      </c>
      <c r="B1784" s="20" t="str">
        <f>HYPERLINK("https://twitter.com/_narman_","@_narman_")</f>
        <v>@_narman_</v>
      </c>
      <c r="C1784" s="21" t="s">
        <v>4419</v>
      </c>
      <c r="D1784" s="21" t="s">
        <v>32</v>
      </c>
      <c r="E1784" s="22" t="str">
        <f>HYPERLINK("https://twitter.com/_narman_/status/922404255587340288","922404255587340288")</f>
        <v>922404255587340288</v>
      </c>
      <c r="F1784" s="23" t="s">
        <v>33</v>
      </c>
      <c r="G1784" s="24">
        <v>285.0</v>
      </c>
      <c r="H1784" s="24">
        <v>300.0</v>
      </c>
      <c r="I1784" s="24">
        <v>471.0</v>
      </c>
      <c r="J1784" s="24">
        <v>0.0</v>
      </c>
      <c r="K1784" s="23" t="s">
        <v>34</v>
      </c>
      <c r="L1784" s="25">
        <v>41393.547060185185</v>
      </c>
      <c r="M1784" s="26" t="s">
        <v>843</v>
      </c>
      <c r="N1784" s="26" t="s">
        <v>4420</v>
      </c>
      <c r="O1784" s="22" t="str">
        <f>HYPERLINK("https://pbs.twimg.com/profile_images/568081680846426112/EyCMnagj_normal.jpeg","View")</f>
        <v>View</v>
      </c>
      <c r="P1784" s="27"/>
    </row>
    <row r="1785">
      <c r="A1785" s="14">
        <v>43031.130694444444</v>
      </c>
      <c r="B1785" s="20" t="str">
        <f t="shared" ref="B1785:B1786" si="25">HYPERLINK("https://twitter.com/cartradejapan","@cartradejapan")</f>
        <v>@cartradejapan</v>
      </c>
      <c r="C1785" s="21" t="s">
        <v>2109</v>
      </c>
      <c r="D1785" s="21" t="s">
        <v>4421</v>
      </c>
      <c r="E1785" s="22" t="str">
        <f>HYPERLINK("https://twitter.com/cartradejapan/status/922404280597803010","922404280597803010")</f>
        <v>922404280597803010</v>
      </c>
      <c r="F1785" s="23" t="s">
        <v>2111</v>
      </c>
      <c r="G1785" s="24">
        <v>901.0</v>
      </c>
      <c r="H1785" s="24">
        <v>1777.0</v>
      </c>
      <c r="I1785" s="24">
        <v>0.0</v>
      </c>
      <c r="J1785" s="24">
        <v>0.0</v>
      </c>
      <c r="K1785" s="23" t="s">
        <v>34</v>
      </c>
      <c r="L1785" s="25">
        <v>41497.54555555555</v>
      </c>
      <c r="M1785" s="26" t="s">
        <v>2112</v>
      </c>
      <c r="N1785" s="26" t="s">
        <v>2113</v>
      </c>
      <c r="O1785" s="22" t="str">
        <f t="shared" ref="O1785:O1786" si="26">HYPERLINK("https://pbs.twimg.com/profile_images/595912331265085441/17hdfbuV_normal.jpg","View")</f>
        <v>View</v>
      </c>
      <c r="P1785" s="27"/>
    </row>
    <row r="1786">
      <c r="A1786" s="14">
        <v>43031.13072916667</v>
      </c>
      <c r="B1786" s="20" t="str">
        <f t="shared" si="25"/>
        <v>@cartradejapan</v>
      </c>
      <c r="C1786" s="21" t="s">
        <v>2109</v>
      </c>
      <c r="D1786" s="21" t="s">
        <v>4422</v>
      </c>
      <c r="E1786" s="22" t="str">
        <f>HYPERLINK("https://twitter.com/cartradejapan/status/922404293864390656","922404293864390656")</f>
        <v>922404293864390656</v>
      </c>
      <c r="F1786" s="23" t="s">
        <v>2111</v>
      </c>
      <c r="G1786" s="24">
        <v>901.0</v>
      </c>
      <c r="H1786" s="24">
        <v>1777.0</v>
      </c>
      <c r="I1786" s="24">
        <v>0.0</v>
      </c>
      <c r="J1786" s="24">
        <v>0.0</v>
      </c>
      <c r="K1786" s="23" t="s">
        <v>34</v>
      </c>
      <c r="L1786" s="25">
        <v>41497.54555555555</v>
      </c>
      <c r="M1786" s="26" t="s">
        <v>2112</v>
      </c>
      <c r="N1786" s="26" t="s">
        <v>2113</v>
      </c>
      <c r="O1786" s="22" t="str">
        <f t="shared" si="26"/>
        <v>View</v>
      </c>
      <c r="P1786" s="27"/>
    </row>
    <row r="1787">
      <c r="A1787" s="14">
        <v>43031.13081018519</v>
      </c>
      <c r="B1787" s="20" t="str">
        <f>HYPERLINK("https://twitter.com/DetroitSmg_BOB","@DetroitSmg_BOB")</f>
        <v>@DetroitSmg_BOB</v>
      </c>
      <c r="C1787" s="21" t="s">
        <v>4423</v>
      </c>
      <c r="D1787" s="21" t="s">
        <v>760</v>
      </c>
      <c r="E1787" s="22" t="str">
        <f>HYPERLINK("https://twitter.com/DetroitSmg_BOB/status/922404322377420800","922404322377420800")</f>
        <v>922404322377420800</v>
      </c>
      <c r="F1787" s="23" t="s">
        <v>33</v>
      </c>
      <c r="G1787" s="24">
        <v>32.0</v>
      </c>
      <c r="H1787" s="24">
        <v>295.0</v>
      </c>
      <c r="I1787" s="24">
        <v>62.0</v>
      </c>
      <c r="J1787" s="24">
        <v>0.0</v>
      </c>
      <c r="K1787" s="23" t="s">
        <v>34</v>
      </c>
      <c r="L1787" s="25">
        <v>43026.06149305556</v>
      </c>
      <c r="M1787" s="26" t="s">
        <v>4424</v>
      </c>
      <c r="N1787" s="26" t="s">
        <v>4425</v>
      </c>
      <c r="O1787" s="22" t="str">
        <f>HYPERLINK("https://pbs.twimg.com/profile_images/920910375255789568/_peLC4ku_normal.jpg","View")</f>
        <v>View</v>
      </c>
      <c r="P1787" s="27"/>
    </row>
    <row r="1788">
      <c r="A1788" s="14">
        <v>43031.13082175926</v>
      </c>
      <c r="B1788" s="20" t="str">
        <f>HYPERLINK("https://twitter.com/vrai777","@vrai777")</f>
        <v>@vrai777</v>
      </c>
      <c r="C1788" s="21" t="s">
        <v>1770</v>
      </c>
      <c r="D1788" s="21" t="s">
        <v>4426</v>
      </c>
      <c r="E1788" s="22" t="str">
        <f>HYPERLINK("https://twitter.com/vrai777/status/922404325128855552","922404325128855552")</f>
        <v>922404325128855552</v>
      </c>
      <c r="F1788" s="23" t="s">
        <v>187</v>
      </c>
      <c r="G1788" s="24">
        <v>7944.0</v>
      </c>
      <c r="H1788" s="24">
        <v>71.0</v>
      </c>
      <c r="I1788" s="24">
        <v>0.0</v>
      </c>
      <c r="J1788" s="24">
        <v>0.0</v>
      </c>
      <c r="K1788" s="23" t="s">
        <v>34</v>
      </c>
      <c r="L1788" s="25">
        <v>39878.7593287037</v>
      </c>
      <c r="M1788" s="26" t="s">
        <v>1024</v>
      </c>
      <c r="N1788" s="26" t="s">
        <v>1772</v>
      </c>
      <c r="O1788" s="22" t="str">
        <f>HYPERLINK("https://pbs.twimg.com/profile_images/688775800284266496/qhWTo08H_normal.png","View")</f>
        <v>View</v>
      </c>
      <c r="P1788" s="27"/>
    </row>
    <row r="1789">
      <c r="A1789" s="14">
        <v>43031.13085648148</v>
      </c>
      <c r="B1789" s="20" t="str">
        <f>HYPERLINK("https://twitter.com/CollectedN","@CollectedN")</f>
        <v>@CollectedN</v>
      </c>
      <c r="C1789" s="21" t="s">
        <v>3553</v>
      </c>
      <c r="D1789" s="21" t="s">
        <v>4427</v>
      </c>
      <c r="E1789" s="22" t="str">
        <f>HYPERLINK("https://twitter.com/CollectedN/status/922404338047340544","922404338047340544")</f>
        <v>922404338047340544</v>
      </c>
      <c r="F1789" s="23" t="s">
        <v>187</v>
      </c>
      <c r="G1789" s="24">
        <v>21993.0</v>
      </c>
      <c r="H1789" s="24">
        <v>16541.0</v>
      </c>
      <c r="I1789" s="24">
        <v>0.0</v>
      </c>
      <c r="J1789" s="24">
        <v>0.0</v>
      </c>
      <c r="K1789" s="23" t="s">
        <v>34</v>
      </c>
      <c r="L1789" s="25">
        <v>41333.76840277778</v>
      </c>
      <c r="M1789" s="28"/>
      <c r="N1789" s="26" t="s">
        <v>3555</v>
      </c>
      <c r="O1789" s="22" t="str">
        <f>HYPERLINK("https://pbs.twimg.com/profile_images/705925817277108224/nGS1Ko7F_normal.jpg","View")</f>
        <v>View</v>
      </c>
      <c r="P1789" s="27"/>
    </row>
    <row r="1790">
      <c r="A1790" s="14">
        <v>43031.13085648148</v>
      </c>
      <c r="B1790" s="20" t="str">
        <f>HYPERLINK("https://twitter.com/drpersuasion","@drpersuasion")</f>
        <v>@drpersuasion</v>
      </c>
      <c r="C1790" s="21" t="s">
        <v>4428</v>
      </c>
      <c r="D1790" s="21" t="s">
        <v>4429</v>
      </c>
      <c r="E1790" s="22" t="str">
        <f>HYPERLINK("https://twitter.com/drpersuasion/status/922404340173701121","922404340173701121")</f>
        <v>922404340173701121</v>
      </c>
      <c r="F1790" s="23" t="s">
        <v>55</v>
      </c>
      <c r="G1790" s="24">
        <v>8269.0</v>
      </c>
      <c r="H1790" s="24">
        <v>2886.0</v>
      </c>
      <c r="I1790" s="24">
        <v>0.0</v>
      </c>
      <c r="J1790" s="24">
        <v>1.0</v>
      </c>
      <c r="K1790" s="23" t="s">
        <v>34</v>
      </c>
      <c r="L1790" s="25">
        <v>39792.241944444446</v>
      </c>
      <c r="M1790" s="26" t="s">
        <v>853</v>
      </c>
      <c r="N1790" s="26" t="s">
        <v>4430</v>
      </c>
      <c r="O1790" s="22" t="str">
        <f>HYPERLINK("https://pbs.twimg.com/profile_images/915750608929357825/uCcob_3y_normal.jpg","View")</f>
        <v>View</v>
      </c>
      <c r="P1790" s="27"/>
    </row>
    <row r="1791">
      <c r="A1791" s="14">
        <v>43031.13086805555</v>
      </c>
      <c r="B1791" s="20" t="str">
        <f>HYPERLINK("https://twitter.com/funvavahna","@funvavahna")</f>
        <v>@funvavahna</v>
      </c>
      <c r="C1791" s="21" t="s">
        <v>4431</v>
      </c>
      <c r="D1791" s="21" t="s">
        <v>4386</v>
      </c>
      <c r="E1791" s="22" t="str">
        <f>HYPERLINK("https://twitter.com/funvavahna/status/922404344061816832","922404344061816832")</f>
        <v>922404344061816832</v>
      </c>
      <c r="F1791" s="23" t="s">
        <v>39</v>
      </c>
      <c r="G1791" s="24">
        <v>560.0</v>
      </c>
      <c r="H1791" s="24">
        <v>529.0</v>
      </c>
      <c r="I1791" s="24">
        <v>16.0</v>
      </c>
      <c r="J1791" s="24">
        <v>0.0</v>
      </c>
      <c r="K1791" s="23" t="s">
        <v>34</v>
      </c>
      <c r="L1791" s="25">
        <v>41830.372719907406</v>
      </c>
      <c r="M1791" s="26" t="s">
        <v>4432</v>
      </c>
      <c r="N1791" s="26" t="s">
        <v>4433</v>
      </c>
      <c r="O1791" s="22" t="str">
        <f>HYPERLINK("https://pbs.twimg.com/profile_images/816856133700722688/B-9ZGT2f_normal.jpg","View")</f>
        <v>View</v>
      </c>
      <c r="P1791" s="27"/>
    </row>
    <row r="1792">
      <c r="A1792" s="14">
        <v>43031.1309375</v>
      </c>
      <c r="B1792" s="20" t="str">
        <f>HYPERLINK("https://twitter.com/jimmypedya","@jimmypedya")</f>
        <v>@jimmypedya</v>
      </c>
      <c r="C1792" s="21" t="s">
        <v>4434</v>
      </c>
      <c r="D1792" s="21" t="s">
        <v>4435</v>
      </c>
      <c r="E1792" s="22" t="str">
        <f>HYPERLINK("https://twitter.com/jimmypedya/status/922404367445082112","922404367445082112")</f>
        <v>922404367445082112</v>
      </c>
      <c r="F1792" s="23" t="s">
        <v>33</v>
      </c>
      <c r="G1792" s="24">
        <v>3567.0</v>
      </c>
      <c r="H1792" s="24">
        <v>4956.0</v>
      </c>
      <c r="I1792" s="24">
        <v>0.0</v>
      </c>
      <c r="J1792" s="24">
        <v>0.0</v>
      </c>
      <c r="K1792" s="23" t="s">
        <v>34</v>
      </c>
      <c r="L1792" s="25">
        <v>41885.91454861111</v>
      </c>
      <c r="M1792" s="26" t="s">
        <v>3453</v>
      </c>
      <c r="N1792" s="26" t="s">
        <v>4436</v>
      </c>
      <c r="O1792" s="22" t="str">
        <f>HYPERLINK("https://pbs.twimg.com/profile_images/885721875908771840/SBvCQe6__normal.jpg","View")</f>
        <v>View</v>
      </c>
      <c r="P1792" s="27"/>
    </row>
    <row r="1793">
      <c r="A1793" s="14">
        <v>43031.1309375</v>
      </c>
      <c r="B1793" s="20" t="str">
        <f>HYPERLINK("https://twitter.com/TopFiveTraders","@TopFiveTraders")</f>
        <v>@TopFiveTraders</v>
      </c>
      <c r="C1793" s="21" t="s">
        <v>1984</v>
      </c>
      <c r="D1793" s="21" t="s">
        <v>4437</v>
      </c>
      <c r="E1793" s="22" t="str">
        <f>HYPERLINK("https://twitter.com/TopFiveTraders/status/922404370091859969","922404370091859969")</f>
        <v>922404370091859969</v>
      </c>
      <c r="F1793" s="23" t="s">
        <v>187</v>
      </c>
      <c r="G1793" s="24">
        <v>8168.0</v>
      </c>
      <c r="H1793" s="24">
        <v>6711.0</v>
      </c>
      <c r="I1793" s="24">
        <v>0.0</v>
      </c>
      <c r="J1793" s="24">
        <v>0.0</v>
      </c>
      <c r="K1793" s="23" t="s">
        <v>34</v>
      </c>
      <c r="L1793" s="25">
        <v>41573.484201388885</v>
      </c>
      <c r="M1793" s="26" t="s">
        <v>1986</v>
      </c>
      <c r="N1793" s="26" t="s">
        <v>1987</v>
      </c>
      <c r="O1793" s="22" t="str">
        <f>HYPERLINK("https://pbs.twimg.com/profile_images/729113141444026370/hi202Ffp_normal.jpg","View")</f>
        <v>View</v>
      </c>
      <c r="P1793" s="27"/>
    </row>
    <row r="1794">
      <c r="A1794" s="14">
        <v>43031.130949074075</v>
      </c>
      <c r="B1794" s="20" t="str">
        <f>HYPERLINK("https://twitter.com/Belindagallman","@Belindagallman")</f>
        <v>@Belindagallman</v>
      </c>
      <c r="C1794" s="21" t="s">
        <v>4438</v>
      </c>
      <c r="D1794" s="21" t="s">
        <v>4386</v>
      </c>
      <c r="E1794" s="22" t="str">
        <f>HYPERLINK("https://twitter.com/Belindagallman/status/922404371710783488","922404371710783488")</f>
        <v>922404371710783488</v>
      </c>
      <c r="F1794" s="23" t="s">
        <v>4439</v>
      </c>
      <c r="G1794" s="24">
        <v>1500.0</v>
      </c>
      <c r="H1794" s="24">
        <v>1362.0</v>
      </c>
      <c r="I1794" s="24">
        <v>16.0</v>
      </c>
      <c r="J1794" s="24">
        <v>0.0</v>
      </c>
      <c r="K1794" s="23" t="s">
        <v>34</v>
      </c>
      <c r="L1794" s="25">
        <v>41532.701886574076</v>
      </c>
      <c r="M1794" s="26" t="s">
        <v>4440</v>
      </c>
      <c r="N1794" s="26" t="s">
        <v>4441</v>
      </c>
      <c r="O1794" s="22" t="str">
        <f>HYPERLINK("https://pbs.twimg.com/profile_images/378800000463762086/5dd7ce25514728cb72a2afa9150bec23_normal.jpeg","View")</f>
        <v>View</v>
      </c>
      <c r="P1794" s="27"/>
    </row>
    <row r="1795">
      <c r="A1795" s="14">
        <v>43031.13096064815</v>
      </c>
      <c r="B1795" s="20" t="str">
        <f>HYPERLINK("https://twitter.com/shivams623","@shivams623")</f>
        <v>@shivams623</v>
      </c>
      <c r="C1795" s="21" t="s">
        <v>4442</v>
      </c>
      <c r="D1795" s="21" t="s">
        <v>42</v>
      </c>
      <c r="E1795" s="22" t="str">
        <f>HYPERLINK("https://twitter.com/shivams623/status/922404376563548160","922404376563548160")</f>
        <v>922404376563548160</v>
      </c>
      <c r="F1795" s="23" t="s">
        <v>33</v>
      </c>
      <c r="G1795" s="24">
        <v>12.0</v>
      </c>
      <c r="H1795" s="24">
        <v>67.0</v>
      </c>
      <c r="I1795" s="24">
        <v>8501.0</v>
      </c>
      <c r="J1795" s="24">
        <v>0.0</v>
      </c>
      <c r="K1795" s="23" t="s">
        <v>34</v>
      </c>
      <c r="L1795" s="25">
        <v>42878.4515162037</v>
      </c>
      <c r="M1795" s="26" t="s">
        <v>2020</v>
      </c>
      <c r="N1795" s="26" t="s">
        <v>4443</v>
      </c>
      <c r="O1795" s="22" t="str">
        <f>HYPERLINK("https://pbs.twimg.com/profile_images/899144308988682240/mi_xhKcu_normal.jpg","View")</f>
        <v>View</v>
      </c>
      <c r="P1795" s="27"/>
    </row>
    <row r="1796">
      <c r="A1796" s="14">
        <v>43031.1309837963</v>
      </c>
      <c r="B1796" s="20" t="str">
        <f>HYPERLINK("https://twitter.com/FogodoEon","@FogodoEon")</f>
        <v>@FogodoEon</v>
      </c>
      <c r="C1796" s="21" t="s">
        <v>4444</v>
      </c>
      <c r="D1796" s="21" t="s">
        <v>42</v>
      </c>
      <c r="E1796" s="22" t="str">
        <f>HYPERLINK("https://twitter.com/FogodoEon/status/922404383836401667","922404383836401667")</f>
        <v>922404383836401667</v>
      </c>
      <c r="F1796" s="23" t="s">
        <v>33</v>
      </c>
      <c r="G1796" s="24">
        <v>701.0</v>
      </c>
      <c r="H1796" s="24">
        <v>486.0</v>
      </c>
      <c r="I1796" s="24">
        <v>8501.0</v>
      </c>
      <c r="J1796" s="24">
        <v>0.0</v>
      </c>
      <c r="K1796" s="23" t="s">
        <v>34</v>
      </c>
      <c r="L1796" s="25">
        <v>40515.37106481481</v>
      </c>
      <c r="M1796" s="26" t="s">
        <v>4445</v>
      </c>
      <c r="N1796" s="26" t="s">
        <v>4446</v>
      </c>
      <c r="O1796" s="22" t="str">
        <f>HYPERLINK("https://pbs.twimg.com/profile_images/1182337525/_ndice_normal.jpeg","View")</f>
        <v>View</v>
      </c>
      <c r="P1796" s="27"/>
    </row>
    <row r="1797">
      <c r="A1797" s="14">
        <v>43031.1309837963</v>
      </c>
      <c r="B1797" s="20" t="str">
        <f>HYPERLINK("https://twitter.com/_MichaelHart","@_MichaelHart")</f>
        <v>@_MichaelHart</v>
      </c>
      <c r="C1797" s="21" t="s">
        <v>4447</v>
      </c>
      <c r="D1797" s="21" t="s">
        <v>4386</v>
      </c>
      <c r="E1797" s="22" t="str">
        <f>HYPERLINK("https://twitter.com/_MichaelHart/status/922404386864812033","922404386864812033")</f>
        <v>922404386864812033</v>
      </c>
      <c r="F1797" s="23" t="s">
        <v>55</v>
      </c>
      <c r="G1797" s="24">
        <v>19.0</v>
      </c>
      <c r="H1797" s="24">
        <v>125.0</v>
      </c>
      <c r="I1797" s="24">
        <v>16.0</v>
      </c>
      <c r="J1797" s="24">
        <v>0.0</v>
      </c>
      <c r="K1797" s="23" t="s">
        <v>34</v>
      </c>
      <c r="L1797" s="25">
        <v>42992.24438657408</v>
      </c>
      <c r="M1797" s="26" t="s">
        <v>708</v>
      </c>
      <c r="N1797" s="26" t="s">
        <v>4448</v>
      </c>
      <c r="O1797" s="22" t="str">
        <f>HYPERLINK("https://pbs.twimg.com/profile_images/908316868481560576/5LFB4MGd_normal.jpg","View")</f>
        <v>View</v>
      </c>
      <c r="P1797" s="27"/>
    </row>
    <row r="1798">
      <c r="A1798" s="14">
        <v>43031.130995370375</v>
      </c>
      <c r="B1798" s="20" t="str">
        <f>HYPERLINK("https://twitter.com/ChristinaLongfe","@ChristinaLongfe")</f>
        <v>@ChristinaLongfe</v>
      </c>
      <c r="C1798" s="21" t="s">
        <v>4449</v>
      </c>
      <c r="D1798" s="21" t="s">
        <v>4386</v>
      </c>
      <c r="E1798" s="22" t="str">
        <f>HYPERLINK("https://twitter.com/ChristinaLongfe/status/922404391059185664","922404391059185664")</f>
        <v>922404391059185664</v>
      </c>
      <c r="F1798" s="23" t="s">
        <v>4450</v>
      </c>
      <c r="G1798" s="24">
        <v>1717.0</v>
      </c>
      <c r="H1798" s="24">
        <v>1593.0</v>
      </c>
      <c r="I1798" s="24">
        <v>16.0</v>
      </c>
      <c r="J1798" s="24">
        <v>0.0</v>
      </c>
      <c r="K1798" s="23" t="s">
        <v>34</v>
      </c>
      <c r="L1798" s="25">
        <v>41447.20568287037</v>
      </c>
      <c r="M1798" s="26" t="s">
        <v>4451</v>
      </c>
      <c r="N1798" s="26" t="s">
        <v>4452</v>
      </c>
      <c r="O1798" s="22" t="str">
        <f>HYPERLINK("https://pbs.twimg.com/profile_images/378800000029064184/f6bdfb7251d3e8417ac8a8f75ab60850_normal.jpeg","View")</f>
        <v>View</v>
      </c>
      <c r="P1798" s="27"/>
    </row>
    <row r="1799">
      <c r="A1799" s="14">
        <v>43031.13109953704</v>
      </c>
      <c r="B1799" s="20" t="str">
        <f>HYPERLINK("https://twitter.com/junipertesh","@junipertesh")</f>
        <v>@junipertesh</v>
      </c>
      <c r="C1799" s="21" t="s">
        <v>4453</v>
      </c>
      <c r="D1799" s="21" t="s">
        <v>32</v>
      </c>
      <c r="E1799" s="22" t="str">
        <f>HYPERLINK("https://twitter.com/junipertesh/status/922404425255280640","922404425255280640")</f>
        <v>922404425255280640</v>
      </c>
      <c r="F1799" s="23" t="s">
        <v>43</v>
      </c>
      <c r="G1799" s="24">
        <v>966.0</v>
      </c>
      <c r="H1799" s="24">
        <v>669.0</v>
      </c>
      <c r="I1799" s="24">
        <v>471.0</v>
      </c>
      <c r="J1799" s="24">
        <v>0.0</v>
      </c>
      <c r="K1799" s="23" t="s">
        <v>34</v>
      </c>
      <c r="L1799" s="25">
        <v>40731.06145833334</v>
      </c>
      <c r="M1799" s="26" t="s">
        <v>4454</v>
      </c>
      <c r="N1799" s="26" t="s">
        <v>4455</v>
      </c>
      <c r="O1799" s="22" t="str">
        <f>HYPERLINK("https://pbs.twimg.com/profile_images/914721986760314880/tI4sj38R_normal.jpg","View")</f>
        <v>View</v>
      </c>
      <c r="P1799" s="27"/>
    </row>
    <row r="1800">
      <c r="A1800" s="14">
        <v>43031.131157407406</v>
      </c>
      <c r="B1800" s="20" t="str">
        <f>HYPERLINK("https://twitter.com/CrossbridgeView","@CrossbridgeView")</f>
        <v>@CrossbridgeView</v>
      </c>
      <c r="C1800" s="21" t="s">
        <v>4456</v>
      </c>
      <c r="D1800" s="21" t="s">
        <v>4457</v>
      </c>
      <c r="E1800" s="22" t="str">
        <f>HYPERLINK("https://twitter.com/CrossbridgeView/status/922404448902766592","922404448902766592")</f>
        <v>922404448902766592</v>
      </c>
      <c r="F1800" s="23" t="s">
        <v>55</v>
      </c>
      <c r="G1800" s="24">
        <v>222.0</v>
      </c>
      <c r="H1800" s="24">
        <v>291.0</v>
      </c>
      <c r="I1800" s="24">
        <v>1.0</v>
      </c>
      <c r="J1800" s="24">
        <v>1.0</v>
      </c>
      <c r="K1800" s="23" t="s">
        <v>34</v>
      </c>
      <c r="L1800" s="25">
        <v>40928.38015046297</v>
      </c>
      <c r="M1800" s="26" t="s">
        <v>590</v>
      </c>
      <c r="N1800" s="26" t="s">
        <v>4458</v>
      </c>
      <c r="O1800" s="22" t="str">
        <f>HYPERLINK("https://pbs.twimg.com/profile_images/1785026172/crossbridgecapital_normal.jpg","View")</f>
        <v>View</v>
      </c>
      <c r="P1800" s="27"/>
    </row>
    <row r="1801">
      <c r="A1801" s="14">
        <v>43031.13118055556</v>
      </c>
      <c r="B1801" s="20" t="str">
        <f>HYPERLINK("https://twitter.com/Barasa89","@Barasa89")</f>
        <v>@Barasa89</v>
      </c>
      <c r="C1801" s="21" t="s">
        <v>4459</v>
      </c>
      <c r="D1801" s="21" t="s">
        <v>4260</v>
      </c>
      <c r="E1801" s="22" t="str">
        <f>HYPERLINK("https://twitter.com/Barasa89/status/922404457568198656","922404457568198656")</f>
        <v>922404457568198656</v>
      </c>
      <c r="F1801" s="23" t="s">
        <v>33</v>
      </c>
      <c r="G1801" s="24">
        <v>643.0</v>
      </c>
      <c r="H1801" s="24">
        <v>463.0</v>
      </c>
      <c r="I1801" s="24">
        <v>3.0</v>
      </c>
      <c r="J1801" s="24">
        <v>0.0</v>
      </c>
      <c r="K1801" s="23" t="s">
        <v>34</v>
      </c>
      <c r="L1801" s="25">
        <v>41730.15368055555</v>
      </c>
      <c r="M1801" s="28"/>
      <c r="N1801" s="26" t="s">
        <v>4460</v>
      </c>
      <c r="O1801" s="22" t="str">
        <f>HYPERLINK("https://pbs.twimg.com/profile_images/819845661172658176/NhXCjfVm_normal.jpg","View")</f>
        <v>View</v>
      </c>
      <c r="P1801" s="27"/>
    </row>
    <row r="1802">
      <c r="A1802" s="14">
        <v>43031.13119212963</v>
      </c>
      <c r="B1802" s="20" t="str">
        <f>HYPERLINK("https://twitter.com/abosife2010","@abosife2010")</f>
        <v>@abosife2010</v>
      </c>
      <c r="C1802" s="21" t="s">
        <v>1585</v>
      </c>
      <c r="D1802" s="21" t="s">
        <v>4291</v>
      </c>
      <c r="E1802" s="22" t="str">
        <f>HYPERLINK("https://twitter.com/abosife2010/status/922404459975766016","922404459975766016")</f>
        <v>922404459975766016</v>
      </c>
      <c r="F1802" s="23" t="s">
        <v>43</v>
      </c>
      <c r="G1802" s="24">
        <v>1145.0</v>
      </c>
      <c r="H1802" s="24">
        <v>3102.0</v>
      </c>
      <c r="I1802" s="24">
        <v>3.0</v>
      </c>
      <c r="J1802" s="24">
        <v>0.0</v>
      </c>
      <c r="K1802" s="23" t="s">
        <v>34</v>
      </c>
      <c r="L1802" s="25">
        <v>40712.519224537034</v>
      </c>
      <c r="M1802" s="32" t="s">
        <v>1586</v>
      </c>
      <c r="N1802" s="26" t="s">
        <v>1587</v>
      </c>
      <c r="O1802" s="22" t="str">
        <f>HYPERLINK("https://pbs.twimg.com/profile_images/869146010953682944/tD96CxJ8_normal.jpg","View")</f>
        <v>View</v>
      </c>
      <c r="P1802" s="27"/>
    </row>
    <row r="1803">
      <c r="A1803" s="14">
        <v>43031.131261574075</v>
      </c>
      <c r="B1803" s="20" t="str">
        <f>HYPERLINK("https://twitter.com/PHINewsNet2","@PHINewsNet2")</f>
        <v>@PHINewsNet2</v>
      </c>
      <c r="C1803" s="21" t="s">
        <v>4461</v>
      </c>
      <c r="D1803" s="21" t="s">
        <v>4462</v>
      </c>
      <c r="E1803" s="22" t="str">
        <f>HYPERLINK("https://twitter.com/PHINewsNet2/status/922404487515406337","922404487515406337")</f>
        <v>922404487515406337</v>
      </c>
      <c r="F1803" s="23" t="s">
        <v>769</v>
      </c>
      <c r="G1803" s="24">
        <v>182.0</v>
      </c>
      <c r="H1803" s="24">
        <v>140.0</v>
      </c>
      <c r="I1803" s="24">
        <v>0.0</v>
      </c>
      <c r="J1803" s="24">
        <v>0.0</v>
      </c>
      <c r="K1803" s="23" t="s">
        <v>34</v>
      </c>
      <c r="L1803" s="25">
        <v>42876.17359953704</v>
      </c>
      <c r="M1803" s="26" t="s">
        <v>3327</v>
      </c>
      <c r="N1803" s="26" t="s">
        <v>4463</v>
      </c>
      <c r="O1803" s="22" t="str">
        <f>HYPERLINK("https://pbs.twimg.com/profile_images/901646404447158272/6-pa6bGC_normal.jpg","View")</f>
        <v>View</v>
      </c>
      <c r="P1803" s="27"/>
    </row>
    <row r="1804">
      <c r="A1804" s="14">
        <v>43031.1312962963</v>
      </c>
      <c r="B1804" s="20" t="str">
        <f>HYPERLINK("https://twitter.com/TKCTL","@TKCTL")</f>
        <v>@TKCTL</v>
      </c>
      <c r="C1804" s="21" t="s">
        <v>4464</v>
      </c>
      <c r="D1804" s="21" t="s">
        <v>4465</v>
      </c>
      <c r="E1804" s="22" t="str">
        <f>HYPERLINK("https://twitter.com/TKCTL/status/922404500073099265","922404500073099265")</f>
        <v>922404500073099265</v>
      </c>
      <c r="F1804" s="30" t="s">
        <v>411</v>
      </c>
      <c r="G1804" s="24">
        <v>307.0</v>
      </c>
      <c r="H1804" s="24">
        <v>635.0</v>
      </c>
      <c r="I1804" s="24">
        <v>0.0</v>
      </c>
      <c r="J1804" s="24">
        <v>0.0</v>
      </c>
      <c r="K1804" s="23" t="s">
        <v>34</v>
      </c>
      <c r="L1804" s="25">
        <v>42221.81671296296</v>
      </c>
      <c r="M1804" s="28"/>
      <c r="N1804" s="28"/>
      <c r="O1804" s="22" t="str">
        <f>HYPERLINK("https://abs.twimg.com/sticky/default_profile_images/default_profile_normal.png","View")</f>
        <v>View</v>
      </c>
      <c r="P1804" s="27"/>
    </row>
    <row r="1805">
      <c r="A1805" s="14">
        <v>43031.13133101852</v>
      </c>
      <c r="B1805" s="20" t="str">
        <f>HYPERLINK("https://twitter.com/AKSHATPATIDAR","@AKSHATPATIDAR")</f>
        <v>@AKSHATPATIDAR</v>
      </c>
      <c r="C1805" s="21" t="s">
        <v>4466</v>
      </c>
      <c r="D1805" s="21" t="s">
        <v>42</v>
      </c>
      <c r="E1805" s="22" t="str">
        <f>HYPERLINK("https://twitter.com/AKSHATPATIDAR/status/922404509728391169","922404509728391169")</f>
        <v>922404509728391169</v>
      </c>
      <c r="F1805" s="23" t="s">
        <v>39</v>
      </c>
      <c r="G1805" s="24">
        <v>370.0</v>
      </c>
      <c r="H1805" s="24">
        <v>1301.0</v>
      </c>
      <c r="I1805" s="24">
        <v>8501.0</v>
      </c>
      <c r="J1805" s="24">
        <v>0.0</v>
      </c>
      <c r="K1805" s="23" t="s">
        <v>34</v>
      </c>
      <c r="L1805" s="25">
        <v>40308.0258912037</v>
      </c>
      <c r="M1805" s="28"/>
      <c r="N1805" s="26" t="s">
        <v>4467</v>
      </c>
      <c r="O1805" s="22" t="str">
        <f>HYPERLINK("https://pbs.twimg.com/profile_images/909439489075851264/6399mFPP_normal.jpg","View")</f>
        <v>View</v>
      </c>
      <c r="P1805" s="27"/>
    </row>
    <row r="1806">
      <c r="A1806" s="14">
        <v>43031.13133101852</v>
      </c>
      <c r="B1806" s="20" t="str">
        <f>HYPERLINK("https://twitter.com/Chakradhar2311","@Chakradhar2311")</f>
        <v>@Chakradhar2311</v>
      </c>
      <c r="C1806" s="21" t="s">
        <v>4468</v>
      </c>
      <c r="D1806" s="21" t="s">
        <v>42</v>
      </c>
      <c r="E1806" s="22" t="str">
        <f>HYPERLINK("https://twitter.com/Chakradhar2311/status/922404509732691968","922404509732691968")</f>
        <v>922404509732691968</v>
      </c>
      <c r="F1806" s="23" t="s">
        <v>33</v>
      </c>
      <c r="G1806" s="24">
        <v>1859.0</v>
      </c>
      <c r="H1806" s="24">
        <v>4234.0</v>
      </c>
      <c r="I1806" s="24">
        <v>8501.0</v>
      </c>
      <c r="J1806" s="24">
        <v>0.0</v>
      </c>
      <c r="K1806" s="23" t="s">
        <v>34</v>
      </c>
      <c r="L1806" s="25">
        <v>42560.16494212963</v>
      </c>
      <c r="M1806" s="26" t="s">
        <v>572</v>
      </c>
      <c r="N1806" s="26" t="s">
        <v>4469</v>
      </c>
      <c r="O1806" s="22" t="str">
        <f>HYPERLINK("https://pbs.twimg.com/profile_images/756492879258714113/Ru88L76Z_normal.jpg","View")</f>
        <v>View</v>
      </c>
      <c r="P1806" s="27"/>
    </row>
    <row r="1807">
      <c r="A1807" s="14">
        <v>43031.131365740745</v>
      </c>
      <c r="B1807" s="20" t="str">
        <f>HYPERLINK("https://twitter.com/rafaelangel0812","@rafaelangel0812")</f>
        <v>@rafaelangel0812</v>
      </c>
      <c r="C1807" s="21" t="s">
        <v>4470</v>
      </c>
      <c r="D1807" s="21" t="s">
        <v>4471</v>
      </c>
      <c r="E1807" s="22" t="str">
        <f>HYPERLINK("https://twitter.com/rafaelangel0812/status/922404524630925312","922404524630925312")</f>
        <v>922404524630925312</v>
      </c>
      <c r="F1807" s="23" t="s">
        <v>187</v>
      </c>
      <c r="G1807" s="24">
        <v>266.0</v>
      </c>
      <c r="H1807" s="24">
        <v>285.0</v>
      </c>
      <c r="I1807" s="24">
        <v>0.0</v>
      </c>
      <c r="J1807" s="24">
        <v>0.0</v>
      </c>
      <c r="K1807" s="23" t="s">
        <v>34</v>
      </c>
      <c r="L1807" s="25">
        <v>42695.84065972222</v>
      </c>
      <c r="M1807" s="26" t="s">
        <v>4472</v>
      </c>
      <c r="N1807" s="26" t="s">
        <v>4473</v>
      </c>
      <c r="O1807" s="22" t="str">
        <f>HYPERLINK("https://pbs.twimg.com/profile_images/844730128311705601/dbv74UTC_normal.jpg","View")</f>
        <v>View</v>
      </c>
      <c r="P1807" s="27"/>
    </row>
    <row r="1808">
      <c r="A1808" s="14">
        <v>43031.13140046297</v>
      </c>
      <c r="B1808" s="20" t="str">
        <f>HYPERLINK("https://twitter.com/OverTheMoonbat","@OverTheMoonbat")</f>
        <v>@OverTheMoonbat</v>
      </c>
      <c r="C1808" s="21" t="s">
        <v>4474</v>
      </c>
      <c r="D1808" s="21" t="s">
        <v>4475</v>
      </c>
      <c r="E1808" s="22" t="str">
        <f>HYPERLINK("https://twitter.com/OverTheMoonbat/status/922404537176023045","922404537176023045")</f>
        <v>922404537176023045</v>
      </c>
      <c r="F1808" s="23" t="s">
        <v>55</v>
      </c>
      <c r="G1808" s="24">
        <v>11027.0</v>
      </c>
      <c r="H1808" s="24">
        <v>12017.0</v>
      </c>
      <c r="I1808" s="24">
        <v>0.0</v>
      </c>
      <c r="J1808" s="24">
        <v>0.0</v>
      </c>
      <c r="K1808" s="23" t="s">
        <v>34</v>
      </c>
      <c r="L1808" s="25">
        <v>40896.593831018516</v>
      </c>
      <c r="M1808" s="28"/>
      <c r="N1808" s="26" t="s">
        <v>4476</v>
      </c>
      <c r="O1808" s="22" t="str">
        <f>HYPERLINK("https://pbs.twimg.com/profile_images/823236506932236288/SlElOA6Z_normal.jpg","View")</f>
        <v>View</v>
      </c>
      <c r="P1808" s="27"/>
    </row>
    <row r="1809">
      <c r="A1809" s="14">
        <v>43031.13148148148</v>
      </c>
      <c r="B1809" s="20" t="str">
        <f>HYPERLINK("https://twitter.com/ShakilAhmed_2","@ShakilAhmed_2")</f>
        <v>@ShakilAhmed_2</v>
      </c>
      <c r="C1809" s="21" t="s">
        <v>4477</v>
      </c>
      <c r="D1809" s="21" t="s">
        <v>4386</v>
      </c>
      <c r="E1809" s="22" t="str">
        <f>HYPERLINK("https://twitter.com/ShakilAhmed_2/status/922404565747675136","922404565747675136")</f>
        <v>922404565747675136</v>
      </c>
      <c r="F1809" s="23" t="s">
        <v>33</v>
      </c>
      <c r="G1809" s="24">
        <v>37.0</v>
      </c>
      <c r="H1809" s="24">
        <v>111.0</v>
      </c>
      <c r="I1809" s="24">
        <v>16.0</v>
      </c>
      <c r="J1809" s="24">
        <v>0.0</v>
      </c>
      <c r="K1809" s="23" t="s">
        <v>34</v>
      </c>
      <c r="L1809" s="25">
        <v>43024.77232638889</v>
      </c>
      <c r="M1809" s="26" t="s">
        <v>4111</v>
      </c>
      <c r="N1809" s="26" t="s">
        <v>4478</v>
      </c>
      <c r="O1809" s="22" t="str">
        <f>HYPERLINK("https://pbs.twimg.com/profile_images/921580212516806656/Xi1EqSeV_normal.jpg","View")</f>
        <v>View</v>
      </c>
      <c r="P1809" s="27"/>
    </row>
    <row r="1810">
      <c r="A1810" s="14">
        <v>43031.131643518514</v>
      </c>
      <c r="B1810" s="20" t="str">
        <f>HYPERLINK("https://twitter.com/rnviva","@rnviva")</f>
        <v>@rnviva</v>
      </c>
      <c r="C1810" s="21" t="s">
        <v>4479</v>
      </c>
      <c r="D1810" s="21" t="s">
        <v>42</v>
      </c>
      <c r="E1810" s="22" t="str">
        <f>HYPERLINK("https://twitter.com/rnviva/status/922404624853647360","922404624853647360")</f>
        <v>922404624853647360</v>
      </c>
      <c r="F1810" s="23" t="s">
        <v>33</v>
      </c>
      <c r="G1810" s="24">
        <v>577.0</v>
      </c>
      <c r="H1810" s="24">
        <v>1059.0</v>
      </c>
      <c r="I1810" s="24">
        <v>8501.0</v>
      </c>
      <c r="J1810" s="24">
        <v>0.0</v>
      </c>
      <c r="K1810" s="23" t="s">
        <v>34</v>
      </c>
      <c r="L1810" s="25">
        <v>40181.97767361111</v>
      </c>
      <c r="M1810" s="26" t="s">
        <v>4480</v>
      </c>
      <c r="N1810" s="26" t="s">
        <v>4481</v>
      </c>
      <c r="O1810" s="22" t="str">
        <f>HYPERLINK("https://pbs.twimg.com/profile_images/896424854336921600/XSWOR8Or_normal.jpg","View")</f>
        <v>View</v>
      </c>
      <c r="P1810" s="27"/>
    </row>
    <row r="1811">
      <c r="A1811" s="14">
        <v>43031.13175925926</v>
      </c>
      <c r="B1811" s="20" t="str">
        <f>HYPERLINK("https://twitter.com/NetWorkWriter","@NetWorkWriter")</f>
        <v>@NetWorkWriter</v>
      </c>
      <c r="C1811" s="21" t="s">
        <v>4482</v>
      </c>
      <c r="D1811" s="21" t="s">
        <v>4386</v>
      </c>
      <c r="E1811" s="22" t="str">
        <f>HYPERLINK("https://twitter.com/NetWorkWriter/status/922404665752403968","922404665752403968")</f>
        <v>922404665752403968</v>
      </c>
      <c r="F1811" s="23" t="s">
        <v>230</v>
      </c>
      <c r="G1811" s="24">
        <v>154.0</v>
      </c>
      <c r="H1811" s="24">
        <v>1416.0</v>
      </c>
      <c r="I1811" s="24">
        <v>16.0</v>
      </c>
      <c r="J1811" s="24">
        <v>0.0</v>
      </c>
      <c r="K1811" s="23" t="s">
        <v>34</v>
      </c>
      <c r="L1811" s="25">
        <v>41995.3969212963</v>
      </c>
      <c r="M1811" s="26" t="s">
        <v>617</v>
      </c>
      <c r="N1811" s="28"/>
      <c r="O1811" s="22" t="str">
        <f>HYPERLINK("https://abs.twimg.com/sticky/default_profile_images/default_profile_normal.png","View")</f>
        <v>View</v>
      </c>
      <c r="P1811" s="27"/>
    </row>
    <row r="1812">
      <c r="A1812" s="14">
        <v>43031.131898148145</v>
      </c>
      <c r="B1812" s="20" t="str">
        <f>HYPERLINK("https://twitter.com/basant_paanwala","@basant_paanwala")</f>
        <v>@basant_paanwala</v>
      </c>
      <c r="C1812" s="21" t="s">
        <v>4483</v>
      </c>
      <c r="D1812" s="21" t="s">
        <v>42</v>
      </c>
      <c r="E1812" s="22" t="str">
        <f>HYPERLINK("https://twitter.com/basant_paanwala/status/922404717216464896","922404717216464896")</f>
        <v>922404717216464896</v>
      </c>
      <c r="F1812" s="23" t="s">
        <v>4484</v>
      </c>
      <c r="G1812" s="24">
        <v>2332.0</v>
      </c>
      <c r="H1812" s="24">
        <v>2869.0</v>
      </c>
      <c r="I1812" s="24">
        <v>8501.0</v>
      </c>
      <c r="J1812" s="24">
        <v>0.0</v>
      </c>
      <c r="K1812" s="23" t="s">
        <v>34</v>
      </c>
      <c r="L1812" s="25">
        <v>40196.03052083333</v>
      </c>
      <c r="M1812" s="26" t="s">
        <v>4485</v>
      </c>
      <c r="N1812" s="26" t="s">
        <v>4486</v>
      </c>
      <c r="O1812" s="22" t="str">
        <f>HYPERLINK("https://pbs.twimg.com/profile_images/861817474001641472/njhC_IIh_normal.jpg","View")</f>
        <v>View</v>
      </c>
      <c r="P1812" s="27"/>
    </row>
    <row r="1813">
      <c r="A1813" s="14">
        <v>43031.1319212963</v>
      </c>
      <c r="B1813" s="20" t="str">
        <f>HYPERLINK("https://twitter.com/Anamika9090","@Anamika9090")</f>
        <v>@Anamika9090</v>
      </c>
      <c r="C1813" s="21" t="s">
        <v>4487</v>
      </c>
      <c r="D1813" s="21" t="s">
        <v>42</v>
      </c>
      <c r="E1813" s="22" t="str">
        <f>HYPERLINK("https://twitter.com/Anamika9090/status/922404722815909889","922404722815909889")</f>
        <v>922404722815909889</v>
      </c>
      <c r="F1813" s="23" t="s">
        <v>33</v>
      </c>
      <c r="G1813" s="24">
        <v>7613.0</v>
      </c>
      <c r="H1813" s="24">
        <v>318.0</v>
      </c>
      <c r="I1813" s="24">
        <v>8501.0</v>
      </c>
      <c r="J1813" s="24">
        <v>0.0</v>
      </c>
      <c r="K1813" s="23" t="s">
        <v>34</v>
      </c>
      <c r="L1813" s="25">
        <v>42130.78846064815</v>
      </c>
      <c r="M1813" s="26" t="s">
        <v>246</v>
      </c>
      <c r="N1813" s="26" t="s">
        <v>4488</v>
      </c>
      <c r="O1813" s="22" t="str">
        <f>HYPERLINK("https://pbs.twimg.com/profile_images/923054360652791809/U6aMXssu_normal.jpg","View")</f>
        <v>View</v>
      </c>
      <c r="P1813" s="27"/>
    </row>
    <row r="1814">
      <c r="A1814" s="14">
        <v>43031.13195601852</v>
      </c>
      <c r="B1814" s="20" t="str">
        <f>HYPERLINK("https://twitter.com/Ak_Ashii","@Ak_Ashii")</f>
        <v>@Ak_Ashii</v>
      </c>
      <c r="C1814" s="21" t="s">
        <v>4489</v>
      </c>
      <c r="D1814" s="21" t="s">
        <v>163</v>
      </c>
      <c r="E1814" s="22" t="str">
        <f>HYPERLINK("https://twitter.com/Ak_Ashii/status/922404736942215168","922404736942215168")</f>
        <v>922404736942215168</v>
      </c>
      <c r="F1814" s="23" t="s">
        <v>33</v>
      </c>
      <c r="G1814" s="24">
        <v>3494.0</v>
      </c>
      <c r="H1814" s="24">
        <v>2206.0</v>
      </c>
      <c r="I1814" s="24">
        <v>1005.0</v>
      </c>
      <c r="J1814" s="24">
        <v>0.0</v>
      </c>
      <c r="K1814" s="23" t="s">
        <v>34</v>
      </c>
      <c r="L1814" s="25">
        <v>41073.526550925926</v>
      </c>
      <c r="M1814" s="26" t="s">
        <v>4490</v>
      </c>
      <c r="N1814" s="26" t="s">
        <v>4491</v>
      </c>
      <c r="O1814" s="22" t="str">
        <f>HYPERLINK("https://pbs.twimg.com/profile_images/912877440845832192/CLCDbpJ1_normal.jpg","View")</f>
        <v>View</v>
      </c>
      <c r="P1814" s="27"/>
    </row>
    <row r="1815">
      <c r="A1815" s="14">
        <v>43031.13197916667</v>
      </c>
      <c r="B1815" s="20" t="str">
        <f>HYPERLINK("https://twitter.com/texture11","@texture11")</f>
        <v>@texture11</v>
      </c>
      <c r="C1815" s="21" t="s">
        <v>4492</v>
      </c>
      <c r="D1815" s="21" t="s">
        <v>42</v>
      </c>
      <c r="E1815" s="22" t="str">
        <f>HYPERLINK("https://twitter.com/texture11/status/922404743938318336","922404743938318336")</f>
        <v>922404743938318336</v>
      </c>
      <c r="F1815" s="23" t="s">
        <v>55</v>
      </c>
      <c r="G1815" s="24">
        <v>241.0</v>
      </c>
      <c r="H1815" s="24">
        <v>1106.0</v>
      </c>
      <c r="I1815" s="24">
        <v>8501.0</v>
      </c>
      <c r="J1815" s="24">
        <v>0.0</v>
      </c>
      <c r="K1815" s="23" t="s">
        <v>34</v>
      </c>
      <c r="L1815" s="25">
        <v>40114.010671296295</v>
      </c>
      <c r="M1815" s="26" t="s">
        <v>136</v>
      </c>
      <c r="N1815" s="26" t="s">
        <v>4493</v>
      </c>
      <c r="O1815" s="22" t="str">
        <f>HYPERLINK("https://pbs.twimg.com/profile_images/847469093988868096/t1Be2IJX_normal.jpg","View")</f>
        <v>View</v>
      </c>
      <c r="P1815" s="27"/>
    </row>
    <row r="1816">
      <c r="A1816" s="14">
        <v>43031.132060185184</v>
      </c>
      <c r="B1816" s="20" t="str">
        <f>HYPERLINK("https://twitter.com/GboruM","@GboruM")</f>
        <v>@GboruM</v>
      </c>
      <c r="C1816" s="21" t="s">
        <v>1481</v>
      </c>
      <c r="D1816" s="21" t="s">
        <v>4494</v>
      </c>
      <c r="E1816" s="22" t="str">
        <f>HYPERLINK("https://twitter.com/GboruM/status/922404775509024768","922404775509024768")</f>
        <v>922404775509024768</v>
      </c>
      <c r="F1816" s="23" t="s">
        <v>91</v>
      </c>
      <c r="G1816" s="24">
        <v>12140.0</v>
      </c>
      <c r="H1816" s="24">
        <v>287.0</v>
      </c>
      <c r="I1816" s="24">
        <v>0.0</v>
      </c>
      <c r="J1816" s="24">
        <v>0.0</v>
      </c>
      <c r="K1816" s="23" t="s">
        <v>34</v>
      </c>
      <c r="L1816" s="25">
        <v>41246.92685185185</v>
      </c>
      <c r="M1816" s="26" t="s">
        <v>1483</v>
      </c>
      <c r="N1816" s="26" t="s">
        <v>1484</v>
      </c>
      <c r="O1816" s="22" t="str">
        <f>HYPERLINK("https://pbs.twimg.com/profile_images/916061586640470016/W_06rU48_normal.jpg","View")</f>
        <v>View</v>
      </c>
      <c r="P1816" s="27"/>
    </row>
    <row r="1817">
      <c r="A1817" s="14">
        <v>43031.13208333333</v>
      </c>
      <c r="B1817" s="20" t="str">
        <f>HYPERLINK("https://twitter.com/cerci_elena","@cerci_elena")</f>
        <v>@cerci_elena</v>
      </c>
      <c r="C1817" s="21" t="s">
        <v>4495</v>
      </c>
      <c r="D1817" s="21" t="s">
        <v>163</v>
      </c>
      <c r="E1817" s="22" t="str">
        <f>HYPERLINK("https://twitter.com/cerci_elena/status/922404784065449984","922404784065449984")</f>
        <v>922404784065449984</v>
      </c>
      <c r="F1817" s="23" t="s">
        <v>33</v>
      </c>
      <c r="G1817" s="24">
        <v>8017.0</v>
      </c>
      <c r="H1817" s="24">
        <v>7994.0</v>
      </c>
      <c r="I1817" s="24">
        <v>1005.0</v>
      </c>
      <c r="J1817" s="24">
        <v>0.0</v>
      </c>
      <c r="K1817" s="23" t="s">
        <v>34</v>
      </c>
      <c r="L1817" s="25">
        <v>42817.202199074076</v>
      </c>
      <c r="M1817" s="28"/>
      <c r="N1817" s="26" t="s">
        <v>4496</v>
      </c>
      <c r="O1817" s="22" t="str">
        <f>HYPERLINK("https://pbs.twimg.com/profile_images/904006713270992897/QOAe1z4T_normal.jpg","View")</f>
        <v>View</v>
      </c>
      <c r="P1817" s="27"/>
    </row>
    <row r="1818">
      <c r="A1818" s="14">
        <v>43031.13208333333</v>
      </c>
      <c r="B1818" s="20" t="str">
        <f>HYPERLINK("https://twitter.com/chandra24515136","@chandra24515136")</f>
        <v>@chandra24515136</v>
      </c>
      <c r="C1818" s="21" t="s">
        <v>4497</v>
      </c>
      <c r="D1818" s="21" t="s">
        <v>42</v>
      </c>
      <c r="E1818" s="22" t="str">
        <f>HYPERLINK("https://twitter.com/chandra24515136/status/922404784732233729","922404784732233729")</f>
        <v>922404784732233729</v>
      </c>
      <c r="F1818" s="23" t="s">
        <v>33</v>
      </c>
      <c r="G1818" s="24">
        <v>33.0</v>
      </c>
      <c r="H1818" s="24">
        <v>80.0</v>
      </c>
      <c r="I1818" s="24">
        <v>8501.0</v>
      </c>
      <c r="J1818" s="24">
        <v>0.0</v>
      </c>
      <c r="K1818" s="23" t="s">
        <v>34</v>
      </c>
      <c r="L1818" s="25">
        <v>42334.98185185185</v>
      </c>
      <c r="M1818" s="26" t="s">
        <v>617</v>
      </c>
      <c r="N1818" s="28"/>
      <c r="O1818" s="22" t="str">
        <f>HYPERLINK("https://pbs.twimg.com/profile_images/670169812178341888/M1pxkaVq_normal.jpg","View")</f>
        <v>View</v>
      </c>
      <c r="P1818" s="27"/>
    </row>
    <row r="1819">
      <c r="A1819" s="14">
        <v>43031.13211805555</v>
      </c>
      <c r="B1819" s="20" t="str">
        <f>HYPERLINK("https://twitter.com/nishagarg","@nishagarg")</f>
        <v>@nishagarg</v>
      </c>
      <c r="C1819" s="21" t="s">
        <v>4498</v>
      </c>
      <c r="D1819" s="21" t="s">
        <v>163</v>
      </c>
      <c r="E1819" s="22" t="str">
        <f>HYPERLINK("https://twitter.com/nishagarg/status/922404798153990144","922404798153990144")</f>
        <v>922404798153990144</v>
      </c>
      <c r="F1819" s="23" t="s">
        <v>39</v>
      </c>
      <c r="G1819" s="24">
        <v>43.0</v>
      </c>
      <c r="H1819" s="24">
        <v>113.0</v>
      </c>
      <c r="I1819" s="24">
        <v>1005.0</v>
      </c>
      <c r="J1819" s="24">
        <v>0.0</v>
      </c>
      <c r="K1819" s="23" t="s">
        <v>34</v>
      </c>
      <c r="L1819" s="25">
        <v>40004.23704861111</v>
      </c>
      <c r="M1819" s="28"/>
      <c r="N1819" s="28"/>
      <c r="O1819" s="22" t="str">
        <f>HYPERLINK("https://pbs.twimg.com/profile_images/463705352517607424/cHJ-Osiu_normal.png","View")</f>
        <v>View</v>
      </c>
      <c r="P1819" s="27"/>
    </row>
    <row r="1820">
      <c r="A1820" s="14">
        <v>43031.132152777776</v>
      </c>
      <c r="B1820" s="20" t="str">
        <f>HYPERLINK("https://twitter.com/RohitSh42554035","@RohitSh42554035")</f>
        <v>@RohitSh42554035</v>
      </c>
      <c r="C1820" s="21" t="s">
        <v>4499</v>
      </c>
      <c r="D1820" s="21" t="s">
        <v>42</v>
      </c>
      <c r="E1820" s="22" t="str">
        <f>HYPERLINK("https://twitter.com/RohitSh42554035/status/922404810111909888","922404810111909888")</f>
        <v>922404810111909888</v>
      </c>
      <c r="F1820" s="23" t="s">
        <v>33</v>
      </c>
      <c r="G1820" s="24">
        <v>4.0</v>
      </c>
      <c r="H1820" s="24">
        <v>112.0</v>
      </c>
      <c r="I1820" s="24">
        <v>8501.0</v>
      </c>
      <c r="J1820" s="24">
        <v>0.0</v>
      </c>
      <c r="K1820" s="23" t="s">
        <v>34</v>
      </c>
      <c r="L1820" s="25">
        <v>43031.12041666667</v>
      </c>
      <c r="M1820" s="26" t="s">
        <v>4500</v>
      </c>
      <c r="N1820" s="28"/>
      <c r="O1820" s="22" t="str">
        <f>HYPERLINK("https://pbs.twimg.com/profile_images/922403809715818497/yoKtY__b_normal.jpg","View")</f>
        <v>View</v>
      </c>
      <c r="P1820" s="27"/>
    </row>
    <row r="1821">
      <c r="A1821" s="14">
        <v>43031.1321875</v>
      </c>
      <c r="B1821" s="20" t="str">
        <f>HYPERLINK("https://twitter.com/BBarmanS","@BBarmanS")</f>
        <v>@BBarmanS</v>
      </c>
      <c r="C1821" s="21" t="s">
        <v>4501</v>
      </c>
      <c r="D1821" s="21" t="s">
        <v>42</v>
      </c>
      <c r="E1821" s="22" t="str">
        <f>HYPERLINK("https://twitter.com/BBarmanS/status/922404820052348928","922404820052348928")</f>
        <v>922404820052348928</v>
      </c>
      <c r="F1821" s="23" t="s">
        <v>780</v>
      </c>
      <c r="G1821" s="24">
        <v>0.0</v>
      </c>
      <c r="H1821" s="24">
        <v>6.0</v>
      </c>
      <c r="I1821" s="24">
        <v>8501.0</v>
      </c>
      <c r="J1821" s="24">
        <v>0.0</v>
      </c>
      <c r="K1821" s="23" t="s">
        <v>34</v>
      </c>
      <c r="L1821" s="25">
        <v>43031.09024305556</v>
      </c>
      <c r="M1821" s="26" t="s">
        <v>4502</v>
      </c>
      <c r="N1821" s="26" t="s">
        <v>4503</v>
      </c>
      <c r="O1821" s="22" t="str">
        <f>HYPERLINK("https://pbs.twimg.com/profile_images/922406589566537728/ow0Rg7rz_normal.jpg","View")</f>
        <v>View</v>
      </c>
      <c r="P1821" s="27"/>
    </row>
    <row r="1822">
      <c r="A1822" s="14">
        <v>43031.13221064815</v>
      </c>
      <c r="B1822" s="20" t="str">
        <f>HYPERLINK("https://twitter.com/USAUGUSTUS","@USAUGUSTUS")</f>
        <v>@USAUGUSTUS</v>
      </c>
      <c r="C1822" s="21" t="s">
        <v>4504</v>
      </c>
      <c r="D1822" s="21" t="s">
        <v>4505</v>
      </c>
      <c r="E1822" s="22" t="str">
        <f>HYPERLINK("https://twitter.com/USAUGUSTUS/status/922404828315348992","922404828315348992")</f>
        <v>922404828315348992</v>
      </c>
      <c r="F1822" s="23" t="s">
        <v>39</v>
      </c>
      <c r="G1822" s="24">
        <v>391.0</v>
      </c>
      <c r="H1822" s="24">
        <v>2005.0</v>
      </c>
      <c r="I1822" s="24">
        <v>0.0</v>
      </c>
      <c r="J1822" s="24">
        <v>0.0</v>
      </c>
      <c r="K1822" s="23" t="s">
        <v>34</v>
      </c>
      <c r="L1822" s="25">
        <v>41331.61723379629</v>
      </c>
      <c r="M1822" s="26" t="s">
        <v>4506</v>
      </c>
      <c r="N1822" s="28"/>
      <c r="O1822" s="22" t="str">
        <f>HYPERLINK("https://pbs.twimg.com/profile_images/873744123202854914/eC5rx5dg_normal.jpg","View")</f>
        <v>View</v>
      </c>
      <c r="P1822" s="27"/>
    </row>
    <row r="1823">
      <c r="A1823" s="14">
        <v>43031.13224537037</v>
      </c>
      <c r="B1823" s="20" t="str">
        <f>HYPERLINK("https://twitter.com/akshaychandorka","@akshaychandorka")</f>
        <v>@akshaychandorka</v>
      </c>
      <c r="C1823" s="21" t="s">
        <v>3620</v>
      </c>
      <c r="D1823" s="21" t="s">
        <v>4507</v>
      </c>
      <c r="E1823" s="22" t="str">
        <f>HYPERLINK("https://twitter.com/akshaychandorka/status/922404843280412672","922404843280412672")</f>
        <v>922404843280412672</v>
      </c>
      <c r="F1823" s="23" t="s">
        <v>33</v>
      </c>
      <c r="G1823" s="24">
        <v>700.0</v>
      </c>
      <c r="H1823" s="24">
        <v>166.0</v>
      </c>
      <c r="I1823" s="24">
        <v>139.0</v>
      </c>
      <c r="J1823" s="24">
        <v>0.0</v>
      </c>
      <c r="K1823" s="23" t="s">
        <v>34</v>
      </c>
      <c r="L1823" s="25">
        <v>40780.131273148145</v>
      </c>
      <c r="M1823" s="28"/>
      <c r="N1823" s="28"/>
      <c r="O1823" s="22" t="str">
        <f>HYPERLINK("https://pbs.twimg.com/profile_images/900599926819704832/AgzQHIYg_normal.jpg","View")</f>
        <v>View</v>
      </c>
      <c r="P1823" s="27"/>
    </row>
    <row r="1824">
      <c r="A1824" s="14">
        <v>43031.132268518515</v>
      </c>
      <c r="B1824" s="20" t="str">
        <f>HYPERLINK("https://twitter.com/kab_pass","@kab_pass")</f>
        <v>@kab_pass</v>
      </c>
      <c r="C1824" s="21" t="s">
        <v>4508</v>
      </c>
      <c r="D1824" s="21" t="s">
        <v>42</v>
      </c>
      <c r="E1824" s="22" t="str">
        <f>HYPERLINK("https://twitter.com/kab_pass/status/922404852625371139","922404852625371139")</f>
        <v>922404852625371139</v>
      </c>
      <c r="F1824" s="23" t="s">
        <v>39</v>
      </c>
      <c r="G1824" s="24">
        <v>29.0</v>
      </c>
      <c r="H1824" s="24">
        <v>142.0</v>
      </c>
      <c r="I1824" s="24">
        <v>8501.0</v>
      </c>
      <c r="J1824" s="24">
        <v>0.0</v>
      </c>
      <c r="K1824" s="23" t="s">
        <v>34</v>
      </c>
      <c r="L1824" s="25">
        <v>42497.03884259259</v>
      </c>
      <c r="M1824" s="26" t="s">
        <v>204</v>
      </c>
      <c r="N1824" s="26" t="s">
        <v>4509</v>
      </c>
      <c r="O1824" s="22" t="str">
        <f>HYPERLINK("https://pbs.twimg.com/profile_images/885540138729615361/ba7ukbkW_normal.jpg","View")</f>
        <v>View</v>
      </c>
      <c r="P1824" s="27"/>
    </row>
    <row r="1825">
      <c r="A1825" s="14">
        <v>43031.13243055556</v>
      </c>
      <c r="B1825" s="20" t="str">
        <f>HYPERLINK("https://twitter.com/beYoNdUniVeRSeS","@beYoNdUniVeRSeS")</f>
        <v>@beYoNdUniVeRSeS</v>
      </c>
      <c r="C1825" s="21" t="s">
        <v>4510</v>
      </c>
      <c r="D1825" s="21" t="s">
        <v>3965</v>
      </c>
      <c r="E1825" s="22" t="str">
        <f>HYPERLINK("https://twitter.com/beYoNdUniVeRSeS/status/922404907541446658","922404907541446658")</f>
        <v>922404907541446658</v>
      </c>
      <c r="F1825" s="23" t="s">
        <v>43</v>
      </c>
      <c r="G1825" s="24">
        <v>565.0</v>
      </c>
      <c r="H1825" s="24">
        <v>380.0</v>
      </c>
      <c r="I1825" s="24">
        <v>14.0</v>
      </c>
      <c r="J1825" s="24">
        <v>0.0</v>
      </c>
      <c r="K1825" s="23" t="s">
        <v>34</v>
      </c>
      <c r="L1825" s="25">
        <v>40417.13895833334</v>
      </c>
      <c r="M1825" s="26" t="s">
        <v>550</v>
      </c>
      <c r="N1825" s="26" t="s">
        <v>4511</v>
      </c>
      <c r="O1825" s="22" t="str">
        <f>HYPERLINK("https://pbs.twimg.com/profile_images/911961802254290946/wh3ZsIre_normal.jpg","View")</f>
        <v>View</v>
      </c>
      <c r="P1825" s="27"/>
    </row>
    <row r="1826">
      <c r="A1826" s="14">
        <v>43031.1325</v>
      </c>
      <c r="B1826" s="20" t="str">
        <f>HYPERLINK("https://twitter.com/mlapanchal","@mlapanchal")</f>
        <v>@mlapanchal</v>
      </c>
      <c r="C1826" s="21" t="s">
        <v>4512</v>
      </c>
      <c r="D1826" s="21" t="s">
        <v>42</v>
      </c>
      <c r="E1826" s="22" t="str">
        <f>HYPERLINK("https://twitter.com/mlapanchal/status/922404936175861760","922404936175861760")</f>
        <v>922404936175861760</v>
      </c>
      <c r="F1826" s="23" t="s">
        <v>55</v>
      </c>
      <c r="G1826" s="24">
        <v>6345.0</v>
      </c>
      <c r="H1826" s="24">
        <v>161.0</v>
      </c>
      <c r="I1826" s="24">
        <v>8501.0</v>
      </c>
      <c r="J1826" s="24">
        <v>0.0</v>
      </c>
      <c r="K1826" s="23" t="s">
        <v>34</v>
      </c>
      <c r="L1826" s="25">
        <v>41310.38107638889</v>
      </c>
      <c r="M1826" s="26" t="s">
        <v>2310</v>
      </c>
      <c r="N1826" s="26" t="s">
        <v>4513</v>
      </c>
      <c r="O1826" s="22" t="str">
        <f>HYPERLINK("https://pbs.twimg.com/profile_images/773701128261292033/VXwbfRrJ_normal.jpg","View")</f>
        <v>View</v>
      </c>
      <c r="P1826" s="27"/>
    </row>
    <row r="1827">
      <c r="A1827" s="14">
        <v>43031.13269675926</v>
      </c>
      <c r="B1827" s="20" t="str">
        <f>HYPERLINK("https://twitter.com/JPnewsinEng","@JPnewsinEng")</f>
        <v>@JPnewsinEng</v>
      </c>
      <c r="C1827" s="21" t="s">
        <v>500</v>
      </c>
      <c r="D1827" s="21" t="s">
        <v>4514</v>
      </c>
      <c r="E1827" s="22" t="str">
        <f>HYPERLINK("https://twitter.com/JPnewsinEng/status/922405006355165184","922405006355165184")</f>
        <v>922405006355165184</v>
      </c>
      <c r="F1827" s="23" t="s">
        <v>187</v>
      </c>
      <c r="G1827" s="24">
        <v>92.0</v>
      </c>
      <c r="H1827" s="24">
        <v>0.0</v>
      </c>
      <c r="I1827" s="24">
        <v>0.0</v>
      </c>
      <c r="J1827" s="24">
        <v>0.0</v>
      </c>
      <c r="K1827" s="23" t="s">
        <v>34</v>
      </c>
      <c r="L1827" s="25">
        <v>42298.27949074074</v>
      </c>
      <c r="M1827" s="26" t="s">
        <v>71</v>
      </c>
      <c r="N1827" s="26" t="s">
        <v>502</v>
      </c>
      <c r="O1827" s="22" t="str">
        <f>HYPERLINK("https://pbs.twimg.com/profile_images/658617776026705920/TPmWzjC0_normal.png","View")</f>
        <v>View</v>
      </c>
      <c r="P1827" s="27"/>
    </row>
    <row r="1828">
      <c r="A1828" s="14">
        <v>43031.13269675926</v>
      </c>
      <c r="B1828" s="20" t="str">
        <f>HYPERLINK("https://twitter.com/timelivenews","@timelivenews")</f>
        <v>@timelivenews</v>
      </c>
      <c r="C1828" s="21" t="s">
        <v>2820</v>
      </c>
      <c r="D1828" s="21" t="s">
        <v>4515</v>
      </c>
      <c r="E1828" s="22" t="str">
        <f>HYPERLINK("https://twitter.com/timelivenews/status/922405007009427456","922405007009427456")</f>
        <v>922405007009427456</v>
      </c>
      <c r="F1828" s="23" t="s">
        <v>4516</v>
      </c>
      <c r="G1828" s="24">
        <v>1004.0</v>
      </c>
      <c r="H1828" s="24">
        <v>1997.0</v>
      </c>
      <c r="I1828" s="24">
        <v>0.0</v>
      </c>
      <c r="J1828" s="24">
        <v>0.0</v>
      </c>
      <c r="K1828" s="23" t="s">
        <v>34</v>
      </c>
      <c r="L1828" s="25">
        <v>41173.31891203704</v>
      </c>
      <c r="M1828" s="28"/>
      <c r="N1828" s="28"/>
      <c r="O1828" s="22" t="str">
        <f>HYPERLINK("https://pbs.twimg.com/profile_images/2645914047/c79803e0dea4e4b85f99f5b019bf0f4c_normal.png","View")</f>
        <v>View</v>
      </c>
      <c r="P1828" s="27"/>
    </row>
    <row r="1829">
      <c r="A1829" s="14">
        <v>43031.13275462963</v>
      </c>
      <c r="B1829" s="20" t="str">
        <f>HYPERLINK("https://twitter.com/BartAccuro","@BartAccuro")</f>
        <v>@BartAccuro</v>
      </c>
      <c r="C1829" s="21" t="s">
        <v>4517</v>
      </c>
      <c r="D1829" s="21" t="s">
        <v>4518</v>
      </c>
      <c r="E1829" s="22" t="str">
        <f>HYPERLINK("https://twitter.com/BartAccuro/status/922405025674072064","922405025674072064")</f>
        <v>922405025674072064</v>
      </c>
      <c r="F1829" s="23" t="s">
        <v>39</v>
      </c>
      <c r="G1829" s="24">
        <v>1017.0</v>
      </c>
      <c r="H1829" s="24">
        <v>298.0</v>
      </c>
      <c r="I1829" s="24">
        <v>0.0</v>
      </c>
      <c r="J1829" s="24">
        <v>1.0</v>
      </c>
      <c r="K1829" s="23" t="s">
        <v>34</v>
      </c>
      <c r="L1829" s="25">
        <v>41974.26603009259</v>
      </c>
      <c r="M1829" s="28"/>
      <c r="N1829" s="26" t="s">
        <v>4519</v>
      </c>
      <c r="O1829" s="22" t="str">
        <f>HYPERLINK("https://pbs.twimg.com/profile_images/688659039266435072/PMDnW8qw_normal.jpg","View")</f>
        <v>View</v>
      </c>
      <c r="P1829" s="27"/>
    </row>
    <row r="1830">
      <c r="A1830" s="14">
        <v>43031.13276620371</v>
      </c>
      <c r="B1830" s="20" t="str">
        <f>HYPERLINK("https://twitter.com/kul411chaudhary","@kul411chaudhary")</f>
        <v>@kul411chaudhary</v>
      </c>
      <c r="C1830" s="21" t="s">
        <v>4520</v>
      </c>
      <c r="D1830" s="21" t="s">
        <v>42</v>
      </c>
      <c r="E1830" s="22" t="str">
        <f>HYPERLINK("https://twitter.com/kul411chaudhary/status/922405029675335680","922405029675335680")</f>
        <v>922405029675335680</v>
      </c>
      <c r="F1830" s="23" t="s">
        <v>33</v>
      </c>
      <c r="G1830" s="24">
        <v>2944.0</v>
      </c>
      <c r="H1830" s="24">
        <v>2628.0</v>
      </c>
      <c r="I1830" s="24">
        <v>8501.0</v>
      </c>
      <c r="J1830" s="24">
        <v>0.0</v>
      </c>
      <c r="K1830" s="23" t="s">
        <v>34</v>
      </c>
      <c r="L1830" s="25">
        <v>42814.420949074076</v>
      </c>
      <c r="M1830" s="26" t="s">
        <v>575</v>
      </c>
      <c r="N1830" s="26" t="s">
        <v>4521</v>
      </c>
      <c r="O1830" s="22" t="str">
        <f>HYPERLINK("https://pbs.twimg.com/profile_images/873946363503022081/l88Mrhfy_normal.jpg","View")</f>
        <v>View</v>
      </c>
      <c r="P1830" s="27"/>
    </row>
    <row r="1831">
      <c r="A1831" s="14">
        <v>43031.13285879629</v>
      </c>
      <c r="B1831" s="20" t="str">
        <f>HYPERLINK("https://twitter.com/NarrendraM","@NarrendraM")</f>
        <v>@NarrendraM</v>
      </c>
      <c r="C1831" s="21" t="s">
        <v>2654</v>
      </c>
      <c r="D1831" s="21" t="s">
        <v>4522</v>
      </c>
      <c r="E1831" s="22" t="str">
        <f>HYPERLINK("https://twitter.com/NarrendraM/status/922405064140115968","922405064140115968")</f>
        <v>922405064140115968</v>
      </c>
      <c r="F1831" s="23" t="s">
        <v>187</v>
      </c>
      <c r="G1831" s="24">
        <v>2003.0</v>
      </c>
      <c r="H1831" s="24">
        <v>252.0</v>
      </c>
      <c r="I1831" s="24">
        <v>0.0</v>
      </c>
      <c r="J1831" s="24">
        <v>0.0</v>
      </c>
      <c r="K1831" s="23" t="s">
        <v>34</v>
      </c>
      <c r="L1831" s="25">
        <v>42471.0737037037</v>
      </c>
      <c r="M1831" s="26" t="s">
        <v>246</v>
      </c>
      <c r="N1831" s="26" t="s">
        <v>2656</v>
      </c>
      <c r="O1831" s="22" t="str">
        <f>HYPERLINK("https://pbs.twimg.com/profile_images/743939643738034176/WkGloI0u_normal.jpg","View")</f>
        <v>View</v>
      </c>
      <c r="P1831" s="27"/>
    </row>
    <row r="1832">
      <c r="A1832" s="14">
        <v>43031.132893518516</v>
      </c>
      <c r="B1832" s="20" t="str">
        <f>HYPERLINK("https://twitter.com/Hindian_Patriot","@Hindian_Patriot")</f>
        <v>@Hindian_Patriot</v>
      </c>
      <c r="C1832" s="21" t="s">
        <v>4523</v>
      </c>
      <c r="D1832" s="21" t="s">
        <v>42</v>
      </c>
      <c r="E1832" s="22" t="str">
        <f>HYPERLINK("https://twitter.com/Hindian_Patriot/status/922405077599502336","922405077599502336")</f>
        <v>922405077599502336</v>
      </c>
      <c r="F1832" s="23" t="s">
        <v>55</v>
      </c>
      <c r="G1832" s="24">
        <v>627.0</v>
      </c>
      <c r="H1832" s="24">
        <v>1171.0</v>
      </c>
      <c r="I1832" s="24">
        <v>8501.0</v>
      </c>
      <c r="J1832" s="24">
        <v>0.0</v>
      </c>
      <c r="K1832" s="23" t="s">
        <v>34</v>
      </c>
      <c r="L1832" s="25">
        <v>41886.37321759259</v>
      </c>
      <c r="M1832" s="26" t="s">
        <v>204</v>
      </c>
      <c r="N1832" s="26" t="s">
        <v>4524</v>
      </c>
      <c r="O1832" s="22" t="str">
        <f>HYPERLINK("https://pbs.twimg.com/profile_images/810057484429762561/IV-wJXZM_normal.jpg","View")</f>
        <v>View</v>
      </c>
      <c r="P1832" s="27"/>
    </row>
    <row r="1833">
      <c r="A1833" s="14">
        <v>43031.13297453704</v>
      </c>
      <c r="B1833" s="20" t="str">
        <f>HYPERLINK("https://twitter.com/sanatandesh","@sanatandesh")</f>
        <v>@sanatandesh</v>
      </c>
      <c r="C1833" s="21" t="s">
        <v>4525</v>
      </c>
      <c r="D1833" s="21" t="s">
        <v>163</v>
      </c>
      <c r="E1833" s="22" t="str">
        <f>HYPERLINK("https://twitter.com/sanatandesh/status/922405105965531136","922405105965531136")</f>
        <v>922405105965531136</v>
      </c>
      <c r="F1833" s="23" t="s">
        <v>33</v>
      </c>
      <c r="G1833" s="24">
        <v>3137.0</v>
      </c>
      <c r="H1833" s="24">
        <v>2982.0</v>
      </c>
      <c r="I1833" s="24">
        <v>1005.0</v>
      </c>
      <c r="J1833" s="24">
        <v>0.0</v>
      </c>
      <c r="K1833" s="23" t="s">
        <v>34</v>
      </c>
      <c r="L1833" s="25">
        <v>41868.78739583334</v>
      </c>
      <c r="M1833" s="26" t="s">
        <v>3999</v>
      </c>
      <c r="N1833" s="26" t="s">
        <v>4526</v>
      </c>
      <c r="O1833" s="22" t="str">
        <f>HYPERLINK("https://pbs.twimg.com/profile_images/602640477960032256/39R6x0Oy_normal.png","View")</f>
        <v>View</v>
      </c>
      <c r="P1833" s="27"/>
    </row>
    <row r="1834">
      <c r="A1834" s="14">
        <v>43031.13303240741</v>
      </c>
      <c r="B1834" s="20" t="str">
        <f>HYPERLINK("https://twitter.com/Kaustabha","@Kaustabha")</f>
        <v>@Kaustabha</v>
      </c>
      <c r="C1834" s="21" t="s">
        <v>4527</v>
      </c>
      <c r="D1834" s="21" t="s">
        <v>163</v>
      </c>
      <c r="E1834" s="22" t="str">
        <f>HYPERLINK("https://twitter.com/Kaustabha/status/922405126207184896","922405126207184896")</f>
        <v>922405126207184896</v>
      </c>
      <c r="F1834" s="23" t="s">
        <v>33</v>
      </c>
      <c r="G1834" s="24">
        <v>220.0</v>
      </c>
      <c r="H1834" s="24">
        <v>92.0</v>
      </c>
      <c r="I1834" s="24">
        <v>1005.0</v>
      </c>
      <c r="J1834" s="24">
        <v>0.0</v>
      </c>
      <c r="K1834" s="23" t="s">
        <v>34</v>
      </c>
      <c r="L1834" s="25">
        <v>41293.645057870366</v>
      </c>
      <c r="M1834" s="26" t="s">
        <v>4528</v>
      </c>
      <c r="N1834" s="28"/>
      <c r="O1834" s="22" t="str">
        <f>HYPERLINK("https://pbs.twimg.com/profile_images/3491434607/6eadbef5be3feb8a3571eec3bfd6d0cf_normal.jpeg","View")</f>
        <v>View</v>
      </c>
      <c r="P1834" s="27"/>
    </row>
    <row r="1835">
      <c r="A1835" s="14">
        <v>43031.13304398148</v>
      </c>
      <c r="B1835" s="20" t="str">
        <f>HYPERLINK("https://twitter.com/rkrcmt","@rkrcmt")</f>
        <v>@rkrcmt</v>
      </c>
      <c r="C1835" s="21" t="s">
        <v>4529</v>
      </c>
      <c r="D1835" s="21" t="s">
        <v>163</v>
      </c>
      <c r="E1835" s="22" t="str">
        <f>HYPERLINK("https://twitter.com/rkrcmt/status/922405131571699712","922405131571699712")</f>
        <v>922405131571699712</v>
      </c>
      <c r="F1835" s="23" t="s">
        <v>55</v>
      </c>
      <c r="G1835" s="24">
        <v>27.0</v>
      </c>
      <c r="H1835" s="24">
        <v>222.0</v>
      </c>
      <c r="I1835" s="24">
        <v>1005.0</v>
      </c>
      <c r="J1835" s="24">
        <v>0.0</v>
      </c>
      <c r="K1835" s="23" t="s">
        <v>34</v>
      </c>
      <c r="L1835" s="25">
        <v>42832.89497685185</v>
      </c>
      <c r="M1835" s="28"/>
      <c r="N1835" s="28"/>
      <c r="O1835" s="22" t="str">
        <f>HYPERLINK("https://pbs.twimg.com/profile_images/850574338344443904/rBsw-qXX_normal.jpg","View")</f>
        <v>View</v>
      </c>
      <c r="P1835" s="27"/>
    </row>
    <row r="1836">
      <c r="A1836" s="14">
        <v>43031.13311342592</v>
      </c>
      <c r="B1836" s="20" t="str">
        <f>HYPERLINK("https://twitter.com/satyaprakashty1","@satyaprakashty1")</f>
        <v>@satyaprakashty1</v>
      </c>
      <c r="C1836" s="21" t="s">
        <v>4530</v>
      </c>
      <c r="D1836" s="21" t="s">
        <v>42</v>
      </c>
      <c r="E1836" s="22" t="str">
        <f>HYPERLINK("https://twitter.com/satyaprakashty1/status/922405157190512641","922405157190512641")</f>
        <v>922405157190512641</v>
      </c>
      <c r="F1836" s="23" t="s">
        <v>33</v>
      </c>
      <c r="G1836" s="24">
        <v>3514.0</v>
      </c>
      <c r="H1836" s="24">
        <v>1317.0</v>
      </c>
      <c r="I1836" s="24">
        <v>8501.0</v>
      </c>
      <c r="J1836" s="24">
        <v>0.0</v>
      </c>
      <c r="K1836" s="23" t="s">
        <v>34</v>
      </c>
      <c r="L1836" s="25">
        <v>41046.26572916667</v>
      </c>
      <c r="M1836" s="26" t="s">
        <v>3880</v>
      </c>
      <c r="N1836" s="26" t="s">
        <v>4531</v>
      </c>
      <c r="O1836" s="22" t="str">
        <f>HYPERLINK("https://pbs.twimg.com/profile_images/902766080556490752/Jwo_PI7A_normal.jpg","View")</f>
        <v>View</v>
      </c>
      <c r="P1836" s="27"/>
    </row>
    <row r="1837">
      <c r="A1837" s="14">
        <v>43031.13315972222</v>
      </c>
      <c r="B1837" s="20" t="str">
        <f>HYPERLINK("https://twitter.com/vishalyogi18","@vishalyogi18")</f>
        <v>@vishalyogi18</v>
      </c>
      <c r="C1837" s="21" t="s">
        <v>4532</v>
      </c>
      <c r="D1837" s="21" t="s">
        <v>42</v>
      </c>
      <c r="E1837" s="22" t="str">
        <f>HYPERLINK("https://twitter.com/vishalyogi18/status/922405172898402305","922405172898402305")</f>
        <v>922405172898402305</v>
      </c>
      <c r="F1837" s="23" t="s">
        <v>33</v>
      </c>
      <c r="G1837" s="24">
        <v>112.0</v>
      </c>
      <c r="H1837" s="24">
        <v>148.0</v>
      </c>
      <c r="I1837" s="24">
        <v>8501.0</v>
      </c>
      <c r="J1837" s="24">
        <v>0.0</v>
      </c>
      <c r="K1837" s="23" t="s">
        <v>34</v>
      </c>
      <c r="L1837" s="25">
        <v>42761.33261574074</v>
      </c>
      <c r="M1837" s="26" t="s">
        <v>4533</v>
      </c>
      <c r="N1837" s="26" t="s">
        <v>4534</v>
      </c>
      <c r="O1837" s="22" t="str">
        <f>HYPERLINK("https://pbs.twimg.com/profile_images/905806109369237504/EsveQGco_normal.jpg","View")</f>
        <v>View</v>
      </c>
      <c r="P1837" s="27"/>
    </row>
    <row r="1838">
      <c r="A1838" s="14">
        <v>43031.13324074074</v>
      </c>
      <c r="B1838" s="20" t="str">
        <f>HYPERLINK("https://twitter.com/KateParnell","@KateParnell")</f>
        <v>@KateParnell</v>
      </c>
      <c r="C1838" s="21" t="s">
        <v>4535</v>
      </c>
      <c r="D1838" s="21" t="s">
        <v>82</v>
      </c>
      <c r="E1838" s="22" t="str">
        <f>HYPERLINK("https://twitter.com/KateParnell/status/922405202795421696","922405202795421696")</f>
        <v>922405202795421696</v>
      </c>
      <c r="F1838" s="23" t="s">
        <v>39</v>
      </c>
      <c r="G1838" s="24">
        <v>314.0</v>
      </c>
      <c r="H1838" s="24">
        <v>603.0</v>
      </c>
      <c r="I1838" s="24">
        <v>38.0</v>
      </c>
      <c r="J1838" s="24">
        <v>0.0</v>
      </c>
      <c r="K1838" s="23" t="s">
        <v>34</v>
      </c>
      <c r="L1838" s="25">
        <v>40076.70159722222</v>
      </c>
      <c r="M1838" s="26" t="s">
        <v>4536</v>
      </c>
      <c r="N1838" s="26" t="s">
        <v>4537</v>
      </c>
      <c r="O1838" s="22" t="str">
        <f>HYPERLINK("https://pbs.twimg.com/profile_images/583486482934956032/ncihnpgd_normal.jpg","View")</f>
        <v>View</v>
      </c>
      <c r="P1838" s="27"/>
    </row>
    <row r="1839">
      <c r="A1839" s="14">
        <v>43031.133252314816</v>
      </c>
      <c r="B1839" s="20" t="str">
        <f>HYPERLINK("https://twitter.com/Kaustabha","@Kaustabha")</f>
        <v>@Kaustabha</v>
      </c>
      <c r="C1839" s="21" t="s">
        <v>4527</v>
      </c>
      <c r="D1839" s="21" t="s">
        <v>42</v>
      </c>
      <c r="E1839" s="22" t="str">
        <f>HYPERLINK("https://twitter.com/Kaustabha/status/922405208197537792","922405208197537792")</f>
        <v>922405208197537792</v>
      </c>
      <c r="F1839" s="23" t="s">
        <v>33</v>
      </c>
      <c r="G1839" s="24">
        <v>220.0</v>
      </c>
      <c r="H1839" s="24">
        <v>92.0</v>
      </c>
      <c r="I1839" s="24">
        <v>8501.0</v>
      </c>
      <c r="J1839" s="24">
        <v>0.0</v>
      </c>
      <c r="K1839" s="23" t="s">
        <v>34</v>
      </c>
      <c r="L1839" s="25">
        <v>41293.645057870366</v>
      </c>
      <c r="M1839" s="26" t="s">
        <v>4528</v>
      </c>
      <c r="N1839" s="28"/>
      <c r="O1839" s="22" t="str">
        <f>HYPERLINK("https://pbs.twimg.com/profile_images/3491434607/6eadbef5be3feb8a3571eec3bfd6d0cf_normal.jpeg","View")</f>
        <v>View</v>
      </c>
      <c r="P1839" s="27"/>
    </row>
    <row r="1840">
      <c r="A1840" s="14">
        <v>43031.133263888885</v>
      </c>
      <c r="B1840" s="20" t="str">
        <f>HYPERLINK("https://twitter.com/92d04307e4fd43e","@92d04307e4fd43e")</f>
        <v>@92d04307e4fd43e</v>
      </c>
      <c r="C1840" s="21" t="s">
        <v>4538</v>
      </c>
      <c r="D1840" s="21" t="s">
        <v>836</v>
      </c>
      <c r="E1840" s="22" t="str">
        <f>HYPERLINK("https://twitter.com/92d04307e4fd43e/status/922405209955012608","922405209955012608")</f>
        <v>922405209955012608</v>
      </c>
      <c r="F1840" s="23" t="s">
        <v>33</v>
      </c>
      <c r="G1840" s="24">
        <v>736.0</v>
      </c>
      <c r="H1840" s="24">
        <v>165.0</v>
      </c>
      <c r="I1840" s="24">
        <v>7.0</v>
      </c>
      <c r="J1840" s="24">
        <v>0.0</v>
      </c>
      <c r="K1840" s="23" t="s">
        <v>34</v>
      </c>
      <c r="L1840" s="25">
        <v>42128.48949074074</v>
      </c>
      <c r="M1840" s="28"/>
      <c r="N1840" s="26" t="s">
        <v>4539</v>
      </c>
      <c r="O1840" s="22" t="str">
        <f>HYPERLINK("https://pbs.twimg.com/profile_images/821562169665974272/vroc5nXN_normal.jpg","View")</f>
        <v>View</v>
      </c>
      <c r="P1840" s="27"/>
    </row>
    <row r="1841">
      <c r="A1841" s="14">
        <v>43031.133263888885</v>
      </c>
      <c r="B1841" s="20" t="str">
        <f>HYPERLINK("https://twitter.com/PratikS41275795","@PratikS41275795")</f>
        <v>@PratikS41275795</v>
      </c>
      <c r="C1841" s="21" t="s">
        <v>4540</v>
      </c>
      <c r="D1841" s="21" t="s">
        <v>2906</v>
      </c>
      <c r="E1841" s="22" t="str">
        <f>HYPERLINK("https://twitter.com/PratikS41275795/status/922405213092417536","922405213092417536")</f>
        <v>922405213092417536</v>
      </c>
      <c r="F1841" s="23" t="s">
        <v>33</v>
      </c>
      <c r="G1841" s="24">
        <v>641.0</v>
      </c>
      <c r="H1841" s="24">
        <v>4275.0</v>
      </c>
      <c r="I1841" s="24">
        <v>18.0</v>
      </c>
      <c r="J1841" s="24">
        <v>0.0</v>
      </c>
      <c r="K1841" s="23" t="s">
        <v>34</v>
      </c>
      <c r="L1841" s="25">
        <v>42932.181435185186</v>
      </c>
      <c r="M1841" s="26" t="s">
        <v>4541</v>
      </c>
      <c r="N1841" s="26" t="s">
        <v>4542</v>
      </c>
      <c r="O1841" s="22" t="str">
        <f>HYPERLINK("https://pbs.twimg.com/profile_images/886549247897849856/-XVifvQH_normal.jpg","View")</f>
        <v>View</v>
      </c>
      <c r="P1841" s="27"/>
    </row>
    <row r="1842">
      <c r="A1842" s="14">
        <v>43031.13339120371</v>
      </c>
      <c r="B1842" s="20" t="str">
        <f>HYPERLINK("https://twitter.com/revolution_fr","@revolution_fr")</f>
        <v>@revolution_fr</v>
      </c>
      <c r="C1842" s="21" t="s">
        <v>321</v>
      </c>
      <c r="D1842" s="21" t="s">
        <v>3965</v>
      </c>
      <c r="E1842" s="22" t="str">
        <f>HYPERLINK("https://twitter.com/revolution_fr/status/922405259510796288","922405259510796288")</f>
        <v>922405259510796288</v>
      </c>
      <c r="F1842" s="23" t="s">
        <v>43</v>
      </c>
      <c r="G1842" s="24">
        <v>2647.0</v>
      </c>
      <c r="H1842" s="24">
        <v>3619.0</v>
      </c>
      <c r="I1842" s="24">
        <v>14.0</v>
      </c>
      <c r="J1842" s="24">
        <v>0.0</v>
      </c>
      <c r="K1842" s="23" t="s">
        <v>34</v>
      </c>
      <c r="L1842" s="25">
        <v>42400.312430555554</v>
      </c>
      <c r="M1842" s="26" t="s">
        <v>323</v>
      </c>
      <c r="N1842" s="26" t="s">
        <v>324</v>
      </c>
      <c r="O1842" s="22" t="str">
        <f>HYPERLINK("https://pbs.twimg.com/profile_images/912005330749575173/gmtBFZtv_normal.jpg","View")</f>
        <v>View</v>
      </c>
      <c r="P1842" s="27"/>
    </row>
    <row r="1843">
      <c r="A1843" s="14">
        <v>43031.133564814816</v>
      </c>
      <c r="B1843" s="20" t="str">
        <f>HYPERLINK("https://twitter.com/himansh2412997","@himansh2412997")</f>
        <v>@himansh2412997</v>
      </c>
      <c r="C1843" s="21" t="s">
        <v>4543</v>
      </c>
      <c r="D1843" s="21" t="s">
        <v>42</v>
      </c>
      <c r="E1843" s="22" t="str">
        <f>HYPERLINK("https://twitter.com/himansh2412997/status/922405318306304002","922405318306304002")</f>
        <v>922405318306304002</v>
      </c>
      <c r="F1843" s="23" t="s">
        <v>33</v>
      </c>
      <c r="G1843" s="24">
        <v>2254.0</v>
      </c>
      <c r="H1843" s="24">
        <v>552.0</v>
      </c>
      <c r="I1843" s="24">
        <v>8501.0</v>
      </c>
      <c r="J1843" s="24">
        <v>0.0</v>
      </c>
      <c r="K1843" s="23" t="s">
        <v>34</v>
      </c>
      <c r="L1843" s="25">
        <v>42081.92631944444</v>
      </c>
      <c r="M1843" s="26" t="s">
        <v>4544</v>
      </c>
      <c r="N1843" s="26" t="s">
        <v>4545</v>
      </c>
      <c r="O1843" s="22" t="str">
        <f>HYPERLINK("https://pbs.twimg.com/profile_images/921092863190061057/qKphutYK_normal.jpg","View")</f>
        <v>View</v>
      </c>
      <c r="P1843" s="27"/>
    </row>
    <row r="1844">
      <c r="A1844" s="14">
        <v>43031.13358796296</v>
      </c>
      <c r="B1844" s="20" t="str">
        <f>HYPERLINK("https://twitter.com/SohailYounas22","@SohailYounas22")</f>
        <v>@SohailYounas22</v>
      </c>
      <c r="C1844" s="21" t="s">
        <v>4546</v>
      </c>
      <c r="D1844" s="21" t="s">
        <v>4547</v>
      </c>
      <c r="E1844" s="22" t="str">
        <f>HYPERLINK("https://twitter.com/SohailYounas22/status/922405327336640512","922405327336640512")</f>
        <v>922405327336640512</v>
      </c>
      <c r="F1844" s="23" t="s">
        <v>4548</v>
      </c>
      <c r="G1844" s="24">
        <v>197.0</v>
      </c>
      <c r="H1844" s="24">
        <v>339.0</v>
      </c>
      <c r="I1844" s="24">
        <v>0.0</v>
      </c>
      <c r="J1844" s="24">
        <v>0.0</v>
      </c>
      <c r="K1844" s="23" t="s">
        <v>34</v>
      </c>
      <c r="L1844" s="25">
        <v>42193.66047453704</v>
      </c>
      <c r="M1844" s="26" t="s">
        <v>4549</v>
      </c>
      <c r="N1844" s="26" t="s">
        <v>4550</v>
      </c>
      <c r="O1844" s="22" t="str">
        <f>HYPERLINK("https://pbs.twimg.com/profile_images/887552129338138624/w_OXsOJb_normal.jpg","View")</f>
        <v>View</v>
      </c>
      <c r="P1844" s="27"/>
    </row>
    <row r="1845">
      <c r="A1845" s="14">
        <v>43031.133634259255</v>
      </c>
      <c r="B1845" s="20" t="str">
        <f>HYPERLINK("https://twitter.com/erickmitchy","@erickmitchy")</f>
        <v>@erickmitchy</v>
      </c>
      <c r="C1845" s="21" t="s">
        <v>4551</v>
      </c>
      <c r="D1845" s="21" t="s">
        <v>32</v>
      </c>
      <c r="E1845" s="22" t="str">
        <f>HYPERLINK("https://twitter.com/erickmitchy/status/922405345959600128","922405345959600128")</f>
        <v>922405345959600128</v>
      </c>
      <c r="F1845" s="23" t="s">
        <v>33</v>
      </c>
      <c r="G1845" s="24">
        <v>74.0</v>
      </c>
      <c r="H1845" s="24">
        <v>120.0</v>
      </c>
      <c r="I1845" s="24">
        <v>471.0</v>
      </c>
      <c r="J1845" s="24">
        <v>0.0</v>
      </c>
      <c r="K1845" s="23" t="s">
        <v>34</v>
      </c>
      <c r="L1845" s="25">
        <v>40673.53953703704</v>
      </c>
      <c r="M1845" s="26" t="s">
        <v>114</v>
      </c>
      <c r="N1845" s="28"/>
      <c r="O1845" s="22" t="str">
        <f>HYPERLINK("https://pbs.twimg.com/profile_images/911966175470473216/zeyv6a2m_normal.jpg","View")</f>
        <v>View</v>
      </c>
      <c r="P1845" s="27"/>
    </row>
    <row r="1846">
      <c r="A1846" s="14">
        <v>43031.13364583333</v>
      </c>
      <c r="B1846" s="20" t="str">
        <f>HYPERLINK("https://twitter.com/Shahzad092","@Shahzad092")</f>
        <v>@Shahzad092</v>
      </c>
      <c r="C1846" s="21" t="s">
        <v>4552</v>
      </c>
      <c r="D1846" s="21" t="s">
        <v>4553</v>
      </c>
      <c r="E1846" s="22" t="str">
        <f>HYPERLINK("https://twitter.com/Shahzad092/status/922405348773838848","922405348773838848")</f>
        <v>922405348773838848</v>
      </c>
      <c r="F1846" s="23" t="s">
        <v>4548</v>
      </c>
      <c r="G1846" s="24">
        <v>246.0</v>
      </c>
      <c r="H1846" s="24">
        <v>1158.0</v>
      </c>
      <c r="I1846" s="24">
        <v>0.0</v>
      </c>
      <c r="J1846" s="24">
        <v>0.0</v>
      </c>
      <c r="K1846" s="23" t="s">
        <v>34</v>
      </c>
      <c r="L1846" s="25">
        <v>40355.45054398148</v>
      </c>
      <c r="M1846" s="26" t="s">
        <v>1255</v>
      </c>
      <c r="N1846" s="26" t="s">
        <v>4554</v>
      </c>
      <c r="O1846" s="22" t="str">
        <f>HYPERLINK("https://pbs.twimg.com/profile_images/732181736357040128/TgRG6Vpi_normal.jpg","View")</f>
        <v>View</v>
      </c>
      <c r="P1846" s="27"/>
    </row>
    <row r="1847">
      <c r="A1847" s="14">
        <v>43031.13371527778</v>
      </c>
      <c r="B1847" s="20" t="str">
        <f>HYPERLINK("https://twitter.com/VibrantSoul85","@VibrantSoul85")</f>
        <v>@VibrantSoul85</v>
      </c>
      <c r="C1847" s="21" t="s">
        <v>4555</v>
      </c>
      <c r="D1847" s="21" t="s">
        <v>163</v>
      </c>
      <c r="E1847" s="22" t="str">
        <f>HYPERLINK("https://twitter.com/VibrantSoul85/status/922405372924588032","922405372924588032")</f>
        <v>922405372924588032</v>
      </c>
      <c r="F1847" s="23" t="s">
        <v>33</v>
      </c>
      <c r="G1847" s="24">
        <v>1771.0</v>
      </c>
      <c r="H1847" s="24">
        <v>1242.0</v>
      </c>
      <c r="I1847" s="24">
        <v>1005.0</v>
      </c>
      <c r="J1847" s="24">
        <v>0.0</v>
      </c>
      <c r="K1847" s="23" t="s">
        <v>34</v>
      </c>
      <c r="L1847" s="25">
        <v>40399.03065972222</v>
      </c>
      <c r="M1847" s="26" t="s">
        <v>423</v>
      </c>
      <c r="N1847" s="26" t="s">
        <v>4556</v>
      </c>
      <c r="O1847" s="22" t="str">
        <f>HYPERLINK("https://pbs.twimg.com/profile_images/914129958221488128/0P8sf67h_normal.jpg","View")</f>
        <v>View</v>
      </c>
      <c r="P1847" s="27"/>
    </row>
    <row r="1848">
      <c r="A1848" s="14">
        <v>43031.13371527778</v>
      </c>
      <c r="B1848" s="20" t="str">
        <f>HYPERLINK("https://twitter.com/CNBCTradersFan","@CNBCTradersFan")</f>
        <v>@CNBCTradersFan</v>
      </c>
      <c r="C1848" s="21" t="s">
        <v>1945</v>
      </c>
      <c r="D1848" s="21" t="s">
        <v>4557</v>
      </c>
      <c r="E1848" s="22" t="str">
        <f>HYPERLINK("https://twitter.com/CNBCTradersFan/status/922405375042826240","922405375042826240")</f>
        <v>922405375042826240</v>
      </c>
      <c r="F1848" s="23" t="s">
        <v>187</v>
      </c>
      <c r="G1848" s="24">
        <v>17128.0</v>
      </c>
      <c r="H1848" s="24">
        <v>11615.0</v>
      </c>
      <c r="I1848" s="24">
        <v>0.0</v>
      </c>
      <c r="J1848" s="24">
        <v>0.0</v>
      </c>
      <c r="K1848" s="23" t="s">
        <v>34</v>
      </c>
      <c r="L1848" s="25">
        <v>40922.50542824074</v>
      </c>
      <c r="M1848" s="26" t="s">
        <v>1947</v>
      </c>
      <c r="N1848" s="26" t="s">
        <v>1948</v>
      </c>
      <c r="O1848" s="22" t="str">
        <f>HYPERLINK("https://pbs.twimg.com/profile_images/731870469318684672/Ckf7rDdJ_normal.jpg","View")</f>
        <v>View</v>
      </c>
      <c r="P1848" s="27"/>
    </row>
    <row r="1849">
      <c r="A1849" s="14">
        <v>43031.1337962963</v>
      </c>
      <c r="B1849" s="20" t="str">
        <f>HYPERLINK("https://twitter.com/sakthikumarbjp","@sakthikumarbjp")</f>
        <v>@sakthikumarbjp</v>
      </c>
      <c r="C1849" s="21" t="s">
        <v>4558</v>
      </c>
      <c r="D1849" s="21" t="s">
        <v>42</v>
      </c>
      <c r="E1849" s="22" t="str">
        <f>HYPERLINK("https://twitter.com/sakthikumarbjp/status/922405404054716416","922405404054716416")</f>
        <v>922405404054716416</v>
      </c>
      <c r="F1849" s="23" t="s">
        <v>33</v>
      </c>
      <c r="G1849" s="24">
        <v>30.0</v>
      </c>
      <c r="H1849" s="24">
        <v>51.0</v>
      </c>
      <c r="I1849" s="24">
        <v>8501.0</v>
      </c>
      <c r="J1849" s="24">
        <v>0.0</v>
      </c>
      <c r="K1849" s="23" t="s">
        <v>34</v>
      </c>
      <c r="L1849" s="25">
        <v>42553.36177083333</v>
      </c>
      <c r="M1849" s="26" t="s">
        <v>287</v>
      </c>
      <c r="N1849" s="26" t="s">
        <v>4559</v>
      </c>
      <c r="O1849" s="22" t="str">
        <f>HYPERLINK("https://pbs.twimg.com/profile_images/827498511511977984/ulLx4YW0_normal.jpg","View")</f>
        <v>View</v>
      </c>
      <c r="P1849" s="27"/>
    </row>
    <row r="1850">
      <c r="A1850" s="14">
        <v>43031.13380787037</v>
      </c>
      <c r="B1850" s="20" t="str">
        <f>HYPERLINK("https://twitter.com/boogiefinger","@boogiefinger")</f>
        <v>@boogiefinger</v>
      </c>
      <c r="C1850" s="21" t="s">
        <v>4560</v>
      </c>
      <c r="D1850" s="21" t="s">
        <v>4386</v>
      </c>
      <c r="E1850" s="22" t="str">
        <f>HYPERLINK("https://twitter.com/boogiefinger/status/922405409129889792","922405409129889792")</f>
        <v>922405409129889792</v>
      </c>
      <c r="F1850" s="23" t="s">
        <v>33</v>
      </c>
      <c r="G1850" s="24">
        <v>3061.0</v>
      </c>
      <c r="H1850" s="24">
        <v>3256.0</v>
      </c>
      <c r="I1850" s="24">
        <v>16.0</v>
      </c>
      <c r="J1850" s="24">
        <v>0.0</v>
      </c>
      <c r="K1850" s="23" t="s">
        <v>34</v>
      </c>
      <c r="L1850" s="25">
        <v>40816.81655092593</v>
      </c>
      <c r="M1850" s="26" t="s">
        <v>4561</v>
      </c>
      <c r="N1850" s="26" t="s">
        <v>4562</v>
      </c>
      <c r="O1850" s="22" t="str">
        <f>HYPERLINK("https://pbs.twimg.com/profile_images/721426535018807299/C3y89brR_normal.jpg","View")</f>
        <v>View</v>
      </c>
      <c r="P1850" s="27"/>
    </row>
    <row r="1851">
      <c r="A1851" s="14">
        <v>43031.133888888886</v>
      </c>
      <c r="B1851" s="20" t="str">
        <f>HYPERLINK("https://twitter.com/7thclouds","@7thclouds")</f>
        <v>@7thclouds</v>
      </c>
      <c r="C1851" s="21" t="s">
        <v>4563</v>
      </c>
      <c r="D1851" s="21" t="s">
        <v>4386</v>
      </c>
      <c r="E1851" s="22" t="str">
        <f>HYPERLINK("https://twitter.com/7thclouds/status/922405437810421760","922405437810421760")</f>
        <v>922405437810421760</v>
      </c>
      <c r="F1851" s="23" t="s">
        <v>39</v>
      </c>
      <c r="G1851" s="24">
        <v>1372.0</v>
      </c>
      <c r="H1851" s="24">
        <v>2500.0</v>
      </c>
      <c r="I1851" s="24">
        <v>16.0</v>
      </c>
      <c r="J1851" s="24">
        <v>0.0</v>
      </c>
      <c r="K1851" s="23" t="s">
        <v>34</v>
      </c>
      <c r="L1851" s="25">
        <v>40220.005844907406</v>
      </c>
      <c r="M1851" s="26" t="s">
        <v>4564</v>
      </c>
      <c r="N1851" s="26" t="s">
        <v>4565</v>
      </c>
      <c r="O1851" s="22" t="str">
        <f>HYPERLINK("https://pbs.twimg.com/profile_images/854246510380302337/JsgKRhgJ_normal.jpg","View")</f>
        <v>View</v>
      </c>
      <c r="P1851" s="27"/>
    </row>
    <row r="1852">
      <c r="A1852" s="14">
        <v>43031.133993055555</v>
      </c>
      <c r="B1852" s="20" t="str">
        <f>HYPERLINK("https://twitter.com/Ali17468945","@Ali17468945")</f>
        <v>@Ali17468945</v>
      </c>
      <c r="C1852" s="21" t="s">
        <v>1428</v>
      </c>
      <c r="D1852" s="21" t="s">
        <v>42</v>
      </c>
      <c r="E1852" s="22" t="str">
        <f>HYPERLINK("https://twitter.com/Ali17468945/status/922405473525039104","922405473525039104")</f>
        <v>922405473525039104</v>
      </c>
      <c r="F1852" s="23" t="s">
        <v>39</v>
      </c>
      <c r="G1852" s="24">
        <v>86.0</v>
      </c>
      <c r="H1852" s="24">
        <v>196.0</v>
      </c>
      <c r="I1852" s="24">
        <v>8501.0</v>
      </c>
      <c r="J1852" s="24">
        <v>0.0</v>
      </c>
      <c r="K1852" s="23" t="s">
        <v>34</v>
      </c>
      <c r="L1852" s="25">
        <v>42914.315520833334</v>
      </c>
      <c r="M1852" s="26" t="s">
        <v>204</v>
      </c>
      <c r="N1852" s="26" t="s">
        <v>4566</v>
      </c>
      <c r="O1852" s="22" t="str">
        <f>HYPERLINK("https://abs.twimg.com/sticky/default_profile_images/default_profile_normal.png","View")</f>
        <v>View</v>
      </c>
      <c r="P1852" s="27"/>
    </row>
    <row r="1853">
      <c r="A1853" s="14">
        <v>43031.134004629625</v>
      </c>
      <c r="B1853" s="20" t="str">
        <f>HYPERLINK("https://twitter.com/KaveriThiyagara","@KaveriThiyagara")</f>
        <v>@KaveriThiyagara</v>
      </c>
      <c r="C1853" s="21" t="s">
        <v>4567</v>
      </c>
      <c r="D1853" s="21" t="s">
        <v>42</v>
      </c>
      <c r="E1853" s="22" t="str">
        <f>HYPERLINK("https://twitter.com/KaveriThiyagara/status/922405479279501313","922405479279501313")</f>
        <v>922405479279501313</v>
      </c>
      <c r="F1853" s="23" t="s">
        <v>33</v>
      </c>
      <c r="G1853" s="24">
        <v>291.0</v>
      </c>
      <c r="H1853" s="24">
        <v>193.0</v>
      </c>
      <c r="I1853" s="24">
        <v>8501.0</v>
      </c>
      <c r="J1853" s="24">
        <v>0.0</v>
      </c>
      <c r="K1853" s="23" t="s">
        <v>34</v>
      </c>
      <c r="L1853" s="25">
        <v>41719.20827546297</v>
      </c>
      <c r="M1853" s="26" t="s">
        <v>520</v>
      </c>
      <c r="N1853" s="26" t="s">
        <v>4568</v>
      </c>
      <c r="O1853" s="22" t="str">
        <f>HYPERLINK("https://pbs.twimg.com/profile_images/768744356605853696/9D8OLwdq_normal.jpg","View")</f>
        <v>View</v>
      </c>
      <c r="P1853" s="27"/>
    </row>
    <row r="1854">
      <c r="A1854" s="14">
        <v>43031.13403935185</v>
      </c>
      <c r="B1854" s="20" t="str">
        <f>HYPERLINK("https://twitter.com/apbmandate","@apbmandate")</f>
        <v>@apbmandate</v>
      </c>
      <c r="C1854" s="21" t="s">
        <v>4569</v>
      </c>
      <c r="D1854" s="21" t="s">
        <v>4570</v>
      </c>
      <c r="E1854" s="22" t="str">
        <f>HYPERLINK("https://twitter.com/apbmandate/status/922405493351391234","922405493351391234")</f>
        <v>922405493351391234</v>
      </c>
      <c r="F1854" s="23" t="s">
        <v>4571</v>
      </c>
      <c r="G1854" s="24">
        <v>637.0</v>
      </c>
      <c r="H1854" s="24">
        <v>1049.0</v>
      </c>
      <c r="I1854" s="24">
        <v>0.0</v>
      </c>
      <c r="J1854" s="24">
        <v>0.0</v>
      </c>
      <c r="K1854" s="23" t="s">
        <v>34</v>
      </c>
      <c r="L1854" s="25">
        <v>42385.682650462964</v>
      </c>
      <c r="M1854" s="28"/>
      <c r="N1854" s="26" t="s">
        <v>4572</v>
      </c>
      <c r="O1854" s="22" t="str">
        <f>HYPERLINK("https://pbs.twimg.com/profile_images/688519010887925760/TgkjjFd8_normal.png","View")</f>
        <v>View</v>
      </c>
      <c r="P1854" s="27"/>
    </row>
    <row r="1855">
      <c r="A1855" s="14">
        <v>43031.134108796294</v>
      </c>
      <c r="B1855" s="20" t="str">
        <f>HYPERLINK("https://twitter.com/GeoTechive","@GeoTechive")</f>
        <v>@GeoTechive</v>
      </c>
      <c r="C1855" s="21" t="s">
        <v>4573</v>
      </c>
      <c r="D1855" s="21" t="s">
        <v>4574</v>
      </c>
      <c r="E1855" s="22" t="str">
        <f>HYPERLINK("https://twitter.com/GeoTechive/status/922405515648385025","922405515648385025")</f>
        <v>922405515648385025</v>
      </c>
      <c r="F1855" s="30" t="s">
        <v>411</v>
      </c>
      <c r="G1855" s="24">
        <v>874.0</v>
      </c>
      <c r="H1855" s="24">
        <v>739.0</v>
      </c>
      <c r="I1855" s="24">
        <v>0.0</v>
      </c>
      <c r="J1855" s="24">
        <v>0.0</v>
      </c>
      <c r="K1855" s="23" t="s">
        <v>34</v>
      </c>
      <c r="L1855" s="25">
        <v>42610.252962962964</v>
      </c>
      <c r="M1855" s="26" t="s">
        <v>1961</v>
      </c>
      <c r="N1855" s="26" t="s">
        <v>4575</v>
      </c>
      <c r="O1855" s="22" t="str">
        <f>HYPERLINK("https://pbs.twimg.com/profile_images/826088812300218368/-tblnrKh_normal.jpg","View")</f>
        <v>View</v>
      </c>
      <c r="P1855" s="27"/>
    </row>
    <row r="1856">
      <c r="A1856" s="14">
        <v>43031.13420138889</v>
      </c>
      <c r="B1856" s="20" t="str">
        <f>HYPERLINK("https://twitter.com/mmmWeiki","@mmmWeiki")</f>
        <v>@mmmWeiki</v>
      </c>
      <c r="C1856" s="21" t="s">
        <v>4576</v>
      </c>
      <c r="D1856" s="21" t="s">
        <v>3546</v>
      </c>
      <c r="E1856" s="22" t="str">
        <f>HYPERLINK("https://twitter.com/mmmWeiki/status/922405550226268165","922405550226268165")</f>
        <v>922405550226268165</v>
      </c>
      <c r="F1856" s="23" t="s">
        <v>33</v>
      </c>
      <c r="G1856" s="24">
        <v>1269.0</v>
      </c>
      <c r="H1856" s="24">
        <v>1432.0</v>
      </c>
      <c r="I1856" s="24">
        <v>4.0</v>
      </c>
      <c r="J1856" s="24">
        <v>0.0</v>
      </c>
      <c r="K1856" s="23" t="s">
        <v>34</v>
      </c>
      <c r="L1856" s="25">
        <v>40467.79292824074</v>
      </c>
      <c r="M1856" s="26" t="s">
        <v>4577</v>
      </c>
      <c r="N1856" s="26" t="s">
        <v>4578</v>
      </c>
      <c r="O1856" s="22" t="str">
        <f>HYPERLINK("https://pbs.twimg.com/profile_images/2847114325/9766e97ad44611bff91109565a3e7cc3_normal.jpeg","View")</f>
        <v>View</v>
      </c>
      <c r="P1856" s="27"/>
    </row>
    <row r="1857">
      <c r="A1857" s="14">
        <v>43031.13423611112</v>
      </c>
      <c r="B1857" s="20" t="str">
        <f>HYPERLINK("https://twitter.com/KoreaCenterHQ","@KoreaCenterHQ")</f>
        <v>@KoreaCenterHQ</v>
      </c>
      <c r="C1857" s="21" t="s">
        <v>3956</v>
      </c>
      <c r="D1857" s="21" t="s">
        <v>4579</v>
      </c>
      <c r="E1857" s="22" t="str">
        <f>HYPERLINK("https://twitter.com/KoreaCenterHQ/status/922405565430747136","922405565430747136")</f>
        <v>922405565430747136</v>
      </c>
      <c r="F1857" s="23" t="s">
        <v>187</v>
      </c>
      <c r="G1857" s="24">
        <v>71.0</v>
      </c>
      <c r="H1857" s="24">
        <v>5.0</v>
      </c>
      <c r="I1857" s="24">
        <v>0.0</v>
      </c>
      <c r="J1857" s="24">
        <v>0.0</v>
      </c>
      <c r="K1857" s="23" t="s">
        <v>34</v>
      </c>
      <c r="L1857" s="25">
        <v>42259.78550925926</v>
      </c>
      <c r="M1857" s="26" t="s">
        <v>3958</v>
      </c>
      <c r="N1857" s="26" t="s">
        <v>3959</v>
      </c>
      <c r="O1857" s="22" t="str">
        <f>HYPERLINK("https://pbs.twimg.com/profile_images/902288054987182080/2Zsh6ms3_normal.jpg","View")</f>
        <v>View</v>
      </c>
      <c r="P1857" s="27"/>
    </row>
    <row r="1858">
      <c r="A1858" s="14">
        <v>43031.1343287037</v>
      </c>
      <c r="B1858" s="20" t="str">
        <f>HYPERLINK("https://twitter.com/15MikeMike15","@15MikeMike15")</f>
        <v>@15MikeMike15</v>
      </c>
      <c r="C1858" s="21" t="s">
        <v>1582</v>
      </c>
      <c r="D1858" s="21" t="s">
        <v>4580</v>
      </c>
      <c r="E1858" s="22" t="str">
        <f>HYPERLINK("https://twitter.com/15MikeMike15/status/922405598620241920","922405598620241920")</f>
        <v>922405598620241920</v>
      </c>
      <c r="F1858" s="23" t="s">
        <v>1584</v>
      </c>
      <c r="G1858" s="24">
        <v>1034.0</v>
      </c>
      <c r="H1858" s="24">
        <v>1951.0</v>
      </c>
      <c r="I1858" s="24">
        <v>1.0</v>
      </c>
      <c r="J1858" s="24">
        <v>0.0</v>
      </c>
      <c r="K1858" s="23" t="s">
        <v>34</v>
      </c>
      <c r="L1858" s="25">
        <v>42809.583402777775</v>
      </c>
      <c r="M1858" s="28"/>
      <c r="N1858" s="28"/>
      <c r="O1858" s="22" t="str">
        <f>HYPERLINK("https://pbs.twimg.com/profile_images/864951920045289473/bAoGibet_normal.jpg","View")</f>
        <v>View</v>
      </c>
      <c r="P1858" s="27"/>
    </row>
    <row r="1859">
      <c r="A1859" s="14">
        <v>43031.134375</v>
      </c>
      <c r="B1859" s="20" t="str">
        <f>HYPERLINK("https://twitter.com/mahhosaaaan","@mahhosaaaan")</f>
        <v>@mahhosaaaan</v>
      </c>
      <c r="C1859" s="21" t="s">
        <v>4581</v>
      </c>
      <c r="D1859" s="21" t="s">
        <v>825</v>
      </c>
      <c r="E1859" s="22" t="str">
        <f>HYPERLINK("https://twitter.com/mahhosaaaan/status/922405614684323841","922405614684323841")</f>
        <v>922405614684323841</v>
      </c>
      <c r="F1859" s="23" t="s">
        <v>39</v>
      </c>
      <c r="G1859" s="24">
        <v>367.0</v>
      </c>
      <c r="H1859" s="24">
        <v>204.0</v>
      </c>
      <c r="I1859" s="24">
        <v>109.0</v>
      </c>
      <c r="J1859" s="24">
        <v>0.0</v>
      </c>
      <c r="K1859" s="23" t="s">
        <v>34</v>
      </c>
      <c r="L1859" s="25">
        <v>40415.09663194444</v>
      </c>
      <c r="M1859" s="26" t="s">
        <v>4582</v>
      </c>
      <c r="N1859" s="26" t="s">
        <v>4583</v>
      </c>
      <c r="O1859" s="22" t="str">
        <f>HYPERLINK("https://pbs.twimg.com/profile_images/909024946013192192/Mj9sF-6L_normal.jpg","View")</f>
        <v>View</v>
      </c>
      <c r="P1859" s="27"/>
    </row>
    <row r="1860">
      <c r="A1860" s="14">
        <v>43031.13471064815</v>
      </c>
      <c r="B1860" s="20" t="str">
        <f>HYPERLINK("https://twitter.com/revolution_fr","@revolution_fr")</f>
        <v>@revolution_fr</v>
      </c>
      <c r="C1860" s="21" t="s">
        <v>321</v>
      </c>
      <c r="D1860" s="21" t="s">
        <v>4584</v>
      </c>
      <c r="E1860" s="22" t="str">
        <f>HYPERLINK("https://twitter.com/revolution_fr/status/922405735253925888","922405735253925888")</f>
        <v>922405735253925888</v>
      </c>
      <c r="F1860" s="23" t="s">
        <v>43</v>
      </c>
      <c r="G1860" s="24">
        <v>2647.0</v>
      </c>
      <c r="H1860" s="24">
        <v>3619.0</v>
      </c>
      <c r="I1860" s="24">
        <v>1.0</v>
      </c>
      <c r="J1860" s="24">
        <v>0.0</v>
      </c>
      <c r="K1860" s="23" t="s">
        <v>34</v>
      </c>
      <c r="L1860" s="25">
        <v>42400.312430555554</v>
      </c>
      <c r="M1860" s="26" t="s">
        <v>323</v>
      </c>
      <c r="N1860" s="26" t="s">
        <v>324</v>
      </c>
      <c r="O1860" s="22" t="str">
        <f>HYPERLINK("https://pbs.twimg.com/profile_images/912005330749575173/gmtBFZtv_normal.jpg","View")</f>
        <v>View</v>
      </c>
      <c r="P1860" s="27"/>
    </row>
    <row r="1861">
      <c r="A1861" s="14">
        <v>43031.13475694445</v>
      </c>
      <c r="B1861" s="20" t="str">
        <f>HYPERLINK("https://twitter.com/bizcoachinfo","@bizcoachinfo")</f>
        <v>@bizcoachinfo</v>
      </c>
      <c r="C1861" s="21" t="s">
        <v>4585</v>
      </c>
      <c r="D1861" s="21" t="s">
        <v>4586</v>
      </c>
      <c r="E1861" s="22" t="str">
        <f>HYPERLINK("https://twitter.com/bizcoachinfo/status/922405754098741249","922405754098741249")</f>
        <v>922405754098741249</v>
      </c>
      <c r="F1861" s="23" t="s">
        <v>55</v>
      </c>
      <c r="G1861" s="24">
        <v>7852.0</v>
      </c>
      <c r="H1861" s="24">
        <v>8016.0</v>
      </c>
      <c r="I1861" s="24">
        <v>0.0</v>
      </c>
      <c r="J1861" s="24">
        <v>0.0</v>
      </c>
      <c r="K1861" s="23" t="s">
        <v>34</v>
      </c>
      <c r="L1861" s="25">
        <v>40070.899189814816</v>
      </c>
      <c r="M1861" s="26" t="s">
        <v>4587</v>
      </c>
      <c r="N1861" s="26" t="s">
        <v>4588</v>
      </c>
      <c r="O1861" s="22" t="str">
        <f>HYPERLINK("https://pbs.twimg.com/profile_images/563936061982638080/KHhdXTBs_normal.jpeg","View")</f>
        <v>View</v>
      </c>
      <c r="P1861" s="27"/>
    </row>
    <row r="1862">
      <c r="A1862" s="14">
        <v>43031.134780092594</v>
      </c>
      <c r="B1862" s="20" t="str">
        <f>HYPERLINK("https://twitter.com/fujitayuh","@fujitayuh")</f>
        <v>@fujitayuh</v>
      </c>
      <c r="C1862" s="21" t="s">
        <v>4589</v>
      </c>
      <c r="D1862" s="21" t="s">
        <v>4590</v>
      </c>
      <c r="E1862" s="22" t="str">
        <f>HYPERLINK("https://twitter.com/fujitayuh/status/922405761942134784","922405761942134784")</f>
        <v>922405761942134784</v>
      </c>
      <c r="F1862" s="23" t="s">
        <v>55</v>
      </c>
      <c r="G1862" s="24">
        <v>457.0</v>
      </c>
      <c r="H1862" s="24">
        <v>265.0</v>
      </c>
      <c r="I1862" s="24">
        <v>17.0</v>
      </c>
      <c r="J1862" s="24">
        <v>0.0</v>
      </c>
      <c r="K1862" s="23" t="s">
        <v>34</v>
      </c>
      <c r="L1862" s="25">
        <v>40208.23972222222</v>
      </c>
      <c r="M1862" s="26" t="s">
        <v>4591</v>
      </c>
      <c r="N1862" s="26" t="s">
        <v>4592</v>
      </c>
      <c r="O1862" s="22" t="str">
        <f>HYPERLINK("https://pbs.twimg.com/profile_images/667191542/800px-Four_of_the_Seven_Sisters_normal.jpg","View")</f>
        <v>View</v>
      </c>
      <c r="P1862" s="27"/>
    </row>
    <row r="1863">
      <c r="A1863" s="14">
        <v>43031.13487268519</v>
      </c>
      <c r="B1863" s="20" t="str">
        <f>HYPERLINK("https://twitter.com/TNWAC","@TNWAC")</f>
        <v>@TNWAC</v>
      </c>
      <c r="C1863" s="21" t="s">
        <v>4593</v>
      </c>
      <c r="D1863" s="21" t="s">
        <v>4594</v>
      </c>
      <c r="E1863" s="22" t="str">
        <f>HYPERLINK("https://twitter.com/TNWAC/status/922405794431283200","922405794431283200")</f>
        <v>922405794431283200</v>
      </c>
      <c r="F1863" s="23" t="s">
        <v>4595</v>
      </c>
      <c r="G1863" s="24">
        <v>392.0</v>
      </c>
      <c r="H1863" s="24">
        <v>417.0</v>
      </c>
      <c r="I1863" s="24">
        <v>0.0</v>
      </c>
      <c r="J1863" s="24">
        <v>0.0</v>
      </c>
      <c r="K1863" s="23" t="s">
        <v>34</v>
      </c>
      <c r="L1863" s="25">
        <v>40787.20015046296</v>
      </c>
      <c r="M1863" s="26" t="s">
        <v>4596</v>
      </c>
      <c r="N1863" s="26" t="s">
        <v>4597</v>
      </c>
      <c r="O1863" s="22" t="str">
        <f>HYPERLINK("https://pbs.twimg.com/profile_images/695691141577109504/1hLVZHpr_normal.jpg","View")</f>
        <v>View</v>
      </c>
      <c r="P1863" s="27"/>
    </row>
    <row r="1864">
      <c r="A1864" s="14">
        <v>43031.13487268519</v>
      </c>
      <c r="B1864" s="20" t="str">
        <f>HYPERLINK("https://twitter.com/fujitayuh","@fujitayuh")</f>
        <v>@fujitayuh</v>
      </c>
      <c r="C1864" s="21" t="s">
        <v>4589</v>
      </c>
      <c r="D1864" s="21" t="s">
        <v>4386</v>
      </c>
      <c r="E1864" s="22" t="str">
        <f>HYPERLINK("https://twitter.com/fujitayuh/status/922405795370639361","922405795370639361")</f>
        <v>922405795370639361</v>
      </c>
      <c r="F1864" s="23" t="s">
        <v>55</v>
      </c>
      <c r="G1864" s="24">
        <v>457.0</v>
      </c>
      <c r="H1864" s="24">
        <v>265.0</v>
      </c>
      <c r="I1864" s="24">
        <v>16.0</v>
      </c>
      <c r="J1864" s="24">
        <v>0.0</v>
      </c>
      <c r="K1864" s="23" t="s">
        <v>34</v>
      </c>
      <c r="L1864" s="25">
        <v>40208.23972222222</v>
      </c>
      <c r="M1864" s="26" t="s">
        <v>4591</v>
      </c>
      <c r="N1864" s="26" t="s">
        <v>4592</v>
      </c>
      <c r="O1864" s="22" t="str">
        <f>HYPERLINK("https://pbs.twimg.com/profile_images/667191542/800px-Four_of_the_Seven_Sisters_normal.jpg","View")</f>
        <v>View</v>
      </c>
      <c r="P1864" s="27"/>
    </row>
    <row r="1865">
      <c r="A1865" s="14">
        <v>43031.13516203704</v>
      </c>
      <c r="B1865" s="20" t="str">
        <f>HYPERLINK("https://twitter.com/shivamrutham","@shivamrutham")</f>
        <v>@shivamrutham</v>
      </c>
      <c r="C1865" s="21" t="s">
        <v>4598</v>
      </c>
      <c r="D1865" s="21" t="s">
        <v>42</v>
      </c>
      <c r="E1865" s="22" t="str">
        <f>HYPERLINK("https://twitter.com/shivamrutham/status/922405897409720320","922405897409720320")</f>
        <v>922405897409720320</v>
      </c>
      <c r="F1865" s="23" t="s">
        <v>33</v>
      </c>
      <c r="G1865" s="24">
        <v>73.0</v>
      </c>
      <c r="H1865" s="24">
        <v>1163.0</v>
      </c>
      <c r="I1865" s="24">
        <v>8501.0</v>
      </c>
      <c r="J1865" s="24">
        <v>0.0</v>
      </c>
      <c r="K1865" s="23" t="s">
        <v>34</v>
      </c>
      <c r="L1865" s="25">
        <v>42930.89828703704</v>
      </c>
      <c r="M1865" s="28"/>
      <c r="N1865" s="28"/>
      <c r="O1865" s="22" t="str">
        <f>HYPERLINK("https://pbs.twimg.com/profile_images/886084082181877761/d1Z6Ex4D_normal.jpg","View")</f>
        <v>View</v>
      </c>
      <c r="P1865" s="27"/>
    </row>
    <row r="1866">
      <c r="A1866" s="14">
        <v>43031.13519675926</v>
      </c>
      <c r="B1866" s="20" t="str">
        <f>HYPERLINK("https://twitter.com/tpel78","@tpel78")</f>
        <v>@tpel78</v>
      </c>
      <c r="C1866" s="21" t="s">
        <v>4599</v>
      </c>
      <c r="D1866" s="21" t="s">
        <v>163</v>
      </c>
      <c r="E1866" s="22" t="str">
        <f>HYPERLINK("https://twitter.com/tpel78/status/922405913536933889","922405913536933889")</f>
        <v>922405913536933889</v>
      </c>
      <c r="F1866" s="23" t="s">
        <v>33</v>
      </c>
      <c r="G1866" s="24">
        <v>4564.0</v>
      </c>
      <c r="H1866" s="24">
        <v>2971.0</v>
      </c>
      <c r="I1866" s="24">
        <v>1005.0</v>
      </c>
      <c r="J1866" s="24">
        <v>0.0</v>
      </c>
      <c r="K1866" s="23" t="s">
        <v>34</v>
      </c>
      <c r="L1866" s="25">
        <v>41262.929131944446</v>
      </c>
      <c r="M1866" s="26" t="s">
        <v>4600</v>
      </c>
      <c r="N1866" s="26" t="s">
        <v>4601</v>
      </c>
      <c r="O1866" s="22" t="str">
        <f>HYPERLINK("https://pbs.twimg.com/profile_images/726706701290856450/iL8AAMVG_normal.jpg","View")</f>
        <v>View</v>
      </c>
      <c r="P1866" s="27"/>
    </row>
    <row r="1867">
      <c r="A1867" s="14">
        <v>43031.13520833333</v>
      </c>
      <c r="B1867" s="20" t="str">
        <f>HYPERLINK("https://twitter.com/sonal_kashyap","@sonal_kashyap")</f>
        <v>@sonal_kashyap</v>
      </c>
      <c r="C1867" s="21" t="s">
        <v>4602</v>
      </c>
      <c r="D1867" s="21" t="s">
        <v>42</v>
      </c>
      <c r="E1867" s="22" t="str">
        <f>HYPERLINK("https://twitter.com/sonal_kashyap/status/922405917638799360","922405917638799360")</f>
        <v>922405917638799360</v>
      </c>
      <c r="F1867" s="23" t="s">
        <v>33</v>
      </c>
      <c r="G1867" s="24">
        <v>240.0</v>
      </c>
      <c r="H1867" s="24">
        <v>181.0</v>
      </c>
      <c r="I1867" s="24">
        <v>8501.0</v>
      </c>
      <c r="J1867" s="24">
        <v>0.0</v>
      </c>
      <c r="K1867" s="23" t="s">
        <v>34</v>
      </c>
      <c r="L1867" s="25">
        <v>40249.17290509259</v>
      </c>
      <c r="M1867" s="26" t="s">
        <v>204</v>
      </c>
      <c r="N1867" s="26" t="s">
        <v>4603</v>
      </c>
      <c r="O1867" s="22" t="str">
        <f>HYPERLINK("https://pbs.twimg.com/profile_images/921038888956657664/X4JTAvtv_normal.jpg","View")</f>
        <v>View</v>
      </c>
      <c r="P1867" s="27"/>
    </row>
    <row r="1868">
      <c r="A1868" s="14">
        <v>43031.135243055556</v>
      </c>
      <c r="B1868" s="20" t="str">
        <f>HYPERLINK("https://twitter.com/TheJeonsa","@TheJeonsa")</f>
        <v>@TheJeonsa</v>
      </c>
      <c r="C1868" s="21" t="s">
        <v>4604</v>
      </c>
      <c r="D1868" s="21" t="s">
        <v>42</v>
      </c>
      <c r="E1868" s="22" t="str">
        <f>HYPERLINK("https://twitter.com/TheJeonsa/status/922405929483624448","922405929483624448")</f>
        <v>922405929483624448</v>
      </c>
      <c r="F1868" s="23" t="s">
        <v>55</v>
      </c>
      <c r="G1868" s="24">
        <v>6460.0</v>
      </c>
      <c r="H1868" s="24">
        <v>5069.0</v>
      </c>
      <c r="I1868" s="24">
        <v>8501.0</v>
      </c>
      <c r="J1868" s="24">
        <v>0.0</v>
      </c>
      <c r="K1868" s="23" t="s">
        <v>34</v>
      </c>
      <c r="L1868" s="25">
        <v>40001.17471064815</v>
      </c>
      <c r="M1868" s="26" t="s">
        <v>4605</v>
      </c>
      <c r="N1868" s="26" t="s">
        <v>4606</v>
      </c>
      <c r="O1868" s="22" t="str">
        <f>HYPERLINK("https://pbs.twimg.com/profile_images/912693934790344706/J7Acq1Ba_normal.jpg","View")</f>
        <v>View</v>
      </c>
      <c r="P1868" s="27"/>
    </row>
    <row r="1869">
      <c r="A1869" s="14">
        <v>43031.13527777778</v>
      </c>
      <c r="B1869" s="20" t="str">
        <f>HYPERLINK("https://twitter.com/Praveen10679306","@Praveen10679306")</f>
        <v>@Praveen10679306</v>
      </c>
      <c r="C1869" s="21" t="s">
        <v>4607</v>
      </c>
      <c r="D1869" s="21" t="s">
        <v>42</v>
      </c>
      <c r="E1869" s="22" t="str">
        <f>HYPERLINK("https://twitter.com/Praveen10679306/status/922405943102529536","922405943102529536")</f>
        <v>922405943102529536</v>
      </c>
      <c r="F1869" s="23" t="s">
        <v>33</v>
      </c>
      <c r="G1869" s="24">
        <v>1.0</v>
      </c>
      <c r="H1869" s="24">
        <v>95.0</v>
      </c>
      <c r="I1869" s="24">
        <v>8501.0</v>
      </c>
      <c r="J1869" s="24">
        <v>0.0</v>
      </c>
      <c r="K1869" s="23" t="s">
        <v>34</v>
      </c>
      <c r="L1869" s="25">
        <v>42988.56820601852</v>
      </c>
      <c r="M1869" s="28"/>
      <c r="N1869" s="28"/>
      <c r="O1869" s="22" t="str">
        <f>HYPERLINK("https://abs.twimg.com/sticky/default_profile_images/default_profile_normal.png","View")</f>
        <v>View</v>
      </c>
      <c r="P1869" s="27"/>
    </row>
    <row r="1870">
      <c r="A1870" s="14">
        <v>43031.13533564815</v>
      </c>
      <c r="B1870" s="20" t="str">
        <f>HYPERLINK("https://twitter.com/mahendrarajsin5","@mahendrarajsin5")</f>
        <v>@mahendrarajsin5</v>
      </c>
      <c r="C1870" s="21" t="s">
        <v>4608</v>
      </c>
      <c r="D1870" s="21" t="s">
        <v>42</v>
      </c>
      <c r="E1870" s="22" t="str">
        <f>HYPERLINK("https://twitter.com/mahendrarajsin5/status/922405963314765825","922405963314765825")</f>
        <v>922405963314765825</v>
      </c>
      <c r="F1870" s="23" t="s">
        <v>33</v>
      </c>
      <c r="G1870" s="24">
        <v>533.0</v>
      </c>
      <c r="H1870" s="24">
        <v>236.0</v>
      </c>
      <c r="I1870" s="24">
        <v>8501.0</v>
      </c>
      <c r="J1870" s="24">
        <v>0.0</v>
      </c>
      <c r="K1870" s="23" t="s">
        <v>34</v>
      </c>
      <c r="L1870" s="25">
        <v>42309.03773148148</v>
      </c>
      <c r="M1870" s="28"/>
      <c r="N1870" s="28"/>
      <c r="O1870" s="22" t="str">
        <f>HYPERLINK("https://pbs.twimg.com/profile_images/904912530476195840/er4_8uRk_normal.jpg","View")</f>
        <v>View</v>
      </c>
      <c r="P1870" s="27"/>
    </row>
    <row r="1871">
      <c r="A1871" s="14">
        <v>43031.13541666667</v>
      </c>
      <c r="B1871" s="20" t="str">
        <f>HYPERLINK("https://twitter.com/17270411","@17270411")</f>
        <v>@17270411</v>
      </c>
      <c r="C1871" s="21" t="s">
        <v>4609</v>
      </c>
      <c r="D1871" s="21" t="s">
        <v>42</v>
      </c>
      <c r="E1871" s="22" t="str">
        <f>HYPERLINK("https://twitter.com/17270411/status/922405990619693056","922405990619693056")</f>
        <v>922405990619693056</v>
      </c>
      <c r="F1871" s="23" t="s">
        <v>39</v>
      </c>
      <c r="G1871" s="24">
        <v>27.0</v>
      </c>
      <c r="H1871" s="24">
        <v>124.0</v>
      </c>
      <c r="I1871" s="24">
        <v>8501.0</v>
      </c>
      <c r="J1871" s="24">
        <v>0.0</v>
      </c>
      <c r="K1871" s="23" t="s">
        <v>34</v>
      </c>
      <c r="L1871" s="25">
        <v>41742.3065625</v>
      </c>
      <c r="M1871" s="26" t="s">
        <v>71</v>
      </c>
      <c r="N1871" s="26" t="s">
        <v>4610</v>
      </c>
      <c r="O1871" s="22" t="str">
        <f>HYPERLINK("https://pbs.twimg.com/profile_images/717919324476801024/8V7mzWo9_normal.jpg","View")</f>
        <v>View</v>
      </c>
      <c r="P1871" s="27"/>
    </row>
    <row r="1872">
      <c r="A1872" s="14">
        <v>43031.135462962964</v>
      </c>
      <c r="B1872" s="20" t="str">
        <f>HYPERLINK("https://twitter.com/kiyomihash1","@kiyomihash1")</f>
        <v>@kiyomihash1</v>
      </c>
      <c r="C1872" s="21" t="s">
        <v>4611</v>
      </c>
      <c r="D1872" s="21" t="s">
        <v>42</v>
      </c>
      <c r="E1872" s="22" t="str">
        <f>HYPERLINK("https://twitter.com/kiyomihash1/status/922406010182127616","922406010182127616")</f>
        <v>922406010182127616</v>
      </c>
      <c r="F1872" s="23" t="s">
        <v>39</v>
      </c>
      <c r="G1872" s="24">
        <v>865.0</v>
      </c>
      <c r="H1872" s="24">
        <v>171.0</v>
      </c>
      <c r="I1872" s="24">
        <v>8501.0</v>
      </c>
      <c r="J1872" s="24">
        <v>0.0</v>
      </c>
      <c r="K1872" s="23" t="s">
        <v>34</v>
      </c>
      <c r="L1872" s="25">
        <v>42063.37427083333</v>
      </c>
      <c r="M1872" s="28"/>
      <c r="N1872" s="26" t="s">
        <v>4612</v>
      </c>
      <c r="O1872" s="22" t="str">
        <f>HYPERLINK("https://pbs.twimg.com/profile_images/860727790966124544/lCZMR7Ll_normal.jpg","View")</f>
        <v>View</v>
      </c>
      <c r="P1872" s="27"/>
    </row>
    <row r="1873">
      <c r="A1873" s="14">
        <v>43031.13553240741</v>
      </c>
      <c r="B1873" s="20" t="str">
        <f>HYPERLINK("https://twitter.com/ivedantagarwal","@ivedantagarwal")</f>
        <v>@ivedantagarwal</v>
      </c>
      <c r="C1873" s="21" t="s">
        <v>4613</v>
      </c>
      <c r="D1873" s="21" t="s">
        <v>42</v>
      </c>
      <c r="E1873" s="22" t="str">
        <f>HYPERLINK("https://twitter.com/ivedantagarwal/status/922406031363334144","922406031363334144")</f>
        <v>922406031363334144</v>
      </c>
      <c r="F1873" s="23" t="s">
        <v>33</v>
      </c>
      <c r="G1873" s="24">
        <v>29.0</v>
      </c>
      <c r="H1873" s="24">
        <v>408.0</v>
      </c>
      <c r="I1873" s="24">
        <v>8501.0</v>
      </c>
      <c r="J1873" s="24">
        <v>0.0</v>
      </c>
      <c r="K1873" s="23" t="s">
        <v>34</v>
      </c>
      <c r="L1873" s="25">
        <v>41164.59489583333</v>
      </c>
      <c r="M1873" s="26" t="s">
        <v>204</v>
      </c>
      <c r="N1873" s="28"/>
      <c r="O1873" s="22" t="str">
        <f>HYPERLINK("https://pbs.twimg.com/profile_images/595019451960938497/F7S_Zgvs_normal.jpg","View")</f>
        <v>View</v>
      </c>
      <c r="P1873" s="27"/>
    </row>
    <row r="1874">
      <c r="A1874" s="14">
        <v>43031.13553240741</v>
      </c>
      <c r="B1874" s="20" t="str">
        <f>HYPERLINK("https://twitter.com/Sci_Tech_AU","@Sci_Tech_AU")</f>
        <v>@Sci_Tech_AU</v>
      </c>
      <c r="C1874" s="21" t="s">
        <v>4614</v>
      </c>
      <c r="D1874" s="21" t="s">
        <v>4615</v>
      </c>
      <c r="E1874" s="22" t="str">
        <f>HYPERLINK("https://twitter.com/Sci_Tech_AU/status/922406034425171968","922406034425171968")</f>
        <v>922406034425171968</v>
      </c>
      <c r="F1874" s="23" t="s">
        <v>1020</v>
      </c>
      <c r="G1874" s="24">
        <v>170.0</v>
      </c>
      <c r="H1874" s="24">
        <v>349.0</v>
      </c>
      <c r="I1874" s="24">
        <v>0.0</v>
      </c>
      <c r="J1874" s="24">
        <v>0.0</v>
      </c>
      <c r="K1874" s="23" t="s">
        <v>34</v>
      </c>
      <c r="L1874" s="25">
        <v>41955.15486111111</v>
      </c>
      <c r="M1874" s="28"/>
      <c r="N1874" s="26" t="s">
        <v>4616</v>
      </c>
      <c r="O1874" s="22" t="str">
        <f>HYPERLINK("https://pbs.twimg.com/profile_images/532499086453530624/TDmbehbk_normal.png","View")</f>
        <v>View</v>
      </c>
      <c r="P1874" s="27"/>
    </row>
    <row r="1875">
      <c r="A1875" s="14">
        <v>43031.13553240741</v>
      </c>
      <c r="B1875" s="20" t="str">
        <f>HYPERLINK("https://twitter.com/NewIndianXpress","@NewIndianXpress")</f>
        <v>@NewIndianXpress</v>
      </c>
      <c r="C1875" s="21" t="s">
        <v>4617</v>
      </c>
      <c r="D1875" s="21" t="s">
        <v>4618</v>
      </c>
      <c r="E1875" s="22" t="str">
        <f>HYPERLINK("https://twitter.com/NewIndianXpress/status/922406035280793600","922406035280793600")</f>
        <v>922406035280793600</v>
      </c>
      <c r="F1875" s="23" t="s">
        <v>4619</v>
      </c>
      <c r="G1875" s="24">
        <v>266739.0</v>
      </c>
      <c r="H1875" s="24">
        <v>487.0</v>
      </c>
      <c r="I1875" s="24">
        <v>0.0</v>
      </c>
      <c r="J1875" s="24">
        <v>5.0</v>
      </c>
      <c r="K1875" s="23" t="s">
        <v>34</v>
      </c>
      <c r="L1875" s="25">
        <v>40152.058969907404</v>
      </c>
      <c r="M1875" s="26" t="s">
        <v>4620</v>
      </c>
      <c r="N1875" s="26" t="s">
        <v>4621</v>
      </c>
      <c r="O1875" s="22" t="str">
        <f>HYPERLINK("https://pbs.twimg.com/profile_images/841900844144578560/7BkS6VsH_normal.jpg","View")</f>
        <v>View</v>
      </c>
      <c r="P1875" s="27"/>
    </row>
    <row r="1876">
      <c r="A1876" s="14">
        <v>43031.135671296295</v>
      </c>
      <c r="B1876" s="20" t="str">
        <f>HYPERLINK("https://twitter.com/nishant_3122","@nishant_3122")</f>
        <v>@nishant_3122</v>
      </c>
      <c r="C1876" s="21" t="s">
        <v>4622</v>
      </c>
      <c r="D1876" s="21" t="s">
        <v>42</v>
      </c>
      <c r="E1876" s="22" t="str">
        <f>HYPERLINK("https://twitter.com/nishant_3122/status/922406085796884480","922406085796884480")</f>
        <v>922406085796884480</v>
      </c>
      <c r="F1876" s="23" t="s">
        <v>39</v>
      </c>
      <c r="G1876" s="24">
        <v>725.0</v>
      </c>
      <c r="H1876" s="24">
        <v>688.0</v>
      </c>
      <c r="I1876" s="24">
        <v>8501.0</v>
      </c>
      <c r="J1876" s="24">
        <v>0.0</v>
      </c>
      <c r="K1876" s="23" t="s">
        <v>34</v>
      </c>
      <c r="L1876" s="25">
        <v>40194.98166666667</v>
      </c>
      <c r="M1876" s="26" t="s">
        <v>4623</v>
      </c>
      <c r="N1876" s="28"/>
      <c r="O1876" s="22" t="str">
        <f>HYPERLINK("https://pbs.twimg.com/profile_images/3438233752/2429fe53e3e3e5c5e54fe35540a8b7f6_normal.jpeg","View")</f>
        <v>View</v>
      </c>
      <c r="P1876" s="27"/>
    </row>
    <row r="1877">
      <c r="A1877" s="14">
        <v>43031.135833333334</v>
      </c>
      <c r="B1877" s="20" t="str">
        <f>HYPERLINK("https://twitter.com/EriqueObondo","@EriqueObondo")</f>
        <v>@EriqueObondo</v>
      </c>
      <c r="C1877" s="21" t="s">
        <v>4624</v>
      </c>
      <c r="D1877" s="21" t="s">
        <v>32</v>
      </c>
      <c r="E1877" s="22" t="str">
        <f>HYPERLINK("https://twitter.com/EriqueObondo/status/922406140755013632","922406140755013632")</f>
        <v>922406140755013632</v>
      </c>
      <c r="F1877" s="23" t="s">
        <v>33</v>
      </c>
      <c r="G1877" s="24">
        <v>1185.0</v>
      </c>
      <c r="H1877" s="24">
        <v>768.0</v>
      </c>
      <c r="I1877" s="24">
        <v>471.0</v>
      </c>
      <c r="J1877" s="24">
        <v>0.0</v>
      </c>
      <c r="K1877" s="23" t="s">
        <v>34</v>
      </c>
      <c r="L1877" s="25">
        <v>42232.119155092594</v>
      </c>
      <c r="M1877" s="26" t="s">
        <v>4625</v>
      </c>
      <c r="N1877" s="26" t="s">
        <v>4626</v>
      </c>
      <c r="O1877" s="22" t="str">
        <f>HYPERLINK("https://pbs.twimg.com/profile_images/690224076124766208/HVmxweeR_normal.jpg","View")</f>
        <v>View</v>
      </c>
      <c r="P1877" s="27"/>
    </row>
    <row r="1878">
      <c r="A1878" s="14">
        <v>43031.135879629626</v>
      </c>
      <c r="B1878" s="20" t="str">
        <f>HYPERLINK("https://twitter.com/aisxin","@aisxin")</f>
        <v>@aisxin</v>
      </c>
      <c r="C1878" s="21" t="s">
        <v>4627</v>
      </c>
      <c r="D1878" s="21" t="s">
        <v>42</v>
      </c>
      <c r="E1878" s="22" t="str">
        <f>HYPERLINK("https://twitter.com/aisxin/status/922406158882574336","922406158882574336")</f>
        <v>922406158882574336</v>
      </c>
      <c r="F1878" s="23" t="s">
        <v>55</v>
      </c>
      <c r="G1878" s="24">
        <v>1674.0</v>
      </c>
      <c r="H1878" s="24">
        <v>254.0</v>
      </c>
      <c r="I1878" s="24">
        <v>8501.0</v>
      </c>
      <c r="J1878" s="24">
        <v>0.0</v>
      </c>
      <c r="K1878" s="23" t="s">
        <v>34</v>
      </c>
      <c r="L1878" s="25">
        <v>40497.99847222222</v>
      </c>
      <c r="M1878" s="26" t="s">
        <v>4628</v>
      </c>
      <c r="N1878" s="26" t="s">
        <v>4629</v>
      </c>
      <c r="O1878" s="22" t="str">
        <f>HYPERLINK("https://pbs.twimg.com/profile_images/762618128488501248/3sx4QqZo_normal.jpg","View")</f>
        <v>View</v>
      </c>
      <c r="P1878" s="27"/>
    </row>
    <row r="1879">
      <c r="A1879" s="14">
        <v>43031.13590277778</v>
      </c>
      <c r="B1879" s="20" t="str">
        <f>HYPERLINK("https://twitter.com/scooba941","@scooba941")</f>
        <v>@scooba941</v>
      </c>
      <c r="C1879" s="21" t="s">
        <v>4630</v>
      </c>
      <c r="D1879" s="21" t="s">
        <v>2595</v>
      </c>
      <c r="E1879" s="22" t="str">
        <f>HYPERLINK("https://twitter.com/scooba941/status/922406166730301441","922406166730301441")</f>
        <v>922406166730301441</v>
      </c>
      <c r="F1879" s="23" t="s">
        <v>33</v>
      </c>
      <c r="G1879" s="24">
        <v>545.0</v>
      </c>
      <c r="H1879" s="24">
        <v>231.0</v>
      </c>
      <c r="I1879" s="24">
        <v>170.0</v>
      </c>
      <c r="J1879" s="24">
        <v>0.0</v>
      </c>
      <c r="K1879" s="23" t="s">
        <v>34</v>
      </c>
      <c r="L1879" s="25">
        <v>41566.495462962965</v>
      </c>
      <c r="M1879" s="26" t="s">
        <v>974</v>
      </c>
      <c r="N1879" s="26" t="s">
        <v>4631</v>
      </c>
      <c r="O1879" s="22" t="str">
        <f>HYPERLINK("https://pbs.twimg.com/profile_images/870271129092595715/51w1fUea_normal.jpg","View")</f>
        <v>View</v>
      </c>
      <c r="P1879" s="27"/>
    </row>
    <row r="1880">
      <c r="A1880" s="14">
        <v>43031.13596064815</v>
      </c>
      <c r="B1880" s="20" t="str">
        <f>HYPERLINK("https://twitter.com/alycsadler","@alycsadler")</f>
        <v>@alycsadler</v>
      </c>
      <c r="C1880" s="21" t="s">
        <v>4632</v>
      </c>
      <c r="D1880" s="21" t="s">
        <v>67</v>
      </c>
      <c r="E1880" s="22" t="str">
        <f>HYPERLINK("https://twitter.com/alycsadler/status/922406190159683584","922406190159683584")</f>
        <v>922406190159683584</v>
      </c>
      <c r="F1880" s="23" t="s">
        <v>55</v>
      </c>
      <c r="G1880" s="24">
        <v>95.0</v>
      </c>
      <c r="H1880" s="24">
        <v>50.0</v>
      </c>
      <c r="I1880" s="24">
        <v>169.0</v>
      </c>
      <c r="J1880" s="24">
        <v>0.0</v>
      </c>
      <c r="K1880" s="23" t="s">
        <v>34</v>
      </c>
      <c r="L1880" s="25">
        <v>41292.49276620371</v>
      </c>
      <c r="M1880" s="26" t="s">
        <v>4633</v>
      </c>
      <c r="N1880" s="26" t="s">
        <v>4634</v>
      </c>
      <c r="O1880" s="22" t="str">
        <f>HYPERLINK("https://pbs.twimg.com/profile_images/905800341987500033/2rPCjBxU_normal.jpg","View")</f>
        <v>View</v>
      </c>
      <c r="P1880" s="27"/>
    </row>
    <row r="1881">
      <c r="A1881" s="14">
        <v>43031.13603009259</v>
      </c>
      <c r="B1881" s="20" t="str">
        <f>HYPERLINK("https://twitter.com/BalarAshishP","@BalarAshishP")</f>
        <v>@BalarAshishP</v>
      </c>
      <c r="C1881" s="21" t="s">
        <v>4635</v>
      </c>
      <c r="D1881" s="21" t="s">
        <v>42</v>
      </c>
      <c r="E1881" s="22" t="str">
        <f>HYPERLINK("https://twitter.com/BalarAshishP/status/922406211928064005","922406211928064005")</f>
        <v>922406211928064005</v>
      </c>
      <c r="F1881" s="23" t="s">
        <v>33</v>
      </c>
      <c r="G1881" s="24">
        <v>49.0</v>
      </c>
      <c r="H1881" s="24">
        <v>88.0</v>
      </c>
      <c r="I1881" s="24">
        <v>8501.0</v>
      </c>
      <c r="J1881" s="24">
        <v>0.0</v>
      </c>
      <c r="K1881" s="23" t="s">
        <v>34</v>
      </c>
      <c r="L1881" s="25">
        <v>41993.95416666666</v>
      </c>
      <c r="M1881" s="26" t="s">
        <v>4636</v>
      </c>
      <c r="N1881" s="26" t="s">
        <v>4637</v>
      </c>
      <c r="O1881" s="22" t="str">
        <f>HYPERLINK("https://pbs.twimg.com/profile_images/920348013800886272/FXyV6jhO_normal.jpg","View")</f>
        <v>View</v>
      </c>
      <c r="P1881" s="27"/>
    </row>
    <row r="1882">
      <c r="A1882" s="14">
        <v>43031.13604166667</v>
      </c>
      <c r="B1882" s="20" t="str">
        <f>HYPERLINK("https://twitter.com/arunendramech","@arunendramech")</f>
        <v>@arunendramech</v>
      </c>
      <c r="C1882" s="21" t="s">
        <v>4638</v>
      </c>
      <c r="D1882" s="21" t="s">
        <v>42</v>
      </c>
      <c r="E1882" s="22" t="str">
        <f>HYPERLINK("https://twitter.com/arunendramech/status/922406215971348480","922406215971348480")</f>
        <v>922406215971348480</v>
      </c>
      <c r="F1882" s="23" t="s">
        <v>33</v>
      </c>
      <c r="G1882" s="24">
        <v>61.0</v>
      </c>
      <c r="H1882" s="24">
        <v>267.0</v>
      </c>
      <c r="I1882" s="24">
        <v>8501.0</v>
      </c>
      <c r="J1882" s="24">
        <v>0.0</v>
      </c>
      <c r="K1882" s="23" t="s">
        <v>34</v>
      </c>
      <c r="L1882" s="25">
        <v>41332.61766203704</v>
      </c>
      <c r="M1882" s="26" t="s">
        <v>1532</v>
      </c>
      <c r="N1882" s="26" t="s">
        <v>4639</v>
      </c>
      <c r="O1882" s="22" t="str">
        <f>HYPERLINK("https://pbs.twimg.com/profile_images/678137503308582912/ovAqYPbS_normal.jpg","View")</f>
        <v>View</v>
      </c>
      <c r="P1882" s="27"/>
    </row>
    <row r="1883">
      <c r="A1883" s="14">
        <v>43031.13604166667</v>
      </c>
      <c r="B1883" s="20" t="str">
        <f>HYPERLINK("https://twitter.com/mima412","@mima412")</f>
        <v>@mima412</v>
      </c>
      <c r="C1883" s="21" t="s">
        <v>4640</v>
      </c>
      <c r="D1883" s="21" t="s">
        <v>42</v>
      </c>
      <c r="E1883" s="22" t="str">
        <f>HYPERLINK("https://twitter.com/mima412/status/922406218043342849","922406218043342849")</f>
        <v>922406218043342849</v>
      </c>
      <c r="F1883" s="23" t="s">
        <v>33</v>
      </c>
      <c r="G1883" s="24">
        <v>2802.0</v>
      </c>
      <c r="H1883" s="24">
        <v>2278.0</v>
      </c>
      <c r="I1883" s="24">
        <v>8501.0</v>
      </c>
      <c r="J1883" s="24">
        <v>0.0</v>
      </c>
      <c r="K1883" s="23" t="s">
        <v>34</v>
      </c>
      <c r="L1883" s="25">
        <v>40232.644282407404</v>
      </c>
      <c r="M1883" s="28"/>
      <c r="N1883" s="26" t="s">
        <v>4641</v>
      </c>
      <c r="O1883" s="22" t="str">
        <f>HYPERLINK("https://pbs.twimg.com/profile_images/2174490722/origin13356705204125_normal.jpg","View")</f>
        <v>View</v>
      </c>
      <c r="P1883" s="27"/>
    </row>
    <row r="1884">
      <c r="A1884" s="14">
        <v>43031.136099537034</v>
      </c>
      <c r="B1884" s="20" t="str">
        <f>HYPERLINK("https://twitter.com/soulroute","@soulroute")</f>
        <v>@soulroute</v>
      </c>
      <c r="C1884" s="21" t="s">
        <v>4642</v>
      </c>
      <c r="D1884" s="21" t="s">
        <v>42</v>
      </c>
      <c r="E1884" s="22" t="str">
        <f>HYPERLINK("https://twitter.com/soulroute/status/922406239593676800","922406239593676800")</f>
        <v>922406239593676800</v>
      </c>
      <c r="F1884" s="23" t="s">
        <v>230</v>
      </c>
      <c r="G1884" s="24">
        <v>1772.0</v>
      </c>
      <c r="H1884" s="24">
        <v>39.0</v>
      </c>
      <c r="I1884" s="24">
        <v>8501.0</v>
      </c>
      <c r="J1884" s="24">
        <v>0.0</v>
      </c>
      <c r="K1884" s="23" t="s">
        <v>34</v>
      </c>
      <c r="L1884" s="25">
        <v>39906.38556712963</v>
      </c>
      <c r="M1884" s="26" t="s">
        <v>4643</v>
      </c>
      <c r="N1884" s="26" t="s">
        <v>4644</v>
      </c>
      <c r="O1884" s="22" t="str">
        <f>HYPERLINK("https://pbs.twimg.com/profile_images/922687854043570176/55qNe4uB_normal.jpg","View")</f>
        <v>View</v>
      </c>
      <c r="P1884" s="27"/>
    </row>
    <row r="1885">
      <c r="A1885" s="14">
        <v>43031.136192129634</v>
      </c>
      <c r="B1885" s="20" t="str">
        <f>HYPERLINK("https://twitter.com/SIwasawa2","@SIwasawa2")</f>
        <v>@SIwasawa2</v>
      </c>
      <c r="C1885" s="21" t="s">
        <v>4645</v>
      </c>
      <c r="D1885" s="21" t="s">
        <v>42</v>
      </c>
      <c r="E1885" s="22" t="str">
        <f>HYPERLINK("https://twitter.com/SIwasawa2/status/922406272070070272","922406272070070272")</f>
        <v>922406272070070272</v>
      </c>
      <c r="F1885" s="23" t="s">
        <v>39</v>
      </c>
      <c r="G1885" s="24">
        <v>75.0</v>
      </c>
      <c r="H1885" s="24">
        <v>411.0</v>
      </c>
      <c r="I1885" s="24">
        <v>8501.0</v>
      </c>
      <c r="J1885" s="24">
        <v>0.0</v>
      </c>
      <c r="K1885" s="23" t="s">
        <v>34</v>
      </c>
      <c r="L1885" s="25">
        <v>42809.174317129626</v>
      </c>
      <c r="M1885" s="28"/>
      <c r="N1885" s="28"/>
      <c r="O1885" s="22" t="str">
        <f>HYPERLINK("https://abs.twimg.com/sticky/default_profile_images/default_profile_normal.png","View")</f>
        <v>View</v>
      </c>
      <c r="P1885" s="27"/>
    </row>
    <row r="1886">
      <c r="A1886" s="14">
        <v>43031.136192129634</v>
      </c>
      <c r="B1886" s="20" t="str">
        <f>HYPERLINK("https://twitter.com/sujit2405_IN","@sujit2405_IN")</f>
        <v>@sujit2405_IN</v>
      </c>
      <c r="C1886" s="21" t="s">
        <v>4646</v>
      </c>
      <c r="D1886" s="21" t="s">
        <v>42</v>
      </c>
      <c r="E1886" s="22" t="str">
        <f>HYPERLINK("https://twitter.com/sujit2405_IN/status/922406272183410688","922406272183410688")</f>
        <v>922406272183410688</v>
      </c>
      <c r="F1886" s="23" t="s">
        <v>33</v>
      </c>
      <c r="G1886" s="24">
        <v>153.0</v>
      </c>
      <c r="H1886" s="24">
        <v>135.0</v>
      </c>
      <c r="I1886" s="24">
        <v>8501.0</v>
      </c>
      <c r="J1886" s="24">
        <v>0.0</v>
      </c>
      <c r="K1886" s="23" t="s">
        <v>34</v>
      </c>
      <c r="L1886" s="25">
        <v>40043.21366898148</v>
      </c>
      <c r="M1886" s="28"/>
      <c r="N1886" s="26" t="s">
        <v>4647</v>
      </c>
      <c r="O1886" s="22" t="str">
        <f>HYPERLINK("https://pbs.twimg.com/profile_images/799267115903565824/vAJxBlc5_normal.jpg","View")</f>
        <v>View</v>
      </c>
      <c r="P1886" s="27"/>
    </row>
    <row r="1887">
      <c r="A1887" s="14">
        <v>43031.13622685186</v>
      </c>
      <c r="B1887" s="20" t="str">
        <f>HYPERLINK("https://twitter.com/joandebadalona","@joandebadalona")</f>
        <v>@joandebadalona</v>
      </c>
      <c r="C1887" s="21" t="s">
        <v>4648</v>
      </c>
      <c r="D1887" s="21" t="s">
        <v>2157</v>
      </c>
      <c r="E1887" s="22" t="str">
        <f>HYPERLINK("https://twitter.com/joandebadalona/status/922406286377017347","922406286377017347")</f>
        <v>922406286377017347</v>
      </c>
      <c r="F1887" s="23" t="s">
        <v>230</v>
      </c>
      <c r="G1887" s="24">
        <v>2191.0</v>
      </c>
      <c r="H1887" s="24">
        <v>2177.0</v>
      </c>
      <c r="I1887" s="24">
        <v>12.0</v>
      </c>
      <c r="J1887" s="24">
        <v>0.0</v>
      </c>
      <c r="K1887" s="23" t="s">
        <v>34</v>
      </c>
      <c r="L1887" s="25">
        <v>42219.40472222222</v>
      </c>
      <c r="M1887" s="26" t="s">
        <v>4649</v>
      </c>
      <c r="N1887" s="26" t="s">
        <v>4650</v>
      </c>
      <c r="O1887" s="22" t="str">
        <f>HYPERLINK("https://pbs.twimg.com/profile_images/686521394755178496/ZJYFOLg9_normal.jpg","View")</f>
        <v>View</v>
      </c>
      <c r="P1887" s="27"/>
    </row>
    <row r="1888">
      <c r="A1888" s="14">
        <v>43031.136458333334</v>
      </c>
      <c r="B1888" s="20" t="str">
        <f>HYPERLINK("https://twitter.com/Mitsecode","@Mitsecode")</f>
        <v>@Mitsecode</v>
      </c>
      <c r="C1888" s="21" t="s">
        <v>4651</v>
      </c>
      <c r="D1888" s="21" t="s">
        <v>42</v>
      </c>
      <c r="E1888" s="22" t="str">
        <f>HYPERLINK("https://twitter.com/Mitsecode/status/922406367889186817","922406367889186817")</f>
        <v>922406367889186817</v>
      </c>
      <c r="F1888" s="23" t="s">
        <v>55</v>
      </c>
      <c r="G1888" s="24">
        <v>525.0</v>
      </c>
      <c r="H1888" s="24">
        <v>747.0</v>
      </c>
      <c r="I1888" s="24">
        <v>8501.0</v>
      </c>
      <c r="J1888" s="24">
        <v>0.0</v>
      </c>
      <c r="K1888" s="23" t="s">
        <v>34</v>
      </c>
      <c r="L1888" s="25">
        <v>40910.24288194445</v>
      </c>
      <c r="M1888" s="26" t="s">
        <v>4652</v>
      </c>
      <c r="N1888" s="26" t="s">
        <v>4653</v>
      </c>
      <c r="O1888" s="22" t="str">
        <f>HYPERLINK("https://pbs.twimg.com/profile_images/906908686462853120/XqItKBLC_normal.jpg","View")</f>
        <v>View</v>
      </c>
      <c r="P1888" s="27"/>
    </row>
    <row r="1889">
      <c r="A1889" s="14">
        <v>43031.136516203704</v>
      </c>
      <c r="B1889" s="20" t="str">
        <f>HYPERLINK("https://twitter.com/zeeshan_shah_dc","@zeeshan_shah_dc")</f>
        <v>@zeeshan_shah_dc</v>
      </c>
      <c r="C1889" s="21" t="s">
        <v>4238</v>
      </c>
      <c r="D1889" s="21" t="s">
        <v>1220</v>
      </c>
      <c r="E1889" s="22" t="str">
        <f>HYPERLINK("https://twitter.com/zeeshan_shah_dc/status/922406390362238977","922406390362238977")</f>
        <v>922406390362238977</v>
      </c>
      <c r="F1889" s="23" t="s">
        <v>39</v>
      </c>
      <c r="G1889" s="24">
        <v>2073.0</v>
      </c>
      <c r="H1889" s="24">
        <v>278.0</v>
      </c>
      <c r="I1889" s="24">
        <v>26.0</v>
      </c>
      <c r="J1889" s="24">
        <v>0.0</v>
      </c>
      <c r="K1889" s="23" t="s">
        <v>34</v>
      </c>
      <c r="L1889" s="25">
        <v>41057.880277777775</v>
      </c>
      <c r="M1889" s="26" t="s">
        <v>4239</v>
      </c>
      <c r="N1889" s="26" t="s">
        <v>4240</v>
      </c>
      <c r="O1889" s="22" t="str">
        <f>HYPERLINK("https://pbs.twimg.com/profile_images/915766155373170688/aHIu0lVW_normal.jpg","View")</f>
        <v>View</v>
      </c>
      <c r="P1889" s="27"/>
    </row>
    <row r="1890">
      <c r="A1890" s="14">
        <v>43031.136620370366</v>
      </c>
      <c r="B1890" s="20" t="str">
        <f>HYPERLINK("https://twitter.com/JoseRios3","@JoseRios3")</f>
        <v>@JoseRios3</v>
      </c>
      <c r="C1890" s="21" t="s">
        <v>4654</v>
      </c>
      <c r="D1890" s="21" t="s">
        <v>4655</v>
      </c>
      <c r="E1890" s="22" t="str">
        <f>HYPERLINK("https://twitter.com/JoseRios3/status/922406428027080709","922406428027080709")</f>
        <v>922406428027080709</v>
      </c>
      <c r="F1890" s="23" t="s">
        <v>230</v>
      </c>
      <c r="G1890" s="24">
        <v>1256.0</v>
      </c>
      <c r="H1890" s="24">
        <v>2646.0</v>
      </c>
      <c r="I1890" s="24">
        <v>0.0</v>
      </c>
      <c r="J1890" s="24">
        <v>0.0</v>
      </c>
      <c r="K1890" s="23" t="s">
        <v>34</v>
      </c>
      <c r="L1890" s="25">
        <v>39982.03380787037</v>
      </c>
      <c r="M1890" s="26" t="s">
        <v>4656</v>
      </c>
      <c r="N1890" s="26" t="s">
        <v>4657</v>
      </c>
      <c r="O1890" s="22" t="str">
        <f>HYPERLINK("https://pbs.twimg.com/profile_images/378800000854013600/85414f205970718b544fb292e33c3335_normal.jpeg","View")</f>
        <v>View</v>
      </c>
      <c r="P1890" s="27"/>
    </row>
    <row r="1891">
      <c r="A1891" s="14">
        <v>43031.13667824074</v>
      </c>
      <c r="B1891" s="20" t="str">
        <f>HYPERLINK("https://twitter.com/THUSUR","@THUSUR")</f>
        <v>@THUSUR</v>
      </c>
      <c r="C1891" s="21" t="s">
        <v>4658</v>
      </c>
      <c r="D1891" s="21" t="s">
        <v>2861</v>
      </c>
      <c r="E1891" s="22" t="str">
        <f>HYPERLINK("https://twitter.com/THUSUR/status/922406450537807872","922406450537807872")</f>
        <v>922406450537807872</v>
      </c>
      <c r="F1891" s="23" t="s">
        <v>33</v>
      </c>
      <c r="G1891" s="24">
        <v>193.0</v>
      </c>
      <c r="H1891" s="24">
        <v>327.0</v>
      </c>
      <c r="I1891" s="24">
        <v>40.0</v>
      </c>
      <c r="J1891" s="24">
        <v>0.0</v>
      </c>
      <c r="K1891" s="23" t="s">
        <v>34</v>
      </c>
      <c r="L1891" s="25">
        <v>40722.1421412037</v>
      </c>
      <c r="M1891" s="26" t="s">
        <v>2770</v>
      </c>
      <c r="N1891" s="26" t="s">
        <v>4659</v>
      </c>
      <c r="O1891" s="22" t="str">
        <f>HYPERLINK("https://pbs.twimg.com/profile_images/914896324562059265/f4PonMAY_normal.jpg","View")</f>
        <v>View</v>
      </c>
      <c r="P1891" s="27"/>
    </row>
    <row r="1892">
      <c r="A1892" s="14">
        <v>43031.13670138889</v>
      </c>
      <c r="B1892" s="20" t="str">
        <f>HYPERLINK("https://twitter.com/TimesofNews","@TimesofNews")</f>
        <v>@TimesofNews</v>
      </c>
      <c r="C1892" s="21" t="s">
        <v>4660</v>
      </c>
      <c r="D1892" s="21" t="s">
        <v>4661</v>
      </c>
      <c r="E1892" s="22" t="str">
        <f>HYPERLINK("https://twitter.com/TimesofNews/status/922406455524945920","922406455524945920")</f>
        <v>922406455524945920</v>
      </c>
      <c r="F1892" s="23" t="s">
        <v>4662</v>
      </c>
      <c r="G1892" s="24">
        <v>1139.0</v>
      </c>
      <c r="H1892" s="24">
        <v>129.0</v>
      </c>
      <c r="I1892" s="24">
        <v>0.0</v>
      </c>
      <c r="J1892" s="24">
        <v>0.0</v>
      </c>
      <c r="K1892" s="23" t="s">
        <v>34</v>
      </c>
      <c r="L1892" s="25">
        <v>40978.11828703704</v>
      </c>
      <c r="M1892" s="28"/>
      <c r="N1892" s="26" t="s">
        <v>4663</v>
      </c>
      <c r="O1892" s="22" t="str">
        <f>HYPERLINK("https://pbs.twimg.com/profile_images/458022872024223744/GKx5zsNw_normal.png","View")</f>
        <v>View</v>
      </c>
      <c r="P1892" s="27"/>
    </row>
    <row r="1893">
      <c r="A1893" s="14">
        <v>43031.136724537035</v>
      </c>
      <c r="B1893" s="20" t="str">
        <f>HYPERLINK("https://twitter.com/yamazaki333371","@yamazaki333371")</f>
        <v>@yamazaki333371</v>
      </c>
      <c r="C1893" s="21" t="s">
        <v>4664</v>
      </c>
      <c r="D1893" s="21" t="s">
        <v>42</v>
      </c>
      <c r="E1893" s="22" t="str">
        <f>HYPERLINK("https://twitter.com/yamazaki333371/status/922406465435975682","922406465435975682")</f>
        <v>922406465435975682</v>
      </c>
      <c r="F1893" s="23" t="s">
        <v>33</v>
      </c>
      <c r="G1893" s="24">
        <v>128.0</v>
      </c>
      <c r="H1893" s="24">
        <v>170.0</v>
      </c>
      <c r="I1893" s="24">
        <v>8501.0</v>
      </c>
      <c r="J1893" s="24">
        <v>0.0</v>
      </c>
      <c r="K1893" s="23" t="s">
        <v>34</v>
      </c>
      <c r="L1893" s="25">
        <v>42205.719409722224</v>
      </c>
      <c r="M1893" s="26" t="s">
        <v>4665</v>
      </c>
      <c r="N1893" s="26" t="s">
        <v>4666</v>
      </c>
      <c r="O1893" s="22" t="str">
        <f>HYPERLINK("https://pbs.twimg.com/profile_images/623296801072787456/7rqnjwpA_normal.jpg","View")</f>
        <v>View</v>
      </c>
      <c r="P1893" s="27"/>
    </row>
    <row r="1894">
      <c r="A1894" s="14">
        <v>43031.13678240741</v>
      </c>
      <c r="B1894" s="20" t="str">
        <f>HYPERLINK("https://twitter.com/asmn2reddy","@asmn2reddy")</f>
        <v>@asmn2reddy</v>
      </c>
      <c r="C1894" s="21" t="s">
        <v>4667</v>
      </c>
      <c r="D1894" s="21" t="s">
        <v>42</v>
      </c>
      <c r="E1894" s="22" t="str">
        <f>HYPERLINK("https://twitter.com/asmn2reddy/status/922406487024005120","922406487024005120")</f>
        <v>922406487024005120</v>
      </c>
      <c r="F1894" s="23" t="s">
        <v>33</v>
      </c>
      <c r="G1894" s="24">
        <v>57.0</v>
      </c>
      <c r="H1894" s="24">
        <v>27.0</v>
      </c>
      <c r="I1894" s="24">
        <v>8501.0</v>
      </c>
      <c r="J1894" s="24">
        <v>0.0</v>
      </c>
      <c r="K1894" s="23" t="s">
        <v>34</v>
      </c>
      <c r="L1894" s="25">
        <v>40584.06172453704</v>
      </c>
      <c r="M1894" s="26" t="s">
        <v>1991</v>
      </c>
      <c r="N1894" s="26" t="s">
        <v>4668</v>
      </c>
      <c r="O1894" s="22" t="str">
        <f>HYPERLINK("https://pbs.twimg.com/profile_images/640117010274250752/AAWDHX7g_normal.jpg","View")</f>
        <v>View</v>
      </c>
      <c r="P1894" s="27"/>
    </row>
    <row r="1895">
      <c r="A1895" s="14">
        <v>43031.136875</v>
      </c>
      <c r="B1895" s="20" t="str">
        <f>HYPERLINK("https://twitter.com/kiyomihash1","@kiyomihash1")</f>
        <v>@kiyomihash1</v>
      </c>
      <c r="C1895" s="21" t="s">
        <v>4611</v>
      </c>
      <c r="D1895" s="21" t="s">
        <v>430</v>
      </c>
      <c r="E1895" s="22" t="str">
        <f>HYPERLINK("https://twitter.com/kiyomihash1/status/922406521241251840","922406521241251840")</f>
        <v>922406521241251840</v>
      </c>
      <c r="F1895" s="23" t="s">
        <v>39</v>
      </c>
      <c r="G1895" s="24">
        <v>865.0</v>
      </c>
      <c r="H1895" s="24">
        <v>171.0</v>
      </c>
      <c r="I1895" s="24">
        <v>62.0</v>
      </c>
      <c r="J1895" s="24">
        <v>0.0</v>
      </c>
      <c r="K1895" s="23" t="s">
        <v>34</v>
      </c>
      <c r="L1895" s="25">
        <v>42063.37427083333</v>
      </c>
      <c r="M1895" s="28"/>
      <c r="N1895" s="26" t="s">
        <v>4612</v>
      </c>
      <c r="O1895" s="22" t="str">
        <f>HYPERLINK("https://pbs.twimg.com/profile_images/860727790966124544/lCZMR7Ll_normal.jpg","View")</f>
        <v>View</v>
      </c>
      <c r="P1895" s="27"/>
    </row>
    <row r="1896">
      <c r="A1896" s="14">
        <v>43031.13688657407</v>
      </c>
      <c r="B1896" s="20" t="str">
        <f>HYPERLINK("https://twitter.com/BulentCOSAR33","@BulentCOSAR33")</f>
        <v>@BulentCOSAR33</v>
      </c>
      <c r="C1896" s="21" t="s">
        <v>4669</v>
      </c>
      <c r="D1896" s="21" t="s">
        <v>4670</v>
      </c>
      <c r="E1896" s="22" t="str">
        <f>HYPERLINK("https://twitter.com/BulentCOSAR33/status/922406525502619649","922406525502619649")</f>
        <v>922406525502619649</v>
      </c>
      <c r="F1896" s="23" t="s">
        <v>33</v>
      </c>
      <c r="G1896" s="24">
        <v>517.0</v>
      </c>
      <c r="H1896" s="24">
        <v>2650.0</v>
      </c>
      <c r="I1896" s="24">
        <v>7.0</v>
      </c>
      <c r="J1896" s="24">
        <v>0.0</v>
      </c>
      <c r="K1896" s="23" t="s">
        <v>34</v>
      </c>
      <c r="L1896" s="25">
        <v>40758.04673611111</v>
      </c>
      <c r="M1896" s="26" t="s">
        <v>4671</v>
      </c>
      <c r="N1896" s="26" t="s">
        <v>4672</v>
      </c>
      <c r="O1896" s="22" t="str">
        <f>HYPERLINK("https://pbs.twimg.com/profile_images/2515482376/zi893xdqw7d6dplrps2w_normal.jpeg","View")</f>
        <v>View</v>
      </c>
      <c r="P1896" s="27"/>
    </row>
    <row r="1897">
      <c r="A1897" s="14">
        <v>43031.13689814815</v>
      </c>
      <c r="B1897" s="20" t="str">
        <f>HYPERLINK("https://twitter.com/EcoInternet3","@EcoInternet3")</f>
        <v>@EcoInternet3</v>
      </c>
      <c r="C1897" s="21" t="s">
        <v>4673</v>
      </c>
      <c r="D1897" s="21" t="s">
        <v>4674</v>
      </c>
      <c r="E1897" s="22" t="str">
        <f>HYPERLINK("https://twitter.com/EcoInternet3/status/922406530221084672","922406530221084672")</f>
        <v>922406530221084672</v>
      </c>
      <c r="F1897" s="23" t="s">
        <v>4675</v>
      </c>
      <c r="G1897" s="24">
        <v>8759.0</v>
      </c>
      <c r="H1897" s="24">
        <v>6305.0</v>
      </c>
      <c r="I1897" s="24">
        <v>2.0</v>
      </c>
      <c r="J1897" s="24">
        <v>2.0</v>
      </c>
      <c r="K1897" s="23" t="s">
        <v>34</v>
      </c>
      <c r="L1897" s="25">
        <v>41285.28020833334</v>
      </c>
      <c r="M1897" s="26" t="s">
        <v>92</v>
      </c>
      <c r="N1897" s="26" t="s">
        <v>4676</v>
      </c>
      <c r="O1897" s="22" t="str">
        <f>HYPERLINK("https://pbs.twimg.com/profile_images/772852627419856896/luYIaYAT_normal.jpg","View")</f>
        <v>View</v>
      </c>
      <c r="P1897" s="27"/>
    </row>
    <row r="1898">
      <c r="A1898" s="14">
        <v>43031.13693287037</v>
      </c>
      <c r="B1898" s="20" t="str">
        <f>HYPERLINK("https://twitter.com/quanzhuo169083","@quanzhuo169083")</f>
        <v>@quanzhuo169083</v>
      </c>
      <c r="C1898" s="21" t="s">
        <v>4677</v>
      </c>
      <c r="D1898" s="21" t="s">
        <v>4678</v>
      </c>
      <c r="E1898" s="22" t="str">
        <f>HYPERLINK("https://twitter.com/quanzhuo169083/status/922406542866972672","922406542866972672")</f>
        <v>922406542866972672</v>
      </c>
      <c r="F1898" s="23" t="s">
        <v>55</v>
      </c>
      <c r="G1898" s="24">
        <v>1.0</v>
      </c>
      <c r="H1898" s="24">
        <v>0.0</v>
      </c>
      <c r="I1898" s="24">
        <v>6.0</v>
      </c>
      <c r="J1898" s="24">
        <v>0.0</v>
      </c>
      <c r="K1898" s="23" t="s">
        <v>34</v>
      </c>
      <c r="L1898" s="25">
        <v>43029.569131944445</v>
      </c>
      <c r="M1898" s="28"/>
      <c r="N1898" s="28"/>
      <c r="O1898" s="22" t="str">
        <f t="shared" ref="O1898:O1899" si="27">HYPERLINK("https://abs.twimg.com/sticky/default_profile_images/default_profile_normal.png","View")</f>
        <v>View</v>
      </c>
      <c r="P1898" s="27"/>
    </row>
    <row r="1899">
      <c r="A1899" s="14">
        <v>43031.136967592596</v>
      </c>
      <c r="B1899" s="20" t="str">
        <f>HYPERLINK("https://twitter.com/BSSuryawanshi1","@BSSuryawanshi1")</f>
        <v>@BSSuryawanshi1</v>
      </c>
      <c r="C1899" s="21" t="s">
        <v>4679</v>
      </c>
      <c r="D1899" s="21" t="s">
        <v>42</v>
      </c>
      <c r="E1899" s="22" t="str">
        <f>HYPERLINK("https://twitter.com/BSSuryawanshi1/status/922406554527137792","922406554527137792")</f>
        <v>922406554527137792</v>
      </c>
      <c r="F1899" s="23" t="s">
        <v>33</v>
      </c>
      <c r="G1899" s="24">
        <v>5.0</v>
      </c>
      <c r="H1899" s="24">
        <v>75.0</v>
      </c>
      <c r="I1899" s="24">
        <v>8501.0</v>
      </c>
      <c r="J1899" s="24">
        <v>0.0</v>
      </c>
      <c r="K1899" s="23" t="s">
        <v>34</v>
      </c>
      <c r="L1899" s="25">
        <v>43021.015381944446</v>
      </c>
      <c r="M1899" s="28"/>
      <c r="N1899" s="28"/>
      <c r="O1899" s="22" t="str">
        <f t="shared" si="27"/>
        <v>View</v>
      </c>
      <c r="P1899" s="27"/>
    </row>
    <row r="1900">
      <c r="A1900" s="14">
        <v>43031.13701388889</v>
      </c>
      <c r="B1900" s="20" t="str">
        <f>HYPERLINK("https://twitter.com/nishagarg","@nishagarg")</f>
        <v>@nishagarg</v>
      </c>
      <c r="C1900" s="21" t="s">
        <v>4498</v>
      </c>
      <c r="D1900" s="21" t="s">
        <v>42</v>
      </c>
      <c r="E1900" s="22" t="str">
        <f>HYPERLINK("https://twitter.com/nishagarg/status/922406569576239106","922406569576239106")</f>
        <v>922406569576239106</v>
      </c>
      <c r="F1900" s="23" t="s">
        <v>39</v>
      </c>
      <c r="G1900" s="24">
        <v>43.0</v>
      </c>
      <c r="H1900" s="24">
        <v>113.0</v>
      </c>
      <c r="I1900" s="24">
        <v>8501.0</v>
      </c>
      <c r="J1900" s="24">
        <v>0.0</v>
      </c>
      <c r="K1900" s="23" t="s">
        <v>34</v>
      </c>
      <c r="L1900" s="25">
        <v>40004.23704861111</v>
      </c>
      <c r="M1900" s="28"/>
      <c r="N1900" s="28"/>
      <c r="O1900" s="22" t="str">
        <f>HYPERLINK("https://pbs.twimg.com/profile_images/463705352517607424/cHJ-Osiu_normal.png","View")</f>
        <v>View</v>
      </c>
      <c r="P1900" s="27"/>
    </row>
    <row r="1901">
      <c r="A1901" s="14">
        <v>43031.13710648148</v>
      </c>
      <c r="B1901" s="20" t="str">
        <f>HYPERLINK("https://twitter.com/deepaksam5","@deepaksam5")</f>
        <v>@deepaksam5</v>
      </c>
      <c r="C1901" s="21" t="s">
        <v>4680</v>
      </c>
      <c r="D1901" s="21" t="s">
        <v>42</v>
      </c>
      <c r="E1901" s="22" t="str">
        <f>HYPERLINK("https://twitter.com/deepaksam5/status/922406605425057793","922406605425057793")</f>
        <v>922406605425057793</v>
      </c>
      <c r="F1901" s="23" t="s">
        <v>33</v>
      </c>
      <c r="G1901" s="24">
        <v>1666.0</v>
      </c>
      <c r="H1901" s="24">
        <v>2577.0</v>
      </c>
      <c r="I1901" s="24">
        <v>8501.0</v>
      </c>
      <c r="J1901" s="24">
        <v>0.0</v>
      </c>
      <c r="K1901" s="23" t="s">
        <v>34</v>
      </c>
      <c r="L1901" s="25">
        <v>40171.11201388889</v>
      </c>
      <c r="M1901" s="26" t="s">
        <v>4681</v>
      </c>
      <c r="N1901" s="26" t="s">
        <v>4682</v>
      </c>
      <c r="O1901" s="22" t="str">
        <f>HYPERLINK("https://pbs.twimg.com/profile_images/3229771496/583180adffe55206085825a4de778a12_normal.jpeg","View")</f>
        <v>View</v>
      </c>
      <c r="P1901" s="27"/>
    </row>
    <row r="1902">
      <c r="A1902" s="14">
        <v>43031.13717592593</v>
      </c>
      <c r="B1902" s="20" t="str">
        <f>HYPERLINK("https://twitter.com/jacobrkerr","@jacobrkerr")</f>
        <v>@jacobrkerr</v>
      </c>
      <c r="C1902" s="21" t="s">
        <v>4683</v>
      </c>
      <c r="D1902" s="21" t="s">
        <v>4684</v>
      </c>
      <c r="E1902" s="22" t="str">
        <f>HYPERLINK("https://twitter.com/jacobrkerr/status/922406628330295301","922406628330295301")</f>
        <v>922406628330295301</v>
      </c>
      <c r="F1902" s="23" t="s">
        <v>55</v>
      </c>
      <c r="G1902" s="24">
        <v>543.0</v>
      </c>
      <c r="H1902" s="24">
        <v>1958.0</v>
      </c>
      <c r="I1902" s="24">
        <v>0.0</v>
      </c>
      <c r="J1902" s="24">
        <v>0.0</v>
      </c>
      <c r="K1902" s="23" t="s">
        <v>34</v>
      </c>
      <c r="L1902" s="25">
        <v>40153.38596064815</v>
      </c>
      <c r="M1902" s="26" t="s">
        <v>4239</v>
      </c>
      <c r="N1902" s="26" t="s">
        <v>4685</v>
      </c>
      <c r="O1902" s="22" t="str">
        <f>HYPERLINK("https://pbs.twimg.com/profile_images/378800000040137289/ee728c9bdd467d24a4c865847d4dddb6_normal.jpeg","View")</f>
        <v>View</v>
      </c>
      <c r="P1902" s="27"/>
    </row>
    <row r="1903">
      <c r="A1903" s="14">
        <v>43031.13719907407</v>
      </c>
      <c r="B1903" s="20" t="str">
        <f>HYPERLINK("https://twitter.com/sunnys_sheoran","@sunnys_sheoran")</f>
        <v>@sunnys_sheoran</v>
      </c>
      <c r="C1903" s="21" t="s">
        <v>4686</v>
      </c>
      <c r="D1903" s="21" t="s">
        <v>42</v>
      </c>
      <c r="E1903" s="22" t="str">
        <f>HYPERLINK("https://twitter.com/sunnys_sheoran/status/922406636379037696","922406636379037696")</f>
        <v>922406636379037696</v>
      </c>
      <c r="F1903" s="23" t="s">
        <v>39</v>
      </c>
      <c r="G1903" s="24">
        <v>107.0</v>
      </c>
      <c r="H1903" s="24">
        <v>73.0</v>
      </c>
      <c r="I1903" s="24">
        <v>8501.0</v>
      </c>
      <c r="J1903" s="24">
        <v>0.0</v>
      </c>
      <c r="K1903" s="23" t="s">
        <v>34</v>
      </c>
      <c r="L1903" s="25">
        <v>41895.01241898148</v>
      </c>
      <c r="M1903" s="26" t="s">
        <v>4687</v>
      </c>
      <c r="N1903" s="26" t="s">
        <v>4688</v>
      </c>
      <c r="O1903" s="22" t="str">
        <f>HYPERLINK("https://pbs.twimg.com/profile_images/853113510200434688/J8G_1okT_normal.jpg","View")</f>
        <v>View</v>
      </c>
      <c r="P1903" s="27"/>
    </row>
    <row r="1904">
      <c r="A1904" s="14">
        <v>43031.13721064814</v>
      </c>
      <c r="B1904" s="20" t="str">
        <f>HYPERLINK("https://twitter.com/ashwinraj1202","@ashwinraj1202")</f>
        <v>@ashwinraj1202</v>
      </c>
      <c r="C1904" s="21" t="s">
        <v>4689</v>
      </c>
      <c r="D1904" s="21" t="s">
        <v>42</v>
      </c>
      <c r="E1904" s="22" t="str">
        <f>HYPERLINK("https://twitter.com/ashwinraj1202/status/922406641122676736","922406641122676736")</f>
        <v>922406641122676736</v>
      </c>
      <c r="F1904" s="23" t="s">
        <v>33</v>
      </c>
      <c r="G1904" s="24">
        <v>178.0</v>
      </c>
      <c r="H1904" s="24">
        <v>974.0</v>
      </c>
      <c r="I1904" s="24">
        <v>8501.0</v>
      </c>
      <c r="J1904" s="24">
        <v>0.0</v>
      </c>
      <c r="K1904" s="23" t="s">
        <v>34</v>
      </c>
      <c r="L1904" s="25">
        <v>40785.29609953704</v>
      </c>
      <c r="M1904" s="26" t="s">
        <v>603</v>
      </c>
      <c r="N1904" s="26" t="s">
        <v>4690</v>
      </c>
      <c r="O1904" s="22" t="str">
        <f>HYPERLINK("https://pbs.twimg.com/profile_images/739468222328492033/g8SF51tH_normal.jpg","View")</f>
        <v>View</v>
      </c>
      <c r="P1904" s="27"/>
    </row>
    <row r="1905">
      <c r="A1905" s="14">
        <v>43031.13725694444</v>
      </c>
      <c r="B1905" s="20" t="str">
        <f>HYPERLINK("https://twitter.com/Kall__Carrick","@Kall__Carrick")</f>
        <v>@Kall__Carrick</v>
      </c>
      <c r="C1905" s="21" t="s">
        <v>4691</v>
      </c>
      <c r="D1905" s="21" t="s">
        <v>2369</v>
      </c>
      <c r="E1905" s="22" t="str">
        <f>HYPERLINK("https://twitter.com/Kall__Carrick/status/922406658332119040","922406658332119040")</f>
        <v>922406658332119040</v>
      </c>
      <c r="F1905" s="23" t="s">
        <v>33</v>
      </c>
      <c r="G1905" s="24">
        <v>70.0</v>
      </c>
      <c r="H1905" s="24">
        <v>2267.0</v>
      </c>
      <c r="I1905" s="24">
        <v>23.0</v>
      </c>
      <c r="J1905" s="24">
        <v>0.0</v>
      </c>
      <c r="K1905" s="23" t="s">
        <v>34</v>
      </c>
      <c r="L1905" s="25">
        <v>40921.68592592592</v>
      </c>
      <c r="M1905" s="28"/>
      <c r="N1905" s="26" t="s">
        <v>4692</v>
      </c>
      <c r="O1905" s="22" t="str">
        <f>HYPERLINK("https://pbs.twimg.com/profile_images/770340595567042560/EhQbnVZs_normal.jpg","View")</f>
        <v>View</v>
      </c>
      <c r="P1905" s="27"/>
    </row>
    <row r="1906">
      <c r="A1906" s="14">
        <v>43031.13728009259</v>
      </c>
      <c r="B1906" s="20" t="str">
        <f>HYPERLINK("https://twitter.com/bonie1623","@bonie1623")</f>
        <v>@bonie1623</v>
      </c>
      <c r="C1906" s="21" t="s">
        <v>4693</v>
      </c>
      <c r="D1906" s="21" t="s">
        <v>2369</v>
      </c>
      <c r="E1906" s="22" t="str">
        <f>HYPERLINK("https://twitter.com/bonie1623/status/922406667739910144","922406667739910144")</f>
        <v>922406667739910144</v>
      </c>
      <c r="F1906" s="23" t="s">
        <v>33</v>
      </c>
      <c r="G1906" s="24">
        <v>32.0</v>
      </c>
      <c r="H1906" s="24">
        <v>1301.0</v>
      </c>
      <c r="I1906" s="24">
        <v>23.0</v>
      </c>
      <c r="J1906" s="24">
        <v>0.0</v>
      </c>
      <c r="K1906" s="23" t="s">
        <v>34</v>
      </c>
      <c r="L1906" s="25">
        <v>41743.415717592594</v>
      </c>
      <c r="M1906" s="28"/>
      <c r="N1906" s="26">
        <v>23.0</v>
      </c>
      <c r="O1906" s="22" t="str">
        <f>HYPERLINK("https://pbs.twimg.com/profile_images/749771936817881089/kAkC47oJ_normal.jpg","View")</f>
        <v>View</v>
      </c>
      <c r="P1906" s="27"/>
    </row>
    <row r="1907">
      <c r="A1907" s="14">
        <v>43031.13737268519</v>
      </c>
      <c r="B1907" s="20" t="str">
        <f>HYPERLINK("https://twitter.com/Amiy17535627","@Amiy17535627")</f>
        <v>@Amiy17535627</v>
      </c>
      <c r="C1907" s="21" t="s">
        <v>4694</v>
      </c>
      <c r="D1907" s="21" t="s">
        <v>42</v>
      </c>
      <c r="E1907" s="22" t="str">
        <f>HYPERLINK("https://twitter.com/Amiy17535627/status/922406700165898240","922406700165898240")</f>
        <v>922406700165898240</v>
      </c>
      <c r="F1907" s="23" t="s">
        <v>33</v>
      </c>
      <c r="G1907" s="24">
        <v>60.0</v>
      </c>
      <c r="H1907" s="24">
        <v>428.0</v>
      </c>
      <c r="I1907" s="24">
        <v>8501.0</v>
      </c>
      <c r="J1907" s="24">
        <v>0.0</v>
      </c>
      <c r="K1907" s="23" t="s">
        <v>34</v>
      </c>
      <c r="L1907" s="25">
        <v>42956.921435185184</v>
      </c>
      <c r="M1907" s="26" t="s">
        <v>4695</v>
      </c>
      <c r="N1907" s="26" t="s">
        <v>4696</v>
      </c>
      <c r="O1907" s="22" t="str">
        <f>HYPERLINK("https://pbs.twimg.com/profile_images/921401665432952833/y2JKjxb2_normal.jpg","View")</f>
        <v>View</v>
      </c>
      <c r="P1907" s="27"/>
    </row>
    <row r="1908">
      <c r="A1908" s="14">
        <v>43031.137465277774</v>
      </c>
      <c r="B1908" s="20" t="str">
        <f>HYPERLINK("https://twitter.com/liquorice1973","@liquorice1973")</f>
        <v>@liquorice1973</v>
      </c>
      <c r="C1908" s="21" t="s">
        <v>4697</v>
      </c>
      <c r="D1908" s="21" t="s">
        <v>42</v>
      </c>
      <c r="E1908" s="22" t="str">
        <f>HYPERLINK("https://twitter.com/liquorice1973/status/922406735578411008","922406735578411008")</f>
        <v>922406735578411008</v>
      </c>
      <c r="F1908" s="23" t="s">
        <v>230</v>
      </c>
      <c r="G1908" s="24">
        <v>1770.0</v>
      </c>
      <c r="H1908" s="24">
        <v>2394.0</v>
      </c>
      <c r="I1908" s="24">
        <v>8501.0</v>
      </c>
      <c r="J1908" s="24">
        <v>0.0</v>
      </c>
      <c r="K1908" s="23" t="s">
        <v>34</v>
      </c>
      <c r="L1908" s="25">
        <v>42561.28608796296</v>
      </c>
      <c r="M1908" s="26" t="s">
        <v>4698</v>
      </c>
      <c r="N1908" s="26" t="s">
        <v>4699</v>
      </c>
      <c r="O1908" s="22" t="str">
        <f>HYPERLINK("https://pbs.twimg.com/profile_images/752143303731089409/dZQoPBqm_normal.jpg","View")</f>
        <v>View</v>
      </c>
      <c r="P1908" s="27"/>
    </row>
    <row r="1909">
      <c r="A1909" s="14">
        <v>43031.1375</v>
      </c>
      <c r="B1909" s="20" t="str">
        <f>HYPERLINK("https://twitter.com/DrDsTop10","@DrDsTop10")</f>
        <v>@DrDsTop10</v>
      </c>
      <c r="C1909" s="21" t="s">
        <v>4700</v>
      </c>
      <c r="D1909" s="21" t="s">
        <v>163</v>
      </c>
      <c r="E1909" s="22" t="str">
        <f>HYPERLINK("https://twitter.com/DrDsTop10/status/922406745187663873","922406745187663873")</f>
        <v>922406745187663873</v>
      </c>
      <c r="F1909" s="23" t="s">
        <v>33</v>
      </c>
      <c r="G1909" s="24">
        <v>4501.0</v>
      </c>
      <c r="H1909" s="24">
        <v>4602.0</v>
      </c>
      <c r="I1909" s="24">
        <v>1005.0</v>
      </c>
      <c r="J1909" s="24">
        <v>0.0</v>
      </c>
      <c r="K1909" s="23" t="s">
        <v>34</v>
      </c>
      <c r="L1909" s="25">
        <v>42898.44599537037</v>
      </c>
      <c r="M1909" s="26" t="s">
        <v>4701</v>
      </c>
      <c r="N1909" s="26" t="s">
        <v>4702</v>
      </c>
      <c r="O1909" s="22" t="str">
        <f>HYPERLINK("https://pbs.twimg.com/profile_images/889924816719007747/TAcXKmOk_normal.jpg","View")</f>
        <v>View</v>
      </c>
      <c r="P1909" s="27"/>
    </row>
    <row r="1910">
      <c r="A1910" s="14">
        <v>43031.137511574074</v>
      </c>
      <c r="B1910" s="20" t="str">
        <f>HYPERLINK("https://twitter.com/aquarium_ark","@aquarium_ark")</f>
        <v>@aquarium_ark</v>
      </c>
      <c r="C1910" s="21" t="s">
        <v>4703</v>
      </c>
      <c r="D1910" s="21" t="s">
        <v>3205</v>
      </c>
      <c r="E1910" s="22" t="str">
        <f>HYPERLINK("https://twitter.com/aquarium_ark/status/922406750011002880","922406750011002880")</f>
        <v>922406750011002880</v>
      </c>
      <c r="F1910" s="23" t="s">
        <v>33</v>
      </c>
      <c r="G1910" s="24">
        <v>72.0</v>
      </c>
      <c r="H1910" s="24">
        <v>81.0</v>
      </c>
      <c r="I1910" s="24">
        <v>13.0</v>
      </c>
      <c r="J1910" s="24">
        <v>0.0</v>
      </c>
      <c r="K1910" s="23" t="s">
        <v>34</v>
      </c>
      <c r="L1910" s="25">
        <v>41713.34347222222</v>
      </c>
      <c r="M1910" s="26" t="s">
        <v>4704</v>
      </c>
      <c r="N1910" s="26" t="s">
        <v>4705</v>
      </c>
      <c r="O1910" s="22" t="str">
        <f>HYPERLINK("https://pbs.twimg.com/profile_images/898889934202744833/0H3ZfZkU_normal.jpg","View")</f>
        <v>View</v>
      </c>
      <c r="P1910" s="27"/>
    </row>
    <row r="1911">
      <c r="A1911" s="14">
        <v>43031.137511574074</v>
      </c>
      <c r="B1911" s="20" t="str">
        <f>HYPERLINK("https://twitter.com/i_jijicom_eng","@i_jijicom_eng")</f>
        <v>@i_jijicom_eng</v>
      </c>
      <c r="C1911" s="21" t="s">
        <v>4706</v>
      </c>
      <c r="D1911" s="21" t="s">
        <v>4707</v>
      </c>
      <c r="E1911" s="22" t="str">
        <f>HYPERLINK("https://twitter.com/i_jijicom_eng/status/922406752087261184","922406752087261184")</f>
        <v>922406752087261184</v>
      </c>
      <c r="F1911" s="23" t="s">
        <v>4708</v>
      </c>
      <c r="G1911" s="24">
        <v>688.0</v>
      </c>
      <c r="H1911" s="24">
        <v>1.0</v>
      </c>
      <c r="I1911" s="24">
        <v>0.0</v>
      </c>
      <c r="J1911" s="24">
        <v>0.0</v>
      </c>
      <c r="K1911" s="23" t="s">
        <v>34</v>
      </c>
      <c r="L1911" s="25">
        <v>40636.78871527778</v>
      </c>
      <c r="M1911" s="26" t="s">
        <v>4709</v>
      </c>
      <c r="N1911" s="26" t="s">
        <v>4710</v>
      </c>
      <c r="O1911" s="22" t="str">
        <f>HYPERLINK("https://pbs.twimg.com/profile_images/1299223101/logo_jijicom-eng_normal.gif","View")</f>
        <v>View</v>
      </c>
      <c r="P1911" s="27"/>
    </row>
    <row r="1912">
      <c r="A1912" s="14">
        <v>43031.137615740736</v>
      </c>
      <c r="B1912" s="20" t="str">
        <f>HYPERLINK("https://twitter.com/MaoistNot","@MaoistNot")</f>
        <v>@MaoistNot</v>
      </c>
      <c r="C1912" s="21" t="s">
        <v>4711</v>
      </c>
      <c r="D1912" s="21" t="s">
        <v>42</v>
      </c>
      <c r="E1912" s="22" t="str">
        <f>HYPERLINK("https://twitter.com/MaoistNot/status/922406786413367296","922406786413367296")</f>
        <v>922406786413367296</v>
      </c>
      <c r="F1912" s="23" t="s">
        <v>33</v>
      </c>
      <c r="G1912" s="24">
        <v>28.0</v>
      </c>
      <c r="H1912" s="24">
        <v>106.0</v>
      </c>
      <c r="I1912" s="24">
        <v>8501.0</v>
      </c>
      <c r="J1912" s="24">
        <v>0.0</v>
      </c>
      <c r="K1912" s="23" t="s">
        <v>34</v>
      </c>
      <c r="L1912" s="25">
        <v>42855.274675925924</v>
      </c>
      <c r="M1912" s="26" t="s">
        <v>4712</v>
      </c>
      <c r="N1912" s="26" t="s">
        <v>4713</v>
      </c>
      <c r="O1912" s="22" t="str">
        <f>HYPERLINK("https://pbs.twimg.com/profile_images/860501085009653761/m0sbX-9-_normal.jpg","View")</f>
        <v>View</v>
      </c>
      <c r="P1912" s="27"/>
    </row>
    <row r="1913">
      <c r="A1913" s="14">
        <v>43031.13774305556</v>
      </c>
      <c r="B1913" s="20" t="str">
        <f>HYPERLINK("https://twitter.com/KalpeshRathavi","@KalpeshRathavi")</f>
        <v>@KalpeshRathavi</v>
      </c>
      <c r="C1913" s="21" t="s">
        <v>4714</v>
      </c>
      <c r="D1913" s="21" t="s">
        <v>42</v>
      </c>
      <c r="E1913" s="22" t="str">
        <f>HYPERLINK("https://twitter.com/KalpeshRathavi/status/922406836329906176","922406836329906176")</f>
        <v>922406836329906176</v>
      </c>
      <c r="F1913" s="23" t="s">
        <v>39</v>
      </c>
      <c r="G1913" s="24">
        <v>1345.0</v>
      </c>
      <c r="H1913" s="24">
        <v>132.0</v>
      </c>
      <c r="I1913" s="24">
        <v>8501.0</v>
      </c>
      <c r="J1913" s="24">
        <v>0.0</v>
      </c>
      <c r="K1913" s="23" t="s">
        <v>34</v>
      </c>
      <c r="L1913" s="25">
        <v>42570.18886574074</v>
      </c>
      <c r="M1913" s="26" t="s">
        <v>1633</v>
      </c>
      <c r="N1913" s="26" t="s">
        <v>4715</v>
      </c>
      <c r="O1913" s="22" t="str">
        <f>HYPERLINK("https://pbs.twimg.com/profile_images/847668191325151233/JxusCsCk_normal.jpg","View")</f>
        <v>View</v>
      </c>
      <c r="P1913" s="27"/>
    </row>
    <row r="1914">
      <c r="A1914" s="14">
        <v>43031.137766203705</v>
      </c>
      <c r="B1914" s="20" t="str">
        <f>HYPERLINK("https://twitter.com/Benhammedia","@Benhammedia")</f>
        <v>@Benhammedia</v>
      </c>
      <c r="C1914" s="21" t="s">
        <v>4716</v>
      </c>
      <c r="D1914" s="21" t="s">
        <v>4717</v>
      </c>
      <c r="E1914" s="22" t="str">
        <f>HYPERLINK("https://twitter.com/Benhammedia/status/922406842399182849","922406842399182849")</f>
        <v>922406842399182849</v>
      </c>
      <c r="F1914" s="23" t="s">
        <v>39</v>
      </c>
      <c r="G1914" s="24">
        <v>1039.0</v>
      </c>
      <c r="H1914" s="24">
        <v>2024.0</v>
      </c>
      <c r="I1914" s="24">
        <v>0.0</v>
      </c>
      <c r="J1914" s="24">
        <v>0.0</v>
      </c>
      <c r="K1914" s="23" t="s">
        <v>34</v>
      </c>
      <c r="L1914" s="25">
        <v>40158.097766203704</v>
      </c>
      <c r="M1914" s="26" t="s">
        <v>708</v>
      </c>
      <c r="N1914" s="26" t="s">
        <v>4718</v>
      </c>
      <c r="O1914" s="22" t="str">
        <f>HYPERLINK("https://pbs.twimg.com/profile_images/3401050788/5571d1c0371f1e13d5a30a9aa8eee946_normal.jpeg","View")</f>
        <v>View</v>
      </c>
      <c r="P1914" s="27"/>
    </row>
    <row r="1915">
      <c r="A1915" s="14">
        <v>43031.137812500005</v>
      </c>
      <c r="B1915" s="20" t="str">
        <f>HYPERLINK("https://twitter.com/Enayat111","@Enayat111")</f>
        <v>@Enayat111</v>
      </c>
      <c r="C1915" s="21" t="s">
        <v>4719</v>
      </c>
      <c r="D1915" s="21" t="s">
        <v>2738</v>
      </c>
      <c r="E1915" s="22" t="str">
        <f>HYPERLINK("https://twitter.com/Enayat111/status/922406859469864960","922406859469864960")</f>
        <v>922406859469864960</v>
      </c>
      <c r="F1915" s="23" t="s">
        <v>33</v>
      </c>
      <c r="G1915" s="24">
        <v>68.0</v>
      </c>
      <c r="H1915" s="24">
        <v>81.0</v>
      </c>
      <c r="I1915" s="24">
        <v>7.0</v>
      </c>
      <c r="J1915" s="24">
        <v>0.0</v>
      </c>
      <c r="K1915" s="23" t="s">
        <v>34</v>
      </c>
      <c r="L1915" s="25">
        <v>42515.744097222225</v>
      </c>
      <c r="M1915" s="26" t="s">
        <v>1545</v>
      </c>
      <c r="N1915" s="28"/>
      <c r="O1915" s="22" t="str">
        <f>HYPERLINK("https://pbs.twimg.com/profile_images/886230623324712960/BFsCPlHe_normal.jpg","View")</f>
        <v>View</v>
      </c>
      <c r="P1915" s="27"/>
    </row>
    <row r="1916">
      <c r="A1916" s="14">
        <v>43031.137824074074</v>
      </c>
      <c r="B1916" s="20" t="str">
        <f>HYPERLINK("https://twitter.com/MichaelKovrig","@MichaelKovrig")</f>
        <v>@MichaelKovrig</v>
      </c>
      <c r="C1916" s="21" t="s">
        <v>4720</v>
      </c>
      <c r="D1916" s="21" t="s">
        <v>99</v>
      </c>
      <c r="E1916" s="22" t="str">
        <f>HYPERLINK("https://twitter.com/MichaelKovrig/status/922406864423399425","922406864423399425")</f>
        <v>922406864423399425</v>
      </c>
      <c r="F1916" s="23" t="s">
        <v>39</v>
      </c>
      <c r="G1916" s="24">
        <v>388.0</v>
      </c>
      <c r="H1916" s="24">
        <v>477.0</v>
      </c>
      <c r="I1916" s="24">
        <v>72.0</v>
      </c>
      <c r="J1916" s="24">
        <v>0.0</v>
      </c>
      <c r="K1916" s="23" t="s">
        <v>34</v>
      </c>
      <c r="L1916" s="25">
        <v>41949.991736111115</v>
      </c>
      <c r="M1916" s="35" t="s">
        <v>4721</v>
      </c>
      <c r="N1916" s="26" t="s">
        <v>4722</v>
      </c>
      <c r="O1916" s="22" t="str">
        <f>HYPERLINK("https://pbs.twimg.com/profile_images/875123880347742209/UnCfuvuG_normal.jpg","View")</f>
        <v>View</v>
      </c>
      <c r="P1916" s="27"/>
    </row>
    <row r="1917">
      <c r="A1917" s="14">
        <v>43031.13784722222</v>
      </c>
      <c r="B1917" s="20" t="str">
        <f>HYPERLINK("https://twitter.com/satyaitrc","@satyaitrc")</f>
        <v>@satyaitrc</v>
      </c>
      <c r="C1917" s="21" t="s">
        <v>4723</v>
      </c>
      <c r="D1917" s="21" t="s">
        <v>42</v>
      </c>
      <c r="E1917" s="22" t="str">
        <f>HYPERLINK("https://twitter.com/satyaitrc/status/922406870207283200","922406870207283200")</f>
        <v>922406870207283200</v>
      </c>
      <c r="F1917" s="23" t="s">
        <v>33</v>
      </c>
      <c r="G1917" s="24">
        <v>21.0</v>
      </c>
      <c r="H1917" s="24">
        <v>50.0</v>
      </c>
      <c r="I1917" s="24">
        <v>8501.0</v>
      </c>
      <c r="J1917" s="24">
        <v>0.0</v>
      </c>
      <c r="K1917" s="23" t="s">
        <v>34</v>
      </c>
      <c r="L1917" s="25">
        <v>41467.082037037035</v>
      </c>
      <c r="M1917" s="28"/>
      <c r="N1917" s="28"/>
      <c r="O1917" s="22" t="str">
        <f>HYPERLINK("https://pbs.twimg.com/profile_images/378800000123110466/277f0972a2efc557581657a695cce8af_normal.jpeg","View")</f>
        <v>View</v>
      </c>
      <c r="P1917" s="27"/>
    </row>
    <row r="1918">
      <c r="A1918" s="14">
        <v>43031.13788194444</v>
      </c>
      <c r="B1918" s="20" t="str">
        <f>HYPERLINK("https://twitter.com/mssunn777","@mssunn777")</f>
        <v>@mssunn777</v>
      </c>
      <c r="C1918" s="21" t="s">
        <v>4724</v>
      </c>
      <c r="D1918" s="21" t="s">
        <v>2595</v>
      </c>
      <c r="E1918" s="22" t="str">
        <f>HYPERLINK("https://twitter.com/mssunn777/status/922406882899320833","922406882899320833")</f>
        <v>922406882899320833</v>
      </c>
      <c r="F1918" s="23" t="s">
        <v>39</v>
      </c>
      <c r="G1918" s="24">
        <v>647.0</v>
      </c>
      <c r="H1918" s="24">
        <v>2033.0</v>
      </c>
      <c r="I1918" s="24">
        <v>170.0</v>
      </c>
      <c r="J1918" s="24">
        <v>0.0</v>
      </c>
      <c r="K1918" s="23" t="s">
        <v>34</v>
      </c>
      <c r="L1918" s="25">
        <v>40302.91315972222</v>
      </c>
      <c r="M1918" s="26" t="s">
        <v>4725</v>
      </c>
      <c r="N1918" s="26" t="s">
        <v>4726</v>
      </c>
      <c r="O1918" s="22" t="str">
        <f>HYPERLINK("https://pbs.twimg.com/profile_images/874484130922278913/pAYLch8D_normal.jpg","View")</f>
        <v>View</v>
      </c>
      <c r="P1918" s="27"/>
    </row>
    <row r="1919">
      <c r="A1919" s="14">
        <v>43031.13789351852</v>
      </c>
      <c r="B1919" s="20" t="str">
        <f>HYPERLINK("https://twitter.com/genovese_steve","@genovese_steve")</f>
        <v>@genovese_steve</v>
      </c>
      <c r="C1919" s="21" t="s">
        <v>4727</v>
      </c>
      <c r="D1919" s="21" t="s">
        <v>4728</v>
      </c>
      <c r="E1919" s="22" t="str">
        <f>HYPERLINK("https://twitter.com/genovese_steve/status/922406887689203712","922406887689203712")</f>
        <v>922406887689203712</v>
      </c>
      <c r="F1919" s="23" t="s">
        <v>55</v>
      </c>
      <c r="G1919" s="24">
        <v>1744.0</v>
      </c>
      <c r="H1919" s="24">
        <v>4994.0</v>
      </c>
      <c r="I1919" s="24">
        <v>2.0</v>
      </c>
      <c r="J1919" s="24">
        <v>0.0</v>
      </c>
      <c r="K1919" s="23" t="s">
        <v>34</v>
      </c>
      <c r="L1919" s="25">
        <v>41898.51100694444</v>
      </c>
      <c r="M1919" s="26" t="s">
        <v>40</v>
      </c>
      <c r="N1919" s="26" t="s">
        <v>4729</v>
      </c>
      <c r="O1919" s="22" t="str">
        <f>HYPERLINK("https://pbs.twimg.com/profile_images/758200419831181312/0S1dvtl__normal.jpg","View")</f>
        <v>View</v>
      </c>
      <c r="P1919" s="27"/>
    </row>
    <row r="1920">
      <c r="A1920" s="14">
        <v>43031.13811342593</v>
      </c>
      <c r="B1920" s="20" t="str">
        <f>HYPERLINK("https://twitter.com/CurrentSocials","@CurrentSocials")</f>
        <v>@CurrentSocials</v>
      </c>
      <c r="C1920" s="21" t="s">
        <v>4730</v>
      </c>
      <c r="D1920" s="21" t="s">
        <v>4731</v>
      </c>
      <c r="E1920" s="22" t="str">
        <f>HYPERLINK("https://twitter.com/CurrentSocials/status/922406967552954369","922406967552954369")</f>
        <v>922406967552954369</v>
      </c>
      <c r="F1920" s="23" t="s">
        <v>91</v>
      </c>
      <c r="G1920" s="24">
        <v>2754.0</v>
      </c>
      <c r="H1920" s="24">
        <v>100.0</v>
      </c>
      <c r="I1920" s="24">
        <v>0.0</v>
      </c>
      <c r="J1920" s="24">
        <v>0.0</v>
      </c>
      <c r="K1920" s="23" t="s">
        <v>34</v>
      </c>
      <c r="L1920" s="25">
        <v>40710.16158564815</v>
      </c>
      <c r="M1920" s="26" t="s">
        <v>4732</v>
      </c>
      <c r="N1920" s="26" t="s">
        <v>4733</v>
      </c>
      <c r="O1920" s="22" t="str">
        <f>HYPERLINK("https://pbs.twimg.com/profile_images/847939194894901248/QXLUqH9N_normal.jpg","View")</f>
        <v>View</v>
      </c>
      <c r="P1920" s="27"/>
    </row>
    <row r="1921">
      <c r="A1921" s="14">
        <v>43031.13815972222</v>
      </c>
      <c r="B1921" s="20" t="str">
        <f>HYPERLINK("https://twitter.com/AlderbrookC","@AlderbrookC")</f>
        <v>@AlderbrookC</v>
      </c>
      <c r="C1921" s="21" t="s">
        <v>4734</v>
      </c>
      <c r="D1921" s="21" t="s">
        <v>4735</v>
      </c>
      <c r="E1921" s="22" t="str">
        <f>HYPERLINK("https://twitter.com/AlderbrookC/status/922406985831763968","922406985831763968")</f>
        <v>922406985831763968</v>
      </c>
      <c r="F1921" s="23" t="s">
        <v>230</v>
      </c>
      <c r="G1921" s="24">
        <v>209.0</v>
      </c>
      <c r="H1921" s="24">
        <v>500.0</v>
      </c>
      <c r="I1921" s="24">
        <v>0.0</v>
      </c>
      <c r="J1921" s="24">
        <v>0.0</v>
      </c>
      <c r="K1921" s="23" t="s">
        <v>34</v>
      </c>
      <c r="L1921" s="25">
        <v>41033.21818287037</v>
      </c>
      <c r="M1921" s="28"/>
      <c r="N1921" s="28"/>
      <c r="O1921" s="22" t="str">
        <f>HYPERLINK("https://pbs.twimg.com/profile_images/807530386267996161/YfyBkbOq_normal.jpg","View")</f>
        <v>View</v>
      </c>
      <c r="P1921" s="27"/>
    </row>
    <row r="1922">
      <c r="A1922" s="14">
        <v>43031.13822916667</v>
      </c>
      <c r="B1922" s="20" t="str">
        <f>HYPERLINK("https://twitter.com/bandittyagi","@bandittyagi")</f>
        <v>@bandittyagi</v>
      </c>
      <c r="C1922" s="21" t="s">
        <v>4736</v>
      </c>
      <c r="D1922" s="21" t="s">
        <v>42</v>
      </c>
      <c r="E1922" s="22" t="str">
        <f>HYPERLINK("https://twitter.com/bandittyagi/status/922407011353968640","922407011353968640")</f>
        <v>922407011353968640</v>
      </c>
      <c r="F1922" s="23" t="s">
        <v>43</v>
      </c>
      <c r="G1922" s="24">
        <v>174.0</v>
      </c>
      <c r="H1922" s="24">
        <v>424.0</v>
      </c>
      <c r="I1922" s="24">
        <v>8501.0</v>
      </c>
      <c r="J1922" s="24">
        <v>0.0</v>
      </c>
      <c r="K1922" s="23" t="s">
        <v>34</v>
      </c>
      <c r="L1922" s="25">
        <v>42223.05741898148</v>
      </c>
      <c r="M1922" s="26" t="s">
        <v>914</v>
      </c>
      <c r="N1922" s="26" t="s">
        <v>4737</v>
      </c>
      <c r="O1922" s="22" t="str">
        <f>HYPERLINK("https://pbs.twimg.com/profile_images/831062018115371009/n5Nr-QdD_normal.jpg","View")</f>
        <v>View</v>
      </c>
      <c r="P1922" s="27"/>
    </row>
    <row r="1923">
      <c r="A1923" s="14">
        <v>43031.13825231481</v>
      </c>
      <c r="B1923" s="20" t="str">
        <f>HYPERLINK("https://twitter.com/SandraW08594961","@SandraW08594961")</f>
        <v>@SandraW08594961</v>
      </c>
      <c r="C1923" s="21" t="s">
        <v>4738</v>
      </c>
      <c r="D1923" s="21" t="s">
        <v>163</v>
      </c>
      <c r="E1923" s="22" t="str">
        <f>HYPERLINK("https://twitter.com/SandraW08594961/status/922407018123681792","922407018123681792")</f>
        <v>922407018123681792</v>
      </c>
      <c r="F1923" s="23" t="s">
        <v>33</v>
      </c>
      <c r="G1923" s="24">
        <v>475.0</v>
      </c>
      <c r="H1923" s="24">
        <v>502.0</v>
      </c>
      <c r="I1923" s="24">
        <v>1005.0</v>
      </c>
      <c r="J1923" s="24">
        <v>0.0</v>
      </c>
      <c r="K1923" s="23" t="s">
        <v>34</v>
      </c>
      <c r="L1923" s="25">
        <v>42993.11658564815</v>
      </c>
      <c r="M1923" s="28"/>
      <c r="N1923" s="26" t="s">
        <v>4739</v>
      </c>
      <c r="O1923" s="22" t="str">
        <f>HYPERLINK("https://pbs.twimg.com/profile_images/908718746650517504/zbXytuTL_normal.jpg","View")</f>
        <v>View</v>
      </c>
      <c r="P1923" s="27"/>
    </row>
    <row r="1924">
      <c r="A1924" s="14">
        <v>43031.138460648144</v>
      </c>
      <c r="B1924" s="20" t="str">
        <f>HYPERLINK("https://twitter.com/krunox123","@krunox123")</f>
        <v>@krunox123</v>
      </c>
      <c r="C1924" s="21" t="s">
        <v>1750</v>
      </c>
      <c r="D1924" s="21" t="s">
        <v>4740</v>
      </c>
      <c r="E1924" s="22" t="str">
        <f>HYPERLINK("https://twitter.com/krunox123/status/922407094342639621","922407094342639621")</f>
        <v>922407094342639621</v>
      </c>
      <c r="F1924" s="23" t="s">
        <v>187</v>
      </c>
      <c r="G1924" s="24">
        <v>10220.0</v>
      </c>
      <c r="H1924" s="24">
        <v>2.0</v>
      </c>
      <c r="I1924" s="24">
        <v>0.0</v>
      </c>
      <c r="J1924" s="24">
        <v>0.0</v>
      </c>
      <c r="K1924" s="23" t="s">
        <v>34</v>
      </c>
      <c r="L1924" s="25">
        <v>40938.22789351852</v>
      </c>
      <c r="M1924" s="26" t="s">
        <v>1752</v>
      </c>
      <c r="N1924" s="26" t="s">
        <v>1753</v>
      </c>
      <c r="O1924" s="22" t="str">
        <f>HYPERLINK("https://pbs.twimg.com/profile_images/824952382618349568/2SFIkM2x_normal.jpg","View")</f>
        <v>View</v>
      </c>
      <c r="P1924" s="27"/>
    </row>
    <row r="1925">
      <c r="A1925" s="14">
        <v>43031.13854166667</v>
      </c>
      <c r="B1925" s="20" t="str">
        <f>HYPERLINK("https://twitter.com/10th543","@10th543")</f>
        <v>@10th543</v>
      </c>
      <c r="C1925" s="21" t="s">
        <v>4741</v>
      </c>
      <c r="D1925" s="21" t="s">
        <v>1426</v>
      </c>
      <c r="E1925" s="22" t="str">
        <f>HYPERLINK("https://twitter.com/10th543/status/922407123912245248","922407123912245248")</f>
        <v>922407123912245248</v>
      </c>
      <c r="F1925" s="23" t="s">
        <v>55</v>
      </c>
      <c r="G1925" s="24">
        <v>1289.0</v>
      </c>
      <c r="H1925" s="24">
        <v>157.0</v>
      </c>
      <c r="I1925" s="24">
        <v>29.0</v>
      </c>
      <c r="J1925" s="24">
        <v>0.0</v>
      </c>
      <c r="K1925" s="23" t="s">
        <v>34</v>
      </c>
      <c r="L1925" s="25">
        <v>39657.81043981481</v>
      </c>
      <c r="M1925" s="26" t="s">
        <v>4742</v>
      </c>
      <c r="N1925" s="26" t="s">
        <v>4743</v>
      </c>
      <c r="O1925" s="22" t="str">
        <f>HYPERLINK("https://pbs.twimg.com/profile_images/493872359737028608/9Y_RQRy0_normal.jpeg","View")</f>
        <v>View</v>
      </c>
      <c r="P1925" s="27"/>
    </row>
    <row r="1926">
      <c r="A1926" s="14">
        <v>43031.13859953704</v>
      </c>
      <c r="B1926" s="20" t="str">
        <f>HYPERLINK("https://twitter.com/Politicoscope","@Politicoscope")</f>
        <v>@Politicoscope</v>
      </c>
      <c r="C1926" s="21" t="s">
        <v>4744</v>
      </c>
      <c r="D1926" s="21" t="s">
        <v>4745</v>
      </c>
      <c r="E1926" s="22" t="str">
        <f>HYPERLINK("https://twitter.com/Politicoscope/status/922407146423234560","922407146423234560")</f>
        <v>922407146423234560</v>
      </c>
      <c r="F1926" s="23" t="s">
        <v>4744</v>
      </c>
      <c r="G1926" s="24">
        <v>400.0</v>
      </c>
      <c r="H1926" s="24">
        <v>30.0</v>
      </c>
      <c r="I1926" s="24">
        <v>0.0</v>
      </c>
      <c r="J1926" s="24">
        <v>0.0</v>
      </c>
      <c r="K1926" s="23" t="s">
        <v>34</v>
      </c>
      <c r="L1926" s="25">
        <v>42059.99023148148</v>
      </c>
      <c r="M1926" s="26" t="s">
        <v>4746</v>
      </c>
      <c r="N1926" s="26" t="s">
        <v>4747</v>
      </c>
      <c r="O1926" s="22" t="str">
        <f>HYPERLINK("https://pbs.twimg.com/profile_images/576056584238854144/4qxlYWZn_normal.png","View")</f>
        <v>View</v>
      </c>
      <c r="P1926" s="27"/>
    </row>
    <row r="1927">
      <c r="A1927" s="14">
        <v>43031.138657407406</v>
      </c>
      <c r="B1927" s="20" t="str">
        <f>HYPERLINK("https://twitter.com/PhamNguyenly","@PhamNguyenly")</f>
        <v>@PhamNguyenly</v>
      </c>
      <c r="C1927" s="21" t="s">
        <v>4748</v>
      </c>
      <c r="D1927" s="21" t="s">
        <v>4749</v>
      </c>
      <c r="E1927" s="22" t="str">
        <f>HYPERLINK("https://twitter.com/PhamNguyenly/status/922407165343797248","922407165343797248")</f>
        <v>922407165343797248</v>
      </c>
      <c r="F1927" s="23" t="s">
        <v>91</v>
      </c>
      <c r="G1927" s="24">
        <v>171.0</v>
      </c>
      <c r="H1927" s="24">
        <v>48.0</v>
      </c>
      <c r="I1927" s="24">
        <v>0.0</v>
      </c>
      <c r="J1927" s="24">
        <v>0.0</v>
      </c>
      <c r="K1927" s="23" t="s">
        <v>34</v>
      </c>
      <c r="L1927" s="25">
        <v>42379.075162037036</v>
      </c>
      <c r="M1927" s="28"/>
      <c r="N1927" s="28"/>
      <c r="O1927" s="22" t="str">
        <f>HYPERLINK("https://pbs.twimg.com/profile_images/686123123029053440/tlIsdN69_normal.jpg","View")</f>
        <v>View</v>
      </c>
      <c r="P1927" s="27"/>
    </row>
    <row r="1928">
      <c r="A1928" s="14">
        <v>43031.13868055555</v>
      </c>
      <c r="B1928" s="20" t="str">
        <f>HYPERLINK("https://twitter.com/ArsheenGujral","@ArsheenGujral")</f>
        <v>@ArsheenGujral</v>
      </c>
      <c r="C1928" s="21" t="s">
        <v>4750</v>
      </c>
      <c r="D1928" s="21" t="s">
        <v>42</v>
      </c>
      <c r="E1928" s="22" t="str">
        <f>HYPERLINK("https://twitter.com/ArsheenGujral/status/922407174256472064","922407174256472064")</f>
        <v>922407174256472064</v>
      </c>
      <c r="F1928" s="23" t="s">
        <v>33</v>
      </c>
      <c r="G1928" s="24">
        <v>23.0</v>
      </c>
      <c r="H1928" s="24">
        <v>164.0</v>
      </c>
      <c r="I1928" s="24">
        <v>8501.0</v>
      </c>
      <c r="J1928" s="24">
        <v>0.0</v>
      </c>
      <c r="K1928" s="23" t="s">
        <v>34</v>
      </c>
      <c r="L1928" s="25">
        <v>42790.90697916667</v>
      </c>
      <c r="M1928" s="28"/>
      <c r="N1928" s="26" t="s">
        <v>4751</v>
      </c>
      <c r="O1928" s="22" t="str">
        <f>HYPERLINK("https://pbs.twimg.com/profile_images/892426826794094592/YYggIP9n_normal.jpg","View")</f>
        <v>View</v>
      </c>
      <c r="P1928" s="27"/>
    </row>
    <row r="1929">
      <c r="A1929" s="14">
        <v>43031.13878472222</v>
      </c>
      <c r="B1929" s="20" t="str">
        <f>HYPERLINK("https://twitter.com/redsqua","@redsqua")</f>
        <v>@redsqua</v>
      </c>
      <c r="C1929" s="21" t="s">
        <v>4752</v>
      </c>
      <c r="D1929" s="21" t="s">
        <v>42</v>
      </c>
      <c r="E1929" s="22" t="str">
        <f>HYPERLINK("https://twitter.com/redsqua/status/922407213783695360","922407213783695360")</f>
        <v>922407213783695360</v>
      </c>
      <c r="F1929" s="23" t="s">
        <v>55</v>
      </c>
      <c r="G1929" s="24">
        <v>369.0</v>
      </c>
      <c r="H1929" s="24">
        <v>328.0</v>
      </c>
      <c r="I1929" s="24">
        <v>8501.0</v>
      </c>
      <c r="J1929" s="24">
        <v>0.0</v>
      </c>
      <c r="K1929" s="23" t="s">
        <v>34</v>
      </c>
      <c r="L1929" s="25">
        <v>41408.71689814815</v>
      </c>
      <c r="M1929" s="28"/>
      <c r="N1929" s="26" t="s">
        <v>4753</v>
      </c>
      <c r="O1929" s="22" t="str">
        <f>HYPERLINK("https://pbs.twimg.com/profile_images/378800000801273165/7f72343731b8df9bfbbc81dcfd8eafa0_normal.jpeg","View")</f>
        <v>View</v>
      </c>
      <c r="P1929" s="27"/>
    </row>
    <row r="1930">
      <c r="A1930" s="14">
        <v>43031.13890046296</v>
      </c>
      <c r="B1930" s="20" t="str">
        <f>HYPERLINK("https://twitter.com/sokodirectory","@sokodirectory")</f>
        <v>@sokodirectory</v>
      </c>
      <c r="C1930" s="29" t="s">
        <v>4754</v>
      </c>
      <c r="D1930" s="21" t="s">
        <v>4755</v>
      </c>
      <c r="E1930" s="22" t="str">
        <f>HYPERLINK("https://twitter.com/sokodirectory/status/922407252534767616","922407252534767616")</f>
        <v>922407252534767616</v>
      </c>
      <c r="F1930" s="23" t="s">
        <v>769</v>
      </c>
      <c r="G1930" s="24">
        <v>3036.0</v>
      </c>
      <c r="H1930" s="24">
        <v>565.0</v>
      </c>
      <c r="I1930" s="24">
        <v>0.0</v>
      </c>
      <c r="J1930" s="24">
        <v>0.0</v>
      </c>
      <c r="K1930" s="23" t="s">
        <v>34</v>
      </c>
      <c r="L1930" s="25">
        <v>39667.30880787037</v>
      </c>
      <c r="M1930" s="26" t="s">
        <v>4756</v>
      </c>
      <c r="N1930" s="26" t="s">
        <v>4757</v>
      </c>
      <c r="O1930" s="22" t="str">
        <f>HYPERLINK("https://pbs.twimg.com/profile_images/619107838678433792/fAQIbk6W_normal.png","View")</f>
        <v>View</v>
      </c>
      <c r="P1930" s="27"/>
    </row>
    <row r="1931">
      <c r="A1931" s="14">
        <v>43031.13898148148</v>
      </c>
      <c r="B1931" s="20" t="str">
        <f>HYPERLINK("https://twitter.com/AynurIsil","@AynurIsil")</f>
        <v>@AynurIsil</v>
      </c>
      <c r="C1931" s="21" t="s">
        <v>4090</v>
      </c>
      <c r="D1931" s="21" t="s">
        <v>3748</v>
      </c>
      <c r="E1931" s="22" t="str">
        <f>HYPERLINK("https://twitter.com/AynurIsil/status/922407284268871681","922407284268871681")</f>
        <v>922407284268871681</v>
      </c>
      <c r="F1931" s="23" t="s">
        <v>55</v>
      </c>
      <c r="G1931" s="24">
        <v>894.0</v>
      </c>
      <c r="H1931" s="24">
        <v>1600.0</v>
      </c>
      <c r="I1931" s="24">
        <v>10.0</v>
      </c>
      <c r="J1931" s="24">
        <v>0.0</v>
      </c>
      <c r="K1931" s="23" t="s">
        <v>34</v>
      </c>
      <c r="L1931" s="25">
        <v>41817.12467592592</v>
      </c>
      <c r="M1931" s="28"/>
      <c r="N1931" s="26" t="s">
        <v>4092</v>
      </c>
      <c r="O1931" s="22" t="str">
        <f>HYPERLINK("https://pbs.twimg.com/profile_images/922399978764619776/j-R8mpMu_normal.jpg","View")</f>
        <v>View</v>
      </c>
      <c r="P1931" s="27"/>
    </row>
    <row r="1932">
      <c r="A1932" s="14">
        <v>43031.13900462963</v>
      </c>
      <c r="B1932" s="20" t="str">
        <f>HYPERLINK("https://twitter.com/DeMOCKERYcy","@DeMOCKERYcy")</f>
        <v>@DeMOCKERYcy</v>
      </c>
      <c r="C1932" s="21" t="s">
        <v>4758</v>
      </c>
      <c r="D1932" s="21" t="s">
        <v>4759</v>
      </c>
      <c r="E1932" s="22" t="str">
        <f>HYPERLINK("https://twitter.com/DeMOCKERYcy/status/922407292745781248","922407292745781248")</f>
        <v>922407292745781248</v>
      </c>
      <c r="F1932" s="23" t="s">
        <v>187</v>
      </c>
      <c r="G1932" s="24">
        <v>2213.0</v>
      </c>
      <c r="H1932" s="24">
        <v>707.0</v>
      </c>
      <c r="I1932" s="24">
        <v>0.0</v>
      </c>
      <c r="J1932" s="24">
        <v>0.0</v>
      </c>
      <c r="K1932" s="23" t="s">
        <v>34</v>
      </c>
      <c r="L1932" s="25">
        <v>41401.11496527778</v>
      </c>
      <c r="M1932" s="26" t="s">
        <v>4760</v>
      </c>
      <c r="N1932" s="26" t="s">
        <v>4761</v>
      </c>
      <c r="O1932" s="22" t="str">
        <f>HYPERLINK("https://pbs.twimg.com/profile_images/905014922035302408/uBnynb0Z_normal.jpg","View")</f>
        <v>View</v>
      </c>
      <c r="P1932" s="27"/>
    </row>
    <row r="1933">
      <c r="A1933" s="14">
        <v>43031.1390625</v>
      </c>
      <c r="B1933" s="20" t="str">
        <f>HYPERLINK("https://twitter.com/actindia","@actindia")</f>
        <v>@actindia</v>
      </c>
      <c r="C1933" s="21" t="s">
        <v>4762</v>
      </c>
      <c r="D1933" s="21" t="s">
        <v>42</v>
      </c>
      <c r="E1933" s="22" t="str">
        <f>HYPERLINK("https://twitter.com/actindia/status/922407313633349633","922407313633349633")</f>
        <v>922407313633349633</v>
      </c>
      <c r="F1933" s="23" t="s">
        <v>33</v>
      </c>
      <c r="G1933" s="24">
        <v>5709.0</v>
      </c>
      <c r="H1933" s="24">
        <v>147.0</v>
      </c>
      <c r="I1933" s="24">
        <v>8501.0</v>
      </c>
      <c r="J1933" s="24">
        <v>0.0</v>
      </c>
      <c r="K1933" s="23" t="s">
        <v>34</v>
      </c>
      <c r="L1933" s="25">
        <v>39905.16471064815</v>
      </c>
      <c r="M1933" s="26" t="s">
        <v>4763</v>
      </c>
      <c r="N1933" s="26" t="s">
        <v>4764</v>
      </c>
      <c r="O1933" s="22" t="str">
        <f>HYPERLINK("https://pbs.twimg.com/profile_images/832433591757987845/o3BF1q3W_normal.jpg","View")</f>
        <v>View</v>
      </c>
      <c r="P1933" s="27"/>
    </row>
    <row r="1934">
      <c r="A1934" s="14">
        <v>43031.13909722222</v>
      </c>
      <c r="B1934" s="20" t="str">
        <f>HYPERLINK("https://twitter.com/RishabhJindal8","@RishabhJindal8")</f>
        <v>@RishabhJindal8</v>
      </c>
      <c r="C1934" s="21" t="s">
        <v>4765</v>
      </c>
      <c r="D1934" s="21" t="s">
        <v>42</v>
      </c>
      <c r="E1934" s="22" t="str">
        <f>HYPERLINK("https://twitter.com/RishabhJindal8/status/922407324899147776","922407324899147776")</f>
        <v>922407324899147776</v>
      </c>
      <c r="F1934" s="23" t="s">
        <v>33</v>
      </c>
      <c r="G1934" s="24">
        <v>69.0</v>
      </c>
      <c r="H1934" s="24">
        <v>139.0</v>
      </c>
      <c r="I1934" s="24">
        <v>8501.0</v>
      </c>
      <c r="J1934" s="24">
        <v>0.0</v>
      </c>
      <c r="K1934" s="23" t="s">
        <v>34</v>
      </c>
      <c r="L1934" s="25">
        <v>41911.08798611111</v>
      </c>
      <c r="M1934" s="26" t="s">
        <v>457</v>
      </c>
      <c r="N1934" s="26" t="s">
        <v>4766</v>
      </c>
      <c r="O1934" s="22" t="str">
        <f>HYPERLINK("https://pbs.twimg.com/profile_images/898866745099796481/qxat1fRd_normal.jpg","View")</f>
        <v>View</v>
      </c>
      <c r="P1934" s="27"/>
    </row>
    <row r="1935">
      <c r="A1935" s="14">
        <v>43031.1391087963</v>
      </c>
      <c r="B1935" s="20" t="str">
        <f>HYPERLINK("https://twitter.com/Umesh2924","@Umesh2924")</f>
        <v>@Umesh2924</v>
      </c>
      <c r="C1935" s="21" t="s">
        <v>4767</v>
      </c>
      <c r="D1935" s="21" t="s">
        <v>42</v>
      </c>
      <c r="E1935" s="22" t="str">
        <f>HYPERLINK("https://twitter.com/Umesh2924/status/922407328464355328","922407328464355328")</f>
        <v>922407328464355328</v>
      </c>
      <c r="F1935" s="23" t="s">
        <v>33</v>
      </c>
      <c r="G1935" s="24">
        <v>56.0</v>
      </c>
      <c r="H1935" s="24">
        <v>346.0</v>
      </c>
      <c r="I1935" s="24">
        <v>8501.0</v>
      </c>
      <c r="J1935" s="24">
        <v>0.0</v>
      </c>
      <c r="K1935" s="23" t="s">
        <v>34</v>
      </c>
      <c r="L1935" s="25">
        <v>42540.34298611111</v>
      </c>
      <c r="M1935" s="28"/>
      <c r="N1935" s="28"/>
      <c r="O1935" s="22" t="str">
        <f>HYPERLINK("https://pbs.twimg.com/profile_images/744565045288439809/Pthq9LRz_normal.jpg","View")</f>
        <v>View</v>
      </c>
      <c r="P1935" s="27"/>
    </row>
    <row r="1936">
      <c r="A1936" s="14">
        <v>43031.13916666667</v>
      </c>
      <c r="B1936" s="20" t="str">
        <f>HYPERLINK("https://twitter.com/iamjeeveet_k","@iamjeeveet_k")</f>
        <v>@iamjeeveet_k</v>
      </c>
      <c r="C1936" s="21" t="s">
        <v>4768</v>
      </c>
      <c r="D1936" s="21" t="s">
        <v>42</v>
      </c>
      <c r="E1936" s="22" t="str">
        <f>HYPERLINK("https://twitter.com/iamjeeveet_k/status/922407349486174208","922407349486174208")</f>
        <v>922407349486174208</v>
      </c>
      <c r="F1936" s="23" t="s">
        <v>33</v>
      </c>
      <c r="G1936" s="24">
        <v>210.0</v>
      </c>
      <c r="H1936" s="24">
        <v>209.0</v>
      </c>
      <c r="I1936" s="24">
        <v>8501.0</v>
      </c>
      <c r="J1936" s="24">
        <v>0.0</v>
      </c>
      <c r="K1936" s="23" t="s">
        <v>34</v>
      </c>
      <c r="L1936" s="25">
        <v>42458.39907407407</v>
      </c>
      <c r="M1936" s="26" t="s">
        <v>4769</v>
      </c>
      <c r="N1936" s="26" t="s">
        <v>4770</v>
      </c>
      <c r="O1936" s="22" t="str">
        <f>HYPERLINK("https://pbs.twimg.com/profile_images/875314265028042752/nZX1jCQt_normal.jpg","View")</f>
        <v>View</v>
      </c>
      <c r="P1936" s="27"/>
    </row>
    <row r="1937">
      <c r="A1937" s="14">
        <v>43031.13928240741</v>
      </c>
      <c r="B1937" s="20" t="str">
        <f>HYPERLINK("https://twitter.com/azalee_","@azalee_")</f>
        <v>@azalee_</v>
      </c>
      <c r="C1937" s="21" t="s">
        <v>4771</v>
      </c>
      <c r="D1937" s="21" t="s">
        <v>42</v>
      </c>
      <c r="E1937" s="22" t="str">
        <f>HYPERLINK("https://twitter.com/azalee_/status/922407391043268608","922407391043268608")</f>
        <v>922407391043268608</v>
      </c>
      <c r="F1937" s="23" t="s">
        <v>230</v>
      </c>
      <c r="G1937" s="24">
        <v>117.0</v>
      </c>
      <c r="H1937" s="24">
        <v>176.0</v>
      </c>
      <c r="I1937" s="24">
        <v>8501.0</v>
      </c>
      <c r="J1937" s="24">
        <v>0.0</v>
      </c>
      <c r="K1937" s="23" t="s">
        <v>34</v>
      </c>
      <c r="L1937" s="25">
        <v>40339.96041666667</v>
      </c>
      <c r="M1937" s="28"/>
      <c r="N1937" s="26" t="s">
        <v>4772</v>
      </c>
      <c r="O1937" s="22" t="str">
        <f>HYPERLINK("https://pbs.twimg.com/profile_images/870696308419338240/Z_iySriX_normal.jpg","View")</f>
        <v>View</v>
      </c>
      <c r="P1937" s="27"/>
    </row>
    <row r="1938">
      <c r="A1938" s="14">
        <v>43031.13928240741</v>
      </c>
      <c r="B1938" s="20" t="str">
        <f>HYPERLINK("https://twitter.com/boorphy","@boorphy")</f>
        <v>@boorphy</v>
      </c>
      <c r="C1938" s="21" t="s">
        <v>4773</v>
      </c>
      <c r="D1938" s="21" t="s">
        <v>213</v>
      </c>
      <c r="E1938" s="22" t="str">
        <f>HYPERLINK("https://twitter.com/boorphy/status/922407392217665536","922407392217665536")</f>
        <v>922407392217665536</v>
      </c>
      <c r="F1938" s="23" t="s">
        <v>55</v>
      </c>
      <c r="G1938" s="24">
        <v>3.0</v>
      </c>
      <c r="H1938" s="24">
        <v>11.0</v>
      </c>
      <c r="I1938" s="24">
        <v>94.0</v>
      </c>
      <c r="J1938" s="24">
        <v>0.0</v>
      </c>
      <c r="K1938" s="23" t="s">
        <v>34</v>
      </c>
      <c r="L1938" s="25">
        <v>43025.515810185185</v>
      </c>
      <c r="M1938" s="28"/>
      <c r="N1938" s="28"/>
      <c r="O1938" s="22" t="str">
        <f>HYPERLINK("https://abs.twimg.com/sticky/default_profile_images/default_profile_normal.png","View")</f>
        <v>View</v>
      </c>
      <c r="P1938" s="27"/>
    </row>
    <row r="1939">
      <c r="A1939" s="14">
        <v>43031.139386574076</v>
      </c>
      <c r="B1939" s="20" t="str">
        <f>HYPERLINK("https://twitter.com/PrincessMutanu","@PrincessMutanu")</f>
        <v>@PrincessMutanu</v>
      </c>
      <c r="C1939" s="21" t="s">
        <v>4774</v>
      </c>
      <c r="D1939" s="21" t="s">
        <v>32</v>
      </c>
      <c r="E1939" s="22" t="str">
        <f>HYPERLINK("https://twitter.com/PrincessMutanu/status/922407430448930817","922407430448930817")</f>
        <v>922407430448930817</v>
      </c>
      <c r="F1939" s="23" t="s">
        <v>43</v>
      </c>
      <c r="G1939" s="24">
        <v>965.0</v>
      </c>
      <c r="H1939" s="24">
        <v>1222.0</v>
      </c>
      <c r="I1939" s="24">
        <v>471.0</v>
      </c>
      <c r="J1939" s="24">
        <v>0.0</v>
      </c>
      <c r="K1939" s="23" t="s">
        <v>34</v>
      </c>
      <c r="L1939" s="25">
        <v>40577.21834490741</v>
      </c>
      <c r="M1939" s="26" t="s">
        <v>4775</v>
      </c>
      <c r="N1939" s="26" t="s">
        <v>4776</v>
      </c>
      <c r="O1939" s="22" t="str">
        <f>HYPERLINK("https://pbs.twimg.com/profile_images/1372383392/alexander_mcqueen_grommet_booties_normal.jpg","View")</f>
        <v>View</v>
      </c>
      <c r="P1939" s="27"/>
    </row>
    <row r="1940">
      <c r="A1940" s="14">
        <v>43031.13952546296</v>
      </c>
      <c r="B1940" s="20" t="str">
        <f>HYPERLINK("https://twitter.com/bengcreergalang","@bengcreergalang")</f>
        <v>@bengcreergalang</v>
      </c>
      <c r="C1940" s="21" t="s">
        <v>4777</v>
      </c>
      <c r="D1940" s="21" t="s">
        <v>67</v>
      </c>
      <c r="E1940" s="22" t="str">
        <f>HYPERLINK("https://twitter.com/bengcreergalang/status/922407479287283712","922407479287283712")</f>
        <v>922407479287283712</v>
      </c>
      <c r="F1940" s="23" t="s">
        <v>33</v>
      </c>
      <c r="G1940" s="24">
        <v>10.0</v>
      </c>
      <c r="H1940" s="24">
        <v>38.0</v>
      </c>
      <c r="I1940" s="24">
        <v>169.0</v>
      </c>
      <c r="J1940" s="24">
        <v>0.0</v>
      </c>
      <c r="K1940" s="23" t="s">
        <v>34</v>
      </c>
      <c r="L1940" s="25">
        <v>42868.03980324074</v>
      </c>
      <c r="M1940" s="26" t="s">
        <v>1224</v>
      </c>
      <c r="N1940" s="26" t="s">
        <v>4778</v>
      </c>
      <c r="O1940" s="22" t="str">
        <f>HYPERLINK("https://pbs.twimg.com/profile_images/913936994811527168/gVgUQi3b_normal.jpg","View")</f>
        <v>View</v>
      </c>
      <c r="P1940" s="27"/>
    </row>
    <row r="1941">
      <c r="A1941" s="14">
        <v>43031.139814814815</v>
      </c>
      <c r="B1941" s="20" t="str">
        <f>HYPERLINK("https://twitter.com/tn_haokip","@tn_haokip")</f>
        <v>@tn_haokip</v>
      </c>
      <c r="C1941" s="21" t="s">
        <v>4779</v>
      </c>
      <c r="D1941" s="21" t="s">
        <v>4590</v>
      </c>
      <c r="E1941" s="22" t="str">
        <f>HYPERLINK("https://twitter.com/tn_haokip/status/922407585520672768","922407585520672768")</f>
        <v>922407585520672768</v>
      </c>
      <c r="F1941" s="23" t="s">
        <v>33</v>
      </c>
      <c r="G1941" s="24">
        <v>292.0</v>
      </c>
      <c r="H1941" s="24">
        <v>67.0</v>
      </c>
      <c r="I1941" s="24">
        <v>17.0</v>
      </c>
      <c r="J1941" s="24">
        <v>0.0</v>
      </c>
      <c r="K1941" s="23" t="s">
        <v>34</v>
      </c>
      <c r="L1941" s="25">
        <v>41827.02979166667</v>
      </c>
      <c r="M1941" s="28"/>
      <c r="N1941" s="28"/>
      <c r="O1941" s="22" t="str">
        <f>HYPERLINK("https://pbs.twimg.com/profile_images/489356298069082112/0ph18xPk_normal.jpeg","View")</f>
        <v>View</v>
      </c>
      <c r="P1941" s="27"/>
    </row>
    <row r="1942">
      <c r="A1942" s="14">
        <v>43031.13984953704</v>
      </c>
      <c r="B1942" s="20" t="str">
        <f>HYPERLINK("https://twitter.com/CP24","@CP24")</f>
        <v>@CP24</v>
      </c>
      <c r="C1942" s="21" t="s">
        <v>4780</v>
      </c>
      <c r="D1942" s="21" t="s">
        <v>4781</v>
      </c>
      <c r="E1942" s="22" t="str">
        <f>HYPERLINK("https://twitter.com/CP24/status/922407598825070592","922407598825070592")</f>
        <v>922407598825070592</v>
      </c>
      <c r="F1942" s="23" t="s">
        <v>769</v>
      </c>
      <c r="G1942" s="24">
        <v>1724797.0</v>
      </c>
      <c r="H1942" s="24">
        <v>383.0</v>
      </c>
      <c r="I1942" s="24">
        <v>4.0</v>
      </c>
      <c r="J1942" s="24">
        <v>7.0</v>
      </c>
      <c r="K1942" s="23" t="s">
        <v>34</v>
      </c>
      <c r="L1942" s="25">
        <v>39840.87237268519</v>
      </c>
      <c r="M1942" s="26" t="s">
        <v>3187</v>
      </c>
      <c r="N1942" s="26" t="s">
        <v>4782</v>
      </c>
      <c r="O1942" s="22" t="str">
        <f>HYPERLINK("https://pbs.twimg.com/profile_images/459428906571804672/jx_823KA_normal.png","View")</f>
        <v>View</v>
      </c>
      <c r="P1942" s="27"/>
    </row>
    <row r="1943">
      <c r="A1943" s="14">
        <v>43031.13990740741</v>
      </c>
      <c r="B1943" s="20" t="str">
        <f>HYPERLINK("https://twitter.com/gauravt76173673","@gauravt76173673")</f>
        <v>@gauravt76173673</v>
      </c>
      <c r="C1943" s="21" t="s">
        <v>4783</v>
      </c>
      <c r="D1943" s="21" t="s">
        <v>42</v>
      </c>
      <c r="E1943" s="22" t="str">
        <f>HYPERLINK("https://twitter.com/gauravt76173673/status/922407618622111744","922407618622111744")</f>
        <v>922407618622111744</v>
      </c>
      <c r="F1943" s="23" t="s">
        <v>33</v>
      </c>
      <c r="G1943" s="24">
        <v>360.0</v>
      </c>
      <c r="H1943" s="24">
        <v>906.0</v>
      </c>
      <c r="I1943" s="24">
        <v>8501.0</v>
      </c>
      <c r="J1943" s="24">
        <v>0.0</v>
      </c>
      <c r="K1943" s="23" t="s">
        <v>34</v>
      </c>
      <c r="L1943" s="25">
        <v>41919.97454861111</v>
      </c>
      <c r="M1943" s="26" t="s">
        <v>1545</v>
      </c>
      <c r="N1943" s="28"/>
      <c r="O1943" s="22" t="str">
        <f>HYPERLINK("https://pbs.twimg.com/profile_images/610385596863791104/vOpbSqtW_normal.jpg","View")</f>
        <v>View</v>
      </c>
      <c r="P1943" s="27"/>
    </row>
    <row r="1944">
      <c r="A1944" s="14">
        <v>43031.13998842593</v>
      </c>
      <c r="B1944" s="20" t="str">
        <f>HYPERLINK("https://twitter.com/modichirag1974","@modichirag1974")</f>
        <v>@modichirag1974</v>
      </c>
      <c r="C1944" s="21" t="s">
        <v>4784</v>
      </c>
      <c r="D1944" s="21" t="s">
        <v>163</v>
      </c>
      <c r="E1944" s="22" t="str">
        <f>HYPERLINK("https://twitter.com/modichirag1974/status/922407646266658821","922407646266658821")</f>
        <v>922407646266658821</v>
      </c>
      <c r="F1944" s="23" t="s">
        <v>33</v>
      </c>
      <c r="G1944" s="24">
        <v>243.0</v>
      </c>
      <c r="H1944" s="24">
        <v>421.0</v>
      </c>
      <c r="I1944" s="24">
        <v>1005.0</v>
      </c>
      <c r="J1944" s="24">
        <v>0.0</v>
      </c>
      <c r="K1944" s="23" t="s">
        <v>34</v>
      </c>
      <c r="L1944" s="25">
        <v>41660.1330787037</v>
      </c>
      <c r="M1944" s="28"/>
      <c r="N1944" s="26" t="s">
        <v>4785</v>
      </c>
      <c r="O1944" s="22" t="str">
        <f>HYPERLINK("https://pbs.twimg.com/profile_images/912710670948253697/NfotUoql_normal.jpg","View")</f>
        <v>View</v>
      </c>
      <c r="P1944" s="27"/>
    </row>
    <row r="1945">
      <c r="A1945" s="14">
        <v>43031.14023148148</v>
      </c>
      <c r="B1945" s="20" t="str">
        <f>HYPERLINK("https://twitter.com/maki2260","@maki2260")</f>
        <v>@maki2260</v>
      </c>
      <c r="C1945" s="21" t="s">
        <v>4786</v>
      </c>
      <c r="D1945" s="21" t="s">
        <v>42</v>
      </c>
      <c r="E1945" s="22" t="str">
        <f>HYPERLINK("https://twitter.com/maki2260/status/922407736658165761","922407736658165761")</f>
        <v>922407736658165761</v>
      </c>
      <c r="F1945" s="23" t="s">
        <v>230</v>
      </c>
      <c r="G1945" s="24">
        <v>2468.0</v>
      </c>
      <c r="H1945" s="24">
        <v>594.0</v>
      </c>
      <c r="I1945" s="24">
        <v>8501.0</v>
      </c>
      <c r="J1945" s="24">
        <v>0.0</v>
      </c>
      <c r="K1945" s="23" t="s">
        <v>34</v>
      </c>
      <c r="L1945" s="25">
        <v>40715.68225694445</v>
      </c>
      <c r="M1945" s="28"/>
      <c r="N1945" s="26" t="s">
        <v>4787</v>
      </c>
      <c r="O1945" s="22" t="str">
        <f>HYPERLINK("https://pbs.twimg.com/profile_images/423765687769636864/nhKvlpGV_normal.jpeg","View")</f>
        <v>View</v>
      </c>
      <c r="P1945" s="27"/>
    </row>
    <row r="1946">
      <c r="A1946" s="14">
        <v>43031.14024305556</v>
      </c>
      <c r="B1946" s="20" t="str">
        <f>HYPERLINK("https://twitter.com/bbbishnu1995","@bbbishnu1995")</f>
        <v>@bbbishnu1995</v>
      </c>
      <c r="C1946" s="21" t="s">
        <v>4788</v>
      </c>
      <c r="D1946" s="21" t="s">
        <v>42</v>
      </c>
      <c r="E1946" s="22" t="str">
        <f>HYPERLINK("https://twitter.com/bbbishnu1995/status/922407740575592448","922407740575592448")</f>
        <v>922407740575592448</v>
      </c>
      <c r="F1946" s="23" t="s">
        <v>33</v>
      </c>
      <c r="G1946" s="24">
        <v>296.0</v>
      </c>
      <c r="H1946" s="24">
        <v>1043.0</v>
      </c>
      <c r="I1946" s="24">
        <v>8501.0</v>
      </c>
      <c r="J1946" s="24">
        <v>0.0</v>
      </c>
      <c r="K1946" s="23" t="s">
        <v>34</v>
      </c>
      <c r="L1946" s="25">
        <v>41680.483252314814</v>
      </c>
      <c r="M1946" s="28"/>
      <c r="N1946" s="26" t="s">
        <v>4789</v>
      </c>
      <c r="O1946" s="22" t="str">
        <f>HYPERLINK("https://pbs.twimg.com/profile_images/725437681132441600/TQCC5eoq_normal.jpg","View")</f>
        <v>View</v>
      </c>
      <c r="P1946" s="27"/>
    </row>
    <row r="1947">
      <c r="A1947" s="14">
        <v>43031.14039351852</v>
      </c>
      <c r="B1947" s="20" t="str">
        <f>HYPERLINK("https://twitter.com/Shah83Tapan","@Shah83Tapan")</f>
        <v>@Shah83Tapan</v>
      </c>
      <c r="C1947" s="21" t="s">
        <v>4790</v>
      </c>
      <c r="D1947" s="21" t="s">
        <v>42</v>
      </c>
      <c r="E1947" s="22" t="str">
        <f>HYPERLINK("https://twitter.com/Shah83Tapan/status/922407793918803968","922407793918803968")</f>
        <v>922407793918803968</v>
      </c>
      <c r="F1947" s="23" t="s">
        <v>33</v>
      </c>
      <c r="G1947" s="24">
        <v>106.0</v>
      </c>
      <c r="H1947" s="24">
        <v>216.0</v>
      </c>
      <c r="I1947" s="24">
        <v>8501.0</v>
      </c>
      <c r="J1947" s="24">
        <v>0.0</v>
      </c>
      <c r="K1947" s="23" t="s">
        <v>34</v>
      </c>
      <c r="L1947" s="25">
        <v>40913.29494212963</v>
      </c>
      <c r="M1947" s="26" t="s">
        <v>4791</v>
      </c>
      <c r="N1947" s="26" t="s">
        <v>4792</v>
      </c>
      <c r="O1947" s="22" t="str">
        <f>HYPERLINK("https://pbs.twimg.com/profile_images/878682746830200832/Q8JHGdLx_normal.jpg","View")</f>
        <v>View</v>
      </c>
      <c r="P1947" s="27"/>
    </row>
    <row r="1948">
      <c r="A1948" s="14">
        <v>43031.140543981484</v>
      </c>
      <c r="B1948" s="20" t="str">
        <f>HYPERLINK("https://twitter.com/SaptakMukherje6","@SaptakMukherje6")</f>
        <v>@SaptakMukherje6</v>
      </c>
      <c r="C1948" s="21" t="s">
        <v>4793</v>
      </c>
      <c r="D1948" s="21" t="s">
        <v>42</v>
      </c>
      <c r="E1948" s="22" t="str">
        <f>HYPERLINK("https://twitter.com/SaptakMukherje6/status/922407849925341184","922407849925341184")</f>
        <v>922407849925341184</v>
      </c>
      <c r="F1948" s="23" t="s">
        <v>33</v>
      </c>
      <c r="G1948" s="24">
        <v>1.0</v>
      </c>
      <c r="H1948" s="24">
        <v>67.0</v>
      </c>
      <c r="I1948" s="24">
        <v>8501.0</v>
      </c>
      <c r="J1948" s="24">
        <v>0.0</v>
      </c>
      <c r="K1948" s="23" t="s">
        <v>34</v>
      </c>
      <c r="L1948" s="25">
        <v>42738.26520833334</v>
      </c>
      <c r="M1948" s="28"/>
      <c r="N1948" s="28"/>
      <c r="O1948" s="22" t="str">
        <f>HYPERLINK("https://abs.twimg.com/sticky/default_profile_images/default_profile_normal.png","View")</f>
        <v>View</v>
      </c>
      <c r="P1948" s="27"/>
    </row>
    <row r="1949">
      <c r="A1949" s="14">
        <v>43031.14063657407</v>
      </c>
      <c r="B1949" s="20" t="str">
        <f>HYPERLINK("https://twitter.com/Mudit3103","@Mudit3103")</f>
        <v>@Mudit3103</v>
      </c>
      <c r="C1949" s="21" t="s">
        <v>4794</v>
      </c>
      <c r="D1949" s="21" t="s">
        <v>42</v>
      </c>
      <c r="E1949" s="22" t="str">
        <f>HYPERLINK("https://twitter.com/Mudit3103/status/922407884138229760","922407884138229760")</f>
        <v>922407884138229760</v>
      </c>
      <c r="F1949" s="23" t="s">
        <v>33</v>
      </c>
      <c r="G1949" s="24">
        <v>51.0</v>
      </c>
      <c r="H1949" s="24">
        <v>37.0</v>
      </c>
      <c r="I1949" s="24">
        <v>8501.0</v>
      </c>
      <c r="J1949" s="24">
        <v>0.0</v>
      </c>
      <c r="K1949" s="23" t="s">
        <v>34</v>
      </c>
      <c r="L1949" s="25">
        <v>43005.02304398148</v>
      </c>
      <c r="M1949" s="28"/>
      <c r="N1949" s="28"/>
      <c r="O1949" s="22" t="str">
        <f>HYPERLINK("https://pbs.twimg.com/profile_images/921394256136171522/TOnMJLok_normal.jpg","View")</f>
        <v>View</v>
      </c>
      <c r="P1949" s="27"/>
    </row>
    <row r="1950">
      <c r="A1950" s="14">
        <v>43031.14065972222</v>
      </c>
      <c r="B1950" s="20" t="str">
        <f>HYPERLINK("https://twitter.com/trashyvinny","@trashyvinny")</f>
        <v>@trashyvinny</v>
      </c>
      <c r="C1950" s="21" t="s">
        <v>4795</v>
      </c>
      <c r="D1950" s="21" t="s">
        <v>99</v>
      </c>
      <c r="E1950" s="22" t="str">
        <f>HYPERLINK("https://twitter.com/trashyvinny/status/922407892673814528","922407892673814528")</f>
        <v>922407892673814528</v>
      </c>
      <c r="F1950" s="23" t="s">
        <v>33</v>
      </c>
      <c r="G1950" s="24">
        <v>1120.0</v>
      </c>
      <c r="H1950" s="24">
        <v>940.0</v>
      </c>
      <c r="I1950" s="24">
        <v>72.0</v>
      </c>
      <c r="J1950" s="24">
        <v>0.0</v>
      </c>
      <c r="K1950" s="23" t="s">
        <v>34</v>
      </c>
      <c r="L1950" s="25">
        <v>40341.77415509259</v>
      </c>
      <c r="M1950" s="26" t="s">
        <v>92</v>
      </c>
      <c r="N1950" s="26" t="s">
        <v>4796</v>
      </c>
      <c r="O1950" s="22" t="str">
        <f>HYPERLINK("https://pbs.twimg.com/profile_images/734565832479608832/vLSpqaBe_normal.jpg","View")</f>
        <v>View</v>
      </c>
      <c r="P1950" s="27"/>
    </row>
    <row r="1951">
      <c r="A1951" s="14">
        <v>43031.140706018516</v>
      </c>
      <c r="B1951" s="20" t="str">
        <f>HYPERLINK("https://twitter.com/ichandanthakur","@ichandanthakur")</f>
        <v>@ichandanthakur</v>
      </c>
      <c r="C1951" s="21" t="s">
        <v>4797</v>
      </c>
      <c r="D1951" s="21" t="s">
        <v>42</v>
      </c>
      <c r="E1951" s="22" t="str">
        <f>HYPERLINK("https://twitter.com/ichandanthakur/status/922407907957735425","922407907957735425")</f>
        <v>922407907957735425</v>
      </c>
      <c r="F1951" s="23" t="s">
        <v>33</v>
      </c>
      <c r="G1951" s="24">
        <v>781.0</v>
      </c>
      <c r="H1951" s="24">
        <v>1598.0</v>
      </c>
      <c r="I1951" s="24">
        <v>8501.0</v>
      </c>
      <c r="J1951" s="24">
        <v>0.0</v>
      </c>
      <c r="K1951" s="23" t="s">
        <v>34</v>
      </c>
      <c r="L1951" s="25">
        <v>41102.341840277775</v>
      </c>
      <c r="M1951" s="26" t="s">
        <v>575</v>
      </c>
      <c r="N1951" s="26" t="s">
        <v>4798</v>
      </c>
      <c r="O1951" s="22" t="str">
        <f>HYPERLINK("https://pbs.twimg.com/profile_images/914389411101499393/g3y0Zgcn_normal.jpg","View")</f>
        <v>View</v>
      </c>
      <c r="P1951" s="27"/>
    </row>
    <row r="1952">
      <c r="A1952" s="14">
        <v>43031.14071759259</v>
      </c>
      <c r="B1952" s="20" t="str">
        <f>HYPERLINK("https://twitter.com/prasadgangan","@prasadgangan")</f>
        <v>@prasadgangan</v>
      </c>
      <c r="C1952" s="21" t="s">
        <v>4799</v>
      </c>
      <c r="D1952" s="21" t="s">
        <v>42</v>
      </c>
      <c r="E1952" s="22" t="str">
        <f>HYPERLINK("https://twitter.com/prasadgangan/status/922407914383347714","922407914383347714")</f>
        <v>922407914383347714</v>
      </c>
      <c r="F1952" s="23" t="s">
        <v>33</v>
      </c>
      <c r="G1952" s="24">
        <v>1100.0</v>
      </c>
      <c r="H1952" s="24">
        <v>4997.0</v>
      </c>
      <c r="I1952" s="24">
        <v>8501.0</v>
      </c>
      <c r="J1952" s="24">
        <v>0.0</v>
      </c>
      <c r="K1952" s="23" t="s">
        <v>34</v>
      </c>
      <c r="L1952" s="25">
        <v>40008.75760416667</v>
      </c>
      <c r="M1952" s="26" t="s">
        <v>207</v>
      </c>
      <c r="N1952" s="26" t="s">
        <v>4800</v>
      </c>
      <c r="O1952" s="22" t="str">
        <f>HYPERLINK("https://pbs.twimg.com/profile_images/580901956316606464/dDFwjqZv_normal.jpg","View")</f>
        <v>View</v>
      </c>
      <c r="P1952" s="27"/>
    </row>
    <row r="1953">
      <c r="A1953" s="14">
        <v>43031.140752314815</v>
      </c>
      <c r="B1953" s="20" t="str">
        <f>HYPERLINK("https://twitter.com/DRHsPsychoCafe","@DRHsPsychoCafe")</f>
        <v>@DRHsPsychoCafe</v>
      </c>
      <c r="C1953" s="21" t="s">
        <v>4801</v>
      </c>
      <c r="D1953" s="21" t="s">
        <v>4802</v>
      </c>
      <c r="E1953" s="22" t="str">
        <f>HYPERLINK("https://twitter.com/DRHsPsychoCafe/status/922407923849969664","922407923849969664")</f>
        <v>922407923849969664</v>
      </c>
      <c r="F1953" s="23" t="s">
        <v>39</v>
      </c>
      <c r="G1953" s="24">
        <v>251.0</v>
      </c>
      <c r="H1953" s="24">
        <v>450.0</v>
      </c>
      <c r="I1953" s="24">
        <v>5.0</v>
      </c>
      <c r="J1953" s="24">
        <v>0.0</v>
      </c>
      <c r="K1953" s="23" t="s">
        <v>34</v>
      </c>
      <c r="L1953" s="25">
        <v>42035.922071759254</v>
      </c>
      <c r="M1953" s="26" t="s">
        <v>92</v>
      </c>
      <c r="N1953" s="26" t="s">
        <v>4803</v>
      </c>
      <c r="O1953" s="22" t="str">
        <f>HYPERLINK("https://pbs.twimg.com/profile_images/914296683739017216/EXgFs9Pd_normal.jpg","View")</f>
        <v>View</v>
      </c>
      <c r="P1953" s="27"/>
    </row>
    <row r="1954">
      <c r="A1954" s="14">
        <v>43031.140810185185</v>
      </c>
      <c r="B1954" s="20" t="str">
        <f>HYPERLINK("https://twitter.com/Rajatmaru12","@Rajatmaru12")</f>
        <v>@Rajatmaru12</v>
      </c>
      <c r="C1954" s="21" t="s">
        <v>4804</v>
      </c>
      <c r="D1954" s="21" t="s">
        <v>42</v>
      </c>
      <c r="E1954" s="22" t="str">
        <f>HYPERLINK("https://twitter.com/Rajatmaru12/status/922407947770064897","922407947770064897")</f>
        <v>922407947770064897</v>
      </c>
      <c r="F1954" s="23" t="s">
        <v>33</v>
      </c>
      <c r="G1954" s="24">
        <v>1.0</v>
      </c>
      <c r="H1954" s="24">
        <v>111.0</v>
      </c>
      <c r="I1954" s="24">
        <v>8501.0</v>
      </c>
      <c r="J1954" s="24">
        <v>0.0</v>
      </c>
      <c r="K1954" s="23" t="s">
        <v>34</v>
      </c>
      <c r="L1954" s="25">
        <v>42926.46665509259</v>
      </c>
      <c r="M1954" s="28"/>
      <c r="N1954" s="28"/>
      <c r="O1954" s="22" t="str">
        <f>HYPERLINK("https://abs.twimg.com/sticky/default_profile_images/default_profile_normal.png","View")</f>
        <v>View</v>
      </c>
      <c r="P1954" s="27"/>
    </row>
    <row r="1955">
      <c r="A1955" s="14">
        <v>43031.14090277778</v>
      </c>
      <c r="B1955" s="20" t="str">
        <f>HYPERLINK("https://twitter.com/DanielPAldrich","@DanielPAldrich")</f>
        <v>@DanielPAldrich</v>
      </c>
      <c r="C1955" s="21" t="s">
        <v>4805</v>
      </c>
      <c r="D1955" s="21" t="s">
        <v>4806</v>
      </c>
      <c r="E1955" s="22" t="str">
        <f>HYPERLINK("https://twitter.com/DanielPAldrich/status/922407980590546946","922407980590546946")</f>
        <v>922407980590546946</v>
      </c>
      <c r="F1955" s="23" t="s">
        <v>55</v>
      </c>
      <c r="G1955" s="24">
        <v>4277.0</v>
      </c>
      <c r="H1955" s="24">
        <v>533.0</v>
      </c>
      <c r="I1955" s="24">
        <v>1.0</v>
      </c>
      <c r="J1955" s="24">
        <v>2.0</v>
      </c>
      <c r="K1955" s="23" t="s">
        <v>34</v>
      </c>
      <c r="L1955" s="25">
        <v>41058.41981481481</v>
      </c>
      <c r="M1955" s="26" t="s">
        <v>2619</v>
      </c>
      <c r="N1955" s="26" t="s">
        <v>4807</v>
      </c>
      <c r="O1955" s="22" t="str">
        <f>HYPERLINK("https://pbs.twimg.com/profile_images/3028335278/8fb40f3ad50babb853e3b3b3b598ad1a_normal.jpeg","View")</f>
        <v>View</v>
      </c>
      <c r="P1955" s="27"/>
    </row>
    <row r="1956">
      <c r="A1956" s="14">
        <v>43031.14096064815</v>
      </c>
      <c r="B1956" s="20" t="str">
        <f>HYPERLINK("https://twitter.com/Vidyana50446647","@Vidyana50446647")</f>
        <v>@Vidyana50446647</v>
      </c>
      <c r="C1956" s="21" t="s">
        <v>4808</v>
      </c>
      <c r="D1956" s="21" t="s">
        <v>42</v>
      </c>
      <c r="E1956" s="22" t="str">
        <f>HYPERLINK("https://twitter.com/Vidyana50446647/status/922408000379265024","922408000379265024")</f>
        <v>922408000379265024</v>
      </c>
      <c r="F1956" s="23" t="s">
        <v>33</v>
      </c>
      <c r="G1956" s="24">
        <v>18.0</v>
      </c>
      <c r="H1956" s="24">
        <v>58.0</v>
      </c>
      <c r="I1956" s="24">
        <v>8501.0</v>
      </c>
      <c r="J1956" s="24">
        <v>0.0</v>
      </c>
      <c r="K1956" s="23" t="s">
        <v>34</v>
      </c>
      <c r="L1956" s="25">
        <v>42854.100370370375</v>
      </c>
      <c r="M1956" s="28"/>
      <c r="N1956" s="28"/>
      <c r="O1956" s="22" t="str">
        <f>HYPERLINK("https://abs.twimg.com/sticky/default_profile_images/default_profile_normal.png","View")</f>
        <v>View</v>
      </c>
      <c r="P1956" s="27"/>
    </row>
    <row r="1957">
      <c r="A1957" s="14">
        <v>43031.14111111111</v>
      </c>
      <c r="B1957" s="20" t="str">
        <f>HYPERLINK("https://twitter.com/Baajirao1","@Baajirao1")</f>
        <v>@Baajirao1</v>
      </c>
      <c r="C1957" s="21" t="s">
        <v>4809</v>
      </c>
      <c r="D1957" s="21" t="s">
        <v>42</v>
      </c>
      <c r="E1957" s="22" t="str">
        <f>HYPERLINK("https://twitter.com/Baajirao1/status/922408055857451008","922408055857451008")</f>
        <v>922408055857451008</v>
      </c>
      <c r="F1957" s="23" t="s">
        <v>39</v>
      </c>
      <c r="G1957" s="24">
        <v>238.0</v>
      </c>
      <c r="H1957" s="24">
        <v>419.0</v>
      </c>
      <c r="I1957" s="24">
        <v>8501.0</v>
      </c>
      <c r="J1957" s="24">
        <v>0.0</v>
      </c>
      <c r="K1957" s="23" t="s">
        <v>34</v>
      </c>
      <c r="L1957" s="25">
        <v>41467.30929398148</v>
      </c>
      <c r="M1957" s="26" t="s">
        <v>334</v>
      </c>
      <c r="N1957" s="26" t="s">
        <v>4810</v>
      </c>
      <c r="O1957" s="22" t="str">
        <f>HYPERLINK("https://pbs.twimg.com/profile_images/715866553577828353/h1skDq78_normal.jpg","View")</f>
        <v>View</v>
      </c>
      <c r="P1957" s="27"/>
    </row>
    <row r="1958">
      <c r="A1958" s="14">
        <v>43031.14115740741</v>
      </c>
      <c r="B1958" s="20" t="str">
        <f>HYPERLINK("https://twitter.com/ParekhShital","@ParekhShital")</f>
        <v>@ParekhShital</v>
      </c>
      <c r="C1958" s="21" t="s">
        <v>4811</v>
      </c>
      <c r="D1958" s="21" t="s">
        <v>42</v>
      </c>
      <c r="E1958" s="22" t="str">
        <f>HYPERLINK("https://twitter.com/ParekhShital/status/922408070726242304","922408070726242304")</f>
        <v>922408070726242304</v>
      </c>
      <c r="F1958" s="23" t="s">
        <v>33</v>
      </c>
      <c r="G1958" s="24">
        <v>255.0</v>
      </c>
      <c r="H1958" s="24">
        <v>342.0</v>
      </c>
      <c r="I1958" s="24">
        <v>8501.0</v>
      </c>
      <c r="J1958" s="24">
        <v>0.0</v>
      </c>
      <c r="K1958" s="23" t="s">
        <v>34</v>
      </c>
      <c r="L1958" s="25">
        <v>41259.9969675926</v>
      </c>
      <c r="M1958" s="28"/>
      <c r="N1958" s="28"/>
      <c r="O1958" s="22" t="str">
        <f>HYPERLINK("https://pbs.twimg.com/profile_images/667742742617845760/UY69flCG_normal.png","View")</f>
        <v>View</v>
      </c>
      <c r="P1958" s="27"/>
    </row>
    <row r="1959">
      <c r="A1959" s="14">
        <v>43031.14119212963</v>
      </c>
      <c r="B1959" s="20" t="str">
        <f>HYPERLINK("https://twitter.com/WinniendegeWn","@WinniendegeWn")</f>
        <v>@WinniendegeWn</v>
      </c>
      <c r="C1959" s="21" t="s">
        <v>4812</v>
      </c>
      <c r="D1959" s="21" t="s">
        <v>32</v>
      </c>
      <c r="E1959" s="22" t="str">
        <f>HYPERLINK("https://twitter.com/WinniendegeWn/status/922408086031265792","922408086031265792")</f>
        <v>922408086031265792</v>
      </c>
      <c r="F1959" s="23" t="s">
        <v>55</v>
      </c>
      <c r="G1959" s="24">
        <v>1598.0</v>
      </c>
      <c r="H1959" s="24">
        <v>4989.0</v>
      </c>
      <c r="I1959" s="24">
        <v>471.0</v>
      </c>
      <c r="J1959" s="24">
        <v>0.0</v>
      </c>
      <c r="K1959" s="23" t="s">
        <v>34</v>
      </c>
      <c r="L1959" s="25">
        <v>41894.14446759259</v>
      </c>
      <c r="M1959" s="26" t="s">
        <v>843</v>
      </c>
      <c r="N1959" s="26" t="s">
        <v>4813</v>
      </c>
      <c r="O1959" s="22" t="str">
        <f>HYPERLINK("https://pbs.twimg.com/profile_images/737179475125866497/zF9g8VM__normal.jpg","View")</f>
        <v>View</v>
      </c>
      <c r="P1959" s="27"/>
    </row>
    <row r="1960">
      <c r="A1960" s="14">
        <v>43031.14127314815</v>
      </c>
      <c r="B1960" s="20" t="str">
        <f>HYPERLINK("https://twitter.com/sailindude","@sailindude")</f>
        <v>@sailindude</v>
      </c>
      <c r="C1960" s="21" t="s">
        <v>4814</v>
      </c>
      <c r="D1960" s="21" t="s">
        <v>4815</v>
      </c>
      <c r="E1960" s="22" t="str">
        <f>HYPERLINK("https://twitter.com/sailindude/status/922408111985524736","922408111985524736")</f>
        <v>922408111985524736</v>
      </c>
      <c r="F1960" s="23" t="s">
        <v>230</v>
      </c>
      <c r="G1960" s="24">
        <v>1792.0</v>
      </c>
      <c r="H1960" s="24">
        <v>788.0</v>
      </c>
      <c r="I1960" s="24">
        <v>0.0</v>
      </c>
      <c r="J1960" s="24">
        <v>0.0</v>
      </c>
      <c r="K1960" s="23" t="s">
        <v>34</v>
      </c>
      <c r="L1960" s="25">
        <v>40204.371087962965</v>
      </c>
      <c r="M1960" s="26" t="s">
        <v>4816</v>
      </c>
      <c r="N1960" s="26" t="s">
        <v>4817</v>
      </c>
      <c r="O1960" s="22" t="str">
        <f>HYPERLINK("https://pbs.twimg.com/profile_images/848715836223365120/w-9ocHul_normal.jpg","View")</f>
        <v>View</v>
      </c>
      <c r="P1960" s="27"/>
    </row>
    <row r="1961">
      <c r="A1961" s="14">
        <v>43031.14130787037</v>
      </c>
      <c r="B1961" s="20" t="str">
        <f>HYPERLINK("https://twitter.com/87Parth","@87Parth")</f>
        <v>@87Parth</v>
      </c>
      <c r="C1961" s="21" t="s">
        <v>4818</v>
      </c>
      <c r="D1961" s="21" t="s">
        <v>42</v>
      </c>
      <c r="E1961" s="22" t="str">
        <f>HYPERLINK("https://twitter.com/87Parth/status/922408126682243072","922408126682243072")</f>
        <v>922408126682243072</v>
      </c>
      <c r="F1961" s="23" t="s">
        <v>39</v>
      </c>
      <c r="G1961" s="24">
        <v>105.0</v>
      </c>
      <c r="H1961" s="24">
        <v>422.0</v>
      </c>
      <c r="I1961" s="24">
        <v>8501.0</v>
      </c>
      <c r="J1961" s="24">
        <v>0.0</v>
      </c>
      <c r="K1961" s="23" t="s">
        <v>34</v>
      </c>
      <c r="L1961" s="25">
        <v>41177.924675925926</v>
      </c>
      <c r="M1961" s="26" t="s">
        <v>1760</v>
      </c>
      <c r="N1961" s="26" t="s">
        <v>4819</v>
      </c>
      <c r="O1961" s="22" t="str">
        <f>HYPERLINK("https://pbs.twimg.com/profile_images/754431768485330945/C6MyXW5O_normal.jpg","View")</f>
        <v>View</v>
      </c>
      <c r="P1961" s="27"/>
    </row>
    <row r="1962">
      <c r="A1962" s="14">
        <v>43031.14135416667</v>
      </c>
      <c r="B1962" s="20" t="str">
        <f>HYPERLINK("https://twitter.com/5sQUN8JZa2wLpKA","@5sQUN8JZa2wLpKA")</f>
        <v>@5sQUN8JZa2wLpKA</v>
      </c>
      <c r="C1962" s="21" t="s">
        <v>4820</v>
      </c>
      <c r="D1962" s="21" t="s">
        <v>430</v>
      </c>
      <c r="E1962" s="22" t="str">
        <f>HYPERLINK("https://twitter.com/5sQUN8JZa2wLpKA/status/922408143350505472","922408143350505472")</f>
        <v>922408143350505472</v>
      </c>
      <c r="F1962" s="23" t="s">
        <v>39</v>
      </c>
      <c r="G1962" s="24">
        <v>92.0</v>
      </c>
      <c r="H1962" s="24">
        <v>394.0</v>
      </c>
      <c r="I1962" s="24">
        <v>62.0</v>
      </c>
      <c r="J1962" s="24">
        <v>0.0</v>
      </c>
      <c r="K1962" s="23" t="s">
        <v>34</v>
      </c>
      <c r="L1962" s="25">
        <v>42588.987280092595</v>
      </c>
      <c r="M1962" s="28"/>
      <c r="N1962" s="28"/>
      <c r="O1962" s="22" t="str">
        <f>HYPERLINK("https://pbs.twimg.com/profile_images/870115931980128259/0BhSpSM8_normal.jpg","View")</f>
        <v>View</v>
      </c>
      <c r="P1962" s="27"/>
    </row>
    <row r="1963">
      <c r="A1963" s="14">
        <v>43031.14140046296</v>
      </c>
      <c r="B1963" s="20" t="str">
        <f>HYPERLINK("https://twitter.com/mohithdas05","@mohithdas05")</f>
        <v>@mohithdas05</v>
      </c>
      <c r="C1963" s="21" t="s">
        <v>4821</v>
      </c>
      <c r="D1963" s="21" t="s">
        <v>42</v>
      </c>
      <c r="E1963" s="22" t="str">
        <f>HYPERLINK("https://twitter.com/mohithdas05/status/922408158231801856","922408158231801856")</f>
        <v>922408158231801856</v>
      </c>
      <c r="F1963" s="23" t="s">
        <v>33</v>
      </c>
      <c r="G1963" s="24">
        <v>372.0</v>
      </c>
      <c r="H1963" s="24">
        <v>3306.0</v>
      </c>
      <c r="I1963" s="24">
        <v>8501.0</v>
      </c>
      <c r="J1963" s="24">
        <v>0.0</v>
      </c>
      <c r="K1963" s="23" t="s">
        <v>34</v>
      </c>
      <c r="L1963" s="25">
        <v>40568.084027777775</v>
      </c>
      <c r="M1963" s="26" t="s">
        <v>4822</v>
      </c>
      <c r="N1963" s="26" t="s">
        <v>4823</v>
      </c>
      <c r="O1963" s="22" t="str">
        <f>HYPERLINK("https://pbs.twimg.com/profile_images/818673689030000640/oVt3qkjY_normal.jpg","View")</f>
        <v>View</v>
      </c>
      <c r="P1963" s="27"/>
    </row>
    <row r="1964">
      <c r="A1964" s="14">
        <v>43031.14141203703</v>
      </c>
      <c r="B1964" s="20" t="str">
        <f>HYPERLINK("https://twitter.com/EasternSentinel","@EasternSentinel")</f>
        <v>@EasternSentinel</v>
      </c>
      <c r="C1964" s="21" t="s">
        <v>4824</v>
      </c>
      <c r="D1964" s="21" t="s">
        <v>4825</v>
      </c>
      <c r="E1964" s="22" t="str">
        <f>HYPERLINK("https://twitter.com/EasternSentinel/status/922408163722194944","922408163722194944")</f>
        <v>922408163722194944</v>
      </c>
      <c r="F1964" s="23" t="s">
        <v>39</v>
      </c>
      <c r="G1964" s="24">
        <v>1500.0</v>
      </c>
      <c r="H1964" s="24">
        <v>55.0</v>
      </c>
      <c r="I1964" s="24">
        <v>2.0</v>
      </c>
      <c r="J1964" s="24">
        <v>4.0</v>
      </c>
      <c r="K1964" s="23" t="s">
        <v>34</v>
      </c>
      <c r="L1964" s="25">
        <v>41301.39944444445</v>
      </c>
      <c r="M1964" s="26" t="s">
        <v>4826</v>
      </c>
      <c r="N1964" s="26" t="s">
        <v>4827</v>
      </c>
      <c r="O1964" s="22" t="str">
        <f>HYPERLINK("https://pbs.twimg.com/profile_images/439399351085826048/dRW8_3jn_normal.jpeg","View")</f>
        <v>View</v>
      </c>
      <c r="P1964" s="27"/>
    </row>
    <row r="1965">
      <c r="A1965" s="14">
        <v>43031.141423611116</v>
      </c>
      <c r="B1965" s="20" t="str">
        <f>HYPERLINK("https://twitter.com/AynurIsil","@AynurIsil")</f>
        <v>@AynurIsil</v>
      </c>
      <c r="C1965" s="21" t="s">
        <v>4090</v>
      </c>
      <c r="D1965" s="21" t="s">
        <v>1345</v>
      </c>
      <c r="E1965" s="22" t="str">
        <f>HYPERLINK("https://twitter.com/AynurIsil/status/922408169011318784","922408169011318784")</f>
        <v>922408169011318784</v>
      </c>
      <c r="F1965" s="23" t="s">
        <v>55</v>
      </c>
      <c r="G1965" s="24">
        <v>894.0</v>
      </c>
      <c r="H1965" s="24">
        <v>1600.0</v>
      </c>
      <c r="I1965" s="24">
        <v>22.0</v>
      </c>
      <c r="J1965" s="24">
        <v>0.0</v>
      </c>
      <c r="K1965" s="23" t="s">
        <v>34</v>
      </c>
      <c r="L1965" s="25">
        <v>41817.12467592592</v>
      </c>
      <c r="M1965" s="28"/>
      <c r="N1965" s="26" t="s">
        <v>4092</v>
      </c>
      <c r="O1965" s="22" t="str">
        <f>HYPERLINK("https://pbs.twimg.com/profile_images/922399978764619776/j-R8mpMu_normal.jpg","View")</f>
        <v>View</v>
      </c>
      <c r="P1965" s="27"/>
    </row>
    <row r="1966">
      <c r="A1966" s="14">
        <v>43031.141446759255</v>
      </c>
      <c r="B1966" s="20" t="str">
        <f>HYPERLINK("https://twitter.com/JElishevitz","@JElishevitz")</f>
        <v>@JElishevitz</v>
      </c>
      <c r="C1966" s="21" t="s">
        <v>4828</v>
      </c>
      <c r="D1966" s="21" t="s">
        <v>4829</v>
      </c>
      <c r="E1966" s="22" t="str">
        <f>HYPERLINK("https://twitter.com/JElishevitz/status/922408177991340034","922408177991340034")</f>
        <v>922408177991340034</v>
      </c>
      <c r="F1966" s="23" t="s">
        <v>55</v>
      </c>
      <c r="G1966" s="24">
        <v>39.0</v>
      </c>
      <c r="H1966" s="24">
        <v>40.0</v>
      </c>
      <c r="I1966" s="24">
        <v>0.0</v>
      </c>
      <c r="J1966" s="24">
        <v>0.0</v>
      </c>
      <c r="K1966" s="23" t="s">
        <v>34</v>
      </c>
      <c r="L1966" s="25">
        <v>42459.94998842593</v>
      </c>
      <c r="M1966" s="26" t="s">
        <v>829</v>
      </c>
      <c r="N1966" s="26" t="s">
        <v>4830</v>
      </c>
      <c r="O1966" s="22" t="str">
        <f>HYPERLINK("https://pbs.twimg.com/profile_images/766352242395971585/m5-b_CmS_normal.jpg","View")</f>
        <v>View</v>
      </c>
      <c r="P1966" s="27"/>
    </row>
    <row r="1967">
      <c r="A1967" s="14">
        <v>43031.14145833333</v>
      </c>
      <c r="B1967" s="20" t="str">
        <f>HYPERLINK("https://twitter.com/Newstoday_247","@Newstoday_247")</f>
        <v>@Newstoday_247</v>
      </c>
      <c r="C1967" s="21" t="s">
        <v>4831</v>
      </c>
      <c r="D1967" s="21" t="s">
        <v>4832</v>
      </c>
      <c r="E1967" s="22" t="str">
        <f>HYPERLINK("https://twitter.com/Newstoday_247/status/922408178872193025","922408178872193025")</f>
        <v>922408178872193025</v>
      </c>
      <c r="F1967" s="23" t="s">
        <v>91</v>
      </c>
      <c r="G1967" s="24">
        <v>6.0</v>
      </c>
      <c r="H1967" s="24">
        <v>101.0</v>
      </c>
      <c r="I1967" s="24">
        <v>0.0</v>
      </c>
      <c r="J1967" s="24">
        <v>0.0</v>
      </c>
      <c r="K1967" s="23" t="s">
        <v>34</v>
      </c>
      <c r="L1967" s="25">
        <v>42998.35894675926</v>
      </c>
      <c r="M1967" s="28"/>
      <c r="N1967" s="28"/>
      <c r="O1967" s="22" t="str">
        <f>HYPERLINK("https://pbs.twimg.com/profile_images/910529822589251586/TwdtaxRD_normal.jpg","View")</f>
        <v>View</v>
      </c>
      <c r="P1967" s="27"/>
    </row>
    <row r="1968">
      <c r="A1968" s="14">
        <v>43031.14157407408</v>
      </c>
      <c r="B1968" s="20" t="str">
        <f>HYPERLINK("https://twitter.com/Sandeep24039572","@Sandeep24039572")</f>
        <v>@Sandeep24039572</v>
      </c>
      <c r="C1968" s="21" t="s">
        <v>4833</v>
      </c>
      <c r="D1968" s="21" t="s">
        <v>42</v>
      </c>
      <c r="E1968" s="22" t="str">
        <f>HYPERLINK("https://twitter.com/Sandeep24039572/status/922408223772049409","922408223772049409")</f>
        <v>922408223772049409</v>
      </c>
      <c r="F1968" s="23" t="s">
        <v>33</v>
      </c>
      <c r="G1968" s="24">
        <v>6.0</v>
      </c>
      <c r="H1968" s="24">
        <v>125.0</v>
      </c>
      <c r="I1968" s="24">
        <v>8501.0</v>
      </c>
      <c r="J1968" s="24">
        <v>0.0</v>
      </c>
      <c r="K1968" s="23" t="s">
        <v>34</v>
      </c>
      <c r="L1968" s="25">
        <v>43027.18909722222</v>
      </c>
      <c r="M1968" s="26" t="s">
        <v>4834</v>
      </c>
      <c r="N1968" s="26" t="s">
        <v>4835</v>
      </c>
      <c r="O1968" s="22" t="str">
        <f>HYPERLINK("https://pbs.twimg.com/profile_images/921187312595173376/2-KT095d_normal.jpg","View")</f>
        <v>View</v>
      </c>
      <c r="P1968" s="27"/>
    </row>
    <row r="1969">
      <c r="A1969" s="14">
        <v>43031.14163194444</v>
      </c>
      <c r="B1969" s="20" t="str">
        <f>HYPERLINK("https://twitter.com/kumariusha2010","@kumariusha2010")</f>
        <v>@kumariusha2010</v>
      </c>
      <c r="C1969" s="21" t="s">
        <v>4836</v>
      </c>
      <c r="D1969" s="21" t="s">
        <v>42</v>
      </c>
      <c r="E1969" s="22" t="str">
        <f>HYPERLINK("https://twitter.com/kumariusha2010/status/922408244093575170","922408244093575170")</f>
        <v>922408244093575170</v>
      </c>
      <c r="F1969" s="23" t="s">
        <v>55</v>
      </c>
      <c r="G1969" s="24">
        <v>1.0</v>
      </c>
      <c r="H1969" s="24">
        <v>2.0</v>
      </c>
      <c r="I1969" s="24">
        <v>8501.0</v>
      </c>
      <c r="J1969" s="24">
        <v>0.0</v>
      </c>
      <c r="K1969" s="23" t="s">
        <v>34</v>
      </c>
      <c r="L1969" s="25">
        <v>41847.09228009259</v>
      </c>
      <c r="M1969" s="28"/>
      <c r="N1969" s="28"/>
      <c r="O1969" s="22" t="str">
        <f>HYPERLINK("https://abs.twimg.com/sticky/default_profile_images/default_profile_normal.png","View")</f>
        <v>View</v>
      </c>
      <c r="P1969" s="27"/>
    </row>
    <row r="1970">
      <c r="A1970" s="14">
        <v>43031.141701388886</v>
      </c>
      <c r="B1970" s="20" t="str">
        <f>HYPERLINK("https://twitter.com/kamalfulara2012","@kamalfulara2012")</f>
        <v>@kamalfulara2012</v>
      </c>
      <c r="C1970" s="21" t="s">
        <v>4837</v>
      </c>
      <c r="D1970" s="21" t="s">
        <v>42</v>
      </c>
      <c r="E1970" s="22" t="str">
        <f>HYPERLINK("https://twitter.com/kamalfulara2012/status/922408266965057536","922408266965057536")</f>
        <v>922408266965057536</v>
      </c>
      <c r="F1970" s="23" t="s">
        <v>33</v>
      </c>
      <c r="G1970" s="24">
        <v>8.0</v>
      </c>
      <c r="H1970" s="24">
        <v>30.0</v>
      </c>
      <c r="I1970" s="24">
        <v>8501.0</v>
      </c>
      <c r="J1970" s="24">
        <v>0.0</v>
      </c>
      <c r="K1970" s="23" t="s">
        <v>34</v>
      </c>
      <c r="L1970" s="25">
        <v>42650.432696759264</v>
      </c>
      <c r="M1970" s="26" t="s">
        <v>4838</v>
      </c>
      <c r="N1970" s="26" t="s">
        <v>4839</v>
      </c>
      <c r="O1970" s="22" t="str">
        <f>HYPERLINK("https://pbs.twimg.com/profile_images/912988472394133504/ydKXdF53_normal.jpg","View")</f>
        <v>View</v>
      </c>
      <c r="P1970" s="27"/>
    </row>
    <row r="1971">
      <c r="A1971" s="14">
        <v>43031.14189814815</v>
      </c>
      <c r="B1971" s="20" t="str">
        <f>HYPERLINK("https://twitter.com/fcgm","@fcgm")</f>
        <v>@fcgm</v>
      </c>
      <c r="C1971" s="21" t="s">
        <v>4840</v>
      </c>
      <c r="D1971" s="21" t="s">
        <v>4841</v>
      </c>
      <c r="E1971" s="22" t="str">
        <f>HYPERLINK("https://twitter.com/fcgm/status/922408341191536640","922408341191536640")</f>
        <v>922408341191536640</v>
      </c>
      <c r="F1971" s="23" t="s">
        <v>230</v>
      </c>
      <c r="G1971" s="24">
        <v>742.0</v>
      </c>
      <c r="H1971" s="24">
        <v>720.0</v>
      </c>
      <c r="I1971" s="24">
        <v>0.0</v>
      </c>
      <c r="J1971" s="24">
        <v>0.0</v>
      </c>
      <c r="K1971" s="23" t="s">
        <v>34</v>
      </c>
      <c r="L1971" s="25">
        <v>39982.16521990741</v>
      </c>
      <c r="M1971" s="26" t="s">
        <v>4842</v>
      </c>
      <c r="N1971" s="26" t="s">
        <v>4843</v>
      </c>
      <c r="O1971" s="22" t="str">
        <f>HYPERLINK("https://pbs.twimg.com/profile_images/834831318970036224/odhmH4_1_normal.jpg","View")</f>
        <v>View</v>
      </c>
      <c r="P1971" s="27"/>
    </row>
    <row r="1972">
      <c r="A1972" s="14">
        <v>43031.142060185186</v>
      </c>
      <c r="B1972" s="20" t="str">
        <f>HYPERLINK("https://twitter.com/kravi0","@kravi0")</f>
        <v>@kravi0</v>
      </c>
      <c r="C1972" s="21" t="s">
        <v>1368</v>
      </c>
      <c r="D1972" s="21" t="s">
        <v>42</v>
      </c>
      <c r="E1972" s="22" t="str">
        <f>HYPERLINK("https://twitter.com/kravi0/status/922408397202374656","922408397202374656")</f>
        <v>922408397202374656</v>
      </c>
      <c r="F1972" s="23" t="s">
        <v>43</v>
      </c>
      <c r="G1972" s="24">
        <v>1.0</v>
      </c>
      <c r="H1972" s="24">
        <v>66.0</v>
      </c>
      <c r="I1972" s="24">
        <v>8501.0</v>
      </c>
      <c r="J1972" s="24">
        <v>0.0</v>
      </c>
      <c r="K1972" s="23" t="s">
        <v>34</v>
      </c>
      <c r="L1972" s="25">
        <v>43030.3662037037</v>
      </c>
      <c r="M1972" s="26" t="s">
        <v>195</v>
      </c>
      <c r="N1972" s="26" t="s">
        <v>4844</v>
      </c>
      <c r="O1972" s="22" t="str">
        <f>HYPERLINK("https://pbs.twimg.com/profile_images/922132866980564996/ekq2Gvp7_normal.jpg","View")</f>
        <v>View</v>
      </c>
      <c r="P1972" s="27"/>
    </row>
    <row r="1973">
      <c r="A1973" s="14">
        <v>43031.142060185186</v>
      </c>
      <c r="B1973" s="20" t="str">
        <f>HYPERLINK("https://twitter.com/YayaverNation","@YayaverNation")</f>
        <v>@YayaverNation</v>
      </c>
      <c r="C1973" s="21" t="s">
        <v>4845</v>
      </c>
      <c r="D1973" s="21" t="s">
        <v>163</v>
      </c>
      <c r="E1973" s="22" t="str">
        <f>HYPERLINK("https://twitter.com/YayaverNation/status/922408397705699328","922408397705699328")</f>
        <v>922408397705699328</v>
      </c>
      <c r="F1973" s="23" t="s">
        <v>33</v>
      </c>
      <c r="G1973" s="24">
        <v>1177.0</v>
      </c>
      <c r="H1973" s="24">
        <v>3054.0</v>
      </c>
      <c r="I1973" s="24">
        <v>1005.0</v>
      </c>
      <c r="J1973" s="24">
        <v>0.0</v>
      </c>
      <c r="K1973" s="23" t="s">
        <v>34</v>
      </c>
      <c r="L1973" s="25">
        <v>40481.11854166667</v>
      </c>
      <c r="M1973" s="26" t="s">
        <v>4846</v>
      </c>
      <c r="N1973" s="26" t="s">
        <v>4847</v>
      </c>
      <c r="O1973" s="22" t="str">
        <f>HYPERLINK("https://pbs.twimg.com/profile_images/854709358763978752/H-Yfw58M_normal.jpg","View")</f>
        <v>View</v>
      </c>
      <c r="P1973" s="27"/>
    </row>
    <row r="1974">
      <c r="A1974" s="14">
        <v>43031.14212962963</v>
      </c>
      <c r="B1974" s="20" t="str">
        <f>HYPERLINK("https://twitter.com/amanbansal9520","@amanbansal9520")</f>
        <v>@amanbansal9520</v>
      </c>
      <c r="C1974" s="21" t="s">
        <v>4848</v>
      </c>
      <c r="D1974" s="21" t="s">
        <v>42</v>
      </c>
      <c r="E1974" s="22" t="str">
        <f>HYPERLINK("https://twitter.com/amanbansal9520/status/922408425979502592","922408425979502592")</f>
        <v>922408425979502592</v>
      </c>
      <c r="F1974" s="23" t="s">
        <v>33</v>
      </c>
      <c r="G1974" s="24">
        <v>6.0</v>
      </c>
      <c r="H1974" s="24">
        <v>77.0</v>
      </c>
      <c r="I1974" s="24">
        <v>8501.0</v>
      </c>
      <c r="J1974" s="24">
        <v>0.0</v>
      </c>
      <c r="K1974" s="23" t="s">
        <v>34</v>
      </c>
      <c r="L1974" s="25">
        <v>42414.336736111116</v>
      </c>
      <c r="M1974" s="28"/>
      <c r="N1974" s="26" t="s">
        <v>4849</v>
      </c>
      <c r="O1974" s="22" t="str">
        <f>HYPERLINK("https://pbs.twimg.com/profile_images/921257596878647296/9t_UM-sS_normal.jpg","View")</f>
        <v>View</v>
      </c>
      <c r="P1974" s="27"/>
    </row>
    <row r="1975">
      <c r="A1975" s="14">
        <v>43031.1424074074</v>
      </c>
      <c r="B1975" s="20" t="str">
        <f>HYPERLINK("https://twitter.com/RAKESHKKUSHWAH","@RAKESHKKUSHWAH")</f>
        <v>@RAKESHKKUSHWAH</v>
      </c>
      <c r="C1975" s="21" t="s">
        <v>4850</v>
      </c>
      <c r="D1975" s="21" t="s">
        <v>42</v>
      </c>
      <c r="E1975" s="22" t="str">
        <f>HYPERLINK("https://twitter.com/RAKESHKKUSHWAH/status/922408524121964546","922408524121964546")</f>
        <v>922408524121964546</v>
      </c>
      <c r="F1975" s="23" t="s">
        <v>33</v>
      </c>
      <c r="G1975" s="24">
        <v>179.0</v>
      </c>
      <c r="H1975" s="24">
        <v>250.0</v>
      </c>
      <c r="I1975" s="24">
        <v>8501.0</v>
      </c>
      <c r="J1975" s="24">
        <v>0.0</v>
      </c>
      <c r="K1975" s="23" t="s">
        <v>34</v>
      </c>
      <c r="L1975" s="25">
        <v>42987.103680555556</v>
      </c>
      <c r="M1975" s="26" t="s">
        <v>1633</v>
      </c>
      <c r="N1975" s="26" t="s">
        <v>4851</v>
      </c>
      <c r="O1975" s="22" t="str">
        <f>HYPERLINK("https://pbs.twimg.com/profile_images/916350935567286272/tHMm7oYS_normal.jpg","View")</f>
        <v>View</v>
      </c>
      <c r="P1975" s="27"/>
    </row>
    <row r="1976">
      <c r="A1976" s="14">
        <v>43031.1424537037</v>
      </c>
      <c r="B1976" s="20" t="str">
        <f>HYPERLINK("https://twitter.com/uk_worldnews","@uk_worldnews")</f>
        <v>@uk_worldnews</v>
      </c>
      <c r="C1976" s="21" t="s">
        <v>2621</v>
      </c>
      <c r="D1976" s="21" t="s">
        <v>4852</v>
      </c>
      <c r="E1976" s="22" t="str">
        <f>HYPERLINK("https://twitter.com/uk_worldnews/status/922408542400679937","922408542400679937")</f>
        <v>922408542400679937</v>
      </c>
      <c r="F1976" s="23" t="s">
        <v>1020</v>
      </c>
      <c r="G1976" s="24">
        <v>1134.0</v>
      </c>
      <c r="H1976" s="24">
        <v>886.0</v>
      </c>
      <c r="I1976" s="24">
        <v>0.0</v>
      </c>
      <c r="J1976" s="24">
        <v>0.0</v>
      </c>
      <c r="K1976" s="23" t="s">
        <v>34</v>
      </c>
      <c r="L1976" s="25">
        <v>41691.490381944444</v>
      </c>
      <c r="M1976" s="28"/>
      <c r="N1976" s="26" t="s">
        <v>2623</v>
      </c>
      <c r="O1976" s="22" t="str">
        <f>HYPERLINK("https://pbs.twimg.com/profile_images/436950530964070400/VO-NlZAO_normal.png","View")</f>
        <v>View</v>
      </c>
      <c r="P1976" s="27"/>
    </row>
    <row r="1977">
      <c r="A1977" s="14">
        <v>43031.14247685185</v>
      </c>
      <c r="B1977" s="20" t="str">
        <f>HYPERLINK("https://twitter.com/RAKESHKKUSHWAH","@RAKESHKKUSHWAH")</f>
        <v>@RAKESHKKUSHWAH</v>
      </c>
      <c r="C1977" s="21" t="s">
        <v>4850</v>
      </c>
      <c r="D1977" s="21" t="s">
        <v>2906</v>
      </c>
      <c r="E1977" s="22" t="str">
        <f>HYPERLINK("https://twitter.com/RAKESHKKUSHWAH/status/922408548495015936","922408548495015936")</f>
        <v>922408548495015936</v>
      </c>
      <c r="F1977" s="23" t="s">
        <v>33</v>
      </c>
      <c r="G1977" s="24">
        <v>179.0</v>
      </c>
      <c r="H1977" s="24">
        <v>250.0</v>
      </c>
      <c r="I1977" s="24">
        <v>18.0</v>
      </c>
      <c r="J1977" s="24">
        <v>0.0</v>
      </c>
      <c r="K1977" s="23" t="s">
        <v>34</v>
      </c>
      <c r="L1977" s="25">
        <v>42987.103680555556</v>
      </c>
      <c r="M1977" s="26" t="s">
        <v>1633</v>
      </c>
      <c r="N1977" s="26" t="s">
        <v>4851</v>
      </c>
      <c r="O1977" s="22" t="str">
        <f>HYPERLINK("https://pbs.twimg.com/profile_images/916350935567286272/tHMm7oYS_normal.jpg","View")</f>
        <v>View</v>
      </c>
      <c r="P1977" s="27"/>
    </row>
    <row r="1978">
      <c r="A1978" s="14">
        <v>43031.14251157407</v>
      </c>
      <c r="B1978" s="20" t="str">
        <f>HYPERLINK("https://twitter.com/OngEmmah","@OngEmmah")</f>
        <v>@OngEmmah</v>
      </c>
      <c r="C1978" s="21" t="s">
        <v>4853</v>
      </c>
      <c r="D1978" s="21" t="s">
        <v>32</v>
      </c>
      <c r="E1978" s="22" t="str">
        <f>HYPERLINK("https://twitter.com/OngEmmah/status/922408562193727488","922408562193727488")</f>
        <v>922408562193727488</v>
      </c>
      <c r="F1978" s="23" t="s">
        <v>33</v>
      </c>
      <c r="G1978" s="24">
        <v>43.0</v>
      </c>
      <c r="H1978" s="24">
        <v>136.0</v>
      </c>
      <c r="I1978" s="24">
        <v>471.0</v>
      </c>
      <c r="J1978" s="24">
        <v>0.0</v>
      </c>
      <c r="K1978" s="23" t="s">
        <v>34</v>
      </c>
      <c r="L1978" s="25">
        <v>42746.05699074074</v>
      </c>
      <c r="M1978" s="28"/>
      <c r="N1978" s="26" t="s">
        <v>4854</v>
      </c>
      <c r="O1978" s="22" t="str">
        <f>HYPERLINK("https://pbs.twimg.com/profile_images/908331997268934657/pQk1NqEO_normal.jpg","View")</f>
        <v>View</v>
      </c>
      <c r="P1978" s="27"/>
    </row>
    <row r="1979">
      <c r="A1979" s="14">
        <v>43031.14252314815</v>
      </c>
      <c r="B1979" s="20" t="str">
        <f>HYPERLINK("https://twitter.com/SonkerAniket2","@SonkerAniket2")</f>
        <v>@SonkerAniket2</v>
      </c>
      <c r="C1979" s="21" t="s">
        <v>4855</v>
      </c>
      <c r="D1979" s="21" t="s">
        <v>42</v>
      </c>
      <c r="E1979" s="22" t="str">
        <f>HYPERLINK("https://twitter.com/SonkerAniket2/status/922408566572531712","922408566572531712")</f>
        <v>922408566572531712</v>
      </c>
      <c r="F1979" s="23" t="s">
        <v>39</v>
      </c>
      <c r="G1979" s="24">
        <v>35.0</v>
      </c>
      <c r="H1979" s="24">
        <v>109.0</v>
      </c>
      <c r="I1979" s="24">
        <v>8501.0</v>
      </c>
      <c r="J1979" s="24">
        <v>0.0</v>
      </c>
      <c r="K1979" s="23" t="s">
        <v>34</v>
      </c>
      <c r="L1979" s="25">
        <v>42748.71063657408</v>
      </c>
      <c r="M1979" s="26" t="s">
        <v>2401</v>
      </c>
      <c r="N1979" s="28"/>
      <c r="O1979" s="22" t="str">
        <f>HYPERLINK("https://pbs.twimg.com/profile_images/820079549685841920/MQD6Qn68_normal.jpg","View")</f>
        <v>View</v>
      </c>
      <c r="P1979" s="27"/>
    </row>
    <row r="1980">
      <c r="A1980" s="14">
        <v>43031.142546296294</v>
      </c>
      <c r="B1980" s="20" t="str">
        <f>HYPERLINK("https://twitter.com/Akamahina","@Akamahina")</f>
        <v>@Akamahina</v>
      </c>
      <c r="C1980" s="21" t="s">
        <v>4856</v>
      </c>
      <c r="D1980" s="21" t="s">
        <v>4857</v>
      </c>
      <c r="E1980" s="22" t="str">
        <f>HYPERLINK("https://twitter.com/Akamahina/status/922408575250530305","922408575250530305")</f>
        <v>922408575250530305</v>
      </c>
      <c r="F1980" s="23" t="s">
        <v>39</v>
      </c>
      <c r="G1980" s="24">
        <v>1094.0</v>
      </c>
      <c r="H1980" s="24">
        <v>781.0</v>
      </c>
      <c r="I1980" s="24">
        <v>55.0</v>
      </c>
      <c r="J1980" s="24">
        <v>0.0</v>
      </c>
      <c r="K1980" s="23" t="s">
        <v>34</v>
      </c>
      <c r="L1980" s="25">
        <v>40387.71738425926</v>
      </c>
      <c r="M1980" s="26" t="s">
        <v>4858</v>
      </c>
      <c r="N1980" s="26" t="s">
        <v>4859</v>
      </c>
      <c r="O1980" s="22" t="str">
        <f>HYPERLINK("https://pbs.twimg.com/profile_images/1807516155/3807535621_52129b3ef3_normal.jpg","View")</f>
        <v>View</v>
      </c>
      <c r="P1980" s="27"/>
    </row>
    <row r="1981">
      <c r="A1981" s="14">
        <v>43031.142592592594</v>
      </c>
      <c r="B1981" s="20" t="str">
        <f>HYPERLINK("https://twitter.com/AshishS29170767","@AshishS29170767")</f>
        <v>@AshishS29170767</v>
      </c>
      <c r="C1981" s="21" t="s">
        <v>4860</v>
      </c>
      <c r="D1981" s="21" t="s">
        <v>42</v>
      </c>
      <c r="E1981" s="22" t="str">
        <f>HYPERLINK("https://twitter.com/AshishS29170767/status/922408592040329216","922408592040329216")</f>
        <v>922408592040329216</v>
      </c>
      <c r="F1981" s="23" t="s">
        <v>33</v>
      </c>
      <c r="G1981" s="24">
        <v>12.0</v>
      </c>
      <c r="H1981" s="24">
        <v>178.0</v>
      </c>
      <c r="I1981" s="24">
        <v>8501.0</v>
      </c>
      <c r="J1981" s="24">
        <v>0.0</v>
      </c>
      <c r="K1981" s="23" t="s">
        <v>34</v>
      </c>
      <c r="L1981" s="25">
        <v>42985.260983796295</v>
      </c>
      <c r="M1981" s="26" t="s">
        <v>4861</v>
      </c>
      <c r="N1981" s="26" t="s">
        <v>4862</v>
      </c>
      <c r="O1981" s="22" t="str">
        <f>HYPERLINK("https://pbs.twimg.com/profile_images/905789034772840448/tFHWt4jd_normal.jpg","View")</f>
        <v>View</v>
      </c>
      <c r="P1981" s="27"/>
    </row>
    <row r="1982">
      <c r="A1982" s="14">
        <v>43031.142638888894</v>
      </c>
      <c r="B1982" s="20" t="str">
        <f>HYPERLINK("https://twitter.com/torontonews3","@torontonews3")</f>
        <v>@torontonews3</v>
      </c>
      <c r="C1982" s="21" t="s">
        <v>4863</v>
      </c>
      <c r="D1982" s="21" t="s">
        <v>4864</v>
      </c>
      <c r="E1982" s="22" t="str">
        <f>HYPERLINK("https://twitter.com/torontonews3/status/922408610549858304","922408610549858304")</f>
        <v>922408610549858304</v>
      </c>
      <c r="F1982" s="23" t="s">
        <v>187</v>
      </c>
      <c r="G1982" s="24">
        <v>1168.0</v>
      </c>
      <c r="H1982" s="24">
        <v>113.0</v>
      </c>
      <c r="I1982" s="24">
        <v>0.0</v>
      </c>
      <c r="J1982" s="24">
        <v>0.0</v>
      </c>
      <c r="K1982" s="23" t="s">
        <v>34</v>
      </c>
      <c r="L1982" s="25">
        <v>42516.41811342593</v>
      </c>
      <c r="M1982" s="28"/>
      <c r="N1982" s="28"/>
      <c r="O1982" s="22" t="str">
        <f>HYPERLINK("https://pbs.twimg.com/profile_images/735879250839019520/5Px4soMS_normal.jpg","View")</f>
        <v>View</v>
      </c>
      <c r="P1982" s="27"/>
    </row>
    <row r="1983">
      <c r="A1983" s="14">
        <v>43031.14268518519</v>
      </c>
      <c r="B1983" s="20" t="str">
        <f>HYPERLINK("https://twitter.com/TheDrunknight","@TheDrunknight")</f>
        <v>@TheDrunknight</v>
      </c>
      <c r="C1983" s="21" t="s">
        <v>4865</v>
      </c>
      <c r="D1983" s="21" t="s">
        <v>42</v>
      </c>
      <c r="E1983" s="22" t="str">
        <f>HYPERLINK("https://twitter.com/TheDrunknight/status/922408625313792001","922408625313792001")</f>
        <v>922408625313792001</v>
      </c>
      <c r="F1983" s="23" t="s">
        <v>39</v>
      </c>
      <c r="G1983" s="24">
        <v>625.0</v>
      </c>
      <c r="H1983" s="24">
        <v>1164.0</v>
      </c>
      <c r="I1983" s="24">
        <v>8501.0</v>
      </c>
      <c r="J1983" s="24">
        <v>0.0</v>
      </c>
      <c r="K1983" s="23" t="s">
        <v>34</v>
      </c>
      <c r="L1983" s="25">
        <v>40028.07136574074</v>
      </c>
      <c r="M1983" s="26" t="s">
        <v>96</v>
      </c>
      <c r="N1983" s="26" t="s">
        <v>4866</v>
      </c>
      <c r="O1983" s="22" t="str">
        <f>HYPERLINK("https://pbs.twimg.com/profile_images/669616518708097024/zJCPUzSc_normal.jpg","View")</f>
        <v>View</v>
      </c>
      <c r="P1983" s="27"/>
    </row>
    <row r="1984">
      <c r="A1984" s="14">
        <v>43031.14268518519</v>
      </c>
      <c r="B1984" s="20" t="str">
        <f>HYPERLINK("https://twitter.com/narendravarma49","@narendravarma49")</f>
        <v>@narendravarma49</v>
      </c>
      <c r="C1984" s="21" t="s">
        <v>4867</v>
      </c>
      <c r="D1984" s="21" t="s">
        <v>42</v>
      </c>
      <c r="E1984" s="22" t="str">
        <f>HYPERLINK("https://twitter.com/narendravarma49/status/922408625598955520","922408625598955520")</f>
        <v>922408625598955520</v>
      </c>
      <c r="F1984" s="23" t="s">
        <v>230</v>
      </c>
      <c r="G1984" s="24">
        <v>914.0</v>
      </c>
      <c r="H1984" s="24">
        <v>281.0</v>
      </c>
      <c r="I1984" s="24">
        <v>8501.0</v>
      </c>
      <c r="J1984" s="24">
        <v>0.0</v>
      </c>
      <c r="K1984" s="23" t="s">
        <v>34</v>
      </c>
      <c r="L1984" s="25">
        <v>41117.30401620371</v>
      </c>
      <c r="M1984" s="28"/>
      <c r="N1984" s="26" t="s">
        <v>4868</v>
      </c>
      <c r="O1984" s="22" t="str">
        <f>HYPERLINK("https://pbs.twimg.com/profile_images/919115322266869762/pFCPIs4t_normal.jpg","View")</f>
        <v>View</v>
      </c>
      <c r="P1984" s="27"/>
    </row>
    <row r="1985">
      <c r="A1985" s="14">
        <v>43031.14270833333</v>
      </c>
      <c r="B1985" s="20" t="str">
        <f>HYPERLINK("https://twitter.com/Nigeriaserve","@Nigeriaserve")</f>
        <v>@Nigeriaserve</v>
      </c>
      <c r="C1985" s="21" t="s">
        <v>4869</v>
      </c>
      <c r="D1985" s="21" t="s">
        <v>4870</v>
      </c>
      <c r="E1985" s="22" t="str">
        <f>HYPERLINK("https://twitter.com/Nigeriaserve/status/922408633752801282","922408633752801282")</f>
        <v>922408633752801282</v>
      </c>
      <c r="F1985" s="30" t="s">
        <v>191</v>
      </c>
      <c r="G1985" s="24">
        <v>22.0</v>
      </c>
      <c r="H1985" s="24">
        <v>97.0</v>
      </c>
      <c r="I1985" s="24">
        <v>0.0</v>
      </c>
      <c r="J1985" s="24">
        <v>0.0</v>
      </c>
      <c r="K1985" s="23" t="s">
        <v>34</v>
      </c>
      <c r="L1985" s="25">
        <v>42606.49119212963</v>
      </c>
      <c r="M1985" s="26" t="s">
        <v>3331</v>
      </c>
      <c r="N1985" s="26" t="s">
        <v>4871</v>
      </c>
      <c r="O1985" s="22" t="str">
        <f>HYPERLINK("https://pbs.twimg.com/profile_images/922447860024700928/xvvZFuRD_normal.jpg","View")</f>
        <v>View</v>
      </c>
      <c r="P1985" s="27"/>
    </row>
    <row r="1986">
      <c r="A1986" s="14">
        <v>43031.142743055556</v>
      </c>
      <c r="B1986" s="20" t="str">
        <f>HYPERLINK("https://twitter.com/NationalWitness","@NationalWitness")</f>
        <v>@NationalWitness</v>
      </c>
      <c r="C1986" s="21" t="s">
        <v>4872</v>
      </c>
      <c r="D1986" s="21" t="s">
        <v>4873</v>
      </c>
      <c r="E1986" s="22" t="str">
        <f>HYPERLINK("https://twitter.com/NationalWitness/status/922408645513629696","922408645513629696")</f>
        <v>922408645513629696</v>
      </c>
      <c r="F1986" s="30" t="s">
        <v>191</v>
      </c>
      <c r="G1986" s="24">
        <v>22.0</v>
      </c>
      <c r="H1986" s="24">
        <v>83.0</v>
      </c>
      <c r="I1986" s="24">
        <v>0.0</v>
      </c>
      <c r="J1986" s="24">
        <v>0.0</v>
      </c>
      <c r="K1986" s="23" t="s">
        <v>34</v>
      </c>
      <c r="L1986" s="25">
        <v>42784.03055555555</v>
      </c>
      <c r="M1986" s="26" t="s">
        <v>708</v>
      </c>
      <c r="N1986" s="26" t="s">
        <v>4874</v>
      </c>
      <c r="O1986" s="22" t="str">
        <f>HYPERLINK("https://pbs.twimg.com/profile_images/835934943322714115/RoKcBmnf_normal.jpg","View")</f>
        <v>View</v>
      </c>
      <c r="P1986" s="27"/>
    </row>
    <row r="1987">
      <c r="A1987" s="14">
        <v>43031.142743055556</v>
      </c>
      <c r="B1987" s="20" t="str">
        <f>HYPERLINK("https://twitter.com/DrRajeshDBhat","@DrRajeshDBhat")</f>
        <v>@DrRajeshDBhat</v>
      </c>
      <c r="C1987" s="21" t="s">
        <v>4875</v>
      </c>
      <c r="D1987" s="21" t="s">
        <v>163</v>
      </c>
      <c r="E1987" s="22" t="str">
        <f>HYPERLINK("https://twitter.com/DrRajeshDBhat/status/922408645572399104","922408645572399104")</f>
        <v>922408645572399104</v>
      </c>
      <c r="F1987" s="23" t="s">
        <v>43</v>
      </c>
      <c r="G1987" s="24">
        <v>906.0</v>
      </c>
      <c r="H1987" s="24">
        <v>642.0</v>
      </c>
      <c r="I1987" s="24">
        <v>1005.0</v>
      </c>
      <c r="J1987" s="24">
        <v>0.0</v>
      </c>
      <c r="K1987" s="23" t="s">
        <v>34</v>
      </c>
      <c r="L1987" s="25">
        <v>41760.521944444445</v>
      </c>
      <c r="M1987" s="28"/>
      <c r="N1987" s="26" t="s">
        <v>4876</v>
      </c>
      <c r="O1987" s="22" t="str">
        <f>HYPERLINK("https://pbs.twimg.com/profile_images/918879339684532224/tKtYLZrU_normal.jpg","View")</f>
        <v>View</v>
      </c>
      <c r="P1987" s="27"/>
    </row>
    <row r="1988">
      <c r="A1988" s="14">
        <v>43031.142812499995</v>
      </c>
      <c r="B1988" s="20" t="str">
        <f>HYPERLINK("https://twitter.com/obsut55465","@obsut55465")</f>
        <v>@obsut55465</v>
      </c>
      <c r="C1988" s="21" t="s">
        <v>4877</v>
      </c>
      <c r="D1988" s="21" t="s">
        <v>82</v>
      </c>
      <c r="E1988" s="22" t="str">
        <f>HYPERLINK("https://twitter.com/obsut55465/status/922408669676838912","922408669676838912")</f>
        <v>922408669676838912</v>
      </c>
      <c r="F1988" s="23" t="s">
        <v>33</v>
      </c>
      <c r="G1988" s="24">
        <v>138.0</v>
      </c>
      <c r="H1988" s="24">
        <v>47.0</v>
      </c>
      <c r="I1988" s="24">
        <v>38.0</v>
      </c>
      <c r="J1988" s="24">
        <v>0.0</v>
      </c>
      <c r="K1988" s="23" t="s">
        <v>34</v>
      </c>
      <c r="L1988" s="25">
        <v>42784.06396990741</v>
      </c>
      <c r="M1988" s="28"/>
      <c r="N1988" s="28"/>
      <c r="O1988" s="22" t="str">
        <f>HYPERLINK("https://pbs.twimg.com/profile_images/912255270545268736/buDgv1po_normal.jpg","View")</f>
        <v>View</v>
      </c>
      <c r="P1988" s="27"/>
    </row>
    <row r="1989">
      <c r="A1989" s="14">
        <v>43031.142905092594</v>
      </c>
      <c r="B1989" s="20" t="str">
        <f>HYPERLINK("https://twitter.com/Harley_Woody","@Harley_Woody")</f>
        <v>@Harley_Woody</v>
      </c>
      <c r="C1989" s="21" t="s">
        <v>4878</v>
      </c>
      <c r="D1989" s="21" t="s">
        <v>4879</v>
      </c>
      <c r="E1989" s="22" t="str">
        <f>HYPERLINK("https://twitter.com/Harley_Woody/status/922408703856439296","922408703856439296")</f>
        <v>922408703856439296</v>
      </c>
      <c r="F1989" s="23" t="s">
        <v>91</v>
      </c>
      <c r="G1989" s="24">
        <v>1779.0</v>
      </c>
      <c r="H1989" s="24">
        <v>133.0</v>
      </c>
      <c r="I1989" s="24">
        <v>0.0</v>
      </c>
      <c r="J1989" s="24">
        <v>0.0</v>
      </c>
      <c r="K1989" s="23" t="s">
        <v>34</v>
      </c>
      <c r="L1989" s="25">
        <v>41405.26681712963</v>
      </c>
      <c r="M1989" s="26" t="s">
        <v>4880</v>
      </c>
      <c r="N1989" s="26" t="s">
        <v>4881</v>
      </c>
      <c r="O1989" s="22" t="str">
        <f>HYPERLINK("https://pbs.twimg.com/profile_images/847938778140377089/gwPJD2OM_normal.jpg","View")</f>
        <v>View</v>
      </c>
      <c r="P1989" s="27"/>
    </row>
    <row r="1990">
      <c r="A1990" s="14">
        <v>43031.14295138889</v>
      </c>
      <c r="B1990" s="20" t="str">
        <f>HYPERLINK("https://twitter.com/srinivaspbs","@srinivaspbs")</f>
        <v>@srinivaspbs</v>
      </c>
      <c r="C1990" s="21" t="s">
        <v>4882</v>
      </c>
      <c r="D1990" s="21" t="s">
        <v>42</v>
      </c>
      <c r="E1990" s="22" t="str">
        <f>HYPERLINK("https://twitter.com/srinivaspbs/status/922408721422020609","922408721422020609")</f>
        <v>922408721422020609</v>
      </c>
      <c r="F1990" s="23" t="s">
        <v>39</v>
      </c>
      <c r="G1990" s="24">
        <v>338.0</v>
      </c>
      <c r="H1990" s="24">
        <v>457.0</v>
      </c>
      <c r="I1990" s="24">
        <v>8501.0</v>
      </c>
      <c r="J1990" s="24">
        <v>0.0</v>
      </c>
      <c r="K1990" s="23" t="s">
        <v>34</v>
      </c>
      <c r="L1990" s="25">
        <v>40907.23318287037</v>
      </c>
      <c r="M1990" s="28"/>
      <c r="N1990" s="28"/>
      <c r="O1990" s="22" t="str">
        <f>HYPERLINK("https://pbs.twimg.com/profile_images/544508582918492160/5yPd0tyz_normal.jpeg","View")</f>
        <v>View</v>
      </c>
      <c r="P1990" s="27"/>
    </row>
    <row r="1991">
      <c r="A1991" s="14">
        <v>43031.14302083333</v>
      </c>
      <c r="B1991" s="20" t="str">
        <f>HYPERLINK("https://twitter.com/AnuragM16A5","@AnuragM16A5")</f>
        <v>@AnuragM16A5</v>
      </c>
      <c r="C1991" s="21" t="s">
        <v>4883</v>
      </c>
      <c r="D1991" s="21" t="s">
        <v>42</v>
      </c>
      <c r="E1991" s="22" t="str">
        <f>HYPERLINK("https://twitter.com/AnuragM16A5/status/922408747867054080","922408747867054080")</f>
        <v>922408747867054080</v>
      </c>
      <c r="F1991" s="23" t="s">
        <v>33</v>
      </c>
      <c r="G1991" s="24">
        <v>13.0</v>
      </c>
      <c r="H1991" s="24">
        <v>71.0</v>
      </c>
      <c r="I1991" s="24">
        <v>8501.0</v>
      </c>
      <c r="J1991" s="24">
        <v>0.0</v>
      </c>
      <c r="K1991" s="23" t="s">
        <v>34</v>
      </c>
      <c r="L1991" s="25">
        <v>42929.9103125</v>
      </c>
      <c r="M1991" s="26" t="s">
        <v>575</v>
      </c>
      <c r="N1991" s="28"/>
      <c r="O1991" s="22" t="str">
        <f>HYPERLINK("https://pbs.twimg.com/profile_images/885734686080630785/V7u62tTN_normal.jpg","View")</f>
        <v>View</v>
      </c>
      <c r="P1991" s="27"/>
    </row>
    <row r="1992">
      <c r="A1992" s="14">
        <v>43031.14304398149</v>
      </c>
      <c r="B1992" s="20" t="str">
        <f>HYPERLINK("https://twitter.com/fadhilrimba","@fadhilrimba")</f>
        <v>@fadhilrimba</v>
      </c>
      <c r="C1992" s="21" t="s">
        <v>4884</v>
      </c>
      <c r="D1992" s="21" t="s">
        <v>32</v>
      </c>
      <c r="E1992" s="22" t="str">
        <f>HYPERLINK("https://twitter.com/fadhilrimba/status/922408755433582592","922408755433582592")</f>
        <v>922408755433582592</v>
      </c>
      <c r="F1992" s="23" t="s">
        <v>33</v>
      </c>
      <c r="G1992" s="24">
        <v>86.0</v>
      </c>
      <c r="H1992" s="24">
        <v>250.0</v>
      </c>
      <c r="I1992" s="24">
        <v>471.0</v>
      </c>
      <c r="J1992" s="24">
        <v>0.0</v>
      </c>
      <c r="K1992" s="23" t="s">
        <v>34</v>
      </c>
      <c r="L1992" s="25">
        <v>42022.0772337963</v>
      </c>
      <c r="M1992" s="26" t="s">
        <v>4885</v>
      </c>
      <c r="N1992" s="28"/>
      <c r="O1992" s="22" t="str">
        <f>HYPERLINK("https://pbs.twimg.com/profile_images/917839940091772928/A2ybD0bi_normal.jpg","View")</f>
        <v>View</v>
      </c>
      <c r="P1992" s="27"/>
    </row>
    <row r="1993">
      <c r="A1993" s="14">
        <v>43031.14310185185</v>
      </c>
      <c r="B1993" s="20" t="str">
        <f>HYPERLINK("https://twitter.com/choprasatbir","@choprasatbir")</f>
        <v>@choprasatbir</v>
      </c>
      <c r="C1993" s="21" t="s">
        <v>4886</v>
      </c>
      <c r="D1993" s="21" t="s">
        <v>42</v>
      </c>
      <c r="E1993" s="22" t="str">
        <f>HYPERLINK("https://twitter.com/choprasatbir/status/922408774538747904","922408774538747904")</f>
        <v>922408774538747904</v>
      </c>
      <c r="F1993" s="23" t="s">
        <v>39</v>
      </c>
      <c r="G1993" s="24">
        <v>137.0</v>
      </c>
      <c r="H1993" s="24">
        <v>49.0</v>
      </c>
      <c r="I1993" s="24">
        <v>8501.0</v>
      </c>
      <c r="J1993" s="24">
        <v>0.0</v>
      </c>
      <c r="K1993" s="23" t="s">
        <v>34</v>
      </c>
      <c r="L1993" s="25">
        <v>40214.97351851852</v>
      </c>
      <c r="M1993" s="26" t="s">
        <v>4887</v>
      </c>
      <c r="N1993" s="26" t="s">
        <v>4888</v>
      </c>
      <c r="O1993" s="22" t="str">
        <f>HYPERLINK("https://pbs.twimg.com/profile_images/886275473524670464/BnNYPSxD_normal.jpg","View")</f>
        <v>View</v>
      </c>
      <c r="P1993" s="27"/>
    </row>
    <row r="1994">
      <c r="A1994" s="14">
        <v>43031.14310185185</v>
      </c>
      <c r="B1994" s="20" t="str">
        <f>HYPERLINK("https://twitter.com/WorldNewsNgayon","@WorldNewsNgayon")</f>
        <v>@WorldNewsNgayon</v>
      </c>
      <c r="C1994" s="21" t="s">
        <v>4889</v>
      </c>
      <c r="D1994" s="21" t="s">
        <v>4890</v>
      </c>
      <c r="E1994" s="22" t="str">
        <f>HYPERLINK("https://twitter.com/WorldNewsNgayon/status/922408776640188416","922408776640188416")</f>
        <v>922408776640188416</v>
      </c>
      <c r="F1994" s="23" t="s">
        <v>187</v>
      </c>
      <c r="G1994" s="24">
        <v>1177.0</v>
      </c>
      <c r="H1994" s="24">
        <v>9.0</v>
      </c>
      <c r="I1994" s="24">
        <v>0.0</v>
      </c>
      <c r="J1994" s="24">
        <v>0.0</v>
      </c>
      <c r="K1994" s="23" t="s">
        <v>34</v>
      </c>
      <c r="L1994" s="25">
        <v>41174.847233796296</v>
      </c>
      <c r="M1994" s="26" t="s">
        <v>3507</v>
      </c>
      <c r="N1994" s="26" t="s">
        <v>4891</v>
      </c>
      <c r="O1994" s="22" t="str">
        <f>HYPERLINK("https://pbs.twimg.com/profile_images/425420772534784000/_u4Vu6V1_normal.jpeg","View")</f>
        <v>View</v>
      </c>
      <c r="P1994" s="27"/>
    </row>
    <row r="1995">
      <c r="A1995" s="14">
        <v>43031.143113425926</v>
      </c>
      <c r="B1995" s="20" t="str">
        <f>HYPERLINK("https://twitter.com/drimdrim439","@drimdrim439")</f>
        <v>@drimdrim439</v>
      </c>
      <c r="C1995" s="21" t="s">
        <v>4892</v>
      </c>
      <c r="D1995" s="21" t="s">
        <v>42</v>
      </c>
      <c r="E1995" s="22" t="str">
        <f>HYPERLINK("https://twitter.com/drimdrim439/status/922408779441831936","922408779441831936")</f>
        <v>922408779441831936</v>
      </c>
      <c r="F1995" s="23" t="s">
        <v>33</v>
      </c>
      <c r="G1995" s="24">
        <v>142.0</v>
      </c>
      <c r="H1995" s="24">
        <v>144.0</v>
      </c>
      <c r="I1995" s="24">
        <v>8501.0</v>
      </c>
      <c r="J1995" s="24">
        <v>0.0</v>
      </c>
      <c r="K1995" s="23" t="s">
        <v>34</v>
      </c>
      <c r="L1995" s="25">
        <v>42170.52496527778</v>
      </c>
      <c r="M1995" s="26" t="s">
        <v>4893</v>
      </c>
      <c r="N1995" s="26" t="s">
        <v>4894</v>
      </c>
      <c r="O1995" s="22" t="str">
        <f>HYPERLINK("https://pbs.twimg.com/profile_images/833968348513738752/6Prn0Dxy_normal.jpg","View")</f>
        <v>View</v>
      </c>
      <c r="P1995" s="27"/>
    </row>
    <row r="1996">
      <c r="A1996" s="14">
        <v>43031.14314814815</v>
      </c>
      <c r="B1996" s="20" t="str">
        <f>HYPERLINK("https://twitter.com/mp3010","@mp3010")</f>
        <v>@mp3010</v>
      </c>
      <c r="C1996" s="21" t="s">
        <v>4895</v>
      </c>
      <c r="D1996" s="21" t="s">
        <v>42</v>
      </c>
      <c r="E1996" s="22" t="str">
        <f>HYPERLINK("https://twitter.com/mp3010/status/922408794541322241","922408794541322241")</f>
        <v>922408794541322241</v>
      </c>
      <c r="F1996" s="23" t="s">
        <v>39</v>
      </c>
      <c r="G1996" s="24">
        <v>22.0</v>
      </c>
      <c r="H1996" s="24">
        <v>124.0</v>
      </c>
      <c r="I1996" s="24">
        <v>8501.0</v>
      </c>
      <c r="J1996" s="24">
        <v>0.0</v>
      </c>
      <c r="K1996" s="23" t="s">
        <v>34</v>
      </c>
      <c r="L1996" s="25">
        <v>40783.466840277775</v>
      </c>
      <c r="M1996" s="28"/>
      <c r="N1996" s="26" t="s">
        <v>4896</v>
      </c>
      <c r="O1996" s="22" t="str">
        <f>HYPERLINK("https://abs.twimg.com/sticky/default_profile_images/default_profile_normal.png","View")</f>
        <v>View</v>
      </c>
      <c r="P1996" s="27"/>
    </row>
    <row r="1997">
      <c r="A1997" s="14">
        <v>43031.14321759259</v>
      </c>
      <c r="B1997" s="20" t="str">
        <f>HYPERLINK("https://twitter.com/Nigeriaserve","@Nigeriaserve")</f>
        <v>@Nigeriaserve</v>
      </c>
      <c r="C1997" s="21" t="s">
        <v>4869</v>
      </c>
      <c r="D1997" s="21" t="s">
        <v>4897</v>
      </c>
      <c r="E1997" s="22" t="str">
        <f>HYPERLINK("https://twitter.com/Nigeriaserve/status/922408819522768897","922408819522768897")</f>
        <v>922408819522768897</v>
      </c>
      <c r="F1997" s="30" t="s">
        <v>191</v>
      </c>
      <c r="G1997" s="24">
        <v>22.0</v>
      </c>
      <c r="H1997" s="24">
        <v>97.0</v>
      </c>
      <c r="I1997" s="24">
        <v>0.0</v>
      </c>
      <c r="J1997" s="24">
        <v>0.0</v>
      </c>
      <c r="K1997" s="23" t="s">
        <v>34</v>
      </c>
      <c r="L1997" s="25">
        <v>42606.49119212963</v>
      </c>
      <c r="M1997" s="26" t="s">
        <v>3331</v>
      </c>
      <c r="N1997" s="26" t="s">
        <v>4871</v>
      </c>
      <c r="O1997" s="22" t="str">
        <f>HYPERLINK("https://pbs.twimg.com/profile_images/922447860024700928/xvvZFuRD_normal.jpg","View")</f>
        <v>View</v>
      </c>
      <c r="P1997" s="27"/>
    </row>
    <row r="1998">
      <c r="A1998" s="14">
        <v>43031.14322916667</v>
      </c>
      <c r="B1998" s="20" t="str">
        <f>HYPERLINK("https://twitter.com/rahovitis","@rahovitis")</f>
        <v>@rahovitis</v>
      </c>
      <c r="C1998" s="21" t="s">
        <v>4898</v>
      </c>
      <c r="D1998" s="21" t="s">
        <v>4899</v>
      </c>
      <c r="E1998" s="22" t="str">
        <f>HYPERLINK("https://twitter.com/rahovitis/status/922408822563581952","922408822563581952")</f>
        <v>922408822563581952</v>
      </c>
      <c r="F1998" s="23" t="s">
        <v>55</v>
      </c>
      <c r="G1998" s="24">
        <v>760.0</v>
      </c>
      <c r="H1998" s="24">
        <v>1300.0</v>
      </c>
      <c r="I1998" s="24">
        <v>0.0</v>
      </c>
      <c r="J1998" s="24">
        <v>0.0</v>
      </c>
      <c r="K1998" s="23" t="s">
        <v>34</v>
      </c>
      <c r="L1998" s="25">
        <v>39916.12944444444</v>
      </c>
      <c r="M1998" s="26" t="s">
        <v>4900</v>
      </c>
      <c r="N1998" s="26" t="s">
        <v>4901</v>
      </c>
      <c r="O1998" s="22" t="str">
        <f>HYPERLINK("https://pbs.twimg.com/profile_images/2992142295/7f9535ed518a97209f9484fd7a3a35b4_normal.jpeg","View")</f>
        <v>View</v>
      </c>
      <c r="P1998" s="27"/>
    </row>
    <row r="1999">
      <c r="A1999" s="14">
        <v>43031.143275462964</v>
      </c>
      <c r="B1999" s="20" t="str">
        <f>HYPERLINK("https://twitter.com/vibinnair1","@vibinnair1")</f>
        <v>@vibinnair1</v>
      </c>
      <c r="C1999" s="21" t="s">
        <v>4902</v>
      </c>
      <c r="D1999" s="21" t="s">
        <v>42</v>
      </c>
      <c r="E1999" s="22" t="str">
        <f>HYPERLINK("https://twitter.com/vibinnair1/status/922408840079044608","922408840079044608")</f>
        <v>922408840079044608</v>
      </c>
      <c r="F1999" s="23" t="s">
        <v>39</v>
      </c>
      <c r="G1999" s="24">
        <v>23.0</v>
      </c>
      <c r="H1999" s="24">
        <v>45.0</v>
      </c>
      <c r="I1999" s="24">
        <v>8501.0</v>
      </c>
      <c r="J1999" s="24">
        <v>0.0</v>
      </c>
      <c r="K1999" s="23" t="s">
        <v>34</v>
      </c>
      <c r="L1999" s="25">
        <v>40293.17092592592</v>
      </c>
      <c r="M1999" s="26" t="s">
        <v>2967</v>
      </c>
      <c r="N1999" s="26" t="s">
        <v>718</v>
      </c>
      <c r="O1999" s="22" t="str">
        <f>HYPERLINK("https://pbs.twimg.com/profile_images/917097028706078720/Eknkscdc_normal.jpg","View")</f>
        <v>View</v>
      </c>
      <c r="P1999" s="27"/>
    </row>
    <row r="2000">
      <c r="A2000" s="14">
        <v>43031.143275462964</v>
      </c>
      <c r="B2000" s="20" t="str">
        <f>HYPERLINK("https://twitter.com/sareesh23","@sareesh23")</f>
        <v>@sareesh23</v>
      </c>
      <c r="C2000" s="21" t="s">
        <v>4903</v>
      </c>
      <c r="D2000" s="21" t="s">
        <v>42</v>
      </c>
      <c r="E2000" s="22" t="str">
        <f>HYPERLINK("https://twitter.com/sareesh23/status/922408840385011713","922408840385011713")</f>
        <v>922408840385011713</v>
      </c>
      <c r="F2000" s="23" t="s">
        <v>39</v>
      </c>
      <c r="G2000" s="24">
        <v>424.0</v>
      </c>
      <c r="H2000" s="24">
        <v>945.0</v>
      </c>
      <c r="I2000" s="24">
        <v>8501.0</v>
      </c>
      <c r="J2000" s="24">
        <v>0.0</v>
      </c>
      <c r="K2000" s="23" t="s">
        <v>34</v>
      </c>
      <c r="L2000" s="25">
        <v>40220.31538194444</v>
      </c>
      <c r="M2000" s="26" t="s">
        <v>1545</v>
      </c>
      <c r="N2000" s="26" t="s">
        <v>4904</v>
      </c>
      <c r="O2000" s="22" t="str">
        <f>HYPERLINK("https://pbs.twimg.com/profile_images/716684837411807233/Fw32M-7b_normal.jpg","View")</f>
        <v>View</v>
      </c>
      <c r="P2000" s="27"/>
    </row>
    <row r="2001">
      <c r="A2001" s="14">
        <v>43031.143437499995</v>
      </c>
      <c r="B2001" s="20" t="str">
        <f>HYPERLINK("https://twitter.com/kapilspawar","@kapilspawar")</f>
        <v>@kapilspawar</v>
      </c>
      <c r="C2001" s="21" t="s">
        <v>4905</v>
      </c>
      <c r="D2001" s="21" t="s">
        <v>42</v>
      </c>
      <c r="E2001" s="22" t="str">
        <f>HYPERLINK("https://twitter.com/kapilspawar/status/922408898803351553","922408898803351553")</f>
        <v>922408898803351553</v>
      </c>
      <c r="F2001" s="23" t="s">
        <v>33</v>
      </c>
      <c r="G2001" s="24">
        <v>94.0</v>
      </c>
      <c r="H2001" s="24">
        <v>197.0</v>
      </c>
      <c r="I2001" s="24">
        <v>8501.0</v>
      </c>
      <c r="J2001" s="24">
        <v>0.0</v>
      </c>
      <c r="K2001" s="23" t="s">
        <v>34</v>
      </c>
      <c r="L2001" s="25">
        <v>40092.29048611111</v>
      </c>
      <c r="M2001" s="26" t="s">
        <v>4906</v>
      </c>
      <c r="N2001" s="28"/>
      <c r="O2001" s="22" t="str">
        <f>HYPERLINK("https://abs.twimg.com/sticky/default_profile_images/default_profile_normal.png","View")</f>
        <v>View</v>
      </c>
      <c r="P2001" s="27"/>
    </row>
    <row r="2002">
      <c r="A2002" s="14">
        <v>43031.14355324074</v>
      </c>
      <c r="B2002" s="20" t="str">
        <f>HYPERLINK("https://twitter.com/torillo59","@torillo59")</f>
        <v>@torillo59</v>
      </c>
      <c r="C2002" s="21" t="s">
        <v>4907</v>
      </c>
      <c r="D2002" s="21" t="s">
        <v>4908</v>
      </c>
      <c r="E2002" s="22" t="str">
        <f>HYPERLINK("https://twitter.com/torillo59/status/922408940746498048","922408940746498048")</f>
        <v>922408940746498048</v>
      </c>
      <c r="F2002" s="23" t="s">
        <v>55</v>
      </c>
      <c r="G2002" s="24">
        <v>30295.0</v>
      </c>
      <c r="H2002" s="24">
        <v>33219.0</v>
      </c>
      <c r="I2002" s="24">
        <v>0.0</v>
      </c>
      <c r="J2002" s="24">
        <v>1.0</v>
      </c>
      <c r="K2002" s="23" t="s">
        <v>34</v>
      </c>
      <c r="L2002" s="25">
        <v>41725.38822916667</v>
      </c>
      <c r="M2002" s="28"/>
      <c r="N2002" s="26" t="s">
        <v>4909</v>
      </c>
      <c r="O2002" s="22" t="str">
        <f>HYPERLINK("https://pbs.twimg.com/profile_images/449559958980280320/t09lzAY1_normal.jpeg","View")</f>
        <v>View</v>
      </c>
      <c r="P2002" s="27"/>
    </row>
    <row r="2003">
      <c r="A2003" s="14">
        <v>43031.14356481482</v>
      </c>
      <c r="B2003" s="20" t="str">
        <f>HYPERLINK("https://twitter.com/bllshbrsh","@bllshbrsh")</f>
        <v>@bllshbrsh</v>
      </c>
      <c r="C2003" s="21" t="s">
        <v>138</v>
      </c>
      <c r="D2003" s="21" t="s">
        <v>4910</v>
      </c>
      <c r="E2003" s="22" t="str">
        <f>HYPERLINK("https://twitter.com/bllshbrsh/status/922408944320106497","922408944320106497")</f>
        <v>922408944320106497</v>
      </c>
      <c r="F2003" s="23" t="s">
        <v>140</v>
      </c>
      <c r="G2003" s="24">
        <v>6148.0</v>
      </c>
      <c r="H2003" s="24">
        <v>6416.0</v>
      </c>
      <c r="I2003" s="24">
        <v>0.0</v>
      </c>
      <c r="J2003" s="24">
        <v>0.0</v>
      </c>
      <c r="K2003" s="23" t="s">
        <v>34</v>
      </c>
      <c r="L2003" s="25">
        <v>42682.29137731482</v>
      </c>
      <c r="M2003" s="28"/>
      <c r="N2003" s="28"/>
      <c r="O2003" s="22" t="str">
        <f>HYPERLINK("https://pbs.twimg.com/profile_images/825303907752673284/OSI50AgE_normal.jpg","View")</f>
        <v>View</v>
      </c>
      <c r="P2003" s="27"/>
    </row>
    <row r="2004">
      <c r="A2004" s="14">
        <v>43031.143645833334</v>
      </c>
      <c r="B2004" s="20" t="str">
        <f>HYPERLINK("https://twitter.com/Er_GauravSaraf","@Er_GauravSaraf")</f>
        <v>@Er_GauravSaraf</v>
      </c>
      <c r="C2004" s="21" t="s">
        <v>4911</v>
      </c>
      <c r="D2004" s="21" t="s">
        <v>42</v>
      </c>
      <c r="E2004" s="22" t="str">
        <f>HYPERLINK("https://twitter.com/Er_GauravSaraf/status/922408972081971200","922408972081971200")</f>
        <v>922408972081971200</v>
      </c>
      <c r="F2004" s="23" t="s">
        <v>39</v>
      </c>
      <c r="G2004" s="24">
        <v>156.0</v>
      </c>
      <c r="H2004" s="24">
        <v>244.0</v>
      </c>
      <c r="I2004" s="24">
        <v>8501.0</v>
      </c>
      <c r="J2004" s="24">
        <v>0.0</v>
      </c>
      <c r="K2004" s="23" t="s">
        <v>34</v>
      </c>
      <c r="L2004" s="25">
        <v>41439.92291666666</v>
      </c>
      <c r="M2004" s="26" t="s">
        <v>4912</v>
      </c>
      <c r="N2004" s="26" t="s">
        <v>4913</v>
      </c>
      <c r="O2004" s="22" t="str">
        <f>HYPERLINK("https://pbs.twimg.com/profile_images/778242786814365696/f2pays7O_normal.jpg","View")</f>
        <v>View</v>
      </c>
      <c r="P2004" s="27"/>
    </row>
    <row r="2005">
      <c r="A2005" s="14">
        <v>43031.14366898148</v>
      </c>
      <c r="B2005" s="20" t="str">
        <f>HYPERLINK("https://twitter.com/virvikram","@virvikram")</f>
        <v>@virvikram</v>
      </c>
      <c r="C2005" s="21" t="s">
        <v>4914</v>
      </c>
      <c r="D2005" s="21" t="s">
        <v>42</v>
      </c>
      <c r="E2005" s="22" t="str">
        <f>HYPERLINK("https://twitter.com/virvikram/status/922408983465463810","922408983465463810")</f>
        <v>922408983465463810</v>
      </c>
      <c r="F2005" s="23" t="s">
        <v>39</v>
      </c>
      <c r="G2005" s="24">
        <v>671.0</v>
      </c>
      <c r="H2005" s="24">
        <v>741.0</v>
      </c>
      <c r="I2005" s="24">
        <v>8501.0</v>
      </c>
      <c r="J2005" s="24">
        <v>0.0</v>
      </c>
      <c r="K2005" s="23" t="s">
        <v>34</v>
      </c>
      <c r="L2005" s="25">
        <v>39544.99550925926</v>
      </c>
      <c r="M2005" s="26" t="s">
        <v>1308</v>
      </c>
      <c r="N2005" s="28"/>
      <c r="O2005" s="22" t="str">
        <f>HYPERLINK("https://pbs.twimg.com/profile_images/839513955651444736/bwGfI1rA_normal.jpg","View")</f>
        <v>View</v>
      </c>
      <c r="P2005" s="27"/>
    </row>
    <row r="2006">
      <c r="A2006" s="14">
        <v>43031.143738425926</v>
      </c>
      <c r="B2006" s="20" t="str">
        <f>HYPERLINK("https://twitter.com/himanshuFeb29","@himanshuFeb29")</f>
        <v>@himanshuFeb29</v>
      </c>
      <c r="C2006" s="21" t="s">
        <v>4915</v>
      </c>
      <c r="D2006" s="21" t="s">
        <v>42</v>
      </c>
      <c r="E2006" s="22" t="str">
        <f>HYPERLINK("https://twitter.com/himanshuFeb29/status/922409008752877571","922409008752877571")</f>
        <v>922409008752877571</v>
      </c>
      <c r="F2006" s="23" t="s">
        <v>33</v>
      </c>
      <c r="G2006" s="24">
        <v>4.0</v>
      </c>
      <c r="H2006" s="24">
        <v>19.0</v>
      </c>
      <c r="I2006" s="24">
        <v>8501.0</v>
      </c>
      <c r="J2006" s="24">
        <v>0.0</v>
      </c>
      <c r="K2006" s="23" t="s">
        <v>34</v>
      </c>
      <c r="L2006" s="25">
        <v>41834.15943287037</v>
      </c>
      <c r="M2006" s="28"/>
      <c r="N2006" s="28"/>
      <c r="O2006" s="22" t="str">
        <f>HYPERLINK("https://pbs.twimg.com/profile_images/902840058180284416/pZMezMSO_normal.jpg","View")</f>
        <v>View</v>
      </c>
      <c r="P2006" s="27"/>
    </row>
    <row r="2007">
      <c r="A2007" s="14">
        <v>43031.14377314815</v>
      </c>
      <c r="B2007" s="20" t="str">
        <f>HYPERLINK("https://twitter.com/RAKESHKKUSHWAH","@RAKESHKKUSHWAH")</f>
        <v>@RAKESHKKUSHWAH</v>
      </c>
      <c r="C2007" s="21" t="s">
        <v>4850</v>
      </c>
      <c r="D2007" s="21" t="s">
        <v>430</v>
      </c>
      <c r="E2007" s="22" t="str">
        <f>HYPERLINK("https://twitter.com/RAKESHKKUSHWAH/status/922409018085089280","922409018085089280")</f>
        <v>922409018085089280</v>
      </c>
      <c r="F2007" s="23" t="s">
        <v>33</v>
      </c>
      <c r="G2007" s="24">
        <v>179.0</v>
      </c>
      <c r="H2007" s="24">
        <v>250.0</v>
      </c>
      <c r="I2007" s="24">
        <v>62.0</v>
      </c>
      <c r="J2007" s="24">
        <v>0.0</v>
      </c>
      <c r="K2007" s="23" t="s">
        <v>34</v>
      </c>
      <c r="L2007" s="25">
        <v>42987.103680555556</v>
      </c>
      <c r="M2007" s="26" t="s">
        <v>1633</v>
      </c>
      <c r="N2007" s="26" t="s">
        <v>4851</v>
      </c>
      <c r="O2007" s="22" t="str">
        <f>HYPERLINK("https://pbs.twimg.com/profile_images/916350935567286272/tHMm7oYS_normal.jpg","View")</f>
        <v>View</v>
      </c>
      <c r="P2007" s="27"/>
    </row>
    <row r="2008">
      <c r="A2008" s="14">
        <v>43031.143784722226</v>
      </c>
      <c r="B2008" s="20" t="str">
        <f>HYPERLINK("https://twitter.com/Padmarajuchala1","@Padmarajuchala1")</f>
        <v>@Padmarajuchala1</v>
      </c>
      <c r="C2008" s="21" t="s">
        <v>4916</v>
      </c>
      <c r="D2008" s="21" t="s">
        <v>42</v>
      </c>
      <c r="E2008" s="22" t="str">
        <f>HYPERLINK("https://twitter.com/Padmarajuchala1/status/922409022556270593","922409022556270593")</f>
        <v>922409022556270593</v>
      </c>
      <c r="F2008" s="23" t="s">
        <v>33</v>
      </c>
      <c r="G2008" s="24">
        <v>33.0</v>
      </c>
      <c r="H2008" s="24">
        <v>74.0</v>
      </c>
      <c r="I2008" s="24">
        <v>8501.0</v>
      </c>
      <c r="J2008" s="24">
        <v>0.0</v>
      </c>
      <c r="K2008" s="23" t="s">
        <v>34</v>
      </c>
      <c r="L2008" s="25">
        <v>42934.09917824074</v>
      </c>
      <c r="M2008" s="28"/>
      <c r="N2008" s="28"/>
      <c r="O2008" s="22" t="str">
        <f>HYPERLINK("https://pbs.twimg.com/profile_images/887246937589559296/Myjne2bY_normal.jpg","View")</f>
        <v>View</v>
      </c>
      <c r="P2008" s="27"/>
    </row>
    <row r="2009">
      <c r="A2009" s="14">
        <v>43031.143796296295</v>
      </c>
      <c r="B2009" s="20" t="str">
        <f>HYPERLINK("https://twitter.com/EggmanOrWalrus","@EggmanOrWalrus")</f>
        <v>@EggmanOrWalrus</v>
      </c>
      <c r="C2009" s="21" t="s">
        <v>4917</v>
      </c>
      <c r="D2009" s="21" t="s">
        <v>4918</v>
      </c>
      <c r="E2009" s="22" t="str">
        <f>HYPERLINK("https://twitter.com/EggmanOrWalrus/status/922409026339696640","922409026339696640")</f>
        <v>922409026339696640</v>
      </c>
      <c r="F2009" s="23" t="s">
        <v>4919</v>
      </c>
      <c r="G2009" s="24">
        <v>149.0</v>
      </c>
      <c r="H2009" s="24">
        <v>35.0</v>
      </c>
      <c r="I2009" s="24">
        <v>0.0</v>
      </c>
      <c r="J2009" s="24">
        <v>0.0</v>
      </c>
      <c r="K2009" s="23" t="s">
        <v>34</v>
      </c>
      <c r="L2009" s="25">
        <v>39883.69174768518</v>
      </c>
      <c r="M2009" s="26" t="s">
        <v>4920</v>
      </c>
      <c r="N2009" s="26" t="s">
        <v>4921</v>
      </c>
      <c r="O2009" s="22" t="str">
        <f>HYPERLINK("https://pbs.twimg.com/profile_images/805175433767567360/yLKWytM0_normal.jpg","View")</f>
        <v>View</v>
      </c>
      <c r="P2009" s="27"/>
    </row>
    <row r="2010">
      <c r="A2010" s="14">
        <v>43031.143807870365</v>
      </c>
      <c r="B2010" s="20" t="str">
        <f>HYPERLINK("https://twitter.com/HillaryNewss","@HillaryNewss")</f>
        <v>@HillaryNewss</v>
      </c>
      <c r="C2010" s="21" t="s">
        <v>4922</v>
      </c>
      <c r="D2010" s="21" t="s">
        <v>4923</v>
      </c>
      <c r="E2010" s="22" t="str">
        <f>HYPERLINK("https://twitter.com/HillaryNewss/status/922409031414693888","922409031414693888")</f>
        <v>922409031414693888</v>
      </c>
      <c r="F2010" s="30" t="s">
        <v>411</v>
      </c>
      <c r="G2010" s="24">
        <v>6530.0</v>
      </c>
      <c r="H2010" s="24">
        <v>5827.0</v>
      </c>
      <c r="I2010" s="24">
        <v>0.0</v>
      </c>
      <c r="J2010" s="24">
        <v>0.0</v>
      </c>
      <c r="K2010" s="23" t="s">
        <v>34</v>
      </c>
      <c r="L2010" s="25">
        <v>41318.50355324074</v>
      </c>
      <c r="M2010" s="26" t="s">
        <v>4924</v>
      </c>
      <c r="N2010" s="26" t="s">
        <v>4925</v>
      </c>
      <c r="O2010" s="22" t="str">
        <f>HYPERLINK("https://pbs.twimg.com/profile_images/792916259700637696/UQCOiyjM_normal.jpg","View")</f>
        <v>View</v>
      </c>
      <c r="P2010" s="27"/>
    </row>
    <row r="2011">
      <c r="A2011" s="14">
        <v>43031.143807870365</v>
      </c>
      <c r="B2011" s="20" t="str">
        <f>HYPERLINK("https://twitter.com/kulaniruddha","@kulaniruddha")</f>
        <v>@kulaniruddha</v>
      </c>
      <c r="C2011" s="21" t="s">
        <v>4926</v>
      </c>
      <c r="D2011" s="21" t="s">
        <v>163</v>
      </c>
      <c r="E2011" s="22" t="str">
        <f>HYPERLINK("https://twitter.com/kulaniruddha/status/922409032387719168","922409032387719168")</f>
        <v>922409032387719168</v>
      </c>
      <c r="F2011" s="23" t="s">
        <v>33</v>
      </c>
      <c r="G2011" s="24">
        <v>342.0</v>
      </c>
      <c r="H2011" s="24">
        <v>156.0</v>
      </c>
      <c r="I2011" s="24">
        <v>1005.0</v>
      </c>
      <c r="J2011" s="24">
        <v>0.0</v>
      </c>
      <c r="K2011" s="23" t="s">
        <v>34</v>
      </c>
      <c r="L2011" s="25">
        <v>40238.90590277778</v>
      </c>
      <c r="M2011" s="26" t="s">
        <v>4927</v>
      </c>
      <c r="N2011" s="26" t="s">
        <v>4928</v>
      </c>
      <c r="O2011" s="22" t="str">
        <f>HYPERLINK("https://pbs.twimg.com/profile_images/768759138524418048/EprOg4Qo_normal.jpg","View")</f>
        <v>View</v>
      </c>
      <c r="P2011" s="27"/>
    </row>
    <row r="2012">
      <c r="A2012" s="14">
        <v>43031.143807870365</v>
      </c>
      <c r="B2012" s="20" t="str">
        <f>HYPERLINK("https://twitter.com/ajaysharma5316","@ajaysharma5316")</f>
        <v>@ajaysharma5316</v>
      </c>
      <c r="C2012" s="21" t="s">
        <v>4929</v>
      </c>
      <c r="D2012" s="21" t="s">
        <v>42</v>
      </c>
      <c r="E2012" s="22" t="str">
        <f>HYPERLINK("https://twitter.com/ajaysharma5316/status/922409033012731905","922409033012731905")</f>
        <v>922409033012731905</v>
      </c>
      <c r="F2012" s="23" t="s">
        <v>33</v>
      </c>
      <c r="G2012" s="24">
        <v>791.0</v>
      </c>
      <c r="H2012" s="24">
        <v>2819.0</v>
      </c>
      <c r="I2012" s="24">
        <v>8501.0</v>
      </c>
      <c r="J2012" s="24">
        <v>0.0</v>
      </c>
      <c r="K2012" s="23" t="s">
        <v>34</v>
      </c>
      <c r="L2012" s="25">
        <v>42743.062997685185</v>
      </c>
      <c r="M2012" s="28"/>
      <c r="N2012" s="26" t="s">
        <v>4930</v>
      </c>
      <c r="O2012" s="22" t="str">
        <f>HYPERLINK("https://pbs.twimg.com/profile_images/839808042149478400/0GEy46ul_normal.jpg","View")</f>
        <v>View</v>
      </c>
      <c r="P2012" s="27"/>
    </row>
    <row r="2013">
      <c r="A2013" s="14">
        <v>43031.143807870365</v>
      </c>
      <c r="B2013" s="20" t="str">
        <f>HYPERLINK("https://twitter.com/priphene","@priphene")</f>
        <v>@priphene</v>
      </c>
      <c r="C2013" s="21" t="s">
        <v>4931</v>
      </c>
      <c r="D2013" s="21" t="s">
        <v>42</v>
      </c>
      <c r="E2013" s="22" t="str">
        <f>HYPERLINK("https://twitter.com/priphene/status/922409033658785792","922409033658785792")</f>
        <v>922409033658785792</v>
      </c>
      <c r="F2013" s="23" t="s">
        <v>39</v>
      </c>
      <c r="G2013" s="24">
        <v>156.0</v>
      </c>
      <c r="H2013" s="24">
        <v>26.0</v>
      </c>
      <c r="I2013" s="24">
        <v>8501.0</v>
      </c>
      <c r="J2013" s="24">
        <v>0.0</v>
      </c>
      <c r="K2013" s="23" t="s">
        <v>34</v>
      </c>
      <c r="L2013" s="25">
        <v>40913.43144675926</v>
      </c>
      <c r="M2013" s="26" t="s">
        <v>3093</v>
      </c>
      <c r="N2013" s="26" t="s">
        <v>4932</v>
      </c>
      <c r="O2013" s="22" t="str">
        <f>HYPERLINK("https://pbs.twimg.com/profile_images/532878227706892288/MUu2kHo-_normal.jpeg","View")</f>
        <v>View</v>
      </c>
      <c r="P2013" s="27"/>
    </row>
    <row r="2014">
      <c r="A2014" s="14">
        <v>43031.14386574074</v>
      </c>
      <c r="B2014" s="20" t="str">
        <f>HYPERLINK("https://twitter.com/NewsNebraska_","@NewsNebraska_")</f>
        <v>@NewsNebraska_</v>
      </c>
      <c r="C2014" s="21" t="s">
        <v>4933</v>
      </c>
      <c r="D2014" s="21" t="s">
        <v>4934</v>
      </c>
      <c r="E2014" s="22" t="str">
        <f>HYPERLINK("https://twitter.com/NewsNebraska_/status/922409052411514880","922409052411514880")</f>
        <v>922409052411514880</v>
      </c>
      <c r="F2014" s="23" t="s">
        <v>1020</v>
      </c>
      <c r="G2014" s="24">
        <v>817.0</v>
      </c>
      <c r="H2014" s="24">
        <v>889.0</v>
      </c>
      <c r="I2014" s="24">
        <v>0.0</v>
      </c>
      <c r="J2014" s="24">
        <v>0.0</v>
      </c>
      <c r="K2014" s="23" t="s">
        <v>34</v>
      </c>
      <c r="L2014" s="25">
        <v>41694.02579861111</v>
      </c>
      <c r="M2014" s="28"/>
      <c r="N2014" s="26" t="s">
        <v>4935</v>
      </c>
      <c r="O2014" s="22" t="str">
        <f>HYPERLINK("https://pbs.twimg.com/profile_images/437869179975503872/CjczGn7Y_normal.png","View")</f>
        <v>View</v>
      </c>
      <c r="P2014" s="27"/>
    </row>
    <row r="2015">
      <c r="A2015" s="14">
        <v>43031.14394675926</v>
      </c>
      <c r="B2015" s="20" t="str">
        <f>HYPERLINK("https://twitter.com/ashishvashist","@ashishvashist")</f>
        <v>@ashishvashist</v>
      </c>
      <c r="C2015" s="21" t="s">
        <v>4936</v>
      </c>
      <c r="D2015" s="21" t="s">
        <v>42</v>
      </c>
      <c r="E2015" s="22" t="str">
        <f>HYPERLINK("https://twitter.com/ashishvashist/status/922409083147128832","922409083147128832")</f>
        <v>922409083147128832</v>
      </c>
      <c r="F2015" s="23" t="s">
        <v>55</v>
      </c>
      <c r="G2015" s="24">
        <v>2168.0</v>
      </c>
      <c r="H2015" s="24">
        <v>1930.0</v>
      </c>
      <c r="I2015" s="24">
        <v>8501.0</v>
      </c>
      <c r="J2015" s="24">
        <v>0.0</v>
      </c>
      <c r="K2015" s="23" t="s">
        <v>34</v>
      </c>
      <c r="L2015" s="25">
        <v>40155.425162037034</v>
      </c>
      <c r="M2015" s="26" t="s">
        <v>4937</v>
      </c>
      <c r="N2015" s="26" t="s">
        <v>4938</v>
      </c>
      <c r="O2015" s="22" t="str">
        <f>HYPERLINK("https://pbs.twimg.com/profile_images/818497241656672258/LPlDpukB_normal.jpg","View")</f>
        <v>View</v>
      </c>
      <c r="P2015" s="27"/>
    </row>
    <row r="2016">
      <c r="A2016" s="14">
        <v>43031.143958333334</v>
      </c>
      <c r="B2016" s="20" t="str">
        <f>HYPERLINK("https://twitter.com/monkichichan","@monkichichan")</f>
        <v>@monkichichan</v>
      </c>
      <c r="C2016" s="21" t="s">
        <v>4939</v>
      </c>
      <c r="D2016" s="21" t="s">
        <v>4940</v>
      </c>
      <c r="E2016" s="22" t="str">
        <f>HYPERLINK("https://twitter.com/monkichichan/status/922409087416930304","922409087416930304")</f>
        <v>922409087416930304</v>
      </c>
      <c r="F2016" s="23" t="s">
        <v>39</v>
      </c>
      <c r="G2016" s="24">
        <v>764.0</v>
      </c>
      <c r="H2016" s="24">
        <v>1079.0</v>
      </c>
      <c r="I2016" s="24">
        <v>0.0</v>
      </c>
      <c r="J2016" s="24">
        <v>0.0</v>
      </c>
      <c r="K2016" s="23" t="s">
        <v>34</v>
      </c>
      <c r="L2016" s="25">
        <v>39903.77420138889</v>
      </c>
      <c r="M2016" s="26" t="s">
        <v>923</v>
      </c>
      <c r="N2016" s="26" t="s">
        <v>4941</v>
      </c>
      <c r="O2016" s="22" t="str">
        <f>HYPERLINK("https://pbs.twimg.com/profile_images/908873249152364544/s-x7TZ8B_normal.jpg","View")</f>
        <v>View</v>
      </c>
      <c r="P2016" s="27"/>
    </row>
    <row r="2017">
      <c r="A2017" s="14">
        <v>43031.14398148148</v>
      </c>
      <c r="B2017" s="20" t="str">
        <f>HYPERLINK("https://twitter.com/bjp_haneef","@bjp_haneef")</f>
        <v>@bjp_haneef</v>
      </c>
      <c r="C2017" s="21" t="s">
        <v>4942</v>
      </c>
      <c r="D2017" s="21" t="s">
        <v>42</v>
      </c>
      <c r="E2017" s="22" t="str">
        <f>HYPERLINK("https://twitter.com/bjp_haneef/status/922409094782185472","922409094782185472")</f>
        <v>922409094782185472</v>
      </c>
      <c r="F2017" s="23" t="s">
        <v>33</v>
      </c>
      <c r="G2017" s="24">
        <v>60.0</v>
      </c>
      <c r="H2017" s="24">
        <v>349.0</v>
      </c>
      <c r="I2017" s="24">
        <v>8501.0</v>
      </c>
      <c r="J2017" s="24">
        <v>0.0</v>
      </c>
      <c r="K2017" s="23" t="s">
        <v>34</v>
      </c>
      <c r="L2017" s="25">
        <v>42972.417349537034</v>
      </c>
      <c r="M2017" s="26" t="s">
        <v>167</v>
      </c>
      <c r="N2017" s="26" t="s">
        <v>4943</v>
      </c>
      <c r="O2017" s="22" t="str">
        <f>HYPERLINK("https://pbs.twimg.com/profile_images/903937792228474880/tZOsTQqc_normal.jpg","View")</f>
        <v>View</v>
      </c>
      <c r="P2017" s="27"/>
    </row>
    <row r="2018">
      <c r="A2018" s="14">
        <v>43031.1440162037</v>
      </c>
      <c r="B2018" s="20" t="str">
        <f>HYPERLINK("https://twitter.com/vijenderasharma","@vijenderasharma")</f>
        <v>@vijenderasharma</v>
      </c>
      <c r="C2018" s="21" t="s">
        <v>4944</v>
      </c>
      <c r="D2018" s="21" t="s">
        <v>42</v>
      </c>
      <c r="E2018" s="22" t="str">
        <f>HYPERLINK("https://twitter.com/vijenderasharma/status/922409108694634496","922409108694634496")</f>
        <v>922409108694634496</v>
      </c>
      <c r="F2018" s="23" t="s">
        <v>33</v>
      </c>
      <c r="G2018" s="24">
        <v>184.0</v>
      </c>
      <c r="H2018" s="24">
        <v>1118.0</v>
      </c>
      <c r="I2018" s="24">
        <v>8501.0</v>
      </c>
      <c r="J2018" s="24">
        <v>0.0</v>
      </c>
      <c r="K2018" s="23" t="s">
        <v>34</v>
      </c>
      <c r="L2018" s="25">
        <v>40629.090844907405</v>
      </c>
      <c r="M2018" s="26" t="s">
        <v>575</v>
      </c>
      <c r="N2018" s="28"/>
      <c r="O2018" s="22" t="str">
        <f>HYPERLINK("https://pbs.twimg.com/profile_images/702716183271702528/c1dNnsor_normal.jpg","View")</f>
        <v>View</v>
      </c>
      <c r="P2018" s="27"/>
    </row>
    <row r="2019">
      <c r="A2019" s="14">
        <v>43031.144062499996</v>
      </c>
      <c r="B2019" s="20" t="str">
        <f>HYPERLINK("https://twitter.com/MythVReality","@MythVReality")</f>
        <v>@MythVReality</v>
      </c>
      <c r="C2019" s="21" t="s">
        <v>4945</v>
      </c>
      <c r="D2019" s="21" t="s">
        <v>42</v>
      </c>
      <c r="E2019" s="22" t="str">
        <f>HYPERLINK("https://twitter.com/MythVReality/status/922409124268097536","922409124268097536")</f>
        <v>922409124268097536</v>
      </c>
      <c r="F2019" s="23" t="s">
        <v>33</v>
      </c>
      <c r="G2019" s="24">
        <v>470.0</v>
      </c>
      <c r="H2019" s="24">
        <v>1608.0</v>
      </c>
      <c r="I2019" s="24">
        <v>8501.0</v>
      </c>
      <c r="J2019" s="24">
        <v>0.0</v>
      </c>
      <c r="K2019" s="23" t="s">
        <v>34</v>
      </c>
      <c r="L2019" s="25">
        <v>40081.965462962966</v>
      </c>
      <c r="M2019" s="28"/>
      <c r="N2019" s="26" t="s">
        <v>4946</v>
      </c>
      <c r="O2019" s="22" t="str">
        <f>HYPERLINK("https://pbs.twimg.com/profile_images/2828028488/451221fbee8982b8cf8b7919d5223b9a_normal.jpeg","View")</f>
        <v>View</v>
      </c>
      <c r="P2019" s="27"/>
    </row>
    <row r="2020">
      <c r="A2020" s="14">
        <v>43031.14408564815</v>
      </c>
      <c r="B2020" s="20" t="str">
        <f>HYPERLINK("https://twitter.com/prakashnd75","@prakashnd75")</f>
        <v>@prakashnd75</v>
      </c>
      <c r="C2020" s="21" t="s">
        <v>4947</v>
      </c>
      <c r="D2020" s="21" t="s">
        <v>163</v>
      </c>
      <c r="E2020" s="22" t="str">
        <f>HYPERLINK("https://twitter.com/prakashnd75/status/922409133810139136","922409133810139136")</f>
        <v>922409133810139136</v>
      </c>
      <c r="F2020" s="23" t="s">
        <v>33</v>
      </c>
      <c r="G2020" s="24">
        <v>27.0</v>
      </c>
      <c r="H2020" s="24">
        <v>56.0</v>
      </c>
      <c r="I2020" s="24">
        <v>1005.0</v>
      </c>
      <c r="J2020" s="24">
        <v>0.0</v>
      </c>
      <c r="K2020" s="23" t="s">
        <v>34</v>
      </c>
      <c r="L2020" s="25">
        <v>40965.01561342592</v>
      </c>
      <c r="M2020" s="26" t="s">
        <v>1633</v>
      </c>
      <c r="N2020" s="26" t="s">
        <v>4948</v>
      </c>
      <c r="O2020" s="22" t="str">
        <f>HYPERLINK("https://pbs.twimg.com/profile_images/823206558964142080/Q-Cwi2tg_normal.jpg","View")</f>
        <v>View</v>
      </c>
      <c r="P2020" s="27"/>
    </row>
    <row r="2021">
      <c r="A2021" s="14">
        <v>43031.14409722222</v>
      </c>
      <c r="B2021" s="20" t="str">
        <f>HYPERLINK("https://twitter.com/RAKESHKKUSHWAH","@RAKESHKKUSHWAH")</f>
        <v>@RAKESHKKUSHWAH</v>
      </c>
      <c r="C2021" s="21" t="s">
        <v>4850</v>
      </c>
      <c r="D2021" s="21" t="s">
        <v>4949</v>
      </c>
      <c r="E2021" s="22" t="str">
        <f>HYPERLINK("https://twitter.com/RAKESHKKUSHWAH/status/922409135454355456","922409135454355456")</f>
        <v>922409135454355456</v>
      </c>
      <c r="F2021" s="23" t="s">
        <v>33</v>
      </c>
      <c r="G2021" s="24">
        <v>179.0</v>
      </c>
      <c r="H2021" s="24">
        <v>250.0</v>
      </c>
      <c r="I2021" s="24">
        <v>6.0</v>
      </c>
      <c r="J2021" s="24">
        <v>0.0</v>
      </c>
      <c r="K2021" s="23" t="s">
        <v>34</v>
      </c>
      <c r="L2021" s="25">
        <v>42987.103680555556</v>
      </c>
      <c r="M2021" s="26" t="s">
        <v>1633</v>
      </c>
      <c r="N2021" s="26" t="s">
        <v>4851</v>
      </c>
      <c r="O2021" s="22" t="str">
        <f>HYPERLINK("https://pbs.twimg.com/profile_images/916350935567286272/tHMm7oYS_normal.jpg","View")</f>
        <v>View</v>
      </c>
      <c r="P2021" s="27"/>
    </row>
    <row r="2022">
      <c r="A2022" s="14">
        <v>43031.14409722222</v>
      </c>
      <c r="B2022" s="20" t="str">
        <f>HYPERLINK("https://twitter.com/monkichichan","@monkichichan")</f>
        <v>@monkichichan</v>
      </c>
      <c r="C2022" s="21" t="s">
        <v>4939</v>
      </c>
      <c r="D2022" s="21" t="s">
        <v>4950</v>
      </c>
      <c r="E2022" s="22" t="str">
        <f>HYPERLINK("https://twitter.com/monkichichan/status/922409137949966338","922409137949966338")</f>
        <v>922409137949966338</v>
      </c>
      <c r="F2022" s="23" t="s">
        <v>39</v>
      </c>
      <c r="G2022" s="24">
        <v>764.0</v>
      </c>
      <c r="H2022" s="24">
        <v>1079.0</v>
      </c>
      <c r="I2022" s="24">
        <v>0.0</v>
      </c>
      <c r="J2022" s="24">
        <v>0.0</v>
      </c>
      <c r="K2022" s="23" t="s">
        <v>34</v>
      </c>
      <c r="L2022" s="25">
        <v>39903.77420138889</v>
      </c>
      <c r="M2022" s="26" t="s">
        <v>923</v>
      </c>
      <c r="N2022" s="26" t="s">
        <v>4941</v>
      </c>
      <c r="O2022" s="22" t="str">
        <f>HYPERLINK("https://pbs.twimg.com/profile_images/908873249152364544/s-x7TZ8B_normal.jpg","View")</f>
        <v>View</v>
      </c>
      <c r="P2022" s="27"/>
    </row>
    <row r="2023">
      <c r="A2023" s="14">
        <v>43031.144108796296</v>
      </c>
      <c r="B2023" s="20" t="str">
        <f>HYPERLINK("https://twitter.com/kantmrinal","@kantmrinal")</f>
        <v>@kantmrinal</v>
      </c>
      <c r="C2023" s="21" t="s">
        <v>4951</v>
      </c>
      <c r="D2023" s="21" t="s">
        <v>42</v>
      </c>
      <c r="E2023" s="22" t="str">
        <f>HYPERLINK("https://twitter.com/kantmrinal/status/922409140034531329","922409140034531329")</f>
        <v>922409140034531329</v>
      </c>
      <c r="F2023" s="23" t="s">
        <v>33</v>
      </c>
      <c r="G2023" s="24">
        <v>2.0</v>
      </c>
      <c r="H2023" s="24">
        <v>26.0</v>
      </c>
      <c r="I2023" s="24">
        <v>8501.0</v>
      </c>
      <c r="J2023" s="24">
        <v>0.0</v>
      </c>
      <c r="K2023" s="23" t="s">
        <v>34</v>
      </c>
      <c r="L2023" s="25">
        <v>40568.00585648148</v>
      </c>
      <c r="M2023" s="28"/>
      <c r="N2023" s="28"/>
      <c r="O2023" s="22" t="str">
        <f>HYPERLINK("https://abs.twimg.com/sticky/default_profile_images/default_profile_normal.png","View")</f>
        <v>View</v>
      </c>
      <c r="P2023" s="27"/>
    </row>
    <row r="2024">
      <c r="A2024" s="14">
        <v>43031.14414351852</v>
      </c>
      <c r="B2024" s="20" t="str">
        <f t="shared" ref="B2024:B2025" si="28">HYPERLINK("https://twitter.com/marketstocknews","@marketstocknews")</f>
        <v>@marketstocknews</v>
      </c>
      <c r="C2024" s="21" t="s">
        <v>4952</v>
      </c>
      <c r="D2024" s="21" t="s">
        <v>4953</v>
      </c>
      <c r="E2024" s="22" t="str">
        <f>HYPERLINK("https://twitter.com/marketstocknews/status/922409155197054976","922409155197054976")</f>
        <v>922409155197054976</v>
      </c>
      <c r="F2024" s="23" t="s">
        <v>187</v>
      </c>
      <c r="G2024" s="24">
        <v>1157.0</v>
      </c>
      <c r="H2024" s="24">
        <v>865.0</v>
      </c>
      <c r="I2024" s="24">
        <v>0.0</v>
      </c>
      <c r="J2024" s="24">
        <v>0.0</v>
      </c>
      <c r="K2024" s="23" t="s">
        <v>34</v>
      </c>
      <c r="L2024" s="25">
        <v>41911.56853009259</v>
      </c>
      <c r="M2024" s="28"/>
      <c r="N2024" s="26" t="s">
        <v>4954</v>
      </c>
      <c r="O2024" s="22" t="str">
        <f t="shared" ref="O2024:O2025" si="29">HYPERLINK("https://pbs.twimg.com/profile_images/659111213465382912/yfS3diNs_normal.jpg","View")</f>
        <v>View</v>
      </c>
      <c r="P2024" s="27"/>
    </row>
    <row r="2025">
      <c r="A2025" s="14">
        <v>43031.144155092596</v>
      </c>
      <c r="B2025" s="20" t="str">
        <f t="shared" si="28"/>
        <v>@marketstocknews</v>
      </c>
      <c r="C2025" s="21" t="s">
        <v>4952</v>
      </c>
      <c r="D2025" s="21" t="s">
        <v>4955</v>
      </c>
      <c r="E2025" s="22" t="str">
        <f>HYPERLINK("https://twitter.com/marketstocknews/status/922409156883173378","922409156883173378")</f>
        <v>922409156883173378</v>
      </c>
      <c r="F2025" s="23" t="s">
        <v>187</v>
      </c>
      <c r="G2025" s="24">
        <v>1157.0</v>
      </c>
      <c r="H2025" s="24">
        <v>865.0</v>
      </c>
      <c r="I2025" s="24">
        <v>0.0</v>
      </c>
      <c r="J2025" s="24">
        <v>0.0</v>
      </c>
      <c r="K2025" s="23" t="s">
        <v>34</v>
      </c>
      <c r="L2025" s="25">
        <v>41911.56853009259</v>
      </c>
      <c r="M2025" s="28"/>
      <c r="N2025" s="26" t="s">
        <v>4954</v>
      </c>
      <c r="O2025" s="22" t="str">
        <f t="shared" si="29"/>
        <v>View</v>
      </c>
      <c r="P2025" s="27"/>
    </row>
    <row r="2026">
      <c r="A2026" s="14">
        <v>43031.14418981482</v>
      </c>
      <c r="B2026" s="20" t="str">
        <f>HYPERLINK("https://twitter.com/varunsharma370","@varunsharma370")</f>
        <v>@varunsharma370</v>
      </c>
      <c r="C2026" s="21" t="s">
        <v>4956</v>
      </c>
      <c r="D2026" s="21" t="s">
        <v>42</v>
      </c>
      <c r="E2026" s="22" t="str">
        <f>HYPERLINK("https://twitter.com/varunsharma370/status/922409171579834368","922409171579834368")</f>
        <v>922409171579834368</v>
      </c>
      <c r="F2026" s="23" t="s">
        <v>43</v>
      </c>
      <c r="G2026" s="24">
        <v>353.0</v>
      </c>
      <c r="H2026" s="24">
        <v>1444.0</v>
      </c>
      <c r="I2026" s="24">
        <v>8501.0</v>
      </c>
      <c r="J2026" s="24">
        <v>0.0</v>
      </c>
      <c r="K2026" s="23" t="s">
        <v>34</v>
      </c>
      <c r="L2026" s="25">
        <v>40685.09344907408</v>
      </c>
      <c r="M2026" s="26" t="s">
        <v>3011</v>
      </c>
      <c r="N2026" s="26" t="s">
        <v>4957</v>
      </c>
      <c r="O2026" s="22" t="str">
        <f>HYPERLINK("https://pbs.twimg.com/profile_images/3171152277/be353508faf5ecd643270add1d38a3d5_normal.jpeg","View")</f>
        <v>View</v>
      </c>
      <c r="P2026" s="27"/>
    </row>
    <row r="2027">
      <c r="A2027" s="14">
        <v>43031.14420138889</v>
      </c>
      <c r="B2027" s="20" t="str">
        <f>HYPERLINK("https://twitter.com/SBJadejaBJP","@SBJadejaBJP")</f>
        <v>@SBJadejaBJP</v>
      </c>
      <c r="C2027" s="21" t="s">
        <v>4958</v>
      </c>
      <c r="D2027" s="21" t="s">
        <v>42</v>
      </c>
      <c r="E2027" s="22" t="str">
        <f>HYPERLINK("https://twitter.com/SBJadejaBJP/status/922409175027724288","922409175027724288")</f>
        <v>922409175027724288</v>
      </c>
      <c r="F2027" s="23" t="s">
        <v>39</v>
      </c>
      <c r="G2027" s="24">
        <v>28418.0</v>
      </c>
      <c r="H2027" s="24">
        <v>482.0</v>
      </c>
      <c r="I2027" s="24">
        <v>8501.0</v>
      </c>
      <c r="J2027" s="24">
        <v>0.0</v>
      </c>
      <c r="K2027" s="23" t="s">
        <v>34</v>
      </c>
      <c r="L2027" s="25">
        <v>41486.44436342592</v>
      </c>
      <c r="M2027" s="26" t="s">
        <v>2213</v>
      </c>
      <c r="N2027" s="26" t="s">
        <v>4959</v>
      </c>
      <c r="O2027" s="22" t="str">
        <f>HYPERLINK("https://pbs.twimg.com/profile_images/845714373611929600/ViGDQH2R_normal.jpg","View")</f>
        <v>View</v>
      </c>
      <c r="P2027" s="27"/>
    </row>
    <row r="2028">
      <c r="A2028" s="14">
        <v>43031.14421296296</v>
      </c>
      <c r="B2028" s="20" t="str">
        <f>HYPERLINK("https://twitter.com/DTradingAcademy","@DTradingAcademy")</f>
        <v>@DTradingAcademy</v>
      </c>
      <c r="C2028" s="21" t="s">
        <v>4960</v>
      </c>
      <c r="D2028" s="21" t="s">
        <v>4961</v>
      </c>
      <c r="E2028" s="22" t="str">
        <f>HYPERLINK("https://twitter.com/DTradingAcademy/status/922409177405779968","922409177405779968")</f>
        <v>922409177405779968</v>
      </c>
      <c r="F2028" s="23" t="s">
        <v>55</v>
      </c>
      <c r="G2028" s="24">
        <v>4251.0</v>
      </c>
      <c r="H2028" s="24">
        <v>680.0</v>
      </c>
      <c r="I2028" s="24">
        <v>0.0</v>
      </c>
      <c r="J2028" s="24">
        <v>0.0</v>
      </c>
      <c r="K2028" s="23" t="s">
        <v>34</v>
      </c>
      <c r="L2028" s="25">
        <v>40992.8062037037</v>
      </c>
      <c r="M2028" s="26" t="s">
        <v>3507</v>
      </c>
      <c r="N2028" s="26" t="s">
        <v>4962</v>
      </c>
      <c r="O2028" s="22" t="str">
        <f>HYPERLINK("https://pbs.twimg.com/profile_images/378800000412994280/5661be1a8625bd36406b48f28bf653a0_normal.jpeg","View")</f>
        <v>View</v>
      </c>
      <c r="P2028" s="27"/>
    </row>
    <row r="2029">
      <c r="A2029" s="14">
        <v>43031.14423611111</v>
      </c>
      <c r="B2029" s="20" t="str">
        <f>HYPERLINK("https://twitter.com/storiesflowcom","@storiesflowcom")</f>
        <v>@storiesflowcom</v>
      </c>
      <c r="C2029" s="29" t="s">
        <v>4963</v>
      </c>
      <c r="D2029" s="21" t="s">
        <v>4964</v>
      </c>
      <c r="E2029" s="22" t="str">
        <f>HYPERLINK("https://twitter.com/storiesflowcom/status/922409189573644288","922409189573644288")</f>
        <v>922409189573644288</v>
      </c>
      <c r="F2029" s="23" t="s">
        <v>4965</v>
      </c>
      <c r="G2029" s="24">
        <v>1229.0</v>
      </c>
      <c r="H2029" s="24">
        <v>212.0</v>
      </c>
      <c r="I2029" s="24">
        <v>0.0</v>
      </c>
      <c r="J2029" s="24">
        <v>0.0</v>
      </c>
      <c r="K2029" s="23" t="s">
        <v>34</v>
      </c>
      <c r="L2029" s="25">
        <v>42334.56871527778</v>
      </c>
      <c r="M2029" s="28"/>
      <c r="N2029" s="26" t="s">
        <v>4966</v>
      </c>
      <c r="O2029" s="22" t="str">
        <f>HYPERLINK("https://pbs.twimg.com/profile_images/917886684649357312/aivZ5Pfc_normal.jpg","View")</f>
        <v>View</v>
      </c>
      <c r="P2029" s="27"/>
    </row>
    <row r="2030">
      <c r="A2030" s="14">
        <v>43031.144282407404</v>
      </c>
      <c r="B2030" s="20" t="str">
        <f>HYPERLINK("https://twitter.com/gautambjp","@gautambjp")</f>
        <v>@gautambjp</v>
      </c>
      <c r="C2030" s="21" t="s">
        <v>4967</v>
      </c>
      <c r="D2030" s="21" t="s">
        <v>163</v>
      </c>
      <c r="E2030" s="22" t="str">
        <f>HYPERLINK("https://twitter.com/gautambjp/status/922409205511753728","922409205511753728")</f>
        <v>922409205511753728</v>
      </c>
      <c r="F2030" s="23" t="s">
        <v>33</v>
      </c>
      <c r="G2030" s="24">
        <v>259.0</v>
      </c>
      <c r="H2030" s="24">
        <v>89.0</v>
      </c>
      <c r="I2030" s="24">
        <v>1005.0</v>
      </c>
      <c r="J2030" s="24">
        <v>0.0</v>
      </c>
      <c r="K2030" s="23" t="s">
        <v>34</v>
      </c>
      <c r="L2030" s="25">
        <v>41676.29094907407</v>
      </c>
      <c r="M2030" s="26" t="s">
        <v>575</v>
      </c>
      <c r="N2030" s="26" t="s">
        <v>4968</v>
      </c>
      <c r="O2030" s="22" t="str">
        <f>HYPERLINK("https://pbs.twimg.com/profile_images/851731386818023424/icnuKQ1L_normal.jpg","View")</f>
        <v>View</v>
      </c>
      <c r="P2030" s="27"/>
    </row>
    <row r="2031">
      <c r="A2031" s="14">
        <v>43031.14438657407</v>
      </c>
      <c r="B2031" s="20" t="str">
        <f>HYPERLINK("https://twitter.com/bfry1981","@bfry1981")</f>
        <v>@bfry1981</v>
      </c>
      <c r="C2031" s="21" t="s">
        <v>4969</v>
      </c>
      <c r="D2031" s="21" t="s">
        <v>513</v>
      </c>
      <c r="E2031" s="22" t="str">
        <f>HYPERLINK("https://twitter.com/bfry1981/status/922409240161017856","922409240161017856")</f>
        <v>922409240161017856</v>
      </c>
      <c r="F2031" s="23" t="s">
        <v>55</v>
      </c>
      <c r="G2031" s="24">
        <v>1492.0</v>
      </c>
      <c r="H2031" s="24">
        <v>2212.0</v>
      </c>
      <c r="I2031" s="24">
        <v>101.0</v>
      </c>
      <c r="J2031" s="24">
        <v>0.0</v>
      </c>
      <c r="K2031" s="23" t="s">
        <v>34</v>
      </c>
      <c r="L2031" s="25">
        <v>41294.383993055555</v>
      </c>
      <c r="M2031" s="26" t="s">
        <v>4970</v>
      </c>
      <c r="N2031" s="26" t="s">
        <v>4971</v>
      </c>
      <c r="O2031" s="22" t="str">
        <f>HYPERLINK("https://pbs.twimg.com/profile_images/801193699678060544/60xpoaAw_normal.jpg","View")</f>
        <v>View</v>
      </c>
      <c r="P2031" s="27"/>
    </row>
    <row r="2032">
      <c r="A2032" s="14">
        <v>43031.14440972223</v>
      </c>
      <c r="B2032" s="20" t="str">
        <f>HYPERLINK("https://twitter.com/Prem_Prakash_","@Prem_Prakash_")</f>
        <v>@Prem_Prakash_</v>
      </c>
      <c r="C2032" s="21" t="s">
        <v>4972</v>
      </c>
      <c r="D2032" s="21" t="s">
        <v>4973</v>
      </c>
      <c r="E2032" s="22" t="str">
        <f>HYPERLINK("https://twitter.com/Prem_Prakash_/status/922409250889936896","922409250889936896")</f>
        <v>922409250889936896</v>
      </c>
      <c r="F2032" s="23" t="s">
        <v>55</v>
      </c>
      <c r="G2032" s="24">
        <v>551.0</v>
      </c>
      <c r="H2032" s="24">
        <v>151.0</v>
      </c>
      <c r="I2032" s="24">
        <v>2.0</v>
      </c>
      <c r="J2032" s="24">
        <v>8.0</v>
      </c>
      <c r="K2032" s="23" t="s">
        <v>34</v>
      </c>
      <c r="L2032" s="25">
        <v>42564.15465277778</v>
      </c>
      <c r="M2032" s="26" t="s">
        <v>4974</v>
      </c>
      <c r="N2032" s="26" t="s">
        <v>4975</v>
      </c>
      <c r="O2032" s="22" t="str">
        <f>HYPERLINK("https://pbs.twimg.com/profile_images/754146451127726080/Msatvzd5_normal.jpg","View")</f>
        <v>View</v>
      </c>
      <c r="P2032" s="27"/>
    </row>
    <row r="2033">
      <c r="A2033" s="14">
        <v>43031.144432870366</v>
      </c>
      <c r="B2033" s="20" t="str">
        <f>HYPERLINK("https://twitter.com/skewedbrain","@skewedbrain")</f>
        <v>@skewedbrain</v>
      </c>
      <c r="C2033" s="21" t="s">
        <v>4976</v>
      </c>
      <c r="D2033" s="21" t="s">
        <v>163</v>
      </c>
      <c r="E2033" s="22" t="str">
        <f>HYPERLINK("https://twitter.com/skewedbrain/status/922409259328987136","922409259328987136")</f>
        <v>922409259328987136</v>
      </c>
      <c r="F2033" s="23" t="s">
        <v>33</v>
      </c>
      <c r="G2033" s="24">
        <v>179.0</v>
      </c>
      <c r="H2033" s="24">
        <v>353.0</v>
      </c>
      <c r="I2033" s="24">
        <v>1005.0</v>
      </c>
      <c r="J2033" s="24">
        <v>0.0</v>
      </c>
      <c r="K2033" s="23" t="s">
        <v>34</v>
      </c>
      <c r="L2033" s="25">
        <v>41910.57237268519</v>
      </c>
      <c r="M2033" s="28"/>
      <c r="N2033" s="28"/>
      <c r="O2033" s="22" t="str">
        <f>HYPERLINK("https://abs.twimg.com/sticky/default_profile_images/default_profile_normal.png","View")</f>
        <v>View</v>
      </c>
      <c r="P2033" s="27"/>
    </row>
    <row r="2034">
      <c r="A2034" s="14">
        <v>43031.14446759259</v>
      </c>
      <c r="B2034" s="20" t="str">
        <f>HYPERLINK("https://twitter.com/andythelawyer","@andythelawyer")</f>
        <v>@andythelawyer</v>
      </c>
      <c r="C2034" s="21" t="s">
        <v>4977</v>
      </c>
      <c r="D2034" s="21" t="s">
        <v>42</v>
      </c>
      <c r="E2034" s="22" t="str">
        <f>HYPERLINK("https://twitter.com/andythelawyer/status/922409270074736641","922409270074736641")</f>
        <v>922409270074736641</v>
      </c>
      <c r="F2034" s="23" t="s">
        <v>33</v>
      </c>
      <c r="G2034" s="24">
        <v>3495.0</v>
      </c>
      <c r="H2034" s="24">
        <v>2732.0</v>
      </c>
      <c r="I2034" s="24">
        <v>8501.0</v>
      </c>
      <c r="J2034" s="24">
        <v>0.0</v>
      </c>
      <c r="K2034" s="23" t="s">
        <v>34</v>
      </c>
      <c r="L2034" s="25">
        <v>40512.38292824074</v>
      </c>
      <c r="M2034" s="26" t="s">
        <v>734</v>
      </c>
      <c r="N2034" s="26" t="s">
        <v>4978</v>
      </c>
      <c r="O2034" s="22" t="str">
        <f>HYPERLINK("https://pbs.twimg.com/profile_images/921626825171673088/gvkVKWAb_normal.jpg","View")</f>
        <v>View</v>
      </c>
      <c r="P2034" s="27"/>
    </row>
    <row r="2035">
      <c r="A2035" s="14">
        <v>43031.144583333335</v>
      </c>
      <c r="B2035" s="20" t="str">
        <f>HYPERLINK("https://twitter.com/GrimmzLawZ","@GrimmzLawZ")</f>
        <v>@GrimmzLawZ</v>
      </c>
      <c r="C2035" s="21" t="s">
        <v>4979</v>
      </c>
      <c r="D2035" s="21" t="s">
        <v>1444</v>
      </c>
      <c r="E2035" s="22" t="str">
        <f>HYPERLINK("https://twitter.com/GrimmzLawZ/status/922409315075584000","922409315075584000")</f>
        <v>922409315075584000</v>
      </c>
      <c r="F2035" s="23" t="s">
        <v>33</v>
      </c>
      <c r="G2035" s="24">
        <v>83.0</v>
      </c>
      <c r="H2035" s="24">
        <v>446.0</v>
      </c>
      <c r="I2035" s="24">
        <v>50.0</v>
      </c>
      <c r="J2035" s="24">
        <v>0.0</v>
      </c>
      <c r="K2035" s="23" t="s">
        <v>34</v>
      </c>
      <c r="L2035" s="25">
        <v>40299.27310185185</v>
      </c>
      <c r="M2035" s="26" t="s">
        <v>4980</v>
      </c>
      <c r="N2035" s="26" t="s">
        <v>4981</v>
      </c>
      <c r="O2035" s="22" t="str">
        <f>HYPERLINK("https://abs.twimg.com/sticky/default_profile_images/default_profile_normal.png","View")</f>
        <v>View</v>
      </c>
      <c r="P2035" s="27"/>
    </row>
    <row r="2036">
      <c r="A2036" s="14">
        <v>43031.14460648148</v>
      </c>
      <c r="B2036" s="20" t="str">
        <f>HYPERLINK("https://twitter.com/ParagBhagat5","@ParagBhagat5")</f>
        <v>@ParagBhagat5</v>
      </c>
      <c r="C2036" s="21" t="s">
        <v>4982</v>
      </c>
      <c r="D2036" s="21" t="s">
        <v>42</v>
      </c>
      <c r="E2036" s="22" t="str">
        <f>HYPERLINK("https://twitter.com/ParagBhagat5/status/922409322973364224","922409322973364224")</f>
        <v>922409322973364224</v>
      </c>
      <c r="F2036" s="23" t="s">
        <v>33</v>
      </c>
      <c r="G2036" s="24">
        <v>311.0</v>
      </c>
      <c r="H2036" s="24">
        <v>287.0</v>
      </c>
      <c r="I2036" s="24">
        <v>8501.0</v>
      </c>
      <c r="J2036" s="24">
        <v>0.0</v>
      </c>
      <c r="K2036" s="23" t="s">
        <v>34</v>
      </c>
      <c r="L2036" s="25">
        <v>42428.21283564815</v>
      </c>
      <c r="M2036" s="28"/>
      <c r="N2036" s="26" t="s">
        <v>4983</v>
      </c>
      <c r="O2036" s="22" t="str">
        <f>HYPERLINK("https://pbs.twimg.com/profile_images/703931359635468288/GWKRAsf6_normal.jpg","View")</f>
        <v>View</v>
      </c>
      <c r="P2036" s="27"/>
    </row>
    <row r="2037">
      <c r="A2037" s="14">
        <v>43031.144629629634</v>
      </c>
      <c r="B2037" s="20" t="str">
        <f>HYPERLINK("https://twitter.com/Planning203","@Planning203")</f>
        <v>@Planning203</v>
      </c>
      <c r="C2037" s="21" t="s">
        <v>4984</v>
      </c>
      <c r="D2037" s="21" t="s">
        <v>1229</v>
      </c>
      <c r="E2037" s="22" t="str">
        <f>HYPERLINK("https://twitter.com/Planning203/status/922409328132349952","922409328132349952")</f>
        <v>922409328132349952</v>
      </c>
      <c r="F2037" s="23" t="s">
        <v>33</v>
      </c>
      <c r="G2037" s="24">
        <v>92.0</v>
      </c>
      <c r="H2037" s="24">
        <v>654.0</v>
      </c>
      <c r="I2037" s="24">
        <v>10.0</v>
      </c>
      <c r="J2037" s="24">
        <v>0.0</v>
      </c>
      <c r="K2037" s="23" t="s">
        <v>34</v>
      </c>
      <c r="L2037" s="25">
        <v>40886.86152777778</v>
      </c>
      <c r="M2037" s="28"/>
      <c r="N2037" s="28"/>
      <c r="O2037" s="22" t="str">
        <f>HYPERLINK("https://pbs.twimg.com/profile_images/1684745456/photo_normal","View")</f>
        <v>View</v>
      </c>
      <c r="P2037" s="27"/>
    </row>
    <row r="2038">
      <c r="A2038" s="14">
        <v>43031.144641203704</v>
      </c>
      <c r="B2038" s="20" t="str">
        <f>HYPERLINK("https://twitter.com/obsut55465","@obsut55465")</f>
        <v>@obsut55465</v>
      </c>
      <c r="C2038" s="21" t="s">
        <v>4877</v>
      </c>
      <c r="D2038" s="21" t="s">
        <v>4590</v>
      </c>
      <c r="E2038" s="22" t="str">
        <f>HYPERLINK("https://twitter.com/obsut55465/status/922409334784409601","922409334784409601")</f>
        <v>922409334784409601</v>
      </c>
      <c r="F2038" s="23" t="s">
        <v>33</v>
      </c>
      <c r="G2038" s="24">
        <v>138.0</v>
      </c>
      <c r="H2038" s="24">
        <v>47.0</v>
      </c>
      <c r="I2038" s="24">
        <v>17.0</v>
      </c>
      <c r="J2038" s="24">
        <v>0.0</v>
      </c>
      <c r="K2038" s="23" t="s">
        <v>34</v>
      </c>
      <c r="L2038" s="25">
        <v>42784.06396990741</v>
      </c>
      <c r="M2038" s="28"/>
      <c r="N2038" s="28"/>
      <c r="O2038" s="22" t="str">
        <f>HYPERLINK("https://pbs.twimg.com/profile_images/912255270545268736/buDgv1po_normal.jpg","View")</f>
        <v>View</v>
      </c>
      <c r="P2038" s="27"/>
    </row>
    <row r="2039">
      <c r="A2039" s="14">
        <v>43031.14472222222</v>
      </c>
      <c r="B2039" s="20" t="str">
        <f>HYPERLINK("https://twitter.com/Sougatabhatta14","@Sougatabhatta14")</f>
        <v>@Sougatabhatta14</v>
      </c>
      <c r="C2039" s="21" t="s">
        <v>4985</v>
      </c>
      <c r="D2039" s="21" t="s">
        <v>42</v>
      </c>
      <c r="E2039" s="22" t="str">
        <f>HYPERLINK("https://twitter.com/Sougatabhatta14/status/922409364522070016","922409364522070016")</f>
        <v>922409364522070016</v>
      </c>
      <c r="F2039" s="23" t="s">
        <v>33</v>
      </c>
      <c r="G2039" s="24">
        <v>13.0</v>
      </c>
      <c r="H2039" s="24">
        <v>364.0</v>
      </c>
      <c r="I2039" s="24">
        <v>8501.0</v>
      </c>
      <c r="J2039" s="24">
        <v>0.0</v>
      </c>
      <c r="K2039" s="23" t="s">
        <v>34</v>
      </c>
      <c r="L2039" s="25">
        <v>42301.79429398148</v>
      </c>
      <c r="M2039" s="26" t="s">
        <v>4986</v>
      </c>
      <c r="N2039" s="28"/>
      <c r="O2039" s="22" t="str">
        <f>HYPERLINK("https://pbs.twimg.com/profile_images/907818599523295232/eQToTwfo_normal.jpg","View")</f>
        <v>View</v>
      </c>
      <c r="P2039" s="27"/>
    </row>
    <row r="2040">
      <c r="A2040" s="14">
        <v>43031.14486111111</v>
      </c>
      <c r="B2040" s="20" t="str">
        <f>HYPERLINK("https://twitter.com/cgnetwork","@cgnetwork")</f>
        <v>@cgnetwork</v>
      </c>
      <c r="C2040" s="21" t="s">
        <v>1891</v>
      </c>
      <c r="D2040" s="21" t="s">
        <v>4987</v>
      </c>
      <c r="E2040" s="22" t="str">
        <f>HYPERLINK("https://twitter.com/cgnetwork/status/922409414820356096","922409414820356096")</f>
        <v>922409414820356096</v>
      </c>
      <c r="F2040" s="23" t="s">
        <v>91</v>
      </c>
      <c r="G2040" s="24">
        <v>1173.0</v>
      </c>
      <c r="H2040" s="24">
        <v>497.0</v>
      </c>
      <c r="I2040" s="24">
        <v>0.0</v>
      </c>
      <c r="J2040" s="24">
        <v>0.0</v>
      </c>
      <c r="K2040" s="23" t="s">
        <v>34</v>
      </c>
      <c r="L2040" s="25">
        <v>39992.06197916667</v>
      </c>
      <c r="M2040" s="26" t="s">
        <v>1893</v>
      </c>
      <c r="N2040" s="26" t="s">
        <v>1894</v>
      </c>
      <c r="O2040" s="22" t="str">
        <f>HYPERLINK("https://pbs.twimg.com/profile_images/286683233/Francis_Lim_Passport_Size_photo_image.jpg_normal.jpg","View")</f>
        <v>View</v>
      </c>
      <c r="P2040" s="27"/>
    </row>
    <row r="2041">
      <c r="A2041" s="14">
        <v>43031.144895833335</v>
      </c>
      <c r="B2041" s="20" t="str">
        <f>HYPERLINK("https://twitter.com/loverboy6162","@loverboy6162")</f>
        <v>@loverboy6162</v>
      </c>
      <c r="C2041" s="21" t="s">
        <v>4988</v>
      </c>
      <c r="D2041" s="21" t="s">
        <v>42</v>
      </c>
      <c r="E2041" s="22" t="str">
        <f>HYPERLINK("https://twitter.com/loverboy6162/status/922409424907468800","922409424907468800")</f>
        <v>922409424907468800</v>
      </c>
      <c r="F2041" s="23" t="s">
        <v>39</v>
      </c>
      <c r="G2041" s="24">
        <v>213.0</v>
      </c>
      <c r="H2041" s="24">
        <v>891.0</v>
      </c>
      <c r="I2041" s="24">
        <v>8501.0</v>
      </c>
      <c r="J2041" s="24">
        <v>0.0</v>
      </c>
      <c r="K2041" s="23" t="s">
        <v>34</v>
      </c>
      <c r="L2041" s="25">
        <v>40134.41681712963</v>
      </c>
      <c r="M2041" s="26" t="s">
        <v>40</v>
      </c>
      <c r="N2041" s="26" t="s">
        <v>4989</v>
      </c>
      <c r="O2041" s="22" t="str">
        <f>HYPERLINK("https://pbs.twimg.com/profile_images/698609393475182592/3jbz7H0J_normal.jpg","View")</f>
        <v>View</v>
      </c>
      <c r="P2041" s="27"/>
    </row>
    <row r="2042">
      <c r="A2042" s="14">
        <v>43031.144907407404</v>
      </c>
      <c r="B2042" s="20" t="str">
        <f>HYPERLINK("https://twitter.com/mswaldia","@mswaldia")</f>
        <v>@mswaldia</v>
      </c>
      <c r="C2042" s="21" t="s">
        <v>4990</v>
      </c>
      <c r="D2042" s="21" t="s">
        <v>42</v>
      </c>
      <c r="E2042" s="22" t="str">
        <f>HYPERLINK("https://twitter.com/mswaldia/status/922409430620295168","922409430620295168")</f>
        <v>922409430620295168</v>
      </c>
      <c r="F2042" s="23" t="s">
        <v>33</v>
      </c>
      <c r="G2042" s="24">
        <v>42.0</v>
      </c>
      <c r="H2042" s="24">
        <v>150.0</v>
      </c>
      <c r="I2042" s="24">
        <v>8501.0</v>
      </c>
      <c r="J2042" s="24">
        <v>0.0</v>
      </c>
      <c r="K2042" s="23" t="s">
        <v>34</v>
      </c>
      <c r="L2042" s="25">
        <v>40661.7262037037</v>
      </c>
      <c r="M2042" s="28"/>
      <c r="N2042" s="28"/>
      <c r="O2042" s="22" t="str">
        <f>HYPERLINK("https://abs.twimg.com/sticky/default_profile_images/default_profile_normal.png","View")</f>
        <v>View</v>
      </c>
      <c r="P2042" s="27"/>
    </row>
    <row r="2043">
      <c r="A2043" s="14">
        <v>43031.14491898148</v>
      </c>
      <c r="B2043" s="20" t="str">
        <f>HYPERLINK("https://twitter.com/tipirneni","@tipirneni")</f>
        <v>@tipirneni</v>
      </c>
      <c r="C2043" s="21" t="s">
        <v>4991</v>
      </c>
      <c r="D2043" s="21" t="s">
        <v>42</v>
      </c>
      <c r="E2043" s="22" t="str">
        <f>HYPERLINK("https://twitter.com/tipirneni/status/922409434487427072","922409434487427072")</f>
        <v>922409434487427072</v>
      </c>
      <c r="F2043" s="23" t="s">
        <v>33</v>
      </c>
      <c r="G2043" s="24">
        <v>1887.0</v>
      </c>
      <c r="H2043" s="24">
        <v>4356.0</v>
      </c>
      <c r="I2043" s="24">
        <v>8501.0</v>
      </c>
      <c r="J2043" s="24">
        <v>0.0</v>
      </c>
      <c r="K2043" s="23" t="s">
        <v>34</v>
      </c>
      <c r="L2043" s="25">
        <v>39853.13238425926</v>
      </c>
      <c r="M2043" s="26" t="s">
        <v>68</v>
      </c>
      <c r="N2043" s="26" t="s">
        <v>4992</v>
      </c>
      <c r="O2043" s="22" t="str">
        <f>HYPERLINK("https://pbs.twimg.com/profile_images/889891365903052800/ycUxck7B_normal.jpg","View")</f>
        <v>View</v>
      </c>
      <c r="P2043" s="27"/>
    </row>
    <row r="2044">
      <c r="A2044" s="14">
        <v>43031.14493055556</v>
      </c>
      <c r="B2044" s="20" t="str">
        <f>HYPERLINK("https://twitter.com/sakwaceddy","@sakwaceddy")</f>
        <v>@sakwaceddy</v>
      </c>
      <c r="C2044" s="21" t="s">
        <v>4993</v>
      </c>
      <c r="D2044" s="21" t="s">
        <v>32</v>
      </c>
      <c r="E2044" s="22" t="str">
        <f>HYPERLINK("https://twitter.com/sakwaceddy/status/922409437402451969","922409437402451969")</f>
        <v>922409437402451969</v>
      </c>
      <c r="F2044" s="23" t="s">
        <v>33</v>
      </c>
      <c r="G2044" s="24">
        <v>23.0</v>
      </c>
      <c r="H2044" s="24">
        <v>179.0</v>
      </c>
      <c r="I2044" s="24">
        <v>471.0</v>
      </c>
      <c r="J2044" s="24">
        <v>0.0</v>
      </c>
      <c r="K2044" s="23" t="s">
        <v>34</v>
      </c>
      <c r="L2044" s="25">
        <v>41794.495671296296</v>
      </c>
      <c r="M2044" s="28"/>
      <c r="N2044" s="28"/>
      <c r="O2044" s="22" t="str">
        <f t="shared" ref="O2044:O2045" si="30">HYPERLINK("https://abs.twimg.com/sticky/default_profile_images/default_profile_normal.png","View")</f>
        <v>View</v>
      </c>
      <c r="P2044" s="27"/>
    </row>
    <row r="2045">
      <c r="A2045" s="14">
        <v>43031.14494212963</v>
      </c>
      <c r="B2045" s="20" t="str">
        <f>HYPERLINK("https://twitter.com/SrikanthSale","@SrikanthSale")</f>
        <v>@SrikanthSale</v>
      </c>
      <c r="C2045" s="21" t="s">
        <v>4994</v>
      </c>
      <c r="D2045" s="21" t="s">
        <v>42</v>
      </c>
      <c r="E2045" s="22" t="str">
        <f>HYPERLINK("https://twitter.com/SrikanthSale/status/922409442095767552","922409442095767552")</f>
        <v>922409442095767552</v>
      </c>
      <c r="F2045" s="23" t="s">
        <v>33</v>
      </c>
      <c r="G2045" s="24">
        <v>1.0</v>
      </c>
      <c r="H2045" s="24">
        <v>114.0</v>
      </c>
      <c r="I2045" s="24">
        <v>8501.0</v>
      </c>
      <c r="J2045" s="24">
        <v>0.0</v>
      </c>
      <c r="K2045" s="23" t="s">
        <v>34</v>
      </c>
      <c r="L2045" s="25">
        <v>42972.95738425926</v>
      </c>
      <c r="M2045" s="28"/>
      <c r="N2045" s="28"/>
      <c r="O2045" s="22" t="str">
        <f t="shared" si="30"/>
        <v>View</v>
      </c>
      <c r="P2045" s="27"/>
    </row>
    <row r="2046">
      <c r="A2046" s="14">
        <v>43031.14498842593</v>
      </c>
      <c r="B2046" s="20" t="str">
        <f>HYPERLINK("https://twitter.com/AlindBillore","@AlindBillore")</f>
        <v>@AlindBillore</v>
      </c>
      <c r="C2046" s="21" t="s">
        <v>4995</v>
      </c>
      <c r="D2046" s="21" t="s">
        <v>42</v>
      </c>
      <c r="E2046" s="22" t="str">
        <f>HYPERLINK("https://twitter.com/AlindBillore/status/922409458772398080","922409458772398080")</f>
        <v>922409458772398080</v>
      </c>
      <c r="F2046" s="23" t="s">
        <v>33</v>
      </c>
      <c r="G2046" s="24">
        <v>285.0</v>
      </c>
      <c r="H2046" s="24">
        <v>204.0</v>
      </c>
      <c r="I2046" s="24">
        <v>8501.0</v>
      </c>
      <c r="J2046" s="24">
        <v>0.0</v>
      </c>
      <c r="K2046" s="23" t="s">
        <v>34</v>
      </c>
      <c r="L2046" s="25">
        <v>39989.397314814814</v>
      </c>
      <c r="M2046" s="26" t="s">
        <v>204</v>
      </c>
      <c r="N2046" s="26" t="s">
        <v>4996</v>
      </c>
      <c r="O2046" s="22" t="str">
        <f>HYPERLINK("https://pbs.twimg.com/profile_images/624886840764436481/CpF3nNNm_normal.jpg","View")</f>
        <v>View</v>
      </c>
      <c r="P2046" s="27"/>
    </row>
    <row r="2047">
      <c r="A2047" s="14">
        <v>43031.14503472223</v>
      </c>
      <c r="B2047" s="20" t="str">
        <f>HYPERLINK("https://twitter.com/SShealan","@SShealan")</f>
        <v>@SShealan</v>
      </c>
      <c r="C2047" s="21" t="s">
        <v>4997</v>
      </c>
      <c r="D2047" s="21" t="s">
        <v>42</v>
      </c>
      <c r="E2047" s="22" t="str">
        <f>HYPERLINK("https://twitter.com/SShealan/status/922409476442931200","922409476442931200")</f>
        <v>922409476442931200</v>
      </c>
      <c r="F2047" s="23" t="s">
        <v>39</v>
      </c>
      <c r="G2047" s="24">
        <v>1131.0</v>
      </c>
      <c r="H2047" s="24">
        <v>927.0</v>
      </c>
      <c r="I2047" s="24">
        <v>8501.0</v>
      </c>
      <c r="J2047" s="24">
        <v>0.0</v>
      </c>
      <c r="K2047" s="23" t="s">
        <v>34</v>
      </c>
      <c r="L2047" s="25">
        <v>40914.89359953704</v>
      </c>
      <c r="M2047" s="26" t="s">
        <v>4998</v>
      </c>
      <c r="N2047" s="26" t="s">
        <v>4999</v>
      </c>
      <c r="O2047" s="22" t="str">
        <f>HYPERLINK("https://pbs.twimg.com/profile_images/542634464069689344/wkqTMicn_normal.jpeg","View")</f>
        <v>View</v>
      </c>
      <c r="P2047" s="27"/>
    </row>
    <row r="2048">
      <c r="A2048" s="14">
        <v>43031.14506944444</v>
      </c>
      <c r="B2048" s="20" t="str">
        <f>HYPERLINK("https://twitter.com/EugeneVDebs3","@EugeneVDebs3")</f>
        <v>@EugeneVDebs3</v>
      </c>
      <c r="C2048" s="21" t="s">
        <v>5000</v>
      </c>
      <c r="D2048" s="21" t="s">
        <v>5001</v>
      </c>
      <c r="E2048" s="22" t="str">
        <f>HYPERLINK("https://twitter.com/EugeneVDebs3/status/922409490787524608","922409490787524608")</f>
        <v>922409490787524608</v>
      </c>
      <c r="F2048" s="23" t="s">
        <v>55</v>
      </c>
      <c r="G2048" s="24">
        <v>10454.0</v>
      </c>
      <c r="H2048" s="24">
        <v>9557.0</v>
      </c>
      <c r="I2048" s="24">
        <v>1.0</v>
      </c>
      <c r="J2048" s="24">
        <v>1.0</v>
      </c>
      <c r="K2048" s="23" t="s">
        <v>34</v>
      </c>
      <c r="L2048" s="25">
        <v>41094.18988425926</v>
      </c>
      <c r="M2048" s="28"/>
      <c r="N2048" s="26" t="s">
        <v>5002</v>
      </c>
      <c r="O2048" s="22" t="str">
        <f>HYPERLINK("https://pbs.twimg.com/profile_images/2369561235/v8tyhks6r2eas371mnlp_normal.jpeg","View")</f>
        <v>View</v>
      </c>
      <c r="P2048" s="27"/>
    </row>
    <row r="2049">
      <c r="A2049" s="14">
        <v>43031.14518518519</v>
      </c>
      <c r="B2049" s="20" t="str">
        <f>HYPERLINK("https://twitter.com/Mayank9393","@Mayank9393")</f>
        <v>@Mayank9393</v>
      </c>
      <c r="C2049" s="21" t="s">
        <v>5003</v>
      </c>
      <c r="D2049" s="21" t="s">
        <v>42</v>
      </c>
      <c r="E2049" s="22" t="str">
        <f>HYPERLINK("https://twitter.com/Mayank9393/status/922409532407590912","922409532407590912")</f>
        <v>922409532407590912</v>
      </c>
      <c r="F2049" s="23" t="s">
        <v>39</v>
      </c>
      <c r="G2049" s="24">
        <v>534.0</v>
      </c>
      <c r="H2049" s="24">
        <v>815.0</v>
      </c>
      <c r="I2049" s="24">
        <v>8501.0</v>
      </c>
      <c r="J2049" s="24">
        <v>0.0</v>
      </c>
      <c r="K2049" s="23" t="s">
        <v>34</v>
      </c>
      <c r="L2049" s="25">
        <v>40888.2374537037</v>
      </c>
      <c r="M2049" s="28"/>
      <c r="N2049" s="26" t="s">
        <v>5004</v>
      </c>
      <c r="O2049" s="22" t="str">
        <f>HYPERLINK("https://pbs.twimg.com/profile_images/853878289118703616/IhytEc-9_normal.jpg","View")</f>
        <v>View</v>
      </c>
      <c r="P2049" s="27"/>
    </row>
    <row r="2050">
      <c r="A2050" s="14">
        <v>43031.145254629635</v>
      </c>
      <c r="B2050" s="20" t="str">
        <f>HYPERLINK("https://twitter.com/tisaiyan","@tisaiyan")</f>
        <v>@tisaiyan</v>
      </c>
      <c r="C2050" s="21" t="s">
        <v>5005</v>
      </c>
      <c r="D2050" s="21" t="s">
        <v>42</v>
      </c>
      <c r="E2050" s="22" t="str">
        <f>HYPERLINK("https://twitter.com/tisaiyan/status/922409557229309952","922409557229309952")</f>
        <v>922409557229309952</v>
      </c>
      <c r="F2050" s="23" t="s">
        <v>635</v>
      </c>
      <c r="G2050" s="24">
        <v>948.0</v>
      </c>
      <c r="H2050" s="24">
        <v>325.0</v>
      </c>
      <c r="I2050" s="24">
        <v>8501.0</v>
      </c>
      <c r="J2050" s="24">
        <v>0.0</v>
      </c>
      <c r="K2050" s="23" t="s">
        <v>34</v>
      </c>
      <c r="L2050" s="25">
        <v>40548.88630787037</v>
      </c>
      <c r="M2050" s="26" t="s">
        <v>4620</v>
      </c>
      <c r="N2050" s="26" t="s">
        <v>5006</v>
      </c>
      <c r="O2050" s="22" t="str">
        <f>HYPERLINK("https://pbs.twimg.com/profile_images/845485564308570112/tEXMkHK3_normal.jpg","View")</f>
        <v>View</v>
      </c>
      <c r="P2050" s="27"/>
    </row>
    <row r="2051">
      <c r="A2051" s="14">
        <v>43031.145266203705</v>
      </c>
      <c r="B2051" s="20" t="str">
        <f>HYPERLINK("https://twitter.com/narende92664854","@narende92664854")</f>
        <v>@narende92664854</v>
      </c>
      <c r="C2051" s="21" t="s">
        <v>5007</v>
      </c>
      <c r="D2051" s="21" t="s">
        <v>42</v>
      </c>
      <c r="E2051" s="22" t="str">
        <f>HYPERLINK("https://twitter.com/narende92664854/status/922409558873477120","922409558873477120")</f>
        <v>922409558873477120</v>
      </c>
      <c r="F2051" s="23" t="s">
        <v>33</v>
      </c>
      <c r="G2051" s="24">
        <v>5.0</v>
      </c>
      <c r="H2051" s="24">
        <v>39.0</v>
      </c>
      <c r="I2051" s="24">
        <v>8501.0</v>
      </c>
      <c r="J2051" s="24">
        <v>0.0</v>
      </c>
      <c r="K2051" s="23" t="s">
        <v>34</v>
      </c>
      <c r="L2051" s="25">
        <v>42309.24895833334</v>
      </c>
      <c r="M2051" s="26" t="s">
        <v>2189</v>
      </c>
      <c r="N2051" s="28"/>
      <c r="O2051" s="22" t="str">
        <f>HYPERLINK("https://pbs.twimg.com/profile_images/914841494099443712/DWTVFXEJ_normal.jpg","View")</f>
        <v>View</v>
      </c>
      <c r="P2051" s="27"/>
    </row>
    <row r="2052">
      <c r="A2052" s="14">
        <v>43031.145266203705</v>
      </c>
      <c r="B2052" s="20" t="str">
        <f>HYPERLINK("https://twitter.com/krishna_Mohan_k","@krishna_Mohan_k")</f>
        <v>@krishna_Mohan_k</v>
      </c>
      <c r="C2052" s="21" t="s">
        <v>5008</v>
      </c>
      <c r="D2052" s="21" t="s">
        <v>42</v>
      </c>
      <c r="E2052" s="22" t="str">
        <f>HYPERLINK("https://twitter.com/krishna_Mohan_k/status/922409561117491200","922409561117491200")</f>
        <v>922409561117491200</v>
      </c>
      <c r="F2052" s="23" t="s">
        <v>33</v>
      </c>
      <c r="G2052" s="24">
        <v>489.0</v>
      </c>
      <c r="H2052" s="24">
        <v>920.0</v>
      </c>
      <c r="I2052" s="24">
        <v>8501.0</v>
      </c>
      <c r="J2052" s="24">
        <v>0.0</v>
      </c>
      <c r="K2052" s="23" t="s">
        <v>34</v>
      </c>
      <c r="L2052" s="25">
        <v>40233.989074074074</v>
      </c>
      <c r="M2052" s="26" t="s">
        <v>204</v>
      </c>
      <c r="N2052" s="26" t="s">
        <v>5009</v>
      </c>
      <c r="O2052" s="22" t="str">
        <f>HYPERLINK("https://pbs.twimg.com/profile_images/903809461034172416/Sspf6JAZ_normal.jpg","View")</f>
        <v>View</v>
      </c>
      <c r="P2052" s="27"/>
    </row>
    <row r="2053">
      <c r="A2053" s="14">
        <v>43031.145277777774</v>
      </c>
      <c r="B2053" s="20" t="str">
        <f>HYPERLINK("https://twitter.com/atultyagi10","@atultyagi10")</f>
        <v>@atultyagi10</v>
      </c>
      <c r="C2053" s="21" t="s">
        <v>5010</v>
      </c>
      <c r="D2053" s="21" t="s">
        <v>42</v>
      </c>
      <c r="E2053" s="22" t="str">
        <f>HYPERLINK("https://twitter.com/atultyagi10/status/922409565341204480","922409565341204480")</f>
        <v>922409565341204480</v>
      </c>
      <c r="F2053" s="23" t="s">
        <v>39</v>
      </c>
      <c r="G2053" s="24">
        <v>60.0</v>
      </c>
      <c r="H2053" s="24">
        <v>98.0</v>
      </c>
      <c r="I2053" s="24">
        <v>8501.0</v>
      </c>
      <c r="J2053" s="24">
        <v>0.0</v>
      </c>
      <c r="K2053" s="23" t="s">
        <v>34</v>
      </c>
      <c r="L2053" s="25">
        <v>40049.48986111111</v>
      </c>
      <c r="M2053" s="26" t="s">
        <v>3295</v>
      </c>
      <c r="N2053" s="28"/>
      <c r="O2053" s="22" t="str">
        <f>HYPERLINK("https://pbs.twimg.com/profile_images/731884318344142848/pRThc4A8_normal.jpg","View")</f>
        <v>View</v>
      </c>
      <c r="P2053" s="27"/>
    </row>
    <row r="2054">
      <c r="A2054" s="14">
        <v>43031.14530092593</v>
      </c>
      <c r="B2054" s="20" t="str">
        <f>HYPERLINK("https://twitter.com/Bieguemot","@Bieguemot")</f>
        <v>@Bieguemot</v>
      </c>
      <c r="C2054" s="21" t="s">
        <v>5011</v>
      </c>
      <c r="D2054" s="21" t="s">
        <v>5012</v>
      </c>
      <c r="E2054" s="22" t="str">
        <f>HYPERLINK("https://twitter.com/Bieguemot/status/922409574774329344","922409574774329344")</f>
        <v>922409574774329344</v>
      </c>
      <c r="F2054" s="23" t="s">
        <v>230</v>
      </c>
      <c r="G2054" s="24">
        <v>148.0</v>
      </c>
      <c r="H2054" s="24">
        <v>406.0</v>
      </c>
      <c r="I2054" s="24">
        <v>1.0</v>
      </c>
      <c r="J2054" s="24">
        <v>0.0</v>
      </c>
      <c r="K2054" s="23" t="s">
        <v>34</v>
      </c>
      <c r="L2054" s="25">
        <v>41521.316145833334</v>
      </c>
      <c r="M2054" s="28"/>
      <c r="N2054" s="28"/>
      <c r="O2054" s="22" t="str">
        <f>HYPERLINK("https://pbs.twimg.com/profile_images/870280736296882177/XaR97Vyz_normal.jpg","View")</f>
        <v>View</v>
      </c>
      <c r="P2054" s="27"/>
    </row>
    <row r="2055">
      <c r="A2055" s="14">
        <v>43031.14539351852</v>
      </c>
      <c r="B2055" s="20" t="str">
        <f>HYPERLINK("https://twitter.com/VeekramYaadav","@VeekramYaadav")</f>
        <v>@VeekramYaadav</v>
      </c>
      <c r="C2055" s="21" t="s">
        <v>5013</v>
      </c>
      <c r="D2055" s="21" t="s">
        <v>42</v>
      </c>
      <c r="E2055" s="22" t="str">
        <f>HYPERLINK("https://twitter.com/VeekramYaadav/status/922409607036882944","922409607036882944")</f>
        <v>922409607036882944</v>
      </c>
      <c r="F2055" s="23" t="s">
        <v>33</v>
      </c>
      <c r="G2055" s="24">
        <v>5.0</v>
      </c>
      <c r="H2055" s="24">
        <v>8.0</v>
      </c>
      <c r="I2055" s="24">
        <v>8501.0</v>
      </c>
      <c r="J2055" s="24">
        <v>0.0</v>
      </c>
      <c r="K2055" s="23" t="s">
        <v>34</v>
      </c>
      <c r="L2055" s="25">
        <v>43017.43821759259</v>
      </c>
      <c r="M2055" s="26" t="s">
        <v>5014</v>
      </c>
      <c r="N2055" s="26" t="s">
        <v>5015</v>
      </c>
      <c r="O2055" s="22" t="str">
        <f>HYPERLINK("https://pbs.twimg.com/profile_images/918039343939305472/weAsO1nx_normal.jpg","View")</f>
        <v>View</v>
      </c>
      <c r="P2055" s="27"/>
    </row>
    <row r="2056">
      <c r="A2056" s="14">
        <v>43031.1454050926</v>
      </c>
      <c r="B2056" s="20" t="str">
        <f>HYPERLINK("https://twitter.com/nukamisotu","@nukamisotu")</f>
        <v>@nukamisotu</v>
      </c>
      <c r="C2056" s="21" t="s">
        <v>5016</v>
      </c>
      <c r="D2056" s="21" t="s">
        <v>42</v>
      </c>
      <c r="E2056" s="22" t="str">
        <f>HYPERLINK("https://twitter.com/nukamisotu/status/922409609574342656","922409609574342656")</f>
        <v>922409609574342656</v>
      </c>
      <c r="F2056" s="23" t="s">
        <v>230</v>
      </c>
      <c r="G2056" s="24">
        <v>160.0</v>
      </c>
      <c r="H2056" s="24">
        <v>491.0</v>
      </c>
      <c r="I2056" s="24">
        <v>8501.0</v>
      </c>
      <c r="J2056" s="24">
        <v>0.0</v>
      </c>
      <c r="K2056" s="23" t="s">
        <v>34</v>
      </c>
      <c r="L2056" s="25">
        <v>42269.99179398148</v>
      </c>
      <c r="M2056" s="26" t="s">
        <v>71</v>
      </c>
      <c r="N2056" s="26" t="s">
        <v>5017</v>
      </c>
      <c r="O2056" s="22" t="str">
        <f>HYPERLINK("https://abs.twimg.com/sticky/default_profile_images/default_profile_normal.png","View")</f>
        <v>View</v>
      </c>
      <c r="P2056" s="27"/>
    </row>
    <row r="2057">
      <c r="A2057" s="14">
        <v>43031.145416666666</v>
      </c>
      <c r="B2057" s="20" t="str">
        <f>HYPERLINK("https://twitter.com/f1fanster1217","@f1fanster1217")</f>
        <v>@f1fanster1217</v>
      </c>
      <c r="C2057" s="21" t="s">
        <v>5018</v>
      </c>
      <c r="D2057" s="21" t="s">
        <v>42</v>
      </c>
      <c r="E2057" s="22" t="str">
        <f>HYPERLINK("https://twitter.com/f1fanster1217/status/922409615437979648","922409615437979648")</f>
        <v>922409615437979648</v>
      </c>
      <c r="F2057" s="23" t="s">
        <v>39</v>
      </c>
      <c r="G2057" s="24">
        <v>531.0</v>
      </c>
      <c r="H2057" s="24">
        <v>3399.0</v>
      </c>
      <c r="I2057" s="24">
        <v>8501.0</v>
      </c>
      <c r="J2057" s="24">
        <v>0.0</v>
      </c>
      <c r="K2057" s="23" t="s">
        <v>34</v>
      </c>
      <c r="L2057" s="25">
        <v>40237.12825231481</v>
      </c>
      <c r="M2057" s="26" t="s">
        <v>5019</v>
      </c>
      <c r="N2057" s="26" t="s">
        <v>5020</v>
      </c>
      <c r="O2057" s="22" t="str">
        <f>HYPERLINK("https://pbs.twimg.com/profile_images/887211317710397440/mOn_yg96_normal.jpg","View")</f>
        <v>View</v>
      </c>
      <c r="P2057" s="27"/>
    </row>
    <row r="2058">
      <c r="A2058" s="14">
        <v>43031.14568287037</v>
      </c>
      <c r="B2058" s="20" t="str">
        <f>HYPERLINK("https://twitter.com/28pnB8pIchVuCCH","@28pnB8pIchVuCCH")</f>
        <v>@28pnB8pIchVuCCH</v>
      </c>
      <c r="C2058" s="21" t="s">
        <v>5021</v>
      </c>
      <c r="D2058" s="21" t="s">
        <v>42</v>
      </c>
      <c r="E2058" s="22" t="str">
        <f>HYPERLINK("https://twitter.com/28pnB8pIchVuCCH/status/922409713265885184","922409713265885184")</f>
        <v>922409713265885184</v>
      </c>
      <c r="F2058" s="23" t="s">
        <v>39</v>
      </c>
      <c r="G2058" s="24">
        <v>69.0</v>
      </c>
      <c r="H2058" s="24">
        <v>117.0</v>
      </c>
      <c r="I2058" s="24">
        <v>8501.0</v>
      </c>
      <c r="J2058" s="24">
        <v>0.0</v>
      </c>
      <c r="K2058" s="23" t="s">
        <v>34</v>
      </c>
      <c r="L2058" s="25">
        <v>43025.80695601852</v>
      </c>
      <c r="M2058" s="26" t="s">
        <v>5022</v>
      </c>
      <c r="N2058" s="26" t="s">
        <v>5023</v>
      </c>
      <c r="O2058" s="22" t="str">
        <f>HYPERLINK("https://abs.twimg.com/sticky/default_profile_images/default_profile_normal.png","View")</f>
        <v>View</v>
      </c>
      <c r="P2058" s="27"/>
    </row>
    <row r="2059">
      <c r="A2059" s="14">
        <v>43031.14569444444</v>
      </c>
      <c r="B2059" s="20" t="str">
        <f>HYPERLINK("https://twitter.com/aanand_shanker","@aanand_shanker")</f>
        <v>@aanand_shanker</v>
      </c>
      <c r="C2059" s="21" t="s">
        <v>5024</v>
      </c>
      <c r="D2059" s="21" t="s">
        <v>42</v>
      </c>
      <c r="E2059" s="22" t="str">
        <f>HYPERLINK("https://twitter.com/aanand_shanker/status/922409716185051136","922409716185051136")</f>
        <v>922409716185051136</v>
      </c>
      <c r="F2059" s="23" t="s">
        <v>33</v>
      </c>
      <c r="G2059" s="24">
        <v>274.0</v>
      </c>
      <c r="H2059" s="24">
        <v>1811.0</v>
      </c>
      <c r="I2059" s="24">
        <v>8501.0</v>
      </c>
      <c r="J2059" s="24">
        <v>0.0</v>
      </c>
      <c r="K2059" s="23" t="s">
        <v>34</v>
      </c>
      <c r="L2059" s="25">
        <v>40070.99130787037</v>
      </c>
      <c r="M2059" s="26" t="s">
        <v>204</v>
      </c>
      <c r="N2059" s="26" t="s">
        <v>5025</v>
      </c>
      <c r="O2059" s="22" t="str">
        <f>HYPERLINK("https://pbs.twimg.com/profile_images/520225370528702467/pP8Pi6tI_normal.jpeg","View")</f>
        <v>View</v>
      </c>
      <c r="P2059" s="27"/>
    </row>
    <row r="2060">
      <c r="A2060" s="14">
        <v>43031.14579861111</v>
      </c>
      <c r="B2060" s="20" t="str">
        <f>HYPERLINK("https://twitter.com/tori_fue","@tori_fue")</f>
        <v>@tori_fue</v>
      </c>
      <c r="C2060" s="21" t="s">
        <v>5026</v>
      </c>
      <c r="D2060" s="21" t="s">
        <v>42</v>
      </c>
      <c r="E2060" s="22" t="str">
        <f>HYPERLINK("https://twitter.com/tori_fue/status/922409754000900101","922409754000900101")</f>
        <v>922409754000900101</v>
      </c>
      <c r="F2060" s="23" t="s">
        <v>39</v>
      </c>
      <c r="G2060" s="24">
        <v>144.0</v>
      </c>
      <c r="H2060" s="24">
        <v>202.0</v>
      </c>
      <c r="I2060" s="24">
        <v>8501.0</v>
      </c>
      <c r="J2060" s="24">
        <v>0.0</v>
      </c>
      <c r="K2060" s="23" t="s">
        <v>34</v>
      </c>
      <c r="L2060" s="25">
        <v>42050.87290509259</v>
      </c>
      <c r="M2060" s="28"/>
      <c r="N2060" s="26" t="s">
        <v>5027</v>
      </c>
      <c r="O2060" s="22" t="str">
        <f>HYPERLINK("https://pbs.twimg.com/profile_images/567188603462103040/0Gl-jBEK_normal.jpeg","View")</f>
        <v>View</v>
      </c>
      <c r="P2060" s="27"/>
    </row>
    <row r="2061">
      <c r="A2061" s="14">
        <v>43031.145891203705</v>
      </c>
      <c r="B2061" s="20" t="str">
        <f>HYPERLINK("https://twitter.com/YaDangayach","@YaDangayach")</f>
        <v>@YaDangayach</v>
      </c>
      <c r="C2061" s="21" t="s">
        <v>5028</v>
      </c>
      <c r="D2061" s="21" t="s">
        <v>163</v>
      </c>
      <c r="E2061" s="22" t="str">
        <f>HYPERLINK("https://twitter.com/YaDangayach/status/922409787064758272","922409787064758272")</f>
        <v>922409787064758272</v>
      </c>
      <c r="F2061" s="23" t="s">
        <v>39</v>
      </c>
      <c r="G2061" s="24">
        <v>274.0</v>
      </c>
      <c r="H2061" s="24">
        <v>230.0</v>
      </c>
      <c r="I2061" s="24">
        <v>1005.0</v>
      </c>
      <c r="J2061" s="24">
        <v>0.0</v>
      </c>
      <c r="K2061" s="23" t="s">
        <v>34</v>
      </c>
      <c r="L2061" s="25">
        <v>41753.23569444445</v>
      </c>
      <c r="M2061" s="26" t="s">
        <v>5029</v>
      </c>
      <c r="N2061" s="26" t="s">
        <v>5030</v>
      </c>
      <c r="O2061" s="22" t="str">
        <f>HYPERLINK("https://pbs.twimg.com/profile_images/835556115685474304/VUQU5OSM_normal.jpg","View")</f>
        <v>View</v>
      </c>
      <c r="P2061" s="27"/>
    </row>
    <row r="2062">
      <c r="A2062" s="14">
        <v>43031.1459375</v>
      </c>
      <c r="B2062" s="20" t="str">
        <f>HYPERLINK("https://twitter.com/upadhyay0786","@upadhyay0786")</f>
        <v>@upadhyay0786</v>
      </c>
      <c r="C2062" s="21" t="s">
        <v>5031</v>
      </c>
      <c r="D2062" s="21" t="s">
        <v>42</v>
      </c>
      <c r="E2062" s="22" t="str">
        <f>HYPERLINK("https://twitter.com/upadhyay0786/status/922409806035525632","922409806035525632")</f>
        <v>922409806035525632</v>
      </c>
      <c r="F2062" s="23" t="s">
        <v>43</v>
      </c>
      <c r="G2062" s="24">
        <v>4.0</v>
      </c>
      <c r="H2062" s="24">
        <v>46.0</v>
      </c>
      <c r="I2062" s="24">
        <v>8501.0</v>
      </c>
      <c r="J2062" s="24">
        <v>0.0</v>
      </c>
      <c r="K2062" s="23" t="s">
        <v>34</v>
      </c>
      <c r="L2062" s="25">
        <v>41692.08400462963</v>
      </c>
      <c r="M2062" s="28"/>
      <c r="N2062" s="28"/>
      <c r="O2062" s="22" t="str">
        <f>HYPERLINK("https://pbs.twimg.com/profile_images/437165256180109313/svhV1kys_normal.jpeg","View")</f>
        <v>View</v>
      </c>
      <c r="P2062" s="27"/>
    </row>
    <row r="2063">
      <c r="A2063" s="14">
        <v>43031.1460300926</v>
      </c>
      <c r="B2063" s="20" t="str">
        <f>HYPERLINK("https://twitter.com/devans00","@devans00")</f>
        <v>@devans00</v>
      </c>
      <c r="C2063" s="21" t="s">
        <v>5032</v>
      </c>
      <c r="D2063" s="21" t="s">
        <v>2456</v>
      </c>
      <c r="E2063" s="22" t="str">
        <f>HYPERLINK("https://twitter.com/devans00/status/922409837195026433","922409837195026433")</f>
        <v>922409837195026433</v>
      </c>
      <c r="F2063" s="23" t="s">
        <v>230</v>
      </c>
      <c r="G2063" s="24">
        <v>1823.0</v>
      </c>
      <c r="H2063" s="24">
        <v>2956.0</v>
      </c>
      <c r="I2063" s="24">
        <v>49.0</v>
      </c>
      <c r="J2063" s="24">
        <v>0.0</v>
      </c>
      <c r="K2063" s="23" t="s">
        <v>34</v>
      </c>
      <c r="L2063" s="25">
        <v>39596.32928240741</v>
      </c>
      <c r="M2063" s="26" t="s">
        <v>5033</v>
      </c>
      <c r="N2063" s="26" t="s">
        <v>5034</v>
      </c>
      <c r="O2063" s="22" t="str">
        <f>HYPERLINK("https://pbs.twimg.com/profile_images/2892911005/35c70a1d9eb9dafbfd28eb7b9b37594e_normal.jpeg","View")</f>
        <v>View</v>
      </c>
      <c r="P2063" s="27"/>
    </row>
    <row r="2064">
      <c r="A2064" s="14">
        <v>43031.14611111111</v>
      </c>
      <c r="B2064" s="20" t="str">
        <f>HYPERLINK("https://twitter.com/ramukonare77","@ramukonare77")</f>
        <v>@ramukonare77</v>
      </c>
      <c r="C2064" s="21" t="s">
        <v>5035</v>
      </c>
      <c r="D2064" s="21" t="s">
        <v>42</v>
      </c>
      <c r="E2064" s="22" t="str">
        <f>HYPERLINK("https://twitter.com/ramukonare77/status/922409866609680385","922409866609680385")</f>
        <v>922409866609680385</v>
      </c>
      <c r="F2064" s="23" t="s">
        <v>33</v>
      </c>
      <c r="G2064" s="24">
        <v>161.0</v>
      </c>
      <c r="H2064" s="24">
        <v>415.0</v>
      </c>
      <c r="I2064" s="24">
        <v>8501.0</v>
      </c>
      <c r="J2064" s="24">
        <v>0.0</v>
      </c>
      <c r="K2064" s="23" t="s">
        <v>34</v>
      </c>
      <c r="L2064" s="25">
        <v>42682.42277777778</v>
      </c>
      <c r="M2064" s="26" t="s">
        <v>603</v>
      </c>
      <c r="N2064" s="26" t="s">
        <v>5036</v>
      </c>
      <c r="O2064" s="22" t="str">
        <f>HYPERLINK("https://pbs.twimg.com/profile_images/914699950004383744/TiK7xOao_normal.jpg","View")</f>
        <v>View</v>
      </c>
      <c r="P2064" s="27"/>
    </row>
    <row r="2065">
      <c r="A2065" s="14">
        <v>43031.14616898148</v>
      </c>
      <c r="B2065" s="20" t="str">
        <f>HYPERLINK("https://twitter.com/KIMURATakahiro","@KIMURATakahiro")</f>
        <v>@KIMURATakahiro</v>
      </c>
      <c r="C2065" s="21" t="s">
        <v>5037</v>
      </c>
      <c r="D2065" s="21" t="s">
        <v>3867</v>
      </c>
      <c r="E2065" s="22" t="str">
        <f>HYPERLINK("https://twitter.com/KIMURATakahiro/status/922409889988616193","922409889988616193")</f>
        <v>922409889988616193</v>
      </c>
      <c r="F2065" s="23" t="s">
        <v>33</v>
      </c>
      <c r="G2065" s="24">
        <v>129.0</v>
      </c>
      <c r="H2065" s="24">
        <v>65.0</v>
      </c>
      <c r="I2065" s="24">
        <v>23.0</v>
      </c>
      <c r="J2065" s="24">
        <v>0.0</v>
      </c>
      <c r="K2065" s="23" t="s">
        <v>34</v>
      </c>
      <c r="L2065" s="25">
        <v>40338.88113425926</v>
      </c>
      <c r="M2065" s="26" t="s">
        <v>5038</v>
      </c>
      <c r="N2065" s="26" t="s">
        <v>5039</v>
      </c>
      <c r="O2065" s="22" t="str">
        <f>HYPERLINK("https://pbs.twimg.com/profile_images/1104155776/image_normal.jpg","View")</f>
        <v>View</v>
      </c>
      <c r="P2065" s="27"/>
    </row>
    <row r="2066">
      <c r="A2066" s="14">
        <v>43031.146273148144</v>
      </c>
      <c r="B2066" s="20" t="str">
        <f>HYPERLINK("https://twitter.com/catchakhilesh","@catchakhilesh")</f>
        <v>@catchakhilesh</v>
      </c>
      <c r="C2066" s="21" t="s">
        <v>5040</v>
      </c>
      <c r="D2066" s="21" t="s">
        <v>42</v>
      </c>
      <c r="E2066" s="22" t="str">
        <f>HYPERLINK("https://twitter.com/catchakhilesh/status/922409924612812800","922409924612812800")</f>
        <v>922409924612812800</v>
      </c>
      <c r="F2066" s="23" t="s">
        <v>39</v>
      </c>
      <c r="G2066" s="24">
        <v>99.0</v>
      </c>
      <c r="H2066" s="24">
        <v>328.0</v>
      </c>
      <c r="I2066" s="24">
        <v>8501.0</v>
      </c>
      <c r="J2066" s="24">
        <v>0.0</v>
      </c>
      <c r="K2066" s="23" t="s">
        <v>34</v>
      </c>
      <c r="L2066" s="25">
        <v>40080.410266203704</v>
      </c>
      <c r="M2066" s="26" t="s">
        <v>5041</v>
      </c>
      <c r="N2066" s="28"/>
      <c r="O2066" s="22" t="str">
        <f>HYPERLINK("https://pbs.twimg.com/profile_images/412775769484455938/yZkBCA05_normal.jpeg","View")</f>
        <v>View</v>
      </c>
      <c r="P2066" s="27"/>
    </row>
    <row r="2067">
      <c r="A2067" s="14">
        <v>43031.14638888889</v>
      </c>
      <c r="B2067" s="20" t="str">
        <f>HYPERLINK("https://twitter.com/Akash_Rahatal","@Akash_Rahatal")</f>
        <v>@Akash_Rahatal</v>
      </c>
      <c r="C2067" s="21" t="s">
        <v>5042</v>
      </c>
      <c r="D2067" s="21" t="s">
        <v>42</v>
      </c>
      <c r="E2067" s="22" t="str">
        <f>HYPERLINK("https://twitter.com/Akash_Rahatal/status/922409966094319616","922409966094319616")</f>
        <v>922409966094319616</v>
      </c>
      <c r="F2067" s="23" t="s">
        <v>33</v>
      </c>
      <c r="G2067" s="24">
        <v>391.0</v>
      </c>
      <c r="H2067" s="24">
        <v>3022.0</v>
      </c>
      <c r="I2067" s="24">
        <v>8501.0</v>
      </c>
      <c r="J2067" s="24">
        <v>0.0</v>
      </c>
      <c r="K2067" s="23" t="s">
        <v>34</v>
      </c>
      <c r="L2067" s="25">
        <v>40719.93059027778</v>
      </c>
      <c r="M2067" s="26" t="s">
        <v>617</v>
      </c>
      <c r="N2067" s="26" t="s">
        <v>5043</v>
      </c>
      <c r="O2067" s="22" t="str">
        <f>HYPERLINK("https://pbs.twimg.com/profile_images/908602126540009472/frekyghu_normal.jpg","View")</f>
        <v>View</v>
      </c>
      <c r="P2067" s="27"/>
    </row>
    <row r="2068">
      <c r="A2068" s="14">
        <v>43031.14640046297</v>
      </c>
      <c r="B2068" s="20" t="str">
        <f>HYPERLINK("https://twitter.com/leaton01","@leaton01")</f>
        <v>@leaton01</v>
      </c>
      <c r="C2068" s="21" t="s">
        <v>5044</v>
      </c>
      <c r="D2068" s="21" t="s">
        <v>5045</v>
      </c>
      <c r="E2068" s="22" t="str">
        <f>HYPERLINK("https://twitter.com/leaton01/status/922409973837123590","922409973837123590")</f>
        <v>922409973837123590</v>
      </c>
      <c r="F2068" s="23" t="s">
        <v>427</v>
      </c>
      <c r="G2068" s="24">
        <v>952.0</v>
      </c>
      <c r="H2068" s="24">
        <v>2188.0</v>
      </c>
      <c r="I2068" s="24">
        <v>0.0</v>
      </c>
      <c r="J2068" s="24">
        <v>0.0</v>
      </c>
      <c r="K2068" s="23" t="s">
        <v>34</v>
      </c>
      <c r="L2068" s="25">
        <v>39654.00450231481</v>
      </c>
      <c r="M2068" s="26" t="s">
        <v>5046</v>
      </c>
      <c r="N2068" s="26" t="s">
        <v>5047</v>
      </c>
      <c r="O2068" s="22" t="str">
        <f>HYPERLINK("https://pbs.twimg.com/profile_images/908136278239129601/tvC8Xj59_normal.jpg","View")</f>
        <v>View</v>
      </c>
      <c r="P2068" s="27"/>
    </row>
    <row r="2069">
      <c r="A2069" s="14">
        <v>43031.146469907406</v>
      </c>
      <c r="B2069" s="20" t="str">
        <f>HYPERLINK("https://twitter.com/UK_NewsWaver","@UK_NewsWaver")</f>
        <v>@UK_NewsWaver</v>
      </c>
      <c r="C2069" s="21" t="s">
        <v>5048</v>
      </c>
      <c r="D2069" s="21" t="s">
        <v>5049</v>
      </c>
      <c r="E2069" s="22" t="str">
        <f>HYPERLINK("https://twitter.com/UK_NewsWaver/status/922409996113113089","922409996113113089")</f>
        <v>922409996113113089</v>
      </c>
      <c r="F2069" s="23" t="s">
        <v>427</v>
      </c>
      <c r="G2069" s="24">
        <v>702.0</v>
      </c>
      <c r="H2069" s="24">
        <v>1782.0</v>
      </c>
      <c r="I2069" s="24">
        <v>0.0</v>
      </c>
      <c r="J2069" s="24">
        <v>0.0</v>
      </c>
      <c r="K2069" s="23" t="s">
        <v>34</v>
      </c>
      <c r="L2069" s="25">
        <v>41329.939675925925</v>
      </c>
      <c r="M2069" s="26" t="s">
        <v>5050</v>
      </c>
      <c r="N2069" s="26" t="s">
        <v>5051</v>
      </c>
      <c r="O2069" s="22" t="str">
        <f>HYPERLINK("https://pbs.twimg.com/profile_images/3305368840/8b6685fccc316b16e9068018639c7d6a_normal.png","View")</f>
        <v>View</v>
      </c>
      <c r="P2069" s="27"/>
    </row>
    <row r="2070">
      <c r="A2070" s="14">
        <v>43031.14653935185</v>
      </c>
      <c r="B2070" s="20" t="str">
        <f>HYPERLINK("https://twitter.com/carocarocjdl","@carocarocjdl")</f>
        <v>@carocarocjdl</v>
      </c>
      <c r="C2070" s="21" t="s">
        <v>5052</v>
      </c>
      <c r="D2070" s="21" t="s">
        <v>4728</v>
      </c>
      <c r="E2070" s="22" t="str">
        <f>HYPERLINK("https://twitter.com/carocarocjdl/status/922410020284915712","922410020284915712")</f>
        <v>922410020284915712</v>
      </c>
      <c r="F2070" s="23" t="s">
        <v>33</v>
      </c>
      <c r="G2070" s="24">
        <v>671.0</v>
      </c>
      <c r="H2070" s="24">
        <v>314.0</v>
      </c>
      <c r="I2070" s="24">
        <v>2.0</v>
      </c>
      <c r="J2070" s="24">
        <v>0.0</v>
      </c>
      <c r="K2070" s="23" t="s">
        <v>34</v>
      </c>
      <c r="L2070" s="25">
        <v>40849.59024305556</v>
      </c>
      <c r="M2070" s="26" t="s">
        <v>5053</v>
      </c>
      <c r="N2070" s="28"/>
      <c r="O2070" s="22" t="str">
        <f>HYPERLINK("https://pbs.twimg.com/profile_images/724018554723401728/r03koF3x_normal.jpg","View")</f>
        <v>View</v>
      </c>
      <c r="P2070" s="27"/>
    </row>
    <row r="2071">
      <c r="A2071" s="14">
        <v>43031.1465625</v>
      </c>
      <c r="B2071" s="20" t="str">
        <f>HYPERLINK("https://twitter.com/ajithr345","@ajithr345")</f>
        <v>@ajithr345</v>
      </c>
      <c r="C2071" s="21" t="s">
        <v>5054</v>
      </c>
      <c r="D2071" s="21" t="s">
        <v>42</v>
      </c>
      <c r="E2071" s="22" t="str">
        <f>HYPERLINK("https://twitter.com/ajithr345/status/922410028824453120","922410028824453120")</f>
        <v>922410028824453120</v>
      </c>
      <c r="F2071" s="23" t="s">
        <v>33</v>
      </c>
      <c r="G2071" s="24">
        <v>3313.0</v>
      </c>
      <c r="H2071" s="24">
        <v>962.0</v>
      </c>
      <c r="I2071" s="24">
        <v>8501.0</v>
      </c>
      <c r="J2071" s="24">
        <v>0.0</v>
      </c>
      <c r="K2071" s="23" t="s">
        <v>34</v>
      </c>
      <c r="L2071" s="25">
        <v>41883.35851851852</v>
      </c>
      <c r="M2071" s="28"/>
      <c r="N2071" s="28"/>
      <c r="O2071" s="22" t="str">
        <f>HYPERLINK("https://pbs.twimg.com/profile_images/909391004142206976/bex_qEtZ_normal.jpg","View")</f>
        <v>View</v>
      </c>
      <c r="P2071" s="27"/>
    </row>
    <row r="2072">
      <c r="A2072" s="14">
        <v>43031.146689814814</v>
      </c>
      <c r="B2072" s="20" t="str">
        <f>HYPERLINK("https://twitter.com/Johnobungu","@Johnobungu")</f>
        <v>@Johnobungu</v>
      </c>
      <c r="C2072" s="21" t="s">
        <v>5055</v>
      </c>
      <c r="D2072" s="21" t="s">
        <v>32</v>
      </c>
      <c r="E2072" s="22" t="str">
        <f>HYPERLINK("https://twitter.com/Johnobungu/status/922410076534697985","922410076534697985")</f>
        <v>922410076534697985</v>
      </c>
      <c r="F2072" s="23" t="s">
        <v>33</v>
      </c>
      <c r="G2072" s="24">
        <v>305.0</v>
      </c>
      <c r="H2072" s="24">
        <v>809.0</v>
      </c>
      <c r="I2072" s="24">
        <v>471.0</v>
      </c>
      <c r="J2072" s="24">
        <v>0.0</v>
      </c>
      <c r="K2072" s="23" t="s">
        <v>34</v>
      </c>
      <c r="L2072" s="25">
        <v>40130.05866898148</v>
      </c>
      <c r="M2072" s="26" t="s">
        <v>282</v>
      </c>
      <c r="N2072" s="26" t="s">
        <v>5056</v>
      </c>
      <c r="O2072" s="22" t="str">
        <f>HYPERLINK("https://pbs.twimg.com/profile_images/812691957478780929/Ah1laB7l_normal.jpg","View")</f>
        <v>View</v>
      </c>
      <c r="P2072" s="27"/>
    </row>
    <row r="2073">
      <c r="A2073" s="14">
        <v>43031.14671296296</v>
      </c>
      <c r="B2073" s="20" t="str">
        <f>HYPERLINK("https://twitter.com/anhooraa","@anhooraa")</f>
        <v>@anhooraa</v>
      </c>
      <c r="C2073" s="21" t="s">
        <v>5057</v>
      </c>
      <c r="D2073" s="21" t="s">
        <v>42</v>
      </c>
      <c r="E2073" s="22" t="str">
        <f>HYPERLINK("https://twitter.com/anhooraa/status/922410085191684097","922410085191684097")</f>
        <v>922410085191684097</v>
      </c>
      <c r="F2073" s="23" t="s">
        <v>33</v>
      </c>
      <c r="G2073" s="24">
        <v>13.0</v>
      </c>
      <c r="H2073" s="24">
        <v>13.0</v>
      </c>
      <c r="I2073" s="24">
        <v>8501.0</v>
      </c>
      <c r="J2073" s="24">
        <v>0.0</v>
      </c>
      <c r="K2073" s="23" t="s">
        <v>34</v>
      </c>
      <c r="L2073" s="25">
        <v>42849.391909722224</v>
      </c>
      <c r="M2073" s="28"/>
      <c r="N2073" s="28"/>
      <c r="O2073" s="22" t="str">
        <f>HYPERLINK("https://pbs.twimg.com/profile_images/856546112471265281/hPYUV6Uu_normal.jpg","View")</f>
        <v>View</v>
      </c>
      <c r="P2073" s="27"/>
    </row>
    <row r="2074">
      <c r="A2074" s="14">
        <v>43031.14671296296</v>
      </c>
      <c r="B2074" s="20" t="str">
        <f>HYPERLINK("https://twitter.com/venturecanvas","@venturecanvas")</f>
        <v>@venturecanvas</v>
      </c>
      <c r="C2074" s="21" t="s">
        <v>5058</v>
      </c>
      <c r="D2074" s="21" t="s">
        <v>5059</v>
      </c>
      <c r="E2074" s="22" t="str">
        <f>HYPERLINK("https://twitter.com/venturecanvas/status/922410086340861952","922410086340861952")</f>
        <v>922410086340861952</v>
      </c>
      <c r="F2074" s="23" t="s">
        <v>5060</v>
      </c>
      <c r="G2074" s="24">
        <v>9664.0</v>
      </c>
      <c r="H2074" s="24">
        <v>9483.0</v>
      </c>
      <c r="I2074" s="24">
        <v>0.0</v>
      </c>
      <c r="J2074" s="24">
        <v>0.0</v>
      </c>
      <c r="K2074" s="23" t="s">
        <v>34</v>
      </c>
      <c r="L2074" s="25">
        <v>42164.33232638889</v>
      </c>
      <c r="M2074" s="26" t="s">
        <v>5061</v>
      </c>
      <c r="N2074" s="26" t="s">
        <v>5062</v>
      </c>
      <c r="O2074" s="22" t="str">
        <f>HYPERLINK("https://pbs.twimg.com/profile_images/643120937882095616/3cP_kmwX_normal.jpg","View")</f>
        <v>View</v>
      </c>
      <c r="P2074" s="27"/>
    </row>
    <row r="2075">
      <c r="A2075" s="14">
        <v>43031.14673611111</v>
      </c>
      <c r="B2075" s="20" t="str">
        <f>HYPERLINK("https://twitter.com/venkat_1705","@venkat_1705")</f>
        <v>@venkat_1705</v>
      </c>
      <c r="C2075" s="21" t="s">
        <v>5063</v>
      </c>
      <c r="D2075" s="21" t="s">
        <v>163</v>
      </c>
      <c r="E2075" s="22" t="str">
        <f>HYPERLINK("https://twitter.com/venkat_1705/status/922410092565217281","922410092565217281")</f>
        <v>922410092565217281</v>
      </c>
      <c r="F2075" s="23" t="s">
        <v>33</v>
      </c>
      <c r="G2075" s="24">
        <v>140.0</v>
      </c>
      <c r="H2075" s="24">
        <v>641.0</v>
      </c>
      <c r="I2075" s="24">
        <v>1005.0</v>
      </c>
      <c r="J2075" s="24">
        <v>0.0</v>
      </c>
      <c r="K2075" s="23" t="s">
        <v>34</v>
      </c>
      <c r="L2075" s="25">
        <v>41470.98944444444</v>
      </c>
      <c r="M2075" s="26" t="s">
        <v>1991</v>
      </c>
      <c r="N2075" s="26" t="s">
        <v>5064</v>
      </c>
      <c r="O2075" s="22" t="str">
        <f>HYPERLINK("https://pbs.twimg.com/profile_images/764711217336246272/F12CXdU1_normal.jpg","View")</f>
        <v>View</v>
      </c>
      <c r="P2075" s="27"/>
    </row>
    <row r="2076">
      <c r="A2076" s="14">
        <v>43031.14681712963</v>
      </c>
      <c r="B2076" s="20" t="str">
        <f>HYPERLINK("https://twitter.com/ivote_d","@ivote_d")</f>
        <v>@ivote_d</v>
      </c>
      <c r="C2076" s="21" t="s">
        <v>5065</v>
      </c>
      <c r="D2076" s="21" t="s">
        <v>67</v>
      </c>
      <c r="E2076" s="22" t="str">
        <f>HYPERLINK("https://twitter.com/ivote_d/status/922410122269417472","922410122269417472")</f>
        <v>922410122269417472</v>
      </c>
      <c r="F2076" s="23" t="s">
        <v>230</v>
      </c>
      <c r="G2076" s="24">
        <v>1178.0</v>
      </c>
      <c r="H2076" s="24">
        <v>122.0</v>
      </c>
      <c r="I2076" s="24">
        <v>169.0</v>
      </c>
      <c r="J2076" s="24">
        <v>0.0</v>
      </c>
      <c r="K2076" s="23" t="s">
        <v>34</v>
      </c>
      <c r="L2076" s="25">
        <v>42733.78465277777</v>
      </c>
      <c r="M2076" s="26" t="s">
        <v>2534</v>
      </c>
      <c r="N2076" s="26" t="s">
        <v>5066</v>
      </c>
      <c r="O2076" s="22" t="str">
        <f>HYPERLINK("https://pbs.twimg.com/profile_images/884148592214241282/dKCiS12R_normal.jpg","View")</f>
        <v>View</v>
      </c>
      <c r="P2076" s="27"/>
    </row>
    <row r="2077">
      <c r="A2077" s="14">
        <v>43031.14681712963</v>
      </c>
      <c r="B2077" s="20" t="str">
        <f>HYPERLINK("https://twitter.com/shrhkdr","@shrhkdr")</f>
        <v>@shrhkdr</v>
      </c>
      <c r="C2077" s="21" t="s">
        <v>5067</v>
      </c>
      <c r="D2077" s="21" t="s">
        <v>1444</v>
      </c>
      <c r="E2077" s="22" t="str">
        <f>HYPERLINK("https://twitter.com/shrhkdr/status/922410124374769665","922410124374769665")</f>
        <v>922410124374769665</v>
      </c>
      <c r="F2077" s="23" t="s">
        <v>33</v>
      </c>
      <c r="G2077" s="24">
        <v>184.0</v>
      </c>
      <c r="H2077" s="24">
        <v>204.0</v>
      </c>
      <c r="I2077" s="24">
        <v>50.0</v>
      </c>
      <c r="J2077" s="24">
        <v>0.0</v>
      </c>
      <c r="K2077" s="23" t="s">
        <v>34</v>
      </c>
      <c r="L2077" s="25">
        <v>42281.89915509259</v>
      </c>
      <c r="M2077" s="26" t="s">
        <v>1764</v>
      </c>
      <c r="N2077" s="26" t="s">
        <v>5068</v>
      </c>
      <c r="O2077" s="22" t="str">
        <f>HYPERLINK("https://pbs.twimg.com/profile_images/922809176316813312/Kq7ERvZe_normal.jpg","View")</f>
        <v>View</v>
      </c>
      <c r="P2077" s="27"/>
    </row>
    <row r="2078">
      <c r="A2078" s="14">
        <v>43031.1468287037</v>
      </c>
      <c r="B2078" s="20" t="str">
        <f>HYPERLINK("https://twitter.com/Wil120mm","@Wil120mm")</f>
        <v>@Wil120mm</v>
      </c>
      <c r="C2078" s="21" t="s">
        <v>5069</v>
      </c>
      <c r="D2078" s="21" t="s">
        <v>5070</v>
      </c>
      <c r="E2078" s="22" t="str">
        <f>HYPERLINK("https://twitter.com/Wil120mm/status/922410127466160128","922410127466160128")</f>
        <v>922410127466160128</v>
      </c>
      <c r="F2078" s="23" t="s">
        <v>33</v>
      </c>
      <c r="G2078" s="24">
        <v>512.0</v>
      </c>
      <c r="H2078" s="24">
        <v>2247.0</v>
      </c>
      <c r="I2078" s="24">
        <v>1.0</v>
      </c>
      <c r="J2078" s="24">
        <v>0.0</v>
      </c>
      <c r="K2078" s="23" t="s">
        <v>34</v>
      </c>
      <c r="L2078" s="25">
        <v>40466.698333333334</v>
      </c>
      <c r="M2078" s="26" t="s">
        <v>4261</v>
      </c>
      <c r="N2078" s="26" t="s">
        <v>5071</v>
      </c>
      <c r="O2078" s="22" t="str">
        <f>HYPERLINK("https://pbs.twimg.com/profile_images/2189643579/6h1acIWU_normal","View")</f>
        <v>View</v>
      </c>
      <c r="P2078" s="27"/>
    </row>
    <row r="2079">
      <c r="A2079" s="14">
        <v>43031.146886574075</v>
      </c>
      <c r="B2079" s="20" t="str">
        <f>HYPERLINK("https://twitter.com/harshrajput","@harshrajput")</f>
        <v>@harshrajput</v>
      </c>
      <c r="C2079" s="21" t="s">
        <v>5072</v>
      </c>
      <c r="D2079" s="21" t="s">
        <v>42</v>
      </c>
      <c r="E2079" s="22" t="str">
        <f>HYPERLINK("https://twitter.com/harshrajput/status/922410148005425153","922410148005425153")</f>
        <v>922410148005425153</v>
      </c>
      <c r="F2079" s="23" t="s">
        <v>33</v>
      </c>
      <c r="G2079" s="24">
        <v>351.0</v>
      </c>
      <c r="H2079" s="24">
        <v>360.0</v>
      </c>
      <c r="I2079" s="24">
        <v>8501.0</v>
      </c>
      <c r="J2079" s="24">
        <v>0.0</v>
      </c>
      <c r="K2079" s="23" t="s">
        <v>34</v>
      </c>
      <c r="L2079" s="25">
        <v>40195.13700231482</v>
      </c>
      <c r="M2079" s="26" t="s">
        <v>5073</v>
      </c>
      <c r="N2079" s="26" t="s">
        <v>5074</v>
      </c>
      <c r="O2079" s="22" t="str">
        <f>HYPERLINK("https://pbs.twimg.com/profile_images/884508899616870400/eirMO-yx_normal.jpg","View")</f>
        <v>View</v>
      </c>
      <c r="P2079" s="27"/>
    </row>
    <row r="2080">
      <c r="A2080" s="14">
        <v>43031.146886574075</v>
      </c>
      <c r="B2080" s="20" t="str">
        <f>HYPERLINK("https://twitter.com/lynx55","@lynx55")</f>
        <v>@lynx55</v>
      </c>
      <c r="C2080" s="21" t="s">
        <v>1550</v>
      </c>
      <c r="D2080" s="21" t="s">
        <v>5075</v>
      </c>
      <c r="E2080" s="22" t="str">
        <f>HYPERLINK("https://twitter.com/lynx55/status/922410148425076736","922410148425076736")</f>
        <v>922410148425076736</v>
      </c>
      <c r="F2080" s="23" t="s">
        <v>33</v>
      </c>
      <c r="G2080" s="24">
        <v>4214.0</v>
      </c>
      <c r="H2080" s="24">
        <v>4422.0</v>
      </c>
      <c r="I2080" s="24">
        <v>1.0</v>
      </c>
      <c r="J2080" s="24">
        <v>0.0</v>
      </c>
      <c r="K2080" s="23" t="s">
        <v>34</v>
      </c>
      <c r="L2080" s="25">
        <v>39363.899872685186</v>
      </c>
      <c r="M2080" s="26" t="s">
        <v>1551</v>
      </c>
      <c r="N2080" s="26" t="s">
        <v>1552</v>
      </c>
      <c r="O2080" s="22" t="str">
        <f>HYPERLINK("https://pbs.twimg.com/profile_images/917384747403370496/4k9Tip0C_normal.jpg","View")</f>
        <v>View</v>
      </c>
      <c r="P2080" s="27"/>
    </row>
    <row r="2081">
      <c r="A2081" s="14">
        <v>43031.14693287037</v>
      </c>
      <c r="B2081" s="20" t="str">
        <f>HYPERLINK("https://twitter.com/BeingR4hul","@BeingR4hul")</f>
        <v>@BeingR4hul</v>
      </c>
      <c r="C2081" s="21" t="s">
        <v>5076</v>
      </c>
      <c r="D2081" s="21" t="s">
        <v>42</v>
      </c>
      <c r="E2081" s="22" t="str">
        <f>HYPERLINK("https://twitter.com/BeingR4hul/status/922410166254833664","922410166254833664")</f>
        <v>922410166254833664</v>
      </c>
      <c r="F2081" s="23" t="s">
        <v>33</v>
      </c>
      <c r="G2081" s="24">
        <v>17880.0</v>
      </c>
      <c r="H2081" s="24">
        <v>81.0</v>
      </c>
      <c r="I2081" s="24">
        <v>8501.0</v>
      </c>
      <c r="J2081" s="24">
        <v>0.0</v>
      </c>
      <c r="K2081" s="23" t="s">
        <v>34</v>
      </c>
      <c r="L2081" s="25">
        <v>41017.1231712963</v>
      </c>
      <c r="M2081" s="26" t="s">
        <v>195</v>
      </c>
      <c r="N2081" s="26" t="s">
        <v>5077</v>
      </c>
      <c r="O2081" s="22" t="str">
        <f>HYPERLINK("https://pbs.twimg.com/profile_images/912329927034208257/ClELO21c_normal.jpg","View")</f>
        <v>View</v>
      </c>
      <c r="P2081" s="27"/>
    </row>
    <row r="2082">
      <c r="A2082" s="14">
        <v>43031.14696759259</v>
      </c>
      <c r="B2082" s="20" t="str">
        <f>HYPERLINK("https://twitter.com/Pavanku04018193","@Pavanku04018193")</f>
        <v>@Pavanku04018193</v>
      </c>
      <c r="C2082" s="21" t="s">
        <v>5078</v>
      </c>
      <c r="D2082" s="21" t="s">
        <v>42</v>
      </c>
      <c r="E2082" s="22" t="str">
        <f>HYPERLINK("https://twitter.com/Pavanku04018193/status/922410178787491840","922410178787491840")</f>
        <v>922410178787491840</v>
      </c>
      <c r="F2082" s="23" t="s">
        <v>33</v>
      </c>
      <c r="G2082" s="24">
        <v>24.0</v>
      </c>
      <c r="H2082" s="24">
        <v>200.0</v>
      </c>
      <c r="I2082" s="24">
        <v>8501.0</v>
      </c>
      <c r="J2082" s="24">
        <v>0.0</v>
      </c>
      <c r="K2082" s="23" t="s">
        <v>34</v>
      </c>
      <c r="L2082" s="25">
        <v>42971.23495370371</v>
      </c>
      <c r="M2082" s="26" t="s">
        <v>5079</v>
      </c>
      <c r="N2082" s="26" t="s">
        <v>5080</v>
      </c>
      <c r="O2082" s="22" t="str">
        <f>HYPERLINK("https://pbs.twimg.com/profile_images/900705467839598594/MCKFz3iG_normal.jpg","View")</f>
        <v>View</v>
      </c>
      <c r="P2082" s="27"/>
    </row>
    <row r="2083">
      <c r="A2083" s="14">
        <v>43031.14707175926</v>
      </c>
      <c r="B2083" s="20" t="str">
        <f>HYPERLINK("https://twitter.com/JAGENDR93177195","@JAGENDR93177195")</f>
        <v>@JAGENDR93177195</v>
      </c>
      <c r="C2083" s="21" t="s">
        <v>5081</v>
      </c>
      <c r="D2083" s="21" t="s">
        <v>42</v>
      </c>
      <c r="E2083" s="22" t="str">
        <f>HYPERLINK("https://twitter.com/JAGENDR93177195/status/922410213663154179","922410213663154179")</f>
        <v>922410213663154179</v>
      </c>
      <c r="F2083" s="23" t="s">
        <v>33</v>
      </c>
      <c r="G2083" s="24">
        <v>653.0</v>
      </c>
      <c r="H2083" s="24">
        <v>453.0</v>
      </c>
      <c r="I2083" s="24">
        <v>8501.0</v>
      </c>
      <c r="J2083" s="24">
        <v>0.0</v>
      </c>
      <c r="K2083" s="23" t="s">
        <v>34</v>
      </c>
      <c r="L2083" s="25">
        <v>42972.12228009259</v>
      </c>
      <c r="M2083" s="26" t="s">
        <v>2335</v>
      </c>
      <c r="N2083" s="26" t="s">
        <v>5082</v>
      </c>
      <c r="O2083" s="22" t="str">
        <f>HYPERLINK("https://pbs.twimg.com/profile_images/918331748873678848/9Bl5iRj-_normal.jpg","View")</f>
        <v>View</v>
      </c>
      <c r="P2083" s="27"/>
    </row>
    <row r="2084">
      <c r="A2084" s="14">
        <v>43031.14709490741</v>
      </c>
      <c r="B2084" s="20" t="str">
        <f>HYPERLINK("https://twitter.com/sheth_vaibhav6","@sheth_vaibhav6")</f>
        <v>@sheth_vaibhav6</v>
      </c>
      <c r="C2084" s="21" t="s">
        <v>5083</v>
      </c>
      <c r="D2084" s="21" t="s">
        <v>42</v>
      </c>
      <c r="E2084" s="22" t="str">
        <f>HYPERLINK("https://twitter.com/sheth_vaibhav6/status/922410224904007680","922410224904007680")</f>
        <v>922410224904007680</v>
      </c>
      <c r="F2084" s="23" t="s">
        <v>33</v>
      </c>
      <c r="G2084" s="24">
        <v>89.0</v>
      </c>
      <c r="H2084" s="24">
        <v>214.0</v>
      </c>
      <c r="I2084" s="24">
        <v>8501.0</v>
      </c>
      <c r="J2084" s="24">
        <v>0.0</v>
      </c>
      <c r="K2084" s="23" t="s">
        <v>34</v>
      </c>
      <c r="L2084" s="25">
        <v>42579.081608796296</v>
      </c>
      <c r="M2084" s="26" t="s">
        <v>1633</v>
      </c>
      <c r="N2084" s="26" t="s">
        <v>5084</v>
      </c>
      <c r="O2084" s="22" t="str">
        <f>HYPERLINK("https://pbs.twimg.com/profile_images/758602808077656064/vu5pNMwQ_normal.jpg","View")</f>
        <v>View</v>
      </c>
      <c r="P2084" s="27"/>
    </row>
    <row r="2085">
      <c r="A2085" s="14">
        <v>43031.147199074076</v>
      </c>
      <c r="B2085" s="20" t="str">
        <f>HYPERLINK("https://twitter.com/dr_kp","@dr_kp")</f>
        <v>@dr_kp</v>
      </c>
      <c r="C2085" s="21" t="s">
        <v>5085</v>
      </c>
      <c r="D2085" s="21" t="s">
        <v>42</v>
      </c>
      <c r="E2085" s="22" t="str">
        <f>HYPERLINK("https://twitter.com/dr_kp/status/922410261528510465","922410261528510465")</f>
        <v>922410261528510465</v>
      </c>
      <c r="F2085" s="23" t="s">
        <v>39</v>
      </c>
      <c r="G2085" s="24">
        <v>984.0</v>
      </c>
      <c r="H2085" s="24">
        <v>290.0</v>
      </c>
      <c r="I2085" s="24">
        <v>8501.0</v>
      </c>
      <c r="J2085" s="24">
        <v>0.0</v>
      </c>
      <c r="K2085" s="23" t="s">
        <v>34</v>
      </c>
      <c r="L2085" s="25">
        <v>41578.914236111115</v>
      </c>
      <c r="M2085" s="26" t="s">
        <v>5086</v>
      </c>
      <c r="N2085" s="26" t="s">
        <v>5087</v>
      </c>
      <c r="O2085" s="22" t="str">
        <f>HYPERLINK("https://pbs.twimg.com/profile_images/715484116213325824/P9LM_0jA_normal.jpg","View")</f>
        <v>View</v>
      </c>
      <c r="P2085" s="27"/>
    </row>
    <row r="2086">
      <c r="A2086" s="14">
        <v>43031.147418981476</v>
      </c>
      <c r="B2086" s="20" t="str">
        <f>HYPERLINK("https://twitter.com/write2ragavan","@write2ragavan")</f>
        <v>@write2ragavan</v>
      </c>
      <c r="C2086" s="21" t="s">
        <v>5088</v>
      </c>
      <c r="D2086" s="21" t="s">
        <v>5089</v>
      </c>
      <c r="E2086" s="22" t="str">
        <f>HYPERLINK("https://twitter.com/write2ragavan/status/922410342268805120","922410342268805120")</f>
        <v>922410342268805120</v>
      </c>
      <c r="F2086" s="23" t="s">
        <v>55</v>
      </c>
      <c r="G2086" s="24">
        <v>1933.0</v>
      </c>
      <c r="H2086" s="24">
        <v>2681.0</v>
      </c>
      <c r="I2086" s="24">
        <v>0.0</v>
      </c>
      <c r="J2086" s="24">
        <v>0.0</v>
      </c>
      <c r="K2086" s="23" t="s">
        <v>34</v>
      </c>
      <c r="L2086" s="25">
        <v>40077.02322916667</v>
      </c>
      <c r="M2086" s="26" t="s">
        <v>4906</v>
      </c>
      <c r="N2086" s="26" t="s">
        <v>5090</v>
      </c>
      <c r="O2086" s="22" t="str">
        <f>HYPERLINK("https://pbs.twimg.com/profile_images/891551302651531264/qZ0SdczK_normal.jpg","View")</f>
        <v>View</v>
      </c>
      <c r="P2086" s="27"/>
    </row>
    <row r="2087">
      <c r="A2087" s="14">
        <v>43031.1475462963</v>
      </c>
      <c r="B2087" s="20" t="str">
        <f>HYPERLINK("https://twitter.com/sandeep21031983","@sandeep21031983")</f>
        <v>@sandeep21031983</v>
      </c>
      <c r="C2087" s="21" t="s">
        <v>3720</v>
      </c>
      <c r="D2087" s="21" t="s">
        <v>42</v>
      </c>
      <c r="E2087" s="22" t="str">
        <f>HYPERLINK("https://twitter.com/sandeep21031983/status/922410386200059904","922410386200059904")</f>
        <v>922410386200059904</v>
      </c>
      <c r="F2087" s="23" t="s">
        <v>33</v>
      </c>
      <c r="G2087" s="24">
        <v>448.0</v>
      </c>
      <c r="H2087" s="24">
        <v>254.0</v>
      </c>
      <c r="I2087" s="24">
        <v>8501.0</v>
      </c>
      <c r="J2087" s="24">
        <v>0.0</v>
      </c>
      <c r="K2087" s="23" t="s">
        <v>34</v>
      </c>
      <c r="L2087" s="25">
        <v>41047.95443287037</v>
      </c>
      <c r="M2087" s="26" t="s">
        <v>457</v>
      </c>
      <c r="N2087" s="26" t="s">
        <v>5091</v>
      </c>
      <c r="O2087" s="22" t="str">
        <f>HYPERLINK("https://pbs.twimg.com/profile_images/880104878265290753/nVCbPHU0_normal.jpg","View")</f>
        <v>View</v>
      </c>
      <c r="P2087" s="27"/>
    </row>
    <row r="2088">
      <c r="A2088" s="14">
        <v>43031.14778935185</v>
      </c>
      <c r="B2088" s="20" t="str">
        <f>HYPERLINK("https://twitter.com/iamrajats","@iamrajats")</f>
        <v>@iamrajats</v>
      </c>
      <c r="C2088" s="21" t="s">
        <v>5092</v>
      </c>
      <c r="D2088" s="21" t="s">
        <v>42</v>
      </c>
      <c r="E2088" s="22" t="str">
        <f>HYPERLINK("https://twitter.com/iamrajats/status/922410476306284546","922410476306284546")</f>
        <v>922410476306284546</v>
      </c>
      <c r="F2088" s="23" t="s">
        <v>43</v>
      </c>
      <c r="G2088" s="24">
        <v>100.0</v>
      </c>
      <c r="H2088" s="24">
        <v>353.0</v>
      </c>
      <c r="I2088" s="24">
        <v>8501.0</v>
      </c>
      <c r="J2088" s="24">
        <v>0.0</v>
      </c>
      <c r="K2088" s="23" t="s">
        <v>34</v>
      </c>
      <c r="L2088" s="25">
        <v>42830.14041666666</v>
      </c>
      <c r="M2088" s="28"/>
      <c r="N2088" s="28"/>
      <c r="O2088" s="22" t="str">
        <f>HYPERLINK("https://pbs.twimg.com/profile_images/849588116612460544/AlZVMtco_normal.jpg","View")</f>
        <v>View</v>
      </c>
      <c r="P2088" s="27"/>
    </row>
    <row r="2089">
      <c r="A2089" s="14">
        <v>43031.14800925926</v>
      </c>
      <c r="B2089" s="20" t="str">
        <f>HYPERLINK("https://twitter.com/kitokunohito","@kitokunohito")</f>
        <v>@kitokunohito</v>
      </c>
      <c r="C2089" s="21" t="s">
        <v>5093</v>
      </c>
      <c r="D2089" s="21" t="s">
        <v>42</v>
      </c>
      <c r="E2089" s="22" t="str">
        <f>HYPERLINK("https://twitter.com/kitokunohito/status/922410553787670528","922410553787670528")</f>
        <v>922410553787670528</v>
      </c>
      <c r="F2089" s="23" t="s">
        <v>5094</v>
      </c>
      <c r="G2089" s="24">
        <v>1124.0</v>
      </c>
      <c r="H2089" s="24">
        <v>175.0</v>
      </c>
      <c r="I2089" s="24">
        <v>8501.0</v>
      </c>
      <c r="J2089" s="24">
        <v>0.0</v>
      </c>
      <c r="K2089" s="23" t="s">
        <v>34</v>
      </c>
      <c r="L2089" s="25">
        <v>39888.71042824074</v>
      </c>
      <c r="M2089" s="26" t="s">
        <v>631</v>
      </c>
      <c r="N2089" s="26" t="s">
        <v>5095</v>
      </c>
      <c r="O2089" s="22" t="str">
        <f>HYPERLINK("https://pbs.twimg.com/profile_images/785360398/twitterProfilePhoto_normal.jpg","View")</f>
        <v>View</v>
      </c>
      <c r="P2089" s="27"/>
    </row>
    <row r="2090">
      <c r="A2090" s="14">
        <v>43031.14810185185</v>
      </c>
      <c r="B2090" s="20" t="str">
        <f>HYPERLINK("https://twitter.com/amitra_tw","@amitra_tw")</f>
        <v>@amitra_tw</v>
      </c>
      <c r="C2090" s="21" t="s">
        <v>5096</v>
      </c>
      <c r="D2090" s="21" t="s">
        <v>42</v>
      </c>
      <c r="E2090" s="22" t="str">
        <f>HYPERLINK("https://twitter.com/amitra_tw/status/922410588638027777","922410588638027777")</f>
        <v>922410588638027777</v>
      </c>
      <c r="F2090" s="23" t="s">
        <v>39</v>
      </c>
      <c r="G2090" s="24">
        <v>4.0</v>
      </c>
      <c r="H2090" s="24">
        <v>47.0</v>
      </c>
      <c r="I2090" s="24">
        <v>8501.0</v>
      </c>
      <c r="J2090" s="24">
        <v>0.0</v>
      </c>
      <c r="K2090" s="23" t="s">
        <v>34</v>
      </c>
      <c r="L2090" s="25">
        <v>43006.90988425926</v>
      </c>
      <c r="M2090" s="26" t="s">
        <v>1137</v>
      </c>
      <c r="N2090" s="26" t="s">
        <v>5097</v>
      </c>
      <c r="O2090" s="22" t="str">
        <f>HYPERLINK("https://pbs.twimg.com/profile_images/913819042720358400/bDOw4qN8_normal.jpg","View")</f>
        <v>View</v>
      </c>
      <c r="P2090" s="27"/>
    </row>
    <row r="2091">
      <c r="A2091" s="14">
        <v>43031.148148148146</v>
      </c>
      <c r="B2091" s="20" t="str">
        <f>HYPERLINK("https://twitter.com/DNev47","@DNev47")</f>
        <v>@DNev47</v>
      </c>
      <c r="C2091" s="21" t="s">
        <v>5098</v>
      </c>
      <c r="D2091" s="21" t="s">
        <v>5099</v>
      </c>
      <c r="E2091" s="22" t="str">
        <f>HYPERLINK("https://twitter.com/DNev47/status/922410604253638656","922410604253638656")</f>
        <v>922410604253638656</v>
      </c>
      <c r="F2091" s="23" t="s">
        <v>39</v>
      </c>
      <c r="G2091" s="24">
        <v>1701.0</v>
      </c>
      <c r="H2091" s="24">
        <v>884.0</v>
      </c>
      <c r="I2091" s="24">
        <v>0.0</v>
      </c>
      <c r="J2091" s="24">
        <v>0.0</v>
      </c>
      <c r="K2091" s="23" t="s">
        <v>34</v>
      </c>
      <c r="L2091" s="25">
        <v>40551.459074074075</v>
      </c>
      <c r="M2091" s="26" t="s">
        <v>905</v>
      </c>
      <c r="N2091" s="26" t="s">
        <v>5100</v>
      </c>
      <c r="O2091" s="22" t="str">
        <f>HYPERLINK("https://pbs.twimg.com/profile_images/815578462979293188/y4xaU8uV_normal.jpg","View")</f>
        <v>View</v>
      </c>
      <c r="P2091" s="27"/>
    </row>
    <row r="2092">
      <c r="A2092" s="14">
        <v>43031.14818287037</v>
      </c>
      <c r="B2092" s="20" t="str">
        <f>HYPERLINK("https://twitter.com/rajiv_sur","@rajiv_sur")</f>
        <v>@rajiv_sur</v>
      </c>
      <c r="C2092" s="21" t="s">
        <v>5101</v>
      </c>
      <c r="D2092" s="21" t="s">
        <v>42</v>
      </c>
      <c r="E2092" s="22" t="str">
        <f>HYPERLINK("https://twitter.com/rajiv_sur/status/922410619411636224","922410619411636224")</f>
        <v>922410619411636224</v>
      </c>
      <c r="F2092" s="23" t="s">
        <v>33</v>
      </c>
      <c r="G2092" s="24">
        <v>29.0</v>
      </c>
      <c r="H2092" s="24">
        <v>302.0</v>
      </c>
      <c r="I2092" s="24">
        <v>8501.0</v>
      </c>
      <c r="J2092" s="24">
        <v>0.0</v>
      </c>
      <c r="K2092" s="23" t="s">
        <v>34</v>
      </c>
      <c r="L2092" s="25">
        <v>42205.49475694445</v>
      </c>
      <c r="M2092" s="28"/>
      <c r="N2092" s="26" t="s">
        <v>5102</v>
      </c>
      <c r="O2092" s="22" t="str">
        <f>HYPERLINK("https://pbs.twimg.com/profile_images/724533538704506881/WPFQrwZ9_normal.jpg","View")</f>
        <v>View</v>
      </c>
      <c r="P2092" s="27"/>
    </row>
    <row r="2093">
      <c r="A2093" s="14">
        <v>43031.148194444446</v>
      </c>
      <c r="B2093" s="20" t="str">
        <f>HYPERLINK("https://twitter.com/jondknight","@jondknight")</f>
        <v>@jondknight</v>
      </c>
      <c r="C2093" s="21" t="s">
        <v>5103</v>
      </c>
      <c r="D2093" s="21" t="s">
        <v>5104</v>
      </c>
      <c r="E2093" s="22" t="str">
        <f>HYPERLINK("https://twitter.com/jondknight/status/922410620770770944","922410620770770944")</f>
        <v>922410620770770944</v>
      </c>
      <c r="F2093" s="23" t="s">
        <v>55</v>
      </c>
      <c r="G2093" s="24">
        <v>477.0</v>
      </c>
      <c r="H2093" s="24">
        <v>2252.0</v>
      </c>
      <c r="I2093" s="24">
        <v>0.0</v>
      </c>
      <c r="J2093" s="24">
        <v>0.0</v>
      </c>
      <c r="K2093" s="23" t="s">
        <v>34</v>
      </c>
      <c r="L2093" s="25">
        <v>40461.21273148148</v>
      </c>
      <c r="M2093" s="28"/>
      <c r="N2093" s="28"/>
      <c r="O2093" s="22" t="str">
        <f>HYPERLINK("https://abs.twimg.com/sticky/default_profile_images/default_profile_normal.png","View")</f>
        <v>View</v>
      </c>
      <c r="P2093" s="27"/>
    </row>
    <row r="2094">
      <c r="A2094" s="14">
        <v>43031.14847222222</v>
      </c>
      <c r="B2094" s="20" t="str">
        <f>HYPERLINK("https://twitter.com/ceIestiaIity","@ceIestiaIity")</f>
        <v>@ceIestiaIity</v>
      </c>
      <c r="C2094" s="21" t="s">
        <v>5105</v>
      </c>
      <c r="D2094" s="21" t="s">
        <v>2595</v>
      </c>
      <c r="E2094" s="22" t="str">
        <f>HYPERLINK("https://twitter.com/ceIestiaIity/status/922410721870311424","922410721870311424")</f>
        <v>922410721870311424</v>
      </c>
      <c r="F2094" s="23" t="s">
        <v>39</v>
      </c>
      <c r="G2094" s="24">
        <v>436.0</v>
      </c>
      <c r="H2094" s="24">
        <v>256.0</v>
      </c>
      <c r="I2094" s="24">
        <v>170.0</v>
      </c>
      <c r="J2094" s="24">
        <v>0.0</v>
      </c>
      <c r="K2094" s="23" t="s">
        <v>34</v>
      </c>
      <c r="L2094" s="25">
        <v>42294.744108796294</v>
      </c>
      <c r="M2094" s="28"/>
      <c r="N2094" s="26" t="s">
        <v>5106</v>
      </c>
      <c r="O2094" s="22" t="str">
        <f>HYPERLINK("https://pbs.twimg.com/profile_images/914666177619746817/8-usekoh_normal.jpg","View")</f>
        <v>View</v>
      </c>
      <c r="P2094" s="27"/>
    </row>
    <row r="2095">
      <c r="A2095" s="14">
        <v>43031.148518518516</v>
      </c>
      <c r="B2095" s="20" t="str">
        <f>HYPERLINK("https://twitter.com/OmGupta_","@OmGupta_")</f>
        <v>@OmGupta_</v>
      </c>
      <c r="C2095" s="21" t="s">
        <v>5107</v>
      </c>
      <c r="D2095" s="21" t="s">
        <v>42</v>
      </c>
      <c r="E2095" s="22" t="str">
        <f>HYPERLINK("https://twitter.com/OmGupta_/status/922410738143997952","922410738143997952")</f>
        <v>922410738143997952</v>
      </c>
      <c r="F2095" s="23" t="s">
        <v>43</v>
      </c>
      <c r="G2095" s="24">
        <v>192.0</v>
      </c>
      <c r="H2095" s="24">
        <v>508.0</v>
      </c>
      <c r="I2095" s="24">
        <v>8501.0</v>
      </c>
      <c r="J2095" s="24">
        <v>0.0</v>
      </c>
      <c r="K2095" s="23" t="s">
        <v>34</v>
      </c>
      <c r="L2095" s="25">
        <v>40269.17611111111</v>
      </c>
      <c r="M2095" s="26" t="s">
        <v>2356</v>
      </c>
      <c r="N2095" s="28"/>
      <c r="O2095" s="22" t="str">
        <f>HYPERLINK("https://pbs.twimg.com/profile_images/749156246578688000/qShDckh2_normal.jpg","View")</f>
        <v>View</v>
      </c>
      <c r="P2095" s="27"/>
    </row>
    <row r="2096">
      <c r="A2096" s="14">
        <v>43031.14880787037</v>
      </c>
      <c r="B2096" s="20" t="str">
        <f>HYPERLINK("https://twitter.com/ItsAdeli","@ItsAdeli")</f>
        <v>@ItsAdeli</v>
      </c>
      <c r="C2096" s="21" t="s">
        <v>5108</v>
      </c>
      <c r="D2096" s="21" t="s">
        <v>32</v>
      </c>
      <c r="E2096" s="22" t="str">
        <f>HYPERLINK("https://twitter.com/ItsAdeli/status/922410843698008064","922410843698008064")</f>
        <v>922410843698008064</v>
      </c>
      <c r="F2096" s="23" t="s">
        <v>55</v>
      </c>
      <c r="G2096" s="24">
        <v>316.0</v>
      </c>
      <c r="H2096" s="24">
        <v>975.0</v>
      </c>
      <c r="I2096" s="24">
        <v>471.0</v>
      </c>
      <c r="J2096" s="24">
        <v>0.0</v>
      </c>
      <c r="K2096" s="23" t="s">
        <v>34</v>
      </c>
      <c r="L2096" s="25">
        <v>40002.92585648148</v>
      </c>
      <c r="M2096" s="26" t="s">
        <v>114</v>
      </c>
      <c r="N2096" s="26" t="s">
        <v>5109</v>
      </c>
      <c r="O2096" s="22" t="str">
        <f>HYPERLINK("https://pbs.twimg.com/profile_images/817351548468686848/jh_WrajR_normal.jpg","View")</f>
        <v>View</v>
      </c>
      <c r="P2096" s="27"/>
    </row>
    <row r="2097">
      <c r="A2097" s="14">
        <v>43031.14903935185</v>
      </c>
      <c r="B2097" s="20" t="str">
        <f>HYPERLINK("https://twitter.com/hector_otero","@hector_otero")</f>
        <v>@hector_otero</v>
      </c>
      <c r="C2097" s="21" t="s">
        <v>5110</v>
      </c>
      <c r="D2097" s="21" t="s">
        <v>5111</v>
      </c>
      <c r="E2097" s="22" t="str">
        <f>HYPERLINK("https://twitter.com/hector_otero/status/922410928351703040","922410928351703040")</f>
        <v>922410928351703040</v>
      </c>
      <c r="F2097" s="23" t="s">
        <v>55</v>
      </c>
      <c r="G2097" s="24">
        <v>742.0</v>
      </c>
      <c r="H2097" s="24">
        <v>1246.0</v>
      </c>
      <c r="I2097" s="24">
        <v>1.0</v>
      </c>
      <c r="J2097" s="24">
        <v>0.0</v>
      </c>
      <c r="K2097" s="23" t="s">
        <v>34</v>
      </c>
      <c r="L2097" s="25">
        <v>40363.53822916667</v>
      </c>
      <c r="M2097" s="26" t="s">
        <v>5112</v>
      </c>
      <c r="N2097" s="26" t="s">
        <v>5113</v>
      </c>
      <c r="O2097" s="22" t="str">
        <f>HYPERLINK("https://pbs.twimg.com/profile_images/2290967666/n1lmw0uvw45wg8dhzk14_normal.jpeg","View")</f>
        <v>View</v>
      </c>
      <c r="P2097" s="27"/>
    </row>
    <row r="2098">
      <c r="A2098" s="14">
        <v>43031.149189814816</v>
      </c>
      <c r="B2098" s="20" t="str">
        <f>HYPERLINK("https://twitter.com/knightefra","@knightefra")</f>
        <v>@knightefra</v>
      </c>
      <c r="C2098" s="21" t="s">
        <v>5114</v>
      </c>
      <c r="D2098" s="21" t="s">
        <v>2595</v>
      </c>
      <c r="E2098" s="22" t="str">
        <f>HYPERLINK("https://twitter.com/knightefra/status/922410984253276160","922410984253276160")</f>
        <v>922410984253276160</v>
      </c>
      <c r="F2098" s="23" t="s">
        <v>39</v>
      </c>
      <c r="G2098" s="24">
        <v>314.0</v>
      </c>
      <c r="H2098" s="24">
        <v>545.0</v>
      </c>
      <c r="I2098" s="24">
        <v>170.0</v>
      </c>
      <c r="J2098" s="24">
        <v>0.0</v>
      </c>
      <c r="K2098" s="23" t="s">
        <v>34</v>
      </c>
      <c r="L2098" s="25">
        <v>42009.38381944444</v>
      </c>
      <c r="M2098" s="26" t="s">
        <v>5115</v>
      </c>
      <c r="N2098" s="26" t="s">
        <v>5116</v>
      </c>
      <c r="O2098" s="22" t="str">
        <f>HYPERLINK("https://pbs.twimg.com/profile_images/914031988213874688/nI8NkScF_normal.jpg","View")</f>
        <v>View</v>
      </c>
      <c r="P2098" s="27"/>
    </row>
    <row r="2099">
      <c r="A2099" s="14">
        <v>43031.149247685185</v>
      </c>
      <c r="B2099" s="20" t="str">
        <f>HYPERLINK("https://twitter.com/go2sreenu","@go2sreenu")</f>
        <v>@go2sreenu</v>
      </c>
      <c r="C2099" s="21" t="s">
        <v>5117</v>
      </c>
      <c r="D2099" s="21" t="s">
        <v>42</v>
      </c>
      <c r="E2099" s="22" t="str">
        <f>HYPERLINK("https://twitter.com/go2sreenu/status/922411005237325826","922411005237325826")</f>
        <v>922411005237325826</v>
      </c>
      <c r="F2099" s="23" t="s">
        <v>39</v>
      </c>
      <c r="G2099" s="24">
        <v>267.0</v>
      </c>
      <c r="H2099" s="24">
        <v>876.0</v>
      </c>
      <c r="I2099" s="24">
        <v>8501.0</v>
      </c>
      <c r="J2099" s="24">
        <v>0.0</v>
      </c>
      <c r="K2099" s="23" t="s">
        <v>34</v>
      </c>
      <c r="L2099" s="25">
        <v>40355.91116898148</v>
      </c>
      <c r="M2099" s="26" t="s">
        <v>5118</v>
      </c>
      <c r="N2099" s="28"/>
      <c r="O2099" s="22" t="str">
        <f>HYPERLINK("https://pbs.twimg.com/profile_images/670200340227207168/2qbFvUYk_normal.jpg","View")</f>
        <v>View</v>
      </c>
      <c r="P2099" s="27"/>
    </row>
    <row r="2100">
      <c r="A2100" s="14">
        <v>43031.149375</v>
      </c>
      <c r="B2100" s="20" t="str">
        <f>HYPERLINK("https://twitter.com/jostarchanneltv","@jostarchanneltv")</f>
        <v>@jostarchanneltv</v>
      </c>
      <c r="C2100" s="21" t="s">
        <v>5119</v>
      </c>
      <c r="D2100" s="21" t="s">
        <v>5120</v>
      </c>
      <c r="E2100" s="22" t="str">
        <f>HYPERLINK("https://twitter.com/jostarchanneltv/status/922411049021665281","922411049021665281")</f>
        <v>922411049021665281</v>
      </c>
      <c r="F2100" s="30" t="s">
        <v>659</v>
      </c>
      <c r="G2100" s="24">
        <v>164.0</v>
      </c>
      <c r="H2100" s="24">
        <v>128.0</v>
      </c>
      <c r="I2100" s="24">
        <v>0.0</v>
      </c>
      <c r="J2100" s="24">
        <v>0.0</v>
      </c>
      <c r="K2100" s="23" t="s">
        <v>34</v>
      </c>
      <c r="L2100" s="25">
        <v>42387.39848379629</v>
      </c>
      <c r="M2100" s="28"/>
      <c r="N2100" s="26" t="s">
        <v>5121</v>
      </c>
      <c r="O2100" s="22" t="str">
        <f>HYPERLINK("https://pbs.twimg.com/profile_images/689138985231241216/dzlt2bFg_normal.jpg","View")</f>
        <v>View</v>
      </c>
      <c r="P2100" s="27"/>
    </row>
    <row r="2101">
      <c r="A2101" s="14">
        <v>43031.14954861111</v>
      </c>
      <c r="B2101" s="20" t="str">
        <f>HYPERLINK("https://twitter.com/Pawanbirla123","@Pawanbirla123")</f>
        <v>@Pawanbirla123</v>
      </c>
      <c r="C2101" s="21" t="s">
        <v>2160</v>
      </c>
      <c r="D2101" s="21" t="s">
        <v>42</v>
      </c>
      <c r="E2101" s="22" t="str">
        <f>HYPERLINK("https://twitter.com/Pawanbirla123/status/922411110900252673","922411110900252673")</f>
        <v>922411110900252673</v>
      </c>
      <c r="F2101" s="23" t="s">
        <v>33</v>
      </c>
      <c r="G2101" s="24">
        <v>8.0</v>
      </c>
      <c r="H2101" s="24">
        <v>63.0</v>
      </c>
      <c r="I2101" s="24">
        <v>8501.0</v>
      </c>
      <c r="J2101" s="24">
        <v>0.0</v>
      </c>
      <c r="K2101" s="23" t="s">
        <v>34</v>
      </c>
      <c r="L2101" s="25">
        <v>42612.398611111115</v>
      </c>
      <c r="M2101" s="28"/>
      <c r="N2101" s="28"/>
      <c r="O2101" s="22" t="str">
        <f>HYPERLINK("https://abs.twimg.com/sticky/default_profile_images/default_profile_normal.png","View")</f>
        <v>View</v>
      </c>
      <c r="P2101" s="27"/>
    </row>
    <row r="2102">
      <c r="A2102" s="14">
        <v>43031.14958333333</v>
      </c>
      <c r="B2102" s="20" t="str">
        <f>HYPERLINK("https://twitter.com/kr26661","@kr26661")</f>
        <v>@kr26661</v>
      </c>
      <c r="C2102" s="21" t="s">
        <v>5122</v>
      </c>
      <c r="D2102" s="21" t="s">
        <v>42</v>
      </c>
      <c r="E2102" s="22" t="str">
        <f>HYPERLINK("https://twitter.com/kr26661/status/922411125966225408","922411125966225408")</f>
        <v>922411125966225408</v>
      </c>
      <c r="F2102" s="23" t="s">
        <v>33</v>
      </c>
      <c r="G2102" s="24">
        <v>33.0</v>
      </c>
      <c r="H2102" s="24">
        <v>84.0</v>
      </c>
      <c r="I2102" s="24">
        <v>8501.0</v>
      </c>
      <c r="J2102" s="24">
        <v>0.0</v>
      </c>
      <c r="K2102" s="23" t="s">
        <v>34</v>
      </c>
      <c r="L2102" s="25">
        <v>42550.10427083333</v>
      </c>
      <c r="M2102" s="26" t="s">
        <v>5123</v>
      </c>
      <c r="N2102" s="28"/>
      <c r="O2102" s="22" t="str">
        <f>HYPERLINK("https://pbs.twimg.com/profile_images/857836726252781568/ZEkLNfJl_normal.jpg","View")</f>
        <v>View</v>
      </c>
      <c r="P2102" s="27"/>
    </row>
    <row r="2103">
      <c r="A2103" s="14">
        <v>43031.14965277778</v>
      </c>
      <c r="B2103" s="20" t="str">
        <f>HYPERLINK("https://twitter.com/ADVAMIT82","@ADVAMIT82")</f>
        <v>@ADVAMIT82</v>
      </c>
      <c r="C2103" s="21" t="s">
        <v>5124</v>
      </c>
      <c r="D2103" s="21" t="s">
        <v>163</v>
      </c>
      <c r="E2103" s="22" t="str">
        <f>HYPERLINK("https://twitter.com/ADVAMIT82/status/922411151844970496","922411151844970496")</f>
        <v>922411151844970496</v>
      </c>
      <c r="F2103" s="23" t="s">
        <v>39</v>
      </c>
      <c r="G2103" s="24">
        <v>313.0</v>
      </c>
      <c r="H2103" s="24">
        <v>127.0</v>
      </c>
      <c r="I2103" s="24">
        <v>1005.0</v>
      </c>
      <c r="J2103" s="24">
        <v>0.0</v>
      </c>
      <c r="K2103" s="23" t="s">
        <v>34</v>
      </c>
      <c r="L2103" s="25">
        <v>41759.37761574074</v>
      </c>
      <c r="M2103" s="28"/>
      <c r="N2103" s="28"/>
      <c r="O2103" s="22" t="str">
        <f>HYPERLINK("https://pbs.twimg.com/profile_images/921357939826290691/zHgSS5uZ_normal.jpg","View")</f>
        <v>View</v>
      </c>
      <c r="P2103" s="27"/>
    </row>
    <row r="2104">
      <c r="A2104" s="14">
        <v>43031.14989583333</v>
      </c>
      <c r="B2104" s="20" t="str">
        <f>HYPERLINK("https://twitter.com/Kayommz","@Kayommz")</f>
        <v>@Kayommz</v>
      </c>
      <c r="C2104" s="21" t="s">
        <v>5125</v>
      </c>
      <c r="D2104" s="21" t="s">
        <v>5126</v>
      </c>
      <c r="E2104" s="22" t="str">
        <f>HYPERLINK("https://twitter.com/Kayommz/status/922411239552163841","922411239552163841")</f>
        <v>922411239552163841</v>
      </c>
      <c r="F2104" s="23" t="s">
        <v>39</v>
      </c>
      <c r="G2104" s="24">
        <v>151.0</v>
      </c>
      <c r="H2104" s="24">
        <v>223.0</v>
      </c>
      <c r="I2104" s="24">
        <v>7.0</v>
      </c>
      <c r="J2104" s="24">
        <v>0.0</v>
      </c>
      <c r="K2104" s="23" t="s">
        <v>34</v>
      </c>
      <c r="L2104" s="25">
        <v>41108.73657407407</v>
      </c>
      <c r="M2104" s="28"/>
      <c r="N2104" s="26" t="s">
        <v>5127</v>
      </c>
      <c r="O2104" s="22" t="str">
        <f>HYPERLINK("https://pbs.twimg.com/profile_images/889478858486960128/q0bkGL09_normal.jpg","View")</f>
        <v>View</v>
      </c>
      <c r="P2104" s="27"/>
    </row>
    <row r="2105">
      <c r="A2105" s="14">
        <v>43031.1500462963</v>
      </c>
      <c r="B2105" s="20" t="str">
        <f>HYPERLINK("https://twitter.com/alt_media_today","@alt_media_today")</f>
        <v>@alt_media_today</v>
      </c>
      <c r="C2105" s="21" t="s">
        <v>4304</v>
      </c>
      <c r="D2105" s="21" t="s">
        <v>5128</v>
      </c>
      <c r="E2105" s="22" t="str">
        <f>HYPERLINK("https://twitter.com/alt_media_today/status/922411292396199937","922411292396199937")</f>
        <v>922411292396199937</v>
      </c>
      <c r="F2105" s="30" t="s">
        <v>411</v>
      </c>
      <c r="G2105" s="24">
        <v>8748.0</v>
      </c>
      <c r="H2105" s="24">
        <v>4962.0</v>
      </c>
      <c r="I2105" s="24">
        <v>1.0</v>
      </c>
      <c r="J2105" s="24">
        <v>0.0</v>
      </c>
      <c r="K2105" s="23" t="s">
        <v>34</v>
      </c>
      <c r="L2105" s="25">
        <v>42287.68697916667</v>
      </c>
      <c r="M2105" s="28"/>
      <c r="N2105" s="26" t="s">
        <v>4306</v>
      </c>
      <c r="O2105" s="22" t="str">
        <f>HYPERLINK("https://pbs.twimg.com/profile_images/652996185901260801/KqCtDZcN_normal.jpg","View")</f>
        <v>View</v>
      </c>
      <c r="P2105" s="27"/>
    </row>
    <row r="2106">
      <c r="A2106" s="14">
        <v>43031.15006944444</v>
      </c>
      <c r="B2106" s="20" t="str">
        <f t="shared" ref="B2106:B2107" si="31">HYPERLINK("https://twitter.com/hjcbizsolutions","@hjcbizsolutions")</f>
        <v>@hjcbizsolutions</v>
      </c>
      <c r="C2106" s="21" t="s">
        <v>5129</v>
      </c>
      <c r="D2106" s="21" t="s">
        <v>4150</v>
      </c>
      <c r="E2106" s="22" t="str">
        <f>HYPERLINK("https://twitter.com/hjcbizsolutions/status/922411302559023104","922411302559023104")</f>
        <v>922411302559023104</v>
      </c>
      <c r="F2106" s="23" t="s">
        <v>1799</v>
      </c>
      <c r="G2106" s="24">
        <v>5551.0</v>
      </c>
      <c r="H2106" s="24">
        <v>5224.0</v>
      </c>
      <c r="I2106" s="24">
        <v>2.0</v>
      </c>
      <c r="J2106" s="24">
        <v>0.0</v>
      </c>
      <c r="K2106" s="23" t="s">
        <v>34</v>
      </c>
      <c r="L2106" s="25">
        <v>40855.618622685186</v>
      </c>
      <c r="M2106" s="26" t="s">
        <v>708</v>
      </c>
      <c r="N2106" s="26" t="s">
        <v>5130</v>
      </c>
      <c r="O2106" s="22" t="str">
        <f t="shared" ref="O2106:O2107" si="32">HYPERLINK("https://pbs.twimg.com/profile_images/706969236594409473/dZUU8a1M_normal.jpg","View")</f>
        <v>View</v>
      </c>
      <c r="P2106" s="27"/>
    </row>
    <row r="2107">
      <c r="A2107" s="14">
        <v>43031.15006944444</v>
      </c>
      <c r="B2107" s="20" t="str">
        <f t="shared" si="31"/>
        <v>@hjcbizsolutions</v>
      </c>
      <c r="C2107" s="21" t="s">
        <v>5129</v>
      </c>
      <c r="D2107" s="21" t="s">
        <v>5131</v>
      </c>
      <c r="E2107" s="22" t="str">
        <f>HYPERLINK("https://twitter.com/hjcbizsolutions/status/922411303242780672","922411303242780672")</f>
        <v>922411303242780672</v>
      </c>
      <c r="F2107" s="23" t="s">
        <v>1799</v>
      </c>
      <c r="G2107" s="24">
        <v>5551.0</v>
      </c>
      <c r="H2107" s="24">
        <v>5224.0</v>
      </c>
      <c r="I2107" s="24">
        <v>1.0</v>
      </c>
      <c r="J2107" s="24">
        <v>0.0</v>
      </c>
      <c r="K2107" s="23" t="s">
        <v>34</v>
      </c>
      <c r="L2107" s="25">
        <v>40855.618622685186</v>
      </c>
      <c r="M2107" s="26" t="s">
        <v>708</v>
      </c>
      <c r="N2107" s="26" t="s">
        <v>5130</v>
      </c>
      <c r="O2107" s="22" t="str">
        <f t="shared" si="32"/>
        <v>View</v>
      </c>
      <c r="P2107" s="27"/>
    </row>
    <row r="2108">
      <c r="A2108" s="14">
        <v>43031.150092592594</v>
      </c>
      <c r="B2108" s="20" t="str">
        <f>HYPERLINK("https://twitter.com/NewsDingo","@NewsDingo")</f>
        <v>@NewsDingo</v>
      </c>
      <c r="C2108" s="21" t="s">
        <v>3313</v>
      </c>
      <c r="D2108" s="21" t="s">
        <v>5132</v>
      </c>
      <c r="E2108" s="22" t="str">
        <f>HYPERLINK("https://twitter.com/NewsDingo/status/922411310490574848","922411310490574848")</f>
        <v>922411310490574848</v>
      </c>
      <c r="F2108" s="23" t="s">
        <v>3315</v>
      </c>
      <c r="G2108" s="24">
        <v>140.0</v>
      </c>
      <c r="H2108" s="24">
        <v>55.0</v>
      </c>
      <c r="I2108" s="24">
        <v>0.0</v>
      </c>
      <c r="J2108" s="24">
        <v>0.0</v>
      </c>
      <c r="K2108" s="23" t="s">
        <v>34</v>
      </c>
      <c r="L2108" s="25">
        <v>40282.52636574074</v>
      </c>
      <c r="M2108" s="26" t="s">
        <v>3316</v>
      </c>
      <c r="N2108" s="26" t="s">
        <v>3317</v>
      </c>
      <c r="O2108" s="22" t="str">
        <f>HYPERLINK("https://pbs.twimg.com/profile_images/823485261/news_dingo_48_normal.gif","View")</f>
        <v>View</v>
      </c>
      <c r="P2108" s="27"/>
    </row>
    <row r="2109">
      <c r="A2109" s="14">
        <v>43031.150231481486</v>
      </c>
      <c r="B2109" s="20" t="str">
        <f>HYPERLINK("https://twitter.com/budejicky","@budejicky")</f>
        <v>@budejicky</v>
      </c>
      <c r="C2109" s="21" t="s">
        <v>5133</v>
      </c>
      <c r="D2109" s="21" t="s">
        <v>5134</v>
      </c>
      <c r="E2109" s="22" t="str">
        <f>HYPERLINK("https://twitter.com/budejicky/status/922411359450648578","922411359450648578")</f>
        <v>922411359450648578</v>
      </c>
      <c r="F2109" s="23" t="s">
        <v>187</v>
      </c>
      <c r="G2109" s="24">
        <v>8349.0</v>
      </c>
      <c r="H2109" s="24">
        <v>8576.0</v>
      </c>
      <c r="I2109" s="24">
        <v>0.0</v>
      </c>
      <c r="J2109" s="24">
        <v>0.0</v>
      </c>
      <c r="K2109" s="23" t="s">
        <v>34</v>
      </c>
      <c r="L2109" s="25">
        <v>41160.37006944444</v>
      </c>
      <c r="M2109" s="28"/>
      <c r="N2109" s="26" t="s">
        <v>5135</v>
      </c>
      <c r="O2109" s="22" t="str">
        <f>HYPERLINK("https://pbs.twimg.com/profile_images/623770590428565505/PJgkyFa8_normal.jpg","View")</f>
        <v>View</v>
      </c>
      <c r="P2109" s="27"/>
    </row>
    <row r="2110">
      <c r="A2110" s="14">
        <v>43031.15037037037</v>
      </c>
      <c r="B2110" s="20" t="str">
        <f>HYPERLINK("https://twitter.com/RVRthebest","@RVRthebest")</f>
        <v>@RVRthebest</v>
      </c>
      <c r="C2110" s="21" t="s">
        <v>5136</v>
      </c>
      <c r="D2110" s="21" t="s">
        <v>42</v>
      </c>
      <c r="E2110" s="22" t="str">
        <f>HYPERLINK("https://twitter.com/RVRthebest/status/922411411833159681","922411411833159681")</f>
        <v>922411411833159681</v>
      </c>
      <c r="F2110" s="23" t="s">
        <v>33</v>
      </c>
      <c r="G2110" s="24">
        <v>179.0</v>
      </c>
      <c r="H2110" s="24">
        <v>1283.0</v>
      </c>
      <c r="I2110" s="24">
        <v>8501.0</v>
      </c>
      <c r="J2110" s="24">
        <v>0.0</v>
      </c>
      <c r="K2110" s="23" t="s">
        <v>34</v>
      </c>
      <c r="L2110" s="25">
        <v>42797.336481481485</v>
      </c>
      <c r="M2110" s="26" t="s">
        <v>204</v>
      </c>
      <c r="N2110" s="26" t="s">
        <v>5137</v>
      </c>
      <c r="O2110" s="22" t="str">
        <f>HYPERLINK("https://pbs.twimg.com/profile_images/837705855948713984/McBvjG_y_normal.jpg","View")</f>
        <v>View</v>
      </c>
      <c r="P2110" s="27"/>
    </row>
    <row r="2111">
      <c r="A2111" s="14">
        <v>43031.15043981481</v>
      </c>
      <c r="B2111" s="20" t="str">
        <f>HYPERLINK("https://twitter.com/DrSrinivasAlapa","@DrSrinivasAlapa")</f>
        <v>@DrSrinivasAlapa</v>
      </c>
      <c r="C2111" s="21" t="s">
        <v>5138</v>
      </c>
      <c r="D2111" s="21" t="s">
        <v>42</v>
      </c>
      <c r="E2111" s="22" t="str">
        <f>HYPERLINK("https://twitter.com/DrSrinivasAlapa/status/922411435061215238","922411435061215238")</f>
        <v>922411435061215238</v>
      </c>
      <c r="F2111" s="23" t="s">
        <v>33</v>
      </c>
      <c r="G2111" s="24">
        <v>267.0</v>
      </c>
      <c r="H2111" s="24">
        <v>667.0</v>
      </c>
      <c r="I2111" s="24">
        <v>8501.0</v>
      </c>
      <c r="J2111" s="24">
        <v>0.0</v>
      </c>
      <c r="K2111" s="23" t="s">
        <v>34</v>
      </c>
      <c r="L2111" s="25">
        <v>41313.43853009259</v>
      </c>
      <c r="M2111" s="26" t="s">
        <v>5139</v>
      </c>
      <c r="N2111" s="26" t="s">
        <v>5140</v>
      </c>
      <c r="O2111" s="22" t="str">
        <f>HYPERLINK("https://pbs.twimg.com/profile_images/760434600346722304/l8DlzU2R_normal.jpg","View")</f>
        <v>View</v>
      </c>
      <c r="P2111" s="27"/>
    </row>
    <row r="2112">
      <c r="A2112" s="14">
        <v>43031.15054398148</v>
      </c>
      <c r="B2112" s="20" t="str">
        <f>HYPERLINK("https://twitter.com/_andrecferreira","@_andrecferreira")</f>
        <v>@_andrecferreira</v>
      </c>
      <c r="C2112" s="21" t="s">
        <v>5141</v>
      </c>
      <c r="D2112" s="21" t="s">
        <v>1220</v>
      </c>
      <c r="E2112" s="22" t="str">
        <f>HYPERLINK("https://twitter.com/_andrecferreira/status/922411472046710785","922411472046710785")</f>
        <v>922411472046710785</v>
      </c>
      <c r="F2112" s="23" t="s">
        <v>33</v>
      </c>
      <c r="G2112" s="24">
        <v>353.0</v>
      </c>
      <c r="H2112" s="24">
        <v>1520.0</v>
      </c>
      <c r="I2112" s="24">
        <v>26.0</v>
      </c>
      <c r="J2112" s="24">
        <v>0.0</v>
      </c>
      <c r="K2112" s="23" t="s">
        <v>34</v>
      </c>
      <c r="L2112" s="25">
        <v>40003.61981481481</v>
      </c>
      <c r="M2112" s="26" t="s">
        <v>5142</v>
      </c>
      <c r="N2112" s="26" t="s">
        <v>5143</v>
      </c>
      <c r="O2112" s="22" t="str">
        <f>HYPERLINK("https://pbs.twimg.com/profile_images/768138481180770304/ZJTLsocH_normal.jpg","View")</f>
        <v>View</v>
      </c>
      <c r="P2112" s="27"/>
    </row>
    <row r="2113">
      <c r="A2113" s="14">
        <v>43031.15063657408</v>
      </c>
      <c r="B2113" s="20" t="str">
        <f>HYPERLINK("https://twitter.com/RLimabachiya","@RLimabachiya")</f>
        <v>@RLimabachiya</v>
      </c>
      <c r="C2113" s="21" t="s">
        <v>5144</v>
      </c>
      <c r="D2113" s="21" t="s">
        <v>42</v>
      </c>
      <c r="E2113" s="22" t="str">
        <f>HYPERLINK("https://twitter.com/RLimabachiya/status/922411507584872448","922411507584872448")</f>
        <v>922411507584872448</v>
      </c>
      <c r="F2113" s="23" t="s">
        <v>33</v>
      </c>
      <c r="G2113" s="24">
        <v>54.0</v>
      </c>
      <c r="H2113" s="24">
        <v>129.0</v>
      </c>
      <c r="I2113" s="24">
        <v>8501.0</v>
      </c>
      <c r="J2113" s="24">
        <v>0.0</v>
      </c>
      <c r="K2113" s="23" t="s">
        <v>34</v>
      </c>
      <c r="L2113" s="25">
        <v>42509.156053240746</v>
      </c>
      <c r="M2113" s="26" t="s">
        <v>5145</v>
      </c>
      <c r="N2113" s="26" t="s">
        <v>5146</v>
      </c>
      <c r="O2113" s="22" t="str">
        <f>HYPERLINK("https://pbs.twimg.com/profile_images/765783541888258048/zzez-NpF_normal.jpg","View")</f>
        <v>View</v>
      </c>
      <c r="P2113" s="27"/>
    </row>
    <row r="2114">
      <c r="A2114" s="14">
        <v>43031.1508449074</v>
      </c>
      <c r="B2114" s="20" t="str">
        <f>HYPERLINK("https://twitter.com/PRNAXL","@PRNAXL")</f>
        <v>@PRNAXL</v>
      </c>
      <c r="C2114" s="21" t="s">
        <v>5147</v>
      </c>
      <c r="D2114" s="21" t="s">
        <v>42</v>
      </c>
      <c r="E2114" s="22" t="str">
        <f>HYPERLINK("https://twitter.com/PRNAXL/status/922411582511988736","922411582511988736")</f>
        <v>922411582511988736</v>
      </c>
      <c r="F2114" s="23" t="s">
        <v>33</v>
      </c>
      <c r="G2114" s="24">
        <v>126.0</v>
      </c>
      <c r="H2114" s="24">
        <v>221.0</v>
      </c>
      <c r="I2114" s="24">
        <v>8501.0</v>
      </c>
      <c r="J2114" s="24">
        <v>0.0</v>
      </c>
      <c r="K2114" s="23" t="s">
        <v>34</v>
      </c>
      <c r="L2114" s="25">
        <v>40442.38396990741</v>
      </c>
      <c r="M2114" s="26" t="s">
        <v>5148</v>
      </c>
      <c r="N2114" s="26" t="s">
        <v>5149</v>
      </c>
      <c r="O2114" s="22" t="str">
        <f>HYPERLINK("https://pbs.twimg.com/profile_images/562672820036304897/96pp_NoT_normal.jpeg","View")</f>
        <v>View</v>
      </c>
      <c r="P2114" s="27"/>
    </row>
    <row r="2115">
      <c r="A2115" s="14">
        <v>43031.150868055556</v>
      </c>
      <c r="B2115" s="20" t="str">
        <f>HYPERLINK("https://twitter.com/yoshy338","@yoshy338")</f>
        <v>@yoshy338</v>
      </c>
      <c r="C2115" s="21" t="s">
        <v>5150</v>
      </c>
      <c r="D2115" s="21" t="s">
        <v>5151</v>
      </c>
      <c r="E2115" s="22" t="str">
        <f>HYPERLINK("https://twitter.com/yoshy338/status/922411589843562496","922411589843562496")</f>
        <v>922411589843562496</v>
      </c>
      <c r="F2115" s="23" t="s">
        <v>230</v>
      </c>
      <c r="G2115" s="24">
        <v>109.0</v>
      </c>
      <c r="H2115" s="24">
        <v>69.0</v>
      </c>
      <c r="I2115" s="24">
        <v>1.0</v>
      </c>
      <c r="J2115" s="24">
        <v>0.0</v>
      </c>
      <c r="K2115" s="23" t="s">
        <v>34</v>
      </c>
      <c r="L2115" s="25">
        <v>41379.810162037036</v>
      </c>
      <c r="M2115" s="28"/>
      <c r="N2115" s="28"/>
      <c r="O2115" s="22" t="str">
        <f>HYPERLINK("https://pbs.twimg.com/profile_images/3528992395/a0ebec47eaa9fbb603a9c1137bbffa7f_normal.jpeg","View")</f>
        <v>View</v>
      </c>
      <c r="P2115" s="27"/>
    </row>
    <row r="2116">
      <c r="A2116" s="14">
        <v>43031.15091435185</v>
      </c>
      <c r="B2116" s="20" t="str">
        <f>HYPERLINK("https://twitter.com/rajatelTRIP","@rajatelTRIP")</f>
        <v>@rajatelTRIP</v>
      </c>
      <c r="C2116" s="21" t="s">
        <v>5152</v>
      </c>
      <c r="D2116" s="21" t="s">
        <v>42</v>
      </c>
      <c r="E2116" s="22" t="str">
        <f>HYPERLINK("https://twitter.com/rajatelTRIP/status/922411605861601280","922411605861601280")</f>
        <v>922411605861601280</v>
      </c>
      <c r="F2116" s="23" t="s">
        <v>55</v>
      </c>
      <c r="G2116" s="24">
        <v>33.0</v>
      </c>
      <c r="H2116" s="24">
        <v>94.0</v>
      </c>
      <c r="I2116" s="24">
        <v>8501.0</v>
      </c>
      <c r="J2116" s="24">
        <v>0.0</v>
      </c>
      <c r="K2116" s="23" t="s">
        <v>34</v>
      </c>
      <c r="L2116" s="25">
        <v>42077.54452546296</v>
      </c>
      <c r="M2116" s="28"/>
      <c r="N2116" s="26" t="s">
        <v>5153</v>
      </c>
      <c r="O2116" s="22" t="str">
        <f>HYPERLINK("https://abs.twimg.com/sticky/default_profile_images/default_profile_normal.png","View")</f>
        <v>View</v>
      </c>
      <c r="P2116" s="27"/>
    </row>
    <row r="2117">
      <c r="A2117" s="14">
        <v>43031.1509375</v>
      </c>
      <c r="B2117" s="20" t="str">
        <f>HYPERLINK("https://twitter.com/ramesh_gogi","@ramesh_gogi")</f>
        <v>@ramesh_gogi</v>
      </c>
      <c r="C2117" s="21" t="s">
        <v>5154</v>
      </c>
      <c r="D2117" s="21" t="s">
        <v>42</v>
      </c>
      <c r="E2117" s="22" t="str">
        <f>HYPERLINK("https://twitter.com/ramesh_gogi/status/922411617261830145","922411617261830145")</f>
        <v>922411617261830145</v>
      </c>
      <c r="F2117" s="23" t="s">
        <v>230</v>
      </c>
      <c r="G2117" s="24">
        <v>9460.0</v>
      </c>
      <c r="H2117" s="24">
        <v>4855.0</v>
      </c>
      <c r="I2117" s="24">
        <v>8501.0</v>
      </c>
      <c r="J2117" s="24">
        <v>0.0</v>
      </c>
      <c r="K2117" s="23" t="s">
        <v>34</v>
      </c>
      <c r="L2117" s="25">
        <v>41380.18711805555</v>
      </c>
      <c r="M2117" s="26" t="s">
        <v>5155</v>
      </c>
      <c r="N2117" s="26" t="s">
        <v>5156</v>
      </c>
      <c r="O2117" s="22" t="str">
        <f>HYPERLINK("https://pbs.twimg.com/profile_images/458976708213747712/C5eRPLL6_normal.jpeg","View")</f>
        <v>View</v>
      </c>
      <c r="P2117" s="27"/>
    </row>
    <row r="2118">
      <c r="A2118" s="14">
        <v>43031.15096064815</v>
      </c>
      <c r="B2118" s="20" t="str">
        <f>HYPERLINK("https://twitter.com/CclearWorld","@CclearWorld")</f>
        <v>@CclearWorld</v>
      </c>
      <c r="C2118" s="21" t="s">
        <v>5157</v>
      </c>
      <c r="D2118" s="21" t="s">
        <v>5158</v>
      </c>
      <c r="E2118" s="22" t="str">
        <f>HYPERLINK("https://twitter.com/CclearWorld/status/922411625285672960","922411625285672960")</f>
        <v>922411625285672960</v>
      </c>
      <c r="F2118" s="23" t="s">
        <v>55</v>
      </c>
      <c r="G2118" s="24">
        <v>2.0</v>
      </c>
      <c r="H2118" s="24">
        <v>65.0</v>
      </c>
      <c r="I2118" s="24">
        <v>0.0</v>
      </c>
      <c r="J2118" s="24">
        <v>0.0</v>
      </c>
      <c r="K2118" s="23" t="s">
        <v>34</v>
      </c>
      <c r="L2118" s="25">
        <v>43031.10596064814</v>
      </c>
      <c r="M2118" s="28"/>
      <c r="N2118" s="26" t="s">
        <v>5159</v>
      </c>
      <c r="O2118" s="22" t="str">
        <f>HYPERLINK("https://pbs.twimg.com/profile_images/922399845306060800/VvbO3sfu_normal.jpg","View")</f>
        <v>View</v>
      </c>
      <c r="P2118" s="27"/>
    </row>
    <row r="2119">
      <c r="A2119" s="14">
        <v>43031.150983796295</v>
      </c>
      <c r="B2119" s="20" t="str">
        <f>HYPERLINK("https://twitter.com/Daily_Express","@Daily_Express")</f>
        <v>@Daily_Express</v>
      </c>
      <c r="C2119" s="21" t="s">
        <v>5160</v>
      </c>
      <c r="D2119" s="21" t="s">
        <v>5161</v>
      </c>
      <c r="E2119" s="22" t="str">
        <f>HYPERLINK("https://twitter.com/Daily_Express/status/922411634617970689","922411634617970689")</f>
        <v>922411634617970689</v>
      </c>
      <c r="F2119" s="23" t="s">
        <v>55</v>
      </c>
      <c r="G2119" s="24">
        <v>690697.0</v>
      </c>
      <c r="H2119" s="24">
        <v>529.0</v>
      </c>
      <c r="I2119" s="24">
        <v>3.0</v>
      </c>
      <c r="J2119" s="24">
        <v>7.0</v>
      </c>
      <c r="K2119" s="23" t="s">
        <v>34</v>
      </c>
      <c r="L2119" s="25">
        <v>39787.170694444445</v>
      </c>
      <c r="M2119" s="26" t="s">
        <v>334</v>
      </c>
      <c r="N2119" s="26" t="s">
        <v>5162</v>
      </c>
      <c r="O2119" s="22" t="str">
        <f>HYPERLINK("https://pbs.twimg.com/profile_images/915525294978666496/ALgq4U5j_normal.jpg","View")</f>
        <v>View</v>
      </c>
      <c r="P2119" s="27"/>
    </row>
    <row r="2120">
      <c r="A2120" s="14">
        <v>43031.15112268519</v>
      </c>
      <c r="B2120" s="20" t="str">
        <f>HYPERLINK("https://twitter.com/rhymesintellect","@rhymesintellect")</f>
        <v>@rhymesintellect</v>
      </c>
      <c r="C2120" s="21" t="s">
        <v>5163</v>
      </c>
      <c r="D2120" s="21" t="s">
        <v>32</v>
      </c>
      <c r="E2120" s="22" t="str">
        <f>HYPERLINK("https://twitter.com/rhymesintellect/status/922411681065652225","922411681065652225")</f>
        <v>922411681065652225</v>
      </c>
      <c r="F2120" s="23" t="s">
        <v>55</v>
      </c>
      <c r="G2120" s="24">
        <v>2278.0</v>
      </c>
      <c r="H2120" s="24">
        <v>2173.0</v>
      </c>
      <c r="I2120" s="24">
        <v>471.0</v>
      </c>
      <c r="J2120" s="24">
        <v>0.0</v>
      </c>
      <c r="K2120" s="23" t="s">
        <v>34</v>
      </c>
      <c r="L2120" s="25">
        <v>40305.24828703704</v>
      </c>
      <c r="M2120" s="26" t="s">
        <v>5164</v>
      </c>
      <c r="N2120" s="26" t="s">
        <v>5165</v>
      </c>
      <c r="O2120" s="22" t="str">
        <f>HYPERLINK("https://pbs.twimg.com/profile_images/921638774538465280/fWFJtbsC_normal.jpg","View")</f>
        <v>View</v>
      </c>
      <c r="P2120" s="27"/>
    </row>
    <row r="2121">
      <c r="A2121" s="14">
        <v>43031.15142361111</v>
      </c>
      <c r="B2121" s="20" t="str">
        <f>HYPERLINK("https://twitter.com/human24679","@human24679")</f>
        <v>@human24679</v>
      </c>
      <c r="C2121" s="21" t="s">
        <v>5166</v>
      </c>
      <c r="D2121" s="21" t="s">
        <v>42</v>
      </c>
      <c r="E2121" s="22" t="str">
        <f>HYPERLINK("https://twitter.com/human24679/status/922411793510580225","922411793510580225")</f>
        <v>922411793510580225</v>
      </c>
      <c r="F2121" s="23" t="s">
        <v>39</v>
      </c>
      <c r="G2121" s="24">
        <v>687.0</v>
      </c>
      <c r="H2121" s="24">
        <v>871.0</v>
      </c>
      <c r="I2121" s="24">
        <v>8501.0</v>
      </c>
      <c r="J2121" s="24">
        <v>0.0</v>
      </c>
      <c r="K2121" s="23" t="s">
        <v>34</v>
      </c>
      <c r="L2121" s="25">
        <v>42575.274305555555</v>
      </c>
      <c r="M2121" s="26" t="s">
        <v>5167</v>
      </c>
      <c r="N2121" s="26" t="s">
        <v>5168</v>
      </c>
      <c r="O2121" s="22" t="str">
        <f>HYPERLINK("https://pbs.twimg.com/profile_images/828078501123149825/4PV4oy-A_normal.jpg","View")</f>
        <v>View</v>
      </c>
      <c r="P2121" s="27"/>
    </row>
    <row r="2122">
      <c r="A2122" s="14">
        <v>43031.151550925926</v>
      </c>
      <c r="B2122" s="20" t="str">
        <f>HYPERLINK("https://twitter.com/MichaelMichelno","@MichaelMichelno")</f>
        <v>@MichaelMichelno</v>
      </c>
      <c r="C2122" s="21" t="s">
        <v>5169</v>
      </c>
      <c r="D2122" s="21" t="s">
        <v>5170</v>
      </c>
      <c r="E2122" s="22" t="str">
        <f>HYPERLINK("https://twitter.com/MichaelMichelno/status/922411839442640897","922411839442640897")</f>
        <v>922411839442640897</v>
      </c>
      <c r="F2122" s="23" t="s">
        <v>33</v>
      </c>
      <c r="G2122" s="24">
        <v>159.0</v>
      </c>
      <c r="H2122" s="24">
        <v>214.0</v>
      </c>
      <c r="I2122" s="24">
        <v>3.0</v>
      </c>
      <c r="J2122" s="24">
        <v>0.0</v>
      </c>
      <c r="K2122" s="23" t="s">
        <v>34</v>
      </c>
      <c r="L2122" s="25">
        <v>42978.41765046296</v>
      </c>
      <c r="M2122" s="28"/>
      <c r="N2122" s="28"/>
      <c r="O2122" s="22" t="str">
        <f t="shared" ref="O2122:O2124" si="33">HYPERLINK("https://abs.twimg.com/sticky/default_profile_images/default_profile_normal.png","View")</f>
        <v>View</v>
      </c>
      <c r="P2122" s="27"/>
    </row>
    <row r="2123">
      <c r="A2123" s="14">
        <v>43031.15157407407</v>
      </c>
      <c r="B2123" s="20" t="str">
        <f>HYPERLINK("https://twitter.com/Rishabh25030533","@Rishabh25030533")</f>
        <v>@Rishabh25030533</v>
      </c>
      <c r="C2123" s="21" t="s">
        <v>5171</v>
      </c>
      <c r="D2123" s="21" t="s">
        <v>42</v>
      </c>
      <c r="E2123" s="22" t="str">
        <f>HYPERLINK("https://twitter.com/Rishabh25030533/status/922411845889036288","922411845889036288")</f>
        <v>922411845889036288</v>
      </c>
      <c r="F2123" s="23" t="s">
        <v>43</v>
      </c>
      <c r="G2123" s="24">
        <v>16.0</v>
      </c>
      <c r="H2123" s="24">
        <v>61.0</v>
      </c>
      <c r="I2123" s="24">
        <v>8501.0</v>
      </c>
      <c r="J2123" s="24">
        <v>0.0</v>
      </c>
      <c r="K2123" s="23" t="s">
        <v>34</v>
      </c>
      <c r="L2123" s="25">
        <v>42731.45722222222</v>
      </c>
      <c r="M2123" s="28"/>
      <c r="N2123" s="28"/>
      <c r="O2123" s="22" t="str">
        <f t="shared" si="33"/>
        <v>View</v>
      </c>
      <c r="P2123" s="27"/>
    </row>
    <row r="2124">
      <c r="A2124" s="14">
        <v>43031.15166666667</v>
      </c>
      <c r="B2124" s="20" t="str">
        <f>HYPERLINK("https://twitter.com/nkisipan","@nkisipan")</f>
        <v>@nkisipan</v>
      </c>
      <c r="C2124" s="21" t="s">
        <v>5172</v>
      </c>
      <c r="D2124" s="21" t="s">
        <v>32</v>
      </c>
      <c r="E2124" s="22" t="str">
        <f>HYPERLINK("https://twitter.com/nkisipan/status/922411878365704194","922411878365704194")</f>
        <v>922411878365704194</v>
      </c>
      <c r="F2124" s="23" t="s">
        <v>33</v>
      </c>
      <c r="G2124" s="24">
        <v>208.0</v>
      </c>
      <c r="H2124" s="24">
        <v>1051.0</v>
      </c>
      <c r="I2124" s="24">
        <v>471.0</v>
      </c>
      <c r="J2124" s="24">
        <v>0.0</v>
      </c>
      <c r="K2124" s="23" t="s">
        <v>34</v>
      </c>
      <c r="L2124" s="25">
        <v>42012.476018518515</v>
      </c>
      <c r="M2124" s="28"/>
      <c r="N2124" s="28"/>
      <c r="O2124" s="22" t="str">
        <f t="shared" si="33"/>
        <v>View</v>
      </c>
      <c r="P2124" s="27"/>
    </row>
    <row r="2125">
      <c r="A2125" s="14">
        <v>43031.151712962965</v>
      </c>
      <c r="B2125" s="20" t="str">
        <f>HYPERLINK("https://twitter.com/sp6262","@sp6262")</f>
        <v>@sp6262</v>
      </c>
      <c r="C2125" s="21" t="s">
        <v>5173</v>
      </c>
      <c r="D2125" s="21" t="s">
        <v>2555</v>
      </c>
      <c r="E2125" s="22" t="str">
        <f>HYPERLINK("https://twitter.com/sp6262/status/922411897378439170","922411897378439170")</f>
        <v>922411897378439170</v>
      </c>
      <c r="F2125" s="23" t="s">
        <v>39</v>
      </c>
      <c r="G2125" s="24">
        <v>157.0</v>
      </c>
      <c r="H2125" s="24">
        <v>117.0</v>
      </c>
      <c r="I2125" s="24">
        <v>58.0</v>
      </c>
      <c r="J2125" s="24">
        <v>0.0</v>
      </c>
      <c r="K2125" s="23" t="s">
        <v>34</v>
      </c>
      <c r="L2125" s="25">
        <v>41960.42896990741</v>
      </c>
      <c r="M2125" s="26" t="s">
        <v>5174</v>
      </c>
      <c r="N2125" s="26" t="s">
        <v>5175</v>
      </c>
      <c r="O2125" s="22" t="str">
        <f>HYPERLINK("https://pbs.twimg.com/profile_images/922533587081195521/oJTzud06_normal.jpg","View")</f>
        <v>View</v>
      </c>
      <c r="P2125" s="27"/>
    </row>
    <row r="2126">
      <c r="A2126" s="14">
        <v>43031.151817129634</v>
      </c>
      <c r="B2126" s="20" t="str">
        <f>HYPERLINK("https://twitter.com/CandyWu0928","@CandyWu0928")</f>
        <v>@CandyWu0928</v>
      </c>
      <c r="C2126" s="21" t="s">
        <v>5176</v>
      </c>
      <c r="D2126" s="21" t="s">
        <v>5177</v>
      </c>
      <c r="E2126" s="22" t="str">
        <f>HYPERLINK("https://twitter.com/CandyWu0928/status/922411934699233280","922411934699233280")</f>
        <v>922411934699233280</v>
      </c>
      <c r="F2126" s="23" t="s">
        <v>33</v>
      </c>
      <c r="G2126" s="24">
        <v>168.0</v>
      </c>
      <c r="H2126" s="24">
        <v>183.0</v>
      </c>
      <c r="I2126" s="24">
        <v>115.0</v>
      </c>
      <c r="J2126" s="24">
        <v>0.0</v>
      </c>
      <c r="K2126" s="23" t="s">
        <v>34</v>
      </c>
      <c r="L2126" s="25">
        <v>42093.35099537037</v>
      </c>
      <c r="M2126" s="26" t="s">
        <v>5178</v>
      </c>
      <c r="N2126" s="26" t="s">
        <v>5179</v>
      </c>
      <c r="O2126" s="22" t="str">
        <f>HYPERLINK("https://pbs.twimg.com/profile_images/890579060887134209/Qac13RwL_normal.jpg","View")</f>
        <v>View</v>
      </c>
      <c r="P2126" s="27"/>
    </row>
    <row r="2127">
      <c r="A2127" s="14">
        <v>43031.1518287037</v>
      </c>
      <c r="B2127" s="20" t="str">
        <f>HYPERLINK("https://twitter.com/eiwa57212409","@eiwa57212409")</f>
        <v>@eiwa57212409</v>
      </c>
      <c r="C2127" s="21" t="s">
        <v>5180</v>
      </c>
      <c r="D2127" s="21" t="s">
        <v>42</v>
      </c>
      <c r="E2127" s="22" t="str">
        <f>HYPERLINK("https://twitter.com/eiwa57212409/status/922411936939098112","922411936939098112")</f>
        <v>922411936939098112</v>
      </c>
      <c r="F2127" s="23" t="s">
        <v>55</v>
      </c>
      <c r="G2127" s="24">
        <v>1458.0</v>
      </c>
      <c r="H2127" s="24">
        <v>1363.0</v>
      </c>
      <c r="I2127" s="24">
        <v>8501.0</v>
      </c>
      <c r="J2127" s="24">
        <v>0.0</v>
      </c>
      <c r="K2127" s="23" t="s">
        <v>34</v>
      </c>
      <c r="L2127" s="25">
        <v>42637.15553240741</v>
      </c>
      <c r="M2127" s="28"/>
      <c r="N2127" s="26" t="s">
        <v>5181</v>
      </c>
      <c r="O2127" s="22" t="str">
        <f>HYPERLINK("https://pbs.twimg.com/profile_images/911894319711129602/8VHWIHey_normal.jpg","View")</f>
        <v>View</v>
      </c>
      <c r="P2127" s="27"/>
    </row>
    <row r="2128">
      <c r="A2128" s="14">
        <v>43031.1518287037</v>
      </c>
      <c r="B2128" s="20" t="str">
        <f>HYPERLINK("https://twitter.com/ITrueIndian","@ITrueIndian")</f>
        <v>@ITrueIndian</v>
      </c>
      <c r="C2128" s="21" t="s">
        <v>5182</v>
      </c>
      <c r="D2128" s="21" t="s">
        <v>42</v>
      </c>
      <c r="E2128" s="22" t="str">
        <f>HYPERLINK("https://twitter.com/ITrueIndian/status/922411940319657984","922411940319657984")</f>
        <v>922411940319657984</v>
      </c>
      <c r="F2128" s="23" t="s">
        <v>33</v>
      </c>
      <c r="G2128" s="24">
        <v>49.0</v>
      </c>
      <c r="H2128" s="24">
        <v>7.0</v>
      </c>
      <c r="I2128" s="24">
        <v>8501.0</v>
      </c>
      <c r="J2128" s="24">
        <v>0.0</v>
      </c>
      <c r="K2128" s="23" t="s">
        <v>34</v>
      </c>
      <c r="L2128" s="25">
        <v>42876.64403935186</v>
      </c>
      <c r="M2128" s="26" t="s">
        <v>204</v>
      </c>
      <c r="N2128" s="26" t="s">
        <v>5183</v>
      </c>
      <c r="O2128" s="22" t="str">
        <f>HYPERLINK("https://pbs.twimg.com/profile_images/911644806782136320/YziBUEc__normal.jpg","View")</f>
        <v>View</v>
      </c>
      <c r="P2128" s="27"/>
    </row>
    <row r="2129">
      <c r="A2129" s="14">
        <v>43031.15193287037</v>
      </c>
      <c r="B2129" s="20" t="str">
        <f>HYPERLINK("https://twitter.com/Pat1066Patrick","@Pat1066Patrick")</f>
        <v>@Pat1066Patrick</v>
      </c>
      <c r="C2129" s="21" t="s">
        <v>5184</v>
      </c>
      <c r="D2129" s="21" t="s">
        <v>5185</v>
      </c>
      <c r="E2129" s="22" t="str">
        <f>HYPERLINK("https://twitter.com/Pat1066Patrick/status/922411977292464129","922411977292464129")</f>
        <v>922411977292464129</v>
      </c>
      <c r="F2129" s="23" t="s">
        <v>55</v>
      </c>
      <c r="G2129" s="24">
        <v>5034.0</v>
      </c>
      <c r="H2129" s="24">
        <v>5204.0</v>
      </c>
      <c r="I2129" s="24">
        <v>0.0</v>
      </c>
      <c r="J2129" s="24">
        <v>0.0</v>
      </c>
      <c r="K2129" s="23" t="s">
        <v>34</v>
      </c>
      <c r="L2129" s="25">
        <v>40961.09135416667</v>
      </c>
      <c r="M2129" s="26" t="s">
        <v>5186</v>
      </c>
      <c r="N2129" s="26" t="s">
        <v>5187</v>
      </c>
      <c r="O2129" s="22" t="str">
        <f>HYPERLINK("https://pbs.twimg.com/profile_images/485971524583583745/HxLbFWZR_normal.jpeg","View")</f>
        <v>View</v>
      </c>
      <c r="P2129" s="27"/>
    </row>
    <row r="2130">
      <c r="A2130" s="14">
        <v>43031.15210648148</v>
      </c>
      <c r="B2130" s="20" t="str">
        <f>HYPERLINK("https://twitter.com/kadamkishor0508","@kadamkishor0508")</f>
        <v>@kadamkishor0508</v>
      </c>
      <c r="C2130" s="21" t="s">
        <v>5188</v>
      </c>
      <c r="D2130" s="21" t="s">
        <v>42</v>
      </c>
      <c r="E2130" s="22" t="str">
        <f>HYPERLINK("https://twitter.com/kadamkishor0508/status/922412040144158721","922412040144158721")</f>
        <v>922412040144158721</v>
      </c>
      <c r="F2130" s="23" t="s">
        <v>43</v>
      </c>
      <c r="G2130" s="24">
        <v>1.0</v>
      </c>
      <c r="H2130" s="24">
        <v>44.0</v>
      </c>
      <c r="I2130" s="24">
        <v>8501.0</v>
      </c>
      <c r="J2130" s="24">
        <v>0.0</v>
      </c>
      <c r="K2130" s="23" t="s">
        <v>34</v>
      </c>
      <c r="L2130" s="25">
        <v>41446.61050925926</v>
      </c>
      <c r="M2130" s="28"/>
      <c r="N2130" s="28"/>
      <c r="O2130" s="22" t="str">
        <f>HYPERLINK("https://abs.twimg.com/sticky/default_profile_images/default_profile_normal.png","View")</f>
        <v>View</v>
      </c>
      <c r="P2130" s="27"/>
    </row>
    <row r="2131">
      <c r="A2131" s="14">
        <v>43031.15215277778</v>
      </c>
      <c r="B2131" s="20" t="str">
        <f>HYPERLINK("https://twitter.com/squidley18","@squidley18")</f>
        <v>@squidley18</v>
      </c>
      <c r="C2131" s="21" t="s">
        <v>5189</v>
      </c>
      <c r="D2131" s="21" t="s">
        <v>2595</v>
      </c>
      <c r="E2131" s="22" t="str">
        <f>HYPERLINK("https://twitter.com/squidley18/status/922412055868723200","922412055868723200")</f>
        <v>922412055868723200</v>
      </c>
      <c r="F2131" s="23" t="s">
        <v>39</v>
      </c>
      <c r="G2131" s="24">
        <v>2294.0</v>
      </c>
      <c r="H2131" s="24">
        <v>5001.0</v>
      </c>
      <c r="I2131" s="24">
        <v>170.0</v>
      </c>
      <c r="J2131" s="24">
        <v>0.0</v>
      </c>
      <c r="K2131" s="23" t="s">
        <v>34</v>
      </c>
      <c r="L2131" s="25">
        <v>39871.49113425926</v>
      </c>
      <c r="M2131" s="26" t="s">
        <v>5190</v>
      </c>
      <c r="N2131" s="28"/>
      <c r="O2131" s="22" t="str">
        <f>HYPERLINK("https://pbs.twimg.com/profile_images/1947264996/PIC_0071_normal.JPG","View")</f>
        <v>View</v>
      </c>
      <c r="P2131" s="27"/>
    </row>
    <row r="2132">
      <c r="A2132" s="14">
        <v>43031.15219907407</v>
      </c>
      <c r="B2132" s="20" t="str">
        <f>HYPERLINK("https://twitter.com/OtienOne","@OtienOne")</f>
        <v>@OtienOne</v>
      </c>
      <c r="C2132" s="21" t="s">
        <v>5191</v>
      </c>
      <c r="D2132" s="21" t="s">
        <v>32</v>
      </c>
      <c r="E2132" s="22" t="str">
        <f>HYPERLINK("https://twitter.com/OtienOne/status/922412073514135558","922412073514135558")</f>
        <v>922412073514135558</v>
      </c>
      <c r="F2132" s="23" t="s">
        <v>33</v>
      </c>
      <c r="G2132" s="24">
        <v>435.0</v>
      </c>
      <c r="H2132" s="24">
        <v>1309.0</v>
      </c>
      <c r="I2132" s="24">
        <v>471.0</v>
      </c>
      <c r="J2132" s="24">
        <v>0.0</v>
      </c>
      <c r="K2132" s="23" t="s">
        <v>34</v>
      </c>
      <c r="L2132" s="25">
        <v>40316.0420949074</v>
      </c>
      <c r="M2132" s="33" t="s">
        <v>5192</v>
      </c>
      <c r="N2132" s="33" t="s">
        <v>5193</v>
      </c>
      <c r="O2132" s="22" t="str">
        <f>HYPERLINK("https://pbs.twimg.com/profile_images/790980862594654209/oKnK9YBC_normal.jpg","View")</f>
        <v>View</v>
      </c>
      <c r="P2132" s="27"/>
    </row>
    <row r="2133">
      <c r="A2133" s="14">
        <v>43031.152233796296</v>
      </c>
      <c r="B2133" s="20" t="str">
        <f>HYPERLINK("https://twitter.com/SurajChauhanBJP","@SurajChauhanBJP")</f>
        <v>@SurajChauhanBJP</v>
      </c>
      <c r="C2133" s="21" t="s">
        <v>5194</v>
      </c>
      <c r="D2133" s="21" t="s">
        <v>42</v>
      </c>
      <c r="E2133" s="22" t="str">
        <f>HYPERLINK("https://twitter.com/SurajChauhanBJP/status/922412083844595713","922412083844595713")</f>
        <v>922412083844595713</v>
      </c>
      <c r="F2133" s="23" t="s">
        <v>33</v>
      </c>
      <c r="G2133" s="24">
        <v>634.0</v>
      </c>
      <c r="H2133" s="24">
        <v>527.0</v>
      </c>
      <c r="I2133" s="24">
        <v>8501.0</v>
      </c>
      <c r="J2133" s="24">
        <v>0.0</v>
      </c>
      <c r="K2133" s="23" t="s">
        <v>34</v>
      </c>
      <c r="L2133" s="25">
        <v>41537.937939814816</v>
      </c>
      <c r="M2133" s="28"/>
      <c r="N2133" s="26" t="s">
        <v>5195</v>
      </c>
      <c r="O2133" s="22" t="str">
        <f>HYPERLINK("https://pbs.twimg.com/profile_images/918484240626360320/fOfeEtw1_normal.jpg","View")</f>
        <v>View</v>
      </c>
      <c r="P2133" s="27"/>
    </row>
    <row r="2134">
      <c r="A2134" s="14">
        <v>43031.15228009259</v>
      </c>
      <c r="B2134" s="20" t="str">
        <f>HYPERLINK("https://twitter.com/Vikram_Kumawat1","@Vikram_Kumawat1")</f>
        <v>@Vikram_Kumawat1</v>
      </c>
      <c r="C2134" s="21" t="s">
        <v>5196</v>
      </c>
      <c r="D2134" s="21" t="s">
        <v>42</v>
      </c>
      <c r="E2134" s="22" t="str">
        <f>HYPERLINK("https://twitter.com/Vikram_Kumawat1/status/922412103507443713","922412103507443713")</f>
        <v>922412103507443713</v>
      </c>
      <c r="F2134" s="23" t="s">
        <v>33</v>
      </c>
      <c r="G2134" s="24">
        <v>2611.0</v>
      </c>
      <c r="H2134" s="24">
        <v>2107.0</v>
      </c>
      <c r="I2134" s="24">
        <v>8501.0</v>
      </c>
      <c r="J2134" s="24">
        <v>0.0</v>
      </c>
      <c r="K2134" s="23" t="s">
        <v>34</v>
      </c>
      <c r="L2134" s="25">
        <v>42635.18074074074</v>
      </c>
      <c r="M2134" s="26" t="s">
        <v>5197</v>
      </c>
      <c r="N2134" s="26" t="s">
        <v>5198</v>
      </c>
      <c r="O2134" s="22" t="str">
        <f>HYPERLINK("https://pbs.twimg.com/profile_images/897281280404008962/dwoLa0dt_normal.jpg","View")</f>
        <v>View</v>
      </c>
      <c r="P2134" s="27"/>
    </row>
    <row r="2135">
      <c r="A2135" s="14">
        <v>43031.15230324074</v>
      </c>
      <c r="B2135" s="20" t="str">
        <f>HYPERLINK("https://twitter.com/Sam_Yes_VSS","@Sam_Yes_VSS")</f>
        <v>@Sam_Yes_VSS</v>
      </c>
      <c r="C2135" s="21" t="s">
        <v>5199</v>
      </c>
      <c r="D2135" s="21" t="s">
        <v>5200</v>
      </c>
      <c r="E2135" s="22" t="str">
        <f>HYPERLINK("https://twitter.com/Sam_Yes_VSS/status/922412111900364800","922412111900364800")</f>
        <v>922412111900364800</v>
      </c>
      <c r="F2135" s="23" t="s">
        <v>187</v>
      </c>
      <c r="G2135" s="24">
        <v>386.0</v>
      </c>
      <c r="H2135" s="24">
        <v>981.0</v>
      </c>
      <c r="I2135" s="24">
        <v>0.0</v>
      </c>
      <c r="J2135" s="24">
        <v>0.0</v>
      </c>
      <c r="K2135" s="23" t="s">
        <v>34</v>
      </c>
      <c r="L2135" s="25">
        <v>40639.51416666667</v>
      </c>
      <c r="M2135" s="26" t="s">
        <v>68</v>
      </c>
      <c r="N2135" s="26" t="s">
        <v>5201</v>
      </c>
      <c r="O2135" s="22" t="str">
        <f>HYPERLINK("https://pbs.twimg.com/profile_images/916834850186940423/VGXuSbjt_normal.jpg","View")</f>
        <v>View</v>
      </c>
      <c r="P2135" s="27"/>
    </row>
    <row r="2136">
      <c r="A2136" s="14">
        <v>43031.152337962965</v>
      </c>
      <c r="B2136" s="20" t="str">
        <f>HYPERLINK("https://twitter.com/dvnsravan","@dvnsravan")</f>
        <v>@dvnsravan</v>
      </c>
      <c r="C2136" s="21" t="s">
        <v>5202</v>
      </c>
      <c r="D2136" s="21" t="s">
        <v>42</v>
      </c>
      <c r="E2136" s="22" t="str">
        <f>HYPERLINK("https://twitter.com/dvnsravan/status/922412125212909568","922412125212909568")</f>
        <v>922412125212909568</v>
      </c>
      <c r="F2136" s="23" t="s">
        <v>33</v>
      </c>
      <c r="G2136" s="24">
        <v>94.0</v>
      </c>
      <c r="H2136" s="24">
        <v>142.0</v>
      </c>
      <c r="I2136" s="24">
        <v>8501.0</v>
      </c>
      <c r="J2136" s="24">
        <v>0.0</v>
      </c>
      <c r="K2136" s="23" t="s">
        <v>34</v>
      </c>
      <c r="L2136" s="25">
        <v>40288.943344907406</v>
      </c>
      <c r="M2136" s="28"/>
      <c r="N2136" s="26" t="s">
        <v>5203</v>
      </c>
      <c r="O2136" s="22" t="str">
        <f>HYPERLINK("https://pbs.twimg.com/profile_images/378800000086534611/e460fbae23b4506acef3256f1e296777_normal.jpeg","View")</f>
        <v>View</v>
      </c>
      <c r="P2136" s="27"/>
    </row>
    <row r="2137">
      <c r="A2137" s="14">
        <v>43031.152349537035</v>
      </c>
      <c r="B2137" s="20" t="str">
        <f>HYPERLINK("https://twitter.com/m7m5ea","@m7m5ea")</f>
        <v>@m7m5ea</v>
      </c>
      <c r="C2137" s="21" t="s">
        <v>2733</v>
      </c>
      <c r="D2137" s="21" t="s">
        <v>42</v>
      </c>
      <c r="E2137" s="22" t="str">
        <f>HYPERLINK("https://twitter.com/m7m5ea/status/922412126160928769","922412126160928769")</f>
        <v>922412126160928769</v>
      </c>
      <c r="F2137" s="23" t="s">
        <v>33</v>
      </c>
      <c r="G2137" s="24">
        <v>146.0</v>
      </c>
      <c r="H2137" s="24">
        <v>797.0</v>
      </c>
      <c r="I2137" s="24">
        <v>8501.0</v>
      </c>
      <c r="J2137" s="24">
        <v>0.0</v>
      </c>
      <c r="K2137" s="23" t="s">
        <v>34</v>
      </c>
      <c r="L2137" s="25">
        <v>42568.20162037037</v>
      </c>
      <c r="M2137" s="28"/>
      <c r="N2137" s="26" t="s">
        <v>2734</v>
      </c>
      <c r="O2137" s="22" t="str">
        <f>HYPERLINK("https://pbs.twimg.com/profile_images/856484077456601088/sUHTZafL_normal.jpg","View")</f>
        <v>View</v>
      </c>
      <c r="P2137" s="27"/>
    </row>
    <row r="2138">
      <c r="A2138" s="14">
        <v>43031.15236111111</v>
      </c>
      <c r="B2138" s="20" t="str">
        <f>HYPERLINK("https://twitter.com/UrsulaYo","@UrsulaYo")</f>
        <v>@UrsulaYo</v>
      </c>
      <c r="C2138" s="21" t="s">
        <v>5204</v>
      </c>
      <c r="D2138" s="21" t="s">
        <v>1444</v>
      </c>
      <c r="E2138" s="22" t="str">
        <f>HYPERLINK("https://twitter.com/UrsulaYo/status/922412131760222208","922412131760222208")</f>
        <v>922412131760222208</v>
      </c>
      <c r="F2138" s="23" t="s">
        <v>33</v>
      </c>
      <c r="G2138" s="24">
        <v>4.0</v>
      </c>
      <c r="H2138" s="24">
        <v>225.0</v>
      </c>
      <c r="I2138" s="24">
        <v>50.0</v>
      </c>
      <c r="J2138" s="24">
        <v>0.0</v>
      </c>
      <c r="K2138" s="23" t="s">
        <v>34</v>
      </c>
      <c r="L2138" s="25">
        <v>40344.28166666666</v>
      </c>
      <c r="M2138" s="26" t="s">
        <v>5205</v>
      </c>
      <c r="N2138" s="26" t="s">
        <v>5206</v>
      </c>
      <c r="O2138" s="22" t="str">
        <f>HYPERLINK("https://pbs.twimg.com/profile_images/3064092792/35742df6865182b6c3b22a9e284bb643_normal.jpeg","View")</f>
        <v>View</v>
      </c>
      <c r="P2138" s="27"/>
    </row>
    <row r="2139">
      <c r="A2139" s="14">
        <v>43031.15241898148</v>
      </c>
      <c r="B2139" s="20" t="str">
        <f>HYPERLINK("https://twitter.com/vidyadharginde","@vidyadharginde")</f>
        <v>@vidyadharginde</v>
      </c>
      <c r="C2139" s="21" t="s">
        <v>5207</v>
      </c>
      <c r="D2139" s="21" t="s">
        <v>42</v>
      </c>
      <c r="E2139" s="22" t="str">
        <f>HYPERLINK("https://twitter.com/vidyadharginde/status/922412150936698880","922412150936698880")</f>
        <v>922412150936698880</v>
      </c>
      <c r="F2139" s="23" t="s">
        <v>39</v>
      </c>
      <c r="G2139" s="24">
        <v>537.0</v>
      </c>
      <c r="H2139" s="24">
        <v>1088.0</v>
      </c>
      <c r="I2139" s="24">
        <v>8501.0</v>
      </c>
      <c r="J2139" s="24">
        <v>0.0</v>
      </c>
      <c r="K2139" s="23" t="s">
        <v>34</v>
      </c>
      <c r="L2139" s="25">
        <v>40769.02171296296</v>
      </c>
      <c r="M2139" s="26" t="s">
        <v>207</v>
      </c>
      <c r="N2139" s="28"/>
      <c r="O2139" s="22" t="str">
        <f>HYPERLINK("https://pbs.twimg.com/profile_images/764538760411353088/QbnWsFIK_normal.jpg","View")</f>
        <v>View</v>
      </c>
      <c r="P2139" s="27"/>
    </row>
    <row r="2140">
      <c r="A2140" s="14">
        <v>43031.15251157407</v>
      </c>
      <c r="B2140" s="20" t="str">
        <f>HYPERLINK("https://twitter.com/xoxonicochan","@xoxonicochan")</f>
        <v>@xoxonicochan</v>
      </c>
      <c r="C2140" s="21" t="s">
        <v>5208</v>
      </c>
      <c r="D2140" s="21" t="s">
        <v>126</v>
      </c>
      <c r="E2140" s="22" t="str">
        <f>HYPERLINK("https://twitter.com/xoxonicochan/status/922412186869174273","922412186869174273")</f>
        <v>922412186869174273</v>
      </c>
      <c r="F2140" s="23" t="s">
        <v>39</v>
      </c>
      <c r="G2140" s="24">
        <v>62.0</v>
      </c>
      <c r="H2140" s="24">
        <v>70.0</v>
      </c>
      <c r="I2140" s="24">
        <v>62.0</v>
      </c>
      <c r="J2140" s="24">
        <v>0.0</v>
      </c>
      <c r="K2140" s="23" t="s">
        <v>34</v>
      </c>
      <c r="L2140" s="25">
        <v>40244.98252314815</v>
      </c>
      <c r="M2140" s="28"/>
      <c r="N2140" s="28"/>
      <c r="O2140" s="22" t="str">
        <f>HYPERLINK("https://pbs.twimg.com/profile_images/378800000252671764/480168d029f2590f4735a43f54c22b66_normal.jpeg","View")</f>
        <v>View</v>
      </c>
      <c r="P2140" s="27"/>
    </row>
    <row r="2141">
      <c r="A2141" s="14">
        <v>43031.15255787037</v>
      </c>
      <c r="B2141" s="20" t="str">
        <f>HYPERLINK("https://twitter.com/KRkalal2005","@KRkalal2005")</f>
        <v>@KRkalal2005</v>
      </c>
      <c r="C2141" s="21">
        <v>5075.0</v>
      </c>
      <c r="D2141" s="21" t="s">
        <v>42</v>
      </c>
      <c r="E2141" s="22" t="str">
        <f>HYPERLINK("https://twitter.com/KRkalal2005/status/922412203281715201","922412203281715201")</f>
        <v>922412203281715201</v>
      </c>
      <c r="F2141" s="23" t="s">
        <v>33</v>
      </c>
      <c r="G2141" s="24">
        <v>18.0</v>
      </c>
      <c r="H2141" s="24">
        <v>192.0</v>
      </c>
      <c r="I2141" s="24">
        <v>8501.0</v>
      </c>
      <c r="J2141" s="24">
        <v>0.0</v>
      </c>
      <c r="K2141" s="23" t="s">
        <v>34</v>
      </c>
      <c r="L2141" s="25">
        <v>42924.57381944444</v>
      </c>
      <c r="M2141" s="26" t="s">
        <v>5209</v>
      </c>
      <c r="N2141" s="26" t="s">
        <v>5210</v>
      </c>
      <c r="O2141" s="22" t="str">
        <f>HYPERLINK("https://pbs.twimg.com/profile_images/883795362670157825/ES9ui5Bc_normal.jpg","View")</f>
        <v>View</v>
      </c>
      <c r="P2141" s="27"/>
    </row>
    <row r="2142">
      <c r="A2142" s="14">
        <v>43031.152708333335</v>
      </c>
      <c r="B2142" s="20" t="str">
        <f>HYPERLINK("https://twitter.com/KRISHNA24139265","@KRISHNA24139265")</f>
        <v>@KRISHNA24139265</v>
      </c>
      <c r="C2142" s="21" t="s">
        <v>5211</v>
      </c>
      <c r="D2142" s="21" t="s">
        <v>42</v>
      </c>
      <c r="E2142" s="22" t="str">
        <f>HYPERLINK("https://twitter.com/KRISHNA24139265/status/922412258742980608","922412258742980608")</f>
        <v>922412258742980608</v>
      </c>
      <c r="F2142" s="23" t="s">
        <v>33</v>
      </c>
      <c r="G2142" s="24">
        <v>8.0</v>
      </c>
      <c r="H2142" s="24">
        <v>79.0</v>
      </c>
      <c r="I2142" s="24">
        <v>8501.0</v>
      </c>
      <c r="J2142" s="24">
        <v>0.0</v>
      </c>
      <c r="K2142" s="23" t="s">
        <v>34</v>
      </c>
      <c r="L2142" s="25">
        <v>43021.428888888884</v>
      </c>
      <c r="M2142" s="26" t="s">
        <v>2020</v>
      </c>
      <c r="N2142" s="26" t="s">
        <v>5212</v>
      </c>
      <c r="O2142" s="22" t="str">
        <f>HYPERLINK("https://pbs.twimg.com/profile_images/921278304904196096/c-0qS3rd_normal.jpg","View")</f>
        <v>View</v>
      </c>
      <c r="P2142" s="27"/>
    </row>
    <row r="2143">
      <c r="A2143" s="14">
        <v>43031.152812500004</v>
      </c>
      <c r="B2143" s="20" t="str">
        <f>HYPERLINK("https://twitter.com/ReutersUS","@ReutersUS")</f>
        <v>@ReutersUS</v>
      </c>
      <c r="C2143" s="21" t="s">
        <v>5213</v>
      </c>
      <c r="D2143" s="21" t="s">
        <v>5214</v>
      </c>
      <c r="E2143" s="22" t="str">
        <f>HYPERLINK("https://twitter.com/ReutersUS/status/922412297141800960","922412297141800960")</f>
        <v>922412297141800960</v>
      </c>
      <c r="F2143" s="23" t="s">
        <v>756</v>
      </c>
      <c r="G2143" s="24">
        <v>105993.0</v>
      </c>
      <c r="H2143" s="24">
        <v>320.0</v>
      </c>
      <c r="I2143" s="24">
        <v>3.0</v>
      </c>
      <c r="J2143" s="24">
        <v>0.0</v>
      </c>
      <c r="K2143" s="23" t="s">
        <v>34</v>
      </c>
      <c r="L2143" s="25">
        <v>39612.37107638889</v>
      </c>
      <c r="M2143" s="28"/>
      <c r="N2143" s="26" t="s">
        <v>5215</v>
      </c>
      <c r="O2143" s="22" t="str">
        <f>HYPERLINK("https://pbs.twimg.com/profile_images/877263299439493121/4Otn8oxB_normal.jpg","View")</f>
        <v>View</v>
      </c>
      <c r="P2143" s="27"/>
    </row>
    <row r="2144">
      <c r="A2144" s="14">
        <v>43031.15289351852</v>
      </c>
      <c r="B2144" s="20" t="str">
        <f>HYPERLINK("https://twitter.com/Emilio__b","@Emilio__b")</f>
        <v>@Emilio__b</v>
      </c>
      <c r="C2144" s="21" t="s">
        <v>5216</v>
      </c>
      <c r="D2144" s="21" t="s">
        <v>2595</v>
      </c>
      <c r="E2144" s="22" t="str">
        <f>HYPERLINK("https://twitter.com/Emilio__b/status/922412323448524800","922412323448524800")</f>
        <v>922412323448524800</v>
      </c>
      <c r="F2144" s="23" t="s">
        <v>39</v>
      </c>
      <c r="G2144" s="24">
        <v>398.0</v>
      </c>
      <c r="H2144" s="24">
        <v>356.0</v>
      </c>
      <c r="I2144" s="24">
        <v>170.0</v>
      </c>
      <c r="J2144" s="24">
        <v>0.0</v>
      </c>
      <c r="K2144" s="23" t="s">
        <v>34</v>
      </c>
      <c r="L2144" s="25">
        <v>42192.54005787037</v>
      </c>
      <c r="M2144" s="28"/>
      <c r="N2144" s="26" t="s">
        <v>5217</v>
      </c>
      <c r="O2144" s="22" t="str">
        <f>HYPERLINK("https://pbs.twimg.com/profile_images/919754815055499265/YeBhjwpA_normal.jpg","View")</f>
        <v>View</v>
      </c>
      <c r="P2144" s="27"/>
    </row>
    <row r="2145">
      <c r="A2145" s="14">
        <v>43031.15290509259</v>
      </c>
      <c r="B2145" s="20" t="str">
        <f>HYPERLINK("https://twitter.com/japantimes","@japantimes")</f>
        <v>@japantimes</v>
      </c>
      <c r="C2145" s="21" t="s">
        <v>3842</v>
      </c>
      <c r="D2145" s="21" t="s">
        <v>5218</v>
      </c>
      <c r="E2145" s="22" t="str">
        <f>HYPERLINK("https://twitter.com/japantimes/status/922412329156988928","922412329156988928")</f>
        <v>922412329156988928</v>
      </c>
      <c r="F2145" s="23" t="s">
        <v>427</v>
      </c>
      <c r="G2145" s="24">
        <v>257870.0</v>
      </c>
      <c r="H2145" s="24">
        <v>40.0</v>
      </c>
      <c r="I2145" s="24">
        <v>22.0</v>
      </c>
      <c r="J2145" s="24">
        <v>14.0</v>
      </c>
      <c r="K2145" s="23" t="s">
        <v>34</v>
      </c>
      <c r="L2145" s="25">
        <v>39275.096875</v>
      </c>
      <c r="M2145" s="26" t="s">
        <v>923</v>
      </c>
      <c r="N2145" s="26" t="s">
        <v>3844</v>
      </c>
      <c r="O2145" s="22" t="str">
        <f>HYPERLINK("https://pbs.twimg.com/profile_images/877093724714434560/RlloH0si_normal.jpg","View")</f>
        <v>View</v>
      </c>
      <c r="P2145" s="27"/>
    </row>
    <row r="2146">
      <c r="A2146" s="14">
        <v>43031.15290509259</v>
      </c>
      <c r="B2146" s="20" t="str">
        <f>HYPERLINK("https://twitter.com/prostozPolski","@prostozPolski")</f>
        <v>@prostozPolski</v>
      </c>
      <c r="C2146" s="21" t="s">
        <v>5219</v>
      </c>
      <c r="D2146" s="21" t="s">
        <v>1345</v>
      </c>
      <c r="E2146" s="22" t="str">
        <f>HYPERLINK("https://twitter.com/prostozPolski/status/922412329689669632","922412329689669632")</f>
        <v>922412329689669632</v>
      </c>
      <c r="F2146" s="23" t="s">
        <v>86</v>
      </c>
      <c r="G2146" s="24">
        <v>114.0</v>
      </c>
      <c r="H2146" s="24">
        <v>520.0</v>
      </c>
      <c r="I2146" s="24">
        <v>22.0</v>
      </c>
      <c r="J2146" s="24">
        <v>0.0</v>
      </c>
      <c r="K2146" s="23" t="s">
        <v>34</v>
      </c>
      <c r="L2146" s="25">
        <v>42815.57436342593</v>
      </c>
      <c r="M2146" s="26" t="s">
        <v>40</v>
      </c>
      <c r="N2146" s="26" t="s">
        <v>5220</v>
      </c>
      <c r="O2146" s="22" t="str">
        <f>HYPERLINK("https://pbs.twimg.com/profile_images/857212813026222082/Hfc1msmg_normal.jpg","View")</f>
        <v>View</v>
      </c>
      <c r="P2146" s="27"/>
    </row>
    <row r="2147">
      <c r="A2147" s="14">
        <v>43031.152962962966</v>
      </c>
      <c r="B2147" s="20" t="str">
        <f>HYPERLINK("https://twitter.com/ConCotzias","@ConCotzias")</f>
        <v>@ConCotzias</v>
      </c>
      <c r="C2147" s="21" t="s">
        <v>5221</v>
      </c>
      <c r="D2147" s="21" t="s">
        <v>5222</v>
      </c>
      <c r="E2147" s="22" t="str">
        <f>HYPERLINK("https://twitter.com/ConCotzias/status/922412350879170560","922412350879170560")</f>
        <v>922412350879170560</v>
      </c>
      <c r="F2147" s="23" t="s">
        <v>55</v>
      </c>
      <c r="G2147" s="24">
        <v>1623.0</v>
      </c>
      <c r="H2147" s="24">
        <v>5001.0</v>
      </c>
      <c r="I2147" s="24">
        <v>0.0</v>
      </c>
      <c r="J2147" s="24">
        <v>1.0</v>
      </c>
      <c r="K2147" s="23" t="s">
        <v>34</v>
      </c>
      <c r="L2147" s="25">
        <v>41774.30295138889</v>
      </c>
      <c r="M2147" s="26" t="s">
        <v>334</v>
      </c>
      <c r="N2147" s="26" t="s">
        <v>5223</v>
      </c>
      <c r="O2147" s="22" t="str">
        <f>HYPERLINK("https://pbs.twimg.com/profile_images/466949571185106944/Oz8EXKBi_normal.jpeg","View")</f>
        <v>View</v>
      </c>
      <c r="P2147" s="27"/>
    </row>
    <row r="2148">
      <c r="A2148" s="14">
        <v>43031.152974537035</v>
      </c>
      <c r="B2148" s="20" t="str">
        <f>HYPERLINK("https://twitter.com/GulchandVerma","@GulchandVerma")</f>
        <v>@GulchandVerma</v>
      </c>
      <c r="C2148" s="21" t="s">
        <v>5224</v>
      </c>
      <c r="D2148" s="21" t="s">
        <v>2861</v>
      </c>
      <c r="E2148" s="22" t="str">
        <f>HYPERLINK("https://twitter.com/GulchandVerma/status/922412355878756352","922412355878756352")</f>
        <v>922412355878756352</v>
      </c>
      <c r="F2148" s="23" t="s">
        <v>33</v>
      </c>
      <c r="G2148" s="24">
        <v>1363.0</v>
      </c>
      <c r="H2148" s="24">
        <v>1900.0</v>
      </c>
      <c r="I2148" s="24">
        <v>40.0</v>
      </c>
      <c r="J2148" s="24">
        <v>0.0</v>
      </c>
      <c r="K2148" s="23" t="s">
        <v>34</v>
      </c>
      <c r="L2148" s="25">
        <v>42187.10453703704</v>
      </c>
      <c r="M2148" s="26" t="s">
        <v>5225</v>
      </c>
      <c r="N2148" s="26" t="s">
        <v>5226</v>
      </c>
      <c r="O2148" s="22" t="str">
        <f>HYPERLINK("https://pbs.twimg.com/profile_images/900979594269925377/vJSd9qfP_normal.jpg","View")</f>
        <v>View</v>
      </c>
      <c r="P2148" s="27"/>
    </row>
    <row r="2149">
      <c r="A2149" s="14">
        <v>43031.15302083333</v>
      </c>
      <c r="B2149" s="20" t="str">
        <f>HYPERLINK("https://twitter.com/tusharcosmoo_g","@tusharcosmoo_g")</f>
        <v>@tusharcosmoo_g</v>
      </c>
      <c r="C2149" s="21" t="s">
        <v>5227</v>
      </c>
      <c r="D2149" s="21" t="s">
        <v>42</v>
      </c>
      <c r="E2149" s="22" t="str">
        <f>HYPERLINK("https://twitter.com/tusharcosmoo_g/status/922412371410264065","922412371410264065")</f>
        <v>922412371410264065</v>
      </c>
      <c r="F2149" s="23" t="s">
        <v>33</v>
      </c>
      <c r="G2149" s="24">
        <v>5467.0</v>
      </c>
      <c r="H2149" s="24">
        <v>2.0</v>
      </c>
      <c r="I2149" s="24">
        <v>8501.0</v>
      </c>
      <c r="J2149" s="24">
        <v>0.0</v>
      </c>
      <c r="K2149" s="23" t="s">
        <v>34</v>
      </c>
      <c r="L2149" s="25">
        <v>41656.39792824074</v>
      </c>
      <c r="M2149" s="26" t="s">
        <v>5228</v>
      </c>
      <c r="N2149" s="26" t="s">
        <v>5229</v>
      </c>
      <c r="O2149" s="22" t="str">
        <f>HYPERLINK("https://pbs.twimg.com/profile_images/920580684871188480/RtmiQZW8_normal.jpg","View")</f>
        <v>View</v>
      </c>
      <c r="P2149" s="27"/>
    </row>
    <row r="2150">
      <c r="A2150" s="14">
        <v>43031.15320601852</v>
      </c>
      <c r="B2150" s="20" t="str">
        <f t="shared" ref="B2150:B2152" si="34">HYPERLINK("https://twitter.com/newslivenetwork","@newslivenetwork")</f>
        <v>@newslivenetwork</v>
      </c>
      <c r="C2150" s="21" t="s">
        <v>89</v>
      </c>
      <c r="D2150" s="21" t="s">
        <v>5230</v>
      </c>
      <c r="E2150" s="22" t="str">
        <f>HYPERLINK("https://twitter.com/newslivenetwork/status/922412440029220864","922412440029220864")</f>
        <v>922412440029220864</v>
      </c>
      <c r="F2150" s="23" t="s">
        <v>91</v>
      </c>
      <c r="G2150" s="24">
        <v>271.0</v>
      </c>
      <c r="H2150" s="24">
        <v>87.0</v>
      </c>
      <c r="I2150" s="24">
        <v>0.0</v>
      </c>
      <c r="J2150" s="24">
        <v>0.0</v>
      </c>
      <c r="K2150" s="23" t="s">
        <v>34</v>
      </c>
      <c r="L2150" s="25">
        <v>42741.47196759259</v>
      </c>
      <c r="M2150" s="26" t="s">
        <v>92</v>
      </c>
      <c r="N2150" s="26" t="s">
        <v>93</v>
      </c>
      <c r="O2150" s="22" t="str">
        <f t="shared" ref="O2150:O2152" si="35">HYPERLINK("https://pbs.twimg.com/profile_images/877414144424660992/scfhocj3_normal.jpg","View")</f>
        <v>View</v>
      </c>
      <c r="P2150" s="27"/>
    </row>
    <row r="2151">
      <c r="A2151" s="14">
        <v>43031.1532175926</v>
      </c>
      <c r="B2151" s="20" t="str">
        <f t="shared" si="34"/>
        <v>@newslivenetwork</v>
      </c>
      <c r="C2151" s="21" t="s">
        <v>89</v>
      </c>
      <c r="D2151" s="21" t="s">
        <v>5231</v>
      </c>
      <c r="E2151" s="22" t="str">
        <f>HYPERLINK("https://twitter.com/newslivenetwork/status/922412441018994688","922412441018994688")</f>
        <v>922412441018994688</v>
      </c>
      <c r="F2151" s="23" t="s">
        <v>91</v>
      </c>
      <c r="G2151" s="24">
        <v>271.0</v>
      </c>
      <c r="H2151" s="24">
        <v>87.0</v>
      </c>
      <c r="I2151" s="24">
        <v>0.0</v>
      </c>
      <c r="J2151" s="24">
        <v>0.0</v>
      </c>
      <c r="K2151" s="23" t="s">
        <v>34</v>
      </c>
      <c r="L2151" s="25">
        <v>42741.47196759259</v>
      </c>
      <c r="M2151" s="26" t="s">
        <v>92</v>
      </c>
      <c r="N2151" s="26" t="s">
        <v>93</v>
      </c>
      <c r="O2151" s="22" t="str">
        <f t="shared" si="35"/>
        <v>View</v>
      </c>
      <c r="P2151" s="27"/>
    </row>
    <row r="2152">
      <c r="A2152" s="14">
        <v>43031.1532175926</v>
      </c>
      <c r="B2152" s="20" t="str">
        <f t="shared" si="34"/>
        <v>@newslivenetwork</v>
      </c>
      <c r="C2152" s="21" t="s">
        <v>89</v>
      </c>
      <c r="D2152" s="21" t="s">
        <v>5232</v>
      </c>
      <c r="E2152" s="22" t="str">
        <f>HYPERLINK("https://twitter.com/newslivenetwork/status/922412441954324480","922412441954324480")</f>
        <v>922412441954324480</v>
      </c>
      <c r="F2152" s="23" t="s">
        <v>91</v>
      </c>
      <c r="G2152" s="24">
        <v>271.0</v>
      </c>
      <c r="H2152" s="24">
        <v>87.0</v>
      </c>
      <c r="I2152" s="24">
        <v>0.0</v>
      </c>
      <c r="J2152" s="24">
        <v>0.0</v>
      </c>
      <c r="K2152" s="23" t="s">
        <v>34</v>
      </c>
      <c r="L2152" s="25">
        <v>42741.47196759259</v>
      </c>
      <c r="M2152" s="26" t="s">
        <v>92</v>
      </c>
      <c r="N2152" s="26" t="s">
        <v>93</v>
      </c>
      <c r="O2152" s="22" t="str">
        <f t="shared" si="35"/>
        <v>View</v>
      </c>
      <c r="P2152" s="27"/>
    </row>
    <row r="2153">
      <c r="A2153" s="14">
        <v>43031.153344907405</v>
      </c>
      <c r="B2153" s="20" t="str">
        <f>HYPERLINK("https://twitter.com/navinbhansali","@navinbhansali")</f>
        <v>@navinbhansali</v>
      </c>
      <c r="C2153" s="21" t="s">
        <v>5233</v>
      </c>
      <c r="D2153" s="21" t="s">
        <v>163</v>
      </c>
      <c r="E2153" s="22" t="str">
        <f>HYPERLINK("https://twitter.com/navinbhansali/status/922412489580544000","922412489580544000")</f>
        <v>922412489580544000</v>
      </c>
      <c r="F2153" s="23" t="s">
        <v>33</v>
      </c>
      <c r="G2153" s="24">
        <v>294.0</v>
      </c>
      <c r="H2153" s="24">
        <v>765.0</v>
      </c>
      <c r="I2153" s="24">
        <v>1005.0</v>
      </c>
      <c r="J2153" s="24">
        <v>0.0</v>
      </c>
      <c r="K2153" s="23" t="s">
        <v>34</v>
      </c>
      <c r="L2153" s="25">
        <v>39899.9046875</v>
      </c>
      <c r="M2153" s="26" t="s">
        <v>1465</v>
      </c>
      <c r="N2153" s="26" t="s">
        <v>5234</v>
      </c>
      <c r="O2153" s="22" t="str">
        <f>HYPERLINK("https://pbs.twimg.com/profile_images/846183070084415488/NeuuekG6_normal.jpg","View")</f>
        <v>View</v>
      </c>
      <c r="P2153" s="27"/>
    </row>
    <row r="2154">
      <c r="A2154" s="14">
        <v>43031.15351851852</v>
      </c>
      <c r="B2154" s="20" t="str">
        <f>HYPERLINK("https://twitter.com/FinanzLinksUS","@FinanzLinksUS")</f>
        <v>@FinanzLinksUS</v>
      </c>
      <c r="C2154" s="21" t="s">
        <v>5235</v>
      </c>
      <c r="D2154" s="21" t="s">
        <v>5236</v>
      </c>
      <c r="E2154" s="22" t="str">
        <f>HYPERLINK("https://twitter.com/FinanzLinksUS/status/922412550943260672","922412550943260672")</f>
        <v>922412550943260672</v>
      </c>
      <c r="F2154" s="30" t="s">
        <v>411</v>
      </c>
      <c r="G2154" s="24">
        <v>449.0</v>
      </c>
      <c r="H2154" s="24">
        <v>57.0</v>
      </c>
      <c r="I2154" s="24">
        <v>0.0</v>
      </c>
      <c r="J2154" s="24">
        <v>0.0</v>
      </c>
      <c r="K2154" s="23" t="s">
        <v>34</v>
      </c>
      <c r="L2154" s="25">
        <v>40931.497662037036</v>
      </c>
      <c r="M2154" s="28"/>
      <c r="N2154" s="28"/>
      <c r="O2154" s="22" t="str">
        <f>HYPERLINK("https://pbs.twimg.com/profile_images/2670183926/5e4e944fd8ea41c993642840a9a27a89_normal.png","View")</f>
        <v>View</v>
      </c>
      <c r="P2154" s="27"/>
    </row>
    <row r="2155">
      <c r="A2155" s="14">
        <v>43031.15354166667</v>
      </c>
      <c r="B2155" s="20" t="str">
        <f>HYPERLINK("https://twitter.com/Real_Infinity95","@Real_Infinity95")</f>
        <v>@Real_Infinity95</v>
      </c>
      <c r="C2155" s="21" t="s">
        <v>5237</v>
      </c>
      <c r="D2155" s="21" t="s">
        <v>1444</v>
      </c>
      <c r="E2155" s="22" t="str">
        <f>HYPERLINK("https://twitter.com/Real_Infinity95/status/922412559701086208","922412559701086208")</f>
        <v>922412559701086208</v>
      </c>
      <c r="F2155" s="23" t="s">
        <v>39</v>
      </c>
      <c r="G2155" s="24">
        <v>1978.0</v>
      </c>
      <c r="H2155" s="24">
        <v>2145.0</v>
      </c>
      <c r="I2155" s="24">
        <v>50.0</v>
      </c>
      <c r="J2155" s="24">
        <v>0.0</v>
      </c>
      <c r="K2155" s="23" t="s">
        <v>34</v>
      </c>
      <c r="L2155" s="25">
        <v>42467.74283564815</v>
      </c>
      <c r="M2155" s="26" t="s">
        <v>5238</v>
      </c>
      <c r="N2155" s="26" t="s">
        <v>5239</v>
      </c>
      <c r="O2155" s="22" t="str">
        <f>HYPERLINK("https://pbs.twimg.com/profile_images/913895542165528582/D5_giAB-_normal.jpg","View")</f>
        <v>View</v>
      </c>
      <c r="P2155" s="27"/>
    </row>
    <row r="2156">
      <c r="A2156" s="14">
        <v>43031.15354166667</v>
      </c>
      <c r="B2156" s="20" t="str">
        <f>HYPERLINK("https://twitter.com/DharmatmaPandey","@DharmatmaPandey")</f>
        <v>@DharmatmaPandey</v>
      </c>
      <c r="C2156" s="21" t="s">
        <v>5240</v>
      </c>
      <c r="D2156" s="21" t="s">
        <v>42</v>
      </c>
      <c r="E2156" s="22" t="str">
        <f>HYPERLINK("https://twitter.com/DharmatmaPandey/status/922412559826694145","922412559826694145")</f>
        <v>922412559826694145</v>
      </c>
      <c r="F2156" s="23" t="s">
        <v>33</v>
      </c>
      <c r="G2156" s="24">
        <v>1088.0</v>
      </c>
      <c r="H2156" s="24">
        <v>886.0</v>
      </c>
      <c r="I2156" s="24">
        <v>8501.0</v>
      </c>
      <c r="J2156" s="24">
        <v>0.0</v>
      </c>
      <c r="K2156" s="23" t="s">
        <v>34</v>
      </c>
      <c r="L2156" s="25">
        <v>40779.86487268518</v>
      </c>
      <c r="M2156" s="26" t="s">
        <v>5241</v>
      </c>
      <c r="N2156" s="26" t="s">
        <v>5242</v>
      </c>
      <c r="O2156" s="22" t="str">
        <f>HYPERLINK("https://pbs.twimg.com/profile_images/921198847027589120/9HRtRx5q_normal.jpg","View")</f>
        <v>View</v>
      </c>
      <c r="P2156" s="27"/>
    </row>
    <row r="2157">
      <c r="A2157" s="14">
        <v>43031.15357638889</v>
      </c>
      <c r="B2157" s="20" t="str">
        <f>HYPERLINK("https://twitter.com/lojun1970","@lojun1970")</f>
        <v>@lojun1970</v>
      </c>
      <c r="C2157" s="21" t="s">
        <v>5243</v>
      </c>
      <c r="D2157" s="21" t="s">
        <v>4590</v>
      </c>
      <c r="E2157" s="22" t="str">
        <f>HYPERLINK("https://twitter.com/lojun1970/status/922412570299981824","922412570299981824")</f>
        <v>922412570299981824</v>
      </c>
      <c r="F2157" s="23" t="s">
        <v>43</v>
      </c>
      <c r="G2157" s="24">
        <v>555.0</v>
      </c>
      <c r="H2157" s="24">
        <v>541.0</v>
      </c>
      <c r="I2157" s="24">
        <v>17.0</v>
      </c>
      <c r="J2157" s="24">
        <v>0.0</v>
      </c>
      <c r="K2157" s="23" t="s">
        <v>34</v>
      </c>
      <c r="L2157" s="25">
        <v>40170.98930555556</v>
      </c>
      <c r="M2157" s="26" t="s">
        <v>5244</v>
      </c>
      <c r="N2157" s="26" t="s">
        <v>5245</v>
      </c>
      <c r="O2157" s="22" t="str">
        <f>HYPERLINK("https://pbs.twimg.com/profile_images/912869900816834560/uabiQyuB_normal.jpg","View")</f>
        <v>View</v>
      </c>
      <c r="P2157" s="27"/>
    </row>
    <row r="2158">
      <c r="A2158" s="14">
        <v>43031.15357638889</v>
      </c>
      <c r="B2158" s="20" t="str">
        <f>HYPERLINK("https://twitter.com/NAR","@NAR")</f>
        <v>@NAR</v>
      </c>
      <c r="C2158" s="21" t="s">
        <v>4255</v>
      </c>
      <c r="D2158" s="21" t="s">
        <v>5246</v>
      </c>
      <c r="E2158" s="22" t="str">
        <f>HYPERLINK("https://twitter.com/NAR/status/922412570576867328","922412570576867328")</f>
        <v>922412570576867328</v>
      </c>
      <c r="F2158" s="23" t="s">
        <v>1103</v>
      </c>
      <c r="G2158" s="24">
        <v>56998.0</v>
      </c>
      <c r="H2158" s="24">
        <v>23.0</v>
      </c>
      <c r="I2158" s="24">
        <v>22.0</v>
      </c>
      <c r="J2158" s="24">
        <v>24.0</v>
      </c>
      <c r="K2158" s="23" t="s">
        <v>34</v>
      </c>
      <c r="L2158" s="25">
        <v>40890.88686342593</v>
      </c>
      <c r="M2158" s="26" t="s">
        <v>923</v>
      </c>
      <c r="N2158" s="26" t="s">
        <v>4258</v>
      </c>
      <c r="O2158" s="22" t="str">
        <f>HYPERLINK("https://pbs.twimg.com/profile_images/669688096879841280/kyJYc3j-_normal.png","View")</f>
        <v>View</v>
      </c>
      <c r="P2158" s="27"/>
    </row>
    <row r="2159">
      <c r="A2159" s="14">
        <v>43031.15365740741</v>
      </c>
      <c r="B2159" s="20" t="str">
        <f>HYPERLINK("https://twitter.com/dokmaiban1","@dokmaiban1")</f>
        <v>@dokmaiban1</v>
      </c>
      <c r="C2159" s="21" t="s">
        <v>5247</v>
      </c>
      <c r="D2159" s="21" t="s">
        <v>5248</v>
      </c>
      <c r="E2159" s="22" t="str">
        <f>HYPERLINK("https://twitter.com/dokmaiban1/status/922412600058613760","922412600058613760")</f>
        <v>922412600058613760</v>
      </c>
      <c r="F2159" s="23" t="s">
        <v>187</v>
      </c>
      <c r="G2159" s="24">
        <v>1440.0</v>
      </c>
      <c r="H2159" s="24">
        <v>1918.0</v>
      </c>
      <c r="I2159" s="24">
        <v>0.0</v>
      </c>
      <c r="J2159" s="24">
        <v>0.0</v>
      </c>
      <c r="K2159" s="23" t="s">
        <v>34</v>
      </c>
      <c r="L2159" s="25">
        <v>42817.332233796296</v>
      </c>
      <c r="M2159" s="26" t="s">
        <v>5249</v>
      </c>
      <c r="N2159" s="26" t="s">
        <v>5250</v>
      </c>
      <c r="O2159" s="22" t="str">
        <f>HYPERLINK("https://pbs.twimg.com/profile_images/844927344565518337/FFZ70Zt-_normal.jpg","View")</f>
        <v>View</v>
      </c>
      <c r="P2159" s="27"/>
    </row>
    <row r="2160">
      <c r="A2160" s="14">
        <v>43031.153715277775</v>
      </c>
      <c r="B2160" s="20" t="str">
        <f>HYPERLINK("https://twitter.com/NoThiefs","@NoThiefs")</f>
        <v>@NoThiefs</v>
      </c>
      <c r="C2160" s="21" t="s">
        <v>5251</v>
      </c>
      <c r="D2160" s="21" t="s">
        <v>5252</v>
      </c>
      <c r="E2160" s="22" t="str">
        <f>HYPERLINK("https://twitter.com/NoThiefs/status/922412622796021760","922412622796021760")</f>
        <v>922412622796021760</v>
      </c>
      <c r="F2160" s="23" t="s">
        <v>187</v>
      </c>
      <c r="G2160" s="24">
        <v>17369.0</v>
      </c>
      <c r="H2160" s="24">
        <v>323.0</v>
      </c>
      <c r="I2160" s="24">
        <v>0.0</v>
      </c>
      <c r="J2160" s="24">
        <v>0.0</v>
      </c>
      <c r="K2160" s="23" t="s">
        <v>34</v>
      </c>
      <c r="L2160" s="25">
        <v>41930.90974537037</v>
      </c>
      <c r="M2160" s="26" t="s">
        <v>5253</v>
      </c>
      <c r="N2160" s="26" t="s">
        <v>5254</v>
      </c>
      <c r="O2160" s="22" t="str">
        <f>HYPERLINK("https://pbs.twimg.com/profile_images/821939195975467008/yVKtjBtb_normal.jpg","View")</f>
        <v>View</v>
      </c>
      <c r="P2160" s="27"/>
    </row>
    <row r="2161">
      <c r="A2161" s="14">
        <v>43031.15377314815</v>
      </c>
      <c r="B2161" s="20" t="str">
        <f>HYPERLINK("https://twitter.com/kerukaria","@kerukaria")</f>
        <v>@kerukaria</v>
      </c>
      <c r="C2161" s="21" t="s">
        <v>5255</v>
      </c>
      <c r="D2161" s="21" t="s">
        <v>42</v>
      </c>
      <c r="E2161" s="22" t="str">
        <f>HYPERLINK("https://twitter.com/kerukaria/status/922412641749839872","922412641749839872")</f>
        <v>922412641749839872</v>
      </c>
      <c r="F2161" s="23" t="s">
        <v>5256</v>
      </c>
      <c r="G2161" s="24">
        <v>521.0</v>
      </c>
      <c r="H2161" s="24">
        <v>361.0</v>
      </c>
      <c r="I2161" s="24">
        <v>8501.0</v>
      </c>
      <c r="J2161" s="24">
        <v>0.0</v>
      </c>
      <c r="K2161" s="23" t="s">
        <v>34</v>
      </c>
      <c r="L2161" s="25">
        <v>40047.15671296296</v>
      </c>
      <c r="M2161" s="26" t="s">
        <v>5257</v>
      </c>
      <c r="N2161" s="26" t="s">
        <v>5258</v>
      </c>
      <c r="O2161" s="22" t="str">
        <f>HYPERLINK("https://pbs.twimg.com/profile_images/922053094933807104/OG9r0YuT_normal.jpg","View")</f>
        <v>View</v>
      </c>
      <c r="P2161" s="27"/>
    </row>
    <row r="2162">
      <c r="A2162" s="14">
        <v>43031.15402777778</v>
      </c>
      <c r="B2162" s="20" t="str">
        <f>HYPERLINK("https://twitter.com/benmentari","@benmentari")</f>
        <v>@benmentari</v>
      </c>
      <c r="C2162" s="21" t="s">
        <v>5259</v>
      </c>
      <c r="D2162" s="21" t="s">
        <v>839</v>
      </c>
      <c r="E2162" s="22" t="str">
        <f>HYPERLINK("https://twitter.com/benmentari/status/922412734414647296","922412734414647296")</f>
        <v>922412734414647296</v>
      </c>
      <c r="F2162" s="23" t="s">
        <v>33</v>
      </c>
      <c r="G2162" s="24">
        <v>1275.0</v>
      </c>
      <c r="H2162" s="24">
        <v>4986.0</v>
      </c>
      <c r="I2162" s="24">
        <v>17.0</v>
      </c>
      <c r="J2162" s="24">
        <v>0.0</v>
      </c>
      <c r="K2162" s="23" t="s">
        <v>34</v>
      </c>
      <c r="L2162" s="25">
        <v>42147.25009259259</v>
      </c>
      <c r="M2162" s="28"/>
      <c r="N2162" s="26" t="s">
        <v>5260</v>
      </c>
      <c r="O2162" s="22" t="str">
        <f>HYPERLINK("https://pbs.twimg.com/profile_images/922793239945474048/9aIFwadI_normal.jpg","View")</f>
        <v>View</v>
      </c>
      <c r="P2162" s="27"/>
    </row>
    <row r="2163">
      <c r="A2163" s="14">
        <v>43031.154062500005</v>
      </c>
      <c r="B2163" s="20" t="str">
        <f>HYPERLINK("https://twitter.com/MadForMaple","@MadForMaple")</f>
        <v>@MadForMaple</v>
      </c>
      <c r="C2163" s="21" t="s">
        <v>5261</v>
      </c>
      <c r="D2163" s="21" t="s">
        <v>5262</v>
      </c>
      <c r="E2163" s="22" t="str">
        <f>HYPERLINK("https://twitter.com/MadForMaple/status/922412746796253184","922412746796253184")</f>
        <v>922412746796253184</v>
      </c>
      <c r="F2163" s="23" t="s">
        <v>39</v>
      </c>
      <c r="G2163" s="24">
        <v>379.0</v>
      </c>
      <c r="H2163" s="24">
        <v>684.0</v>
      </c>
      <c r="I2163" s="24">
        <v>22.0</v>
      </c>
      <c r="J2163" s="24">
        <v>0.0</v>
      </c>
      <c r="K2163" s="23" t="s">
        <v>34</v>
      </c>
      <c r="L2163" s="25">
        <v>41100.03653935185</v>
      </c>
      <c r="M2163" s="26" t="s">
        <v>5263</v>
      </c>
      <c r="N2163" s="26" t="s">
        <v>5264</v>
      </c>
      <c r="O2163" s="22" t="str">
        <f>HYPERLINK("https://pbs.twimg.com/profile_images/899976344724951041/EtP947hp_normal.jpg","View")</f>
        <v>View</v>
      </c>
      <c r="P2163" s="27"/>
    </row>
    <row r="2164">
      <c r="A2164" s="14">
        <v>43031.15409722222</v>
      </c>
      <c r="B2164" s="20" t="str">
        <f>HYPERLINK("https://twitter.com/Mk67116349Mk","@Mk67116349Mk")</f>
        <v>@Mk67116349Mk</v>
      </c>
      <c r="C2164" s="21" t="s">
        <v>5265</v>
      </c>
      <c r="D2164" s="21" t="s">
        <v>760</v>
      </c>
      <c r="E2164" s="22" t="str">
        <f>HYPERLINK("https://twitter.com/Mk67116349Mk/status/922412760515973122","922412760515973122")</f>
        <v>922412760515973122</v>
      </c>
      <c r="F2164" s="23" t="s">
        <v>39</v>
      </c>
      <c r="G2164" s="24">
        <v>107.0</v>
      </c>
      <c r="H2164" s="24">
        <v>202.0</v>
      </c>
      <c r="I2164" s="24">
        <v>62.0</v>
      </c>
      <c r="J2164" s="24">
        <v>0.0</v>
      </c>
      <c r="K2164" s="23" t="s">
        <v>34</v>
      </c>
      <c r="L2164" s="25">
        <v>42692.58158564815</v>
      </c>
      <c r="M2164" s="28"/>
      <c r="N2164" s="26" t="s">
        <v>5266</v>
      </c>
      <c r="O2164" s="22" t="str">
        <f>HYPERLINK("https://pbs.twimg.com/profile_images/858663808277114880/LS5zVrac_normal.jpg","View")</f>
        <v>View</v>
      </c>
      <c r="P2164" s="27"/>
    </row>
    <row r="2165">
      <c r="A2165" s="14">
        <v>43031.15412037037</v>
      </c>
      <c r="B2165" s="20" t="str">
        <f>HYPERLINK("https://twitter.com/inewagency","@inewagency")</f>
        <v>@inewagency</v>
      </c>
      <c r="C2165" s="21" t="s">
        <v>5267</v>
      </c>
      <c r="D2165" s="21" t="s">
        <v>5262</v>
      </c>
      <c r="E2165" s="22" t="str">
        <f>HYPERLINK("https://twitter.com/inewagency/status/922412771504939010","922412771504939010")</f>
        <v>922412771504939010</v>
      </c>
      <c r="F2165" s="23" t="s">
        <v>33</v>
      </c>
      <c r="G2165" s="24">
        <v>1833.0</v>
      </c>
      <c r="H2165" s="24">
        <v>5001.0</v>
      </c>
      <c r="I2165" s="24">
        <v>22.0</v>
      </c>
      <c r="J2165" s="24">
        <v>0.0</v>
      </c>
      <c r="K2165" s="23" t="s">
        <v>34</v>
      </c>
      <c r="L2165" s="25">
        <v>41623.080196759256</v>
      </c>
      <c r="M2165" s="28"/>
      <c r="N2165" s="28"/>
      <c r="O2165" s="22" t="str">
        <f>HYPERLINK("https://pbs.twimg.com/profile_images/898844173872254976/IvATgdhT_normal.jpg","View")</f>
        <v>View</v>
      </c>
      <c r="P2165" s="27"/>
    </row>
    <row r="2166">
      <c r="A2166" s="14">
        <v>43031.15414351852</v>
      </c>
      <c r="B2166" s="20" t="str">
        <f>HYPERLINK("https://twitter.com/mrsmagmag090125","@mrsmagmag090125")</f>
        <v>@mrsmagmag090125</v>
      </c>
      <c r="C2166" s="21" t="s">
        <v>1476</v>
      </c>
      <c r="D2166" s="21" t="s">
        <v>42</v>
      </c>
      <c r="E2166" s="22" t="str">
        <f>HYPERLINK("https://twitter.com/mrsmagmag090125/status/922412779952267265","922412779952267265")</f>
        <v>922412779952267265</v>
      </c>
      <c r="F2166" s="23" t="s">
        <v>39</v>
      </c>
      <c r="G2166" s="24">
        <v>179.0</v>
      </c>
      <c r="H2166" s="24">
        <v>287.0</v>
      </c>
      <c r="I2166" s="24">
        <v>8501.0</v>
      </c>
      <c r="J2166" s="24">
        <v>0.0</v>
      </c>
      <c r="K2166" s="23" t="s">
        <v>34</v>
      </c>
      <c r="L2166" s="25">
        <v>40751.29109953703</v>
      </c>
      <c r="M2166" s="28"/>
      <c r="N2166" s="26" t="s">
        <v>1477</v>
      </c>
      <c r="O2166" s="22" t="str">
        <f>HYPERLINK("https://pbs.twimg.com/profile_images/877148399300091905/-4yOimja_normal.jpg","View")</f>
        <v>View</v>
      </c>
      <c r="P2166" s="27"/>
    </row>
    <row r="2167">
      <c r="A2167" s="14">
        <v>43031.15415509259</v>
      </c>
      <c r="B2167" s="20" t="str">
        <f>HYPERLINK("https://twitter.com/travelanita","@travelanita")</f>
        <v>@travelanita</v>
      </c>
      <c r="C2167" s="21" t="s">
        <v>5268</v>
      </c>
      <c r="D2167" s="21" t="s">
        <v>5269</v>
      </c>
      <c r="E2167" s="22" t="str">
        <f>HYPERLINK("https://twitter.com/travelanita/status/922412780719808518","922412780719808518")</f>
        <v>922412780719808518</v>
      </c>
      <c r="F2167" s="23" t="s">
        <v>39</v>
      </c>
      <c r="G2167" s="24">
        <v>276.0</v>
      </c>
      <c r="H2167" s="24">
        <v>67.0</v>
      </c>
      <c r="I2167" s="24">
        <v>0.0</v>
      </c>
      <c r="J2167" s="24">
        <v>0.0</v>
      </c>
      <c r="K2167" s="23" t="s">
        <v>34</v>
      </c>
      <c r="L2167" s="25">
        <v>40551.975625</v>
      </c>
      <c r="M2167" s="26" t="s">
        <v>5270</v>
      </c>
      <c r="N2167" s="26" t="s">
        <v>5271</v>
      </c>
      <c r="O2167" s="22" t="str">
        <f>HYPERLINK("https://pbs.twimg.com/profile_images/1310311233/Anne_in_London_Summer_2010_normal.jpg","View")</f>
        <v>View</v>
      </c>
      <c r="P2167" s="27"/>
    </row>
    <row r="2168">
      <c r="A2168" s="14">
        <v>43031.15420138889</v>
      </c>
      <c r="B2168" s="20" t="str">
        <f>HYPERLINK("https://twitter.com/ChikteVishal","@ChikteVishal")</f>
        <v>@ChikteVishal</v>
      </c>
      <c r="C2168" s="21" t="s">
        <v>5272</v>
      </c>
      <c r="D2168" s="21" t="s">
        <v>42</v>
      </c>
      <c r="E2168" s="22" t="str">
        <f>HYPERLINK("https://twitter.com/ChikteVishal/status/922412798407335936","922412798407335936")</f>
        <v>922412798407335936</v>
      </c>
      <c r="F2168" s="23" t="s">
        <v>33</v>
      </c>
      <c r="G2168" s="24">
        <v>13.0</v>
      </c>
      <c r="H2168" s="24">
        <v>56.0</v>
      </c>
      <c r="I2168" s="24">
        <v>8501.0</v>
      </c>
      <c r="J2168" s="24">
        <v>0.0</v>
      </c>
      <c r="K2168" s="23" t="s">
        <v>34</v>
      </c>
      <c r="L2168" s="25">
        <v>42921.32787037037</v>
      </c>
      <c r="M2168" s="26" t="s">
        <v>5273</v>
      </c>
      <c r="N2168" s="28"/>
      <c r="O2168" s="22" t="str">
        <f>HYPERLINK("https://pbs.twimg.com/profile_images/882614227072040960/NtlEEwN2_normal.jpg","View")</f>
        <v>View</v>
      </c>
      <c r="P2168" s="27"/>
    </row>
    <row r="2169">
      <c r="A2169" s="14">
        <v>43031.15420138889</v>
      </c>
      <c r="B2169" s="20" t="str">
        <f>HYPERLINK("https://twitter.com/moalsinc","@moalsinc")</f>
        <v>@moalsinc</v>
      </c>
      <c r="C2169" s="21" t="s">
        <v>5274</v>
      </c>
      <c r="D2169" s="21" t="s">
        <v>5262</v>
      </c>
      <c r="E2169" s="22" t="str">
        <f>HYPERLINK("https://twitter.com/moalsinc/status/922412799287992320","922412799287992320")</f>
        <v>922412799287992320</v>
      </c>
      <c r="F2169" s="23" t="s">
        <v>5275</v>
      </c>
      <c r="G2169" s="24">
        <v>2012.0</v>
      </c>
      <c r="H2169" s="24">
        <v>553.0</v>
      </c>
      <c r="I2169" s="24">
        <v>22.0</v>
      </c>
      <c r="J2169" s="24">
        <v>0.0</v>
      </c>
      <c r="K2169" s="23" t="s">
        <v>34</v>
      </c>
      <c r="L2169" s="25">
        <v>40017.20458333333</v>
      </c>
      <c r="M2169" s="26" t="s">
        <v>5276</v>
      </c>
      <c r="N2169" s="26" t="s">
        <v>5277</v>
      </c>
      <c r="O2169" s="22" t="str">
        <f>HYPERLINK("https://pbs.twimg.com/profile_images/888344439038459904/u9FPQkzx_normal.png","View")</f>
        <v>View</v>
      </c>
      <c r="P2169" s="27"/>
    </row>
    <row r="2170">
      <c r="A2170" s="14">
        <v>43031.15427083333</v>
      </c>
      <c r="B2170" s="20" t="str">
        <f>HYPERLINK("https://twitter.com/i68464686462402","@i68464686462402")</f>
        <v>@i68464686462402</v>
      </c>
      <c r="C2170" s="21" t="s">
        <v>5278</v>
      </c>
      <c r="D2170" s="21" t="s">
        <v>4678</v>
      </c>
      <c r="E2170" s="22" t="str">
        <f>HYPERLINK("https://twitter.com/i68464686462402/status/922412825229664256","922412825229664256")</f>
        <v>922412825229664256</v>
      </c>
      <c r="F2170" s="23" t="s">
        <v>55</v>
      </c>
      <c r="G2170" s="24">
        <v>16.0</v>
      </c>
      <c r="H2170" s="24">
        <v>24.0</v>
      </c>
      <c r="I2170" s="24">
        <v>6.0</v>
      </c>
      <c r="J2170" s="24">
        <v>0.0</v>
      </c>
      <c r="K2170" s="23" t="s">
        <v>34</v>
      </c>
      <c r="L2170" s="25">
        <v>42349.54423611111</v>
      </c>
      <c r="M2170" s="28"/>
      <c r="N2170" s="28"/>
      <c r="O2170" s="22" t="str">
        <f>HYPERLINK("https://pbs.twimg.com/profile_images/676996325741842432/YMh4IZZL_normal.jpg","View")</f>
        <v>View</v>
      </c>
      <c r="P2170" s="27"/>
    </row>
    <row r="2171">
      <c r="A2171" s="14">
        <v>43031.15429398148</v>
      </c>
      <c r="B2171" s="20" t="str">
        <f>HYPERLINK("https://twitter.com/Easterise","@Easterise")</f>
        <v>@Easterise</v>
      </c>
      <c r="C2171" s="21" t="s">
        <v>5279</v>
      </c>
      <c r="D2171" s="21" t="s">
        <v>5262</v>
      </c>
      <c r="E2171" s="22" t="str">
        <f>HYPERLINK("https://twitter.com/Easterise/status/922412831450062848","922412831450062848")</f>
        <v>922412831450062848</v>
      </c>
      <c r="F2171" s="23" t="s">
        <v>55</v>
      </c>
      <c r="G2171" s="24">
        <v>399.0</v>
      </c>
      <c r="H2171" s="24">
        <v>1531.0</v>
      </c>
      <c r="I2171" s="24">
        <v>22.0</v>
      </c>
      <c r="J2171" s="24">
        <v>0.0</v>
      </c>
      <c r="K2171" s="23" t="s">
        <v>34</v>
      </c>
      <c r="L2171" s="25">
        <v>42139.29417824074</v>
      </c>
      <c r="M2171" s="26" t="s">
        <v>5280</v>
      </c>
      <c r="N2171" s="26" t="s">
        <v>5281</v>
      </c>
      <c r="O2171" s="22" t="str">
        <f>HYPERLINK("https://pbs.twimg.com/profile_images/815156038211141632/zyMpKCPc_normal.jpg","View")</f>
        <v>View</v>
      </c>
      <c r="P2171" s="27"/>
    </row>
    <row r="2172">
      <c r="A2172" s="14">
        <v>43031.15429398148</v>
      </c>
      <c r="B2172" s="20" t="str">
        <f>HYPERLINK("https://twitter.com/puredailynews","@puredailynews")</f>
        <v>@puredailynews</v>
      </c>
      <c r="C2172" s="21" t="s">
        <v>5282</v>
      </c>
      <c r="D2172" s="21" t="s">
        <v>5283</v>
      </c>
      <c r="E2172" s="22" t="str">
        <f>HYPERLINK("https://twitter.com/puredailynews/status/922412832762843137","922412832762843137")</f>
        <v>922412832762843137</v>
      </c>
      <c r="F2172" s="30" t="s">
        <v>191</v>
      </c>
      <c r="G2172" s="24">
        <v>29.0</v>
      </c>
      <c r="H2172" s="24">
        <v>106.0</v>
      </c>
      <c r="I2172" s="24">
        <v>0.0</v>
      </c>
      <c r="J2172" s="24">
        <v>0.0</v>
      </c>
      <c r="K2172" s="23" t="s">
        <v>34</v>
      </c>
      <c r="L2172" s="25">
        <v>42916.09621527778</v>
      </c>
      <c r="M2172" s="26" t="s">
        <v>68</v>
      </c>
      <c r="N2172" s="26" t="s">
        <v>5284</v>
      </c>
      <c r="O2172" s="22" t="str">
        <f>HYPERLINK("https://pbs.twimg.com/profile_images/882183948566245377/l-arLaFA_normal.jpg","View")</f>
        <v>View</v>
      </c>
      <c r="P2172" s="27"/>
    </row>
    <row r="2173">
      <c r="A2173" s="14">
        <v>43031.15435185185</v>
      </c>
      <c r="B2173" s="20" t="str">
        <f>HYPERLINK("https://twitter.com/kazkinos","@kazkinos")</f>
        <v>@kazkinos</v>
      </c>
      <c r="C2173" s="21" t="s">
        <v>5285</v>
      </c>
      <c r="D2173" s="21" t="s">
        <v>3867</v>
      </c>
      <c r="E2173" s="22" t="str">
        <f>HYPERLINK("https://twitter.com/kazkinos/status/922412853423779840","922412853423779840")</f>
        <v>922412853423779840</v>
      </c>
      <c r="F2173" s="23" t="s">
        <v>230</v>
      </c>
      <c r="G2173" s="24">
        <v>219.0</v>
      </c>
      <c r="H2173" s="24">
        <v>680.0</v>
      </c>
      <c r="I2173" s="24">
        <v>23.0</v>
      </c>
      <c r="J2173" s="24">
        <v>0.0</v>
      </c>
      <c r="K2173" s="23" t="s">
        <v>34</v>
      </c>
      <c r="L2173" s="25">
        <v>41302.29193287037</v>
      </c>
      <c r="M2173" s="26" t="s">
        <v>5286</v>
      </c>
      <c r="N2173" s="26" t="s">
        <v>5287</v>
      </c>
      <c r="O2173" s="22" t="str">
        <f>HYPERLINK("https://pbs.twimg.com/profile_images/3223809858/51727ac7853dca7eb9d7459487fb9799_normal.jpeg","View")</f>
        <v>View</v>
      </c>
      <c r="P2173" s="27"/>
    </row>
    <row r="2174">
      <c r="A2174" s="14">
        <v>43031.154386574075</v>
      </c>
      <c r="B2174" s="20" t="str">
        <f>HYPERLINK("https://twitter.com/sandysh2311","@sandysh2311")</f>
        <v>@sandysh2311</v>
      </c>
      <c r="C2174" s="21" t="s">
        <v>5288</v>
      </c>
      <c r="D2174" s="21" t="s">
        <v>42</v>
      </c>
      <c r="E2174" s="22" t="str">
        <f>HYPERLINK("https://twitter.com/sandysh2311/status/922412864626757632","922412864626757632")</f>
        <v>922412864626757632</v>
      </c>
      <c r="F2174" s="23" t="s">
        <v>33</v>
      </c>
      <c r="G2174" s="24">
        <v>203.0</v>
      </c>
      <c r="H2174" s="24">
        <v>200.0</v>
      </c>
      <c r="I2174" s="24">
        <v>8501.0</v>
      </c>
      <c r="J2174" s="24">
        <v>0.0</v>
      </c>
      <c r="K2174" s="23" t="s">
        <v>34</v>
      </c>
      <c r="L2174" s="25">
        <v>40869.4657175926</v>
      </c>
      <c r="M2174" s="28"/>
      <c r="N2174" s="28"/>
      <c r="O2174" s="22" t="str">
        <f>HYPERLINK("https://abs.twimg.com/sticky/default_profile_images/default_profile_normal.png","View")</f>
        <v>View</v>
      </c>
      <c r="P2174" s="27"/>
    </row>
    <row r="2175">
      <c r="A2175" s="14">
        <v>43031.15440972222</v>
      </c>
      <c r="B2175" s="20" t="str">
        <f>HYPERLINK("https://twitter.com/AJInsideStory","@AJInsideStory")</f>
        <v>@AJInsideStory</v>
      </c>
      <c r="C2175" s="21" t="s">
        <v>5289</v>
      </c>
      <c r="D2175" s="21" t="s">
        <v>5290</v>
      </c>
      <c r="E2175" s="22" t="str">
        <f>HYPERLINK("https://twitter.com/AJInsideStory/status/922412874076635136","922412874076635136")</f>
        <v>922412874076635136</v>
      </c>
      <c r="F2175" s="23" t="s">
        <v>55</v>
      </c>
      <c r="G2175" s="24">
        <v>16450.0</v>
      </c>
      <c r="H2175" s="24">
        <v>34.0</v>
      </c>
      <c r="I2175" s="24">
        <v>0.0</v>
      </c>
      <c r="J2175" s="24">
        <v>1.0</v>
      </c>
      <c r="K2175" s="23" t="s">
        <v>34</v>
      </c>
      <c r="L2175" s="25">
        <v>40994.14071759259</v>
      </c>
      <c r="M2175" s="26" t="s">
        <v>5118</v>
      </c>
      <c r="N2175" s="26" t="s">
        <v>5291</v>
      </c>
      <c r="O2175" s="22" t="str">
        <f>HYPERLINK("https://pbs.twimg.com/profile_images/448882353935360000/wq2qWMEw_normal.jpeg","View")</f>
        <v>View</v>
      </c>
      <c r="P2175" s="27"/>
    </row>
    <row r="2176">
      <c r="A2176" s="14">
        <v>43031.154432870375</v>
      </c>
      <c r="B2176" s="20" t="str">
        <f>HYPERLINK("https://twitter.com/rajib_khatua","@rajib_khatua")</f>
        <v>@rajib_khatua</v>
      </c>
      <c r="C2176" s="21" t="s">
        <v>5292</v>
      </c>
      <c r="D2176" s="21" t="s">
        <v>42</v>
      </c>
      <c r="E2176" s="22" t="str">
        <f>HYPERLINK("https://twitter.com/rajib_khatua/status/922412882041626625","922412882041626625")</f>
        <v>922412882041626625</v>
      </c>
      <c r="F2176" s="23" t="s">
        <v>33</v>
      </c>
      <c r="G2176" s="24">
        <v>7.0</v>
      </c>
      <c r="H2176" s="24">
        <v>229.0</v>
      </c>
      <c r="I2176" s="24">
        <v>8501.0</v>
      </c>
      <c r="J2176" s="24">
        <v>0.0</v>
      </c>
      <c r="K2176" s="23" t="s">
        <v>34</v>
      </c>
      <c r="L2176" s="25">
        <v>42667.160266203704</v>
      </c>
      <c r="M2176" s="26" t="s">
        <v>5293</v>
      </c>
      <c r="N2176" s="26" t="s">
        <v>5294</v>
      </c>
      <c r="O2176" s="22" t="str">
        <f>HYPERLINK("https://pbs.twimg.com/profile_images/896714711332290564/OPh7wAnm_normal.jpg","View")</f>
        <v>View</v>
      </c>
      <c r="P2176" s="27"/>
    </row>
    <row r="2177">
      <c r="A2177" s="14">
        <v>43031.154502314814</v>
      </c>
      <c r="B2177" s="20" t="str">
        <f>HYPERLINK("https://twitter.com/KTMTribune","@KTMTribune")</f>
        <v>@KTMTribune</v>
      </c>
      <c r="C2177" s="21" t="s">
        <v>5295</v>
      </c>
      <c r="D2177" s="21" t="s">
        <v>5296</v>
      </c>
      <c r="E2177" s="22" t="str">
        <f>HYPERLINK("https://twitter.com/KTMTribune/status/922412907014402048","922412907014402048")</f>
        <v>922412907014402048</v>
      </c>
      <c r="F2177" s="23" t="s">
        <v>55</v>
      </c>
      <c r="G2177" s="24">
        <v>197.0</v>
      </c>
      <c r="H2177" s="24">
        <v>87.0</v>
      </c>
      <c r="I2177" s="24">
        <v>0.0</v>
      </c>
      <c r="J2177" s="24">
        <v>0.0</v>
      </c>
      <c r="K2177" s="23" t="s">
        <v>34</v>
      </c>
      <c r="L2177" s="25">
        <v>42828.16631944444</v>
      </c>
      <c r="M2177" s="26" t="s">
        <v>5297</v>
      </c>
      <c r="N2177" s="26" t="s">
        <v>5298</v>
      </c>
      <c r="O2177" s="22" t="str">
        <f>HYPERLINK("https://pbs.twimg.com/profile_images/904399922551590912/A0SLT6EZ_normal.jpg","View")</f>
        <v>View</v>
      </c>
      <c r="P2177" s="27"/>
    </row>
    <row r="2178">
      <c r="A2178" s="14">
        <v>43031.15458333334</v>
      </c>
      <c r="B2178" s="20" t="str">
        <f>HYPERLINK("https://twitter.com/msgusain2010","@msgusain2010")</f>
        <v>@msgusain2010</v>
      </c>
      <c r="C2178" s="21" t="s">
        <v>5299</v>
      </c>
      <c r="D2178" s="21" t="s">
        <v>42</v>
      </c>
      <c r="E2178" s="22" t="str">
        <f>HYPERLINK("https://twitter.com/msgusain2010/status/922412935166574592","922412935166574592")</f>
        <v>922412935166574592</v>
      </c>
      <c r="F2178" s="23" t="s">
        <v>33</v>
      </c>
      <c r="G2178" s="24">
        <v>15.0</v>
      </c>
      <c r="H2178" s="24">
        <v>64.0</v>
      </c>
      <c r="I2178" s="24">
        <v>8501.0</v>
      </c>
      <c r="J2178" s="24">
        <v>0.0</v>
      </c>
      <c r="K2178" s="23" t="s">
        <v>34</v>
      </c>
      <c r="L2178" s="25">
        <v>42675.242743055554</v>
      </c>
      <c r="M2178" s="28"/>
      <c r="N2178" s="28"/>
      <c r="O2178" s="22" t="str">
        <f>HYPERLINK("https://abs.twimg.com/sticky/default_profile_images/default_profile_normal.png","View")</f>
        <v>View</v>
      </c>
      <c r="P2178" s="27"/>
    </row>
    <row r="2179">
      <c r="A2179" s="14">
        <v>43031.15458333334</v>
      </c>
      <c r="B2179" s="20" t="str">
        <f>HYPERLINK("https://twitter.com/Jewellerydolce","@Jewellerydolce")</f>
        <v>@Jewellerydolce</v>
      </c>
      <c r="C2179" s="21" t="s">
        <v>5300</v>
      </c>
      <c r="D2179" s="21" t="s">
        <v>42</v>
      </c>
      <c r="E2179" s="22" t="str">
        <f>HYPERLINK("https://twitter.com/Jewellerydolce/status/922412938299768832","922412938299768832")</f>
        <v>922412938299768832</v>
      </c>
      <c r="F2179" s="23" t="s">
        <v>33</v>
      </c>
      <c r="G2179" s="24">
        <v>45.0</v>
      </c>
      <c r="H2179" s="24">
        <v>247.0</v>
      </c>
      <c r="I2179" s="24">
        <v>8501.0</v>
      </c>
      <c r="J2179" s="24">
        <v>0.0</v>
      </c>
      <c r="K2179" s="23" t="s">
        <v>34</v>
      </c>
      <c r="L2179" s="25">
        <v>42757.732187500005</v>
      </c>
      <c r="M2179" s="26" t="s">
        <v>660</v>
      </c>
      <c r="N2179" s="26" t="s">
        <v>5301</v>
      </c>
      <c r="O2179" s="22" t="str">
        <f>HYPERLINK("https://pbs.twimg.com/profile_images/829308126985863168/M7ZNvUoR_normal.jpg","View")</f>
        <v>View</v>
      </c>
      <c r="P2179" s="27"/>
    </row>
    <row r="2180">
      <c r="A2180" s="14">
        <v>43031.154699074075</v>
      </c>
      <c r="B2180" s="20" t="str">
        <f>HYPERLINK("https://twitter.com/T6kjHA5lnWlKZHP","@T6kjHA5lnWlKZHP")</f>
        <v>@T6kjHA5lnWlKZHP</v>
      </c>
      <c r="C2180" s="21" t="s">
        <v>5302</v>
      </c>
      <c r="D2180" s="21" t="s">
        <v>42</v>
      </c>
      <c r="E2180" s="22" t="str">
        <f>HYPERLINK("https://twitter.com/T6kjHA5lnWlKZHP/status/922412977264910337","922412977264910337")</f>
        <v>922412977264910337</v>
      </c>
      <c r="F2180" s="23" t="s">
        <v>33</v>
      </c>
      <c r="G2180" s="24">
        <v>1.0</v>
      </c>
      <c r="H2180" s="24">
        <v>83.0</v>
      </c>
      <c r="I2180" s="24">
        <v>8501.0</v>
      </c>
      <c r="J2180" s="24">
        <v>0.0</v>
      </c>
      <c r="K2180" s="23" t="s">
        <v>34</v>
      </c>
      <c r="L2180" s="25">
        <v>43031.14703703704</v>
      </c>
      <c r="M2180" s="28"/>
      <c r="N2180" s="28"/>
      <c r="O2180" s="22" t="str">
        <f t="shared" ref="O2180:O2181" si="36">HYPERLINK("https://abs.twimg.com/sticky/default_profile_images/default_profile_normal.png","View")</f>
        <v>View</v>
      </c>
      <c r="P2180" s="27"/>
    </row>
    <row r="2181">
      <c r="A2181" s="14">
        <v>43031.154756944445</v>
      </c>
      <c r="B2181" s="20" t="str">
        <f>HYPERLINK("https://twitter.com/manojj19700","@manojj19700")</f>
        <v>@manojj19700</v>
      </c>
      <c r="C2181" s="21" t="s">
        <v>5303</v>
      </c>
      <c r="D2181" s="21" t="s">
        <v>42</v>
      </c>
      <c r="E2181" s="22" t="str">
        <f>HYPERLINK("https://twitter.com/manojj19700/status/922413000845279232","922413000845279232")</f>
        <v>922413000845279232</v>
      </c>
      <c r="F2181" s="23" t="s">
        <v>33</v>
      </c>
      <c r="G2181" s="24">
        <v>6.0</v>
      </c>
      <c r="H2181" s="24">
        <v>33.0</v>
      </c>
      <c r="I2181" s="24">
        <v>8501.0</v>
      </c>
      <c r="J2181" s="24">
        <v>0.0</v>
      </c>
      <c r="K2181" s="23" t="s">
        <v>34</v>
      </c>
      <c r="L2181" s="25">
        <v>41461.286041666666</v>
      </c>
      <c r="M2181" s="26" t="s">
        <v>3955</v>
      </c>
      <c r="N2181" s="26" t="s">
        <v>5304</v>
      </c>
      <c r="O2181" s="22" t="str">
        <f t="shared" si="36"/>
        <v>View</v>
      </c>
      <c r="P2181" s="27"/>
    </row>
    <row r="2182">
      <c r="A2182" s="14">
        <v>43031.15489583333</v>
      </c>
      <c r="B2182" s="20" t="str">
        <f>HYPERLINK("https://twitter.com/Amitguj281983","@Amitguj281983")</f>
        <v>@Amitguj281983</v>
      </c>
      <c r="C2182" s="21" t="s">
        <v>5305</v>
      </c>
      <c r="D2182" s="21" t="s">
        <v>42</v>
      </c>
      <c r="E2182" s="22" t="str">
        <f>HYPERLINK("https://twitter.com/Amitguj281983/status/922413052481495040","922413052481495040")</f>
        <v>922413052481495040</v>
      </c>
      <c r="F2182" s="23" t="s">
        <v>33</v>
      </c>
      <c r="G2182" s="24">
        <v>1317.0</v>
      </c>
      <c r="H2182" s="24">
        <v>167.0</v>
      </c>
      <c r="I2182" s="24">
        <v>8501.0</v>
      </c>
      <c r="J2182" s="24">
        <v>0.0</v>
      </c>
      <c r="K2182" s="23" t="s">
        <v>34</v>
      </c>
      <c r="L2182" s="25">
        <v>40647.97614583334</v>
      </c>
      <c r="M2182" s="26" t="s">
        <v>5306</v>
      </c>
      <c r="N2182" s="26" t="s">
        <v>5307</v>
      </c>
      <c r="O2182" s="22" t="str">
        <f>HYPERLINK("https://pbs.twimg.com/profile_images/3494149753/7f8db75201038ba7ba8018e8380a2ab5_normal.jpeg","View")</f>
        <v>View</v>
      </c>
      <c r="P2182" s="27"/>
    </row>
    <row r="2183">
      <c r="A2183" s="14">
        <v>43031.15493055555</v>
      </c>
      <c r="B2183" s="20" t="str">
        <f>HYPERLINK("https://twitter.com/lojun1970","@lojun1970")</f>
        <v>@lojun1970</v>
      </c>
      <c r="C2183" s="21" t="s">
        <v>5243</v>
      </c>
      <c r="D2183" s="21" t="s">
        <v>1220</v>
      </c>
      <c r="E2183" s="22" t="str">
        <f>HYPERLINK("https://twitter.com/lojun1970/status/922413063919112192","922413063919112192")</f>
        <v>922413063919112192</v>
      </c>
      <c r="F2183" s="23" t="s">
        <v>43</v>
      </c>
      <c r="G2183" s="24">
        <v>555.0</v>
      </c>
      <c r="H2183" s="24">
        <v>541.0</v>
      </c>
      <c r="I2183" s="24">
        <v>26.0</v>
      </c>
      <c r="J2183" s="24">
        <v>0.0</v>
      </c>
      <c r="K2183" s="23" t="s">
        <v>34</v>
      </c>
      <c r="L2183" s="25">
        <v>40170.98930555556</v>
      </c>
      <c r="M2183" s="26" t="s">
        <v>5244</v>
      </c>
      <c r="N2183" s="26" t="s">
        <v>5245</v>
      </c>
      <c r="O2183" s="22" t="str">
        <f>HYPERLINK("https://pbs.twimg.com/profile_images/912869900816834560/uabiQyuB_normal.jpg","View")</f>
        <v>View</v>
      </c>
      <c r="P2183" s="27"/>
    </row>
    <row r="2184">
      <c r="A2184" s="14">
        <v>43031.15497685185</v>
      </c>
      <c r="B2184" s="20" t="str">
        <f>HYPERLINK("https://twitter.com/bolger2008","@bolger2008")</f>
        <v>@bolger2008</v>
      </c>
      <c r="C2184" s="21" t="s">
        <v>5308</v>
      </c>
      <c r="D2184" s="21" t="s">
        <v>5309</v>
      </c>
      <c r="E2184" s="22" t="str">
        <f>HYPERLINK("https://twitter.com/bolger2008/status/922413078771306496","922413078771306496")</f>
        <v>922413078771306496</v>
      </c>
      <c r="F2184" s="23" t="s">
        <v>55</v>
      </c>
      <c r="G2184" s="24">
        <v>126.0</v>
      </c>
      <c r="H2184" s="24">
        <v>732.0</v>
      </c>
      <c r="I2184" s="24">
        <v>22.0</v>
      </c>
      <c r="J2184" s="24">
        <v>0.0</v>
      </c>
      <c r="K2184" s="23" t="s">
        <v>34</v>
      </c>
      <c r="L2184" s="25">
        <v>39537.43609953704</v>
      </c>
      <c r="M2184" s="26" t="s">
        <v>4239</v>
      </c>
      <c r="N2184" s="26" t="s">
        <v>5310</v>
      </c>
      <c r="O2184" s="22" t="str">
        <f>HYPERLINK("https://pbs.twimg.com/profile_images/3601576031/ceec98fd9eec97edb958d420b1000480_normal.jpeg","View")</f>
        <v>View</v>
      </c>
      <c r="P2184" s="27"/>
    </row>
    <row r="2185">
      <c r="A2185" s="14">
        <v>43031.15513888889</v>
      </c>
      <c r="B2185" s="20" t="str">
        <f>HYPERLINK("https://twitter.com/DirectorRs","@DirectorRs")</f>
        <v>@DirectorRs</v>
      </c>
      <c r="C2185" s="21" t="s">
        <v>5311</v>
      </c>
      <c r="D2185" s="21" t="s">
        <v>42</v>
      </c>
      <c r="E2185" s="22" t="str">
        <f>HYPERLINK("https://twitter.com/DirectorRs/status/922413136669319168","922413136669319168")</f>
        <v>922413136669319168</v>
      </c>
      <c r="F2185" s="23" t="s">
        <v>33</v>
      </c>
      <c r="G2185" s="24">
        <v>306.0</v>
      </c>
      <c r="H2185" s="24">
        <v>157.0</v>
      </c>
      <c r="I2185" s="24">
        <v>8501.0</v>
      </c>
      <c r="J2185" s="24">
        <v>0.0</v>
      </c>
      <c r="K2185" s="23" t="s">
        <v>34</v>
      </c>
      <c r="L2185" s="25">
        <v>41791.29462962963</v>
      </c>
      <c r="M2185" s="26" t="s">
        <v>204</v>
      </c>
      <c r="N2185" s="26" t="s">
        <v>5312</v>
      </c>
      <c r="O2185" s="22" t="str">
        <f>HYPERLINK("https://pbs.twimg.com/profile_images/787804194791051264/l1hnAu8a_normal.jpg","View")</f>
        <v>View</v>
      </c>
      <c r="P2185" s="27"/>
    </row>
    <row r="2186">
      <c r="A2186" s="14">
        <v>43031.1552662037</v>
      </c>
      <c r="B2186" s="20" t="str">
        <f>HYPERLINK("https://twitter.com/ashurose","@ashurose")</f>
        <v>@ashurose</v>
      </c>
      <c r="C2186" s="21" t="s">
        <v>5313</v>
      </c>
      <c r="D2186" s="21" t="s">
        <v>42</v>
      </c>
      <c r="E2186" s="22" t="str">
        <f>HYPERLINK("https://twitter.com/ashurose/status/922413183754575872","922413183754575872")</f>
        <v>922413183754575872</v>
      </c>
      <c r="F2186" s="23" t="s">
        <v>33</v>
      </c>
      <c r="G2186" s="24">
        <v>16.0</v>
      </c>
      <c r="H2186" s="24">
        <v>56.0</v>
      </c>
      <c r="I2186" s="24">
        <v>8501.0</v>
      </c>
      <c r="J2186" s="24">
        <v>0.0</v>
      </c>
      <c r="K2186" s="23" t="s">
        <v>34</v>
      </c>
      <c r="L2186" s="25">
        <v>40111.211331018516</v>
      </c>
      <c r="M2186" s="26" t="s">
        <v>5314</v>
      </c>
      <c r="N2186" s="28"/>
      <c r="O2186" s="22" t="str">
        <f>HYPERLINK("https://pbs.twimg.com/profile_images/822369796654104576/dz0DOq_2_normal.jpg","View")</f>
        <v>View</v>
      </c>
      <c r="P2186" s="27"/>
    </row>
    <row r="2187">
      <c r="A2187" s="14">
        <v>43031.155277777776</v>
      </c>
      <c r="B2187" s="20" t="str">
        <f>HYPERLINK("https://twitter.com/BavyeshJ","@BavyeshJ")</f>
        <v>@BavyeshJ</v>
      </c>
      <c r="C2187" s="21" t="s">
        <v>5315</v>
      </c>
      <c r="D2187" s="21" t="s">
        <v>1444</v>
      </c>
      <c r="E2187" s="22" t="str">
        <f>HYPERLINK("https://twitter.com/BavyeshJ/status/922413190805426176","922413190805426176")</f>
        <v>922413190805426176</v>
      </c>
      <c r="F2187" s="23" t="s">
        <v>33</v>
      </c>
      <c r="G2187" s="24">
        <v>308.0</v>
      </c>
      <c r="H2187" s="24">
        <v>443.0</v>
      </c>
      <c r="I2187" s="24">
        <v>50.0</v>
      </c>
      <c r="J2187" s="24">
        <v>0.0</v>
      </c>
      <c r="K2187" s="23" t="s">
        <v>34</v>
      </c>
      <c r="L2187" s="25">
        <v>41894.22547453704</v>
      </c>
      <c r="M2187" s="26" t="s">
        <v>4198</v>
      </c>
      <c r="N2187" s="26" t="s">
        <v>5316</v>
      </c>
      <c r="O2187" s="22" t="str">
        <f>HYPERLINK("https://pbs.twimg.com/profile_images/917336886879891458/iAkW-QL0_normal.jpg","View")</f>
        <v>View</v>
      </c>
      <c r="P2187" s="27"/>
    </row>
    <row r="2188">
      <c r="A2188" s="14">
        <v>43031.155335648145</v>
      </c>
      <c r="B2188" s="20" t="str">
        <f>HYPERLINK("https://twitter.com/jepangnet","@jepangnet")</f>
        <v>@jepangnet</v>
      </c>
      <c r="C2188" s="29" t="s">
        <v>3404</v>
      </c>
      <c r="D2188" s="21" t="s">
        <v>5317</v>
      </c>
      <c r="E2188" s="22" t="str">
        <f>HYPERLINK("https://twitter.com/jepangnet/status/922413211231629313","922413211231629313")</f>
        <v>922413211231629313</v>
      </c>
      <c r="F2188" s="23" t="s">
        <v>187</v>
      </c>
      <c r="G2188" s="24">
        <v>1830.0</v>
      </c>
      <c r="H2188" s="24">
        <v>73.0</v>
      </c>
      <c r="I2188" s="24">
        <v>0.0</v>
      </c>
      <c r="J2188" s="24">
        <v>0.0</v>
      </c>
      <c r="K2188" s="23" t="s">
        <v>34</v>
      </c>
      <c r="L2188" s="25">
        <v>41367.07915509259</v>
      </c>
      <c r="M2188" s="28"/>
      <c r="N2188" s="26" t="s">
        <v>3406</v>
      </c>
      <c r="O2188" s="22" t="str">
        <f>HYPERLINK("https://pbs.twimg.com/profile_images/584780080838115328/JAX1NIUM_normal.jpg","View")</f>
        <v>View</v>
      </c>
      <c r="P2188" s="27"/>
    </row>
    <row r="2189">
      <c r="A2189" s="14">
        <v>43031.15534722222</v>
      </c>
      <c r="B2189" s="20" t="str">
        <f>HYPERLINK("https://twitter.com/DineshGP5","@DineshGP5")</f>
        <v>@DineshGP5</v>
      </c>
      <c r="C2189" s="21" t="s">
        <v>5318</v>
      </c>
      <c r="D2189" s="21" t="s">
        <v>42</v>
      </c>
      <c r="E2189" s="22" t="str">
        <f>HYPERLINK("https://twitter.com/DineshGP5/status/922413212947030017","922413212947030017")</f>
        <v>922413212947030017</v>
      </c>
      <c r="F2189" s="23" t="s">
        <v>33</v>
      </c>
      <c r="G2189" s="24">
        <v>5.0</v>
      </c>
      <c r="H2189" s="24">
        <v>106.0</v>
      </c>
      <c r="I2189" s="24">
        <v>8501.0</v>
      </c>
      <c r="J2189" s="24">
        <v>0.0</v>
      </c>
      <c r="K2189" s="23" t="s">
        <v>34</v>
      </c>
      <c r="L2189" s="25">
        <v>43021.853472222225</v>
      </c>
      <c r="M2189" s="28"/>
      <c r="N2189" s="28"/>
      <c r="O2189" s="22" t="str">
        <f>HYPERLINK("https://abs.twimg.com/sticky/default_profile_images/default_profile_normal.png","View")</f>
        <v>View</v>
      </c>
      <c r="P2189" s="27"/>
    </row>
    <row r="2190">
      <c r="A2190" s="14">
        <v>43031.1553587963</v>
      </c>
      <c r="B2190" s="20" t="str">
        <f>HYPERLINK("https://twitter.com/manojsharma0777","@manojsharma0777")</f>
        <v>@manojsharma0777</v>
      </c>
      <c r="C2190" s="21" t="s">
        <v>5319</v>
      </c>
      <c r="D2190" s="21" t="s">
        <v>42</v>
      </c>
      <c r="E2190" s="22" t="str">
        <f>HYPERLINK("https://twitter.com/manojsharma0777/status/922413217682300928","922413217682300928")</f>
        <v>922413217682300928</v>
      </c>
      <c r="F2190" s="23" t="s">
        <v>33</v>
      </c>
      <c r="G2190" s="24">
        <v>601.0</v>
      </c>
      <c r="H2190" s="24">
        <v>262.0</v>
      </c>
      <c r="I2190" s="24">
        <v>8501.0</v>
      </c>
      <c r="J2190" s="24">
        <v>0.0</v>
      </c>
      <c r="K2190" s="23" t="s">
        <v>34</v>
      </c>
      <c r="L2190" s="25">
        <v>41508.39019675926</v>
      </c>
      <c r="M2190" s="28"/>
      <c r="N2190" s="26" t="s">
        <v>5320</v>
      </c>
      <c r="O2190" s="22" t="str">
        <f>HYPERLINK("https://pbs.twimg.com/profile_images/784933175273394176/mW9uNzMm_normal.jpg","View")</f>
        <v>View</v>
      </c>
      <c r="P2190" s="27"/>
    </row>
    <row r="2191">
      <c r="A2191" s="14">
        <v>43031.15541666667</v>
      </c>
      <c r="B2191" s="20" t="str">
        <f>HYPERLINK("https://twitter.com/hed_huncho","@hed_huncho")</f>
        <v>@hed_huncho</v>
      </c>
      <c r="C2191" s="21" t="s">
        <v>5321</v>
      </c>
      <c r="D2191" s="21" t="s">
        <v>32</v>
      </c>
      <c r="E2191" s="22" t="str">
        <f>HYPERLINK("https://twitter.com/hed_huncho/status/922413238330916865","922413238330916865")</f>
        <v>922413238330916865</v>
      </c>
      <c r="F2191" s="23" t="s">
        <v>33</v>
      </c>
      <c r="G2191" s="24">
        <v>745.0</v>
      </c>
      <c r="H2191" s="24">
        <v>624.0</v>
      </c>
      <c r="I2191" s="24">
        <v>471.0</v>
      </c>
      <c r="J2191" s="24">
        <v>0.0</v>
      </c>
      <c r="K2191" s="23" t="s">
        <v>34</v>
      </c>
      <c r="L2191" s="25">
        <v>40694.3256712963</v>
      </c>
      <c r="M2191" s="26" t="s">
        <v>5322</v>
      </c>
      <c r="N2191" s="26" t="s">
        <v>5323</v>
      </c>
      <c r="O2191" s="22" t="str">
        <f>HYPERLINK("https://pbs.twimg.com/profile_images/918376464969535489/HqrFAUh2_normal.jpg","View")</f>
        <v>View</v>
      </c>
      <c r="P2191" s="27"/>
    </row>
    <row r="2192">
      <c r="A2192" s="14">
        <v>43031.15541666667</v>
      </c>
      <c r="B2192" s="20" t="str">
        <f>HYPERLINK("https://twitter.com/Sophie60762662","@Sophie60762662")</f>
        <v>@Sophie60762662</v>
      </c>
      <c r="C2192" s="21" t="s">
        <v>5324</v>
      </c>
      <c r="D2192" s="21" t="s">
        <v>3205</v>
      </c>
      <c r="E2192" s="22" t="str">
        <f>HYPERLINK("https://twitter.com/Sophie60762662/status/922413238720929792","922413238720929792")</f>
        <v>922413238720929792</v>
      </c>
      <c r="F2192" s="23" t="s">
        <v>39</v>
      </c>
      <c r="G2192" s="24">
        <v>856.0</v>
      </c>
      <c r="H2192" s="24">
        <v>4999.0</v>
      </c>
      <c r="I2192" s="24">
        <v>13.0</v>
      </c>
      <c r="J2192" s="24">
        <v>0.0</v>
      </c>
      <c r="K2192" s="23" t="s">
        <v>34</v>
      </c>
      <c r="L2192" s="25">
        <v>42731.733668981484</v>
      </c>
      <c r="M2192" s="26" t="s">
        <v>3011</v>
      </c>
      <c r="N2192" s="26" t="s">
        <v>5325</v>
      </c>
      <c r="O2192" s="22" t="str">
        <f>HYPERLINK("https://pbs.twimg.com/profile_images/815830747818799104/ciwPdhS-_normal.jpg","View")</f>
        <v>View</v>
      </c>
      <c r="P2192" s="27"/>
    </row>
    <row r="2193">
      <c r="A2193" s="14">
        <v>43031.155451388884</v>
      </c>
      <c r="B2193" s="20" t="str">
        <f>HYPERLINK("https://twitter.com/jptweets4fun","@jptweets4fun")</f>
        <v>@jptweets4fun</v>
      </c>
      <c r="C2193" s="21" t="s">
        <v>3582</v>
      </c>
      <c r="D2193" s="21" t="s">
        <v>42</v>
      </c>
      <c r="E2193" s="22" t="str">
        <f>HYPERLINK("https://twitter.com/jptweets4fun/status/922413249966018560","922413249966018560")</f>
        <v>922413249966018560</v>
      </c>
      <c r="F2193" s="23" t="s">
        <v>3583</v>
      </c>
      <c r="G2193" s="24">
        <v>151.0</v>
      </c>
      <c r="H2193" s="24">
        <v>60.0</v>
      </c>
      <c r="I2193" s="24">
        <v>8501.0</v>
      </c>
      <c r="J2193" s="24">
        <v>0.0</v>
      </c>
      <c r="K2193" s="23" t="s">
        <v>34</v>
      </c>
      <c r="L2193" s="25">
        <v>42852.32273148149</v>
      </c>
      <c r="M2193" s="26" t="s">
        <v>1961</v>
      </c>
      <c r="N2193" s="26" t="s">
        <v>3584</v>
      </c>
      <c r="O2193" s="22" t="str">
        <f>HYPERLINK("https://pbs.twimg.com/profile_images/871463009226559492/ulj0anCs_normal.jpg","View")</f>
        <v>View</v>
      </c>
      <c r="P2193" s="27"/>
    </row>
    <row r="2194">
      <c r="A2194" s="14">
        <v>43031.15548611111</v>
      </c>
      <c r="B2194" s="20" t="str">
        <f>HYPERLINK("https://twitter.com/vijaymi74420340","@vijaymi74420340")</f>
        <v>@vijaymi74420340</v>
      </c>
      <c r="C2194" s="21" t="s">
        <v>5326</v>
      </c>
      <c r="D2194" s="21" t="s">
        <v>42</v>
      </c>
      <c r="E2194" s="22" t="str">
        <f>HYPERLINK("https://twitter.com/vijaymi74420340/status/922413264113360897","922413264113360897")</f>
        <v>922413264113360897</v>
      </c>
      <c r="F2194" s="23" t="s">
        <v>33</v>
      </c>
      <c r="G2194" s="24">
        <v>25.0</v>
      </c>
      <c r="H2194" s="24">
        <v>43.0</v>
      </c>
      <c r="I2194" s="24">
        <v>8501.0</v>
      </c>
      <c r="J2194" s="24">
        <v>0.0</v>
      </c>
      <c r="K2194" s="23" t="s">
        <v>34</v>
      </c>
      <c r="L2194" s="25">
        <v>42810.957500000004</v>
      </c>
      <c r="M2194" s="28"/>
      <c r="N2194" s="28"/>
      <c r="O2194" s="22" t="str">
        <f>HYPERLINK("https://abs.twimg.com/sticky/default_profile_images/default_profile_normal.png","View")</f>
        <v>View</v>
      </c>
      <c r="P2194" s="27"/>
    </row>
    <row r="2195">
      <c r="A2195" s="14">
        <v>43031.15548611111</v>
      </c>
      <c r="B2195" s="20" t="str">
        <f>HYPERLINK("https://twitter.com/TishaCM","@TishaCM")</f>
        <v>@TishaCM</v>
      </c>
      <c r="C2195" s="21" t="s">
        <v>5327</v>
      </c>
      <c r="D2195" s="21" t="s">
        <v>1237</v>
      </c>
      <c r="E2195" s="22" t="str">
        <f>HYPERLINK("https://twitter.com/TishaCM/status/922413266420170753","922413266420170753")</f>
        <v>922413266420170753</v>
      </c>
      <c r="F2195" s="23" t="s">
        <v>39</v>
      </c>
      <c r="G2195" s="24">
        <v>173.0</v>
      </c>
      <c r="H2195" s="24">
        <v>291.0</v>
      </c>
      <c r="I2195" s="24">
        <v>4.0</v>
      </c>
      <c r="J2195" s="24">
        <v>0.0</v>
      </c>
      <c r="K2195" s="23" t="s">
        <v>34</v>
      </c>
      <c r="L2195" s="25">
        <v>40231.7944212963</v>
      </c>
      <c r="M2195" s="26" t="s">
        <v>1961</v>
      </c>
      <c r="N2195" s="26" t="s">
        <v>5328</v>
      </c>
      <c r="O2195" s="22" t="str">
        <f>HYPERLINK("https://pbs.twimg.com/profile_images/765717218034188288/O8VHAhmv_normal.jpg","View")</f>
        <v>View</v>
      </c>
      <c r="P2195" s="27"/>
    </row>
    <row r="2196">
      <c r="A2196" s="14">
        <v>43031.15552083333</v>
      </c>
      <c r="B2196" s="20" t="str">
        <f>HYPERLINK("https://twitter.com/Antimtotla1","@Antimtotla1")</f>
        <v>@Antimtotla1</v>
      </c>
      <c r="C2196" s="21" t="s">
        <v>5329</v>
      </c>
      <c r="D2196" s="21" t="s">
        <v>42</v>
      </c>
      <c r="E2196" s="22" t="str">
        <f>HYPERLINK("https://twitter.com/Antimtotla1/status/922413275676938240","922413275676938240")</f>
        <v>922413275676938240</v>
      </c>
      <c r="F2196" s="23" t="s">
        <v>230</v>
      </c>
      <c r="G2196" s="24">
        <v>0.0</v>
      </c>
      <c r="H2196" s="24">
        <v>106.0</v>
      </c>
      <c r="I2196" s="24">
        <v>8501.0</v>
      </c>
      <c r="J2196" s="24">
        <v>0.0</v>
      </c>
      <c r="K2196" s="23" t="s">
        <v>34</v>
      </c>
      <c r="L2196" s="25">
        <v>42975.9459375</v>
      </c>
      <c r="M2196" s="26" t="s">
        <v>246</v>
      </c>
      <c r="N2196" s="26" t="s">
        <v>5330</v>
      </c>
      <c r="O2196" s="22" t="str">
        <f>HYPERLINK("https://pbs.twimg.com/profile_images/922412449499770880/EtraDJhD_normal.jpg","View")</f>
        <v>View</v>
      </c>
      <c r="P2196" s="27"/>
    </row>
    <row r="2197">
      <c r="A2197" s="14">
        <v>43031.155590277776</v>
      </c>
      <c r="B2197" s="20" t="str">
        <f>HYPERLINK("https://twitter.com/bpolitics","@bpolitics")</f>
        <v>@bpolitics</v>
      </c>
      <c r="C2197" s="21" t="s">
        <v>3445</v>
      </c>
      <c r="D2197" s="21" t="s">
        <v>5331</v>
      </c>
      <c r="E2197" s="22" t="str">
        <f>HYPERLINK("https://twitter.com/bpolitics/status/922413304236183557","922413304236183557")</f>
        <v>922413304236183557</v>
      </c>
      <c r="F2197" s="23" t="s">
        <v>1103</v>
      </c>
      <c r="G2197" s="24">
        <v>221050.0</v>
      </c>
      <c r="H2197" s="24">
        <v>865.0</v>
      </c>
      <c r="I2197" s="24">
        <v>15.0</v>
      </c>
      <c r="J2197" s="24">
        <v>18.0</v>
      </c>
      <c r="K2197" s="23" t="s">
        <v>34</v>
      </c>
      <c r="L2197" s="25">
        <v>41025.57640046296</v>
      </c>
      <c r="M2197" s="28"/>
      <c r="N2197" s="26" t="s">
        <v>3447</v>
      </c>
      <c r="O2197" s="22" t="str">
        <f>HYPERLINK("https://pbs.twimg.com/profile_images/714804098890133504/cUO4gD1A_normal.jpg","View")</f>
        <v>View</v>
      </c>
      <c r="P2197" s="27"/>
    </row>
    <row r="2198">
      <c r="A2198" s="14">
        <v>43031.15561342593</v>
      </c>
      <c r="B2198" s="20" t="str">
        <f>HYPERLINK("https://twitter.com/_TradeForEx","@_TradeForEx")</f>
        <v>@_TradeForEx</v>
      </c>
      <c r="C2198" s="21" t="s">
        <v>5332</v>
      </c>
      <c r="D2198" s="21" t="s">
        <v>5333</v>
      </c>
      <c r="E2198" s="22" t="str">
        <f>HYPERLINK("https://twitter.com/_TradeForEx/status/922413310204452869","922413310204452869")</f>
        <v>922413310204452869</v>
      </c>
      <c r="F2198" s="30" t="s">
        <v>411</v>
      </c>
      <c r="G2198" s="24">
        <v>198.0</v>
      </c>
      <c r="H2198" s="24">
        <v>27.0</v>
      </c>
      <c r="I2198" s="24">
        <v>0.0</v>
      </c>
      <c r="J2198" s="24">
        <v>1.0</v>
      </c>
      <c r="K2198" s="23" t="s">
        <v>34</v>
      </c>
      <c r="L2198" s="25">
        <v>42695.13737268519</v>
      </c>
      <c r="M2198" s="26" t="s">
        <v>40</v>
      </c>
      <c r="N2198" s="26" t="s">
        <v>5334</v>
      </c>
      <c r="O2198" s="22" t="str">
        <f>HYPERLINK("https://pbs.twimg.com/profile_images/800660500656820224/2yq7SRmC_normal.jpg","View")</f>
        <v>View</v>
      </c>
      <c r="P2198" s="27"/>
    </row>
    <row r="2199">
      <c r="A2199" s="14">
        <v>43031.15568287037</v>
      </c>
      <c r="B2199" s="20" t="str">
        <f>HYPERLINK("https://twitter.com/Alexgen0359M","@Alexgen0359M")</f>
        <v>@Alexgen0359M</v>
      </c>
      <c r="C2199" s="21" t="s">
        <v>5335</v>
      </c>
      <c r="D2199" s="21" t="s">
        <v>5309</v>
      </c>
      <c r="E2199" s="22" t="str">
        <f>HYPERLINK("https://twitter.com/Alexgen0359M/status/922413334384824322","922413334384824322")</f>
        <v>922413334384824322</v>
      </c>
      <c r="F2199" s="23" t="s">
        <v>33</v>
      </c>
      <c r="G2199" s="24">
        <v>5701.0</v>
      </c>
      <c r="H2199" s="24">
        <v>6143.0</v>
      </c>
      <c r="I2199" s="24">
        <v>22.0</v>
      </c>
      <c r="J2199" s="24">
        <v>0.0</v>
      </c>
      <c r="K2199" s="23" t="s">
        <v>34</v>
      </c>
      <c r="L2199" s="25">
        <v>41572.44074074074</v>
      </c>
      <c r="M2199" s="26" t="s">
        <v>5336</v>
      </c>
      <c r="N2199" s="26" t="s">
        <v>5337</v>
      </c>
      <c r="O2199" s="22" t="str">
        <f>HYPERLINK("https://pbs.twimg.com/profile_images/447089855743655936/gSL4uPSp_normal.jpeg","View")</f>
        <v>View</v>
      </c>
      <c r="P2199" s="27"/>
    </row>
    <row r="2200">
      <c r="A2200" s="14">
        <v>43031.15577546296</v>
      </c>
      <c r="B2200" s="20" t="str">
        <f>HYPERLINK("https://twitter.com/akashgaautam","@akashgaautam")</f>
        <v>@akashgaautam</v>
      </c>
      <c r="C2200" s="21" t="s">
        <v>5338</v>
      </c>
      <c r="D2200" s="21" t="s">
        <v>42</v>
      </c>
      <c r="E2200" s="22" t="str">
        <f>HYPERLINK("https://twitter.com/akashgaautam/status/922413367767080961","922413367767080961")</f>
        <v>922413367767080961</v>
      </c>
      <c r="F2200" s="23" t="s">
        <v>33</v>
      </c>
      <c r="G2200" s="24">
        <v>348.0</v>
      </c>
      <c r="H2200" s="24">
        <v>2323.0</v>
      </c>
      <c r="I2200" s="24">
        <v>8501.0</v>
      </c>
      <c r="J2200" s="24">
        <v>0.0</v>
      </c>
      <c r="K2200" s="23" t="s">
        <v>34</v>
      </c>
      <c r="L2200" s="25">
        <v>41807.08917824074</v>
      </c>
      <c r="M2200" s="26" t="s">
        <v>1532</v>
      </c>
      <c r="N2200" s="26" t="s">
        <v>5339</v>
      </c>
      <c r="O2200" s="22" t="str">
        <f>HYPERLINK("https://pbs.twimg.com/profile_images/725415009401098241/srnCSohg_normal.jpg","View")</f>
        <v>View</v>
      </c>
      <c r="P2200" s="27"/>
    </row>
    <row r="2201">
      <c r="A2201" s="14">
        <v>43031.15586805556</v>
      </c>
      <c r="B2201" s="20" t="str">
        <f>HYPERLINK("https://twitter.com/jwomack","@jwomack")</f>
        <v>@jwomack</v>
      </c>
      <c r="C2201" s="21" t="s">
        <v>5340</v>
      </c>
      <c r="D2201" s="21" t="s">
        <v>67</v>
      </c>
      <c r="E2201" s="22" t="str">
        <f>HYPERLINK("https://twitter.com/jwomack/status/922413401690771456","922413401690771456")</f>
        <v>922413401690771456</v>
      </c>
      <c r="F2201" s="23" t="s">
        <v>43</v>
      </c>
      <c r="G2201" s="24">
        <v>4315.0</v>
      </c>
      <c r="H2201" s="24">
        <v>134.0</v>
      </c>
      <c r="I2201" s="24">
        <v>169.0</v>
      </c>
      <c r="J2201" s="24">
        <v>0.0</v>
      </c>
      <c r="K2201" s="23" t="s">
        <v>34</v>
      </c>
      <c r="L2201" s="25">
        <v>39752.28423611111</v>
      </c>
      <c r="M2201" s="26" t="s">
        <v>120</v>
      </c>
      <c r="N2201" s="26" t="s">
        <v>5341</v>
      </c>
      <c r="O2201" s="22" t="str">
        <f>HYPERLINK("https://pbs.twimg.com/profile_images/870026418373234689/pQHA7VEf_normal.jpg","View")</f>
        <v>View</v>
      </c>
      <c r="P2201" s="27"/>
    </row>
    <row r="2202">
      <c r="A2202" s="14">
        <v>43031.15586805556</v>
      </c>
      <c r="B2202" s="20" t="str">
        <f>HYPERLINK("https://twitter.com/vipul_vanzara","@vipul_vanzara")</f>
        <v>@vipul_vanzara</v>
      </c>
      <c r="C2202" s="21" t="s">
        <v>5342</v>
      </c>
      <c r="D2202" s="21" t="s">
        <v>42</v>
      </c>
      <c r="E2202" s="22" t="str">
        <f>HYPERLINK("https://twitter.com/vipul_vanzara/status/922413402491723777","922413402491723777")</f>
        <v>922413402491723777</v>
      </c>
      <c r="F2202" s="23" t="s">
        <v>33</v>
      </c>
      <c r="G2202" s="24">
        <v>24.0</v>
      </c>
      <c r="H2202" s="24">
        <v>84.0</v>
      </c>
      <c r="I2202" s="24">
        <v>8501.0</v>
      </c>
      <c r="J2202" s="24">
        <v>0.0</v>
      </c>
      <c r="K2202" s="23" t="s">
        <v>34</v>
      </c>
      <c r="L2202" s="25">
        <v>43015.98122685185</v>
      </c>
      <c r="M2202" s="26" t="s">
        <v>5343</v>
      </c>
      <c r="N2202" s="26" t="s">
        <v>5344</v>
      </c>
      <c r="O2202" s="22" t="str">
        <f>HYPERLINK("https://pbs.twimg.com/profile_images/916989586798022656/iehMHS0Z_normal.jpg","View")</f>
        <v>View</v>
      </c>
      <c r="P2202" s="27"/>
    </row>
    <row r="2203">
      <c r="A2203" s="14">
        <v>43031.15619212963</v>
      </c>
      <c r="B2203" s="20" t="str">
        <f>HYPERLINK("https://twitter.com/lovelychaitu","@lovelychaitu")</f>
        <v>@lovelychaitu</v>
      </c>
      <c r="C2203" s="21" t="s">
        <v>5345</v>
      </c>
      <c r="D2203" s="21" t="s">
        <v>42</v>
      </c>
      <c r="E2203" s="22" t="str">
        <f>HYPERLINK("https://twitter.com/lovelychaitu/status/922413520657907712","922413520657907712")</f>
        <v>922413520657907712</v>
      </c>
      <c r="F2203" s="23" t="s">
        <v>33</v>
      </c>
      <c r="G2203" s="24">
        <v>212.0</v>
      </c>
      <c r="H2203" s="24">
        <v>1399.0</v>
      </c>
      <c r="I2203" s="24">
        <v>8501.0</v>
      </c>
      <c r="J2203" s="24">
        <v>0.0</v>
      </c>
      <c r="K2203" s="23" t="s">
        <v>34</v>
      </c>
      <c r="L2203" s="25">
        <v>40080.228379629625</v>
      </c>
      <c r="M2203" s="26" t="s">
        <v>5346</v>
      </c>
      <c r="N2203" s="28"/>
      <c r="O2203" s="22" t="str">
        <f>HYPERLINK("https://pbs.twimg.com/profile_images/835614658/prem_normal.jpg","View")</f>
        <v>View</v>
      </c>
      <c r="P2203" s="27"/>
    </row>
    <row r="2204">
      <c r="A2204" s="14">
        <v>43031.15620370371</v>
      </c>
      <c r="B2204" s="20" t="str">
        <f>HYPERLINK("https://twitter.com/DostMer1","@DostMer1")</f>
        <v>@DostMer1</v>
      </c>
      <c r="C2204" s="21" t="s">
        <v>5347</v>
      </c>
      <c r="D2204" s="21" t="s">
        <v>42</v>
      </c>
      <c r="E2204" s="22" t="str">
        <f>HYPERLINK("https://twitter.com/DostMer1/status/922413523673772032","922413523673772032")</f>
        <v>922413523673772032</v>
      </c>
      <c r="F2204" s="23" t="s">
        <v>33</v>
      </c>
      <c r="G2204" s="24">
        <v>373.0</v>
      </c>
      <c r="H2204" s="24">
        <v>1818.0</v>
      </c>
      <c r="I2204" s="24">
        <v>8501.0</v>
      </c>
      <c r="J2204" s="24">
        <v>0.0</v>
      </c>
      <c r="K2204" s="23" t="s">
        <v>34</v>
      </c>
      <c r="L2204" s="25">
        <v>42978.25729166667</v>
      </c>
      <c r="M2204" s="26" t="s">
        <v>5348</v>
      </c>
      <c r="N2204" s="26" t="s">
        <v>5349</v>
      </c>
      <c r="O2204" s="22" t="str">
        <f>HYPERLINK("https://pbs.twimg.com/profile_images/912992362867171328/eY3WJRiL_normal.jpg","View")</f>
        <v>View</v>
      </c>
      <c r="P2204" s="27"/>
    </row>
    <row r="2205">
      <c r="A2205" s="14">
        <v>43031.15626157407</v>
      </c>
      <c r="B2205" s="20" t="str">
        <f>HYPERLINK("https://twitter.com/cong_mukt_desh","@cong_mukt_desh")</f>
        <v>@cong_mukt_desh</v>
      </c>
      <c r="C2205" s="21" t="s">
        <v>5350</v>
      </c>
      <c r="D2205" s="21" t="s">
        <v>42</v>
      </c>
      <c r="E2205" s="22" t="str">
        <f>HYPERLINK("https://twitter.com/cong_mukt_desh/status/922413546641678336","922413546641678336")</f>
        <v>922413546641678336</v>
      </c>
      <c r="F2205" s="23" t="s">
        <v>55</v>
      </c>
      <c r="G2205" s="24">
        <v>11.0</v>
      </c>
      <c r="H2205" s="24">
        <v>187.0</v>
      </c>
      <c r="I2205" s="24">
        <v>8501.0</v>
      </c>
      <c r="J2205" s="24">
        <v>0.0</v>
      </c>
      <c r="K2205" s="23" t="s">
        <v>34</v>
      </c>
      <c r="L2205" s="25">
        <v>42774.97456018519</v>
      </c>
      <c r="M2205" s="28"/>
      <c r="N2205" s="28"/>
      <c r="O2205" s="22" t="str">
        <f>HYPERLINK("https://abs.twimg.com/sticky/default_profile_images/default_profile_normal.png","View")</f>
        <v>View</v>
      </c>
      <c r="P2205" s="27"/>
    </row>
    <row r="2206">
      <c r="A2206" s="14">
        <v>43031.15650462963</v>
      </c>
      <c r="B2206" s="20" t="str">
        <f>HYPERLINK("https://twitter.com/Ayyappan_C","@Ayyappan_C")</f>
        <v>@Ayyappan_C</v>
      </c>
      <c r="C2206" s="21" t="s">
        <v>5351</v>
      </c>
      <c r="D2206" s="21" t="s">
        <v>42</v>
      </c>
      <c r="E2206" s="22" t="str">
        <f>HYPERLINK("https://twitter.com/Ayyappan_C/status/922413634101198849","922413634101198849")</f>
        <v>922413634101198849</v>
      </c>
      <c r="F2206" s="23" t="s">
        <v>55</v>
      </c>
      <c r="G2206" s="24">
        <v>26.0</v>
      </c>
      <c r="H2206" s="24">
        <v>52.0</v>
      </c>
      <c r="I2206" s="24">
        <v>8501.0</v>
      </c>
      <c r="J2206" s="24">
        <v>0.0</v>
      </c>
      <c r="K2206" s="23" t="s">
        <v>34</v>
      </c>
      <c r="L2206" s="25">
        <v>40074.895995370374</v>
      </c>
      <c r="M2206" s="28"/>
      <c r="N2206" s="28"/>
      <c r="O2206" s="22" t="str">
        <f>HYPERLINK("https://pbs.twimg.com/profile_images/628096842073440257/L1pt7PQv_normal.jpg","View")</f>
        <v>View</v>
      </c>
      <c r="P2206" s="27"/>
    </row>
    <row r="2207">
      <c r="A2207" s="14">
        <v>43031.15652777778</v>
      </c>
      <c r="B2207" s="20" t="str">
        <f>HYPERLINK("https://twitter.com/eigo00001","@eigo00001")</f>
        <v>@eigo00001</v>
      </c>
      <c r="C2207" s="21" t="s">
        <v>5352</v>
      </c>
      <c r="D2207" s="21" t="s">
        <v>5353</v>
      </c>
      <c r="E2207" s="22" t="str">
        <f>HYPERLINK("https://twitter.com/eigo00001/status/922413643353833472","922413643353833472")</f>
        <v>922413643353833472</v>
      </c>
      <c r="F2207" s="23" t="s">
        <v>55</v>
      </c>
      <c r="G2207" s="24">
        <v>354.0</v>
      </c>
      <c r="H2207" s="24">
        <v>869.0</v>
      </c>
      <c r="I2207" s="24">
        <v>0.0</v>
      </c>
      <c r="J2207" s="24">
        <v>0.0</v>
      </c>
      <c r="K2207" s="23" t="s">
        <v>34</v>
      </c>
      <c r="L2207" s="25">
        <v>40765.23951388889</v>
      </c>
      <c r="M2207" s="26" t="s">
        <v>5354</v>
      </c>
      <c r="N2207" s="26" t="s">
        <v>5355</v>
      </c>
      <c r="O2207" s="22" t="str">
        <f>HYPERLINK("https://pbs.twimg.com/profile_images/912724625158582272/zoZtqV9b_normal.jpg","View")</f>
        <v>View</v>
      </c>
      <c r="P2207" s="27"/>
    </row>
    <row r="2208">
      <c r="A2208" s="14">
        <v>43031.15671296296</v>
      </c>
      <c r="B2208" s="20" t="str">
        <f>HYPERLINK("https://twitter.com/keshyart","@keshyart")</f>
        <v>@keshyart</v>
      </c>
      <c r="C2208" s="21" t="s">
        <v>5356</v>
      </c>
      <c r="D2208" s="21" t="s">
        <v>5309</v>
      </c>
      <c r="E2208" s="22" t="str">
        <f>HYPERLINK("https://twitter.com/keshyart/status/922413709309329409","922413709309329409")</f>
        <v>922413709309329409</v>
      </c>
      <c r="F2208" s="23" t="s">
        <v>33</v>
      </c>
      <c r="G2208" s="24">
        <v>623.0</v>
      </c>
      <c r="H2208" s="24">
        <v>2676.0</v>
      </c>
      <c r="I2208" s="24">
        <v>22.0</v>
      </c>
      <c r="J2208" s="24">
        <v>0.0</v>
      </c>
      <c r="K2208" s="23" t="s">
        <v>34</v>
      </c>
      <c r="L2208" s="25">
        <v>42001.92078703704</v>
      </c>
      <c r="M2208" s="26" t="s">
        <v>5357</v>
      </c>
      <c r="N2208" s="26" t="s">
        <v>5358</v>
      </c>
      <c r="O2208" s="22" t="str">
        <f>HYPERLINK("https://pbs.twimg.com/profile_images/821477437741535233/UWYMnnf5_normal.png","View")</f>
        <v>View</v>
      </c>
      <c r="P2208" s="27"/>
    </row>
    <row r="2209">
      <c r="A2209" s="14">
        <v>43031.15675925926</v>
      </c>
      <c r="B2209" s="20" t="str">
        <f>HYPERLINK("https://twitter.com/bunty345896","@bunty345896")</f>
        <v>@bunty345896</v>
      </c>
      <c r="C2209" s="21" t="s">
        <v>5359</v>
      </c>
      <c r="D2209" s="21" t="s">
        <v>42</v>
      </c>
      <c r="E2209" s="22" t="str">
        <f>HYPERLINK("https://twitter.com/bunty345896/status/922413727026102272","922413727026102272")</f>
        <v>922413727026102272</v>
      </c>
      <c r="F2209" s="23" t="s">
        <v>33</v>
      </c>
      <c r="G2209" s="24">
        <v>110.0</v>
      </c>
      <c r="H2209" s="24">
        <v>422.0</v>
      </c>
      <c r="I2209" s="24">
        <v>8501.0</v>
      </c>
      <c r="J2209" s="24">
        <v>0.0</v>
      </c>
      <c r="K2209" s="23" t="s">
        <v>34</v>
      </c>
      <c r="L2209" s="25">
        <v>42704.39659722222</v>
      </c>
      <c r="M2209" s="26" t="s">
        <v>5360</v>
      </c>
      <c r="N2209" s="26" t="s">
        <v>5361</v>
      </c>
      <c r="O2209" s="22" t="str">
        <f>HYPERLINK("https://pbs.twimg.com/profile_images/922783730183258113/60vUJUVX_normal.jpg","View")</f>
        <v>View</v>
      </c>
      <c r="P2209" s="27"/>
    </row>
    <row r="2210">
      <c r="A2210" s="14">
        <v>43031.156793981485</v>
      </c>
      <c r="B2210" s="20" t="str">
        <f>HYPERLINK("https://twitter.com/UK_NW_National","@UK_NW_National")</f>
        <v>@UK_NW_National</v>
      </c>
      <c r="C2210" s="21" t="s">
        <v>5362</v>
      </c>
      <c r="D2210" s="21" t="s">
        <v>5363</v>
      </c>
      <c r="E2210" s="22" t="str">
        <f>HYPERLINK("https://twitter.com/UK_NW_National/status/922413739680419840","922413739680419840")</f>
        <v>922413739680419840</v>
      </c>
      <c r="F2210" s="23" t="s">
        <v>427</v>
      </c>
      <c r="G2210" s="24">
        <v>311.0</v>
      </c>
      <c r="H2210" s="24">
        <v>969.0</v>
      </c>
      <c r="I2210" s="24">
        <v>0.0</v>
      </c>
      <c r="J2210" s="24">
        <v>0.0</v>
      </c>
      <c r="K2210" s="23" t="s">
        <v>34</v>
      </c>
      <c r="L2210" s="25">
        <v>41329.94893518518</v>
      </c>
      <c r="M2210" s="26" t="s">
        <v>5050</v>
      </c>
      <c r="N2210" s="26" t="s">
        <v>5364</v>
      </c>
      <c r="O2210" s="22" t="str">
        <f>HYPERLINK("https://pbs.twimg.com/profile_images/3305397704/8b6685fccc316b16e9068018639c7d6a_normal.png","View")</f>
        <v>View</v>
      </c>
      <c r="P2210" s="27"/>
    </row>
    <row r="2211">
      <c r="A2211" s="14">
        <v>43031.15684027778</v>
      </c>
      <c r="B2211" s="20" t="str">
        <f>HYPERLINK("https://twitter.com/PiyushGoyalArmy","@PiyushGoyalArmy")</f>
        <v>@PiyushGoyalArmy</v>
      </c>
      <c r="C2211" s="21" t="s">
        <v>5365</v>
      </c>
      <c r="D2211" s="21" t="s">
        <v>42</v>
      </c>
      <c r="E2211" s="22" t="str">
        <f>HYPERLINK("https://twitter.com/PiyushGoyalArmy/status/922413755513708544","922413755513708544")</f>
        <v>922413755513708544</v>
      </c>
      <c r="F2211" s="23" t="s">
        <v>33</v>
      </c>
      <c r="G2211" s="24">
        <v>115.0</v>
      </c>
      <c r="H2211" s="24">
        <v>2.0</v>
      </c>
      <c r="I2211" s="24">
        <v>8501.0</v>
      </c>
      <c r="J2211" s="24">
        <v>0.0</v>
      </c>
      <c r="K2211" s="23" t="s">
        <v>34</v>
      </c>
      <c r="L2211" s="25">
        <v>42836.951203703706</v>
      </c>
      <c r="M2211" s="26" t="s">
        <v>204</v>
      </c>
      <c r="N2211" s="26" t="s">
        <v>5366</v>
      </c>
      <c r="O2211" s="22" t="str">
        <f>HYPERLINK("https://pbs.twimg.com/profile_images/921694327675404288/VKuXyrcu_normal.jpg","View")</f>
        <v>View</v>
      </c>
      <c r="P2211" s="27"/>
    </row>
    <row r="2212">
      <c r="A2212" s="14">
        <v>43031.156875</v>
      </c>
      <c r="B2212" s="20" t="str">
        <f>HYPERLINK("https://twitter.com/WomenWireless","@WomenWireless")</f>
        <v>@WomenWireless</v>
      </c>
      <c r="C2212" s="21" t="s">
        <v>5367</v>
      </c>
      <c r="D2212" s="21" t="s">
        <v>5368</v>
      </c>
      <c r="E2212" s="22" t="str">
        <f>HYPERLINK("https://twitter.com/WomenWireless/status/922413767656435712","922413767656435712")</f>
        <v>922413767656435712</v>
      </c>
      <c r="F2212" s="23" t="s">
        <v>427</v>
      </c>
      <c r="G2212" s="24">
        <v>188.0</v>
      </c>
      <c r="H2212" s="24">
        <v>39.0</v>
      </c>
      <c r="I2212" s="24">
        <v>0.0</v>
      </c>
      <c r="J2212" s="24">
        <v>0.0</v>
      </c>
      <c r="K2212" s="23" t="s">
        <v>34</v>
      </c>
      <c r="L2212" s="25">
        <v>42179.51578703704</v>
      </c>
      <c r="M2212" s="28"/>
      <c r="N2212" s="28"/>
      <c r="O2212" s="22" t="str">
        <f>HYPERLINK("https://pbs.twimg.com/profile_images/613790451380781056/2jEOWe88_normal.jpg","View")</f>
        <v>View</v>
      </c>
      <c r="P2212" s="27"/>
    </row>
    <row r="2213">
      <c r="A2213" s="14">
        <v>43031.15697916667</v>
      </c>
      <c r="B2213" s="20" t="str">
        <f>HYPERLINK("https://twitter.com/newlytruly","@newlytruly")</f>
        <v>@newlytruly</v>
      </c>
      <c r="C2213" s="21" t="s">
        <v>1845</v>
      </c>
      <c r="D2213" s="21" t="s">
        <v>5262</v>
      </c>
      <c r="E2213" s="22" t="str">
        <f>HYPERLINK("https://twitter.com/newlytruly/status/922413805262454784","922413805262454784")</f>
        <v>922413805262454784</v>
      </c>
      <c r="F2213" s="23" t="s">
        <v>33</v>
      </c>
      <c r="G2213" s="24">
        <v>1232.0</v>
      </c>
      <c r="H2213" s="24">
        <v>2652.0</v>
      </c>
      <c r="I2213" s="24">
        <v>22.0</v>
      </c>
      <c r="J2213" s="24">
        <v>0.0</v>
      </c>
      <c r="K2213" s="23" t="s">
        <v>34</v>
      </c>
      <c r="L2213" s="25">
        <v>40376.9275</v>
      </c>
      <c r="M2213" s="26" t="s">
        <v>1847</v>
      </c>
      <c r="N2213" s="26" t="s">
        <v>1848</v>
      </c>
      <c r="O2213" s="22" t="str">
        <f>HYPERLINK("https://pbs.twimg.com/profile_images/885829128967999488/USvbihlI_normal.jpg","View")</f>
        <v>View</v>
      </c>
      <c r="P2213" s="27"/>
    </row>
    <row r="2214">
      <c r="A2214" s="14">
        <v>43031.15703703703</v>
      </c>
      <c r="B2214" s="20" t="str">
        <f>HYPERLINK("https://twitter.com/VeneeChay","@VeneeChay")</f>
        <v>@VeneeChay</v>
      </c>
      <c r="C2214" s="21" t="s">
        <v>5369</v>
      </c>
      <c r="D2214" s="21" t="s">
        <v>32</v>
      </c>
      <c r="E2214" s="22" t="str">
        <f>HYPERLINK("https://twitter.com/VeneeChay/status/922413827815280645","922413827815280645")</f>
        <v>922413827815280645</v>
      </c>
      <c r="F2214" s="23" t="s">
        <v>33</v>
      </c>
      <c r="G2214" s="24">
        <v>1225.0</v>
      </c>
      <c r="H2214" s="24">
        <v>511.0</v>
      </c>
      <c r="I2214" s="24">
        <v>471.0</v>
      </c>
      <c r="J2214" s="24">
        <v>0.0</v>
      </c>
      <c r="K2214" s="23" t="s">
        <v>34</v>
      </c>
      <c r="L2214" s="25">
        <v>41713.52179398148</v>
      </c>
      <c r="M2214" s="26" t="s">
        <v>843</v>
      </c>
      <c r="N2214" s="26" t="s">
        <v>5370</v>
      </c>
      <c r="O2214" s="22" t="str">
        <f>HYPERLINK("https://pbs.twimg.com/profile_images/918092330732793856/4F_bouiR_normal.jpg","View")</f>
        <v>View</v>
      </c>
      <c r="P2214" s="27"/>
    </row>
    <row r="2215">
      <c r="A2215" s="14">
        <v>43031.15709490741</v>
      </c>
      <c r="B2215" s="20" t="str">
        <f>HYPERLINK("https://twitter.com/ThiruSathasivam","@ThiruSathasivam")</f>
        <v>@ThiruSathasivam</v>
      </c>
      <c r="C2215" s="21" t="s">
        <v>5371</v>
      </c>
      <c r="D2215" s="21" t="s">
        <v>42</v>
      </c>
      <c r="E2215" s="22" t="str">
        <f>HYPERLINK("https://twitter.com/ThiruSathasivam/status/922413848878911489","922413848878911489")</f>
        <v>922413848878911489</v>
      </c>
      <c r="F2215" s="23" t="s">
        <v>33</v>
      </c>
      <c r="G2215" s="24">
        <v>41.0</v>
      </c>
      <c r="H2215" s="24">
        <v>152.0</v>
      </c>
      <c r="I2215" s="24">
        <v>8501.0</v>
      </c>
      <c r="J2215" s="24">
        <v>0.0</v>
      </c>
      <c r="K2215" s="23" t="s">
        <v>34</v>
      </c>
      <c r="L2215" s="25">
        <v>40983.0571412037</v>
      </c>
      <c r="M2215" s="26" t="s">
        <v>5372</v>
      </c>
      <c r="N2215" s="28"/>
      <c r="O2215" s="22" t="str">
        <f>HYPERLINK("https://pbs.twimg.com/profile_images/903526751946424320/1Xtzqz48_normal.jpg","View")</f>
        <v>View</v>
      </c>
      <c r="P2215" s="27"/>
    </row>
    <row r="2216">
      <c r="A2216" s="14">
        <v>43031.15730324074</v>
      </c>
      <c r="B2216" s="20" t="str">
        <f>HYPERLINK("https://twitter.com/fuckabe_bot","@fuckabe_bot")</f>
        <v>@fuckabe_bot</v>
      </c>
      <c r="C2216" s="21" t="s">
        <v>5373</v>
      </c>
      <c r="D2216" s="21" t="s">
        <v>5309</v>
      </c>
      <c r="E2216" s="22" t="str">
        <f>HYPERLINK("https://twitter.com/fuckabe_bot/status/922413921809530880","922413921809530880")</f>
        <v>922413921809530880</v>
      </c>
      <c r="F2216" s="23" t="s">
        <v>33</v>
      </c>
      <c r="G2216" s="24">
        <v>42.0</v>
      </c>
      <c r="H2216" s="24">
        <v>102.0</v>
      </c>
      <c r="I2216" s="24">
        <v>22.0</v>
      </c>
      <c r="J2216" s="24">
        <v>0.0</v>
      </c>
      <c r="K2216" s="23" t="s">
        <v>34</v>
      </c>
      <c r="L2216" s="25">
        <v>42993.71171296296</v>
      </c>
      <c r="M2216" s="28"/>
      <c r="N2216" s="26" t="s">
        <v>5374</v>
      </c>
      <c r="O2216" s="22" t="str">
        <f>HYPERLINK("https://pbs.twimg.com/profile_images/908974832787767297/LVxVJrXG_normal.jpg","View")</f>
        <v>View</v>
      </c>
      <c r="P2216" s="27"/>
    </row>
    <row r="2217">
      <c r="A2217" s="14">
        <v>43031.15730324074</v>
      </c>
      <c r="B2217" s="20" t="str">
        <f>HYPERLINK("https://twitter.com/A_JParker","@A_JParker")</f>
        <v>@A_JParker</v>
      </c>
      <c r="C2217" s="21" t="s">
        <v>5375</v>
      </c>
      <c r="D2217" s="21" t="s">
        <v>5376</v>
      </c>
      <c r="E2217" s="22" t="str">
        <f>HYPERLINK("https://twitter.com/A_JParker/status/922413922505826304","922413922505826304")</f>
        <v>922413922505826304</v>
      </c>
      <c r="F2217" s="23" t="s">
        <v>33</v>
      </c>
      <c r="G2217" s="24">
        <v>884.0</v>
      </c>
      <c r="H2217" s="24">
        <v>523.0</v>
      </c>
      <c r="I2217" s="24">
        <v>5.0</v>
      </c>
      <c r="J2217" s="24">
        <v>0.0</v>
      </c>
      <c r="K2217" s="23" t="s">
        <v>34</v>
      </c>
      <c r="L2217" s="25">
        <v>41870.23310185185</v>
      </c>
      <c r="M2217" s="26" t="s">
        <v>3202</v>
      </c>
      <c r="N2217" s="26" t="s">
        <v>5377</v>
      </c>
      <c r="O2217" s="22" t="str">
        <f>HYPERLINK("https://pbs.twimg.com/profile_images/504493529507176448/aTHwM3V2_normal.jpeg","View")</f>
        <v>View</v>
      </c>
      <c r="P2217" s="27"/>
    </row>
    <row r="2218">
      <c r="A2218" s="14">
        <v>43031.15730324074</v>
      </c>
      <c r="B2218" s="20" t="str">
        <f>HYPERLINK("https://twitter.com/thefxcoach","@thefxcoach")</f>
        <v>@thefxcoach</v>
      </c>
      <c r="C2218" s="21" t="s">
        <v>5378</v>
      </c>
      <c r="D2218" s="21" t="s">
        <v>5379</v>
      </c>
      <c r="E2218" s="22" t="str">
        <f>HYPERLINK("https://twitter.com/thefxcoach/status/922413923965505539","922413923965505539")</f>
        <v>922413923965505539</v>
      </c>
      <c r="F2218" s="23" t="s">
        <v>187</v>
      </c>
      <c r="G2218" s="24">
        <v>1142.0</v>
      </c>
      <c r="H2218" s="24">
        <v>934.0</v>
      </c>
      <c r="I2218" s="24">
        <v>0.0</v>
      </c>
      <c r="J2218" s="24">
        <v>0.0</v>
      </c>
      <c r="K2218" s="23" t="s">
        <v>34</v>
      </c>
      <c r="L2218" s="25">
        <v>42564.973761574074</v>
      </c>
      <c r="M2218" s="26" t="s">
        <v>68</v>
      </c>
      <c r="N2218" s="26" t="s">
        <v>5380</v>
      </c>
      <c r="O2218" s="22" t="str">
        <f>HYPERLINK("https://pbs.twimg.com/profile_images/812201323114340356/NDAtTyhV_normal.jpg","View")</f>
        <v>View</v>
      </c>
      <c r="P2218" s="27"/>
    </row>
    <row r="2219">
      <c r="A2219" s="14">
        <v>43031.157314814816</v>
      </c>
      <c r="B2219" s="20" t="str">
        <f>HYPERLINK("https://twitter.com/mantosh_","@mantosh_")</f>
        <v>@mantosh_</v>
      </c>
      <c r="C2219" s="21" t="s">
        <v>5381</v>
      </c>
      <c r="D2219" s="21" t="s">
        <v>42</v>
      </c>
      <c r="E2219" s="22" t="str">
        <f>HYPERLINK("https://twitter.com/mantosh_/status/922413925462769665","922413925462769665")</f>
        <v>922413925462769665</v>
      </c>
      <c r="F2219" s="23" t="s">
        <v>39</v>
      </c>
      <c r="G2219" s="24">
        <v>188.0</v>
      </c>
      <c r="H2219" s="24">
        <v>786.0</v>
      </c>
      <c r="I2219" s="24">
        <v>8501.0</v>
      </c>
      <c r="J2219" s="24">
        <v>0.0</v>
      </c>
      <c r="K2219" s="23" t="s">
        <v>34</v>
      </c>
      <c r="L2219" s="25">
        <v>40953.49613425926</v>
      </c>
      <c r="M2219" s="26" t="s">
        <v>5382</v>
      </c>
      <c r="N2219" s="26" t="s">
        <v>5383</v>
      </c>
      <c r="O2219" s="22" t="str">
        <f>HYPERLINK("https://pbs.twimg.com/profile_images/864070110432043009/dtBiwG2p_normal.jpg","View")</f>
        <v>View</v>
      </c>
      <c r="P2219" s="27"/>
    </row>
    <row r="2220">
      <c r="A2220" s="14">
        <v>43031.157430555555</v>
      </c>
      <c r="B2220" s="20" t="str">
        <f>HYPERLINK("https://twitter.com/jessywwang","@jessywwang")</f>
        <v>@jessywwang</v>
      </c>
      <c r="C2220" s="21" t="s">
        <v>5384</v>
      </c>
      <c r="D2220" s="21" t="s">
        <v>5262</v>
      </c>
      <c r="E2220" s="22" t="str">
        <f>HYPERLINK("https://twitter.com/jessywwang/status/922413970236915712","922413970236915712")</f>
        <v>922413970236915712</v>
      </c>
      <c r="F2220" s="23" t="s">
        <v>39</v>
      </c>
      <c r="G2220" s="24">
        <v>52.0</v>
      </c>
      <c r="H2220" s="24">
        <v>186.0</v>
      </c>
      <c r="I2220" s="24">
        <v>22.0</v>
      </c>
      <c r="J2220" s="24">
        <v>0.0</v>
      </c>
      <c r="K2220" s="23" t="s">
        <v>34</v>
      </c>
      <c r="L2220" s="25">
        <v>41270.922534722224</v>
      </c>
      <c r="M2220" s="26" t="s">
        <v>4186</v>
      </c>
      <c r="N2220" s="26" t="s">
        <v>5385</v>
      </c>
      <c r="O2220" s="22" t="str">
        <f>HYPERLINK("https://pbs.twimg.com/profile_images/904611975337934849/smGu9rfe_normal.jpg","View")</f>
        <v>View</v>
      </c>
      <c r="P2220" s="27"/>
    </row>
    <row r="2221">
      <c r="A2221" s="14">
        <v>43031.157430555555</v>
      </c>
      <c r="B2221" s="20" t="str">
        <f>HYPERLINK("https://twitter.com/KenOngiri","@KenOngiri")</f>
        <v>@KenOngiri</v>
      </c>
      <c r="C2221" s="21" t="s">
        <v>5386</v>
      </c>
      <c r="D2221" s="21" t="s">
        <v>5387</v>
      </c>
      <c r="E2221" s="22" t="str">
        <f>HYPERLINK("https://twitter.com/KenOngiri/status/922413970316840960","922413970316840960")</f>
        <v>922413970316840960</v>
      </c>
      <c r="F2221" s="23" t="s">
        <v>33</v>
      </c>
      <c r="G2221" s="24">
        <v>4.0</v>
      </c>
      <c r="H2221" s="24">
        <v>101.0</v>
      </c>
      <c r="I2221" s="24">
        <v>1.0</v>
      </c>
      <c r="J2221" s="24">
        <v>1.0</v>
      </c>
      <c r="K2221" s="23" t="s">
        <v>34</v>
      </c>
      <c r="L2221" s="25">
        <v>42996.38381944444</v>
      </c>
      <c r="M2221" s="26" t="s">
        <v>114</v>
      </c>
      <c r="N2221" s="26" t="s">
        <v>5388</v>
      </c>
      <c r="O2221" s="22" t="str">
        <f>HYPERLINK("https://pbs.twimg.com/profile_images/919161503349182464/limhhDHi_normal.jpg","View")</f>
        <v>View</v>
      </c>
      <c r="P2221" s="27"/>
    </row>
    <row r="2222">
      <c r="A2222" s="14">
        <v>43031.157488425924</v>
      </c>
      <c r="B2222" s="20" t="str">
        <f>HYPERLINK("https://twitter.com/SealamReddy","@SealamReddy")</f>
        <v>@SealamReddy</v>
      </c>
      <c r="C2222" s="21" t="s">
        <v>5389</v>
      </c>
      <c r="D2222" s="21" t="s">
        <v>5390</v>
      </c>
      <c r="E2222" s="22" t="str">
        <f>HYPERLINK("https://twitter.com/SealamReddy/status/922413989019004929","922413989019004929")</f>
        <v>922413989019004929</v>
      </c>
      <c r="F2222" s="23" t="s">
        <v>55</v>
      </c>
      <c r="G2222" s="24">
        <v>294.0</v>
      </c>
      <c r="H2222" s="24">
        <v>976.0</v>
      </c>
      <c r="I2222" s="24">
        <v>0.0</v>
      </c>
      <c r="J2222" s="24">
        <v>0.0</v>
      </c>
      <c r="K2222" s="23" t="s">
        <v>34</v>
      </c>
      <c r="L2222" s="25">
        <v>41630.44943287037</v>
      </c>
      <c r="M2222" s="26" t="s">
        <v>5391</v>
      </c>
      <c r="N2222" s="26" t="s">
        <v>5392</v>
      </c>
      <c r="O2222" s="22" t="str">
        <f>HYPERLINK("https://pbs.twimg.com/profile_images/914018694124134400/tEXgvfT0_normal.jpg","View")</f>
        <v>View</v>
      </c>
      <c r="P2222" s="27"/>
    </row>
    <row r="2223">
      <c r="A2223" s="14">
        <v>43031.1575</v>
      </c>
      <c r="B2223" s="20" t="str">
        <f>HYPERLINK("https://twitter.com/tipi_1","@tipi_1")</f>
        <v>@tipi_1</v>
      </c>
      <c r="C2223" s="21" t="s">
        <v>5393</v>
      </c>
      <c r="D2223" s="21" t="s">
        <v>42</v>
      </c>
      <c r="E2223" s="22" t="str">
        <f>HYPERLINK("https://twitter.com/tipi_1/status/922413995545497605","922413995545497605")</f>
        <v>922413995545497605</v>
      </c>
      <c r="F2223" s="23" t="s">
        <v>55</v>
      </c>
      <c r="G2223" s="24">
        <v>976.0</v>
      </c>
      <c r="H2223" s="24">
        <v>2354.0</v>
      </c>
      <c r="I2223" s="24">
        <v>8501.0</v>
      </c>
      <c r="J2223" s="24">
        <v>0.0</v>
      </c>
      <c r="K2223" s="23" t="s">
        <v>34</v>
      </c>
      <c r="L2223" s="25">
        <v>39634.55489583333</v>
      </c>
      <c r="M2223" s="28"/>
      <c r="N2223" s="26" t="s">
        <v>5394</v>
      </c>
      <c r="O2223" s="22" t="str">
        <f>HYPERLINK("https://pbs.twimg.com/profile_images/613819814218465280/UQIC8dHE_normal.jpg","View")</f>
        <v>View</v>
      </c>
      <c r="P2223" s="27"/>
    </row>
    <row r="2224">
      <c r="A2224" s="14">
        <v>43031.15755787037</v>
      </c>
      <c r="B2224" s="20" t="str">
        <f>HYPERLINK("https://twitter.com/7Lavande","@7Lavande")</f>
        <v>@7Lavande</v>
      </c>
      <c r="C2224" s="21" t="s">
        <v>5395</v>
      </c>
      <c r="D2224" s="21" t="s">
        <v>42</v>
      </c>
      <c r="E2224" s="22" t="str">
        <f>HYPERLINK("https://twitter.com/7Lavande/status/922414014738571265","922414014738571265")</f>
        <v>922414014738571265</v>
      </c>
      <c r="F2224" s="23" t="s">
        <v>39</v>
      </c>
      <c r="G2224" s="24">
        <v>46.0</v>
      </c>
      <c r="H2224" s="24">
        <v>52.0</v>
      </c>
      <c r="I2224" s="24">
        <v>8501.0</v>
      </c>
      <c r="J2224" s="24">
        <v>0.0</v>
      </c>
      <c r="K2224" s="23" t="s">
        <v>34</v>
      </c>
      <c r="L2224" s="25">
        <v>42818.87436342593</v>
      </c>
      <c r="M2224" s="26" t="s">
        <v>5396</v>
      </c>
      <c r="N2224" s="26" t="s">
        <v>5397</v>
      </c>
      <c r="O2224" s="22" t="str">
        <f>HYPERLINK("https://pbs.twimg.com/profile_images/850865160449179648/2Ar5Vo53_normal.jpg","View")</f>
        <v>View</v>
      </c>
      <c r="P2224" s="27"/>
    </row>
    <row r="2225">
      <c r="A2225" s="14">
        <v>43031.15763888889</v>
      </c>
      <c r="B2225" s="20" t="str">
        <f>HYPERLINK("https://twitter.com/ritorbandco","@ritorbandco")</f>
        <v>@ritorbandco</v>
      </c>
      <c r="C2225" s="21" t="s">
        <v>5398</v>
      </c>
      <c r="D2225" s="21" t="s">
        <v>163</v>
      </c>
      <c r="E2225" s="22" t="str">
        <f>HYPERLINK("https://twitter.com/ritorbandco/status/922414044941762561","922414044941762561")</f>
        <v>922414044941762561</v>
      </c>
      <c r="F2225" s="23" t="s">
        <v>33</v>
      </c>
      <c r="G2225" s="24">
        <v>125.0</v>
      </c>
      <c r="H2225" s="24">
        <v>192.0</v>
      </c>
      <c r="I2225" s="24">
        <v>1005.0</v>
      </c>
      <c r="J2225" s="24">
        <v>0.0</v>
      </c>
      <c r="K2225" s="23" t="s">
        <v>34</v>
      </c>
      <c r="L2225" s="25">
        <v>42335.49506944444</v>
      </c>
      <c r="M2225" s="26" t="s">
        <v>1137</v>
      </c>
      <c r="N2225" s="26" t="s">
        <v>5399</v>
      </c>
      <c r="O2225" s="22" t="str">
        <f>HYPERLINK("https://pbs.twimg.com/profile_images/670330674377678848/CYaA3tsN_normal.jpg","View")</f>
        <v>View</v>
      </c>
      <c r="P2225" s="27"/>
    </row>
    <row r="2226">
      <c r="A2226" s="14">
        <v>43031.15766203703</v>
      </c>
      <c r="B2226" s="20" t="str">
        <f>HYPERLINK("https://twitter.com/mushroom0508","@mushroom0508")</f>
        <v>@mushroom0508</v>
      </c>
      <c r="C2226" s="21" t="s">
        <v>5400</v>
      </c>
      <c r="D2226" s="21" t="s">
        <v>2555</v>
      </c>
      <c r="E2226" s="22" t="str">
        <f>HYPERLINK("https://twitter.com/mushroom0508/status/922414054060068864","922414054060068864")</f>
        <v>922414054060068864</v>
      </c>
      <c r="F2226" s="23" t="s">
        <v>33</v>
      </c>
      <c r="G2226" s="24">
        <v>57.0</v>
      </c>
      <c r="H2226" s="24">
        <v>139.0</v>
      </c>
      <c r="I2226" s="24">
        <v>58.0</v>
      </c>
      <c r="J2226" s="24">
        <v>0.0</v>
      </c>
      <c r="K2226" s="23" t="s">
        <v>34</v>
      </c>
      <c r="L2226" s="25">
        <v>40296.783842592595</v>
      </c>
      <c r="M2226" s="26" t="s">
        <v>5401</v>
      </c>
      <c r="N2226" s="26" t="s">
        <v>5402</v>
      </c>
      <c r="O2226" s="22" t="str">
        <f>HYPERLINK("https://pbs.twimg.com/profile_images/838712087551451137/tJdijawN_normal.jpg","View")</f>
        <v>View</v>
      </c>
      <c r="P2226" s="27"/>
    </row>
    <row r="2227">
      <c r="A2227" s="14">
        <v>43031.15770833333</v>
      </c>
      <c r="B2227" s="20" t="str">
        <f>HYPERLINK("https://twitter.com/9maksimlebedev","@9maksimlebedev")</f>
        <v>@9maksimlebedev</v>
      </c>
      <c r="C2227" s="21" t="s">
        <v>5403</v>
      </c>
      <c r="D2227" s="21" t="s">
        <v>2555</v>
      </c>
      <c r="E2227" s="22" t="str">
        <f>HYPERLINK("https://twitter.com/9maksimlebedev/status/922414069709127681","922414069709127681")</f>
        <v>922414069709127681</v>
      </c>
      <c r="F2227" s="23" t="s">
        <v>55</v>
      </c>
      <c r="G2227" s="24">
        <v>6.0</v>
      </c>
      <c r="H2227" s="24">
        <v>0.0</v>
      </c>
      <c r="I2227" s="24">
        <v>58.0</v>
      </c>
      <c r="J2227" s="24">
        <v>0.0</v>
      </c>
      <c r="K2227" s="23" t="s">
        <v>34</v>
      </c>
      <c r="L2227" s="25">
        <v>43015.622141203705</v>
      </c>
      <c r="M2227" s="28"/>
      <c r="N2227" s="28"/>
      <c r="O2227" s="22" t="str">
        <f>HYPERLINK("https://pbs.twimg.com/profile_images/918880479272624128/7D5-vXH2_normal.jpg","View")</f>
        <v>View</v>
      </c>
      <c r="P2227" s="27"/>
    </row>
    <row r="2228">
      <c r="A2228" s="14">
        <v>43031.1577662037</v>
      </c>
      <c r="B2228" s="20" t="str">
        <f>HYPERLINK("https://twitter.com/_Indian_Tiger_","@_Indian_Tiger_")</f>
        <v>@_Indian_Tiger_</v>
      </c>
      <c r="C2228" s="21" t="s">
        <v>5404</v>
      </c>
      <c r="D2228" s="21" t="s">
        <v>42</v>
      </c>
      <c r="E2228" s="22" t="str">
        <f>HYPERLINK("https://twitter.com/_Indian_Tiger_/status/922414090764435457","922414090764435457")</f>
        <v>922414090764435457</v>
      </c>
      <c r="F2228" s="23" t="s">
        <v>33</v>
      </c>
      <c r="G2228" s="24">
        <v>2579.0</v>
      </c>
      <c r="H2228" s="24">
        <v>2197.0</v>
      </c>
      <c r="I2228" s="24">
        <v>8501.0</v>
      </c>
      <c r="J2228" s="24">
        <v>0.0</v>
      </c>
      <c r="K2228" s="23" t="s">
        <v>34</v>
      </c>
      <c r="L2228" s="25">
        <v>41511.01684027778</v>
      </c>
      <c r="M2228" s="26" t="s">
        <v>575</v>
      </c>
      <c r="N2228" s="26" t="s">
        <v>5405</v>
      </c>
      <c r="O2228" s="22" t="str">
        <f>HYPERLINK("https://pbs.twimg.com/profile_images/922414537457909760/7ZkS72qI_normal.jpg","View")</f>
        <v>View</v>
      </c>
      <c r="P2228" s="27"/>
    </row>
    <row r="2229">
      <c r="A2229" s="14">
        <v>43031.157789351855</v>
      </c>
      <c r="B2229" s="20" t="str">
        <f>HYPERLINK("https://twitter.com/Narendra_V_Nath","@Narendra_V_Nath")</f>
        <v>@Narendra_V_Nath</v>
      </c>
      <c r="C2229" s="21" t="s">
        <v>5406</v>
      </c>
      <c r="D2229" s="21" t="s">
        <v>42</v>
      </c>
      <c r="E2229" s="22" t="str">
        <f>HYPERLINK("https://twitter.com/Narendra_V_Nath/status/922414097278406657","922414097278406657")</f>
        <v>922414097278406657</v>
      </c>
      <c r="F2229" s="23" t="s">
        <v>55</v>
      </c>
      <c r="G2229" s="24">
        <v>272.0</v>
      </c>
      <c r="H2229" s="24">
        <v>81.0</v>
      </c>
      <c r="I2229" s="24">
        <v>8501.0</v>
      </c>
      <c r="J2229" s="24">
        <v>0.0</v>
      </c>
      <c r="K2229" s="23" t="s">
        <v>34</v>
      </c>
      <c r="L2229" s="25">
        <v>40149.81892361111</v>
      </c>
      <c r="M2229" s="26" t="s">
        <v>575</v>
      </c>
      <c r="N2229" s="26" t="s">
        <v>5407</v>
      </c>
      <c r="O2229" s="22" t="str">
        <f>HYPERLINK("https://pbs.twimg.com/profile_images/885533953255366656/UXFzgLMl_normal.jpg","View")</f>
        <v>View</v>
      </c>
      <c r="P2229" s="27"/>
    </row>
    <row r="2230">
      <c r="A2230" s="14">
        <v>43031.157789351855</v>
      </c>
      <c r="B2230" s="20" t="str">
        <f>HYPERLINK("https://twitter.com/siddhnarain","@siddhnarain")</f>
        <v>@siddhnarain</v>
      </c>
      <c r="C2230" s="21" t="s">
        <v>5408</v>
      </c>
      <c r="D2230" s="21" t="s">
        <v>42</v>
      </c>
      <c r="E2230" s="22" t="str">
        <f>HYPERLINK("https://twitter.com/siddhnarain/status/922414097861435392","922414097861435392")</f>
        <v>922414097861435392</v>
      </c>
      <c r="F2230" s="23" t="s">
        <v>39</v>
      </c>
      <c r="G2230" s="24">
        <v>201.0</v>
      </c>
      <c r="H2230" s="24">
        <v>21.0</v>
      </c>
      <c r="I2230" s="24">
        <v>8501.0</v>
      </c>
      <c r="J2230" s="24">
        <v>0.0</v>
      </c>
      <c r="K2230" s="23" t="s">
        <v>34</v>
      </c>
      <c r="L2230" s="25">
        <v>40288.099965277775</v>
      </c>
      <c r="M2230" s="28"/>
      <c r="N2230" s="26" t="s">
        <v>5409</v>
      </c>
      <c r="O2230" s="22" t="str">
        <f>HYPERLINK("https://pbs.twimg.com/profile_images/756924246220234752/sWvzh-zn_normal.jpg","View")</f>
        <v>View</v>
      </c>
      <c r="P2230" s="27"/>
    </row>
    <row r="2231">
      <c r="A2231" s="14">
        <v>43031.15782407408</v>
      </c>
      <c r="B2231" s="20" t="str">
        <f>HYPERLINK("https://twitter.com/inferiae4542","@inferiae4542")</f>
        <v>@inferiae4542</v>
      </c>
      <c r="C2231" s="21" t="s">
        <v>5410</v>
      </c>
      <c r="D2231" s="21" t="s">
        <v>5411</v>
      </c>
      <c r="E2231" s="22" t="str">
        <f>HYPERLINK("https://twitter.com/inferiae4542/status/922414110360313856","922414110360313856")</f>
        <v>922414110360313856</v>
      </c>
      <c r="F2231" s="23" t="s">
        <v>55</v>
      </c>
      <c r="G2231" s="24">
        <v>915.0</v>
      </c>
      <c r="H2231" s="24">
        <v>892.0</v>
      </c>
      <c r="I2231" s="24">
        <v>0.0</v>
      </c>
      <c r="J2231" s="24">
        <v>0.0</v>
      </c>
      <c r="K2231" s="23" t="s">
        <v>34</v>
      </c>
      <c r="L2231" s="25">
        <v>39672.19510416667</v>
      </c>
      <c r="M2231" s="26" t="s">
        <v>5412</v>
      </c>
      <c r="N2231" s="28"/>
      <c r="O2231" s="22" t="str">
        <f>HYPERLINK("https://pbs.twimg.com/profile_images/58111695/beavisphone_normal.jpg","View")</f>
        <v>View</v>
      </c>
      <c r="P2231" s="27"/>
    </row>
    <row r="2232">
      <c r="A2232" s="14">
        <v>43031.15802083333</v>
      </c>
      <c r="B2232" s="20" t="str">
        <f>HYPERLINK("https://twitter.com/bocafireworks","@bocafireworks")</f>
        <v>@bocafireworks</v>
      </c>
      <c r="C2232" s="21" t="s">
        <v>5413</v>
      </c>
      <c r="D2232" s="21" t="s">
        <v>2595</v>
      </c>
      <c r="E2232" s="22" t="str">
        <f>HYPERLINK("https://twitter.com/bocafireworks/status/922414183530074113","922414183530074113")</f>
        <v>922414183530074113</v>
      </c>
      <c r="F2232" s="23" t="s">
        <v>39</v>
      </c>
      <c r="G2232" s="24">
        <v>20.0</v>
      </c>
      <c r="H2232" s="24">
        <v>377.0</v>
      </c>
      <c r="I2232" s="24">
        <v>170.0</v>
      </c>
      <c r="J2232" s="24">
        <v>0.0</v>
      </c>
      <c r="K2232" s="23" t="s">
        <v>34</v>
      </c>
      <c r="L2232" s="25">
        <v>43029.486666666664</v>
      </c>
      <c r="M2232" s="26" t="s">
        <v>708</v>
      </c>
      <c r="N2232" s="26" t="s">
        <v>5414</v>
      </c>
      <c r="O2232" s="22" t="str">
        <f>HYPERLINK("https://pbs.twimg.com/profile_images/922001037942280197/9AB41HEq_normal.jpg","View")</f>
        <v>View</v>
      </c>
      <c r="P2232" s="27"/>
    </row>
    <row r="2233">
      <c r="A2233" s="14">
        <v>43031.15819444445</v>
      </c>
      <c r="B2233" s="20" t="str">
        <f>HYPERLINK("https://twitter.com/pamit9959","@pamit9959")</f>
        <v>@pamit9959</v>
      </c>
      <c r="C2233" s="21" t="s">
        <v>5415</v>
      </c>
      <c r="D2233" s="21" t="s">
        <v>42</v>
      </c>
      <c r="E2233" s="22" t="str">
        <f>HYPERLINK("https://twitter.com/pamit9959/status/922414244708020224","922414244708020224")</f>
        <v>922414244708020224</v>
      </c>
      <c r="F2233" s="23" t="s">
        <v>2119</v>
      </c>
      <c r="G2233" s="24">
        <v>35.0</v>
      </c>
      <c r="H2233" s="24">
        <v>335.0</v>
      </c>
      <c r="I2233" s="24">
        <v>8501.0</v>
      </c>
      <c r="J2233" s="24">
        <v>0.0</v>
      </c>
      <c r="K2233" s="23" t="s">
        <v>34</v>
      </c>
      <c r="L2233" s="25">
        <v>42260.46761574074</v>
      </c>
      <c r="M2233" s="26" t="s">
        <v>5416</v>
      </c>
      <c r="N2233" s="26" t="s">
        <v>5417</v>
      </c>
      <c r="O2233" s="22" t="str">
        <f>HYPERLINK("https://pbs.twimg.com/profile_images/800338357033177089/VNi3QjaZ_normal.jpg","View")</f>
        <v>View</v>
      </c>
      <c r="P2233" s="27"/>
    </row>
    <row r="2234">
      <c r="A2234" s="14">
        <v>43031.158321759256</v>
      </c>
      <c r="B2234" s="20" t="str">
        <f>HYPERLINK("https://twitter.com/purnima0608","@purnima0608")</f>
        <v>@purnima0608</v>
      </c>
      <c r="C2234" s="21" t="s">
        <v>5418</v>
      </c>
      <c r="D2234" s="21" t="s">
        <v>42</v>
      </c>
      <c r="E2234" s="22" t="str">
        <f>HYPERLINK("https://twitter.com/purnima0608/status/922414293986942976","922414293986942976")</f>
        <v>922414293986942976</v>
      </c>
      <c r="F2234" s="23" t="s">
        <v>33</v>
      </c>
      <c r="G2234" s="24">
        <v>593.0</v>
      </c>
      <c r="H2234" s="24">
        <v>521.0</v>
      </c>
      <c r="I2234" s="24">
        <v>8501.0</v>
      </c>
      <c r="J2234" s="24">
        <v>0.0</v>
      </c>
      <c r="K2234" s="23" t="s">
        <v>34</v>
      </c>
      <c r="L2234" s="25">
        <v>42735.15956018519</v>
      </c>
      <c r="M2234" s="26" t="s">
        <v>5419</v>
      </c>
      <c r="N2234" s="28"/>
      <c r="O2234" s="22" t="str">
        <f>HYPERLINK("https://pbs.twimg.com/profile_images/893169731846381568/kEgd_C1t_normal.jpg","View")</f>
        <v>View</v>
      </c>
      <c r="P2234" s="27"/>
    </row>
    <row r="2235">
      <c r="A2235" s="14">
        <v>43031.1583912037</v>
      </c>
      <c r="B2235" s="20" t="str">
        <f>HYPERLINK("https://twitter.com/NewslockerIdaho","@NewslockerIdaho")</f>
        <v>@NewslockerIdaho</v>
      </c>
      <c r="C2235" s="21" t="s">
        <v>5420</v>
      </c>
      <c r="D2235" s="21" t="s">
        <v>5421</v>
      </c>
      <c r="E2235" s="22" t="str">
        <f>HYPERLINK("https://twitter.com/NewslockerIdaho/status/922414318313967617","922414318313967617")</f>
        <v>922414318313967617</v>
      </c>
      <c r="F2235" s="23" t="s">
        <v>1020</v>
      </c>
      <c r="G2235" s="24">
        <v>827.0</v>
      </c>
      <c r="H2235" s="24">
        <v>948.0</v>
      </c>
      <c r="I2235" s="24">
        <v>0.0</v>
      </c>
      <c r="J2235" s="24">
        <v>0.0</v>
      </c>
      <c r="K2235" s="23" t="s">
        <v>34</v>
      </c>
      <c r="L2235" s="25">
        <v>41691.06990740741</v>
      </c>
      <c r="M2235" s="26" t="s">
        <v>5422</v>
      </c>
      <c r="N2235" s="26" t="s">
        <v>5423</v>
      </c>
      <c r="O2235" s="22" t="str">
        <f>HYPERLINK("https://pbs.twimg.com/profile_images/436799017339875328/M2JPRQQf_normal.png","View")</f>
        <v>View</v>
      </c>
      <c r="P2235" s="27"/>
    </row>
    <row r="2236">
      <c r="A2236" s="14">
        <v>43031.1583912037</v>
      </c>
      <c r="B2236" s="20" t="str">
        <f>HYPERLINK("https://twitter.com/OnlySJandTVXQ","@OnlySJandTVXQ")</f>
        <v>@OnlySJandTVXQ</v>
      </c>
      <c r="C2236" s="21" t="s">
        <v>5424</v>
      </c>
      <c r="D2236" s="21" t="s">
        <v>839</v>
      </c>
      <c r="E2236" s="22" t="str">
        <f>HYPERLINK("https://twitter.com/OnlySJandTVXQ/status/922414319035285504","922414319035285504")</f>
        <v>922414319035285504</v>
      </c>
      <c r="F2236" s="23" t="s">
        <v>39</v>
      </c>
      <c r="G2236" s="24">
        <v>119.0</v>
      </c>
      <c r="H2236" s="24">
        <v>819.0</v>
      </c>
      <c r="I2236" s="24">
        <v>17.0</v>
      </c>
      <c r="J2236" s="24">
        <v>0.0</v>
      </c>
      <c r="K2236" s="23" t="s">
        <v>34</v>
      </c>
      <c r="L2236" s="25">
        <v>41624.2840162037</v>
      </c>
      <c r="M2236" s="28"/>
      <c r="N2236" s="26" t="s">
        <v>5425</v>
      </c>
      <c r="O2236" s="22" t="str">
        <f>HYPERLINK("https://pbs.twimg.com/profile_images/802724722664321024/SbBj5qax_normal.jpg","View")</f>
        <v>View</v>
      </c>
      <c r="P2236" s="27"/>
    </row>
    <row r="2237">
      <c r="A2237" s="14">
        <v>43031.158414351856</v>
      </c>
      <c r="B2237" s="20" t="str">
        <f>HYPERLINK("https://twitter.com/ravisgiri","@ravisgiri")</f>
        <v>@ravisgiri</v>
      </c>
      <c r="C2237" s="21" t="s">
        <v>5426</v>
      </c>
      <c r="D2237" s="21" t="s">
        <v>163</v>
      </c>
      <c r="E2237" s="22" t="str">
        <f>HYPERLINK("https://twitter.com/ravisgiri/status/922414323741454336","922414323741454336")</f>
        <v>922414323741454336</v>
      </c>
      <c r="F2237" s="23" t="s">
        <v>33</v>
      </c>
      <c r="G2237" s="24">
        <v>196.0</v>
      </c>
      <c r="H2237" s="24">
        <v>268.0</v>
      </c>
      <c r="I2237" s="24">
        <v>1005.0</v>
      </c>
      <c r="J2237" s="24">
        <v>0.0</v>
      </c>
      <c r="K2237" s="23" t="s">
        <v>34</v>
      </c>
      <c r="L2237" s="25">
        <v>40274.09454861111</v>
      </c>
      <c r="M2237" s="26" t="s">
        <v>164</v>
      </c>
      <c r="N2237" s="26" t="s">
        <v>5427</v>
      </c>
      <c r="O2237" s="22" t="str">
        <f>HYPERLINK("https://pbs.twimg.com/profile_images/847736270532956161/Ef5JR2J__normal.jpg","View")</f>
        <v>View</v>
      </c>
      <c r="P2237" s="27"/>
    </row>
    <row r="2238">
      <c r="A2238" s="14">
        <v>43031.158437499995</v>
      </c>
      <c r="B2238" s="20" t="str">
        <f>HYPERLINK("https://twitter.com/akytheking","@akytheking")</f>
        <v>@akytheking</v>
      </c>
      <c r="C2238" s="21" t="s">
        <v>5428</v>
      </c>
      <c r="D2238" s="21" t="s">
        <v>42</v>
      </c>
      <c r="E2238" s="22" t="str">
        <f>HYPERLINK("https://twitter.com/akytheking/status/922414333790789632","922414333790789632")</f>
        <v>922414333790789632</v>
      </c>
      <c r="F2238" s="23" t="s">
        <v>55</v>
      </c>
      <c r="G2238" s="24">
        <v>444.0</v>
      </c>
      <c r="H2238" s="24">
        <v>581.0</v>
      </c>
      <c r="I2238" s="24">
        <v>8501.0</v>
      </c>
      <c r="J2238" s="24">
        <v>0.0</v>
      </c>
      <c r="K2238" s="23" t="s">
        <v>34</v>
      </c>
      <c r="L2238" s="25">
        <v>41430.71140046296</v>
      </c>
      <c r="M2238" s="26" t="s">
        <v>5429</v>
      </c>
      <c r="N2238" s="26" t="s">
        <v>5430</v>
      </c>
      <c r="O2238" s="22" t="str">
        <f>HYPERLINK("https://pbs.twimg.com/profile_images/783765233168896000/xJKqxAiM_normal.jpg","View")</f>
        <v>View</v>
      </c>
      <c r="P2238" s="27"/>
    </row>
    <row r="2239">
      <c r="A2239" s="14">
        <v>43031.15846064815</v>
      </c>
      <c r="B2239" s="20" t="str">
        <f>HYPERLINK("https://twitter.com/MwaniaJames4","@MwaniaJames4")</f>
        <v>@MwaniaJames4</v>
      </c>
      <c r="C2239" s="21" t="s">
        <v>5431</v>
      </c>
      <c r="D2239" s="21" t="s">
        <v>32</v>
      </c>
      <c r="E2239" s="22" t="str">
        <f>HYPERLINK("https://twitter.com/MwaniaJames4/status/922414342494195712","922414342494195712")</f>
        <v>922414342494195712</v>
      </c>
      <c r="F2239" s="23" t="s">
        <v>33</v>
      </c>
      <c r="G2239" s="24">
        <v>79.0</v>
      </c>
      <c r="H2239" s="24">
        <v>160.0</v>
      </c>
      <c r="I2239" s="24">
        <v>471.0</v>
      </c>
      <c r="J2239" s="24">
        <v>0.0</v>
      </c>
      <c r="K2239" s="23" t="s">
        <v>34</v>
      </c>
      <c r="L2239" s="25">
        <v>42992.90662037037</v>
      </c>
      <c r="M2239" s="26" t="s">
        <v>5432</v>
      </c>
      <c r="N2239" s="26" t="s">
        <v>5433</v>
      </c>
      <c r="O2239" s="22" t="str">
        <f>HYPERLINK("https://pbs.twimg.com/profile_images/915854064717582336/Qq1qu-22_normal.jpg","View")</f>
        <v>View</v>
      </c>
      <c r="P2239" s="27"/>
    </row>
    <row r="2240">
      <c r="A2240" s="14">
        <v>43031.15864583333</v>
      </c>
      <c r="B2240" s="20" t="str">
        <f>HYPERLINK("https://twitter.com/pawar8989","@pawar8989")</f>
        <v>@pawar8989</v>
      </c>
      <c r="C2240" s="21" t="s">
        <v>5434</v>
      </c>
      <c r="D2240" s="21" t="s">
        <v>42</v>
      </c>
      <c r="E2240" s="22" t="str">
        <f>HYPERLINK("https://twitter.com/pawar8989/status/922414408550289410","922414408550289410")</f>
        <v>922414408550289410</v>
      </c>
      <c r="F2240" s="23" t="s">
        <v>33</v>
      </c>
      <c r="G2240" s="24">
        <v>4334.0</v>
      </c>
      <c r="H2240" s="24">
        <v>4963.0</v>
      </c>
      <c r="I2240" s="24">
        <v>8501.0</v>
      </c>
      <c r="J2240" s="24">
        <v>0.0</v>
      </c>
      <c r="K2240" s="23" t="s">
        <v>34</v>
      </c>
      <c r="L2240" s="25">
        <v>42639.41928240741</v>
      </c>
      <c r="M2240" s="26" t="s">
        <v>5435</v>
      </c>
      <c r="N2240" s="26" t="s">
        <v>5436</v>
      </c>
      <c r="O2240" s="22" t="str">
        <f>HYPERLINK("https://pbs.twimg.com/profile_images/913333253108506624/Ij7He0su_normal.jpg","View")</f>
        <v>View</v>
      </c>
      <c r="P2240" s="27"/>
    </row>
    <row r="2241">
      <c r="A2241" s="14">
        <v>43031.15864583333</v>
      </c>
      <c r="B2241" s="20" t="str">
        <f>HYPERLINK("https://twitter.com/9maksimlebedev","@9maksimlebedev")</f>
        <v>@9maksimlebedev</v>
      </c>
      <c r="C2241" s="21" t="s">
        <v>5403</v>
      </c>
      <c r="D2241" s="21" t="s">
        <v>404</v>
      </c>
      <c r="E2241" s="22" t="str">
        <f>HYPERLINK("https://twitter.com/9maksimlebedev/status/922414410903076865","922414410903076865")</f>
        <v>922414410903076865</v>
      </c>
      <c r="F2241" s="23" t="s">
        <v>55</v>
      </c>
      <c r="G2241" s="24">
        <v>6.0</v>
      </c>
      <c r="H2241" s="24">
        <v>0.0</v>
      </c>
      <c r="I2241" s="24">
        <v>59.0</v>
      </c>
      <c r="J2241" s="24">
        <v>0.0</v>
      </c>
      <c r="K2241" s="23" t="s">
        <v>34</v>
      </c>
      <c r="L2241" s="25">
        <v>43015.622141203705</v>
      </c>
      <c r="M2241" s="28"/>
      <c r="N2241" s="28"/>
      <c r="O2241" s="22" t="str">
        <f>HYPERLINK("https://pbs.twimg.com/profile_images/918880479272624128/7D5-vXH2_normal.jpg","View")</f>
        <v>View</v>
      </c>
      <c r="P2241" s="27"/>
    </row>
    <row r="2242">
      <c r="A2242" s="14">
        <v>43031.15871527778</v>
      </c>
      <c r="B2242" s="20" t="str">
        <f>HYPERLINK("https://twitter.com/braschen1","@braschen1")</f>
        <v>@braschen1</v>
      </c>
      <c r="C2242" s="21" t="s">
        <v>5437</v>
      </c>
      <c r="D2242" s="21" t="s">
        <v>760</v>
      </c>
      <c r="E2242" s="22" t="str">
        <f>HYPERLINK("https://twitter.com/braschen1/status/922414432969478144","922414432969478144")</f>
        <v>922414432969478144</v>
      </c>
      <c r="F2242" s="23" t="s">
        <v>43</v>
      </c>
      <c r="G2242" s="24">
        <v>57.0</v>
      </c>
      <c r="H2242" s="24">
        <v>106.0</v>
      </c>
      <c r="I2242" s="24">
        <v>62.0</v>
      </c>
      <c r="J2242" s="24">
        <v>0.0</v>
      </c>
      <c r="K2242" s="23" t="s">
        <v>34</v>
      </c>
      <c r="L2242" s="25">
        <v>41823.19633101852</v>
      </c>
      <c r="M2242" s="28"/>
      <c r="N2242" s="28"/>
      <c r="O2242" s="22" t="str">
        <f>HYPERLINK("https://abs.twimg.com/sticky/default_profile_images/default_profile_normal.png","View")</f>
        <v>View</v>
      </c>
      <c r="P2242" s="27"/>
    </row>
    <row r="2243">
      <c r="A2243" s="14">
        <v>43031.158796296295</v>
      </c>
      <c r="B2243" s="20" t="str">
        <f>HYPERLINK("https://twitter.com/vismayshah","@vismayshah")</f>
        <v>@vismayshah</v>
      </c>
      <c r="C2243" s="21" t="s">
        <v>5438</v>
      </c>
      <c r="D2243" s="21" t="s">
        <v>42</v>
      </c>
      <c r="E2243" s="22" t="str">
        <f>HYPERLINK("https://twitter.com/vismayshah/status/922414463629778944","922414463629778944")</f>
        <v>922414463629778944</v>
      </c>
      <c r="F2243" s="23" t="s">
        <v>55</v>
      </c>
      <c r="G2243" s="24">
        <v>1047.0</v>
      </c>
      <c r="H2243" s="24">
        <v>686.0</v>
      </c>
      <c r="I2243" s="24">
        <v>8501.0</v>
      </c>
      <c r="J2243" s="24">
        <v>0.0</v>
      </c>
      <c r="K2243" s="23" t="s">
        <v>34</v>
      </c>
      <c r="L2243" s="25">
        <v>40008.22993055556</v>
      </c>
      <c r="M2243" s="26" t="s">
        <v>204</v>
      </c>
      <c r="N2243" s="26" t="s">
        <v>5439</v>
      </c>
      <c r="O2243" s="22" t="str">
        <f>HYPERLINK("https://pbs.twimg.com/profile_images/646584893569298432/4Czs4qhN_normal.jpg","View")</f>
        <v>View</v>
      </c>
      <c r="P2243" s="27"/>
    </row>
    <row r="2244">
      <c r="A2244" s="14">
        <v>43031.15886574074</v>
      </c>
      <c r="B2244" s="20" t="str">
        <f>HYPERLINK("https://twitter.com/RichStanton","@RichStanton")</f>
        <v>@RichStanton</v>
      </c>
      <c r="C2244" s="21" t="s">
        <v>5440</v>
      </c>
      <c r="D2244" s="21" t="s">
        <v>5441</v>
      </c>
      <c r="E2244" s="22" t="str">
        <f>HYPERLINK("https://twitter.com/RichStanton/status/922414490318266368","922414490318266368")</f>
        <v>922414490318266368</v>
      </c>
      <c r="F2244" s="23" t="s">
        <v>39</v>
      </c>
      <c r="G2244" s="24">
        <v>8629.0</v>
      </c>
      <c r="H2244" s="24">
        <v>1996.0</v>
      </c>
      <c r="I2244" s="24">
        <v>2.0</v>
      </c>
      <c r="J2244" s="24">
        <v>0.0</v>
      </c>
      <c r="K2244" s="23" t="s">
        <v>34</v>
      </c>
      <c r="L2244" s="25">
        <v>39850.24568287037</v>
      </c>
      <c r="M2244" s="26" t="s">
        <v>5442</v>
      </c>
      <c r="N2244" s="26" t="s">
        <v>5443</v>
      </c>
      <c r="O2244" s="22" t="str">
        <f>HYPERLINK("https://pbs.twimg.com/profile_images/2503827858/f0vn4pxpmtzb9z0lnjzy_normal.jpeg","View")</f>
        <v>View</v>
      </c>
      <c r="P2244" s="27"/>
    </row>
    <row r="2245">
      <c r="A2245" s="14">
        <v>43031.15891203703</v>
      </c>
      <c r="B2245" s="20" t="str">
        <f>HYPERLINK("https://twitter.com/rorufuchan","@rorufuchan")</f>
        <v>@rorufuchan</v>
      </c>
      <c r="C2245" s="21" t="s">
        <v>5444</v>
      </c>
      <c r="D2245" s="21" t="s">
        <v>5309</v>
      </c>
      <c r="E2245" s="22" t="str">
        <f>HYPERLINK("https://twitter.com/rorufuchan/status/922414504087916545","922414504087916545")</f>
        <v>922414504087916545</v>
      </c>
      <c r="F2245" s="23" t="s">
        <v>39</v>
      </c>
      <c r="G2245" s="24">
        <v>57.0</v>
      </c>
      <c r="H2245" s="24">
        <v>66.0</v>
      </c>
      <c r="I2245" s="24">
        <v>22.0</v>
      </c>
      <c r="J2245" s="24">
        <v>0.0</v>
      </c>
      <c r="K2245" s="23" t="s">
        <v>34</v>
      </c>
      <c r="L2245" s="25">
        <v>39891.23465277778</v>
      </c>
      <c r="M2245" s="26" t="s">
        <v>5445</v>
      </c>
      <c r="N2245" s="26" t="s">
        <v>5446</v>
      </c>
      <c r="O2245" s="22" t="str">
        <f>HYPERLINK("https://pbs.twimg.com/profile_images/824237247926910978/LE8Xkjwr_normal.jpg","View")</f>
        <v>View</v>
      </c>
      <c r="P2245" s="27"/>
    </row>
    <row r="2246">
      <c r="A2246" s="14">
        <v>43031.15898148148</v>
      </c>
      <c r="B2246" s="20" t="str">
        <f>HYPERLINK("https://twitter.com/ShamiahBrian","@ShamiahBrian")</f>
        <v>@ShamiahBrian</v>
      </c>
      <c r="C2246" s="21" t="s">
        <v>5447</v>
      </c>
      <c r="D2246" s="21" t="s">
        <v>32</v>
      </c>
      <c r="E2246" s="22" t="str">
        <f>HYPERLINK("https://twitter.com/ShamiahBrian/status/922414529392398337","922414529392398337")</f>
        <v>922414529392398337</v>
      </c>
      <c r="F2246" s="23" t="s">
        <v>33</v>
      </c>
      <c r="G2246" s="24">
        <v>148.0</v>
      </c>
      <c r="H2246" s="24">
        <v>354.0</v>
      </c>
      <c r="I2246" s="24">
        <v>471.0</v>
      </c>
      <c r="J2246" s="24">
        <v>0.0</v>
      </c>
      <c r="K2246" s="23" t="s">
        <v>34</v>
      </c>
      <c r="L2246" s="25">
        <v>42122.250451388885</v>
      </c>
      <c r="M2246" s="26" t="s">
        <v>843</v>
      </c>
      <c r="N2246" s="26" t="s">
        <v>5448</v>
      </c>
      <c r="O2246" s="22" t="str">
        <f>HYPERLINK("https://pbs.twimg.com/profile_images/918373057965805568/icRHrtwO_normal.jpg","View")</f>
        <v>View</v>
      </c>
      <c r="P2246" s="27"/>
    </row>
    <row r="2247">
      <c r="A2247" s="14">
        <v>43031.159062499995</v>
      </c>
      <c r="B2247" s="20" t="str">
        <f>HYPERLINK("https://twitter.com/Tobrown007Toby","@Tobrown007Toby")</f>
        <v>@Tobrown007Toby</v>
      </c>
      <c r="C2247" s="21" t="s">
        <v>5449</v>
      </c>
      <c r="D2247" s="21" t="s">
        <v>5450</v>
      </c>
      <c r="E2247" s="22" t="str">
        <f>HYPERLINK("https://twitter.com/Tobrown007Toby/status/922414562334466049","922414562334466049")</f>
        <v>922414562334466049</v>
      </c>
      <c r="F2247" s="23" t="s">
        <v>33</v>
      </c>
      <c r="G2247" s="24">
        <v>571.0</v>
      </c>
      <c r="H2247" s="24">
        <v>2661.0</v>
      </c>
      <c r="I2247" s="24">
        <v>2.0</v>
      </c>
      <c r="J2247" s="24">
        <v>0.0</v>
      </c>
      <c r="K2247" s="23" t="s">
        <v>34</v>
      </c>
      <c r="L2247" s="25">
        <v>41960.11719907407</v>
      </c>
      <c r="M2247" s="28"/>
      <c r="N2247" s="28"/>
      <c r="O2247" s="22" t="str">
        <f>HYPERLINK("https://pbs.twimg.com/profile_images/555090056109887488/vccXBKZd_normal.jpeg","View")</f>
        <v>View</v>
      </c>
      <c r="P2247" s="27"/>
    </row>
    <row r="2248">
      <c r="A2248" s="14">
        <v>43031.159212962964</v>
      </c>
      <c r="B2248" s="20" t="str">
        <f>HYPERLINK("https://twitter.com/9maksimlebedev","@9maksimlebedev")</f>
        <v>@9maksimlebedev</v>
      </c>
      <c r="C2248" s="21" t="s">
        <v>5403</v>
      </c>
      <c r="D2248" s="21" t="s">
        <v>5451</v>
      </c>
      <c r="E2248" s="22" t="str">
        <f>HYPERLINK("https://twitter.com/9maksimlebedev/status/922414614347882496","922414614347882496")</f>
        <v>922414614347882496</v>
      </c>
      <c r="F2248" s="23" t="s">
        <v>55</v>
      </c>
      <c r="G2248" s="24">
        <v>6.0</v>
      </c>
      <c r="H2248" s="24">
        <v>0.0</v>
      </c>
      <c r="I2248" s="24">
        <v>62.0</v>
      </c>
      <c r="J2248" s="24">
        <v>0.0</v>
      </c>
      <c r="K2248" s="23" t="s">
        <v>34</v>
      </c>
      <c r="L2248" s="25">
        <v>43015.622141203705</v>
      </c>
      <c r="M2248" s="28"/>
      <c r="N2248" s="28"/>
      <c r="O2248" s="22" t="str">
        <f>HYPERLINK("https://pbs.twimg.com/profile_images/918880479272624128/7D5-vXH2_normal.jpg","View")</f>
        <v>View</v>
      </c>
      <c r="P2248" s="27"/>
    </row>
    <row r="2249">
      <c r="A2249" s="14">
        <v>43031.1593287037</v>
      </c>
      <c r="B2249" s="20" t="str">
        <f>HYPERLINK("https://twitter.com/Rash2030","@Rash2030")</f>
        <v>@Rash2030</v>
      </c>
      <c r="C2249" s="21" t="s">
        <v>5452</v>
      </c>
      <c r="D2249" s="21" t="s">
        <v>32</v>
      </c>
      <c r="E2249" s="22" t="str">
        <f>HYPERLINK("https://twitter.com/Rash2030/status/922414658178383872","922414658178383872")</f>
        <v>922414658178383872</v>
      </c>
      <c r="F2249" s="23" t="s">
        <v>33</v>
      </c>
      <c r="G2249" s="24">
        <v>14019.0</v>
      </c>
      <c r="H2249" s="24">
        <v>8717.0</v>
      </c>
      <c r="I2249" s="24">
        <v>471.0</v>
      </c>
      <c r="J2249" s="24">
        <v>0.0</v>
      </c>
      <c r="K2249" s="23" t="s">
        <v>34</v>
      </c>
      <c r="L2249" s="25">
        <v>40849.376076388886</v>
      </c>
      <c r="M2249" s="26" t="s">
        <v>114</v>
      </c>
      <c r="N2249" s="26" t="s">
        <v>5453</v>
      </c>
      <c r="O2249" s="22" t="str">
        <f>HYPERLINK("https://pbs.twimg.com/profile_images/698537730876248064/6-WKF26E_normal.jpg","View")</f>
        <v>View</v>
      </c>
      <c r="P2249" s="27"/>
    </row>
    <row r="2250">
      <c r="A2250" s="14">
        <v>43031.15934027778</v>
      </c>
      <c r="B2250" s="20" t="str">
        <f>HYPERLINK("https://twitter.com/vsskumaar","@vsskumaar")</f>
        <v>@vsskumaar</v>
      </c>
      <c r="C2250" s="21" t="s">
        <v>5454</v>
      </c>
      <c r="D2250" s="21" t="s">
        <v>42</v>
      </c>
      <c r="E2250" s="22" t="str">
        <f>HYPERLINK("https://twitter.com/vsskumaar/status/922414659071721472","922414659071721472")</f>
        <v>922414659071721472</v>
      </c>
      <c r="F2250" s="23" t="s">
        <v>33</v>
      </c>
      <c r="G2250" s="24">
        <v>122.0</v>
      </c>
      <c r="H2250" s="24">
        <v>189.0</v>
      </c>
      <c r="I2250" s="24">
        <v>8501.0</v>
      </c>
      <c r="J2250" s="24">
        <v>0.0</v>
      </c>
      <c r="K2250" s="23" t="s">
        <v>34</v>
      </c>
      <c r="L2250" s="25">
        <v>41140.95134259259</v>
      </c>
      <c r="M2250" s="26" t="s">
        <v>5455</v>
      </c>
      <c r="N2250" s="26" t="s">
        <v>5456</v>
      </c>
      <c r="O2250" s="22" t="str">
        <f>HYPERLINK("https://pbs.twimg.com/profile_images/824688409142628352/9sWHqB3E_normal.jpg","View")</f>
        <v>View</v>
      </c>
      <c r="P2250" s="27"/>
    </row>
    <row r="2251">
      <c r="A2251" s="14">
        <v>43031.15939814815</v>
      </c>
      <c r="B2251" s="20" t="str">
        <f>HYPERLINK("https://twitter.com/_dee_tripleDES","@_dee_tripleDES")</f>
        <v>@_dee_tripleDES</v>
      </c>
      <c r="C2251" s="21" t="s">
        <v>5457</v>
      </c>
      <c r="D2251" s="21" t="s">
        <v>1237</v>
      </c>
      <c r="E2251" s="22" t="str">
        <f>HYPERLINK("https://twitter.com/_dee_tripleDES/status/922414680861110274","922414680861110274")</f>
        <v>922414680861110274</v>
      </c>
      <c r="F2251" s="23" t="s">
        <v>33</v>
      </c>
      <c r="G2251" s="24">
        <v>442.0</v>
      </c>
      <c r="H2251" s="24">
        <v>477.0</v>
      </c>
      <c r="I2251" s="24">
        <v>4.0</v>
      </c>
      <c r="J2251" s="24">
        <v>0.0</v>
      </c>
      <c r="K2251" s="23" t="s">
        <v>34</v>
      </c>
      <c r="L2251" s="25">
        <v>40549.48438657408</v>
      </c>
      <c r="M2251" s="26" t="s">
        <v>5458</v>
      </c>
      <c r="N2251" s="26" t="s">
        <v>5459</v>
      </c>
      <c r="O2251" s="22" t="str">
        <f>HYPERLINK("https://pbs.twimg.com/profile_images/922212064399056896/vY8kiXTw_normal.jpg","View")</f>
        <v>View</v>
      </c>
      <c r="P2251" s="27"/>
    </row>
    <row r="2252">
      <c r="A2252" s="14">
        <v>43031.159432870365</v>
      </c>
      <c r="B2252" s="20" t="str">
        <f>HYPERLINK("https://twitter.com/vasania_kant","@vasania_kant")</f>
        <v>@vasania_kant</v>
      </c>
      <c r="C2252" s="21" t="s">
        <v>5460</v>
      </c>
      <c r="D2252" s="21" t="s">
        <v>42</v>
      </c>
      <c r="E2252" s="22" t="str">
        <f>HYPERLINK("https://twitter.com/vasania_kant/status/922414693146230785","922414693146230785")</f>
        <v>922414693146230785</v>
      </c>
      <c r="F2252" s="23" t="s">
        <v>33</v>
      </c>
      <c r="G2252" s="24">
        <v>38.0</v>
      </c>
      <c r="H2252" s="24">
        <v>523.0</v>
      </c>
      <c r="I2252" s="24">
        <v>8501.0</v>
      </c>
      <c r="J2252" s="24">
        <v>0.0</v>
      </c>
      <c r="K2252" s="23" t="s">
        <v>34</v>
      </c>
      <c r="L2252" s="25">
        <v>42888.30445601852</v>
      </c>
      <c r="M2252" s="28"/>
      <c r="N2252" s="28"/>
      <c r="O2252" s="22" t="str">
        <f>HYPERLINK("https://abs.twimg.com/sticky/default_profile_images/default_profile_normal.png","View")</f>
        <v>View</v>
      </c>
      <c r="P2252" s="27"/>
    </row>
    <row r="2253">
      <c r="A2253" s="14">
        <v>43031.15957175926</v>
      </c>
      <c r="B2253" s="20" t="str">
        <f>HYPERLINK("https://twitter.com/amitgunsoldier","@amitgunsoldier")</f>
        <v>@amitgunsoldier</v>
      </c>
      <c r="C2253" s="21" t="s">
        <v>5461</v>
      </c>
      <c r="D2253" s="21" t="s">
        <v>42</v>
      </c>
      <c r="E2253" s="22" t="str">
        <f>HYPERLINK("https://twitter.com/amitgunsoldier/status/922414745361137664","922414745361137664")</f>
        <v>922414745361137664</v>
      </c>
      <c r="F2253" s="23" t="s">
        <v>33</v>
      </c>
      <c r="G2253" s="24">
        <v>696.0</v>
      </c>
      <c r="H2253" s="24">
        <v>805.0</v>
      </c>
      <c r="I2253" s="24">
        <v>8501.0</v>
      </c>
      <c r="J2253" s="24">
        <v>0.0</v>
      </c>
      <c r="K2253" s="23" t="s">
        <v>34</v>
      </c>
      <c r="L2253" s="25">
        <v>42278.953252314815</v>
      </c>
      <c r="M2253" s="26" t="s">
        <v>204</v>
      </c>
      <c r="N2253" s="26" t="s">
        <v>5462</v>
      </c>
      <c r="O2253" s="22" t="str">
        <f>HYPERLINK("https://pbs.twimg.com/profile_images/920326861980405760/fA3ghtQi_normal.jpg","View")</f>
        <v>View</v>
      </c>
      <c r="P2253" s="27"/>
    </row>
    <row r="2254">
      <c r="A2254" s="14">
        <v>43031.159583333334</v>
      </c>
      <c r="B2254" s="20" t="str">
        <f>HYPERLINK("https://twitter.com/big1guycotz","@big1guycotz")</f>
        <v>@big1guycotz</v>
      </c>
      <c r="C2254" s="21" t="s">
        <v>5463</v>
      </c>
      <c r="D2254" s="21" t="s">
        <v>42</v>
      </c>
      <c r="E2254" s="22" t="str">
        <f>HYPERLINK("https://twitter.com/big1guycotz/status/922414747181498368","922414747181498368")</f>
        <v>922414747181498368</v>
      </c>
      <c r="F2254" s="23" t="s">
        <v>55</v>
      </c>
      <c r="G2254" s="24">
        <v>1956.0</v>
      </c>
      <c r="H2254" s="24">
        <v>1949.0</v>
      </c>
      <c r="I2254" s="24">
        <v>8501.0</v>
      </c>
      <c r="J2254" s="24">
        <v>0.0</v>
      </c>
      <c r="K2254" s="23" t="s">
        <v>34</v>
      </c>
      <c r="L2254" s="25">
        <v>40640.41837962963</v>
      </c>
      <c r="M2254" s="26" t="s">
        <v>5464</v>
      </c>
      <c r="N2254" s="26" t="s">
        <v>5465</v>
      </c>
      <c r="O2254" s="22" t="str">
        <f>HYPERLINK("https://pbs.twimg.com/profile_images/886649214846902272/3hOYKriO_normal.jpg","View")</f>
        <v>View</v>
      </c>
      <c r="P2254" s="27"/>
    </row>
    <row r="2255">
      <c r="A2255" s="14">
        <v>43031.159583333334</v>
      </c>
      <c r="B2255" s="20" t="str">
        <f>HYPERLINK("https://twitter.com/iSiddharth27","@iSiddharth27")</f>
        <v>@iSiddharth27</v>
      </c>
      <c r="C2255" s="21" t="s">
        <v>5466</v>
      </c>
      <c r="D2255" s="21" t="s">
        <v>42</v>
      </c>
      <c r="E2255" s="22" t="str">
        <f>HYPERLINK("https://twitter.com/iSiddharth27/status/922414750151065600","922414750151065600")</f>
        <v>922414750151065600</v>
      </c>
      <c r="F2255" s="23" t="s">
        <v>33</v>
      </c>
      <c r="G2255" s="24">
        <v>528.0</v>
      </c>
      <c r="H2255" s="24">
        <v>1084.0</v>
      </c>
      <c r="I2255" s="24">
        <v>8501.0</v>
      </c>
      <c r="J2255" s="24">
        <v>0.0</v>
      </c>
      <c r="K2255" s="23" t="s">
        <v>34</v>
      </c>
      <c r="L2255" s="25">
        <v>41894.82005787037</v>
      </c>
      <c r="M2255" s="26" t="s">
        <v>5467</v>
      </c>
      <c r="N2255" s="26" t="s">
        <v>5468</v>
      </c>
      <c r="O2255" s="22" t="str">
        <f>HYPERLINK("https://pbs.twimg.com/profile_images/628207020781367296/WyY_tBJ8_normal.jpg","View")</f>
        <v>View</v>
      </c>
      <c r="P2255" s="27"/>
    </row>
    <row r="2256">
      <c r="A2256" s="14">
        <v>43031.159629629634</v>
      </c>
      <c r="B2256" s="20" t="str">
        <f>HYPERLINK("https://twitter.com/vinay28021996","@vinay28021996")</f>
        <v>@vinay28021996</v>
      </c>
      <c r="C2256" s="21" t="s">
        <v>5469</v>
      </c>
      <c r="D2256" s="21" t="s">
        <v>42</v>
      </c>
      <c r="E2256" s="22" t="str">
        <f>HYPERLINK("https://twitter.com/vinay28021996/status/922414767888666625","922414767888666625")</f>
        <v>922414767888666625</v>
      </c>
      <c r="F2256" s="23" t="s">
        <v>33</v>
      </c>
      <c r="G2256" s="24">
        <v>33.0</v>
      </c>
      <c r="H2256" s="24">
        <v>54.0</v>
      </c>
      <c r="I2256" s="24">
        <v>8501.0</v>
      </c>
      <c r="J2256" s="24">
        <v>0.0</v>
      </c>
      <c r="K2256" s="23" t="s">
        <v>34</v>
      </c>
      <c r="L2256" s="25">
        <v>42490.93282407407</v>
      </c>
      <c r="M2256" s="26" t="s">
        <v>5470</v>
      </c>
      <c r="N2256" s="28"/>
      <c r="O2256" s="22" t="str">
        <f>HYPERLINK("https://pbs.twimg.com/profile_images/726646772647350276/CnmtX1s4_normal.jpg","View")</f>
        <v>View</v>
      </c>
      <c r="P2256" s="27"/>
    </row>
    <row r="2257">
      <c r="A2257" s="14">
        <v>43031.15974537037</v>
      </c>
      <c r="B2257" s="20" t="str">
        <f>HYPERLINK("https://twitter.com/businessanglr","@businessanglr")</f>
        <v>@businessanglr</v>
      </c>
      <c r="C2257" s="21" t="s">
        <v>5471</v>
      </c>
      <c r="D2257" s="21" t="s">
        <v>5472</v>
      </c>
      <c r="E2257" s="22" t="str">
        <f>HYPERLINK("https://twitter.com/businessanglr/status/922414808686825472","922414808686825472")</f>
        <v>922414808686825472</v>
      </c>
      <c r="F2257" s="23" t="s">
        <v>5473</v>
      </c>
      <c r="G2257" s="24">
        <v>72.0</v>
      </c>
      <c r="H2257" s="24">
        <v>3.0</v>
      </c>
      <c r="I2257" s="24">
        <v>1.0</v>
      </c>
      <c r="J2257" s="24">
        <v>0.0</v>
      </c>
      <c r="K2257" s="23" t="s">
        <v>34</v>
      </c>
      <c r="L2257" s="25">
        <v>41878.3641087963</v>
      </c>
      <c r="M2257" s="28"/>
      <c r="N2257" s="26" t="s">
        <v>5474</v>
      </c>
      <c r="O2257" s="22" t="str">
        <f>HYPERLINK("https://pbs.twimg.com/profile_images/677530351833608192/lMRcVg2M_normal.png","View")</f>
        <v>View</v>
      </c>
      <c r="P2257" s="27"/>
    </row>
    <row r="2258">
      <c r="A2258" s="14">
        <v>43031.15975694444</v>
      </c>
      <c r="B2258" s="20" t="str">
        <f>HYPERLINK("https://twitter.com/bhandarihant31","@bhandarihant31")</f>
        <v>@bhandarihant31</v>
      </c>
      <c r="C2258" s="21" t="s">
        <v>5475</v>
      </c>
      <c r="D2258" s="21" t="s">
        <v>42</v>
      </c>
      <c r="E2258" s="22" t="str">
        <f>HYPERLINK("https://twitter.com/bhandarihant31/status/922414811358511104","922414811358511104")</f>
        <v>922414811358511104</v>
      </c>
      <c r="F2258" s="23" t="s">
        <v>33</v>
      </c>
      <c r="G2258" s="24">
        <v>281.0</v>
      </c>
      <c r="H2258" s="24">
        <v>429.0</v>
      </c>
      <c r="I2258" s="24">
        <v>8501.0</v>
      </c>
      <c r="J2258" s="24">
        <v>0.0</v>
      </c>
      <c r="K2258" s="23" t="s">
        <v>34</v>
      </c>
      <c r="L2258" s="25">
        <v>40878.14827546296</v>
      </c>
      <c r="M2258" s="26" t="s">
        <v>5476</v>
      </c>
      <c r="N2258" s="26" t="s">
        <v>5477</v>
      </c>
      <c r="O2258" s="22" t="str">
        <f>HYPERLINK("https://pbs.twimg.com/profile_images/897238156956717056/EIeCUoM5_normal.jpg","View")</f>
        <v>View</v>
      </c>
      <c r="P2258" s="27"/>
    </row>
    <row r="2259">
      <c r="A2259" s="14">
        <v>43031.15975694444</v>
      </c>
      <c r="B2259" s="20" t="str">
        <f>HYPERLINK("https://twitter.com/newsanglr","@newsanglr")</f>
        <v>@newsanglr</v>
      </c>
      <c r="C2259" s="21" t="s">
        <v>5478</v>
      </c>
      <c r="D2259" s="21" t="s">
        <v>5479</v>
      </c>
      <c r="E2259" s="22" t="str">
        <f>HYPERLINK("https://twitter.com/newsanglr/status/922414811752947712","922414811752947712")</f>
        <v>922414811752947712</v>
      </c>
      <c r="F2259" s="23" t="s">
        <v>5480</v>
      </c>
      <c r="G2259" s="24">
        <v>2106.0</v>
      </c>
      <c r="H2259" s="24">
        <v>265.0</v>
      </c>
      <c r="I2259" s="24">
        <v>1.0</v>
      </c>
      <c r="J2259" s="24">
        <v>0.0</v>
      </c>
      <c r="K2259" s="23" t="s">
        <v>34</v>
      </c>
      <c r="L2259" s="25">
        <v>41667.26959490741</v>
      </c>
      <c r="M2259" s="28"/>
      <c r="N2259" s="26" t="s">
        <v>5481</v>
      </c>
      <c r="O2259" s="22" t="str">
        <f>HYPERLINK("https://pbs.twimg.com/profile_images/677516543228559361/HLqgnwgL_normal.png","View")</f>
        <v>View</v>
      </c>
      <c r="P2259" s="27"/>
    </row>
    <row r="2260">
      <c r="A2260" s="14">
        <v>43031.15976851852</v>
      </c>
      <c r="B2260" s="20" t="str">
        <f>HYPERLINK("https://twitter.com/InsdataInter","@InsdataInter")</f>
        <v>@InsdataInter</v>
      </c>
      <c r="C2260" s="21" t="s">
        <v>5482</v>
      </c>
      <c r="D2260" s="21" t="s">
        <v>2382</v>
      </c>
      <c r="E2260" s="22" t="str">
        <f>HYPERLINK("https://twitter.com/InsdataInter/status/922414815934664704","922414815934664704")</f>
        <v>922414815934664704</v>
      </c>
      <c r="F2260" s="23" t="s">
        <v>39</v>
      </c>
      <c r="G2260" s="24">
        <v>1725.0</v>
      </c>
      <c r="H2260" s="24">
        <v>2942.0</v>
      </c>
      <c r="I2260" s="24">
        <v>8.0</v>
      </c>
      <c r="J2260" s="24">
        <v>0.0</v>
      </c>
      <c r="K2260" s="23" t="s">
        <v>34</v>
      </c>
      <c r="L2260" s="25">
        <v>41533.38997685185</v>
      </c>
      <c r="M2260" s="26" t="s">
        <v>5483</v>
      </c>
      <c r="N2260" s="28"/>
      <c r="O2260" s="22" t="str">
        <f>HYPERLINK("https://pbs.twimg.com/profile_images/378800000501893520/b4582cd3ce52a7c47133d606b639176e_normal.jpeg","View")</f>
        <v>View</v>
      </c>
      <c r="P2260" s="27"/>
    </row>
    <row r="2261">
      <c r="A2261" s="14">
        <v>43031.159780092596</v>
      </c>
      <c r="B2261" s="20" t="str">
        <f>HYPERLINK("https://twitter.com/SCMP_News","@SCMP_News")</f>
        <v>@SCMP_News</v>
      </c>
      <c r="C2261" s="21" t="s">
        <v>5484</v>
      </c>
      <c r="D2261" s="21" t="s">
        <v>5485</v>
      </c>
      <c r="E2261" s="22" t="str">
        <f>HYPERLINK("https://twitter.com/SCMP_News/status/922414820372221952","922414820372221952")</f>
        <v>922414820372221952</v>
      </c>
      <c r="F2261" s="23" t="s">
        <v>4619</v>
      </c>
      <c r="G2261" s="24">
        <v>505566.0</v>
      </c>
      <c r="H2261" s="24">
        <v>345.0</v>
      </c>
      <c r="I2261" s="24">
        <v>4.0</v>
      </c>
      <c r="J2261" s="24">
        <v>5.0</v>
      </c>
      <c r="K2261" s="23" t="s">
        <v>34</v>
      </c>
      <c r="L2261" s="25">
        <v>39884.07766203704</v>
      </c>
      <c r="M2261" s="26" t="s">
        <v>2185</v>
      </c>
      <c r="N2261" s="26" t="s">
        <v>5486</v>
      </c>
      <c r="O2261" s="22" t="str">
        <f>HYPERLINK("https://pbs.twimg.com/profile_images/593315521707159552/nSAjByJO_normal.png","View")</f>
        <v>View</v>
      </c>
      <c r="P2261" s="27"/>
    </row>
    <row r="2262">
      <c r="A2262" s="14">
        <v>43031.15982638889</v>
      </c>
      <c r="B2262" s="20" t="str">
        <f>HYPERLINK("https://twitter.com/RanejaSuresh","@RanejaSuresh")</f>
        <v>@RanejaSuresh</v>
      </c>
      <c r="C2262" s="21" t="s">
        <v>5487</v>
      </c>
      <c r="D2262" s="21" t="s">
        <v>42</v>
      </c>
      <c r="E2262" s="22" t="str">
        <f>HYPERLINK("https://twitter.com/RanejaSuresh/status/922414836390150144","922414836390150144")</f>
        <v>922414836390150144</v>
      </c>
      <c r="F2262" s="23" t="s">
        <v>33</v>
      </c>
      <c r="G2262" s="24">
        <v>66.0</v>
      </c>
      <c r="H2262" s="24">
        <v>173.0</v>
      </c>
      <c r="I2262" s="24">
        <v>8501.0</v>
      </c>
      <c r="J2262" s="24">
        <v>0.0</v>
      </c>
      <c r="K2262" s="23" t="s">
        <v>34</v>
      </c>
      <c r="L2262" s="25">
        <v>43009.22960648148</v>
      </c>
      <c r="M2262" s="26" t="s">
        <v>5488</v>
      </c>
      <c r="N2262" s="26" t="s">
        <v>5489</v>
      </c>
      <c r="O2262" s="22" t="str">
        <f>HYPERLINK("https://pbs.twimg.com/profile_images/914515447478870017/BI9C13hZ_normal.jpg","View")</f>
        <v>View</v>
      </c>
      <c r="P2262" s="27"/>
    </row>
    <row r="2263">
      <c r="A2263" s="14">
        <v>43031.15986111111</v>
      </c>
      <c r="B2263" s="20" t="str">
        <f>HYPERLINK("https://twitter.com/anshulc03","@anshulc03")</f>
        <v>@anshulc03</v>
      </c>
      <c r="C2263" s="21" t="s">
        <v>5490</v>
      </c>
      <c r="D2263" s="21" t="s">
        <v>42</v>
      </c>
      <c r="E2263" s="22" t="str">
        <f>HYPERLINK("https://twitter.com/anshulc03/status/922414851560837122","922414851560837122")</f>
        <v>922414851560837122</v>
      </c>
      <c r="F2263" s="23" t="s">
        <v>33</v>
      </c>
      <c r="G2263" s="24">
        <v>41.0</v>
      </c>
      <c r="H2263" s="24">
        <v>273.0</v>
      </c>
      <c r="I2263" s="24">
        <v>8501.0</v>
      </c>
      <c r="J2263" s="24">
        <v>0.0</v>
      </c>
      <c r="K2263" s="23" t="s">
        <v>34</v>
      </c>
      <c r="L2263" s="25">
        <v>41542.170810185184</v>
      </c>
      <c r="M2263" s="28"/>
      <c r="N2263" s="28"/>
      <c r="O2263" s="22" t="str">
        <f>HYPERLINK("https://pbs.twimg.com/profile_images/893497187300016129/mVSaZSAG_normal.jpg","View")</f>
        <v>View</v>
      </c>
      <c r="P2263" s="27"/>
    </row>
    <row r="2264">
      <c r="A2264" s="14">
        <v>43031.15987268518</v>
      </c>
      <c r="B2264" s="20" t="str">
        <f>HYPERLINK("https://twitter.com/tipi_1","@tipi_1")</f>
        <v>@tipi_1</v>
      </c>
      <c r="C2264" s="21" t="s">
        <v>5393</v>
      </c>
      <c r="D2264" s="21" t="s">
        <v>5491</v>
      </c>
      <c r="E2264" s="22" t="str">
        <f>HYPERLINK("https://twitter.com/tipi_1/status/922414853196861440","922414853196861440")</f>
        <v>922414853196861440</v>
      </c>
      <c r="F2264" s="23" t="s">
        <v>55</v>
      </c>
      <c r="G2264" s="24">
        <v>976.0</v>
      </c>
      <c r="H2264" s="24">
        <v>2354.0</v>
      </c>
      <c r="I2264" s="24">
        <v>1.0</v>
      </c>
      <c r="J2264" s="24">
        <v>0.0</v>
      </c>
      <c r="K2264" s="23" t="s">
        <v>34</v>
      </c>
      <c r="L2264" s="25">
        <v>39634.55489583333</v>
      </c>
      <c r="M2264" s="28"/>
      <c r="N2264" s="26" t="s">
        <v>5394</v>
      </c>
      <c r="O2264" s="22" t="str">
        <f>HYPERLINK("https://pbs.twimg.com/profile_images/613819814218465280/UQIC8dHE_normal.jpg","View")</f>
        <v>View</v>
      </c>
      <c r="P2264" s="27"/>
    </row>
    <row r="2265">
      <c r="A2265" s="14">
        <v>43031.160057870366</v>
      </c>
      <c r="B2265" s="20" t="str">
        <f>HYPERLINK("https://twitter.com/JGKaram","@JGKaram")</f>
        <v>@JGKaram</v>
      </c>
      <c r="C2265" s="21" t="s">
        <v>5492</v>
      </c>
      <c r="D2265" s="21" t="s">
        <v>5493</v>
      </c>
      <c r="E2265" s="22" t="str">
        <f>HYPERLINK("https://twitter.com/JGKaram/status/922414920418971649","922414920418971649")</f>
        <v>922414920418971649</v>
      </c>
      <c r="F2265" s="23" t="s">
        <v>39</v>
      </c>
      <c r="G2265" s="24">
        <v>224.0</v>
      </c>
      <c r="H2265" s="24">
        <v>596.0</v>
      </c>
      <c r="I2265" s="24">
        <v>0.0</v>
      </c>
      <c r="J2265" s="24">
        <v>0.0</v>
      </c>
      <c r="K2265" s="23" t="s">
        <v>34</v>
      </c>
      <c r="L2265" s="25">
        <v>40216.2352662037</v>
      </c>
      <c r="M2265" s="26" t="s">
        <v>2619</v>
      </c>
      <c r="N2265" s="26" t="s">
        <v>5494</v>
      </c>
      <c r="O2265" s="22" t="str">
        <f>HYPERLINK("https://pbs.twimg.com/profile_images/875082224894345216/Ot09_VeJ_normal.jpg","View")</f>
        <v>View</v>
      </c>
      <c r="P2265" s="27"/>
    </row>
    <row r="2266">
      <c r="A2266" s="14">
        <v>43031.16006944445</v>
      </c>
      <c r="B2266" s="20" t="str">
        <f>HYPERLINK("https://twitter.com/tusharbbd","@tusharbbd")</f>
        <v>@tusharbbd</v>
      </c>
      <c r="C2266" s="21" t="s">
        <v>5495</v>
      </c>
      <c r="D2266" s="21" t="s">
        <v>2951</v>
      </c>
      <c r="E2266" s="22" t="str">
        <f>HYPERLINK("https://twitter.com/tusharbbd/status/922414926571831296","922414926571831296")</f>
        <v>922414926571831296</v>
      </c>
      <c r="F2266" s="23" t="s">
        <v>33</v>
      </c>
      <c r="G2266" s="24">
        <v>79.0</v>
      </c>
      <c r="H2266" s="24">
        <v>279.0</v>
      </c>
      <c r="I2266" s="24">
        <v>4.0</v>
      </c>
      <c r="J2266" s="24">
        <v>0.0</v>
      </c>
      <c r="K2266" s="23" t="s">
        <v>34</v>
      </c>
      <c r="L2266" s="25">
        <v>40309.07796296296</v>
      </c>
      <c r="M2266" s="26" t="s">
        <v>5496</v>
      </c>
      <c r="N2266" s="28"/>
      <c r="O2266" s="22" t="str">
        <f>HYPERLINK("https://pbs.twimg.com/profile_images/2179201254/PS_889bce16-98a1-43ae-8678-eeb7a8f3fab6_normal.jpg","View")</f>
        <v>View</v>
      </c>
      <c r="P2266" s="27"/>
    </row>
    <row r="2267">
      <c r="A2267" s="14">
        <v>43031.16012731481</v>
      </c>
      <c r="B2267" s="20" t="str">
        <f>HYPERLINK("https://twitter.com/FXinEffect1","@FXinEffect1")</f>
        <v>@FXinEffect1</v>
      </c>
      <c r="C2267" s="21" t="s">
        <v>5497</v>
      </c>
      <c r="D2267" s="21" t="s">
        <v>5498</v>
      </c>
      <c r="E2267" s="22" t="str">
        <f>HYPERLINK("https://twitter.com/FXinEffect1/status/922414947946188802","922414947946188802")</f>
        <v>922414947946188802</v>
      </c>
      <c r="F2267" s="23" t="s">
        <v>187</v>
      </c>
      <c r="G2267" s="24">
        <v>1243.0</v>
      </c>
      <c r="H2267" s="24">
        <v>1747.0</v>
      </c>
      <c r="I2267" s="24">
        <v>0.0</v>
      </c>
      <c r="J2267" s="24">
        <v>0.0</v>
      </c>
      <c r="K2267" s="23" t="s">
        <v>34</v>
      </c>
      <c r="L2267" s="25">
        <v>41693.44121527778</v>
      </c>
      <c r="M2267" s="26" t="s">
        <v>1246</v>
      </c>
      <c r="N2267" s="26" t="s">
        <v>5499</v>
      </c>
      <c r="O2267" s="22" t="str">
        <f>HYPERLINK("https://pbs.twimg.com/profile_images/796842238114402304/OdWQ06xI_normal.jpg","View")</f>
        <v>View</v>
      </c>
      <c r="P2267" s="27"/>
    </row>
    <row r="2268">
      <c r="A2268" s="14">
        <v>43031.160150462965</v>
      </c>
      <c r="B2268" s="20" t="str">
        <f>HYPERLINK("https://twitter.com/natasja_sommer","@natasja_sommer")</f>
        <v>@natasja_sommer</v>
      </c>
      <c r="C2268" s="21" t="s">
        <v>5500</v>
      </c>
      <c r="D2268" s="21" t="s">
        <v>5501</v>
      </c>
      <c r="E2268" s="22" t="str">
        <f>HYPERLINK("https://twitter.com/natasja_sommer/status/922414955122577410","922414955122577410")</f>
        <v>922414955122577410</v>
      </c>
      <c r="F2268" s="23" t="s">
        <v>39</v>
      </c>
      <c r="G2268" s="24">
        <v>547.0</v>
      </c>
      <c r="H2268" s="24">
        <v>820.0</v>
      </c>
      <c r="I2268" s="24">
        <v>4.0</v>
      </c>
      <c r="J2268" s="24">
        <v>0.0</v>
      </c>
      <c r="K2268" s="23" t="s">
        <v>34</v>
      </c>
      <c r="L2268" s="25">
        <v>42187.10408564815</v>
      </c>
      <c r="M2268" s="28"/>
      <c r="N2268" s="26" t="s">
        <v>5502</v>
      </c>
      <c r="O2268" s="22" t="str">
        <f>HYPERLINK("https://pbs.twimg.com/profile_images/616541112107319296/FC4z_pTd_normal.png","View")</f>
        <v>View</v>
      </c>
      <c r="P2268" s="27"/>
    </row>
    <row r="2269">
      <c r="A2269" s="14">
        <v>43031.16018518519</v>
      </c>
      <c r="B2269" s="20" t="str">
        <f>HYPERLINK("https://twitter.com/imd_zone","@imd_zone")</f>
        <v>@imd_zone</v>
      </c>
      <c r="C2269" s="21" t="s">
        <v>5503</v>
      </c>
      <c r="D2269" s="21" t="s">
        <v>42</v>
      </c>
      <c r="E2269" s="22" t="str">
        <f>HYPERLINK("https://twitter.com/imd_zone/status/922414966388305920","922414966388305920")</f>
        <v>922414966388305920</v>
      </c>
      <c r="F2269" s="23" t="s">
        <v>86</v>
      </c>
      <c r="G2269" s="24">
        <v>3218.0</v>
      </c>
      <c r="H2269" s="24">
        <v>400.0</v>
      </c>
      <c r="I2269" s="24">
        <v>8501.0</v>
      </c>
      <c r="J2269" s="24">
        <v>0.0</v>
      </c>
      <c r="K2269" s="23" t="s">
        <v>34</v>
      </c>
      <c r="L2269" s="25">
        <v>40796.18947916667</v>
      </c>
      <c r="M2269" s="28"/>
      <c r="N2269" s="26" t="s">
        <v>5504</v>
      </c>
      <c r="O2269" s="22" t="str">
        <f>HYPERLINK("https://pbs.twimg.com/profile_images/862721110806286337/GfhS72_C_normal.jpg","View")</f>
        <v>View</v>
      </c>
      <c r="P2269" s="27"/>
    </row>
    <row r="2270">
      <c r="A2270" s="14">
        <v>43031.16024305555</v>
      </c>
      <c r="B2270" s="20" t="str">
        <f>HYPERLINK("https://twitter.com/maytas_","@maytas_")</f>
        <v>@maytas_</v>
      </c>
      <c r="C2270" s="21" t="s">
        <v>5505</v>
      </c>
      <c r="D2270" s="21" t="s">
        <v>42</v>
      </c>
      <c r="E2270" s="22" t="str">
        <f>HYPERLINK("https://twitter.com/maytas_/status/922414986789392385","922414986789392385")</f>
        <v>922414986789392385</v>
      </c>
      <c r="F2270" s="23" t="s">
        <v>33</v>
      </c>
      <c r="G2270" s="24">
        <v>84.0</v>
      </c>
      <c r="H2270" s="24">
        <v>329.0</v>
      </c>
      <c r="I2270" s="24">
        <v>8501.0</v>
      </c>
      <c r="J2270" s="24">
        <v>0.0</v>
      </c>
      <c r="K2270" s="23" t="s">
        <v>34</v>
      </c>
      <c r="L2270" s="25">
        <v>42484.27376157408</v>
      </c>
      <c r="M2270" s="26" t="s">
        <v>5506</v>
      </c>
      <c r="N2270" s="26" t="s">
        <v>5507</v>
      </c>
      <c r="O2270" s="22" t="str">
        <f>HYPERLINK("https://pbs.twimg.com/profile_images/919471090232995840/R1mrwHxN_normal.jpg","View")</f>
        <v>View</v>
      </c>
      <c r="P2270" s="27"/>
    </row>
    <row r="2271">
      <c r="A2271" s="14">
        <v>43031.16024305555</v>
      </c>
      <c r="B2271" s="20" t="str">
        <f>HYPERLINK("https://twitter.com/MarikaKatanuma","@MarikaKatanuma")</f>
        <v>@MarikaKatanuma</v>
      </c>
      <c r="C2271" s="21" t="s">
        <v>5508</v>
      </c>
      <c r="D2271" s="21" t="s">
        <v>3812</v>
      </c>
      <c r="E2271" s="22" t="str">
        <f>HYPERLINK("https://twitter.com/MarikaKatanuma/status/922414990308417537","922414990308417537")</f>
        <v>922414990308417537</v>
      </c>
      <c r="F2271" s="23" t="s">
        <v>39</v>
      </c>
      <c r="G2271" s="24">
        <v>634.0</v>
      </c>
      <c r="H2271" s="24">
        <v>772.0</v>
      </c>
      <c r="I2271" s="24">
        <v>2.0</v>
      </c>
      <c r="J2271" s="24">
        <v>0.0</v>
      </c>
      <c r="K2271" s="23" t="s">
        <v>34</v>
      </c>
      <c r="L2271" s="25">
        <v>42137.404710648145</v>
      </c>
      <c r="M2271" s="26" t="s">
        <v>5509</v>
      </c>
      <c r="N2271" s="26" t="s">
        <v>5510</v>
      </c>
      <c r="O2271" s="22" t="str">
        <f>HYPERLINK("https://pbs.twimg.com/profile_images/883685444445065221/UpZrqq8K_normal.jpg","View")</f>
        <v>View</v>
      </c>
      <c r="P2271" s="27"/>
    </row>
    <row r="2272">
      <c r="A2272" s="14">
        <v>43031.16030092593</v>
      </c>
      <c r="B2272" s="20" t="str">
        <f>HYPERLINK("https://twitter.com/israelstag","@israelstag")</f>
        <v>@israelstag</v>
      </c>
      <c r="C2272" s="21" t="s">
        <v>5511</v>
      </c>
      <c r="D2272" s="21" t="s">
        <v>5512</v>
      </c>
      <c r="E2272" s="22" t="str">
        <f>HYPERLINK("https://twitter.com/israelstag/status/922415008134455297","922415008134455297")</f>
        <v>922415008134455297</v>
      </c>
      <c r="F2272" s="23" t="s">
        <v>187</v>
      </c>
      <c r="G2272" s="24">
        <v>440.0</v>
      </c>
      <c r="H2272" s="24">
        <v>366.0</v>
      </c>
      <c r="I2272" s="24">
        <v>0.0</v>
      </c>
      <c r="J2272" s="24">
        <v>0.0</v>
      </c>
      <c r="K2272" s="23" t="s">
        <v>34</v>
      </c>
      <c r="L2272" s="25">
        <v>41270.37657407408</v>
      </c>
      <c r="M2272" s="26" t="s">
        <v>5513</v>
      </c>
      <c r="N2272" s="26" t="s">
        <v>5514</v>
      </c>
      <c r="O2272" s="22" t="str">
        <f>HYPERLINK("https://pbs.twimg.com/profile_images/3029067821/1c768808e122f6bb2e74c8dd753d56ae_normal.jpeg","View")</f>
        <v>View</v>
      </c>
      <c r="P2272" s="27"/>
    </row>
    <row r="2273">
      <c r="A2273" s="14">
        <v>43031.16030092593</v>
      </c>
      <c r="B2273" s="20" t="str">
        <f>HYPERLINK("https://twitter.com/MUZA4R","@MUZA4R")</f>
        <v>@MUZA4R</v>
      </c>
      <c r="C2273" s="21" t="s">
        <v>5515</v>
      </c>
      <c r="D2273" s="21" t="s">
        <v>42</v>
      </c>
      <c r="E2273" s="22" t="str">
        <f>HYPERLINK("https://twitter.com/MUZA4R/status/922415010780815360","922415010780815360")</f>
        <v>922415010780815360</v>
      </c>
      <c r="F2273" s="23" t="s">
        <v>39</v>
      </c>
      <c r="G2273" s="24">
        <v>88.0</v>
      </c>
      <c r="H2273" s="24">
        <v>379.0</v>
      </c>
      <c r="I2273" s="24">
        <v>8501.0</v>
      </c>
      <c r="J2273" s="24">
        <v>0.0</v>
      </c>
      <c r="K2273" s="23" t="s">
        <v>34</v>
      </c>
      <c r="L2273" s="25">
        <v>41499.92922453704</v>
      </c>
      <c r="M2273" s="26" t="s">
        <v>5516</v>
      </c>
      <c r="N2273" s="26" t="s">
        <v>5517</v>
      </c>
      <c r="O2273" s="22" t="str">
        <f>HYPERLINK("https://pbs.twimg.com/profile_images/921786947713998848/BLwgX9yU_normal.jpg","View")</f>
        <v>View</v>
      </c>
      <c r="P2273" s="27"/>
    </row>
    <row r="2274">
      <c r="A2274" s="14">
        <v>43031.16033564815</v>
      </c>
      <c r="B2274" s="20" t="str">
        <f>HYPERLINK("https://twitter.com/nirbhaisingh07","@nirbhaisingh07")</f>
        <v>@nirbhaisingh07</v>
      </c>
      <c r="C2274" s="21" t="s">
        <v>5518</v>
      </c>
      <c r="D2274" s="21" t="s">
        <v>42</v>
      </c>
      <c r="E2274" s="22" t="str">
        <f>HYPERLINK("https://twitter.com/nirbhaisingh07/status/922415020457078784","922415020457078784")</f>
        <v>922415020457078784</v>
      </c>
      <c r="F2274" s="23" t="s">
        <v>33</v>
      </c>
      <c r="G2274" s="24">
        <v>50508.0</v>
      </c>
      <c r="H2274" s="24">
        <v>372.0</v>
      </c>
      <c r="I2274" s="24">
        <v>8501.0</v>
      </c>
      <c r="J2274" s="24">
        <v>0.0</v>
      </c>
      <c r="K2274" s="23" t="s">
        <v>34</v>
      </c>
      <c r="L2274" s="25">
        <v>41672.2202662037</v>
      </c>
      <c r="M2274" s="26" t="s">
        <v>5519</v>
      </c>
      <c r="N2274" s="26" t="s">
        <v>5520</v>
      </c>
      <c r="O2274" s="22" t="str">
        <f>HYPERLINK("https://pbs.twimg.com/profile_images/893876429057687552/C_nai3gO_normal.jpg","View")</f>
        <v>View</v>
      </c>
      <c r="P2274" s="27"/>
    </row>
    <row r="2275">
      <c r="A2275" s="14">
        <v>43031.16055555556</v>
      </c>
      <c r="B2275" s="20" t="str">
        <f>HYPERLINK("https://twitter.com/ParlGov","@ParlGov")</f>
        <v>@ParlGov</v>
      </c>
      <c r="C2275" s="21" t="s">
        <v>5521</v>
      </c>
      <c r="D2275" s="21" t="s">
        <v>5522</v>
      </c>
      <c r="E2275" s="22" t="str">
        <f>HYPERLINK("https://twitter.com/ParlGov/status/922415099498975232","922415099498975232")</f>
        <v>922415099498975232</v>
      </c>
      <c r="F2275" s="23" t="s">
        <v>39</v>
      </c>
      <c r="G2275" s="24">
        <v>1055.0</v>
      </c>
      <c r="H2275" s="24">
        <v>154.0</v>
      </c>
      <c r="I2275" s="24">
        <v>0.0</v>
      </c>
      <c r="J2275" s="24">
        <v>0.0</v>
      </c>
      <c r="K2275" s="23" t="s">
        <v>34</v>
      </c>
      <c r="L2275" s="25">
        <v>40609.033784722225</v>
      </c>
      <c r="M2275" s="28"/>
      <c r="N2275" s="26" t="s">
        <v>5523</v>
      </c>
      <c r="O2275" s="22" t="str">
        <f>HYPERLINK("https://pbs.twimg.com/profile_images/630448227914022912/Na99Zox2_normal.png","View")</f>
        <v>View</v>
      </c>
      <c r="P2275" s="27"/>
    </row>
    <row r="2276">
      <c r="A2276" s="14">
        <v>43031.16061342593</v>
      </c>
      <c r="B2276" s="20" t="str">
        <f>HYPERLINK("https://twitter.com/JCFisherandAssc","@JCFisherandAssc")</f>
        <v>@JCFisherandAssc</v>
      </c>
      <c r="C2276" s="21" t="s">
        <v>5524</v>
      </c>
      <c r="D2276" s="21" t="s">
        <v>5525</v>
      </c>
      <c r="E2276" s="22" t="str">
        <f>HYPERLINK("https://twitter.com/JCFisherandAssc/status/922415121623928832","922415121623928832")</f>
        <v>922415121623928832</v>
      </c>
      <c r="F2276" s="23" t="s">
        <v>187</v>
      </c>
      <c r="G2276" s="24">
        <v>2130.0</v>
      </c>
      <c r="H2276" s="24">
        <v>2300.0</v>
      </c>
      <c r="I2276" s="24">
        <v>0.0</v>
      </c>
      <c r="J2276" s="24">
        <v>0.0</v>
      </c>
      <c r="K2276" s="23" t="s">
        <v>34</v>
      </c>
      <c r="L2276" s="25">
        <v>42264.713101851856</v>
      </c>
      <c r="M2276" s="26" t="s">
        <v>5526</v>
      </c>
      <c r="N2276" s="26" t="s">
        <v>5527</v>
      </c>
      <c r="O2276" s="22" t="str">
        <f>HYPERLINK("https://pbs.twimg.com/profile_images/644665639030947844/WjizHkaW_normal.jpg","View")</f>
        <v>View</v>
      </c>
      <c r="P2276" s="27"/>
    </row>
    <row r="2277">
      <c r="A2277" s="14">
        <v>43031.16071759259</v>
      </c>
      <c r="B2277" s="20" t="str">
        <f>HYPERLINK("https://twitter.com/BeautySkinYourN","@BeautySkinYourN")</f>
        <v>@BeautySkinYourN</v>
      </c>
      <c r="C2277" s="21" t="s">
        <v>5528</v>
      </c>
      <c r="D2277" s="21" t="s">
        <v>5529</v>
      </c>
      <c r="E2277" s="22" t="str">
        <f>HYPERLINK("https://twitter.com/BeautySkinYourN/status/922415161641766912","922415161641766912")</f>
        <v>922415161641766912</v>
      </c>
      <c r="F2277" s="23" t="s">
        <v>55</v>
      </c>
      <c r="G2277" s="24">
        <v>175.0</v>
      </c>
      <c r="H2277" s="24">
        <v>139.0</v>
      </c>
      <c r="I2277" s="24">
        <v>0.0</v>
      </c>
      <c r="J2277" s="24">
        <v>0.0</v>
      </c>
      <c r="K2277" s="23" t="s">
        <v>34</v>
      </c>
      <c r="L2277" s="25">
        <v>42691.27119212963</v>
      </c>
      <c r="M2277" s="28"/>
      <c r="N2277" s="26" t="s">
        <v>5530</v>
      </c>
      <c r="O2277" s="22" t="str">
        <f>HYPERLINK("https://pbs.twimg.com/profile_images/799265637440704512/RIw-GI_c_normal.jpg","View")</f>
        <v>View</v>
      </c>
      <c r="P2277" s="27"/>
    </row>
    <row r="2278">
      <c r="A2278" s="14">
        <v>43031.160729166666</v>
      </c>
      <c r="B2278" s="20" t="str">
        <f>HYPERLINK("https://twitter.com/CorvoSol","@CorvoSol")</f>
        <v>@CorvoSol</v>
      </c>
      <c r="C2278" s="21" t="s">
        <v>5531</v>
      </c>
      <c r="D2278" s="21" t="s">
        <v>5532</v>
      </c>
      <c r="E2278" s="22" t="str">
        <f>HYPERLINK("https://twitter.com/CorvoSol/status/922415166121156609","922415166121156609")</f>
        <v>922415166121156609</v>
      </c>
      <c r="F2278" s="23" t="s">
        <v>55</v>
      </c>
      <c r="G2278" s="24">
        <v>202.0</v>
      </c>
      <c r="H2278" s="24">
        <v>100.0</v>
      </c>
      <c r="I2278" s="24">
        <v>0.0</v>
      </c>
      <c r="J2278" s="24">
        <v>0.0</v>
      </c>
      <c r="K2278" s="23" t="s">
        <v>34</v>
      </c>
      <c r="L2278" s="25">
        <v>41435.12230324074</v>
      </c>
      <c r="M2278" s="26" t="s">
        <v>5533</v>
      </c>
      <c r="N2278" s="26" t="s">
        <v>5534</v>
      </c>
      <c r="O2278" s="22" t="str">
        <f>HYPERLINK("https://pbs.twimg.com/profile_images/818841854544203776/As_mKgKI_normal.jpg","View")</f>
        <v>View</v>
      </c>
      <c r="P2278" s="27"/>
    </row>
    <row r="2279">
      <c r="A2279" s="14">
        <v>43031.16083333333</v>
      </c>
      <c r="B2279" s="20" t="str">
        <f>HYPERLINK("https://twitter.com/SugimuraIP","@SugimuraIP")</f>
        <v>@SugimuraIP</v>
      </c>
      <c r="C2279" s="21" t="s">
        <v>5535</v>
      </c>
      <c r="D2279" s="21" t="s">
        <v>5536</v>
      </c>
      <c r="E2279" s="22" t="str">
        <f>HYPERLINK("https://twitter.com/SugimuraIP/status/922415201982537729","922415201982537729")</f>
        <v>922415201982537729</v>
      </c>
      <c r="F2279" s="23" t="s">
        <v>187</v>
      </c>
      <c r="G2279" s="24">
        <v>1684.0</v>
      </c>
      <c r="H2279" s="24">
        <v>748.0</v>
      </c>
      <c r="I2279" s="24">
        <v>0.0</v>
      </c>
      <c r="J2279" s="24">
        <v>0.0</v>
      </c>
      <c r="K2279" s="23" t="s">
        <v>34</v>
      </c>
      <c r="L2279" s="25">
        <v>41494.99694444444</v>
      </c>
      <c r="M2279" s="26" t="s">
        <v>923</v>
      </c>
      <c r="N2279" s="26" t="s">
        <v>5537</v>
      </c>
      <c r="O2279" s="22" t="str">
        <f>HYPERLINK("https://pbs.twimg.com/profile_images/378800000263751071/fbce8dd28d77a613d95f31dcbda75470_normal.jpeg","View")</f>
        <v>View</v>
      </c>
      <c r="P2279" s="27"/>
    </row>
    <row r="2280">
      <c r="A2280" s="14">
        <v>43031.16084490741</v>
      </c>
      <c r="B2280" s="20" t="str">
        <f>HYPERLINK("https://twitter.com/9maksimlebedev","@9maksimlebedev")</f>
        <v>@9maksimlebedev</v>
      </c>
      <c r="C2280" s="21" t="s">
        <v>5403</v>
      </c>
      <c r="D2280" s="21" t="s">
        <v>3227</v>
      </c>
      <c r="E2280" s="22" t="str">
        <f>HYPERLINK("https://twitter.com/9maksimlebedev/status/922415205555978240","922415205555978240")</f>
        <v>922415205555978240</v>
      </c>
      <c r="F2280" s="23" t="s">
        <v>55</v>
      </c>
      <c r="G2280" s="24">
        <v>6.0</v>
      </c>
      <c r="H2280" s="24">
        <v>0.0</v>
      </c>
      <c r="I2280" s="24">
        <v>61.0</v>
      </c>
      <c r="J2280" s="24">
        <v>0.0</v>
      </c>
      <c r="K2280" s="23" t="s">
        <v>34</v>
      </c>
      <c r="L2280" s="25">
        <v>43015.622141203705</v>
      </c>
      <c r="M2280" s="28"/>
      <c r="N2280" s="28"/>
      <c r="O2280" s="22" t="str">
        <f>HYPERLINK("https://pbs.twimg.com/profile_images/918880479272624128/7D5-vXH2_normal.jpg","View")</f>
        <v>View</v>
      </c>
      <c r="P2280" s="27"/>
    </row>
    <row r="2281">
      <c r="A2281" s="14">
        <v>43031.16111111111</v>
      </c>
      <c r="B2281" s="20" t="str">
        <f>HYPERLINK("https://twitter.com/AdeleMFraser","@AdeleMFraser")</f>
        <v>@AdeleMFraser</v>
      </c>
      <c r="C2281" s="21" t="s">
        <v>5538</v>
      </c>
      <c r="D2281" s="21" t="s">
        <v>2428</v>
      </c>
      <c r="E2281" s="22" t="str">
        <f>HYPERLINK("https://twitter.com/AdeleMFraser/status/922415304902348800","922415304902348800")</f>
        <v>922415304902348800</v>
      </c>
      <c r="F2281" s="23" t="s">
        <v>39</v>
      </c>
      <c r="G2281" s="24">
        <v>271.0</v>
      </c>
      <c r="H2281" s="24">
        <v>554.0</v>
      </c>
      <c r="I2281" s="24">
        <v>16.0</v>
      </c>
      <c r="J2281" s="24">
        <v>0.0</v>
      </c>
      <c r="K2281" s="23" t="s">
        <v>34</v>
      </c>
      <c r="L2281" s="25">
        <v>41300.58027777778</v>
      </c>
      <c r="M2281" s="26" t="s">
        <v>40</v>
      </c>
      <c r="N2281" s="26" t="s">
        <v>5539</v>
      </c>
      <c r="O2281" s="22" t="str">
        <f>HYPERLINK("https://pbs.twimg.com/profile_images/918179688153075713/8Pfqqavm_normal.jpg","View")</f>
        <v>View</v>
      </c>
      <c r="P2281" s="27"/>
    </row>
    <row r="2282">
      <c r="A2282" s="14">
        <v>43031.16121527778</v>
      </c>
      <c r="B2282" s="20" t="str">
        <f>HYPERLINK("https://twitter.com/BSArora67","@BSArora67")</f>
        <v>@BSArora67</v>
      </c>
      <c r="C2282" s="21" t="s">
        <v>5540</v>
      </c>
      <c r="D2282" s="21" t="s">
        <v>42</v>
      </c>
      <c r="E2282" s="22" t="str">
        <f>HYPERLINK("https://twitter.com/BSArora67/status/922415341547937793","922415341547937793")</f>
        <v>922415341547937793</v>
      </c>
      <c r="F2282" s="23" t="s">
        <v>33</v>
      </c>
      <c r="G2282" s="24">
        <v>964.0</v>
      </c>
      <c r="H2282" s="24">
        <v>4944.0</v>
      </c>
      <c r="I2282" s="24">
        <v>8501.0</v>
      </c>
      <c r="J2282" s="24">
        <v>0.0</v>
      </c>
      <c r="K2282" s="23" t="s">
        <v>34</v>
      </c>
      <c r="L2282" s="25">
        <v>41373.39165509259</v>
      </c>
      <c r="M2282" s="26" t="s">
        <v>136</v>
      </c>
      <c r="N2282" s="26" t="s">
        <v>5541</v>
      </c>
      <c r="O2282" s="22" t="str">
        <f>HYPERLINK("https://pbs.twimg.com/profile_images/655440174126514176/xjXYs3y6_normal.jpg","View")</f>
        <v>View</v>
      </c>
      <c r="P2282" s="27"/>
    </row>
    <row r="2283">
      <c r="A2283" s="14">
        <v>43031.16123842592</v>
      </c>
      <c r="B2283" s="20" t="str">
        <f>HYPERLINK("https://twitter.com/iamrohan712","@iamrohan712")</f>
        <v>@iamrohan712</v>
      </c>
      <c r="C2283" s="21" t="s">
        <v>5542</v>
      </c>
      <c r="D2283" s="21" t="s">
        <v>42</v>
      </c>
      <c r="E2283" s="22" t="str">
        <f>HYPERLINK("https://twitter.com/iamrohan712/status/922415350402052097","922415350402052097")</f>
        <v>922415350402052097</v>
      </c>
      <c r="F2283" s="23" t="s">
        <v>33</v>
      </c>
      <c r="G2283" s="24">
        <v>21.0</v>
      </c>
      <c r="H2283" s="24">
        <v>231.0</v>
      </c>
      <c r="I2283" s="24">
        <v>8501.0</v>
      </c>
      <c r="J2283" s="24">
        <v>0.0</v>
      </c>
      <c r="K2283" s="23" t="s">
        <v>34</v>
      </c>
      <c r="L2283" s="25">
        <v>41999.085127314815</v>
      </c>
      <c r="M2283" s="26" t="s">
        <v>207</v>
      </c>
      <c r="N2283" s="26" t="s">
        <v>5543</v>
      </c>
      <c r="O2283" s="22" t="str">
        <f>HYPERLINK("https://pbs.twimg.com/profile_images/911139739591335936/QjJ-QN25_normal.jpg","View")</f>
        <v>View</v>
      </c>
      <c r="P2283" s="27"/>
    </row>
    <row r="2284">
      <c r="A2284" s="14">
        <v>43031.16150462963</v>
      </c>
      <c r="B2284" s="20" t="str">
        <f>HYPERLINK("https://twitter.com/9maksimlebedev","@9maksimlebedev")</f>
        <v>@9maksimlebedev</v>
      </c>
      <c r="C2284" s="21" t="s">
        <v>5403</v>
      </c>
      <c r="D2284" s="21" t="s">
        <v>5544</v>
      </c>
      <c r="E2284" s="22" t="str">
        <f>HYPERLINK("https://twitter.com/9maksimlebedev/status/922415446493556736","922415446493556736")</f>
        <v>922415446493556736</v>
      </c>
      <c r="F2284" s="23" t="s">
        <v>55</v>
      </c>
      <c r="G2284" s="24">
        <v>6.0</v>
      </c>
      <c r="H2284" s="24">
        <v>0.0</v>
      </c>
      <c r="I2284" s="24">
        <v>77.0</v>
      </c>
      <c r="J2284" s="24">
        <v>0.0</v>
      </c>
      <c r="K2284" s="23" t="s">
        <v>34</v>
      </c>
      <c r="L2284" s="25">
        <v>43015.622141203705</v>
      </c>
      <c r="M2284" s="28"/>
      <c r="N2284" s="28"/>
      <c r="O2284" s="22" t="str">
        <f>HYPERLINK("https://pbs.twimg.com/profile_images/918880479272624128/7D5-vXH2_normal.jpg","View")</f>
        <v>View</v>
      </c>
      <c r="P2284" s="27"/>
    </row>
    <row r="2285">
      <c r="A2285" s="14">
        <v>43031.161620370374</v>
      </c>
      <c r="B2285" s="20" t="str">
        <f>HYPERLINK("https://twitter.com/mysourcespot","@mysourcespot")</f>
        <v>@mysourcespot</v>
      </c>
      <c r="C2285" s="21" t="s">
        <v>5545</v>
      </c>
      <c r="D2285" s="21" t="s">
        <v>5546</v>
      </c>
      <c r="E2285" s="22" t="str">
        <f>HYPERLINK("https://twitter.com/mysourcespot/status/922415486985523200","922415486985523200")</f>
        <v>922415486985523200</v>
      </c>
      <c r="F2285" s="30" t="s">
        <v>191</v>
      </c>
      <c r="G2285" s="24">
        <v>74.0</v>
      </c>
      <c r="H2285" s="24">
        <v>783.0</v>
      </c>
      <c r="I2285" s="24">
        <v>0.0</v>
      </c>
      <c r="J2285" s="24">
        <v>0.0</v>
      </c>
      <c r="K2285" s="23" t="s">
        <v>34</v>
      </c>
      <c r="L2285" s="25">
        <v>42766.06340277778</v>
      </c>
      <c r="M2285" s="28"/>
      <c r="N2285" s="28"/>
      <c r="O2285" s="22" t="str">
        <f>HYPERLINK("https://pbs.twimg.com/profile_images/826363423927713794/FKQplekc_normal.jpg","View")</f>
        <v>View</v>
      </c>
      <c r="P2285" s="27"/>
    </row>
    <row r="2286">
      <c r="A2286" s="14">
        <v>43031.161620370374</v>
      </c>
      <c r="B2286" s="20" t="str">
        <f>HYPERLINK("https://twitter.com/i68464686462402","@i68464686462402")</f>
        <v>@i68464686462402</v>
      </c>
      <c r="C2286" s="21" t="s">
        <v>5278</v>
      </c>
      <c r="D2286" s="21" t="s">
        <v>5547</v>
      </c>
      <c r="E2286" s="22" t="str">
        <f>HYPERLINK("https://twitter.com/i68464686462402/status/922415488738648064","922415488738648064")</f>
        <v>922415488738648064</v>
      </c>
      <c r="F2286" s="23" t="s">
        <v>55</v>
      </c>
      <c r="G2286" s="24">
        <v>16.0</v>
      </c>
      <c r="H2286" s="24">
        <v>24.0</v>
      </c>
      <c r="I2286" s="24">
        <v>4.0</v>
      </c>
      <c r="J2286" s="24">
        <v>0.0</v>
      </c>
      <c r="K2286" s="23" t="s">
        <v>34</v>
      </c>
      <c r="L2286" s="25">
        <v>42349.54423611111</v>
      </c>
      <c r="M2286" s="28"/>
      <c r="N2286" s="28"/>
      <c r="O2286" s="22" t="str">
        <f>HYPERLINK("https://pbs.twimg.com/profile_images/676996325741842432/YMh4IZZL_normal.jpg","View")</f>
        <v>View</v>
      </c>
      <c r="P2286" s="27"/>
    </row>
    <row r="2287">
      <c r="A2287" s="14">
        <v>43031.16174768518</v>
      </c>
      <c r="B2287" s="20" t="str">
        <f>HYPERLINK("https://twitter.com/kyoko2150","@kyoko2150")</f>
        <v>@kyoko2150</v>
      </c>
      <c r="C2287" s="21" t="s">
        <v>5548</v>
      </c>
      <c r="D2287" s="21" t="s">
        <v>42</v>
      </c>
      <c r="E2287" s="22" t="str">
        <f>HYPERLINK("https://twitter.com/kyoko2150/status/922415533315604480","922415533315604480")</f>
        <v>922415533315604480</v>
      </c>
      <c r="F2287" s="23" t="s">
        <v>55</v>
      </c>
      <c r="G2287" s="24">
        <v>220.0</v>
      </c>
      <c r="H2287" s="24">
        <v>237.0</v>
      </c>
      <c r="I2287" s="24">
        <v>8501.0</v>
      </c>
      <c r="J2287" s="24">
        <v>0.0</v>
      </c>
      <c r="K2287" s="23" t="s">
        <v>34</v>
      </c>
      <c r="L2287" s="25">
        <v>40719.406122685185</v>
      </c>
      <c r="M2287" s="28"/>
      <c r="N2287" s="28"/>
      <c r="O2287" s="22" t="str">
        <f>HYPERLINK("https://pbs.twimg.com/profile_images/566952145144930304/GlhuFqiv_normal.jpeg","View")</f>
        <v>View</v>
      </c>
      <c r="P2287" s="27"/>
    </row>
    <row r="2288">
      <c r="A2288" s="14">
        <v>43031.161828703705</v>
      </c>
      <c r="B2288" s="20" t="str">
        <f>HYPERLINK("https://twitter.com/vtstp","@vtstp")</f>
        <v>@vtstp</v>
      </c>
      <c r="C2288" s="21" t="s">
        <v>5549</v>
      </c>
      <c r="D2288" s="21" t="s">
        <v>42</v>
      </c>
      <c r="E2288" s="22" t="str">
        <f>HYPERLINK("https://twitter.com/vtstp/status/922415561048334336","922415561048334336")</f>
        <v>922415561048334336</v>
      </c>
      <c r="F2288" s="23" t="s">
        <v>33</v>
      </c>
      <c r="G2288" s="24">
        <v>2.0</v>
      </c>
      <c r="H2288" s="24">
        <v>48.0</v>
      </c>
      <c r="I2288" s="24">
        <v>8501.0</v>
      </c>
      <c r="J2288" s="24">
        <v>0.0</v>
      </c>
      <c r="K2288" s="23" t="s">
        <v>34</v>
      </c>
      <c r="L2288" s="25">
        <v>42805.42896990741</v>
      </c>
      <c r="M2288" s="28"/>
      <c r="N2288" s="28"/>
      <c r="O2288" s="22" t="str">
        <f>HYPERLINK("https://abs.twimg.com/sticky/default_profile_images/default_profile_normal.png","View")</f>
        <v>View</v>
      </c>
      <c r="P2288" s="27"/>
    </row>
    <row r="2289">
      <c r="A2289" s="14">
        <v>43031.16184027778</v>
      </c>
      <c r="B2289" s="20" t="str">
        <f>HYPERLINK("https://twitter.com/Amaresh277711","@Amaresh277711")</f>
        <v>@Amaresh277711</v>
      </c>
      <c r="C2289" s="21" t="s">
        <v>5550</v>
      </c>
      <c r="D2289" s="21" t="s">
        <v>42</v>
      </c>
      <c r="E2289" s="22" t="str">
        <f>HYPERLINK("https://twitter.com/Amaresh277711/status/922415567570575361","922415567570575361")</f>
        <v>922415567570575361</v>
      </c>
      <c r="F2289" s="23" t="s">
        <v>33</v>
      </c>
      <c r="G2289" s="24">
        <v>2493.0</v>
      </c>
      <c r="H2289" s="24">
        <v>3897.0</v>
      </c>
      <c r="I2289" s="24">
        <v>8501.0</v>
      </c>
      <c r="J2289" s="24">
        <v>0.0</v>
      </c>
      <c r="K2289" s="23" t="s">
        <v>34</v>
      </c>
      <c r="L2289" s="25">
        <v>42943.07553240741</v>
      </c>
      <c r="M2289" s="26" t="s">
        <v>5551</v>
      </c>
      <c r="N2289" s="26" t="s">
        <v>5552</v>
      </c>
      <c r="O2289" s="22" t="str">
        <f>HYPERLINK("https://pbs.twimg.com/profile_images/909845835369742336/Kn5fUh_W_normal.jpg","View")</f>
        <v>View</v>
      </c>
      <c r="P2289" s="27"/>
    </row>
    <row r="2290">
      <c r="A2290" s="14">
        <v>43031.161875000005</v>
      </c>
      <c r="B2290" s="20" t="str">
        <f>HYPERLINK("https://twitter.com/PoliticsZone","@PoliticsZone")</f>
        <v>@PoliticsZone</v>
      </c>
      <c r="C2290" s="21" t="s">
        <v>5553</v>
      </c>
      <c r="D2290" s="21" t="s">
        <v>5554</v>
      </c>
      <c r="E2290" s="22" t="str">
        <f>HYPERLINK("https://twitter.com/PoliticsZone/status/922415578379366401","922415578379366401")</f>
        <v>922415578379366401</v>
      </c>
      <c r="F2290" s="23" t="s">
        <v>39</v>
      </c>
      <c r="G2290" s="24">
        <v>56.0</v>
      </c>
      <c r="H2290" s="24">
        <v>8.0</v>
      </c>
      <c r="I2290" s="24">
        <v>0.0</v>
      </c>
      <c r="J2290" s="24">
        <v>0.0</v>
      </c>
      <c r="K2290" s="23" t="s">
        <v>34</v>
      </c>
      <c r="L2290" s="25">
        <v>40915.683171296296</v>
      </c>
      <c r="M2290" s="28"/>
      <c r="N2290" s="28"/>
      <c r="O2290" s="22" t="str">
        <f>HYPERLINK("https://pbs.twimg.com/profile_images/708359203832909824/5l4v9w-o_normal.jpg","View")</f>
        <v>View</v>
      </c>
      <c r="P2290" s="27"/>
    </row>
    <row r="2291">
      <c r="A2291" s="14">
        <v>43031.161898148144</v>
      </c>
      <c r="B2291" s="20" t="str">
        <f>HYPERLINK("https://twitter.com/ITJobs_IL","@ITJobs_IL")</f>
        <v>@ITJobs_IL</v>
      </c>
      <c r="C2291" s="21" t="s">
        <v>5555</v>
      </c>
      <c r="D2291" s="21" t="s">
        <v>5556</v>
      </c>
      <c r="E2291" s="22" t="str">
        <f>HYPERLINK("https://twitter.com/ITJobs_IL/status/922415586893639680","922415586893639680")</f>
        <v>922415586893639680</v>
      </c>
      <c r="F2291" s="30" t="s">
        <v>411</v>
      </c>
      <c r="G2291" s="24">
        <v>23.0</v>
      </c>
      <c r="H2291" s="24">
        <v>59.0</v>
      </c>
      <c r="I2291" s="24">
        <v>0.0</v>
      </c>
      <c r="J2291" s="24">
        <v>0.0</v>
      </c>
      <c r="K2291" s="23" t="s">
        <v>34</v>
      </c>
      <c r="L2291" s="25">
        <v>42154.450266203705</v>
      </c>
      <c r="M2291" s="26" t="s">
        <v>5557</v>
      </c>
      <c r="N2291" s="26" t="s">
        <v>5558</v>
      </c>
      <c r="O2291" s="22" t="str">
        <f>HYPERLINK("https://pbs.twimg.com/profile_images/609995916007862272/KZZkFMJ2_normal.jpg","View")</f>
        <v>View</v>
      </c>
      <c r="P2291" s="27"/>
    </row>
    <row r="2292">
      <c r="A2292" s="14">
        <v>43031.16201388889</v>
      </c>
      <c r="B2292" s="20" t="str">
        <f>HYPERLINK("https://twitter.com/Sourcingstocks","@Sourcingstocks")</f>
        <v>@Sourcingstocks</v>
      </c>
      <c r="C2292" s="21" t="s">
        <v>5559</v>
      </c>
      <c r="D2292" s="21" t="s">
        <v>5560</v>
      </c>
      <c r="E2292" s="22" t="str">
        <f>HYPERLINK("https://twitter.com/Sourcingstocks/status/922415628283244544","922415628283244544")</f>
        <v>922415628283244544</v>
      </c>
      <c r="F2292" s="23" t="s">
        <v>187</v>
      </c>
      <c r="G2292" s="24">
        <v>9031.0</v>
      </c>
      <c r="H2292" s="24">
        <v>8574.0</v>
      </c>
      <c r="I2292" s="24">
        <v>0.0</v>
      </c>
      <c r="J2292" s="24">
        <v>0.0</v>
      </c>
      <c r="K2292" s="23" t="s">
        <v>34</v>
      </c>
      <c r="L2292" s="25">
        <v>41574.44561342592</v>
      </c>
      <c r="M2292" s="26" t="s">
        <v>5561</v>
      </c>
      <c r="N2292" s="26" t="s">
        <v>5562</v>
      </c>
      <c r="O2292" s="22" t="str">
        <f>HYPERLINK("https://pbs.twimg.com/profile_images/613084166880542720/NWukrpyc_normal.png","View")</f>
        <v>View</v>
      </c>
      <c r="P2292" s="27"/>
    </row>
    <row r="2293">
      <c r="A2293" s="14">
        <v>43031.16208333333</v>
      </c>
      <c r="B2293" s="20" t="str">
        <f>HYPERLINK("https://twitter.com/AsCorrespondent","@AsCorrespondent")</f>
        <v>@AsCorrespondent</v>
      </c>
      <c r="C2293" s="21" t="s">
        <v>5563</v>
      </c>
      <c r="D2293" s="21" t="s">
        <v>5564</v>
      </c>
      <c r="E2293" s="22" t="str">
        <f>HYPERLINK("https://twitter.com/AsCorrespondent/status/922415655621500928","922415655621500928")</f>
        <v>922415655621500928</v>
      </c>
      <c r="F2293" s="23" t="s">
        <v>55</v>
      </c>
      <c r="G2293" s="24">
        <v>62904.0</v>
      </c>
      <c r="H2293" s="24">
        <v>3895.0</v>
      </c>
      <c r="I2293" s="24">
        <v>1.0</v>
      </c>
      <c r="J2293" s="24">
        <v>1.0</v>
      </c>
      <c r="K2293" s="23" t="s">
        <v>34</v>
      </c>
      <c r="L2293" s="25">
        <v>40104.37483796296</v>
      </c>
      <c r="M2293" s="26" t="s">
        <v>5565</v>
      </c>
      <c r="N2293" s="26" t="s">
        <v>5566</v>
      </c>
      <c r="O2293" s="22" t="str">
        <f>HYPERLINK("https://pbs.twimg.com/profile_images/890461823325032448/sYzh58oB_normal.jpg","View")</f>
        <v>View</v>
      </c>
      <c r="P2293" s="27"/>
    </row>
    <row r="2294">
      <c r="A2294" s="14">
        <v>43031.162094907406</v>
      </c>
      <c r="B2294" s="20" t="str">
        <f>HYPERLINK("https://twitter.com/ViralSnoop","@ViralSnoop")</f>
        <v>@ViralSnoop</v>
      </c>
      <c r="C2294" s="21" t="s">
        <v>5567</v>
      </c>
      <c r="D2294" s="21" t="s">
        <v>5568</v>
      </c>
      <c r="E2294" s="22" t="str">
        <f>HYPERLINK("https://twitter.com/ViralSnoop/status/922415660340269057","922415660340269057")</f>
        <v>922415660340269057</v>
      </c>
      <c r="F2294" s="23" t="s">
        <v>5569</v>
      </c>
      <c r="G2294" s="24">
        <v>164.0</v>
      </c>
      <c r="H2294" s="24">
        <v>750.0</v>
      </c>
      <c r="I2294" s="24">
        <v>0.0</v>
      </c>
      <c r="J2294" s="24">
        <v>0.0</v>
      </c>
      <c r="K2294" s="23" t="s">
        <v>34</v>
      </c>
      <c r="L2294" s="25">
        <v>42975.110127314816</v>
      </c>
      <c r="M2294" s="26" t="s">
        <v>5570</v>
      </c>
      <c r="N2294" s="26" t="s">
        <v>5571</v>
      </c>
      <c r="O2294" s="22" t="str">
        <f>HYPERLINK("https://pbs.twimg.com/profile_images/902104408875569156/ZeRhWt3I_normal.jpg","View")</f>
        <v>View</v>
      </c>
      <c r="P2294" s="27"/>
    </row>
    <row r="2295">
      <c r="A2295" s="14">
        <v>43031.162152777775</v>
      </c>
      <c r="B2295" s="20" t="str">
        <f>HYPERLINK("https://twitter.com/kosheleva121","@kosheleva121")</f>
        <v>@kosheleva121</v>
      </c>
      <c r="C2295" s="21" t="s">
        <v>5572</v>
      </c>
      <c r="D2295" s="21" t="s">
        <v>2555</v>
      </c>
      <c r="E2295" s="22" t="str">
        <f>HYPERLINK("https://twitter.com/kosheleva121/status/922415681550786560","922415681550786560")</f>
        <v>922415681550786560</v>
      </c>
      <c r="F2295" s="23" t="s">
        <v>55</v>
      </c>
      <c r="G2295" s="24">
        <v>3.0</v>
      </c>
      <c r="H2295" s="24">
        <v>0.0</v>
      </c>
      <c r="I2295" s="24">
        <v>58.0</v>
      </c>
      <c r="J2295" s="24">
        <v>0.0</v>
      </c>
      <c r="K2295" s="23" t="s">
        <v>34</v>
      </c>
      <c r="L2295" s="25">
        <v>43015.62997685185</v>
      </c>
      <c r="M2295" s="28"/>
      <c r="N2295" s="28"/>
      <c r="O2295" s="22" t="str">
        <f>HYPERLINK("https://pbs.twimg.com/profile_images/918894134575865856/xTuC4mj-_normal.jpg","View")</f>
        <v>View</v>
      </c>
      <c r="P2295" s="27"/>
    </row>
    <row r="2296">
      <c r="A2296" s="14">
        <v>43031.16216435185</v>
      </c>
      <c r="B2296" s="20" t="str">
        <f>HYPERLINK("https://twitter.com/_Beatstep","@_Beatstep")</f>
        <v>@_Beatstep</v>
      </c>
      <c r="C2296" s="21" t="s">
        <v>5573</v>
      </c>
      <c r="D2296" s="21" t="s">
        <v>32</v>
      </c>
      <c r="E2296" s="22" t="str">
        <f>HYPERLINK("https://twitter.com/_Beatstep/status/922415682880458752","922415682880458752")</f>
        <v>922415682880458752</v>
      </c>
      <c r="F2296" s="23" t="s">
        <v>5574</v>
      </c>
      <c r="G2296" s="24">
        <v>614.0</v>
      </c>
      <c r="H2296" s="24">
        <v>401.0</v>
      </c>
      <c r="I2296" s="24">
        <v>471.0</v>
      </c>
      <c r="J2296" s="24">
        <v>0.0</v>
      </c>
      <c r="K2296" s="23" t="s">
        <v>34</v>
      </c>
      <c r="L2296" s="25">
        <v>40766.09040509259</v>
      </c>
      <c r="M2296" s="28"/>
      <c r="N2296" s="26" t="s">
        <v>5575</v>
      </c>
      <c r="O2296" s="22" t="str">
        <f>HYPERLINK("https://pbs.twimg.com/profile_images/507176530489786369/kfDkssYL_normal.jpeg","View")</f>
        <v>View</v>
      </c>
      <c r="P2296" s="27"/>
    </row>
    <row r="2297">
      <c r="A2297" s="14">
        <v>43031.162256944444</v>
      </c>
      <c r="B2297" s="20" t="str">
        <f>HYPERLINK("https://twitter.com/pcanti","@pcanti")</f>
        <v>@pcanti</v>
      </c>
      <c r="C2297" s="21" t="s">
        <v>5576</v>
      </c>
      <c r="D2297" s="21" t="s">
        <v>5170</v>
      </c>
      <c r="E2297" s="22" t="str">
        <f>HYPERLINK("https://twitter.com/pcanti/status/922415717542117377","922415717542117377")</f>
        <v>922415717542117377</v>
      </c>
      <c r="F2297" s="23" t="s">
        <v>33</v>
      </c>
      <c r="G2297" s="24">
        <v>53.0</v>
      </c>
      <c r="H2297" s="24">
        <v>224.0</v>
      </c>
      <c r="I2297" s="24">
        <v>3.0</v>
      </c>
      <c r="J2297" s="24">
        <v>0.0</v>
      </c>
      <c r="K2297" s="23" t="s">
        <v>34</v>
      </c>
      <c r="L2297" s="25">
        <v>40569.433124999996</v>
      </c>
      <c r="M2297" s="26" t="s">
        <v>5577</v>
      </c>
      <c r="N2297" s="28"/>
      <c r="O2297" s="22" t="str">
        <f>HYPERLINK("https://pbs.twimg.com/profile_images/921436925893971969/2iR5MrEl_normal.jpg","View")</f>
        <v>View</v>
      </c>
      <c r="P2297" s="27"/>
    </row>
    <row r="2298">
      <c r="A2298" s="14">
        <v>43031.16237268518</v>
      </c>
      <c r="B2298" s="20" t="str">
        <f>HYPERLINK("https://twitter.com/ClipTrends","@ClipTrends")</f>
        <v>@ClipTrends</v>
      </c>
      <c r="C2298" s="21" t="s">
        <v>5578</v>
      </c>
      <c r="D2298" s="21" t="s">
        <v>5579</v>
      </c>
      <c r="E2298" s="22" t="str">
        <f>HYPERLINK("https://twitter.com/ClipTrends/status/922415762081439745","922415762081439745")</f>
        <v>922415762081439745</v>
      </c>
      <c r="F2298" s="23" t="s">
        <v>5580</v>
      </c>
      <c r="G2298" s="24">
        <v>5811.0</v>
      </c>
      <c r="H2298" s="24">
        <v>7.0</v>
      </c>
      <c r="I2298" s="24">
        <v>0.0</v>
      </c>
      <c r="J2298" s="24">
        <v>0.0</v>
      </c>
      <c r="K2298" s="23" t="s">
        <v>34</v>
      </c>
      <c r="L2298" s="25">
        <v>42648.371192129634</v>
      </c>
      <c r="M2298" s="26" t="s">
        <v>1563</v>
      </c>
      <c r="N2298" s="26" t="s">
        <v>5581</v>
      </c>
      <c r="O2298" s="22" t="str">
        <f>HYPERLINK("https://pbs.twimg.com/profile_images/784323646235877379/XyiczfNb_normal.jpg","View")</f>
        <v>View</v>
      </c>
      <c r="P2298" s="27"/>
    </row>
    <row r="2299">
      <c r="A2299" s="14">
        <v>43031.16253472222</v>
      </c>
      <c r="B2299" s="20" t="str">
        <f>HYPERLINK("https://twitter.com/HarshBaraiya143","@HarshBaraiya143")</f>
        <v>@HarshBaraiya143</v>
      </c>
      <c r="C2299" s="21" t="s">
        <v>5582</v>
      </c>
      <c r="D2299" s="21" t="s">
        <v>42</v>
      </c>
      <c r="E2299" s="22" t="str">
        <f>HYPERLINK("https://twitter.com/HarshBaraiya143/status/922415819153399808","922415819153399808")</f>
        <v>922415819153399808</v>
      </c>
      <c r="F2299" s="23" t="s">
        <v>33</v>
      </c>
      <c r="G2299" s="24">
        <v>49.0</v>
      </c>
      <c r="H2299" s="24">
        <v>679.0</v>
      </c>
      <c r="I2299" s="24">
        <v>8501.0</v>
      </c>
      <c r="J2299" s="24">
        <v>0.0</v>
      </c>
      <c r="K2299" s="23" t="s">
        <v>34</v>
      </c>
      <c r="L2299" s="25">
        <v>42972.23946759259</v>
      </c>
      <c r="M2299" s="26" t="s">
        <v>5583</v>
      </c>
      <c r="N2299" s="26" t="s">
        <v>5584</v>
      </c>
      <c r="O2299" s="22" t="str">
        <f>HYPERLINK("https://pbs.twimg.com/profile_images/919763544345907210/vPP3IqDT_normal.jpg","View")</f>
        <v>View</v>
      </c>
      <c r="P2299" s="27"/>
    </row>
    <row r="2300">
      <c r="A2300" s="14">
        <v>43031.16265046297</v>
      </c>
      <c r="B2300" s="20" t="str">
        <f>HYPERLINK("https://twitter.com/froyedchickens","@froyedchickens")</f>
        <v>@froyedchickens</v>
      </c>
      <c r="C2300" s="21" t="s">
        <v>5585</v>
      </c>
      <c r="D2300" s="21" t="s">
        <v>5309</v>
      </c>
      <c r="E2300" s="22" t="str">
        <f>HYPERLINK("https://twitter.com/froyedchickens/status/922415859787640832","922415859787640832")</f>
        <v>922415859787640832</v>
      </c>
      <c r="F2300" s="23" t="s">
        <v>43</v>
      </c>
      <c r="G2300" s="24">
        <v>59.0</v>
      </c>
      <c r="H2300" s="24">
        <v>268.0</v>
      </c>
      <c r="I2300" s="24">
        <v>22.0</v>
      </c>
      <c r="J2300" s="24">
        <v>0.0</v>
      </c>
      <c r="K2300" s="23" t="s">
        <v>34</v>
      </c>
      <c r="L2300" s="25">
        <v>41379.19354166667</v>
      </c>
      <c r="M2300" s="26" t="s">
        <v>5586</v>
      </c>
      <c r="N2300" s="26" t="s">
        <v>5587</v>
      </c>
      <c r="O2300" s="22" t="str">
        <f>HYPERLINK("https://pbs.twimg.com/profile_images/922442600560263168/E64sMPfm_normal.jpg","View")</f>
        <v>View</v>
      </c>
      <c r="P2300" s="27"/>
    </row>
    <row r="2301">
      <c r="A2301" s="14">
        <v>43031.16275462963</v>
      </c>
      <c r="B2301" s="20" t="str">
        <f>HYPERLINK("https://twitter.com/turbostocks","@turbostocks")</f>
        <v>@turbostocks</v>
      </c>
      <c r="C2301" s="21" t="s">
        <v>5588</v>
      </c>
      <c r="D2301" s="21" t="s">
        <v>5589</v>
      </c>
      <c r="E2301" s="22" t="str">
        <f>HYPERLINK("https://twitter.com/turbostocks/status/922415898333470720","922415898333470720")</f>
        <v>922415898333470720</v>
      </c>
      <c r="F2301" s="23" t="s">
        <v>187</v>
      </c>
      <c r="G2301" s="24">
        <v>2951.0</v>
      </c>
      <c r="H2301" s="24">
        <v>3485.0</v>
      </c>
      <c r="I2301" s="24">
        <v>0.0</v>
      </c>
      <c r="J2301" s="24">
        <v>0.0</v>
      </c>
      <c r="K2301" s="23" t="s">
        <v>34</v>
      </c>
      <c r="L2301" s="25">
        <v>41908.76828703703</v>
      </c>
      <c r="M2301" s="26" t="s">
        <v>1986</v>
      </c>
      <c r="N2301" s="26" t="s">
        <v>5590</v>
      </c>
      <c r="O2301" s="22" t="str">
        <f>HYPERLINK("https://pbs.twimg.com/profile_images/844239888996339712/915Nwbkj_normal.jpg","View")</f>
        <v>View</v>
      </c>
      <c r="P2301" s="27"/>
    </row>
    <row r="2302">
      <c r="A2302" s="14">
        <v>43031.162777777776</v>
      </c>
      <c r="B2302" s="20" t="str">
        <f>HYPERLINK("https://twitter.com/Orgetorix","@Orgetorix")</f>
        <v>@Orgetorix</v>
      </c>
      <c r="C2302" s="21" t="s">
        <v>3254</v>
      </c>
      <c r="D2302" s="21" t="s">
        <v>5591</v>
      </c>
      <c r="E2302" s="22" t="str">
        <f>HYPERLINK("https://twitter.com/Orgetorix/status/922415907674247168","922415907674247168")</f>
        <v>922415907674247168</v>
      </c>
      <c r="F2302" s="23" t="s">
        <v>55</v>
      </c>
      <c r="G2302" s="24">
        <v>3411.0</v>
      </c>
      <c r="H2302" s="24">
        <v>5001.0</v>
      </c>
      <c r="I2302" s="24">
        <v>0.0</v>
      </c>
      <c r="J2302" s="24">
        <v>0.0</v>
      </c>
      <c r="K2302" s="23" t="s">
        <v>34</v>
      </c>
      <c r="L2302" s="25">
        <v>39888.9191087963</v>
      </c>
      <c r="M2302" s="26" t="s">
        <v>40</v>
      </c>
      <c r="N2302" s="26" t="s">
        <v>3256</v>
      </c>
      <c r="O2302" s="22" t="str">
        <f>HYPERLINK("https://pbs.twimg.com/profile_images/3082717867/20845cf67d93f95a09bf879b63c61c74_normal.jpeg","View")</f>
        <v>View</v>
      </c>
      <c r="P2302" s="27"/>
    </row>
    <row r="2303">
      <c r="A2303" s="14">
        <v>43031.16280092593</v>
      </c>
      <c r="B2303" s="20" t="str">
        <f>HYPERLINK("https://twitter.com/labokaigi","@labokaigi")</f>
        <v>@labokaigi</v>
      </c>
      <c r="C2303" s="21" t="s">
        <v>5592</v>
      </c>
      <c r="D2303" s="21" t="s">
        <v>32</v>
      </c>
      <c r="E2303" s="22" t="str">
        <f>HYPERLINK("https://twitter.com/labokaigi/status/922415913202315265","922415913202315265")</f>
        <v>922415913202315265</v>
      </c>
      <c r="F2303" s="23" t="s">
        <v>33</v>
      </c>
      <c r="G2303" s="24">
        <v>3714.0</v>
      </c>
      <c r="H2303" s="24">
        <v>3158.0</v>
      </c>
      <c r="I2303" s="24">
        <v>471.0</v>
      </c>
      <c r="J2303" s="24">
        <v>0.0</v>
      </c>
      <c r="K2303" s="23" t="s">
        <v>34</v>
      </c>
      <c r="L2303" s="25">
        <v>40786.05671296296</v>
      </c>
      <c r="M2303" s="26" t="s">
        <v>5593</v>
      </c>
      <c r="N2303" s="26" t="s">
        <v>5594</v>
      </c>
      <c r="O2303" s="22" t="str">
        <f>HYPERLINK("https://pbs.twimg.com/profile_images/922135552660594688/rpgjbVdL_normal.jpg","View")</f>
        <v>View</v>
      </c>
      <c r="P2303" s="27"/>
    </row>
    <row r="2304">
      <c r="A2304" s="14">
        <v>43031.16284722222</v>
      </c>
      <c r="B2304" s="20" t="str">
        <f>HYPERLINK("https://twitter.com/SheilaSmithCFR","@SheilaSmithCFR")</f>
        <v>@SheilaSmithCFR</v>
      </c>
      <c r="C2304" s="21" t="s">
        <v>5595</v>
      </c>
      <c r="D2304" s="21" t="s">
        <v>5309</v>
      </c>
      <c r="E2304" s="22" t="str">
        <f>HYPERLINK("https://twitter.com/SheilaSmithCFR/status/922415931170619392","922415931170619392")</f>
        <v>922415931170619392</v>
      </c>
      <c r="F2304" s="23" t="s">
        <v>39</v>
      </c>
      <c r="G2304" s="24">
        <v>4431.0</v>
      </c>
      <c r="H2304" s="24">
        <v>310.0</v>
      </c>
      <c r="I2304" s="24">
        <v>22.0</v>
      </c>
      <c r="J2304" s="24">
        <v>0.0</v>
      </c>
      <c r="K2304" s="23" t="s">
        <v>34</v>
      </c>
      <c r="L2304" s="25">
        <v>40897.79835648148</v>
      </c>
      <c r="M2304" s="26" t="s">
        <v>4239</v>
      </c>
      <c r="N2304" s="26" t="s">
        <v>5596</v>
      </c>
      <c r="O2304" s="22" t="str">
        <f>HYPERLINK("https://pbs.twimg.com/profile_images/474587797337042945/HOSFbOao_normal.jpeg","View")</f>
        <v>View</v>
      </c>
      <c r="P2304" s="27"/>
    </row>
    <row r="2305">
      <c r="A2305" s="14">
        <v>43031.162881944445</v>
      </c>
      <c r="B2305" s="20" t="str">
        <f>HYPERLINK("https://twitter.com/hansubkim","@hansubkim")</f>
        <v>@hansubkim</v>
      </c>
      <c r="C2305" s="21" t="s">
        <v>5597</v>
      </c>
      <c r="D2305" s="21" t="s">
        <v>5262</v>
      </c>
      <c r="E2305" s="22" t="str">
        <f>HYPERLINK("https://twitter.com/hansubkim/status/922415945770921984","922415945770921984")</f>
        <v>922415945770921984</v>
      </c>
      <c r="F2305" s="23" t="s">
        <v>39</v>
      </c>
      <c r="G2305" s="24">
        <v>2080.0</v>
      </c>
      <c r="H2305" s="24">
        <v>639.0</v>
      </c>
      <c r="I2305" s="24">
        <v>22.0</v>
      </c>
      <c r="J2305" s="24">
        <v>0.0</v>
      </c>
      <c r="K2305" s="23" t="s">
        <v>34</v>
      </c>
      <c r="L2305" s="25">
        <v>40178.00894675926</v>
      </c>
      <c r="M2305" s="28"/>
      <c r="N2305" s="26" t="s">
        <v>5598</v>
      </c>
      <c r="O2305" s="22" t="str">
        <f>HYPERLINK("https://pbs.twimg.com/profile_images/1388465415/images__1__normal.jpg","View")</f>
        <v>View</v>
      </c>
      <c r="P2305" s="27"/>
    </row>
    <row r="2306">
      <c r="A2306" s="14">
        <v>43031.16291666667</v>
      </c>
      <c r="B2306" s="20" t="str">
        <f>HYPERLINK("https://twitter.com/Architsaini","@Architsaini")</f>
        <v>@Architsaini</v>
      </c>
      <c r="C2306" s="21" t="s">
        <v>5599</v>
      </c>
      <c r="D2306" s="21" t="s">
        <v>42</v>
      </c>
      <c r="E2306" s="22" t="str">
        <f>HYPERLINK("https://twitter.com/Architsaini/status/922415958731325440","922415958731325440")</f>
        <v>922415958731325440</v>
      </c>
      <c r="F2306" s="23" t="s">
        <v>39</v>
      </c>
      <c r="G2306" s="24">
        <v>7.0</v>
      </c>
      <c r="H2306" s="24">
        <v>139.0</v>
      </c>
      <c r="I2306" s="24">
        <v>8501.0</v>
      </c>
      <c r="J2306" s="24">
        <v>0.0</v>
      </c>
      <c r="K2306" s="23" t="s">
        <v>34</v>
      </c>
      <c r="L2306" s="25">
        <v>40115.25361111111</v>
      </c>
      <c r="M2306" s="28"/>
      <c r="N2306" s="28"/>
      <c r="O2306" s="22" t="str">
        <f t="shared" ref="O2306:O2307" si="37">HYPERLINK("https://abs.twimg.com/sticky/default_profile_images/default_profile_normal.png","View")</f>
        <v>View</v>
      </c>
      <c r="P2306" s="27"/>
    </row>
    <row r="2307">
      <c r="A2307" s="14">
        <v>43031.16303240741</v>
      </c>
      <c r="B2307" s="20" t="str">
        <f>HYPERLINK("https://twitter.com/1Forest679","@1Forest679")</f>
        <v>@1Forest679</v>
      </c>
      <c r="C2307" s="21" t="s">
        <v>5600</v>
      </c>
      <c r="D2307" s="21" t="s">
        <v>5601</v>
      </c>
      <c r="E2307" s="22" t="str">
        <f>HYPERLINK("https://twitter.com/1Forest679/status/922415997293752321","922415997293752321")</f>
        <v>922415997293752321</v>
      </c>
      <c r="F2307" s="23" t="s">
        <v>43</v>
      </c>
      <c r="G2307" s="24">
        <v>45.0</v>
      </c>
      <c r="H2307" s="24">
        <v>142.0</v>
      </c>
      <c r="I2307" s="24">
        <v>15.0</v>
      </c>
      <c r="J2307" s="24">
        <v>0.0</v>
      </c>
      <c r="K2307" s="23" t="s">
        <v>34</v>
      </c>
      <c r="L2307" s="25">
        <v>42728.40671296296</v>
      </c>
      <c r="M2307" s="28"/>
      <c r="N2307" s="28"/>
      <c r="O2307" s="22" t="str">
        <f t="shared" si="37"/>
        <v>View</v>
      </c>
      <c r="P2307" s="27"/>
    </row>
    <row r="2308">
      <c r="A2308" s="14">
        <v>43031.16305555556</v>
      </c>
      <c r="B2308" s="20" t="str">
        <f>HYPERLINK("https://twitter.com/kosheleva121","@kosheleva121")</f>
        <v>@kosheleva121</v>
      </c>
      <c r="C2308" s="21" t="s">
        <v>5572</v>
      </c>
      <c r="D2308" s="21" t="s">
        <v>404</v>
      </c>
      <c r="E2308" s="22" t="str">
        <f>HYPERLINK("https://twitter.com/kosheleva121/status/922416005669797888","922416005669797888")</f>
        <v>922416005669797888</v>
      </c>
      <c r="F2308" s="23" t="s">
        <v>55</v>
      </c>
      <c r="G2308" s="24">
        <v>3.0</v>
      </c>
      <c r="H2308" s="24">
        <v>0.0</v>
      </c>
      <c r="I2308" s="24">
        <v>59.0</v>
      </c>
      <c r="J2308" s="24">
        <v>0.0</v>
      </c>
      <c r="K2308" s="23" t="s">
        <v>34</v>
      </c>
      <c r="L2308" s="25">
        <v>43015.62997685185</v>
      </c>
      <c r="M2308" s="28"/>
      <c r="N2308" s="28"/>
      <c r="O2308" s="22" t="str">
        <f>HYPERLINK("https://pbs.twimg.com/profile_images/918894134575865856/xTuC4mj-_normal.jpg","View")</f>
        <v>View</v>
      </c>
      <c r="P2308" s="27"/>
    </row>
    <row r="2309">
      <c r="A2309" s="14">
        <v>43031.16315972222</v>
      </c>
      <c r="B2309" s="20" t="str">
        <f>HYPERLINK("https://twitter.com/avs1607","@avs1607")</f>
        <v>@avs1607</v>
      </c>
      <c r="C2309" s="21" t="s">
        <v>5602</v>
      </c>
      <c r="D2309" s="21" t="s">
        <v>42</v>
      </c>
      <c r="E2309" s="22" t="str">
        <f>HYPERLINK("https://twitter.com/avs1607/status/922416045771587584","922416045771587584")</f>
        <v>922416045771587584</v>
      </c>
      <c r="F2309" s="23" t="s">
        <v>33</v>
      </c>
      <c r="G2309" s="24">
        <v>18.0</v>
      </c>
      <c r="H2309" s="24">
        <v>198.0</v>
      </c>
      <c r="I2309" s="24">
        <v>8501.0</v>
      </c>
      <c r="J2309" s="24">
        <v>0.0</v>
      </c>
      <c r="K2309" s="23" t="s">
        <v>34</v>
      </c>
      <c r="L2309" s="25">
        <v>41775.42755787037</v>
      </c>
      <c r="M2309" s="28"/>
      <c r="N2309" s="28"/>
      <c r="O2309" s="22" t="str">
        <f>HYPERLINK("https://pbs.twimg.com/profile_images/718533705992523776/6VYcta0c_normal.jpg","View")</f>
        <v>View</v>
      </c>
      <c r="P2309" s="27"/>
    </row>
    <row r="2310">
      <c r="A2310" s="14">
        <v>43031.16320601852</v>
      </c>
      <c r="B2310" s="20" t="str">
        <f>HYPERLINK("https://twitter.com/BJYM4NCMumbai","@BJYM4NCMumbai")</f>
        <v>@BJYM4NCMumbai</v>
      </c>
      <c r="C2310" s="21" t="s">
        <v>5603</v>
      </c>
      <c r="D2310" s="21" t="s">
        <v>42</v>
      </c>
      <c r="E2310" s="22" t="str">
        <f>HYPERLINK("https://twitter.com/BJYM4NCMumbai/status/922416063563919360","922416063563919360")</f>
        <v>922416063563919360</v>
      </c>
      <c r="F2310" s="23" t="s">
        <v>33</v>
      </c>
      <c r="G2310" s="24">
        <v>152.0</v>
      </c>
      <c r="H2310" s="24">
        <v>40.0</v>
      </c>
      <c r="I2310" s="24">
        <v>8501.0</v>
      </c>
      <c r="J2310" s="24">
        <v>0.0</v>
      </c>
      <c r="K2310" s="23" t="s">
        <v>34</v>
      </c>
      <c r="L2310" s="25">
        <v>41821.176828703705</v>
      </c>
      <c r="M2310" s="26" t="s">
        <v>207</v>
      </c>
      <c r="N2310" s="26" t="s">
        <v>5604</v>
      </c>
      <c r="O2310" s="22" t="str">
        <f>HYPERLINK("https://pbs.twimg.com/profile_images/909348726015090688/w7SqmJSD_normal.jpg","View")</f>
        <v>View</v>
      </c>
      <c r="P2310" s="27"/>
    </row>
    <row r="2311">
      <c r="A2311" s="14">
        <v>43031.163240740745</v>
      </c>
      <c r="B2311" s="20" t="str">
        <f>HYPERLINK("https://twitter.com/visheshaal","@visheshaal")</f>
        <v>@visheshaal</v>
      </c>
      <c r="C2311" s="21" t="s">
        <v>5605</v>
      </c>
      <c r="D2311" s="21" t="s">
        <v>42</v>
      </c>
      <c r="E2311" s="22" t="str">
        <f>HYPERLINK("https://twitter.com/visheshaal/status/922416075584794624","922416075584794624")</f>
        <v>922416075584794624</v>
      </c>
      <c r="F2311" s="23" t="s">
        <v>33</v>
      </c>
      <c r="G2311" s="24">
        <v>789.0</v>
      </c>
      <c r="H2311" s="24">
        <v>5001.0</v>
      </c>
      <c r="I2311" s="24">
        <v>8501.0</v>
      </c>
      <c r="J2311" s="24">
        <v>0.0</v>
      </c>
      <c r="K2311" s="23" t="s">
        <v>34</v>
      </c>
      <c r="L2311" s="25">
        <v>41378.46053240741</v>
      </c>
      <c r="M2311" s="26" t="s">
        <v>5606</v>
      </c>
      <c r="N2311" s="26" t="s">
        <v>5607</v>
      </c>
      <c r="O2311" s="22" t="str">
        <f>HYPERLINK("https://pbs.twimg.com/profile_images/876125659105550340/d79VZ7VJ_normal.jpg","View")</f>
        <v>View</v>
      </c>
      <c r="P2311" s="27"/>
    </row>
    <row r="2312">
      <c r="A2312" s="14">
        <v>43031.163240740745</v>
      </c>
      <c r="B2312" s="20" t="str">
        <f>HYPERLINK("https://twitter.com/swainalok","@swainalok")</f>
        <v>@swainalok</v>
      </c>
      <c r="C2312" s="21" t="s">
        <v>5608</v>
      </c>
      <c r="D2312" s="21" t="s">
        <v>42</v>
      </c>
      <c r="E2312" s="22" t="str">
        <f>HYPERLINK("https://twitter.com/swainalok/status/922416075840647169","922416075840647169")</f>
        <v>922416075840647169</v>
      </c>
      <c r="F2312" s="23" t="s">
        <v>39</v>
      </c>
      <c r="G2312" s="24">
        <v>43.0</v>
      </c>
      <c r="H2312" s="24">
        <v>213.0</v>
      </c>
      <c r="I2312" s="24">
        <v>8501.0</v>
      </c>
      <c r="J2312" s="24">
        <v>0.0</v>
      </c>
      <c r="K2312" s="23" t="s">
        <v>34</v>
      </c>
      <c r="L2312" s="25">
        <v>40041.40818287037</v>
      </c>
      <c r="M2312" s="28"/>
      <c r="N2312" s="28"/>
      <c r="O2312" s="22" t="str">
        <f>HYPERLINK("https://abs.twimg.com/sticky/default_profile_images/default_profile_normal.png","View")</f>
        <v>View</v>
      </c>
      <c r="P2312" s="27"/>
    </row>
    <row r="2313">
      <c r="A2313" s="14">
        <v>43031.16327546297</v>
      </c>
      <c r="B2313" s="20" t="str">
        <f>HYPERLINK("https://twitter.com/modifiedprajju","@modifiedprajju")</f>
        <v>@modifiedprajju</v>
      </c>
      <c r="C2313" s="21" t="s">
        <v>5609</v>
      </c>
      <c r="D2313" s="21" t="s">
        <v>42</v>
      </c>
      <c r="E2313" s="22" t="str">
        <f>HYPERLINK("https://twitter.com/modifiedprajju/status/922416085592293376","922416085592293376")</f>
        <v>922416085592293376</v>
      </c>
      <c r="F2313" s="23" t="s">
        <v>33</v>
      </c>
      <c r="G2313" s="24">
        <v>310.0</v>
      </c>
      <c r="H2313" s="24">
        <v>33.0</v>
      </c>
      <c r="I2313" s="24">
        <v>8501.0</v>
      </c>
      <c r="J2313" s="24">
        <v>0.0</v>
      </c>
      <c r="K2313" s="23" t="s">
        <v>34</v>
      </c>
      <c r="L2313" s="25">
        <v>42118.60391203704</v>
      </c>
      <c r="M2313" s="26" t="s">
        <v>5610</v>
      </c>
      <c r="N2313" s="26" t="s">
        <v>5611</v>
      </c>
      <c r="O2313" s="22" t="str">
        <f>HYPERLINK("https://pbs.twimg.com/profile_images/879402668439031808/I-19CXjI_normal.jpg","View")</f>
        <v>View</v>
      </c>
      <c r="P2313" s="27"/>
    </row>
    <row r="2314">
      <c r="A2314" s="14">
        <v>43031.16328703704</v>
      </c>
      <c r="B2314" s="20" t="str">
        <f>HYPERLINK("https://twitter.com/Locohama","@Locohama")</f>
        <v>@Locohama</v>
      </c>
      <c r="C2314" s="21" t="s">
        <v>5612</v>
      </c>
      <c r="D2314" s="21" t="s">
        <v>5613</v>
      </c>
      <c r="E2314" s="22" t="str">
        <f>HYPERLINK("https://twitter.com/Locohama/status/922416092731138048","922416092731138048")</f>
        <v>922416092731138048</v>
      </c>
      <c r="F2314" s="23" t="s">
        <v>4619</v>
      </c>
      <c r="G2314" s="24">
        <v>3089.0</v>
      </c>
      <c r="H2314" s="24">
        <v>373.0</v>
      </c>
      <c r="I2314" s="24">
        <v>0.0</v>
      </c>
      <c r="J2314" s="24">
        <v>2.0</v>
      </c>
      <c r="K2314" s="23" t="s">
        <v>34</v>
      </c>
      <c r="L2314" s="25">
        <v>39954.881840277776</v>
      </c>
      <c r="M2314" s="26" t="s">
        <v>5614</v>
      </c>
      <c r="N2314" s="26" t="s">
        <v>5615</v>
      </c>
      <c r="O2314" s="22" t="str">
        <f>HYPERLINK("https://pbs.twimg.com/profile_images/857990968162697218/QXaJFSuM_normal.jpg","View")</f>
        <v>View</v>
      </c>
      <c r="P2314" s="27"/>
    </row>
    <row r="2315">
      <c r="A2315" s="14">
        <v>43031.163310185184</v>
      </c>
      <c r="B2315" s="20" t="str">
        <f>HYPERLINK("https://twitter.com/malaysiandigest","@malaysiandigest")</f>
        <v>@malaysiandigest</v>
      </c>
      <c r="C2315" s="21" t="s">
        <v>5616</v>
      </c>
      <c r="D2315" s="21" t="s">
        <v>5617</v>
      </c>
      <c r="E2315" s="22" t="str">
        <f>HYPERLINK("https://twitter.com/malaysiandigest/status/922416097793531905","922416097793531905")</f>
        <v>922416097793531905</v>
      </c>
      <c r="F2315" s="30" t="s">
        <v>411</v>
      </c>
      <c r="G2315" s="24">
        <v>39312.0</v>
      </c>
      <c r="H2315" s="24">
        <v>7449.0</v>
      </c>
      <c r="I2315" s="24">
        <v>0.0</v>
      </c>
      <c r="J2315" s="24">
        <v>0.0</v>
      </c>
      <c r="K2315" s="23" t="s">
        <v>34</v>
      </c>
      <c r="L2315" s="25">
        <v>39940.07324074074</v>
      </c>
      <c r="M2315" s="26" t="s">
        <v>5618</v>
      </c>
      <c r="N2315" s="26" t="s">
        <v>5619</v>
      </c>
      <c r="O2315" s="22" t="str">
        <f>HYPERLINK("https://pbs.twimg.com/profile_images/905228231497752576/_SxvI2CL_normal.jpg","View")</f>
        <v>View</v>
      </c>
      <c r="P2315" s="27"/>
    </row>
    <row r="2316">
      <c r="A2316" s="14">
        <v>43031.163310185184</v>
      </c>
      <c r="B2316" s="20" t="str">
        <f>HYPERLINK("https://twitter.com/metzano","@metzano")</f>
        <v>@metzano</v>
      </c>
      <c r="C2316" s="21" t="s">
        <v>5620</v>
      </c>
      <c r="D2316" s="21" t="s">
        <v>5621</v>
      </c>
      <c r="E2316" s="22" t="str">
        <f>HYPERLINK("https://twitter.com/metzano/status/922416098062094336","922416098062094336")</f>
        <v>922416098062094336</v>
      </c>
      <c r="F2316" s="23" t="s">
        <v>187</v>
      </c>
      <c r="G2316" s="24">
        <v>1946.0</v>
      </c>
      <c r="H2316" s="24">
        <v>2082.0</v>
      </c>
      <c r="I2316" s="24">
        <v>0.0</v>
      </c>
      <c r="J2316" s="24">
        <v>0.0</v>
      </c>
      <c r="K2316" s="23" t="s">
        <v>34</v>
      </c>
      <c r="L2316" s="25">
        <v>42207.78364583333</v>
      </c>
      <c r="M2316" s="26" t="s">
        <v>4587</v>
      </c>
      <c r="N2316" s="26" t="s">
        <v>5622</v>
      </c>
      <c r="O2316" s="22" t="str">
        <f>HYPERLINK("https://pbs.twimg.com/profile_images/695273931146563585/Kmoa4jfv_normal.png","View")</f>
        <v>View</v>
      </c>
      <c r="P2316" s="27"/>
    </row>
    <row r="2317">
      <c r="A2317" s="14">
        <v>43031.16347222222</v>
      </c>
      <c r="B2317" s="20" t="str">
        <f>HYPERLINK("https://twitter.com/heribertohmd","@heribertohmd")</f>
        <v>@heribertohmd</v>
      </c>
      <c r="C2317" s="21" t="s">
        <v>5623</v>
      </c>
      <c r="D2317" s="21" t="s">
        <v>5624</v>
      </c>
      <c r="E2317" s="22" t="str">
        <f>HYPERLINK("https://twitter.com/heribertohmd/status/922416159093379077","922416159093379077")</f>
        <v>922416159093379077</v>
      </c>
      <c r="F2317" s="23" t="s">
        <v>187</v>
      </c>
      <c r="G2317" s="24">
        <v>310.0</v>
      </c>
      <c r="H2317" s="24">
        <v>258.0</v>
      </c>
      <c r="I2317" s="24">
        <v>0.0</v>
      </c>
      <c r="J2317" s="24">
        <v>0.0</v>
      </c>
      <c r="K2317" s="23" t="s">
        <v>34</v>
      </c>
      <c r="L2317" s="25">
        <v>41266.529074074075</v>
      </c>
      <c r="M2317" s="26" t="s">
        <v>5625</v>
      </c>
      <c r="N2317" s="26" t="s">
        <v>5626</v>
      </c>
      <c r="O2317" s="22" t="str">
        <f>HYPERLINK("https://pbs.twimg.com/profile_images/3011879496/ffb01d94b26511ec9026f2db32bdcd33_normal.jpeg","View")</f>
        <v>View</v>
      </c>
      <c r="P2317" s="27"/>
    </row>
    <row r="2318">
      <c r="A2318" s="14">
        <v>43031.163506944446</v>
      </c>
      <c r="B2318" s="20" t="str">
        <f>HYPERLINK("https://twitter.com/FD_News","@FD_News")</f>
        <v>@FD_News</v>
      </c>
      <c r="C2318" s="21" t="s">
        <v>1214</v>
      </c>
      <c r="D2318" s="21" t="s">
        <v>5627</v>
      </c>
      <c r="E2318" s="22" t="str">
        <f>HYPERLINK("https://twitter.com/FD_News/status/922416170262827009","922416170262827009")</f>
        <v>922416170262827009</v>
      </c>
      <c r="F2318" s="23" t="s">
        <v>1216</v>
      </c>
      <c r="G2318" s="24">
        <v>77.0</v>
      </c>
      <c r="H2318" s="24">
        <v>0.0</v>
      </c>
      <c r="I2318" s="24">
        <v>0.0</v>
      </c>
      <c r="J2318" s="24">
        <v>0.0</v>
      </c>
      <c r="K2318" s="23" t="s">
        <v>34</v>
      </c>
      <c r="L2318" s="25">
        <v>42288.49700231482</v>
      </c>
      <c r="M2318" s="28"/>
      <c r="N2318" s="28"/>
      <c r="O2318" s="22" t="str">
        <f>HYPERLINK("https://pbs.twimg.com/profile_images/653285147169558528/ArEhmzZz_normal.jpg","View")</f>
        <v>View</v>
      </c>
      <c r="P2318" s="27"/>
    </row>
    <row r="2319">
      <c r="A2319" s="14">
        <v>43031.16353009259</v>
      </c>
      <c r="B2319" s="20" t="str">
        <f>HYPERLINK("https://twitter.com/BigMoneyTraders","@BigMoneyTraders")</f>
        <v>@BigMoneyTraders</v>
      </c>
      <c r="C2319" s="21" t="s">
        <v>5628</v>
      </c>
      <c r="D2319" s="21" t="s">
        <v>5629</v>
      </c>
      <c r="E2319" s="22" t="str">
        <f>HYPERLINK("https://twitter.com/BigMoneyTraders/status/922416180400443392","922416180400443392")</f>
        <v>922416180400443392</v>
      </c>
      <c r="F2319" s="23" t="s">
        <v>187</v>
      </c>
      <c r="G2319" s="24">
        <v>5398.0</v>
      </c>
      <c r="H2319" s="24">
        <v>5658.0</v>
      </c>
      <c r="I2319" s="24">
        <v>0.0</v>
      </c>
      <c r="J2319" s="24">
        <v>0.0</v>
      </c>
      <c r="K2319" s="23" t="s">
        <v>34</v>
      </c>
      <c r="L2319" s="25">
        <v>41845.68021990741</v>
      </c>
      <c r="M2319" s="26" t="s">
        <v>5630</v>
      </c>
      <c r="N2319" s="26" t="s">
        <v>5631</v>
      </c>
      <c r="O2319" s="22" t="str">
        <f>HYPERLINK("https://pbs.twimg.com/profile_images/743984165763321856/nbpig-6O_normal.jpg","View")</f>
        <v>View</v>
      </c>
      <c r="P2319" s="27"/>
    </row>
    <row r="2320">
      <c r="A2320" s="14">
        <v>43031.16359953704</v>
      </c>
      <c r="B2320" s="20" t="str">
        <f>HYPERLINK("https://twitter.com/PraddyumnaK","@PraddyumnaK")</f>
        <v>@PraddyumnaK</v>
      </c>
      <c r="C2320" s="21" t="s">
        <v>5632</v>
      </c>
      <c r="D2320" s="21" t="s">
        <v>42</v>
      </c>
      <c r="E2320" s="22" t="str">
        <f>HYPERLINK("https://twitter.com/PraddyumnaK/status/922416205675270144","922416205675270144")</f>
        <v>922416205675270144</v>
      </c>
      <c r="F2320" s="23" t="s">
        <v>33</v>
      </c>
      <c r="G2320" s="24">
        <v>109.0</v>
      </c>
      <c r="H2320" s="24">
        <v>246.0</v>
      </c>
      <c r="I2320" s="24">
        <v>8501.0</v>
      </c>
      <c r="J2320" s="24">
        <v>0.0</v>
      </c>
      <c r="K2320" s="23" t="s">
        <v>34</v>
      </c>
      <c r="L2320" s="25">
        <v>40778.39271990741</v>
      </c>
      <c r="M2320" s="26" t="s">
        <v>5633</v>
      </c>
      <c r="N2320" s="26" t="s">
        <v>5634</v>
      </c>
      <c r="O2320" s="22" t="str">
        <f>HYPERLINK("https://pbs.twimg.com/profile_images/886239942149414916/lRGygz7s_normal.jpg","View")</f>
        <v>View</v>
      </c>
      <c r="P2320" s="27"/>
    </row>
    <row r="2321">
      <c r="A2321" s="14">
        <v>43031.163611111115</v>
      </c>
      <c r="B2321" s="20" t="str">
        <f>HYPERLINK("https://twitter.com/kosheleva121","@kosheleva121")</f>
        <v>@kosheleva121</v>
      </c>
      <c r="C2321" s="21" t="s">
        <v>5572</v>
      </c>
      <c r="D2321" s="21" t="s">
        <v>5451</v>
      </c>
      <c r="E2321" s="22" t="str">
        <f>HYPERLINK("https://twitter.com/kosheleva121/status/922416209626198016","922416209626198016")</f>
        <v>922416209626198016</v>
      </c>
      <c r="F2321" s="23" t="s">
        <v>55</v>
      </c>
      <c r="G2321" s="24">
        <v>3.0</v>
      </c>
      <c r="H2321" s="24">
        <v>0.0</v>
      </c>
      <c r="I2321" s="24">
        <v>62.0</v>
      </c>
      <c r="J2321" s="24">
        <v>0.0</v>
      </c>
      <c r="K2321" s="23" t="s">
        <v>34</v>
      </c>
      <c r="L2321" s="25">
        <v>43015.62997685185</v>
      </c>
      <c r="M2321" s="28"/>
      <c r="N2321" s="28"/>
      <c r="O2321" s="22" t="str">
        <f>HYPERLINK("https://pbs.twimg.com/profile_images/918894134575865856/xTuC4mj-_normal.jpg","View")</f>
        <v>View</v>
      </c>
      <c r="P2321" s="27"/>
    </row>
    <row r="2322">
      <c r="A2322" s="14">
        <v>43031.16365740741</v>
      </c>
      <c r="B2322" s="20" t="str">
        <f>HYPERLINK("https://twitter.com/AyaneLDK_","@AyaneLDK_")</f>
        <v>@AyaneLDK_</v>
      </c>
      <c r="C2322" s="21" t="s">
        <v>5635</v>
      </c>
      <c r="D2322" s="21" t="s">
        <v>42</v>
      </c>
      <c r="E2322" s="22" t="str">
        <f>HYPERLINK("https://twitter.com/AyaneLDK_/status/922416225166155776","922416225166155776")</f>
        <v>922416225166155776</v>
      </c>
      <c r="F2322" s="23" t="s">
        <v>39</v>
      </c>
      <c r="G2322" s="24">
        <v>489.0</v>
      </c>
      <c r="H2322" s="24">
        <v>242.0</v>
      </c>
      <c r="I2322" s="24">
        <v>8501.0</v>
      </c>
      <c r="J2322" s="24">
        <v>0.0</v>
      </c>
      <c r="K2322" s="23" t="s">
        <v>34</v>
      </c>
      <c r="L2322" s="25">
        <v>42290.38831018518</v>
      </c>
      <c r="M2322" s="26" t="s">
        <v>71</v>
      </c>
      <c r="N2322" s="26" t="s">
        <v>5636</v>
      </c>
      <c r="O2322" s="22" t="str">
        <f>HYPERLINK("https://pbs.twimg.com/profile_images/879656469737504768/fr5LadWt_normal.jpg","View")</f>
        <v>View</v>
      </c>
      <c r="P2322" s="27"/>
    </row>
    <row r="2323">
      <c r="A2323" s="14">
        <v>43031.16366898148</v>
      </c>
      <c r="B2323" s="20" t="str">
        <f>HYPERLINK("https://twitter.com/ssvsasp","@ssvsasp")</f>
        <v>@ssvsasp</v>
      </c>
      <c r="C2323" s="21" t="s">
        <v>5637</v>
      </c>
      <c r="D2323" s="21" t="s">
        <v>42</v>
      </c>
      <c r="E2323" s="22" t="str">
        <f>HYPERLINK("https://twitter.com/ssvsasp/status/922416227951173632","922416227951173632")</f>
        <v>922416227951173632</v>
      </c>
      <c r="F2323" s="23" t="s">
        <v>55</v>
      </c>
      <c r="G2323" s="24">
        <v>329.0</v>
      </c>
      <c r="H2323" s="24">
        <v>344.0</v>
      </c>
      <c r="I2323" s="24">
        <v>8501.0</v>
      </c>
      <c r="J2323" s="24">
        <v>0.0</v>
      </c>
      <c r="K2323" s="23" t="s">
        <v>34</v>
      </c>
      <c r="L2323" s="25">
        <v>40903.04788194445</v>
      </c>
      <c r="M2323" s="28"/>
      <c r="N2323" s="28"/>
      <c r="O2323" s="22" t="str">
        <f t="shared" ref="O2323:O2324" si="38">HYPERLINK("https://abs.twimg.com/sticky/default_profile_images/default_profile_normal.png","View")</f>
        <v>View</v>
      </c>
      <c r="P2323" s="27"/>
    </row>
    <row r="2324">
      <c r="A2324" s="14">
        <v>43031.16366898148</v>
      </c>
      <c r="B2324" s="20" t="str">
        <f>HYPERLINK("https://twitter.com/NAVINRUNGTA","@NAVINRUNGTA")</f>
        <v>@NAVINRUNGTA</v>
      </c>
      <c r="C2324" s="21" t="s">
        <v>5638</v>
      </c>
      <c r="D2324" s="21" t="s">
        <v>42</v>
      </c>
      <c r="E2324" s="22" t="str">
        <f>HYPERLINK("https://twitter.com/NAVINRUNGTA/status/922416228924145665","922416228924145665")</f>
        <v>922416228924145665</v>
      </c>
      <c r="F2324" s="23" t="s">
        <v>39</v>
      </c>
      <c r="G2324" s="24">
        <v>90.0</v>
      </c>
      <c r="H2324" s="24">
        <v>312.0</v>
      </c>
      <c r="I2324" s="24">
        <v>8501.0</v>
      </c>
      <c r="J2324" s="24">
        <v>0.0</v>
      </c>
      <c r="K2324" s="23" t="s">
        <v>34</v>
      </c>
      <c r="L2324" s="25">
        <v>40857.3603587963</v>
      </c>
      <c r="M2324" s="26" t="s">
        <v>96</v>
      </c>
      <c r="N2324" s="26" t="s">
        <v>5639</v>
      </c>
      <c r="O2324" s="22" t="str">
        <f t="shared" si="38"/>
        <v>View</v>
      </c>
      <c r="P2324" s="27"/>
    </row>
    <row r="2325">
      <c r="A2325" s="14">
        <v>43031.16373842592</v>
      </c>
      <c r="B2325" s="20" t="str">
        <f>HYPERLINK("https://twitter.com/pradeepkhs","@pradeepkhs")</f>
        <v>@pradeepkhs</v>
      </c>
      <c r="C2325" s="21" t="s">
        <v>5640</v>
      </c>
      <c r="D2325" s="21" t="s">
        <v>42</v>
      </c>
      <c r="E2325" s="22" t="str">
        <f>HYPERLINK("https://twitter.com/pradeepkhs/status/922416255214141440","922416255214141440")</f>
        <v>922416255214141440</v>
      </c>
      <c r="F2325" s="23" t="s">
        <v>55</v>
      </c>
      <c r="G2325" s="24">
        <v>307.0</v>
      </c>
      <c r="H2325" s="24">
        <v>779.0</v>
      </c>
      <c r="I2325" s="24">
        <v>8501.0</v>
      </c>
      <c r="J2325" s="24">
        <v>0.0</v>
      </c>
      <c r="K2325" s="23" t="s">
        <v>34</v>
      </c>
      <c r="L2325" s="25">
        <v>40237.20959490741</v>
      </c>
      <c r="M2325" s="28"/>
      <c r="N2325" s="28"/>
      <c r="O2325" s="22" t="str">
        <f>HYPERLINK("https://pbs.twimg.com/profile_images/378800000737539776/be0066dee37761c92394baec30fbe5bd_normal.jpeg","View")</f>
        <v>View</v>
      </c>
      <c r="P2325" s="27"/>
    </row>
    <row r="2326">
      <c r="A2326" s="14">
        <v>43031.163773148146</v>
      </c>
      <c r="B2326" s="20" t="str">
        <f>HYPERLINK("https://twitter.com/mahaur_rk","@mahaur_rk")</f>
        <v>@mahaur_rk</v>
      </c>
      <c r="C2326" s="21" t="s">
        <v>5641</v>
      </c>
      <c r="D2326" s="21" t="s">
        <v>42</v>
      </c>
      <c r="E2326" s="22" t="str">
        <f>HYPERLINK("https://twitter.com/mahaur_rk/status/922416268522729472","922416268522729472")</f>
        <v>922416268522729472</v>
      </c>
      <c r="F2326" s="23" t="s">
        <v>33</v>
      </c>
      <c r="G2326" s="24">
        <v>15.0</v>
      </c>
      <c r="H2326" s="24">
        <v>65.0</v>
      </c>
      <c r="I2326" s="24">
        <v>8501.0</v>
      </c>
      <c r="J2326" s="24">
        <v>0.0</v>
      </c>
      <c r="K2326" s="23" t="s">
        <v>34</v>
      </c>
      <c r="L2326" s="25">
        <v>42464.98548611111</v>
      </c>
      <c r="M2326" s="28"/>
      <c r="N2326" s="28"/>
      <c r="O2326" s="22" t="str">
        <f>HYPERLINK("https://pbs.twimg.com/profile_images/717241133110145024/rL11Y_ai_normal.jpg","View")</f>
        <v>View</v>
      </c>
      <c r="P2326" s="27"/>
    </row>
    <row r="2327">
      <c r="A2327" s="14">
        <v>43031.163819444446</v>
      </c>
      <c r="B2327" s="20" t="str">
        <f>HYPERLINK("https://twitter.com/bhagwanjat12","@bhagwanjat12")</f>
        <v>@bhagwanjat12</v>
      </c>
      <c r="C2327" s="21" t="s">
        <v>5642</v>
      </c>
      <c r="D2327" s="21" t="s">
        <v>42</v>
      </c>
      <c r="E2327" s="22" t="str">
        <f>HYPERLINK("https://twitter.com/bhagwanjat12/status/922416285413023744","922416285413023744")</f>
        <v>922416285413023744</v>
      </c>
      <c r="F2327" s="23" t="s">
        <v>33</v>
      </c>
      <c r="G2327" s="24">
        <v>12.0</v>
      </c>
      <c r="H2327" s="24">
        <v>31.0</v>
      </c>
      <c r="I2327" s="24">
        <v>8501.0</v>
      </c>
      <c r="J2327" s="24">
        <v>0.0</v>
      </c>
      <c r="K2327" s="23" t="s">
        <v>34</v>
      </c>
      <c r="L2327" s="25">
        <v>42998.19459490741</v>
      </c>
      <c r="M2327" s="26" t="s">
        <v>5643</v>
      </c>
      <c r="N2327" s="26" t="s">
        <v>5644</v>
      </c>
      <c r="O2327" s="22" t="str">
        <f>HYPERLINK("https://pbs.twimg.com/profile_images/910474161411129344/Vprg4kOd_normal.jpg","View")</f>
        <v>View</v>
      </c>
      <c r="P2327" s="27"/>
    </row>
    <row r="2328">
      <c r="A2328" s="14">
        <v>43031.16383101852</v>
      </c>
      <c r="B2328" s="20" t="str">
        <f>HYPERLINK("https://twitter.com/bienvenue30","@bienvenue30")</f>
        <v>@bienvenue30</v>
      </c>
      <c r="C2328" s="21" t="s">
        <v>5645</v>
      </c>
      <c r="D2328" s="21" t="s">
        <v>5309</v>
      </c>
      <c r="E2328" s="22" t="str">
        <f>HYPERLINK("https://twitter.com/bienvenue30/status/922416290219876352","922416290219876352")</f>
        <v>922416290219876352</v>
      </c>
      <c r="F2328" s="23" t="s">
        <v>43</v>
      </c>
      <c r="G2328" s="24">
        <v>121.0</v>
      </c>
      <c r="H2328" s="24">
        <v>540.0</v>
      </c>
      <c r="I2328" s="24">
        <v>22.0</v>
      </c>
      <c r="J2328" s="24">
        <v>0.0</v>
      </c>
      <c r="K2328" s="23" t="s">
        <v>34</v>
      </c>
      <c r="L2328" s="25">
        <v>42001.14866898148</v>
      </c>
      <c r="M2328" s="28"/>
      <c r="N2328" s="28"/>
      <c r="O2328" s="22" t="str">
        <f>HYPERLINK("https://pbs.twimg.com/profile_images/922566835308023808/HQiNOCBS_normal.jpg","View")</f>
        <v>View</v>
      </c>
      <c r="P2328" s="27"/>
    </row>
    <row r="2329">
      <c r="A2329" s="14">
        <v>43031.163877314815</v>
      </c>
      <c r="B2329" s="20" t="str">
        <f>HYPERLINK("https://twitter.com/GopalDeora1992","@GopalDeora1992")</f>
        <v>@GopalDeora1992</v>
      </c>
      <c r="C2329" s="21" t="s">
        <v>5646</v>
      </c>
      <c r="D2329" s="21" t="s">
        <v>42</v>
      </c>
      <c r="E2329" s="22" t="str">
        <f>HYPERLINK("https://twitter.com/GopalDeora1992/status/922416304442679296","922416304442679296")</f>
        <v>922416304442679296</v>
      </c>
      <c r="F2329" s="23" t="s">
        <v>33</v>
      </c>
      <c r="G2329" s="24">
        <v>438.0</v>
      </c>
      <c r="H2329" s="24">
        <v>1005.0</v>
      </c>
      <c r="I2329" s="24">
        <v>8501.0</v>
      </c>
      <c r="J2329" s="24">
        <v>0.0</v>
      </c>
      <c r="K2329" s="23" t="s">
        <v>34</v>
      </c>
      <c r="L2329" s="25">
        <v>42275.18059027778</v>
      </c>
      <c r="M2329" s="26" t="s">
        <v>5647</v>
      </c>
      <c r="N2329" s="26" t="s">
        <v>5648</v>
      </c>
      <c r="O2329" s="22" t="str">
        <f>HYPERLINK("https://pbs.twimg.com/profile_images/721510430879965184/CW8wh6Ff_normal.jpg","View")</f>
        <v>View</v>
      </c>
      <c r="P2329" s="27"/>
    </row>
    <row r="2330">
      <c r="A2330" s="14">
        <v>43031.16394675926</v>
      </c>
      <c r="B2330" s="20" t="str">
        <f>HYPERLINK("https://twitter.com/JPsingh12","@JPsingh12")</f>
        <v>@JPsingh12</v>
      </c>
      <c r="C2330" s="21" t="s">
        <v>5649</v>
      </c>
      <c r="D2330" s="21" t="s">
        <v>5650</v>
      </c>
      <c r="E2330" s="22" t="str">
        <f>HYPERLINK("https://twitter.com/JPsingh12/status/922416331349094400","922416331349094400")</f>
        <v>922416331349094400</v>
      </c>
      <c r="F2330" s="23" t="s">
        <v>33</v>
      </c>
      <c r="G2330" s="24">
        <v>705.0</v>
      </c>
      <c r="H2330" s="24">
        <v>686.0</v>
      </c>
      <c r="I2330" s="24">
        <v>2.0</v>
      </c>
      <c r="J2330" s="24">
        <v>0.0</v>
      </c>
      <c r="K2330" s="23" t="s">
        <v>34</v>
      </c>
      <c r="L2330" s="25">
        <v>40360.293854166666</v>
      </c>
      <c r="M2330" s="26" t="s">
        <v>5297</v>
      </c>
      <c r="N2330" s="26" t="s">
        <v>5651</v>
      </c>
      <c r="O2330" s="22" t="str">
        <f>HYPERLINK("https://pbs.twimg.com/profile_images/560339793247080448/KkLfVRxi_normal.jpeg","View")</f>
        <v>View</v>
      </c>
      <c r="P2330" s="27"/>
    </row>
    <row r="2331">
      <c r="A2331" s="14">
        <v>43031.16401620371</v>
      </c>
      <c r="B2331" s="20" t="str">
        <f>HYPERLINK("https://twitter.com/gaz_catt","@gaz_catt")</f>
        <v>@gaz_catt</v>
      </c>
      <c r="C2331" s="21" t="s">
        <v>5652</v>
      </c>
      <c r="D2331" s="21" t="s">
        <v>5653</v>
      </c>
      <c r="E2331" s="22" t="str">
        <f>HYPERLINK("https://twitter.com/gaz_catt/status/922416353931341825","922416353931341825")</f>
        <v>922416353931341825</v>
      </c>
      <c r="F2331" s="23" t="s">
        <v>187</v>
      </c>
      <c r="G2331" s="24">
        <v>1110.0</v>
      </c>
      <c r="H2331" s="24">
        <v>1674.0</v>
      </c>
      <c r="I2331" s="24">
        <v>0.0</v>
      </c>
      <c r="J2331" s="24">
        <v>0.0</v>
      </c>
      <c r="K2331" s="23" t="s">
        <v>34</v>
      </c>
      <c r="L2331" s="25">
        <v>40603.506736111114</v>
      </c>
      <c r="M2331" s="26" t="s">
        <v>5654</v>
      </c>
      <c r="N2331" s="26" t="s">
        <v>5655</v>
      </c>
      <c r="O2331" s="22" t="str">
        <f>HYPERLINK("https://pbs.twimg.com/profile_images/1258879976/homer-simpson-wallpaper-brain-1024_normal.jpg","View")</f>
        <v>View</v>
      </c>
      <c r="P2331" s="27"/>
    </row>
    <row r="2332">
      <c r="A2332" s="14">
        <v>43031.16403935185</v>
      </c>
      <c r="B2332" s="20" t="str">
        <f>HYPERLINK("https://twitter.com/AdmiralRoadCap","@AdmiralRoadCap")</f>
        <v>@AdmiralRoadCap</v>
      </c>
      <c r="C2332" s="21" t="s">
        <v>5656</v>
      </c>
      <c r="D2332" s="21" t="s">
        <v>5657</v>
      </c>
      <c r="E2332" s="22" t="str">
        <f>HYPERLINK("https://twitter.com/AdmiralRoadCap/status/922416362751954945","922416362751954945")</f>
        <v>922416362751954945</v>
      </c>
      <c r="F2332" s="23" t="s">
        <v>55</v>
      </c>
      <c r="G2332" s="24">
        <v>1508.0</v>
      </c>
      <c r="H2332" s="24">
        <v>19.0</v>
      </c>
      <c r="I2332" s="24">
        <v>0.0</v>
      </c>
      <c r="J2332" s="24">
        <v>0.0</v>
      </c>
      <c r="K2332" s="23" t="s">
        <v>34</v>
      </c>
      <c r="L2332" s="25">
        <v>41069.772314814814</v>
      </c>
      <c r="M2332" s="26" t="s">
        <v>5658</v>
      </c>
      <c r="N2332" s="26" t="s">
        <v>5659</v>
      </c>
      <c r="O2332" s="22" t="str">
        <f>HYPERLINK("https://pbs.twimg.com/profile_images/2347175582/pb9d5f8bnd38bbh6v7oq_normal.jpeg","View")</f>
        <v>View</v>
      </c>
      <c r="P2332" s="27"/>
    </row>
    <row r="2333">
      <c r="A2333" s="14">
        <v>43031.16410879629</v>
      </c>
      <c r="B2333" s="20" t="str">
        <f>HYPERLINK("https://twitter.com/TFTCS","@TFTCS")</f>
        <v>@TFTCS</v>
      </c>
      <c r="C2333" s="21" t="s">
        <v>1851</v>
      </c>
      <c r="D2333" s="21" t="s">
        <v>5660</v>
      </c>
      <c r="E2333" s="22" t="str">
        <f>HYPERLINK("https://twitter.com/TFTCS/status/922416387292844032","922416387292844032")</f>
        <v>922416387292844032</v>
      </c>
      <c r="F2333" s="23" t="s">
        <v>187</v>
      </c>
      <c r="G2333" s="24">
        <v>4389.0</v>
      </c>
      <c r="H2333" s="24">
        <v>4555.0</v>
      </c>
      <c r="I2333" s="24">
        <v>0.0</v>
      </c>
      <c r="J2333" s="24">
        <v>0.0</v>
      </c>
      <c r="K2333" s="23" t="s">
        <v>34</v>
      </c>
      <c r="L2333" s="25">
        <v>41868.76810185185</v>
      </c>
      <c r="M2333" s="26" t="s">
        <v>1853</v>
      </c>
      <c r="N2333" s="26" t="s">
        <v>1854</v>
      </c>
      <c r="O2333" s="22" t="str">
        <f>HYPERLINK("https://pbs.twimg.com/profile_images/736027772800368640/DdLGgNNU_normal.jpg","View")</f>
        <v>View</v>
      </c>
      <c r="P2333" s="27"/>
    </row>
    <row r="2334">
      <c r="A2334" s="14">
        <v>43031.164131944446</v>
      </c>
      <c r="B2334" s="20" t="str">
        <f>HYPERLINK("https://twitter.com/kunwar_ajay","@kunwar_ajay")</f>
        <v>@kunwar_ajay</v>
      </c>
      <c r="C2334" s="21" t="s">
        <v>5661</v>
      </c>
      <c r="D2334" s="21" t="s">
        <v>42</v>
      </c>
      <c r="E2334" s="22" t="str">
        <f>HYPERLINK("https://twitter.com/kunwar_ajay/status/922416395979071488","922416395979071488")</f>
        <v>922416395979071488</v>
      </c>
      <c r="F2334" s="23" t="s">
        <v>33</v>
      </c>
      <c r="G2334" s="24">
        <v>358.0</v>
      </c>
      <c r="H2334" s="24">
        <v>397.0</v>
      </c>
      <c r="I2334" s="24">
        <v>8501.0</v>
      </c>
      <c r="J2334" s="24">
        <v>0.0</v>
      </c>
      <c r="K2334" s="23" t="s">
        <v>34</v>
      </c>
      <c r="L2334" s="25">
        <v>40393.30917824074</v>
      </c>
      <c r="M2334" s="26" t="s">
        <v>5662</v>
      </c>
      <c r="N2334" s="26" t="s">
        <v>5663</v>
      </c>
      <c r="O2334" s="22" t="str">
        <f>HYPERLINK("https://pbs.twimg.com/profile_images/900757447719002112/0f6SBSdy_normal.jpg","View")</f>
        <v>View</v>
      </c>
      <c r="P2334" s="27"/>
    </row>
    <row r="2335">
      <c r="A2335" s="14">
        <v>43031.16420138889</v>
      </c>
      <c r="B2335" s="20" t="str">
        <f>HYPERLINK("https://twitter.com/TradeWithSuper","@TradeWithSuper")</f>
        <v>@TradeWithSuper</v>
      </c>
      <c r="C2335" s="21" t="s">
        <v>5664</v>
      </c>
      <c r="D2335" s="21" t="s">
        <v>5665</v>
      </c>
      <c r="E2335" s="22" t="str">
        <f>HYPERLINK("https://twitter.com/TradeWithSuper/status/922416420620816384","922416420620816384")</f>
        <v>922416420620816384</v>
      </c>
      <c r="F2335" s="23" t="s">
        <v>187</v>
      </c>
      <c r="G2335" s="24">
        <v>4146.0</v>
      </c>
      <c r="H2335" s="24">
        <v>4641.0</v>
      </c>
      <c r="I2335" s="24">
        <v>0.0</v>
      </c>
      <c r="J2335" s="24">
        <v>0.0</v>
      </c>
      <c r="K2335" s="23" t="s">
        <v>34</v>
      </c>
      <c r="L2335" s="25">
        <v>41665.828125</v>
      </c>
      <c r="M2335" s="26" t="s">
        <v>5666</v>
      </c>
      <c r="N2335" s="26" t="s">
        <v>5667</v>
      </c>
      <c r="O2335" s="22" t="str">
        <f>HYPERLINK("https://pbs.twimg.com/profile_images/730814770186620928/lFK0zCBG_normal.jpg","View")</f>
        <v>View</v>
      </c>
      <c r="P2335" s="27"/>
    </row>
    <row r="2336">
      <c r="A2336" s="14">
        <v>43031.16422453704</v>
      </c>
      <c r="B2336" s="20" t="str">
        <f>HYPERLINK("https://twitter.com/NIimcian","@NIimcian")</f>
        <v>@NIimcian</v>
      </c>
      <c r="C2336" s="21" t="s">
        <v>5668</v>
      </c>
      <c r="D2336" s="21" t="s">
        <v>42</v>
      </c>
      <c r="E2336" s="22" t="str">
        <f>HYPERLINK("https://twitter.com/NIimcian/status/922416432985411585","922416432985411585")</f>
        <v>922416432985411585</v>
      </c>
      <c r="F2336" s="23" t="s">
        <v>33</v>
      </c>
      <c r="G2336" s="24">
        <v>30.0</v>
      </c>
      <c r="H2336" s="24">
        <v>251.0</v>
      </c>
      <c r="I2336" s="24">
        <v>8501.0</v>
      </c>
      <c r="J2336" s="24">
        <v>0.0</v>
      </c>
      <c r="K2336" s="23" t="s">
        <v>34</v>
      </c>
      <c r="L2336" s="25">
        <v>43004.09170138889</v>
      </c>
      <c r="M2336" s="26" t="s">
        <v>5669</v>
      </c>
      <c r="N2336" s="26" t="s">
        <v>5670</v>
      </c>
      <c r="O2336" s="22" t="str">
        <f>HYPERLINK("https://pbs.twimg.com/profile_images/921448748210823168/S0Klyyxy_normal.jpg","View")</f>
        <v>View</v>
      </c>
      <c r="P2336" s="27"/>
    </row>
    <row r="2337">
      <c r="A2337" s="14">
        <v>43031.164236111115</v>
      </c>
      <c r="B2337" s="20" t="str">
        <f>HYPERLINK("https://twitter.com/harsh007vardhan","@harsh007vardhan")</f>
        <v>@harsh007vardhan</v>
      </c>
      <c r="C2337" s="21" t="s">
        <v>5671</v>
      </c>
      <c r="D2337" s="21" t="s">
        <v>42</v>
      </c>
      <c r="E2337" s="22" t="str">
        <f>HYPERLINK("https://twitter.com/harsh007vardhan/status/922416436873592832","922416436873592832")</f>
        <v>922416436873592832</v>
      </c>
      <c r="F2337" s="23" t="s">
        <v>33</v>
      </c>
      <c r="G2337" s="24">
        <v>4.0</v>
      </c>
      <c r="H2337" s="24">
        <v>92.0</v>
      </c>
      <c r="I2337" s="24">
        <v>8501.0</v>
      </c>
      <c r="J2337" s="24">
        <v>0.0</v>
      </c>
      <c r="K2337" s="23" t="s">
        <v>34</v>
      </c>
      <c r="L2337" s="25">
        <v>43026.279386574075</v>
      </c>
      <c r="M2337" s="26" t="s">
        <v>5672</v>
      </c>
      <c r="N2337" s="28"/>
      <c r="O2337" s="22" t="str">
        <f>HYPERLINK("https://pbs.twimg.com/profile_images/920845717001916416/bQfue1RR_normal.jpg","View")</f>
        <v>View</v>
      </c>
      <c r="P2337" s="27"/>
    </row>
    <row r="2338">
      <c r="A2338" s="14">
        <v>43031.16431712963</v>
      </c>
      <c r="B2338" s="20" t="str">
        <f>HYPERLINK("https://twitter.com/ScottLuft","@ScottLuft")</f>
        <v>@ScottLuft</v>
      </c>
      <c r="C2338" s="21" t="s">
        <v>5673</v>
      </c>
      <c r="D2338" s="21" t="s">
        <v>5674</v>
      </c>
      <c r="E2338" s="22" t="str">
        <f>HYPERLINK("https://twitter.com/ScottLuft/status/922416464832983040","922416464832983040")</f>
        <v>922416464832983040</v>
      </c>
      <c r="F2338" s="23" t="s">
        <v>55</v>
      </c>
      <c r="G2338" s="24">
        <v>735.0</v>
      </c>
      <c r="H2338" s="24">
        <v>559.0</v>
      </c>
      <c r="I2338" s="24">
        <v>2.0</v>
      </c>
      <c r="J2338" s="24">
        <v>0.0</v>
      </c>
      <c r="K2338" s="23" t="s">
        <v>34</v>
      </c>
      <c r="L2338" s="25">
        <v>40797.7265625</v>
      </c>
      <c r="M2338" s="26" t="s">
        <v>5675</v>
      </c>
      <c r="N2338" s="26" t="s">
        <v>5676</v>
      </c>
      <c r="O2338" s="22" t="str">
        <f>HYPERLINK("https://pbs.twimg.com/profile_images/878280806296199168/M5TdV4Xs_normal.jpg","View")</f>
        <v>View</v>
      </c>
      <c r="P2338" s="27"/>
    </row>
    <row r="2339">
      <c r="A2339" s="14">
        <v>43031.1643287037</v>
      </c>
      <c r="B2339" s="20" t="str">
        <f>HYPERLINK("https://twitter.com/khalidkhaliq53","@khalidkhaliq53")</f>
        <v>@khalidkhaliq53</v>
      </c>
      <c r="C2339" s="21" t="s">
        <v>5677</v>
      </c>
      <c r="D2339" s="21" t="s">
        <v>42</v>
      </c>
      <c r="E2339" s="22" t="str">
        <f>HYPERLINK("https://twitter.com/khalidkhaliq53/status/922416467559178240","922416467559178240")</f>
        <v>922416467559178240</v>
      </c>
      <c r="F2339" s="23" t="s">
        <v>33</v>
      </c>
      <c r="G2339" s="24">
        <v>0.0</v>
      </c>
      <c r="H2339" s="24">
        <v>115.0</v>
      </c>
      <c r="I2339" s="24">
        <v>8501.0</v>
      </c>
      <c r="J2339" s="24">
        <v>0.0</v>
      </c>
      <c r="K2339" s="23" t="s">
        <v>34</v>
      </c>
      <c r="L2339" s="25">
        <v>43028.71024305555</v>
      </c>
      <c r="M2339" s="26" t="s">
        <v>5678</v>
      </c>
      <c r="N2339" s="26" t="s">
        <v>5679</v>
      </c>
      <c r="O2339" s="22" t="str">
        <f>HYPERLINK("https://pbs.twimg.com/profile_images/921529228633432064/h5AY8oZf_normal.jpg","View")</f>
        <v>View</v>
      </c>
      <c r="P2339" s="27"/>
    </row>
    <row r="2340">
      <c r="A2340" s="14">
        <v>43031.16434027778</v>
      </c>
      <c r="B2340" s="20" t="str">
        <f>HYPERLINK("https://twitter.com/mosriceburger","@mosriceburger")</f>
        <v>@mosriceburger</v>
      </c>
      <c r="C2340" s="21" t="s">
        <v>5680</v>
      </c>
      <c r="D2340" s="21" t="s">
        <v>42</v>
      </c>
      <c r="E2340" s="22" t="str">
        <f>HYPERLINK("https://twitter.com/mosriceburger/status/922416473061998592","922416473061998592")</f>
        <v>922416473061998592</v>
      </c>
      <c r="F2340" s="23" t="s">
        <v>39</v>
      </c>
      <c r="G2340" s="24">
        <v>168.0</v>
      </c>
      <c r="H2340" s="24">
        <v>469.0</v>
      </c>
      <c r="I2340" s="24">
        <v>8501.0</v>
      </c>
      <c r="J2340" s="24">
        <v>0.0</v>
      </c>
      <c r="K2340" s="23" t="s">
        <v>34</v>
      </c>
      <c r="L2340" s="25">
        <v>42871.19835648148</v>
      </c>
      <c r="M2340" s="26" t="s">
        <v>5681</v>
      </c>
      <c r="N2340" s="26" t="s">
        <v>5682</v>
      </c>
      <c r="O2340" s="22" t="str">
        <f>HYPERLINK("https://pbs.twimg.com/profile_images/864502690113495041/rciij5Ny_normal.jpg","View")</f>
        <v>View</v>
      </c>
      <c r="P2340" s="27"/>
    </row>
    <row r="2341">
      <c r="A2341" s="14">
        <v>43031.16443287037</v>
      </c>
      <c r="B2341" s="20" t="str">
        <f>HYPERLINK("https://twitter.com/noimnotharsh","@noimnotharsh")</f>
        <v>@noimnotharsh</v>
      </c>
      <c r="C2341" s="21" t="s">
        <v>5683</v>
      </c>
      <c r="D2341" s="21" t="s">
        <v>42</v>
      </c>
      <c r="E2341" s="22" t="str">
        <f>HYPERLINK("https://twitter.com/noimnotharsh/status/922416508105498624","922416508105498624")</f>
        <v>922416508105498624</v>
      </c>
      <c r="F2341" s="23" t="s">
        <v>55</v>
      </c>
      <c r="G2341" s="24">
        <v>326.0</v>
      </c>
      <c r="H2341" s="24">
        <v>351.0</v>
      </c>
      <c r="I2341" s="24">
        <v>8501.0</v>
      </c>
      <c r="J2341" s="24">
        <v>0.0</v>
      </c>
      <c r="K2341" s="23" t="s">
        <v>34</v>
      </c>
      <c r="L2341" s="25">
        <v>40882.94020833333</v>
      </c>
      <c r="M2341" s="26" t="s">
        <v>5684</v>
      </c>
      <c r="N2341" s="26" t="s">
        <v>5685</v>
      </c>
      <c r="O2341" s="22" t="str">
        <f>HYPERLINK("https://pbs.twimg.com/profile_images/860766411781812224/rDuvWKfJ_normal.jpg","View")</f>
        <v>View</v>
      </c>
      <c r="P2341" s="27"/>
    </row>
    <row r="2342">
      <c r="A2342" s="14">
        <v>43031.164502314816</v>
      </c>
      <c r="B2342" s="20" t="str">
        <f>HYPERLINK("https://twitter.com/bansal023","@bansal023")</f>
        <v>@bansal023</v>
      </c>
      <c r="C2342" s="21" t="s">
        <v>5686</v>
      </c>
      <c r="D2342" s="21" t="s">
        <v>42</v>
      </c>
      <c r="E2342" s="22" t="str">
        <f>HYPERLINK("https://twitter.com/bansal023/status/922416533778792448","922416533778792448")</f>
        <v>922416533778792448</v>
      </c>
      <c r="F2342" s="23" t="s">
        <v>33</v>
      </c>
      <c r="G2342" s="24">
        <v>639.0</v>
      </c>
      <c r="H2342" s="24">
        <v>657.0</v>
      </c>
      <c r="I2342" s="24">
        <v>8501.0</v>
      </c>
      <c r="J2342" s="24">
        <v>0.0</v>
      </c>
      <c r="K2342" s="23" t="s">
        <v>34</v>
      </c>
      <c r="L2342" s="25">
        <v>40397.208969907406</v>
      </c>
      <c r="M2342" s="26" t="s">
        <v>5687</v>
      </c>
      <c r="N2342" s="26" t="s">
        <v>5688</v>
      </c>
      <c r="O2342" s="22" t="str">
        <f>HYPERLINK("https://pbs.twimg.com/profile_images/850045188865183744/iFcLazmD_normal.jpg","View")</f>
        <v>View</v>
      </c>
      <c r="P2342" s="27"/>
    </row>
    <row r="2343">
      <c r="A2343" s="14">
        <v>43031.16453703704</v>
      </c>
      <c r="B2343" s="20" t="str">
        <f>HYPERLINK("https://twitter.com/maheshsoyal","@maheshsoyal")</f>
        <v>@maheshsoyal</v>
      </c>
      <c r="C2343" s="21" t="s">
        <v>5689</v>
      </c>
      <c r="D2343" s="21" t="s">
        <v>42</v>
      </c>
      <c r="E2343" s="22" t="str">
        <f>HYPERLINK("https://twitter.com/maheshsoyal/status/922416545136918529","922416545136918529")</f>
        <v>922416545136918529</v>
      </c>
      <c r="F2343" s="23" t="s">
        <v>33</v>
      </c>
      <c r="G2343" s="24">
        <v>33.0</v>
      </c>
      <c r="H2343" s="24">
        <v>21.0</v>
      </c>
      <c r="I2343" s="24">
        <v>8501.0</v>
      </c>
      <c r="J2343" s="24">
        <v>0.0</v>
      </c>
      <c r="K2343" s="23" t="s">
        <v>34</v>
      </c>
      <c r="L2343" s="25">
        <v>41234.11990740741</v>
      </c>
      <c r="M2343" s="28"/>
      <c r="N2343" s="26" t="s">
        <v>1217</v>
      </c>
      <c r="O2343" s="22" t="str">
        <f>HYPERLINK("https://pbs.twimg.com/profile_images/784756953079750656/nXwy4exp_normal.jpg","View")</f>
        <v>View</v>
      </c>
      <c r="P2343" s="27"/>
    </row>
    <row r="2344">
      <c r="A2344" s="14">
        <v>43031.16458333333</v>
      </c>
      <c r="B2344" s="20" t="str">
        <f>HYPERLINK("https://twitter.com/vsrbudhiraja","@vsrbudhiraja")</f>
        <v>@vsrbudhiraja</v>
      </c>
      <c r="C2344" s="21" t="s">
        <v>5690</v>
      </c>
      <c r="D2344" s="21" t="s">
        <v>42</v>
      </c>
      <c r="E2344" s="22" t="str">
        <f>HYPERLINK("https://twitter.com/vsrbudhiraja/status/922416560739774464","922416560739774464")</f>
        <v>922416560739774464</v>
      </c>
      <c r="F2344" s="23" t="s">
        <v>39</v>
      </c>
      <c r="G2344" s="24">
        <v>389.0</v>
      </c>
      <c r="H2344" s="24">
        <v>191.0</v>
      </c>
      <c r="I2344" s="24">
        <v>8501.0</v>
      </c>
      <c r="J2344" s="24">
        <v>0.0</v>
      </c>
      <c r="K2344" s="23" t="s">
        <v>34</v>
      </c>
      <c r="L2344" s="25">
        <v>40068.20836805555</v>
      </c>
      <c r="M2344" s="26" t="s">
        <v>5691</v>
      </c>
      <c r="N2344" s="26" t="s">
        <v>5692</v>
      </c>
      <c r="O2344" s="22" t="str">
        <f>HYPERLINK("https://pbs.twimg.com/profile_images/906769025736126464/4le20FwQ_normal.jpg","View")</f>
        <v>View</v>
      </c>
      <c r="P2344" s="27"/>
    </row>
    <row r="2345">
      <c r="A2345" s="14">
        <v>43031.16466435185</v>
      </c>
      <c r="B2345" s="20" t="str">
        <f>HYPERLINK("https://twitter.com/singhashutosh96","@singhashutosh96")</f>
        <v>@singhashutosh96</v>
      </c>
      <c r="C2345" s="21" t="s">
        <v>5693</v>
      </c>
      <c r="D2345" s="21" t="s">
        <v>42</v>
      </c>
      <c r="E2345" s="22" t="str">
        <f>HYPERLINK("https://twitter.com/singhashutosh96/status/922416589781241856","922416589781241856")</f>
        <v>922416589781241856</v>
      </c>
      <c r="F2345" s="23" t="s">
        <v>43</v>
      </c>
      <c r="G2345" s="24">
        <v>3.0</v>
      </c>
      <c r="H2345" s="24">
        <v>22.0</v>
      </c>
      <c r="I2345" s="24">
        <v>8501.0</v>
      </c>
      <c r="J2345" s="24">
        <v>0.0</v>
      </c>
      <c r="K2345" s="23" t="s">
        <v>34</v>
      </c>
      <c r="L2345" s="25">
        <v>41986.09371527778</v>
      </c>
      <c r="M2345" s="26" t="s">
        <v>603</v>
      </c>
      <c r="N2345" s="26" t="s">
        <v>5694</v>
      </c>
      <c r="O2345" s="22" t="str">
        <f>HYPERLINK("https://abs.twimg.com/sticky/default_profile_images/default_profile_normal.png","View")</f>
        <v>View</v>
      </c>
      <c r="P2345" s="27"/>
    </row>
    <row r="2346">
      <c r="A2346" s="14">
        <v>43031.16466435185</v>
      </c>
      <c r="B2346" s="20" t="str">
        <f>HYPERLINK("https://twitter.com/black_x68","@black_x68")</f>
        <v>@black_x68</v>
      </c>
      <c r="C2346" s="21" t="s">
        <v>5695</v>
      </c>
      <c r="D2346" s="21" t="s">
        <v>740</v>
      </c>
      <c r="E2346" s="22" t="str">
        <f>HYPERLINK("https://twitter.com/black_x68/status/922416591614107653","922416591614107653")</f>
        <v>922416591614107653</v>
      </c>
      <c r="F2346" s="23" t="s">
        <v>33</v>
      </c>
      <c r="G2346" s="24">
        <v>312.0</v>
      </c>
      <c r="H2346" s="24">
        <v>189.0</v>
      </c>
      <c r="I2346" s="24">
        <v>87.0</v>
      </c>
      <c r="J2346" s="24">
        <v>0.0</v>
      </c>
      <c r="K2346" s="23" t="s">
        <v>34</v>
      </c>
      <c r="L2346" s="25">
        <v>40203.86841435185</v>
      </c>
      <c r="M2346" s="28"/>
      <c r="N2346" s="26" t="s">
        <v>5696</v>
      </c>
      <c r="O2346" s="22" t="str">
        <f>HYPERLINK("https://pbs.twimg.com/profile_images/378800000760752732/6350cf78d603b29da395236ff5b36a6a_normal.jpeg","View")</f>
        <v>View</v>
      </c>
      <c r="P2346" s="27"/>
    </row>
    <row r="2347">
      <c r="A2347" s="14">
        <v>43031.16471064815</v>
      </c>
      <c r="B2347" s="20" t="str">
        <f>HYPERLINK("https://twitter.com/BullFan2016","@BullFan2016")</f>
        <v>@BullFan2016</v>
      </c>
      <c r="C2347" s="21" t="s">
        <v>5697</v>
      </c>
      <c r="D2347" s="21" t="s">
        <v>5698</v>
      </c>
      <c r="E2347" s="22" t="str">
        <f>HYPERLINK("https://twitter.com/BullFan2016/status/922416605912551424","922416605912551424")</f>
        <v>922416605912551424</v>
      </c>
      <c r="F2347" s="23" t="s">
        <v>187</v>
      </c>
      <c r="G2347" s="24">
        <v>4565.0</v>
      </c>
      <c r="H2347" s="24">
        <v>4765.0</v>
      </c>
      <c r="I2347" s="24">
        <v>0.0</v>
      </c>
      <c r="J2347" s="24">
        <v>0.0</v>
      </c>
      <c r="K2347" s="23" t="s">
        <v>34</v>
      </c>
      <c r="L2347" s="25">
        <v>41681.66925925926</v>
      </c>
      <c r="M2347" s="26" t="s">
        <v>5699</v>
      </c>
      <c r="N2347" s="26" t="s">
        <v>5700</v>
      </c>
      <c r="O2347" s="22" t="str">
        <f>HYPERLINK("https://pbs.twimg.com/profile_images/731191829031313408/9mn9jGUk_normal.jpg","View")</f>
        <v>View</v>
      </c>
      <c r="P2347" s="27"/>
    </row>
    <row r="2348">
      <c r="A2348" s="14">
        <v>43031.16489583333</v>
      </c>
      <c r="B2348" s="20" t="str">
        <f>HYPERLINK("https://twitter.com/SKDIWAKAR117","@SKDIWAKAR117")</f>
        <v>@SKDIWAKAR117</v>
      </c>
      <c r="C2348" s="21" t="s">
        <v>5701</v>
      </c>
      <c r="D2348" s="21" t="s">
        <v>42</v>
      </c>
      <c r="E2348" s="22" t="str">
        <f>HYPERLINK("https://twitter.com/SKDIWAKAR117/status/922416675525296128","922416675525296128")</f>
        <v>922416675525296128</v>
      </c>
      <c r="F2348" s="23" t="s">
        <v>33</v>
      </c>
      <c r="G2348" s="24">
        <v>6.0</v>
      </c>
      <c r="H2348" s="24">
        <v>126.0</v>
      </c>
      <c r="I2348" s="24">
        <v>8501.0</v>
      </c>
      <c r="J2348" s="24">
        <v>0.0</v>
      </c>
      <c r="K2348" s="23" t="s">
        <v>34</v>
      </c>
      <c r="L2348" s="25">
        <v>43009.086435185185</v>
      </c>
      <c r="M2348" s="26" t="s">
        <v>5702</v>
      </c>
      <c r="N2348" s="28"/>
      <c r="O2348" s="22" t="str">
        <f>HYPERLINK("https://pbs.twimg.com/profile_images/914870623775494144/h-Ooxw2A_normal.jpg","View")</f>
        <v>View</v>
      </c>
      <c r="P2348" s="27"/>
    </row>
    <row r="2349">
      <c r="A2349" s="14">
        <v>43031.16490740741</v>
      </c>
      <c r="B2349" s="20" t="str">
        <f>HYPERLINK("https://twitter.com/slammingpicks","@slammingpicks")</f>
        <v>@slammingpicks</v>
      </c>
      <c r="C2349" s="21" t="s">
        <v>5703</v>
      </c>
      <c r="D2349" s="21" t="s">
        <v>5704</v>
      </c>
      <c r="E2349" s="22" t="str">
        <f>HYPERLINK("https://twitter.com/slammingpicks/status/922416679484887041","922416679484887041")</f>
        <v>922416679484887041</v>
      </c>
      <c r="F2349" s="23" t="s">
        <v>187</v>
      </c>
      <c r="G2349" s="24">
        <v>4129.0</v>
      </c>
      <c r="H2349" s="24">
        <v>4646.0</v>
      </c>
      <c r="I2349" s="24">
        <v>0.0</v>
      </c>
      <c r="J2349" s="24">
        <v>0.0</v>
      </c>
      <c r="K2349" s="23" t="s">
        <v>34</v>
      </c>
      <c r="L2349" s="25">
        <v>40961.83384259259</v>
      </c>
      <c r="M2349" s="26" t="s">
        <v>5705</v>
      </c>
      <c r="N2349" s="26" t="s">
        <v>5706</v>
      </c>
      <c r="O2349" s="22" t="str">
        <f>HYPERLINK("https://pbs.twimg.com/profile_images/735974135579447296/8HEhazHN_normal.jpg","View")</f>
        <v>View</v>
      </c>
      <c r="P2349" s="27"/>
    </row>
    <row r="2350">
      <c r="A2350" s="14">
        <v>43031.16491898148</v>
      </c>
      <c r="B2350" s="20" t="str">
        <f>HYPERLINK("https://twitter.com/Rgpatel1234","@Rgpatel1234")</f>
        <v>@Rgpatel1234</v>
      </c>
      <c r="C2350" s="21" t="s">
        <v>5707</v>
      </c>
      <c r="D2350" s="21" t="s">
        <v>42</v>
      </c>
      <c r="E2350" s="22" t="str">
        <f>HYPERLINK("https://twitter.com/Rgpatel1234/status/922416683305680897","922416683305680897")</f>
        <v>922416683305680897</v>
      </c>
      <c r="F2350" s="23" t="s">
        <v>33</v>
      </c>
      <c r="G2350" s="24">
        <v>2.0</v>
      </c>
      <c r="H2350" s="24">
        <v>97.0</v>
      </c>
      <c r="I2350" s="24">
        <v>8501.0</v>
      </c>
      <c r="J2350" s="24">
        <v>0.0</v>
      </c>
      <c r="K2350" s="23" t="s">
        <v>34</v>
      </c>
      <c r="L2350" s="25">
        <v>43026.01144675926</v>
      </c>
      <c r="M2350" s="26" t="s">
        <v>1354</v>
      </c>
      <c r="N2350" s="26" t="s">
        <v>5708</v>
      </c>
      <c r="O2350" s="22" t="str">
        <f>HYPERLINK("https://pbs.twimg.com/profile_images/920560004737806336/t49o_pw4_normal.jpg","View")</f>
        <v>View</v>
      </c>
      <c r="P2350" s="27"/>
    </row>
    <row r="2351">
      <c r="A2351" s="14">
        <v>43031.164988425924</v>
      </c>
      <c r="B2351" s="20" t="str">
        <f>HYPERLINK("https://twitter.com/Kabir_grewal1","@Kabir_grewal1")</f>
        <v>@Kabir_grewal1</v>
      </c>
      <c r="C2351" s="21" t="s">
        <v>5709</v>
      </c>
      <c r="D2351" s="21" t="s">
        <v>42</v>
      </c>
      <c r="E2351" s="22" t="str">
        <f>HYPERLINK("https://twitter.com/Kabir_grewal1/status/922416707339108354","922416707339108354")</f>
        <v>922416707339108354</v>
      </c>
      <c r="F2351" s="23" t="s">
        <v>39</v>
      </c>
      <c r="G2351" s="24">
        <v>768.0</v>
      </c>
      <c r="H2351" s="24">
        <v>158.0</v>
      </c>
      <c r="I2351" s="24">
        <v>8501.0</v>
      </c>
      <c r="J2351" s="24">
        <v>0.0</v>
      </c>
      <c r="K2351" s="23" t="s">
        <v>34</v>
      </c>
      <c r="L2351" s="25">
        <v>42099.292708333334</v>
      </c>
      <c r="M2351" s="28"/>
      <c r="N2351" s="26" t="s">
        <v>5710</v>
      </c>
      <c r="O2351" s="22" t="str">
        <f>HYPERLINK("https://pbs.twimg.com/profile_images/780435372094390272/zhK9X0tq_normal.jpg","View")</f>
        <v>View</v>
      </c>
      <c r="P2351" s="27"/>
    </row>
    <row r="2352">
      <c r="A2352" s="14">
        <v>43031.165127314816</v>
      </c>
      <c r="B2352" s="20" t="str">
        <f>HYPERLINK("https://twitter.com/agrawalmayur23","@agrawalmayur23")</f>
        <v>@agrawalmayur23</v>
      </c>
      <c r="C2352" s="21" t="s">
        <v>5711</v>
      </c>
      <c r="D2352" s="21" t="s">
        <v>42</v>
      </c>
      <c r="E2352" s="22" t="str">
        <f>HYPERLINK("https://twitter.com/agrawalmayur23/status/922416759084216320","922416759084216320")</f>
        <v>922416759084216320</v>
      </c>
      <c r="F2352" s="23" t="s">
        <v>33</v>
      </c>
      <c r="G2352" s="24">
        <v>17.0</v>
      </c>
      <c r="H2352" s="24">
        <v>35.0</v>
      </c>
      <c r="I2352" s="24">
        <v>8501.0</v>
      </c>
      <c r="J2352" s="24">
        <v>0.0</v>
      </c>
      <c r="K2352" s="23" t="s">
        <v>34</v>
      </c>
      <c r="L2352" s="25">
        <v>42264.39806712963</v>
      </c>
      <c r="M2352" s="26" t="s">
        <v>207</v>
      </c>
      <c r="N2352" s="26" t="s">
        <v>5712</v>
      </c>
      <c r="O2352" s="22" t="str">
        <f>HYPERLINK("https://pbs.twimg.com/profile_images/644550818218115072/-sj84mfD_normal.jpg","View")</f>
        <v>View</v>
      </c>
      <c r="P2352" s="27"/>
    </row>
    <row r="2353">
      <c r="A2353" s="14">
        <v>43031.16521990741</v>
      </c>
      <c r="B2353" s="20" t="str">
        <f>HYPERLINK("https://twitter.com/SayarsinghS","@SayarsinghS")</f>
        <v>@SayarsinghS</v>
      </c>
      <c r="C2353" s="21" t="s">
        <v>5713</v>
      </c>
      <c r="D2353" s="21" t="s">
        <v>42</v>
      </c>
      <c r="E2353" s="22" t="str">
        <f>HYPERLINK("https://twitter.com/SayarsinghS/status/922416789883117568","922416789883117568")</f>
        <v>922416789883117568</v>
      </c>
      <c r="F2353" s="23" t="s">
        <v>33</v>
      </c>
      <c r="G2353" s="24">
        <v>3.0</v>
      </c>
      <c r="H2353" s="24">
        <v>64.0</v>
      </c>
      <c r="I2353" s="24">
        <v>8501.0</v>
      </c>
      <c r="J2353" s="24">
        <v>0.0</v>
      </c>
      <c r="K2353" s="23" t="s">
        <v>34</v>
      </c>
      <c r="L2353" s="25">
        <v>43002.440046296295</v>
      </c>
      <c r="M2353" s="28"/>
      <c r="N2353" s="28"/>
      <c r="O2353" s="22" t="str">
        <f>HYPERLINK("https://abs.twimg.com/sticky/default_profile_images/default_profile_normal.png","View")</f>
        <v>View</v>
      </c>
      <c r="P2353" s="27"/>
    </row>
    <row r="2354">
      <c r="A2354" s="14">
        <v>43031.16527777778</v>
      </c>
      <c r="B2354" s="20" t="str">
        <f>HYPERLINK("https://twitter.com/kosheleva121","@kosheleva121")</f>
        <v>@kosheleva121</v>
      </c>
      <c r="C2354" s="21" t="s">
        <v>5572</v>
      </c>
      <c r="D2354" s="21" t="s">
        <v>3227</v>
      </c>
      <c r="E2354" s="22" t="str">
        <f>HYPERLINK("https://twitter.com/kosheleva121/status/922416810925760516","922416810925760516")</f>
        <v>922416810925760516</v>
      </c>
      <c r="F2354" s="23" t="s">
        <v>55</v>
      </c>
      <c r="G2354" s="24">
        <v>3.0</v>
      </c>
      <c r="H2354" s="24">
        <v>0.0</v>
      </c>
      <c r="I2354" s="24">
        <v>61.0</v>
      </c>
      <c r="J2354" s="24">
        <v>0.0</v>
      </c>
      <c r="K2354" s="23" t="s">
        <v>34</v>
      </c>
      <c r="L2354" s="25">
        <v>43015.62997685185</v>
      </c>
      <c r="M2354" s="28"/>
      <c r="N2354" s="28"/>
      <c r="O2354" s="22" t="str">
        <f>HYPERLINK("https://pbs.twimg.com/profile_images/918894134575865856/xTuC4mj-_normal.jpg","View")</f>
        <v>View</v>
      </c>
      <c r="P2354" s="27"/>
    </row>
    <row r="2355">
      <c r="A2355" s="14">
        <v>43031.165347222224</v>
      </c>
      <c r="B2355" s="20" t="str">
        <f>HYPERLINK("https://twitter.com/sbsable","@sbsable")</f>
        <v>@sbsable</v>
      </c>
      <c r="C2355" s="21" t="s">
        <v>5714</v>
      </c>
      <c r="D2355" s="21" t="s">
        <v>42</v>
      </c>
      <c r="E2355" s="22" t="str">
        <f>HYPERLINK("https://twitter.com/sbsable/status/922416836586610688","922416836586610688")</f>
        <v>922416836586610688</v>
      </c>
      <c r="F2355" s="23" t="s">
        <v>39</v>
      </c>
      <c r="G2355" s="24">
        <v>247.0</v>
      </c>
      <c r="H2355" s="24">
        <v>710.0</v>
      </c>
      <c r="I2355" s="24">
        <v>8501.0</v>
      </c>
      <c r="J2355" s="24">
        <v>0.0</v>
      </c>
      <c r="K2355" s="23" t="s">
        <v>34</v>
      </c>
      <c r="L2355" s="25">
        <v>40325.29734953704</v>
      </c>
      <c r="M2355" s="26" t="s">
        <v>5715</v>
      </c>
      <c r="N2355" s="26" t="s">
        <v>5716</v>
      </c>
      <c r="O2355" s="22" t="str">
        <f>HYPERLINK("https://pbs.twimg.com/profile_images/835353487735209984/c5-zI5OJ_normal.jpg","View")</f>
        <v>View</v>
      </c>
      <c r="P2355" s="27"/>
    </row>
    <row r="2356">
      <c r="A2356" s="14">
        <v>43031.16542824074</v>
      </c>
      <c r="B2356" s="20" t="str">
        <f>HYPERLINK("https://twitter.com/canoe21","@canoe21")</f>
        <v>@canoe21</v>
      </c>
      <c r="C2356" s="21" t="s">
        <v>5717</v>
      </c>
      <c r="D2356" s="21" t="s">
        <v>5718</v>
      </c>
      <c r="E2356" s="22" t="str">
        <f>HYPERLINK("https://twitter.com/canoe21/status/922416866185838593","922416866185838593")</f>
        <v>922416866185838593</v>
      </c>
      <c r="F2356" s="23" t="s">
        <v>187</v>
      </c>
      <c r="G2356" s="24">
        <v>91.0</v>
      </c>
      <c r="H2356" s="24">
        <v>177.0</v>
      </c>
      <c r="I2356" s="24">
        <v>0.0</v>
      </c>
      <c r="J2356" s="24">
        <v>0.0</v>
      </c>
      <c r="K2356" s="23" t="s">
        <v>34</v>
      </c>
      <c r="L2356" s="25">
        <v>39959.21364583333</v>
      </c>
      <c r="M2356" s="26" t="s">
        <v>3230</v>
      </c>
      <c r="N2356" s="26" t="s">
        <v>5719</v>
      </c>
      <c r="O2356" s="22" t="str">
        <f>HYPERLINK("https://pbs.twimg.com/profile_images/1282487616/___2_normal.jpg","View")</f>
        <v>View</v>
      </c>
      <c r="P2356" s="27"/>
    </row>
    <row r="2357">
      <c r="A2357" s="14">
        <v>43031.165509259255</v>
      </c>
      <c r="B2357" s="20" t="str">
        <f>HYPERLINK("https://twitter.com/masugominikatu","@masugominikatu")</f>
        <v>@masugominikatu</v>
      </c>
      <c r="C2357" s="21" t="s">
        <v>5720</v>
      </c>
      <c r="D2357" s="21" t="s">
        <v>126</v>
      </c>
      <c r="E2357" s="22" t="str">
        <f>HYPERLINK("https://twitter.com/masugominikatu/status/922416896229613569","922416896229613569")</f>
        <v>922416896229613569</v>
      </c>
      <c r="F2357" s="23" t="s">
        <v>55</v>
      </c>
      <c r="G2357" s="24">
        <v>5748.0</v>
      </c>
      <c r="H2357" s="24">
        <v>6220.0</v>
      </c>
      <c r="I2357" s="24">
        <v>62.0</v>
      </c>
      <c r="J2357" s="24">
        <v>0.0</v>
      </c>
      <c r="K2357" s="23" t="s">
        <v>34</v>
      </c>
      <c r="L2357" s="25">
        <v>40352.75493055556</v>
      </c>
      <c r="M2357" s="26" t="s">
        <v>71</v>
      </c>
      <c r="N2357" s="26" t="s">
        <v>5721</v>
      </c>
      <c r="O2357" s="22" t="str">
        <f>HYPERLINK("https://pbs.twimg.com/profile_images/915412094429704193/YluzfUnD_normal.jpg","View")</f>
        <v>View</v>
      </c>
      <c r="P2357" s="27"/>
    </row>
    <row r="2358">
      <c r="A2358" s="14">
        <v>43031.1656712963</v>
      </c>
      <c r="B2358" s="20" t="str">
        <f>HYPERLINK("https://twitter.com/protogenes5","@protogenes5")</f>
        <v>@protogenes5</v>
      </c>
      <c r="C2358" s="21" t="s">
        <v>5722</v>
      </c>
      <c r="D2358" s="21" t="s">
        <v>5723</v>
      </c>
      <c r="E2358" s="22" t="str">
        <f>HYPERLINK("https://twitter.com/protogenes5/status/922416954299752448","922416954299752448")</f>
        <v>922416954299752448</v>
      </c>
      <c r="F2358" s="23" t="s">
        <v>39</v>
      </c>
      <c r="G2358" s="24">
        <v>65.0</v>
      </c>
      <c r="H2358" s="24">
        <v>157.0</v>
      </c>
      <c r="I2358" s="24">
        <v>14.0</v>
      </c>
      <c r="J2358" s="24">
        <v>0.0</v>
      </c>
      <c r="K2358" s="23" t="s">
        <v>34</v>
      </c>
      <c r="L2358" s="25">
        <v>40233.9552662037</v>
      </c>
      <c r="M2358" s="26" t="s">
        <v>5724</v>
      </c>
      <c r="N2358" s="28"/>
      <c r="O2358" s="22" t="str">
        <f>HYPERLINK("https://pbs.twimg.com/profile_images/1554167673/Myself2011_normal.jpg","View")</f>
        <v>View</v>
      </c>
      <c r="P2358" s="27"/>
    </row>
    <row r="2359">
      <c r="A2359" s="14">
        <v>43031.16570601852</v>
      </c>
      <c r="B2359" s="20" t="str">
        <f>HYPERLINK("https://twitter.com/MuhammadOsama86","@MuhammadOsama86")</f>
        <v>@MuhammadOsama86</v>
      </c>
      <c r="C2359" s="21" t="s">
        <v>3375</v>
      </c>
      <c r="D2359" s="21" t="s">
        <v>5725</v>
      </c>
      <c r="E2359" s="22" t="str">
        <f>HYPERLINK("https://twitter.com/MuhammadOsama86/status/922416969369956353","922416969369956353")</f>
        <v>922416969369956353</v>
      </c>
      <c r="F2359" s="23" t="s">
        <v>187</v>
      </c>
      <c r="G2359" s="24">
        <v>303.0</v>
      </c>
      <c r="H2359" s="24">
        <v>1187.0</v>
      </c>
      <c r="I2359" s="24">
        <v>0.0</v>
      </c>
      <c r="J2359" s="24">
        <v>0.0</v>
      </c>
      <c r="K2359" s="23" t="s">
        <v>34</v>
      </c>
      <c r="L2359" s="25">
        <v>42454.512337962966</v>
      </c>
      <c r="M2359" s="28"/>
      <c r="N2359" s="28"/>
      <c r="O2359" s="22" t="str">
        <f>HYPERLINK("https://pbs.twimg.com/profile_images/713445800735555585/CaeHw_C6_normal.jpg","View")</f>
        <v>View</v>
      </c>
      <c r="P2359" s="27"/>
    </row>
    <row r="2360">
      <c r="A2360" s="14">
        <v>43031.16576388889</v>
      </c>
      <c r="B2360" s="20" t="str">
        <f>HYPERLINK("https://twitter.com/tony_gonzalezb","@tony_gonzalezb")</f>
        <v>@tony_gonzalezb</v>
      </c>
      <c r="C2360" s="21" t="s">
        <v>5726</v>
      </c>
      <c r="D2360" s="21" t="s">
        <v>5727</v>
      </c>
      <c r="E2360" s="22" t="str">
        <f>HYPERLINK("https://twitter.com/tony_gonzalezb/status/922416987527172097","922416987527172097")</f>
        <v>922416987527172097</v>
      </c>
      <c r="F2360" s="23" t="s">
        <v>39</v>
      </c>
      <c r="G2360" s="24">
        <v>2571.0</v>
      </c>
      <c r="H2360" s="24">
        <v>2734.0</v>
      </c>
      <c r="I2360" s="24">
        <v>0.0</v>
      </c>
      <c r="J2360" s="24">
        <v>0.0</v>
      </c>
      <c r="K2360" s="23" t="s">
        <v>34</v>
      </c>
      <c r="L2360" s="25">
        <v>40642.69300925926</v>
      </c>
      <c r="M2360" s="26" t="s">
        <v>5728</v>
      </c>
      <c r="N2360" s="26" t="s">
        <v>5729</v>
      </c>
      <c r="O2360" s="22" t="str">
        <f>HYPERLINK("https://pbs.twimg.com/profile_images/438752665242066945/kfOT68S7_normal.jpeg","View")</f>
        <v>View</v>
      </c>
      <c r="P2360" s="27"/>
    </row>
    <row r="2361">
      <c r="A2361" s="14">
        <v>43031.16577546296</v>
      </c>
      <c r="B2361" s="20" t="str">
        <f>HYPERLINK("https://twitter.com/CNBCTradersFan","@CNBCTradersFan")</f>
        <v>@CNBCTradersFan</v>
      </c>
      <c r="C2361" s="21" t="s">
        <v>1945</v>
      </c>
      <c r="D2361" s="21" t="s">
        <v>5730</v>
      </c>
      <c r="E2361" s="22" t="str">
        <f>HYPERLINK("https://twitter.com/CNBCTradersFan/status/922416995076853760","922416995076853760")</f>
        <v>922416995076853760</v>
      </c>
      <c r="F2361" s="23" t="s">
        <v>187</v>
      </c>
      <c r="G2361" s="24">
        <v>17128.0</v>
      </c>
      <c r="H2361" s="24">
        <v>11615.0</v>
      </c>
      <c r="I2361" s="24">
        <v>0.0</v>
      </c>
      <c r="J2361" s="24">
        <v>0.0</v>
      </c>
      <c r="K2361" s="23" t="s">
        <v>34</v>
      </c>
      <c r="L2361" s="25">
        <v>40922.50542824074</v>
      </c>
      <c r="M2361" s="26" t="s">
        <v>1947</v>
      </c>
      <c r="N2361" s="26" t="s">
        <v>1948</v>
      </c>
      <c r="O2361" s="22" t="str">
        <f>HYPERLINK("https://pbs.twimg.com/profile_images/731870469318684672/Ckf7rDdJ_normal.jpg","View")</f>
        <v>View</v>
      </c>
      <c r="P2361" s="27"/>
    </row>
    <row r="2362">
      <c r="A2362" s="14">
        <v>43031.16578703704</v>
      </c>
      <c r="B2362" s="20" t="str">
        <f>HYPERLINK("https://twitter.com/62BODKE","@62BODKE")</f>
        <v>@62BODKE</v>
      </c>
      <c r="C2362" s="21" t="s">
        <v>5731</v>
      </c>
      <c r="D2362" s="21" t="s">
        <v>42</v>
      </c>
      <c r="E2362" s="22" t="str">
        <f>HYPERLINK("https://twitter.com/62BODKE/status/922416996901208064","922416996901208064")</f>
        <v>922416996901208064</v>
      </c>
      <c r="F2362" s="23" t="s">
        <v>39</v>
      </c>
      <c r="G2362" s="24">
        <v>115.0</v>
      </c>
      <c r="H2362" s="24">
        <v>11.0</v>
      </c>
      <c r="I2362" s="24">
        <v>8501.0</v>
      </c>
      <c r="J2362" s="24">
        <v>0.0</v>
      </c>
      <c r="K2362" s="23" t="s">
        <v>34</v>
      </c>
      <c r="L2362" s="25">
        <v>41467.26459490741</v>
      </c>
      <c r="M2362" s="26" t="s">
        <v>5118</v>
      </c>
      <c r="N2362" s="26" t="s">
        <v>5732</v>
      </c>
      <c r="O2362" s="22" t="str">
        <f>HYPERLINK("https://pbs.twimg.com/profile_images/757934601788592128/aMyDFwGC_normal.jpg","View")</f>
        <v>View</v>
      </c>
      <c r="P2362" s="27"/>
    </row>
    <row r="2363">
      <c r="A2363" s="14">
        <v>43031.16579861111</v>
      </c>
      <c r="B2363" s="20" t="str">
        <f>HYPERLINK("https://twitter.com/Gizmo22009","@Gizmo22009")</f>
        <v>@Gizmo22009</v>
      </c>
      <c r="C2363" s="21" t="s">
        <v>5733</v>
      </c>
      <c r="D2363" s="21" t="s">
        <v>2555</v>
      </c>
      <c r="E2363" s="22" t="str">
        <f>HYPERLINK("https://twitter.com/Gizmo22009/status/922417003029303296","922417003029303296")</f>
        <v>922417003029303296</v>
      </c>
      <c r="F2363" s="23" t="s">
        <v>43</v>
      </c>
      <c r="G2363" s="24">
        <v>41.0</v>
      </c>
      <c r="H2363" s="24">
        <v>106.0</v>
      </c>
      <c r="I2363" s="24">
        <v>58.0</v>
      </c>
      <c r="J2363" s="24">
        <v>0.0</v>
      </c>
      <c r="K2363" s="23" t="s">
        <v>34</v>
      </c>
      <c r="L2363" s="25">
        <v>42108.16666666667</v>
      </c>
      <c r="M2363" s="26" t="s">
        <v>5734</v>
      </c>
      <c r="N2363" s="26" t="s">
        <v>5735</v>
      </c>
      <c r="O2363" s="22" t="str">
        <f>HYPERLINK("https://pbs.twimg.com/profile_images/885605321246363648/NYnWVuTc_normal.jpg","View")</f>
        <v>View</v>
      </c>
      <c r="P2363" s="27"/>
    </row>
    <row r="2364">
      <c r="A2364" s="14">
        <v>43031.16582175926</v>
      </c>
      <c r="B2364" s="20" t="str">
        <f>HYPERLINK("https://twitter.com/dudun786","@dudun786")</f>
        <v>@dudun786</v>
      </c>
      <c r="C2364" s="21" t="s">
        <v>5736</v>
      </c>
      <c r="D2364" s="21" t="s">
        <v>5309</v>
      </c>
      <c r="E2364" s="22" t="str">
        <f>HYPERLINK("https://twitter.com/dudun786/status/922417010415251456","922417010415251456")</f>
        <v>922417010415251456</v>
      </c>
      <c r="F2364" s="23" t="s">
        <v>33</v>
      </c>
      <c r="G2364" s="24">
        <v>145.0</v>
      </c>
      <c r="H2364" s="24">
        <v>364.0</v>
      </c>
      <c r="I2364" s="24">
        <v>22.0</v>
      </c>
      <c r="J2364" s="24">
        <v>0.0</v>
      </c>
      <c r="K2364" s="23" t="s">
        <v>34</v>
      </c>
      <c r="L2364" s="25">
        <v>41251.813414351855</v>
      </c>
      <c r="M2364" s="26" t="s">
        <v>572</v>
      </c>
      <c r="N2364" s="28"/>
      <c r="O2364" s="22" t="str">
        <f>HYPERLINK("https://pbs.twimg.com/profile_images/854729472343494656/v5Jy2aRw_normal.jpg","View")</f>
        <v>View</v>
      </c>
      <c r="P2364" s="27"/>
    </row>
    <row r="2365">
      <c r="A2365" s="14">
        <v>43031.165879629625</v>
      </c>
      <c r="B2365" s="20" t="str">
        <f>HYPERLINK("https://twitter.com/Sumboty","@Sumboty")</f>
        <v>@Sumboty</v>
      </c>
      <c r="C2365" s="21" t="s">
        <v>5737</v>
      </c>
      <c r="D2365" s="21" t="s">
        <v>1444</v>
      </c>
      <c r="E2365" s="22" t="str">
        <f>HYPERLINK("https://twitter.com/Sumboty/status/922417030619451392","922417030619451392")</f>
        <v>922417030619451392</v>
      </c>
      <c r="F2365" s="23" t="s">
        <v>33</v>
      </c>
      <c r="G2365" s="24">
        <v>495.0</v>
      </c>
      <c r="H2365" s="24">
        <v>343.0</v>
      </c>
      <c r="I2365" s="24">
        <v>50.0</v>
      </c>
      <c r="J2365" s="24">
        <v>0.0</v>
      </c>
      <c r="K2365" s="23" t="s">
        <v>34</v>
      </c>
      <c r="L2365" s="25">
        <v>40801.02447916666</v>
      </c>
      <c r="M2365" s="26" t="s">
        <v>5738</v>
      </c>
      <c r="N2365" s="26" t="s">
        <v>5739</v>
      </c>
      <c r="O2365" s="22" t="str">
        <f>HYPERLINK("https://pbs.twimg.com/profile_images/604530321292468224/V8CK3xoH_normal.jpg","View")</f>
        <v>View</v>
      </c>
      <c r="P2365" s="27"/>
    </row>
    <row r="2366">
      <c r="A2366" s="14">
        <v>43031.16591435185</v>
      </c>
      <c r="B2366" s="20" t="str">
        <f>HYPERLINK("https://twitter.com/nyandiga001","@nyandiga001")</f>
        <v>@nyandiga001</v>
      </c>
      <c r="C2366" s="21" t="s">
        <v>5740</v>
      </c>
      <c r="D2366" s="21" t="s">
        <v>32</v>
      </c>
      <c r="E2366" s="22" t="str">
        <f>HYPERLINK("https://twitter.com/nyandiga001/status/922417042204057600","922417042204057600")</f>
        <v>922417042204057600</v>
      </c>
      <c r="F2366" s="23" t="s">
        <v>55</v>
      </c>
      <c r="G2366" s="24">
        <v>25119.0</v>
      </c>
      <c r="H2366" s="24">
        <v>16526.0</v>
      </c>
      <c r="I2366" s="24">
        <v>471.0</v>
      </c>
      <c r="J2366" s="24">
        <v>0.0</v>
      </c>
      <c r="K2366" s="23" t="s">
        <v>34</v>
      </c>
      <c r="L2366" s="25">
        <v>41419.44615740741</v>
      </c>
      <c r="M2366" s="26" t="s">
        <v>114</v>
      </c>
      <c r="N2366" s="26" t="s">
        <v>1279</v>
      </c>
      <c r="O2366" s="22" t="str">
        <f>HYPERLINK("https://pbs.twimg.com/profile_images/751040436526022657/p8PcqrEL_normal.jpg","View")</f>
        <v>View</v>
      </c>
      <c r="P2366" s="27"/>
    </row>
    <row r="2367">
      <c r="A2367" s="14">
        <v>43031.16594907407</v>
      </c>
      <c r="B2367" s="20" t="str">
        <f>HYPERLINK("https://twitter.com/kosheleva121","@kosheleva121")</f>
        <v>@kosheleva121</v>
      </c>
      <c r="C2367" s="21" t="s">
        <v>5572</v>
      </c>
      <c r="D2367" s="21" t="s">
        <v>5544</v>
      </c>
      <c r="E2367" s="22" t="str">
        <f>HYPERLINK("https://twitter.com/kosheleva121/status/922417057873805312","922417057873805312")</f>
        <v>922417057873805312</v>
      </c>
      <c r="F2367" s="23" t="s">
        <v>55</v>
      </c>
      <c r="G2367" s="24">
        <v>3.0</v>
      </c>
      <c r="H2367" s="24">
        <v>0.0</v>
      </c>
      <c r="I2367" s="24">
        <v>77.0</v>
      </c>
      <c r="J2367" s="24">
        <v>0.0</v>
      </c>
      <c r="K2367" s="23" t="s">
        <v>34</v>
      </c>
      <c r="L2367" s="25">
        <v>43015.62997685185</v>
      </c>
      <c r="M2367" s="28"/>
      <c r="N2367" s="28"/>
      <c r="O2367" s="22" t="str">
        <f>HYPERLINK("https://pbs.twimg.com/profile_images/918894134575865856/xTuC4mj-_normal.jpg","View")</f>
        <v>View</v>
      </c>
      <c r="P2367" s="27"/>
    </row>
    <row r="2368">
      <c r="A2368" s="14">
        <v>43031.165983796294</v>
      </c>
      <c r="B2368" s="20" t="str">
        <f>HYPERLINK("https://twitter.com/TopFiveTraders","@TopFiveTraders")</f>
        <v>@TopFiveTraders</v>
      </c>
      <c r="C2368" s="21" t="s">
        <v>1984</v>
      </c>
      <c r="D2368" s="21" t="s">
        <v>5741</v>
      </c>
      <c r="E2368" s="22" t="str">
        <f>HYPERLINK("https://twitter.com/TopFiveTraders/status/922417067655139333","922417067655139333")</f>
        <v>922417067655139333</v>
      </c>
      <c r="F2368" s="23" t="s">
        <v>187</v>
      </c>
      <c r="G2368" s="24">
        <v>8168.0</v>
      </c>
      <c r="H2368" s="24">
        <v>6711.0</v>
      </c>
      <c r="I2368" s="24">
        <v>0.0</v>
      </c>
      <c r="J2368" s="24">
        <v>0.0</v>
      </c>
      <c r="K2368" s="23" t="s">
        <v>34</v>
      </c>
      <c r="L2368" s="25">
        <v>41573.484201388885</v>
      </c>
      <c r="M2368" s="26" t="s">
        <v>1986</v>
      </c>
      <c r="N2368" s="26" t="s">
        <v>1987</v>
      </c>
      <c r="O2368" s="22" t="str">
        <f>HYPERLINK("https://pbs.twimg.com/profile_images/729113141444026370/hi202Ffp_normal.jpg","View")</f>
        <v>View</v>
      </c>
      <c r="P2368" s="27"/>
    </row>
    <row r="2369">
      <c r="A2369" s="14">
        <v>43031.16601851852</v>
      </c>
      <c r="B2369" s="20" t="str">
        <f>HYPERLINK("https://twitter.com/Boston_NC","@Boston_NC")</f>
        <v>@Boston_NC</v>
      </c>
      <c r="C2369" s="21" t="s">
        <v>5742</v>
      </c>
      <c r="D2369" s="21" t="s">
        <v>5743</v>
      </c>
      <c r="E2369" s="22" t="str">
        <f>HYPERLINK("https://twitter.com/Boston_NC/status/922417079679987712","922417079679987712")</f>
        <v>922417079679987712</v>
      </c>
      <c r="F2369" s="30" t="s">
        <v>411</v>
      </c>
      <c r="G2369" s="24">
        <v>284.0</v>
      </c>
      <c r="H2369" s="24">
        <v>39.0</v>
      </c>
      <c r="I2369" s="24">
        <v>0.0</v>
      </c>
      <c r="J2369" s="24">
        <v>0.0</v>
      </c>
      <c r="K2369" s="23" t="s">
        <v>34</v>
      </c>
      <c r="L2369" s="25">
        <v>40491.50755787037</v>
      </c>
      <c r="M2369" s="26" t="s">
        <v>2619</v>
      </c>
      <c r="N2369" s="26" t="s">
        <v>5744</v>
      </c>
      <c r="O2369" s="22" t="str">
        <f>HYPERLINK("https://pbs.twimg.com/profile_images/664529713549807616/WEeu_5gY_normal.jpg","View")</f>
        <v>View</v>
      </c>
      <c r="P2369" s="27"/>
    </row>
    <row r="2370">
      <c r="A2370" s="14">
        <v>43031.16605324074</v>
      </c>
      <c r="B2370" s="20" t="str">
        <f>HYPERLINK("https://twitter.com/Eriq254","@Eriq254")</f>
        <v>@Eriq254</v>
      </c>
      <c r="C2370" s="21" t="s">
        <v>5745</v>
      </c>
      <c r="D2370" s="21" t="s">
        <v>32</v>
      </c>
      <c r="E2370" s="22" t="str">
        <f>HYPERLINK("https://twitter.com/Eriq254/status/922417094293061632","922417094293061632")</f>
        <v>922417094293061632</v>
      </c>
      <c r="F2370" s="23" t="s">
        <v>39</v>
      </c>
      <c r="G2370" s="24">
        <v>438.0</v>
      </c>
      <c r="H2370" s="24">
        <v>430.0</v>
      </c>
      <c r="I2370" s="24">
        <v>471.0</v>
      </c>
      <c r="J2370" s="24">
        <v>0.0</v>
      </c>
      <c r="K2370" s="23" t="s">
        <v>34</v>
      </c>
      <c r="L2370" s="25">
        <v>40017.132210648146</v>
      </c>
      <c r="M2370" s="28"/>
      <c r="N2370" s="28"/>
      <c r="O2370" s="22" t="str">
        <f>HYPERLINK("https://pbs.twimg.com/profile_images/556737858019803137/cVsvskOa_normal.jpeg","View")</f>
        <v>View</v>
      </c>
      <c r="P2370" s="27"/>
    </row>
    <row r="2371">
      <c r="A2371" s="14">
        <v>43031.166076388894</v>
      </c>
      <c r="B2371" s="20" t="str">
        <f>HYPERLINK("https://twitter.com/TribuneWorld","@TribuneWorld")</f>
        <v>@TribuneWorld</v>
      </c>
      <c r="C2371" s="21" t="s">
        <v>5746</v>
      </c>
      <c r="D2371" s="21" t="s">
        <v>5747</v>
      </c>
      <c r="E2371" s="22" t="str">
        <f>HYPERLINK("https://twitter.com/TribuneWorld/status/922417103302479873","922417103302479873")</f>
        <v>922417103302479873</v>
      </c>
      <c r="F2371" s="23" t="s">
        <v>187</v>
      </c>
      <c r="G2371" s="24">
        <v>97.0</v>
      </c>
      <c r="H2371" s="24">
        <v>0.0</v>
      </c>
      <c r="I2371" s="24">
        <v>0.0</v>
      </c>
      <c r="J2371" s="24">
        <v>0.0</v>
      </c>
      <c r="K2371" s="23" t="s">
        <v>34</v>
      </c>
      <c r="L2371" s="25">
        <v>42502.35219907407</v>
      </c>
      <c r="M2371" s="26" t="s">
        <v>762</v>
      </c>
      <c r="N2371" s="26" t="s">
        <v>5748</v>
      </c>
      <c r="O2371" s="22" t="str">
        <f>HYPERLINK("https://pbs.twimg.com/profile_images/884044391823712256/EmtohZxH_normal.jpg","View")</f>
        <v>View</v>
      </c>
      <c r="P2371" s="27"/>
    </row>
    <row r="2372">
      <c r="A2372" s="14">
        <v>43031.16608796296</v>
      </c>
      <c r="B2372" s="20" t="str">
        <f>HYPERLINK("https://twitter.com/DEteLcNvai0IwJ8","@DEteLcNvai0IwJ8")</f>
        <v>@DEteLcNvai0IwJ8</v>
      </c>
      <c r="C2372" s="21" t="s">
        <v>5749</v>
      </c>
      <c r="D2372" s="21" t="s">
        <v>42</v>
      </c>
      <c r="E2372" s="22" t="str">
        <f>HYPERLINK("https://twitter.com/DEteLcNvai0IwJ8/status/922417107643514880","922417107643514880")</f>
        <v>922417107643514880</v>
      </c>
      <c r="F2372" s="23" t="s">
        <v>33</v>
      </c>
      <c r="G2372" s="24">
        <v>5.0</v>
      </c>
      <c r="H2372" s="24">
        <v>28.0</v>
      </c>
      <c r="I2372" s="24">
        <v>8501.0</v>
      </c>
      <c r="J2372" s="24">
        <v>0.0</v>
      </c>
      <c r="K2372" s="23" t="s">
        <v>34</v>
      </c>
      <c r="L2372" s="25">
        <v>43021.80511574074</v>
      </c>
      <c r="M2372" s="28"/>
      <c r="N2372" s="28"/>
      <c r="O2372" s="22" t="str">
        <f>HYPERLINK("https://abs.twimg.com/sticky/default_profile_images/default_profile_normal.png","View")</f>
        <v>View</v>
      </c>
      <c r="P2372" s="27"/>
    </row>
    <row r="2373">
      <c r="A2373" s="14">
        <v>43031.16614583333</v>
      </c>
      <c r="B2373" s="20" t="str">
        <f>HYPERLINK("https://twitter.com/periodicalw","@periodicalw")</f>
        <v>@periodicalw</v>
      </c>
      <c r="C2373" s="21" t="s">
        <v>5750</v>
      </c>
      <c r="D2373" s="21" t="s">
        <v>5751</v>
      </c>
      <c r="E2373" s="22" t="str">
        <f>HYPERLINK("https://twitter.com/periodicalw/status/922417127872753670","922417127872753670")</f>
        <v>922417127872753670</v>
      </c>
      <c r="F2373" s="23" t="s">
        <v>187</v>
      </c>
      <c r="G2373" s="24">
        <v>13.0</v>
      </c>
      <c r="H2373" s="24">
        <v>0.0</v>
      </c>
      <c r="I2373" s="24">
        <v>0.0</v>
      </c>
      <c r="J2373" s="24">
        <v>0.0</v>
      </c>
      <c r="K2373" s="23" t="s">
        <v>34</v>
      </c>
      <c r="L2373" s="25">
        <v>42054.98625</v>
      </c>
      <c r="M2373" s="28"/>
      <c r="N2373" s="26" t="s">
        <v>5752</v>
      </c>
      <c r="O2373" s="22" t="str">
        <f>HYPERLINK("https://pbs.twimg.com/profile_images/919747762345906181/R3fj25Fb_normal.jpg","View")</f>
        <v>View</v>
      </c>
      <c r="P2373" s="27"/>
    </row>
    <row r="2374">
      <c r="A2374" s="14">
        <v>43031.16615740741</v>
      </c>
      <c r="B2374" s="20" t="str">
        <f>HYPERLINK("https://twitter.com/abjoshi1175","@abjoshi1175")</f>
        <v>@abjoshi1175</v>
      </c>
      <c r="C2374" s="21" t="s">
        <v>5753</v>
      </c>
      <c r="D2374" s="21" t="s">
        <v>42</v>
      </c>
      <c r="E2374" s="22" t="str">
        <f>HYPERLINK("https://twitter.com/abjoshi1175/status/922417131232342017","922417131232342017")</f>
        <v>922417131232342017</v>
      </c>
      <c r="F2374" s="23" t="s">
        <v>33</v>
      </c>
      <c r="G2374" s="24">
        <v>36.0</v>
      </c>
      <c r="H2374" s="24">
        <v>84.0</v>
      </c>
      <c r="I2374" s="24">
        <v>8501.0</v>
      </c>
      <c r="J2374" s="24">
        <v>0.0</v>
      </c>
      <c r="K2374" s="23" t="s">
        <v>34</v>
      </c>
      <c r="L2374" s="25">
        <v>41906.35229166667</v>
      </c>
      <c r="M2374" s="28"/>
      <c r="N2374" s="28"/>
      <c r="O2374" s="22" t="str">
        <f>HYPERLINK("https://pbs.twimg.com/profile_images/515005966123692032/LEDiQ7mv_normal.jpeg","View")</f>
        <v>View</v>
      </c>
      <c r="P2374" s="27"/>
    </row>
    <row r="2375">
      <c r="A2375" s="14">
        <v>43031.16615740741</v>
      </c>
      <c r="B2375" s="20" t="str">
        <f>HYPERLINK("https://twitter.com/nyiint","@nyiint")</f>
        <v>@nyiint</v>
      </c>
      <c r="C2375" s="21" t="s">
        <v>5754</v>
      </c>
      <c r="D2375" s="21" t="s">
        <v>5755</v>
      </c>
      <c r="E2375" s="22" t="str">
        <f>HYPERLINK("https://twitter.com/nyiint/status/922417132297773056","922417132297773056")</f>
        <v>922417132297773056</v>
      </c>
      <c r="F2375" s="23" t="s">
        <v>187</v>
      </c>
      <c r="G2375" s="24">
        <v>16.0</v>
      </c>
      <c r="H2375" s="24">
        <v>0.0</v>
      </c>
      <c r="I2375" s="24">
        <v>0.0</v>
      </c>
      <c r="J2375" s="24">
        <v>0.0</v>
      </c>
      <c r="K2375" s="23" t="s">
        <v>34</v>
      </c>
      <c r="L2375" s="25">
        <v>42982.23821759259</v>
      </c>
      <c r="M2375" s="26" t="s">
        <v>4746</v>
      </c>
      <c r="N2375" s="26" t="s">
        <v>5756</v>
      </c>
      <c r="O2375" s="22" t="str">
        <f>HYPERLINK("https://pbs.twimg.com/profile_images/912810467730403330/LNww9UbF_normal.jpg","View")</f>
        <v>View</v>
      </c>
      <c r="P2375" s="27"/>
    </row>
    <row r="2376">
      <c r="A2376" s="14">
        <v>43031.166226851856</v>
      </c>
      <c r="B2376" s="20" t="str">
        <f>HYPERLINK("https://twitter.com/ColumnistWorld","@ColumnistWorld")</f>
        <v>@ColumnistWorld</v>
      </c>
      <c r="C2376" s="21" t="s">
        <v>5757</v>
      </c>
      <c r="D2376" s="21" t="s">
        <v>5758</v>
      </c>
      <c r="E2376" s="22" t="str">
        <f>HYPERLINK("https://twitter.com/ColumnistWorld/status/922417158671470593","922417158671470593")</f>
        <v>922417158671470593</v>
      </c>
      <c r="F2376" s="23" t="s">
        <v>187</v>
      </c>
      <c r="G2376" s="24">
        <v>26.0</v>
      </c>
      <c r="H2376" s="24">
        <v>0.0</v>
      </c>
      <c r="I2376" s="24">
        <v>0.0</v>
      </c>
      <c r="J2376" s="24">
        <v>0.0</v>
      </c>
      <c r="K2376" s="23" t="s">
        <v>34</v>
      </c>
      <c r="L2376" s="25">
        <v>42370.48368055555</v>
      </c>
      <c r="M2376" s="28"/>
      <c r="N2376" s="26" t="s">
        <v>5759</v>
      </c>
      <c r="O2376" s="22" t="str">
        <f>HYPERLINK("https://pbs.twimg.com/profile_images/918677245367111680/nbvPzXP0_normal.jpg","View")</f>
        <v>View</v>
      </c>
      <c r="P2376" s="27"/>
    </row>
    <row r="2377">
      <c r="A2377" s="14">
        <v>43031.166249999995</v>
      </c>
      <c r="B2377" s="20" t="str">
        <f>HYPERLINK("https://twitter.com/ranjankumar586","@ranjankumar586")</f>
        <v>@ranjankumar586</v>
      </c>
      <c r="C2377" s="21" t="s">
        <v>5760</v>
      </c>
      <c r="D2377" s="21" t="s">
        <v>42</v>
      </c>
      <c r="E2377" s="22" t="str">
        <f>HYPERLINK("https://twitter.com/ranjankumar586/status/922417165738786816","922417165738786816")</f>
        <v>922417165738786816</v>
      </c>
      <c r="F2377" s="23" t="s">
        <v>33</v>
      </c>
      <c r="G2377" s="24">
        <v>4058.0</v>
      </c>
      <c r="H2377" s="24">
        <v>3888.0</v>
      </c>
      <c r="I2377" s="24">
        <v>8501.0</v>
      </c>
      <c r="J2377" s="24">
        <v>0.0</v>
      </c>
      <c r="K2377" s="23" t="s">
        <v>34</v>
      </c>
      <c r="L2377" s="25">
        <v>42080.51739583333</v>
      </c>
      <c r="M2377" s="26" t="s">
        <v>5761</v>
      </c>
      <c r="N2377" s="26" t="s">
        <v>5762</v>
      </c>
      <c r="O2377" s="22" t="str">
        <f>HYPERLINK("https://pbs.twimg.com/profile_images/916685593894993920/QlaRqK8e_normal.jpg","View")</f>
        <v>View</v>
      </c>
      <c r="P2377" s="27"/>
    </row>
    <row r="2378">
      <c r="A2378" s="14">
        <v>43031.166249999995</v>
      </c>
      <c r="B2378" s="20" t="str">
        <f>HYPERLINK("https://twitter.com/pr5ph4c","@pr5ph4c")</f>
        <v>@pr5ph4c</v>
      </c>
      <c r="C2378" s="21" t="s">
        <v>5763</v>
      </c>
      <c r="D2378" s="21" t="s">
        <v>67</v>
      </c>
      <c r="E2378" s="22" t="str">
        <f>HYPERLINK("https://twitter.com/pr5ph4c/status/922417166456164352","922417166456164352")</f>
        <v>922417166456164352</v>
      </c>
      <c r="F2378" s="23" t="s">
        <v>39</v>
      </c>
      <c r="G2378" s="24">
        <v>534.0</v>
      </c>
      <c r="H2378" s="24">
        <v>511.0</v>
      </c>
      <c r="I2378" s="24">
        <v>169.0</v>
      </c>
      <c r="J2378" s="24">
        <v>0.0</v>
      </c>
      <c r="K2378" s="23" t="s">
        <v>34</v>
      </c>
      <c r="L2378" s="25">
        <v>41742.11305555556</v>
      </c>
      <c r="M2378" s="26" t="s">
        <v>5764</v>
      </c>
      <c r="N2378" s="26" t="s">
        <v>5765</v>
      </c>
      <c r="O2378" s="22" t="str">
        <f>HYPERLINK("https://pbs.twimg.com/profile_images/896010219712634881/_TjbBUU4_normal.jpg","View")</f>
        <v>View</v>
      </c>
      <c r="P2378" s="27"/>
    </row>
    <row r="2379">
      <c r="A2379" s="14">
        <v>43031.16631944444</v>
      </c>
      <c r="B2379" s="20" t="str">
        <f>HYPERLINK("https://twitter.com/A_B_Evans","@A_B_Evans")</f>
        <v>@A_B_Evans</v>
      </c>
      <c r="C2379" s="21" t="s">
        <v>5766</v>
      </c>
      <c r="D2379" s="21" t="s">
        <v>3099</v>
      </c>
      <c r="E2379" s="22" t="str">
        <f>HYPERLINK("https://twitter.com/A_B_Evans/status/922417192158879744","922417192158879744")</f>
        <v>922417192158879744</v>
      </c>
      <c r="F2379" s="23" t="s">
        <v>55</v>
      </c>
      <c r="G2379" s="24">
        <v>1026.0</v>
      </c>
      <c r="H2379" s="24">
        <v>1641.0</v>
      </c>
      <c r="I2379" s="24">
        <v>2.0</v>
      </c>
      <c r="J2379" s="24">
        <v>0.0</v>
      </c>
      <c r="K2379" s="23" t="s">
        <v>34</v>
      </c>
      <c r="L2379" s="25">
        <v>40969.382523148146</v>
      </c>
      <c r="M2379" s="26" t="s">
        <v>5767</v>
      </c>
      <c r="N2379" s="26" t="s">
        <v>5768</v>
      </c>
      <c r="O2379" s="22" t="str">
        <f>HYPERLINK("https://pbs.twimg.com/profile_images/647667922941382656/oVmZIxwx_normal.jpg","View")</f>
        <v>View</v>
      </c>
      <c r="P2379" s="27"/>
    </row>
    <row r="2380">
      <c r="A2380" s="14">
        <v>43031.166504629626</v>
      </c>
      <c r="B2380" s="20" t="str">
        <f>HYPERLINK("https://twitter.com/ramlalinaniyan7","@ramlalinaniyan7")</f>
        <v>@ramlalinaniyan7</v>
      </c>
      <c r="C2380" s="21" t="s">
        <v>5769</v>
      </c>
      <c r="D2380" s="21" t="s">
        <v>42</v>
      </c>
      <c r="E2380" s="22" t="str">
        <f>HYPERLINK("https://twitter.com/ramlalinaniyan7/status/922417257501855745","922417257501855745")</f>
        <v>922417257501855745</v>
      </c>
      <c r="F2380" s="23" t="s">
        <v>33</v>
      </c>
      <c r="G2380" s="24">
        <v>24.0</v>
      </c>
      <c r="H2380" s="24">
        <v>30.0</v>
      </c>
      <c r="I2380" s="24">
        <v>8501.0</v>
      </c>
      <c r="J2380" s="24">
        <v>0.0</v>
      </c>
      <c r="K2380" s="23" t="s">
        <v>34</v>
      </c>
      <c r="L2380" s="25">
        <v>42609.22277777777</v>
      </c>
      <c r="M2380" s="26" t="s">
        <v>5770</v>
      </c>
      <c r="N2380" s="28"/>
      <c r="O2380" s="22" t="str">
        <f>HYPERLINK("https://pbs.twimg.com/profile_images/920909261974245376/Udmyo5-x_normal.jpg","View")</f>
        <v>View</v>
      </c>
      <c r="P2380" s="27"/>
    </row>
    <row r="2381">
      <c r="A2381" s="14">
        <v>43031.166504629626</v>
      </c>
      <c r="B2381" s="20" t="str">
        <f>HYPERLINK("https://twitter.com/timelivenews","@timelivenews")</f>
        <v>@timelivenews</v>
      </c>
      <c r="C2381" s="21" t="s">
        <v>2820</v>
      </c>
      <c r="D2381" s="21" t="s">
        <v>5771</v>
      </c>
      <c r="E2381" s="22" t="str">
        <f>HYPERLINK("https://twitter.com/timelivenews/status/922417259108294658","922417259108294658")</f>
        <v>922417259108294658</v>
      </c>
      <c r="F2381" s="23" t="s">
        <v>4516</v>
      </c>
      <c r="G2381" s="24">
        <v>1004.0</v>
      </c>
      <c r="H2381" s="24">
        <v>1997.0</v>
      </c>
      <c r="I2381" s="24">
        <v>0.0</v>
      </c>
      <c r="J2381" s="24">
        <v>0.0</v>
      </c>
      <c r="K2381" s="23" t="s">
        <v>34</v>
      </c>
      <c r="L2381" s="25">
        <v>41173.31891203704</v>
      </c>
      <c r="M2381" s="28"/>
      <c r="N2381" s="28"/>
      <c r="O2381" s="22" t="str">
        <f>HYPERLINK("https://pbs.twimg.com/profile_images/2645914047/c79803e0dea4e4b85f99f5b019bf0f4c_normal.png","View")</f>
        <v>View</v>
      </c>
      <c r="P2381" s="27"/>
    </row>
    <row r="2382">
      <c r="A2382" s="14">
        <v>43031.1665625</v>
      </c>
      <c r="B2382" s="20" t="str">
        <f>HYPERLINK("https://twitter.com/ananta_108","@ananta_108")</f>
        <v>@ananta_108</v>
      </c>
      <c r="C2382" s="21" t="s">
        <v>5772</v>
      </c>
      <c r="D2382" s="21" t="s">
        <v>42</v>
      </c>
      <c r="E2382" s="22" t="str">
        <f>HYPERLINK("https://twitter.com/ananta_108/status/922417278750138368","922417278750138368")</f>
        <v>922417278750138368</v>
      </c>
      <c r="F2382" s="23" t="s">
        <v>33</v>
      </c>
      <c r="G2382" s="24">
        <v>95.0</v>
      </c>
      <c r="H2382" s="24">
        <v>351.0</v>
      </c>
      <c r="I2382" s="24">
        <v>8501.0</v>
      </c>
      <c r="J2382" s="24">
        <v>0.0</v>
      </c>
      <c r="K2382" s="23" t="s">
        <v>34</v>
      </c>
      <c r="L2382" s="25">
        <v>42234.52291666667</v>
      </c>
      <c r="M2382" s="26" t="s">
        <v>575</v>
      </c>
      <c r="N2382" s="28"/>
      <c r="O2382" s="22" t="str">
        <f>HYPERLINK("https://pbs.twimg.com/profile_images/922521764319473664/kKBL1-31_normal.jpg","View")</f>
        <v>View</v>
      </c>
      <c r="P2382" s="27"/>
    </row>
    <row r="2383">
      <c r="A2383" s="14">
        <v>43031.16662037037</v>
      </c>
      <c r="B2383" s="20" t="str">
        <f>HYPERLINK("https://twitter.com/WingGirlTrader","@WingGirlTrader")</f>
        <v>@WingGirlTrader</v>
      </c>
      <c r="C2383" s="21" t="s">
        <v>5773</v>
      </c>
      <c r="D2383" s="21" t="s">
        <v>5774</v>
      </c>
      <c r="E2383" s="22" t="str">
        <f>HYPERLINK("https://twitter.com/WingGirlTrader/status/922417297595224064","922417297595224064")</f>
        <v>922417297595224064</v>
      </c>
      <c r="F2383" s="23" t="s">
        <v>33</v>
      </c>
      <c r="G2383" s="24">
        <v>19651.0</v>
      </c>
      <c r="H2383" s="24">
        <v>11157.0</v>
      </c>
      <c r="I2383" s="24">
        <v>2.0</v>
      </c>
      <c r="J2383" s="24">
        <v>7.0</v>
      </c>
      <c r="K2383" s="23" t="s">
        <v>34</v>
      </c>
      <c r="L2383" s="25">
        <v>42708.395057870366</v>
      </c>
      <c r="M2383" s="26" t="s">
        <v>5775</v>
      </c>
      <c r="N2383" s="26" t="s">
        <v>5776</v>
      </c>
      <c r="O2383" s="22" t="str">
        <f>HYPERLINK("https://pbs.twimg.com/profile_images/923010639357919233/BeV3qlq-_normal.jpg","View")</f>
        <v>View</v>
      </c>
      <c r="P2383" s="27"/>
    </row>
    <row r="2384">
      <c r="A2384" s="14">
        <v>43031.16664351852</v>
      </c>
      <c r="B2384" s="20" t="str">
        <f>HYPERLINK("https://twitter.com/iakovleva3","@iakovleva3")</f>
        <v>@iakovleva3</v>
      </c>
      <c r="C2384" s="21" t="s">
        <v>5777</v>
      </c>
      <c r="D2384" s="21" t="s">
        <v>2555</v>
      </c>
      <c r="E2384" s="22" t="str">
        <f>HYPERLINK("https://twitter.com/iakovleva3/status/922417307086864384","922417307086864384")</f>
        <v>922417307086864384</v>
      </c>
      <c r="F2384" s="23" t="s">
        <v>55</v>
      </c>
      <c r="G2384" s="24">
        <v>4.0</v>
      </c>
      <c r="H2384" s="24">
        <v>1.0</v>
      </c>
      <c r="I2384" s="24">
        <v>58.0</v>
      </c>
      <c r="J2384" s="24">
        <v>0.0</v>
      </c>
      <c r="K2384" s="23" t="s">
        <v>34</v>
      </c>
      <c r="L2384" s="25">
        <v>43015.641331018516</v>
      </c>
      <c r="M2384" s="28"/>
      <c r="N2384" s="28"/>
      <c r="O2384" s="22" t="str">
        <f>HYPERLINK("https://pbs.twimg.com/profile_images/918899008059273216/zYzJlvfS_normal.jpg","View")</f>
        <v>View</v>
      </c>
      <c r="P2384" s="27"/>
    </row>
    <row r="2385">
      <c r="A2385" s="14">
        <v>43031.16667824074</v>
      </c>
      <c r="B2385" s="20" t="str">
        <f>HYPERLINK("https://twitter.com/japan_pride51","@japan_pride51")</f>
        <v>@japan_pride51</v>
      </c>
      <c r="C2385" s="21" t="s">
        <v>5778</v>
      </c>
      <c r="D2385" s="21" t="s">
        <v>5779</v>
      </c>
      <c r="E2385" s="22" t="str">
        <f>HYPERLINK("https://twitter.com/japan_pride51/status/922417320546275329","922417320546275329")</f>
        <v>922417320546275329</v>
      </c>
      <c r="F2385" s="23" t="s">
        <v>55</v>
      </c>
      <c r="G2385" s="24">
        <v>141.0</v>
      </c>
      <c r="H2385" s="24">
        <v>75.0</v>
      </c>
      <c r="I2385" s="24">
        <v>3927.0</v>
      </c>
      <c r="J2385" s="24">
        <v>0.0</v>
      </c>
      <c r="K2385" s="23" t="s">
        <v>34</v>
      </c>
      <c r="L2385" s="25">
        <v>40634.964791666665</v>
      </c>
      <c r="M2385" s="28"/>
      <c r="N2385" s="26" t="s">
        <v>5780</v>
      </c>
      <c r="O2385" s="22" t="str">
        <f>HYPERLINK("https://pbs.twimg.com/profile_images/1448807382/avatar_normal.JPEG","View")</f>
        <v>View</v>
      </c>
      <c r="P2385" s="27"/>
    </row>
    <row r="2386">
      <c r="A2386" s="14">
        <v>43031.16678240741</v>
      </c>
      <c r="B2386" s="20" t="str">
        <f>HYPERLINK("https://twitter.com/dailymynd","@dailymynd")</f>
        <v>@dailymynd</v>
      </c>
      <c r="C2386" s="21" t="s">
        <v>5781</v>
      </c>
      <c r="D2386" s="21" t="s">
        <v>5782</v>
      </c>
      <c r="E2386" s="22" t="str">
        <f>HYPERLINK("https://twitter.com/dailymynd/status/922417357066252289","922417357066252289")</f>
        <v>922417357066252289</v>
      </c>
      <c r="F2386" s="23" t="s">
        <v>5781</v>
      </c>
      <c r="G2386" s="24">
        <v>29983.0</v>
      </c>
      <c r="H2386" s="24">
        <v>1684.0</v>
      </c>
      <c r="I2386" s="24">
        <v>0.0</v>
      </c>
      <c r="J2386" s="24">
        <v>0.0</v>
      </c>
      <c r="K2386" s="23" t="s">
        <v>34</v>
      </c>
      <c r="L2386" s="25">
        <v>42768.64555555556</v>
      </c>
      <c r="M2386" s="26" t="s">
        <v>5783</v>
      </c>
      <c r="N2386" s="26" t="s">
        <v>5784</v>
      </c>
      <c r="O2386" s="22" t="str">
        <f>HYPERLINK("https://pbs.twimg.com/profile_images/833717479180349440/NnqjaDJf_normal.jpg","View")</f>
        <v>View</v>
      </c>
      <c r="P2386" s="27"/>
    </row>
    <row r="2387">
      <c r="A2387" s="14">
        <v>43031.16679398148</v>
      </c>
      <c r="B2387" s="20" t="str">
        <f>HYPERLINK("https://twitter.com/Reuters","@Reuters")</f>
        <v>@Reuters</v>
      </c>
      <c r="C2387" s="21" t="s">
        <v>754</v>
      </c>
      <c r="D2387" s="21" t="s">
        <v>5785</v>
      </c>
      <c r="E2387" s="22" t="str">
        <f>HYPERLINK("https://twitter.com/Reuters/status/922417361382268929","922417361382268929")</f>
        <v>922417361382268929</v>
      </c>
      <c r="F2387" s="23" t="s">
        <v>756</v>
      </c>
      <c r="G2387" s="24">
        <v>1.8914236E7</v>
      </c>
      <c r="H2387" s="24">
        <v>1063.0</v>
      </c>
      <c r="I2387" s="24">
        <v>59.0</v>
      </c>
      <c r="J2387" s="24">
        <v>54.0</v>
      </c>
      <c r="K2387" s="23" t="s">
        <v>34</v>
      </c>
      <c r="L2387" s="25">
        <v>39161.44866898148</v>
      </c>
      <c r="M2387" s="26" t="s">
        <v>757</v>
      </c>
      <c r="N2387" s="26" t="s">
        <v>758</v>
      </c>
      <c r="O2387" s="22" t="str">
        <f>HYPERLINK("https://pbs.twimg.com/profile_images/877554927932891136/ZBEs235N_normal.jpg","View")</f>
        <v>View</v>
      </c>
      <c r="P2387" s="27"/>
    </row>
    <row r="2388">
      <c r="A2388" s="14">
        <v>43031.16684027778</v>
      </c>
      <c r="B2388" s="20" t="str">
        <f>HYPERLINK("https://twitter.com/News365247live","@News365247live")</f>
        <v>@News365247live</v>
      </c>
      <c r="C2388" s="21" t="s">
        <v>759</v>
      </c>
      <c r="D2388" s="21" t="s">
        <v>5786</v>
      </c>
      <c r="E2388" s="22" t="str">
        <f>HYPERLINK("https://twitter.com/News365247live/status/922417379048431616","922417379048431616")</f>
        <v>922417379048431616</v>
      </c>
      <c r="F2388" s="23" t="s">
        <v>761</v>
      </c>
      <c r="G2388" s="24">
        <v>1497.0</v>
      </c>
      <c r="H2388" s="24">
        <v>4734.0</v>
      </c>
      <c r="I2388" s="24">
        <v>59.0</v>
      </c>
      <c r="J2388" s="24">
        <v>0.0</v>
      </c>
      <c r="K2388" s="23" t="s">
        <v>34</v>
      </c>
      <c r="L2388" s="25">
        <v>42728.342094907406</v>
      </c>
      <c r="M2388" s="26" t="s">
        <v>762</v>
      </c>
      <c r="N2388" s="26" t="s">
        <v>763</v>
      </c>
      <c r="O2388" s="22" t="str">
        <f>HYPERLINK("https://pbs.twimg.com/profile_images/813047771091472384/ZtakiWrG_normal.jpg","View")</f>
        <v>View</v>
      </c>
      <c r="P2388" s="27"/>
    </row>
    <row r="2389">
      <c r="A2389" s="14">
        <v>43031.16688657408</v>
      </c>
      <c r="B2389" s="20" t="str">
        <f>HYPERLINK("https://twitter.com/hatchfutch","@hatchfutch")</f>
        <v>@hatchfutch</v>
      </c>
      <c r="C2389" s="21" t="s">
        <v>5787</v>
      </c>
      <c r="D2389" s="21" t="s">
        <v>42</v>
      </c>
      <c r="E2389" s="22" t="str">
        <f>HYPERLINK("https://twitter.com/hatchfutch/status/922417397738254336","922417397738254336")</f>
        <v>922417397738254336</v>
      </c>
      <c r="F2389" s="23" t="s">
        <v>39</v>
      </c>
      <c r="G2389" s="24">
        <v>110.0</v>
      </c>
      <c r="H2389" s="24">
        <v>117.0</v>
      </c>
      <c r="I2389" s="24">
        <v>8501.0</v>
      </c>
      <c r="J2389" s="24">
        <v>0.0</v>
      </c>
      <c r="K2389" s="23" t="s">
        <v>34</v>
      </c>
      <c r="L2389" s="25">
        <v>40416.626608796294</v>
      </c>
      <c r="M2389" s="28"/>
      <c r="N2389" s="26" t="s">
        <v>5788</v>
      </c>
      <c r="O2389" s="22" t="str">
        <f>HYPERLINK("https://pbs.twimg.com/profile_images/916441020480368641/UrALDoxy_normal.jpg","View")</f>
        <v>View</v>
      </c>
      <c r="P2389" s="27"/>
    </row>
    <row r="2390">
      <c r="A2390" s="14">
        <v>43031.16689814815</v>
      </c>
      <c r="B2390" s="20" t="str">
        <f>HYPERLINK("https://twitter.com/PoonamS101","@PoonamS101")</f>
        <v>@PoonamS101</v>
      </c>
      <c r="C2390" s="21" t="s">
        <v>5789</v>
      </c>
      <c r="D2390" s="21" t="s">
        <v>42</v>
      </c>
      <c r="E2390" s="22" t="str">
        <f>HYPERLINK("https://twitter.com/PoonamS101/status/922417401777479681","922417401777479681")</f>
        <v>922417401777479681</v>
      </c>
      <c r="F2390" s="23" t="s">
        <v>33</v>
      </c>
      <c r="G2390" s="24">
        <v>27148.0</v>
      </c>
      <c r="H2390" s="24">
        <v>72.0</v>
      </c>
      <c r="I2390" s="24">
        <v>8501.0</v>
      </c>
      <c r="J2390" s="24">
        <v>0.0</v>
      </c>
      <c r="K2390" s="23" t="s">
        <v>34</v>
      </c>
      <c r="L2390" s="25">
        <v>42445.13791666667</v>
      </c>
      <c r="M2390" s="28"/>
      <c r="N2390" s="26" t="s">
        <v>5790</v>
      </c>
      <c r="O2390" s="22" t="str">
        <f>HYPERLINK("https://pbs.twimg.com/profile_images/920532149844918272/QO0vTx8E_normal.jpg","View")</f>
        <v>View</v>
      </c>
      <c r="P2390" s="27"/>
    </row>
    <row r="2391">
      <c r="A2391" s="14">
        <v>43031.16690972222</v>
      </c>
      <c r="B2391" s="20" t="str">
        <f>HYPERLINK("https://twitter.com/chelsea513227","@chelsea513227")</f>
        <v>@chelsea513227</v>
      </c>
      <c r="C2391" s="21" t="s">
        <v>5791</v>
      </c>
      <c r="D2391" s="21" t="s">
        <v>5786</v>
      </c>
      <c r="E2391" s="22" t="str">
        <f>HYPERLINK("https://twitter.com/chelsea513227/status/922417404013027328","922417404013027328")</f>
        <v>922417404013027328</v>
      </c>
      <c r="F2391" s="23" t="s">
        <v>5792</v>
      </c>
      <c r="G2391" s="24">
        <v>861.0</v>
      </c>
      <c r="H2391" s="24">
        <v>918.0</v>
      </c>
      <c r="I2391" s="24">
        <v>59.0</v>
      </c>
      <c r="J2391" s="24">
        <v>0.0</v>
      </c>
      <c r="K2391" s="23" t="s">
        <v>34</v>
      </c>
      <c r="L2391" s="25">
        <v>41358.15053240741</v>
      </c>
      <c r="M2391" s="26" t="s">
        <v>5793</v>
      </c>
      <c r="N2391" s="26" t="s">
        <v>5794</v>
      </c>
      <c r="O2391" s="22" t="str">
        <f>HYPERLINK("https://pbs.twimg.com/profile_images/723884617606926336/nmOh16Fe_normal.jpg","View")</f>
        <v>View</v>
      </c>
      <c r="P2391" s="27"/>
    </row>
    <row r="2392">
      <c r="A2392" s="14">
        <v>43031.166979166665</v>
      </c>
      <c r="B2392" s="20" t="str">
        <f>HYPERLINK("https://twitter.com/capitalcom","@capitalcom")</f>
        <v>@capitalcom</v>
      </c>
      <c r="C2392" s="29" t="s">
        <v>5795</v>
      </c>
      <c r="D2392" s="21" t="s">
        <v>5796</v>
      </c>
      <c r="E2392" s="22" t="str">
        <f>HYPERLINK("https://twitter.com/capitalcom/status/922417427807424512","922417427807424512")</f>
        <v>922417427807424512</v>
      </c>
      <c r="F2392" s="23" t="s">
        <v>427</v>
      </c>
      <c r="G2392" s="24">
        <v>349.0</v>
      </c>
      <c r="H2392" s="24">
        <v>105.0</v>
      </c>
      <c r="I2392" s="24">
        <v>0.0</v>
      </c>
      <c r="J2392" s="24">
        <v>0.0</v>
      </c>
      <c r="K2392" s="23" t="s">
        <v>34</v>
      </c>
      <c r="L2392" s="25">
        <v>42695.055625</v>
      </c>
      <c r="M2392" s="28"/>
      <c r="N2392" s="26" t="s">
        <v>5797</v>
      </c>
      <c r="O2392" s="22" t="str">
        <f>HYPERLINK("https://pbs.twimg.com/profile_images/908809808496791553/0aXpq1ts_normal.jpg","View")</f>
        <v>View</v>
      </c>
      <c r="P2392" s="27"/>
    </row>
    <row r="2393">
      <c r="A2393" s="14">
        <v>43031.16700231482</v>
      </c>
      <c r="B2393" s="20" t="str">
        <f>HYPERLINK("https://twitter.com/mudeni62","@mudeni62")</f>
        <v>@mudeni62</v>
      </c>
      <c r="C2393" s="21" t="s">
        <v>5798</v>
      </c>
      <c r="D2393" s="21" t="s">
        <v>32</v>
      </c>
      <c r="E2393" s="22" t="str">
        <f>HYPERLINK("https://twitter.com/mudeni62/status/922417437001306114","922417437001306114")</f>
        <v>922417437001306114</v>
      </c>
      <c r="F2393" s="23" t="s">
        <v>33</v>
      </c>
      <c r="G2393" s="24">
        <v>767.0</v>
      </c>
      <c r="H2393" s="24">
        <v>821.0</v>
      </c>
      <c r="I2393" s="24">
        <v>471.0</v>
      </c>
      <c r="J2393" s="24">
        <v>0.0</v>
      </c>
      <c r="K2393" s="23" t="s">
        <v>34</v>
      </c>
      <c r="L2393" s="25">
        <v>41500.31738425926</v>
      </c>
      <c r="M2393" s="26" t="s">
        <v>282</v>
      </c>
      <c r="N2393" s="26" t="s">
        <v>5799</v>
      </c>
      <c r="O2393" s="22" t="str">
        <f>HYPERLINK("https://pbs.twimg.com/profile_images/869469003525304320/Qx31C1CF_normal.jpg","View")</f>
        <v>View</v>
      </c>
      <c r="P2393" s="27"/>
    </row>
    <row r="2394">
      <c r="A2394" s="14">
        <v>43031.16701388889</v>
      </c>
      <c r="B2394" s="20" t="str">
        <f>HYPERLINK("https://twitter.com/RLAM_UK","@RLAM_UK")</f>
        <v>@RLAM_UK</v>
      </c>
      <c r="C2394" s="21" t="s">
        <v>5800</v>
      </c>
      <c r="D2394" s="21" t="s">
        <v>5801</v>
      </c>
      <c r="E2394" s="22" t="str">
        <f>HYPERLINK("https://twitter.com/RLAM_UK/status/922417442252521472","922417442252521472")</f>
        <v>922417442252521472</v>
      </c>
      <c r="F2394" s="23" t="s">
        <v>427</v>
      </c>
      <c r="G2394" s="24">
        <v>3321.0</v>
      </c>
      <c r="H2394" s="24">
        <v>996.0</v>
      </c>
      <c r="I2394" s="24">
        <v>0.0</v>
      </c>
      <c r="J2394" s="24">
        <v>0.0</v>
      </c>
      <c r="K2394" s="23" t="s">
        <v>34</v>
      </c>
      <c r="L2394" s="25">
        <v>40728.035787037035</v>
      </c>
      <c r="M2394" s="26" t="s">
        <v>5802</v>
      </c>
      <c r="N2394" s="26" t="s">
        <v>5803</v>
      </c>
      <c r="O2394" s="22" t="str">
        <f>HYPERLINK("https://pbs.twimg.com/profile_images/460683638678364160/7oZuc7Mg_normal.jpeg","View")</f>
        <v>View</v>
      </c>
      <c r="P2394" s="27"/>
    </row>
    <row r="2395">
      <c r="A2395" s="14">
        <v>43031.167025462964</v>
      </c>
      <c r="B2395" s="20" t="str">
        <f>HYPERLINK("https://twitter.com/goma201","@goma201")</f>
        <v>@goma201</v>
      </c>
      <c r="C2395" s="21" t="s">
        <v>5804</v>
      </c>
      <c r="D2395" s="21" t="s">
        <v>5786</v>
      </c>
      <c r="E2395" s="22" t="str">
        <f>HYPERLINK("https://twitter.com/goma201/status/922417444949409792","922417444949409792")</f>
        <v>922417444949409792</v>
      </c>
      <c r="F2395" s="23" t="s">
        <v>230</v>
      </c>
      <c r="G2395" s="24">
        <v>463.0</v>
      </c>
      <c r="H2395" s="24">
        <v>342.0</v>
      </c>
      <c r="I2395" s="24">
        <v>59.0</v>
      </c>
      <c r="J2395" s="24">
        <v>0.0</v>
      </c>
      <c r="K2395" s="23" t="s">
        <v>34</v>
      </c>
      <c r="L2395" s="25">
        <v>41270.242013888885</v>
      </c>
      <c r="M2395" s="35" t="s">
        <v>5805</v>
      </c>
      <c r="N2395" s="26" t="s">
        <v>5806</v>
      </c>
      <c r="O2395" s="22" t="str">
        <f>HYPERLINK("https://pbs.twimg.com/profile_images/673483464285425664/YIeu3nus_normal.jpg","View")</f>
        <v>View</v>
      </c>
      <c r="P2395" s="27"/>
    </row>
    <row r="2396">
      <c r="A2396" s="14">
        <v>43031.167025462964</v>
      </c>
      <c r="B2396" s="20" t="str">
        <f>HYPERLINK("https://twitter.com/WSWS_Updates","@WSWS_Updates")</f>
        <v>@WSWS_Updates</v>
      </c>
      <c r="C2396" s="21" t="s">
        <v>5807</v>
      </c>
      <c r="D2396" s="21" t="s">
        <v>5808</v>
      </c>
      <c r="E2396" s="22" t="str">
        <f>HYPERLINK("https://twitter.com/WSWS_Updates/status/922417445796802560","922417445796802560")</f>
        <v>922417445796802560</v>
      </c>
      <c r="F2396" s="23" t="s">
        <v>427</v>
      </c>
      <c r="G2396" s="24">
        <v>28853.0</v>
      </c>
      <c r="H2396" s="24">
        <v>18701.0</v>
      </c>
      <c r="I2396" s="24">
        <v>4.0</v>
      </c>
      <c r="J2396" s="24">
        <v>1.0</v>
      </c>
      <c r="K2396" s="23" t="s">
        <v>34</v>
      </c>
      <c r="L2396" s="25">
        <v>40235.413402777776</v>
      </c>
      <c r="M2396" s="28"/>
      <c r="N2396" s="26" t="s">
        <v>5809</v>
      </c>
      <c r="O2396" s="22" t="str">
        <f>HYPERLINK("https://pbs.twimg.com/profile_images/836022413020160001/mTxwoDiC_normal.jpg","View")</f>
        <v>View</v>
      </c>
      <c r="P2396" s="27"/>
    </row>
    <row r="2397">
      <c r="A2397" s="14">
        <v>43031.167071759264</v>
      </c>
      <c r="B2397" s="20" t="str">
        <f>HYPERLINK("https://twitter.com/fxzoneofficial","@fxzoneofficial")</f>
        <v>@fxzoneofficial</v>
      </c>
      <c r="C2397" s="21" t="s">
        <v>1326</v>
      </c>
      <c r="D2397" s="21" t="s">
        <v>5810</v>
      </c>
      <c r="E2397" s="22" t="str">
        <f>HYPERLINK("https://twitter.com/fxzoneofficial/status/922417463907815424","922417463907815424")</f>
        <v>922417463907815424</v>
      </c>
      <c r="F2397" s="23" t="s">
        <v>1328</v>
      </c>
      <c r="G2397" s="24">
        <v>496.0</v>
      </c>
      <c r="H2397" s="24">
        <v>209.0</v>
      </c>
      <c r="I2397" s="24">
        <v>0.0</v>
      </c>
      <c r="J2397" s="24">
        <v>0.0</v>
      </c>
      <c r="K2397" s="23" t="s">
        <v>34</v>
      </c>
      <c r="L2397" s="25">
        <v>41987.21666666667</v>
      </c>
      <c r="M2397" s="28"/>
      <c r="N2397" s="26" t="s">
        <v>1329</v>
      </c>
      <c r="O2397" s="22" t="str">
        <f>HYPERLINK("https://pbs.twimg.com/profile_images/898679417635045376/0ecZuQDQ_normal.jpg","View")</f>
        <v>View</v>
      </c>
      <c r="P2397" s="27"/>
    </row>
    <row r="2398">
      <c r="A2398" s="14">
        <v>43031.16710648148</v>
      </c>
      <c r="B2398" s="20" t="str">
        <f>HYPERLINK("https://twitter.com/xBot","@xBot")</f>
        <v>@xBot</v>
      </c>
      <c r="C2398" s="21" t="s">
        <v>5811</v>
      </c>
      <c r="D2398" s="21" t="s">
        <v>5812</v>
      </c>
      <c r="E2398" s="22" t="str">
        <f>HYPERLINK("https://twitter.com/xBot/status/922417475672821760","922417475672821760")</f>
        <v>922417475672821760</v>
      </c>
      <c r="F2398" s="23" t="s">
        <v>427</v>
      </c>
      <c r="G2398" s="24">
        <v>7707.0</v>
      </c>
      <c r="H2398" s="24">
        <v>0.0</v>
      </c>
      <c r="I2398" s="24">
        <v>0.0</v>
      </c>
      <c r="J2398" s="24">
        <v>0.0</v>
      </c>
      <c r="K2398" s="23" t="s">
        <v>34</v>
      </c>
      <c r="L2398" s="25">
        <v>41163.11077546296</v>
      </c>
      <c r="M2398" s="28"/>
      <c r="N2398" s="26" t="s">
        <v>5813</v>
      </c>
      <c r="O2398" s="22" t="str">
        <f>HYPERLINK("https://pbs.twimg.com/profile_images/378800000089450123/db5336aaa36bcdea3b2473f8c8e3dbb2_normal.jpeg","View")</f>
        <v>View</v>
      </c>
      <c r="P2398" s="27"/>
    </row>
    <row r="2399">
      <c r="A2399" s="14">
        <v>43031.167129629626</v>
      </c>
      <c r="B2399" s="20" t="str">
        <f>HYPERLINK("https://twitter.com/AlanLondonCity","@AlanLondonCity")</f>
        <v>@AlanLondonCity</v>
      </c>
      <c r="C2399" s="21" t="s">
        <v>5814</v>
      </c>
      <c r="D2399" s="21" t="s">
        <v>5786</v>
      </c>
      <c r="E2399" s="22" t="str">
        <f>HYPERLINK("https://twitter.com/AlanLondonCity/status/922417485114216448","922417485114216448")</f>
        <v>922417485114216448</v>
      </c>
      <c r="F2399" s="23" t="s">
        <v>39</v>
      </c>
      <c r="G2399" s="24">
        <v>59001.0</v>
      </c>
      <c r="H2399" s="24">
        <v>113.0</v>
      </c>
      <c r="I2399" s="24">
        <v>59.0</v>
      </c>
      <c r="J2399" s="24">
        <v>0.0</v>
      </c>
      <c r="K2399" s="23" t="s">
        <v>34</v>
      </c>
      <c r="L2399" s="25">
        <v>42990.50239583333</v>
      </c>
      <c r="M2399" s="26" t="s">
        <v>40</v>
      </c>
      <c r="N2399" s="26" t="s">
        <v>5815</v>
      </c>
      <c r="O2399" s="22" t="str">
        <f>HYPERLINK("https://pbs.twimg.com/profile_images/907681852466573312/c3GaQ5WR_normal.jpg","View")</f>
        <v>View</v>
      </c>
      <c r="P2399" s="27"/>
    </row>
    <row r="2400">
      <c r="A2400" s="14">
        <v>43031.16725694445</v>
      </c>
      <c r="B2400" s="20" t="str">
        <f>HYPERLINK("https://twitter.com/keshubhaip","@keshubhaip")</f>
        <v>@keshubhaip</v>
      </c>
      <c r="C2400" s="21" t="s">
        <v>5816</v>
      </c>
      <c r="D2400" s="21" t="s">
        <v>42</v>
      </c>
      <c r="E2400" s="22" t="str">
        <f>HYPERLINK("https://twitter.com/keshubhaip/status/922417528436961281","922417528436961281")</f>
        <v>922417528436961281</v>
      </c>
      <c r="F2400" s="23" t="s">
        <v>33</v>
      </c>
      <c r="G2400" s="24">
        <v>977.0</v>
      </c>
      <c r="H2400" s="24">
        <v>1720.0</v>
      </c>
      <c r="I2400" s="24">
        <v>8501.0</v>
      </c>
      <c r="J2400" s="24">
        <v>0.0</v>
      </c>
      <c r="K2400" s="23" t="s">
        <v>34</v>
      </c>
      <c r="L2400" s="25">
        <v>40628.8753125</v>
      </c>
      <c r="M2400" s="26" t="s">
        <v>5817</v>
      </c>
      <c r="N2400" s="26" t="s">
        <v>5818</v>
      </c>
      <c r="O2400" s="22" t="str">
        <f>HYPERLINK("https://pbs.twimg.com/profile_images/784607855118778369/hmj7ooGJ_normal.jpg","View")</f>
        <v>View</v>
      </c>
      <c r="P2400" s="27"/>
    </row>
    <row r="2401">
      <c r="A2401" s="14">
        <v>43031.16725694445</v>
      </c>
      <c r="B2401" s="20" t="str">
        <f>HYPERLINK("https://twitter.com/damilne1","@damilne1")</f>
        <v>@damilne1</v>
      </c>
      <c r="C2401" s="21" t="s">
        <v>5819</v>
      </c>
      <c r="D2401" s="21" t="s">
        <v>5786</v>
      </c>
      <c r="E2401" s="22" t="str">
        <f>HYPERLINK("https://twitter.com/damilne1/status/922417529787691008","922417529787691008")</f>
        <v>922417529787691008</v>
      </c>
      <c r="F2401" s="23" t="s">
        <v>43</v>
      </c>
      <c r="G2401" s="24">
        <v>1698.0</v>
      </c>
      <c r="H2401" s="24">
        <v>3126.0</v>
      </c>
      <c r="I2401" s="24">
        <v>59.0</v>
      </c>
      <c r="J2401" s="24">
        <v>0.0</v>
      </c>
      <c r="K2401" s="23" t="s">
        <v>34</v>
      </c>
      <c r="L2401" s="25">
        <v>39854.383993055555</v>
      </c>
      <c r="M2401" s="26" t="s">
        <v>5820</v>
      </c>
      <c r="N2401" s="26" t="s">
        <v>5821</v>
      </c>
      <c r="O2401" s="22" t="str">
        <f>HYPERLINK("https://pbs.twimg.com/profile_images/879988319760900096/sx3kPIs8_normal.jpg","View")</f>
        <v>View</v>
      </c>
      <c r="P2401" s="27"/>
    </row>
    <row r="2402">
      <c r="A2402" s="14">
        <v>43031.16726851852</v>
      </c>
      <c r="B2402" s="20" t="str">
        <f>HYPERLINK("https://twitter.com/ddpandya","@ddpandya")</f>
        <v>@ddpandya</v>
      </c>
      <c r="C2402" s="21" t="s">
        <v>5822</v>
      </c>
      <c r="D2402" s="21" t="s">
        <v>42</v>
      </c>
      <c r="E2402" s="22" t="str">
        <f>HYPERLINK("https://twitter.com/ddpandya/status/922417535542214656","922417535542214656")</f>
        <v>922417535542214656</v>
      </c>
      <c r="F2402" s="23" t="s">
        <v>33</v>
      </c>
      <c r="G2402" s="24">
        <v>141.0</v>
      </c>
      <c r="H2402" s="24">
        <v>445.0</v>
      </c>
      <c r="I2402" s="24">
        <v>8501.0</v>
      </c>
      <c r="J2402" s="24">
        <v>0.0</v>
      </c>
      <c r="K2402" s="23" t="s">
        <v>34</v>
      </c>
      <c r="L2402" s="25">
        <v>40189.10175925926</v>
      </c>
      <c r="M2402" s="28"/>
      <c r="N2402" s="26" t="s">
        <v>5823</v>
      </c>
      <c r="O2402" s="22" t="str">
        <f>HYPERLINK("https://pbs.twimg.com/profile_images/627728638604021764/xSa9NRbC_normal.jpg","View")</f>
        <v>View</v>
      </c>
      <c r="P2402" s="27"/>
    </row>
    <row r="2403">
      <c r="A2403" s="14">
        <v>43031.16729166667</v>
      </c>
      <c r="B2403" s="20" t="str">
        <f>HYPERLINK("https://twitter.com/mtmanila","@mtmanila")</f>
        <v>@mtmanila</v>
      </c>
      <c r="C2403" s="21" t="s">
        <v>5824</v>
      </c>
      <c r="D2403" s="21" t="s">
        <v>5825</v>
      </c>
      <c r="E2403" s="22" t="str">
        <f>HYPERLINK("https://twitter.com/mtmanila/status/922417542097805312","922417542097805312")</f>
        <v>922417542097805312</v>
      </c>
      <c r="F2403" s="23" t="s">
        <v>39</v>
      </c>
      <c r="G2403" s="24">
        <v>66.0</v>
      </c>
      <c r="H2403" s="24">
        <v>395.0</v>
      </c>
      <c r="I2403" s="24">
        <v>0.0</v>
      </c>
      <c r="J2403" s="24">
        <v>0.0</v>
      </c>
      <c r="K2403" s="23" t="s">
        <v>34</v>
      </c>
      <c r="L2403" s="25">
        <v>40189.89019675926</v>
      </c>
      <c r="M2403" s="28"/>
      <c r="N2403" s="28"/>
      <c r="O2403" s="22" t="str">
        <f t="shared" ref="O2403:O2404" si="39">HYPERLINK("https://abs.twimg.com/sticky/default_profile_images/default_profile_normal.png","View")</f>
        <v>View</v>
      </c>
      <c r="P2403" s="27"/>
    </row>
    <row r="2404">
      <c r="A2404" s="14">
        <v>43031.16731481481</v>
      </c>
      <c r="B2404" s="20" t="str">
        <f>HYPERLINK("https://twitter.com/VishalR75432175","@VishalR75432175")</f>
        <v>@VishalR75432175</v>
      </c>
      <c r="C2404" s="21" t="s">
        <v>5826</v>
      </c>
      <c r="D2404" s="21" t="s">
        <v>42</v>
      </c>
      <c r="E2404" s="22" t="str">
        <f>HYPERLINK("https://twitter.com/VishalR75432175/status/922417550243201024","922417550243201024")</f>
        <v>922417550243201024</v>
      </c>
      <c r="F2404" s="23" t="s">
        <v>33</v>
      </c>
      <c r="G2404" s="24">
        <v>4.0</v>
      </c>
      <c r="H2404" s="24">
        <v>129.0</v>
      </c>
      <c r="I2404" s="24">
        <v>8501.0</v>
      </c>
      <c r="J2404" s="24">
        <v>0.0</v>
      </c>
      <c r="K2404" s="23" t="s">
        <v>34</v>
      </c>
      <c r="L2404" s="25">
        <v>42854.38959490741</v>
      </c>
      <c r="M2404" s="28"/>
      <c r="N2404" s="28"/>
      <c r="O2404" s="22" t="str">
        <f t="shared" si="39"/>
        <v>View</v>
      </c>
      <c r="P2404" s="27"/>
    </row>
    <row r="2405">
      <c r="A2405" s="14">
        <v>43031.16737268519</v>
      </c>
      <c r="B2405" s="20" t="str">
        <f>HYPERLINK("https://twitter.com/OnlyBhatia","@OnlyBhatia")</f>
        <v>@OnlyBhatia</v>
      </c>
      <c r="C2405" s="21" t="s">
        <v>5827</v>
      </c>
      <c r="D2405" s="21" t="s">
        <v>42</v>
      </c>
      <c r="E2405" s="22" t="str">
        <f>HYPERLINK("https://twitter.com/OnlyBhatia/status/922417572439580673","922417572439580673")</f>
        <v>922417572439580673</v>
      </c>
      <c r="F2405" s="23" t="s">
        <v>33</v>
      </c>
      <c r="G2405" s="24">
        <v>237.0</v>
      </c>
      <c r="H2405" s="24">
        <v>1531.0</v>
      </c>
      <c r="I2405" s="24">
        <v>8501.0</v>
      </c>
      <c r="J2405" s="24">
        <v>0.0</v>
      </c>
      <c r="K2405" s="23" t="s">
        <v>34</v>
      </c>
      <c r="L2405" s="25">
        <v>40189.26409722222</v>
      </c>
      <c r="M2405" s="32" t="s">
        <v>5828</v>
      </c>
      <c r="N2405" s="26" t="s">
        <v>5829</v>
      </c>
      <c r="O2405" s="22" t="str">
        <f>HYPERLINK("https://pbs.twimg.com/profile_images/921468350299074560/QoDBddUi_normal.jpg","View")</f>
        <v>View</v>
      </c>
      <c r="P2405" s="27"/>
    </row>
    <row r="2406">
      <c r="A2406" s="14">
        <v>43031.16738425926</v>
      </c>
      <c r="B2406" s="20" t="str">
        <f>HYPERLINK("https://twitter.com/OnlBreakingNews","@OnlBreakingNews")</f>
        <v>@OnlBreakingNews</v>
      </c>
      <c r="C2406" s="21" t="s">
        <v>5830</v>
      </c>
      <c r="D2406" s="21" t="s">
        <v>5831</v>
      </c>
      <c r="E2406" s="22" t="str">
        <f>HYPERLINK("https://twitter.com/OnlBreakingNews/status/922417574146727936","922417574146727936")</f>
        <v>922417574146727936</v>
      </c>
      <c r="F2406" s="23" t="s">
        <v>427</v>
      </c>
      <c r="G2406" s="24">
        <v>482.0</v>
      </c>
      <c r="H2406" s="24">
        <v>1598.0</v>
      </c>
      <c r="I2406" s="24">
        <v>0.0</v>
      </c>
      <c r="J2406" s="24">
        <v>0.0</v>
      </c>
      <c r="K2406" s="23" t="s">
        <v>34</v>
      </c>
      <c r="L2406" s="25">
        <v>42737.97990740741</v>
      </c>
      <c r="M2406" s="26" t="s">
        <v>1250</v>
      </c>
      <c r="N2406" s="26" t="s">
        <v>5832</v>
      </c>
      <c r="O2406" s="22" t="str">
        <f>HYPERLINK("https://pbs.twimg.com/profile_images/816193432410591232/Sjz4Kaqf_normal.jpg","View")</f>
        <v>View</v>
      </c>
      <c r="P2406" s="27"/>
    </row>
    <row r="2407">
      <c r="A2407" s="14">
        <v>43031.16741898148</v>
      </c>
      <c r="B2407" s="20" t="str">
        <f>HYPERLINK("https://twitter.com/_Xiaozhenxin","@_Xiaozhenxin")</f>
        <v>@_Xiaozhenxin</v>
      </c>
      <c r="C2407" s="21" t="s">
        <v>5833</v>
      </c>
      <c r="D2407" s="21" t="s">
        <v>5786</v>
      </c>
      <c r="E2407" s="22" t="str">
        <f>HYPERLINK("https://twitter.com/_Xiaozhenxin/status/922417588952449024","922417588952449024")</f>
        <v>922417588952449024</v>
      </c>
      <c r="F2407" s="23" t="s">
        <v>43</v>
      </c>
      <c r="G2407" s="24">
        <v>19.0</v>
      </c>
      <c r="H2407" s="24">
        <v>103.0</v>
      </c>
      <c r="I2407" s="24">
        <v>59.0</v>
      </c>
      <c r="J2407" s="24">
        <v>0.0</v>
      </c>
      <c r="K2407" s="23" t="s">
        <v>34</v>
      </c>
      <c r="L2407" s="25">
        <v>41946.293020833335</v>
      </c>
      <c r="M2407" s="26" t="s">
        <v>5834</v>
      </c>
      <c r="N2407" s="26" t="s">
        <v>5835</v>
      </c>
      <c r="O2407" s="22" t="str">
        <f>HYPERLINK("https://pbs.twimg.com/profile_images/922792629158293509/iIqhgkfe_normal.jpg","View")</f>
        <v>View</v>
      </c>
      <c r="P2407" s="27"/>
    </row>
    <row r="2408">
      <c r="A2408" s="14">
        <v>43031.16743055556</v>
      </c>
      <c r="B2408" s="20" t="str">
        <f>HYPERLINK("https://twitter.com/tksgindiar","@tksgindiar")</f>
        <v>@tksgindiar</v>
      </c>
      <c r="C2408" s="21" t="s">
        <v>5836</v>
      </c>
      <c r="D2408" s="21" t="s">
        <v>42</v>
      </c>
      <c r="E2408" s="22" t="str">
        <f>HYPERLINK("https://twitter.com/tksgindiar/status/922417593457111040","922417593457111040")</f>
        <v>922417593457111040</v>
      </c>
      <c r="F2408" s="23" t="s">
        <v>39</v>
      </c>
      <c r="G2408" s="24">
        <v>94.0</v>
      </c>
      <c r="H2408" s="24">
        <v>92.0</v>
      </c>
      <c r="I2408" s="24">
        <v>8501.0</v>
      </c>
      <c r="J2408" s="24">
        <v>0.0</v>
      </c>
      <c r="K2408" s="23" t="s">
        <v>34</v>
      </c>
      <c r="L2408" s="25">
        <v>43010.79033564815</v>
      </c>
      <c r="M2408" s="26" t="s">
        <v>5837</v>
      </c>
      <c r="N2408" s="26" t="s">
        <v>5838</v>
      </c>
      <c r="O2408" s="22" t="str">
        <f>HYPERLINK("https://pbs.twimg.com/profile_images/919891696954966016/G4yDGDah_normal.jpg","View")</f>
        <v>View</v>
      </c>
      <c r="P2408" s="27"/>
    </row>
    <row r="2409">
      <c r="A2409" s="14">
        <v>43031.16753472222</v>
      </c>
      <c r="B2409" s="20" t="str">
        <f>HYPERLINK("https://twitter.com/iakovleva3","@iakovleva3")</f>
        <v>@iakovleva3</v>
      </c>
      <c r="C2409" s="21" t="s">
        <v>5777</v>
      </c>
      <c r="D2409" s="21" t="s">
        <v>404</v>
      </c>
      <c r="E2409" s="22" t="str">
        <f>HYPERLINK("https://twitter.com/iakovleva3/status/922417629343637506","922417629343637506")</f>
        <v>922417629343637506</v>
      </c>
      <c r="F2409" s="23" t="s">
        <v>55</v>
      </c>
      <c r="G2409" s="24">
        <v>4.0</v>
      </c>
      <c r="H2409" s="24">
        <v>1.0</v>
      </c>
      <c r="I2409" s="24">
        <v>59.0</v>
      </c>
      <c r="J2409" s="24">
        <v>0.0</v>
      </c>
      <c r="K2409" s="23" t="s">
        <v>34</v>
      </c>
      <c r="L2409" s="25">
        <v>43015.641331018516</v>
      </c>
      <c r="M2409" s="28"/>
      <c r="N2409" s="28"/>
      <c r="O2409" s="22" t="str">
        <f>HYPERLINK("https://pbs.twimg.com/profile_images/918899008059273216/zYzJlvfS_normal.jpg","View")</f>
        <v>View</v>
      </c>
      <c r="P2409" s="27"/>
    </row>
    <row r="2410">
      <c r="A2410" s="14">
        <v>43031.16753472222</v>
      </c>
      <c r="B2410" s="20" t="str">
        <f>HYPERLINK("https://twitter.com/s_hiroki24","@s_hiroki24")</f>
        <v>@s_hiroki24</v>
      </c>
      <c r="C2410" s="21" t="s">
        <v>5839</v>
      </c>
      <c r="D2410" s="21" t="s">
        <v>5786</v>
      </c>
      <c r="E2410" s="22" t="str">
        <f>HYPERLINK("https://twitter.com/s_hiroki24/status/922417630782267392","922417630782267392")</f>
        <v>922417630782267392</v>
      </c>
      <c r="F2410" s="23" t="s">
        <v>33</v>
      </c>
      <c r="G2410" s="24">
        <v>10567.0</v>
      </c>
      <c r="H2410" s="24">
        <v>707.0</v>
      </c>
      <c r="I2410" s="24">
        <v>59.0</v>
      </c>
      <c r="J2410" s="24">
        <v>0.0</v>
      </c>
      <c r="K2410" s="23" t="s">
        <v>34</v>
      </c>
      <c r="L2410" s="25">
        <v>40187.756319444445</v>
      </c>
      <c r="M2410" s="26" t="s">
        <v>5840</v>
      </c>
      <c r="N2410" s="26" t="s">
        <v>5841</v>
      </c>
      <c r="O2410" s="22" t="str">
        <f>HYPERLINK("https://pbs.twimg.com/profile_images/841061543294853120/94KIuW5g_normal.jpg","View")</f>
        <v>View</v>
      </c>
      <c r="P2410" s="27"/>
    </row>
    <row r="2411">
      <c r="A2411" s="14">
        <v>43031.16755787037</v>
      </c>
      <c r="B2411" s="20" t="str">
        <f>HYPERLINK("https://twitter.com/Pengemiss88","@Pengemiss88")</f>
        <v>@Pengemiss88</v>
      </c>
      <c r="C2411" s="21" t="s">
        <v>5842</v>
      </c>
      <c r="D2411" s="21" t="s">
        <v>5786</v>
      </c>
      <c r="E2411" s="22" t="str">
        <f>HYPERLINK("https://twitter.com/Pengemiss88/status/922417639279902721","922417639279902721")</f>
        <v>922417639279902721</v>
      </c>
      <c r="F2411" s="23" t="s">
        <v>43</v>
      </c>
      <c r="G2411" s="24">
        <v>880.0</v>
      </c>
      <c r="H2411" s="24">
        <v>699.0</v>
      </c>
      <c r="I2411" s="24">
        <v>59.0</v>
      </c>
      <c r="J2411" s="24">
        <v>0.0</v>
      </c>
      <c r="K2411" s="23" t="s">
        <v>34</v>
      </c>
      <c r="L2411" s="25">
        <v>40261.67668981481</v>
      </c>
      <c r="M2411" s="26" t="s">
        <v>5843</v>
      </c>
      <c r="N2411" s="26" t="s">
        <v>5844</v>
      </c>
      <c r="O2411" s="22" t="str">
        <f>HYPERLINK("https://pbs.twimg.com/profile_images/901530257517297664/-EfZiAHd_normal.jpg","View")</f>
        <v>View</v>
      </c>
      <c r="P2411" s="27"/>
    </row>
    <row r="2412">
      <c r="A2412" s="14">
        <v>43031.16756944444</v>
      </c>
      <c r="B2412" s="20" t="str">
        <f>HYPERLINK("https://twitter.com/Essay_Lords","@Essay_Lords")</f>
        <v>@Essay_Lords</v>
      </c>
      <c r="C2412" s="21" t="s">
        <v>773</v>
      </c>
      <c r="D2412" s="21" t="s">
        <v>5845</v>
      </c>
      <c r="E2412" s="22" t="str">
        <f>HYPERLINK("https://twitter.com/Essay_Lords/status/922417643205943296","922417643205943296")</f>
        <v>922417643205943296</v>
      </c>
      <c r="F2412" s="23" t="s">
        <v>187</v>
      </c>
      <c r="G2412" s="24">
        <v>4311.0</v>
      </c>
      <c r="H2412" s="24">
        <v>3617.0</v>
      </c>
      <c r="I2412" s="24">
        <v>0.0</v>
      </c>
      <c r="J2412" s="24">
        <v>0.0</v>
      </c>
      <c r="K2412" s="23" t="s">
        <v>34</v>
      </c>
      <c r="L2412" s="25">
        <v>41982.42165509259</v>
      </c>
      <c r="M2412" s="26" t="s">
        <v>567</v>
      </c>
      <c r="N2412" s="26" t="s">
        <v>775</v>
      </c>
      <c r="O2412" s="22" t="str">
        <f>HYPERLINK("https://pbs.twimg.com/profile_images/722066414362894336/kHUvL0fA_normal.jpg","View")</f>
        <v>View</v>
      </c>
      <c r="P2412" s="27"/>
    </row>
    <row r="2413">
      <c r="A2413" s="14">
        <v>43031.16763888889</v>
      </c>
      <c r="B2413" s="20" t="str">
        <f>HYPERLINK("https://twitter.com/FreddieKeene88","@FreddieKeene88")</f>
        <v>@FreddieKeene88</v>
      </c>
      <c r="C2413" s="21" t="s">
        <v>5846</v>
      </c>
      <c r="D2413" s="21" t="s">
        <v>5847</v>
      </c>
      <c r="E2413" s="22" t="str">
        <f>HYPERLINK("https://twitter.com/FreddieKeene88/status/922417669957193728","922417669957193728")</f>
        <v>922417669957193728</v>
      </c>
      <c r="F2413" s="23" t="s">
        <v>187</v>
      </c>
      <c r="G2413" s="24">
        <v>435.0</v>
      </c>
      <c r="H2413" s="24">
        <v>378.0</v>
      </c>
      <c r="I2413" s="24">
        <v>0.0</v>
      </c>
      <c r="J2413" s="24">
        <v>0.0</v>
      </c>
      <c r="K2413" s="23" t="s">
        <v>34</v>
      </c>
      <c r="L2413" s="25">
        <v>41931.50732638889</v>
      </c>
      <c r="M2413" s="26" t="s">
        <v>5848</v>
      </c>
      <c r="N2413" s="26" t="s">
        <v>5849</v>
      </c>
      <c r="O2413" s="22" t="str">
        <f>HYPERLINK("https://pbs.twimg.com/profile_images/523916159620349952/lW6VckxG_normal.jpeg","View")</f>
        <v>View</v>
      </c>
      <c r="P2413" s="27"/>
    </row>
    <row r="2414">
      <c r="A2414" s="14">
        <v>43031.16763888889</v>
      </c>
      <c r="B2414" s="20" t="str">
        <f>HYPERLINK("https://twitter.com/eccentricraj","@eccentricraj")</f>
        <v>@eccentricraj</v>
      </c>
      <c r="C2414" s="21" t="s">
        <v>5850</v>
      </c>
      <c r="D2414" s="21" t="s">
        <v>42</v>
      </c>
      <c r="E2414" s="22" t="str">
        <f>HYPERLINK("https://twitter.com/eccentricraj/status/922417670183460864","922417670183460864")</f>
        <v>922417670183460864</v>
      </c>
      <c r="F2414" s="23" t="s">
        <v>55</v>
      </c>
      <c r="G2414" s="24">
        <v>373.0</v>
      </c>
      <c r="H2414" s="24">
        <v>66.0</v>
      </c>
      <c r="I2414" s="24">
        <v>8501.0</v>
      </c>
      <c r="J2414" s="24">
        <v>0.0</v>
      </c>
      <c r="K2414" s="23" t="s">
        <v>34</v>
      </c>
      <c r="L2414" s="25">
        <v>40351.281006944446</v>
      </c>
      <c r="M2414" s="28"/>
      <c r="N2414" s="26" t="s">
        <v>5851</v>
      </c>
      <c r="O2414" s="22" t="str">
        <f>HYPERLINK("https://pbs.twimg.com/profile_images/644789374173904896/fvTlnTSe_normal.jpg","View")</f>
        <v>View</v>
      </c>
      <c r="P2414" s="27"/>
    </row>
    <row r="2415">
      <c r="A2415" s="14">
        <v>43031.16765046296</v>
      </c>
      <c r="B2415" s="20" t="str">
        <f>HYPERLINK("https://twitter.com/bjpabhilash","@bjpabhilash")</f>
        <v>@bjpabhilash</v>
      </c>
      <c r="C2415" s="21" t="s">
        <v>5852</v>
      </c>
      <c r="D2415" s="21" t="s">
        <v>42</v>
      </c>
      <c r="E2415" s="22" t="str">
        <f>HYPERLINK("https://twitter.com/bjpabhilash/status/922417673463414785","922417673463414785")</f>
        <v>922417673463414785</v>
      </c>
      <c r="F2415" s="23" t="s">
        <v>39</v>
      </c>
      <c r="G2415" s="24">
        <v>163.0</v>
      </c>
      <c r="H2415" s="24">
        <v>191.0</v>
      </c>
      <c r="I2415" s="24">
        <v>8501.0</v>
      </c>
      <c r="J2415" s="24">
        <v>0.0</v>
      </c>
      <c r="K2415" s="23" t="s">
        <v>34</v>
      </c>
      <c r="L2415" s="25">
        <v>42252.08524305555</v>
      </c>
      <c r="M2415" s="26" t="s">
        <v>5853</v>
      </c>
      <c r="N2415" s="26" t="s">
        <v>5854</v>
      </c>
      <c r="O2415" s="22" t="str">
        <f>HYPERLINK("https://pbs.twimg.com/profile_images/854546777390952449/8Gj-O8EA_normal.jpg","View")</f>
        <v>View</v>
      </c>
      <c r="P2415" s="27"/>
    </row>
    <row r="2416">
      <c r="A2416" s="14">
        <v>43031.16767361111</v>
      </c>
      <c r="B2416" s="20" t="str">
        <f>HYPERLINK("https://twitter.com/tabstar17","@tabstar17")</f>
        <v>@tabstar17</v>
      </c>
      <c r="C2416" s="21" t="s">
        <v>5855</v>
      </c>
      <c r="D2416" s="21" t="s">
        <v>5856</v>
      </c>
      <c r="E2416" s="22" t="str">
        <f>HYPERLINK("https://twitter.com/tabstar17/status/922417681361506304","922417681361506304")</f>
        <v>922417681361506304</v>
      </c>
      <c r="F2416" s="23" t="s">
        <v>48</v>
      </c>
      <c r="G2416" s="24">
        <v>511.0</v>
      </c>
      <c r="H2416" s="24">
        <v>1477.0</v>
      </c>
      <c r="I2416" s="24">
        <v>0.0</v>
      </c>
      <c r="J2416" s="24">
        <v>0.0</v>
      </c>
      <c r="K2416" s="23" t="s">
        <v>34</v>
      </c>
      <c r="L2416" s="25">
        <v>39881.66222222222</v>
      </c>
      <c r="M2416" s="28"/>
      <c r="N2416" s="26" t="s">
        <v>5857</v>
      </c>
      <c r="O2416" s="22" t="str">
        <f>HYPERLINK("https://pbs.twimg.com/profile_images/1177135327/GetAttachment.aspx_normal.jpeg","View")</f>
        <v>View</v>
      </c>
      <c r="P2416" s="27"/>
    </row>
    <row r="2417">
      <c r="A2417" s="14">
        <v>43031.167719907404</v>
      </c>
      <c r="B2417" s="20" t="str">
        <f>HYPERLINK("https://twitter.com/vivektomar59","@vivektomar59")</f>
        <v>@vivektomar59</v>
      </c>
      <c r="C2417" s="21" t="s">
        <v>5858</v>
      </c>
      <c r="D2417" s="21" t="s">
        <v>42</v>
      </c>
      <c r="E2417" s="22" t="str">
        <f>HYPERLINK("https://twitter.com/vivektomar59/status/922417698671181824","922417698671181824")</f>
        <v>922417698671181824</v>
      </c>
      <c r="F2417" s="23" t="s">
        <v>33</v>
      </c>
      <c r="G2417" s="24">
        <v>27.0</v>
      </c>
      <c r="H2417" s="24">
        <v>175.0</v>
      </c>
      <c r="I2417" s="24">
        <v>8501.0</v>
      </c>
      <c r="J2417" s="24">
        <v>0.0</v>
      </c>
      <c r="K2417" s="23" t="s">
        <v>34</v>
      </c>
      <c r="L2417" s="25">
        <v>41963.976064814815</v>
      </c>
      <c r="M2417" s="26" t="s">
        <v>5859</v>
      </c>
      <c r="N2417" s="26">
        <v>9.599572138E9</v>
      </c>
      <c r="O2417" s="22" t="str">
        <f>HYPERLINK("https://pbs.twimg.com/profile_images/555691432011264000/cWOvQm5x_normal.jpeg","View")</f>
        <v>View</v>
      </c>
      <c r="P2417" s="27"/>
    </row>
    <row r="2418">
      <c r="A2418" s="14">
        <v>43031.16777777778</v>
      </c>
      <c r="B2418" s="20" t="str">
        <f>HYPERLINK("https://twitter.com/deymanik17","@deymanik17")</f>
        <v>@deymanik17</v>
      </c>
      <c r="C2418" s="21" t="s">
        <v>5860</v>
      </c>
      <c r="D2418" s="21" t="s">
        <v>42</v>
      </c>
      <c r="E2418" s="22" t="str">
        <f>HYPERLINK("https://twitter.com/deymanik17/status/922417717105197056","922417717105197056")</f>
        <v>922417717105197056</v>
      </c>
      <c r="F2418" s="23" t="s">
        <v>33</v>
      </c>
      <c r="G2418" s="24">
        <v>128.0</v>
      </c>
      <c r="H2418" s="24">
        <v>625.0</v>
      </c>
      <c r="I2418" s="24">
        <v>8501.0</v>
      </c>
      <c r="J2418" s="24">
        <v>0.0</v>
      </c>
      <c r="K2418" s="23" t="s">
        <v>34</v>
      </c>
      <c r="L2418" s="25">
        <v>42197.08126157407</v>
      </c>
      <c r="M2418" s="28"/>
      <c r="N2418" s="26" t="s">
        <v>5861</v>
      </c>
      <c r="O2418" s="22" t="str">
        <f>HYPERLINK("https://pbs.twimg.com/profile_images/778166203638480897/4d29cuMY_normal.jpg","View")</f>
        <v>View</v>
      </c>
      <c r="P2418" s="27"/>
    </row>
    <row r="2419">
      <c r="A2419" s="14">
        <v>43031.16778935185</v>
      </c>
      <c r="B2419" s="20" t="str">
        <f>HYPERLINK("https://twitter.com/tranhieuz24281","@tranhieuz24281")</f>
        <v>@tranhieuz24281</v>
      </c>
      <c r="C2419" s="21" t="s">
        <v>5862</v>
      </c>
      <c r="D2419" s="21" t="s">
        <v>5863</v>
      </c>
      <c r="E2419" s="22" t="str">
        <f>HYPERLINK("https://twitter.com/tranhieuz24281/status/922417722734071808","922417722734071808")</f>
        <v>922417722734071808</v>
      </c>
      <c r="F2419" s="23" t="s">
        <v>91</v>
      </c>
      <c r="G2419" s="24">
        <v>538.0</v>
      </c>
      <c r="H2419" s="24">
        <v>4786.0</v>
      </c>
      <c r="I2419" s="24">
        <v>0.0</v>
      </c>
      <c r="J2419" s="24">
        <v>1.0</v>
      </c>
      <c r="K2419" s="23" t="s">
        <v>34</v>
      </c>
      <c r="L2419" s="25">
        <v>42603.32585648148</v>
      </c>
      <c r="M2419" s="28"/>
      <c r="N2419" s="28"/>
      <c r="O2419" s="22" t="str">
        <f>HYPERLINK("https://pbs.twimg.com/profile_images/782528412304838657/kuTJTdA1_normal.jpg","View")</f>
        <v>View</v>
      </c>
      <c r="P2419" s="27"/>
    </row>
    <row r="2420">
      <c r="A2420" s="14">
        <v>43031.16784722223</v>
      </c>
      <c r="B2420" s="20" t="str">
        <f>HYPERLINK("https://twitter.com/AynurIsil","@AynurIsil")</f>
        <v>@AynurIsil</v>
      </c>
      <c r="C2420" s="21" t="s">
        <v>4090</v>
      </c>
      <c r="D2420" s="21" t="s">
        <v>5786</v>
      </c>
      <c r="E2420" s="22" t="str">
        <f>HYPERLINK("https://twitter.com/AynurIsil/status/922417744041201669","922417744041201669")</f>
        <v>922417744041201669</v>
      </c>
      <c r="F2420" s="23" t="s">
        <v>55</v>
      </c>
      <c r="G2420" s="24">
        <v>894.0</v>
      </c>
      <c r="H2420" s="24">
        <v>1600.0</v>
      </c>
      <c r="I2420" s="24">
        <v>59.0</v>
      </c>
      <c r="J2420" s="24">
        <v>0.0</v>
      </c>
      <c r="K2420" s="23" t="s">
        <v>34</v>
      </c>
      <c r="L2420" s="25">
        <v>41817.12467592592</v>
      </c>
      <c r="M2420" s="28"/>
      <c r="N2420" s="26" t="s">
        <v>4092</v>
      </c>
      <c r="O2420" s="22" t="str">
        <f>HYPERLINK("https://pbs.twimg.com/profile_images/922399978764619776/j-R8mpMu_normal.jpg","View")</f>
        <v>View</v>
      </c>
      <c r="P2420" s="27"/>
    </row>
    <row r="2421">
      <c r="A2421" s="14">
        <v>43031.167870370366</v>
      </c>
      <c r="B2421" s="20" t="str">
        <f>HYPERLINK("https://twitter.com/Ron_Bourne","@Ron_Bourne")</f>
        <v>@Ron_Bourne</v>
      </c>
      <c r="C2421" s="21" t="s">
        <v>821</v>
      </c>
      <c r="D2421" s="21" t="s">
        <v>5864</v>
      </c>
      <c r="E2421" s="22" t="str">
        <f>HYPERLINK("https://twitter.com/Ron_Bourne/status/922417750437498881","922417750437498881")</f>
        <v>922417750437498881</v>
      </c>
      <c r="F2421" s="23" t="s">
        <v>187</v>
      </c>
      <c r="G2421" s="24">
        <v>352.0</v>
      </c>
      <c r="H2421" s="24">
        <v>240.0</v>
      </c>
      <c r="I2421" s="24">
        <v>0.0</v>
      </c>
      <c r="J2421" s="24">
        <v>0.0</v>
      </c>
      <c r="K2421" s="23" t="s">
        <v>34</v>
      </c>
      <c r="L2421" s="25">
        <v>39367.5259375</v>
      </c>
      <c r="M2421" s="26" t="s">
        <v>590</v>
      </c>
      <c r="N2421" s="26" t="s">
        <v>823</v>
      </c>
      <c r="O2421" s="22" t="str">
        <f>HYPERLINK("https://pbs.twimg.com/profile_images/922533323825664000/DLCEnlTy_normal.jpg","View")</f>
        <v>View</v>
      </c>
      <c r="P2421" s="27"/>
    </row>
    <row r="2422">
      <c r="A2422" s="14">
        <v>43031.16790509259</v>
      </c>
      <c r="B2422" s="20" t="str">
        <f>HYPERLINK("https://twitter.com/ohiomary","@ohiomary")</f>
        <v>@ohiomary</v>
      </c>
      <c r="C2422" s="21" t="s">
        <v>1522</v>
      </c>
      <c r="D2422" s="21" t="s">
        <v>5786</v>
      </c>
      <c r="E2422" s="22" t="str">
        <f>HYPERLINK("https://twitter.com/ohiomary/status/922417762915495936","922417762915495936")</f>
        <v>922417762915495936</v>
      </c>
      <c r="F2422" s="23" t="s">
        <v>769</v>
      </c>
      <c r="G2422" s="24">
        <v>1405.0</v>
      </c>
      <c r="H2422" s="24">
        <v>574.0</v>
      </c>
      <c r="I2422" s="24">
        <v>59.0</v>
      </c>
      <c r="J2422" s="24">
        <v>0.0</v>
      </c>
      <c r="K2422" s="23" t="s">
        <v>34</v>
      </c>
      <c r="L2422" s="25">
        <v>39262.380023148144</v>
      </c>
      <c r="M2422" s="26" t="s">
        <v>1523</v>
      </c>
      <c r="N2422" s="26" t="s">
        <v>1524</v>
      </c>
      <c r="O2422" s="22" t="str">
        <f>HYPERLINK("https://pbs.twimg.com/profile_images/459496233149542400/9r1j10CL_normal.jpeg","View")</f>
        <v>View</v>
      </c>
      <c r="P2422" s="27"/>
    </row>
    <row r="2423">
      <c r="A2423" s="14">
        <v>43031.16790509259</v>
      </c>
      <c r="B2423" s="20" t="str">
        <f>HYPERLINK("https://twitter.com/RepublicaNepal","@RepublicaNepal")</f>
        <v>@RepublicaNepal</v>
      </c>
      <c r="C2423" s="21" t="s">
        <v>5865</v>
      </c>
      <c r="D2423" s="21" t="s">
        <v>5866</v>
      </c>
      <c r="E2423" s="22" t="str">
        <f>HYPERLINK("https://twitter.com/RepublicaNepal/status/922417763552935936","922417763552935936")</f>
        <v>922417763552935936</v>
      </c>
      <c r="F2423" s="23" t="s">
        <v>55</v>
      </c>
      <c r="G2423" s="24">
        <v>231284.0</v>
      </c>
      <c r="H2423" s="24">
        <v>48.0</v>
      </c>
      <c r="I2423" s="24">
        <v>1.0</v>
      </c>
      <c r="J2423" s="24">
        <v>2.0</v>
      </c>
      <c r="K2423" s="23" t="s">
        <v>34</v>
      </c>
      <c r="L2423" s="25">
        <v>40769.18958333333</v>
      </c>
      <c r="M2423" s="26" t="s">
        <v>5867</v>
      </c>
      <c r="N2423" s="26" t="s">
        <v>5868</v>
      </c>
      <c r="O2423" s="22" t="str">
        <f>HYPERLINK("https://pbs.twimg.com/profile_images/481276631290368000/7ZmMumpd_normal.png","View")</f>
        <v>View</v>
      </c>
      <c r="P2423" s="27"/>
    </row>
    <row r="2424">
      <c r="A2424" s="14">
        <v>43031.168020833335</v>
      </c>
      <c r="B2424" s="20" t="str">
        <f>HYPERLINK("https://twitter.com/culture_japan","@culture_japan")</f>
        <v>@culture_japan</v>
      </c>
      <c r="C2424" s="21" t="s">
        <v>3690</v>
      </c>
      <c r="D2424" s="21" t="s">
        <v>5869</v>
      </c>
      <c r="E2424" s="22" t="str">
        <f>HYPERLINK("https://twitter.com/culture_japan/status/922417805361844225","922417805361844225")</f>
        <v>922417805361844225</v>
      </c>
      <c r="F2424" s="23" t="s">
        <v>3692</v>
      </c>
      <c r="G2424" s="24">
        <v>203.0</v>
      </c>
      <c r="H2424" s="24">
        <v>369.0</v>
      </c>
      <c r="I2424" s="24">
        <v>0.0</v>
      </c>
      <c r="J2424" s="24">
        <v>0.0</v>
      </c>
      <c r="K2424" s="23" t="s">
        <v>34</v>
      </c>
      <c r="L2424" s="25">
        <v>42985.21491898148</v>
      </c>
      <c r="M2424" s="26" t="s">
        <v>3693</v>
      </c>
      <c r="N2424" s="26" t="s">
        <v>3694</v>
      </c>
      <c r="O2424" s="22" t="str">
        <f>HYPERLINK("https://pbs.twimg.com/profile_images/905765841622495233/8kPmmi5H_normal.jpg","View")</f>
        <v>View</v>
      </c>
      <c r="P2424" s="27"/>
    </row>
    <row r="2425">
      <c r="A2425" s="14">
        <v>43031.16804398148</v>
      </c>
      <c r="B2425" s="20" t="str">
        <f>HYPERLINK("https://twitter.com/riteshofsiwan","@riteshofsiwan")</f>
        <v>@riteshofsiwan</v>
      </c>
      <c r="C2425" s="21" t="s">
        <v>5870</v>
      </c>
      <c r="D2425" s="21" t="s">
        <v>42</v>
      </c>
      <c r="E2425" s="22" t="str">
        <f>HYPERLINK("https://twitter.com/riteshofsiwan/status/922417817118527489","922417817118527489")</f>
        <v>922417817118527489</v>
      </c>
      <c r="F2425" s="23" t="s">
        <v>33</v>
      </c>
      <c r="G2425" s="24">
        <v>257.0</v>
      </c>
      <c r="H2425" s="24">
        <v>201.0</v>
      </c>
      <c r="I2425" s="24">
        <v>8501.0</v>
      </c>
      <c r="J2425" s="24">
        <v>0.0</v>
      </c>
      <c r="K2425" s="23" t="s">
        <v>34</v>
      </c>
      <c r="L2425" s="25">
        <v>40942.36585648148</v>
      </c>
      <c r="M2425" s="26" t="s">
        <v>246</v>
      </c>
      <c r="N2425" s="26" t="s">
        <v>5871</v>
      </c>
      <c r="O2425" s="22" t="str">
        <f>HYPERLINK("https://pbs.twimg.com/profile_images/918881285585514496/q6JGXLTs_normal.jpg","View")</f>
        <v>View</v>
      </c>
      <c r="P2425" s="27"/>
    </row>
    <row r="2426">
      <c r="A2426" s="14">
        <v>43031.168078703704</v>
      </c>
      <c r="B2426" s="20" t="str">
        <f>HYPERLINK("https://twitter.com/iakovleva3","@iakovleva3")</f>
        <v>@iakovleva3</v>
      </c>
      <c r="C2426" s="21" t="s">
        <v>5777</v>
      </c>
      <c r="D2426" s="21" t="s">
        <v>5451</v>
      </c>
      <c r="E2426" s="22" t="str">
        <f>HYPERLINK("https://twitter.com/iakovleva3/status/922417829369987074","922417829369987074")</f>
        <v>922417829369987074</v>
      </c>
      <c r="F2426" s="23" t="s">
        <v>55</v>
      </c>
      <c r="G2426" s="24">
        <v>4.0</v>
      </c>
      <c r="H2426" s="24">
        <v>1.0</v>
      </c>
      <c r="I2426" s="24">
        <v>62.0</v>
      </c>
      <c r="J2426" s="24">
        <v>0.0</v>
      </c>
      <c r="K2426" s="23" t="s">
        <v>34</v>
      </c>
      <c r="L2426" s="25">
        <v>43015.641331018516</v>
      </c>
      <c r="M2426" s="28"/>
      <c r="N2426" s="28"/>
      <c r="O2426" s="22" t="str">
        <f>HYPERLINK("https://pbs.twimg.com/profile_images/918899008059273216/zYzJlvfS_normal.jpg","View")</f>
        <v>View</v>
      </c>
      <c r="P2426" s="27"/>
    </row>
    <row r="2427">
      <c r="A2427" s="14">
        <v>43031.16809027777</v>
      </c>
      <c r="B2427" s="20" t="str">
        <f>HYPERLINK("https://twitter.com/culture_japan","@culture_japan")</f>
        <v>@culture_japan</v>
      </c>
      <c r="C2427" s="21" t="s">
        <v>3690</v>
      </c>
      <c r="D2427" s="21" t="s">
        <v>5872</v>
      </c>
      <c r="E2427" s="22" t="str">
        <f>HYPERLINK("https://twitter.com/culture_japan/status/922417832679346176","922417832679346176")</f>
        <v>922417832679346176</v>
      </c>
      <c r="F2427" s="23" t="s">
        <v>3692</v>
      </c>
      <c r="G2427" s="24">
        <v>203.0</v>
      </c>
      <c r="H2427" s="24">
        <v>369.0</v>
      </c>
      <c r="I2427" s="24">
        <v>0.0</v>
      </c>
      <c r="J2427" s="24">
        <v>1.0</v>
      </c>
      <c r="K2427" s="23" t="s">
        <v>34</v>
      </c>
      <c r="L2427" s="25">
        <v>42985.21491898148</v>
      </c>
      <c r="M2427" s="26" t="s">
        <v>3693</v>
      </c>
      <c r="N2427" s="26" t="s">
        <v>3694</v>
      </c>
      <c r="O2427" s="22" t="str">
        <f>HYPERLINK("https://pbs.twimg.com/profile_images/905765841622495233/8kPmmi5H_normal.jpg","View")</f>
        <v>View</v>
      </c>
      <c r="P2427" s="27"/>
    </row>
    <row r="2428">
      <c r="A2428" s="14">
        <v>43031.16811342593</v>
      </c>
      <c r="B2428" s="20" t="str">
        <f>HYPERLINK("https://twitter.com/JoKhvmucPBLEOv3","@JoKhvmucPBLEOv3")</f>
        <v>@JoKhvmucPBLEOv3</v>
      </c>
      <c r="C2428" s="21" t="s">
        <v>5873</v>
      </c>
      <c r="D2428" s="21" t="s">
        <v>5786</v>
      </c>
      <c r="E2428" s="22" t="str">
        <f>HYPERLINK("https://twitter.com/JoKhvmucPBLEOv3/status/922417839432019970","922417839432019970")</f>
        <v>922417839432019970</v>
      </c>
      <c r="F2428" s="23" t="s">
        <v>33</v>
      </c>
      <c r="G2428" s="24">
        <v>42.0</v>
      </c>
      <c r="H2428" s="24">
        <v>442.0</v>
      </c>
      <c r="I2428" s="24">
        <v>59.0</v>
      </c>
      <c r="J2428" s="24">
        <v>0.0</v>
      </c>
      <c r="K2428" s="23" t="s">
        <v>34</v>
      </c>
      <c r="L2428" s="25">
        <v>42947.09814814814</v>
      </c>
      <c r="M2428" s="28"/>
      <c r="N2428" s="26" t="s">
        <v>5874</v>
      </c>
      <c r="O2428" s="22" t="str">
        <f>HYPERLINK("https://pbs.twimg.com/profile_images/915826190685954049/2jsP8XVF_normal.jpg","View")</f>
        <v>View</v>
      </c>
      <c r="P2428" s="27"/>
    </row>
    <row r="2429">
      <c r="A2429" s="14">
        <v>43031.168125</v>
      </c>
      <c r="B2429" s="20" t="str">
        <f>HYPERLINK("https://twitter.com/CNBCTradersFan","@CNBCTradersFan")</f>
        <v>@CNBCTradersFan</v>
      </c>
      <c r="C2429" s="21" t="s">
        <v>1945</v>
      </c>
      <c r="D2429" s="21" t="s">
        <v>5875</v>
      </c>
      <c r="E2429" s="22" t="str">
        <f>HYPERLINK("https://twitter.com/CNBCTradersFan/status/922417846130536448","922417846130536448")</f>
        <v>922417846130536448</v>
      </c>
      <c r="F2429" s="23" t="s">
        <v>187</v>
      </c>
      <c r="G2429" s="24">
        <v>17128.0</v>
      </c>
      <c r="H2429" s="24">
        <v>11615.0</v>
      </c>
      <c r="I2429" s="24">
        <v>0.0</v>
      </c>
      <c r="J2429" s="24">
        <v>0.0</v>
      </c>
      <c r="K2429" s="23" t="s">
        <v>34</v>
      </c>
      <c r="L2429" s="25">
        <v>40922.50542824074</v>
      </c>
      <c r="M2429" s="26" t="s">
        <v>1947</v>
      </c>
      <c r="N2429" s="26" t="s">
        <v>1948</v>
      </c>
      <c r="O2429" s="22" t="str">
        <f>HYPERLINK("https://pbs.twimg.com/profile_images/731870469318684672/Ckf7rDdJ_normal.jpg","View")</f>
        <v>View</v>
      </c>
      <c r="P2429" s="27"/>
    </row>
    <row r="2430">
      <c r="A2430" s="14">
        <v>43031.168171296296</v>
      </c>
      <c r="B2430" s="20" t="str">
        <f>HYPERLINK("https://twitter.com/ReutersWorld","@ReutersWorld")</f>
        <v>@ReutersWorld</v>
      </c>
      <c r="C2430" s="21" t="s">
        <v>1303</v>
      </c>
      <c r="D2430" s="21" t="s">
        <v>5876</v>
      </c>
      <c r="E2430" s="22" t="str">
        <f>HYPERLINK("https://twitter.com/ReutersWorld/status/922417860344983552","922417860344983552")</f>
        <v>922417860344983552</v>
      </c>
      <c r="F2430" s="23" t="s">
        <v>1103</v>
      </c>
      <c r="G2430" s="24">
        <v>228027.0</v>
      </c>
      <c r="H2430" s="24">
        <v>170.0</v>
      </c>
      <c r="I2430" s="24">
        <v>0.0</v>
      </c>
      <c r="J2430" s="24">
        <v>2.0</v>
      </c>
      <c r="K2430" s="23" t="s">
        <v>34</v>
      </c>
      <c r="L2430" s="25">
        <v>40738.472650462965</v>
      </c>
      <c r="M2430" s="26" t="s">
        <v>974</v>
      </c>
      <c r="N2430" s="26" t="s">
        <v>1305</v>
      </c>
      <c r="O2430" s="22" t="str">
        <f>HYPERLINK("https://pbs.twimg.com/profile_images/877266356730712064/FmOQMMyG_normal.jpg","View")</f>
        <v>View</v>
      </c>
      <c r="P2430" s="27"/>
    </row>
    <row r="2431">
      <c r="A2431" s="14">
        <v>43031.16819444444</v>
      </c>
      <c r="B2431" s="20" t="str">
        <f>HYPERLINK("https://twitter.com/peterscottmutua","@peterscottmutua")</f>
        <v>@peterscottmutua</v>
      </c>
      <c r="C2431" s="21" t="s">
        <v>5877</v>
      </c>
      <c r="D2431" s="21" t="s">
        <v>32</v>
      </c>
      <c r="E2431" s="22" t="str">
        <f>HYPERLINK("https://twitter.com/peterscottmutua/status/922417869304029184","922417869304029184")</f>
        <v>922417869304029184</v>
      </c>
      <c r="F2431" s="23" t="s">
        <v>33</v>
      </c>
      <c r="G2431" s="24">
        <v>369.0</v>
      </c>
      <c r="H2431" s="24">
        <v>369.0</v>
      </c>
      <c r="I2431" s="24">
        <v>471.0</v>
      </c>
      <c r="J2431" s="24">
        <v>0.0</v>
      </c>
      <c r="K2431" s="23" t="s">
        <v>34</v>
      </c>
      <c r="L2431" s="25">
        <v>41094.251597222225</v>
      </c>
      <c r="M2431" s="26" t="s">
        <v>79</v>
      </c>
      <c r="N2431" s="26" t="s">
        <v>5878</v>
      </c>
      <c r="O2431" s="22" t="str">
        <f>HYPERLINK("https://pbs.twimg.com/profile_images/767405703694782464/0yOTa2Xv_normal.jpg","View")</f>
        <v>View</v>
      </c>
      <c r="P2431" s="27"/>
    </row>
    <row r="2432">
      <c r="A2432" s="14">
        <v>43031.168217592596</v>
      </c>
      <c r="B2432" s="20" t="str">
        <f>HYPERLINK("https://twitter.com/mitchk80739171","@mitchk80739171")</f>
        <v>@mitchk80739171</v>
      </c>
      <c r="C2432" s="21" t="s">
        <v>5879</v>
      </c>
      <c r="D2432" s="21" t="s">
        <v>42</v>
      </c>
      <c r="E2432" s="22" t="str">
        <f>HYPERLINK("https://twitter.com/mitchk80739171/status/922417876249612288","922417876249612288")</f>
        <v>922417876249612288</v>
      </c>
      <c r="F2432" s="23" t="s">
        <v>230</v>
      </c>
      <c r="G2432" s="24">
        <v>281.0</v>
      </c>
      <c r="H2432" s="24">
        <v>403.0</v>
      </c>
      <c r="I2432" s="24">
        <v>8501.0</v>
      </c>
      <c r="J2432" s="24">
        <v>0.0</v>
      </c>
      <c r="K2432" s="23" t="s">
        <v>34</v>
      </c>
      <c r="L2432" s="25">
        <v>42935.64638888889</v>
      </c>
      <c r="M2432" s="26" t="s">
        <v>5880</v>
      </c>
      <c r="N2432" s="26" t="s">
        <v>5881</v>
      </c>
      <c r="O2432" s="22" t="str">
        <f>HYPERLINK("https://pbs.twimg.com/profile_images/915157034948976641/LGXU6im6_normal.jpg","View")</f>
        <v>View</v>
      </c>
      <c r="P2432" s="27"/>
    </row>
    <row r="2433">
      <c r="A2433" s="14">
        <v>43031.16825231482</v>
      </c>
      <c r="B2433" s="20" t="str">
        <f>HYPERLINK("https://twitter.com/yuuji_K1","@yuuji_K1")</f>
        <v>@yuuji_K1</v>
      </c>
      <c r="C2433" s="21" t="s">
        <v>5882</v>
      </c>
      <c r="D2433" s="21" t="s">
        <v>5309</v>
      </c>
      <c r="E2433" s="22" t="str">
        <f>HYPERLINK("https://twitter.com/yuuji_K1/status/922417890891939840","922417890891939840")</f>
        <v>922417890891939840</v>
      </c>
      <c r="F2433" s="23" t="s">
        <v>39</v>
      </c>
      <c r="G2433" s="24">
        <v>2341.0</v>
      </c>
      <c r="H2433" s="24">
        <v>2256.0</v>
      </c>
      <c r="I2433" s="24">
        <v>22.0</v>
      </c>
      <c r="J2433" s="24">
        <v>0.0</v>
      </c>
      <c r="K2433" s="23" t="s">
        <v>34</v>
      </c>
      <c r="L2433" s="25">
        <v>41720.116006944445</v>
      </c>
      <c r="M2433" s="28"/>
      <c r="N2433" s="26" t="s">
        <v>5883</v>
      </c>
      <c r="O2433" s="22" t="str">
        <f>HYPERLINK("https://pbs.twimg.com/profile_images/447319649642770432/l3MsVwx__normal.jpeg","View")</f>
        <v>View</v>
      </c>
      <c r="P2433" s="27"/>
    </row>
    <row r="2434">
      <c r="A2434" s="14">
        <v>43031.16827546296</v>
      </c>
      <c r="B2434" s="20" t="str">
        <f>HYPERLINK("https://twitter.com/amrishguru","@amrishguru")</f>
        <v>@amrishguru</v>
      </c>
      <c r="C2434" s="21" t="s">
        <v>5884</v>
      </c>
      <c r="D2434" s="21" t="s">
        <v>42</v>
      </c>
      <c r="E2434" s="22" t="str">
        <f>HYPERLINK("https://twitter.com/amrishguru/status/922417898269880322","922417898269880322")</f>
        <v>922417898269880322</v>
      </c>
      <c r="F2434" s="23" t="s">
        <v>43</v>
      </c>
      <c r="G2434" s="24">
        <v>70.0</v>
      </c>
      <c r="H2434" s="24">
        <v>278.0</v>
      </c>
      <c r="I2434" s="24">
        <v>8501.0</v>
      </c>
      <c r="J2434" s="24">
        <v>0.0</v>
      </c>
      <c r="K2434" s="23" t="s">
        <v>34</v>
      </c>
      <c r="L2434" s="25">
        <v>40048.766701388886</v>
      </c>
      <c r="M2434" s="26" t="s">
        <v>5885</v>
      </c>
      <c r="N2434" s="26" t="s">
        <v>5886</v>
      </c>
      <c r="O2434" s="22" t="str">
        <f>HYPERLINK("https://pbs.twimg.com/profile_images/871713232892907522/Ww6dH6ZX_normal.jpg","View")</f>
        <v>View</v>
      </c>
      <c r="P2434" s="27"/>
    </row>
    <row r="2435">
      <c r="A2435" s="14">
        <v>43031.16828703704</v>
      </c>
      <c r="B2435" s="20" t="str">
        <f>HYPERLINK("https://twitter.com/pk498466","@pk498466")</f>
        <v>@pk498466</v>
      </c>
      <c r="C2435" s="21" t="s">
        <v>5887</v>
      </c>
      <c r="D2435" s="21" t="s">
        <v>42</v>
      </c>
      <c r="E2435" s="22" t="str">
        <f>HYPERLINK("https://twitter.com/pk498466/status/922417901637812224","922417901637812224")</f>
        <v>922417901637812224</v>
      </c>
      <c r="F2435" s="23" t="s">
        <v>33</v>
      </c>
      <c r="G2435" s="24">
        <v>587.0</v>
      </c>
      <c r="H2435" s="24">
        <v>116.0</v>
      </c>
      <c r="I2435" s="24">
        <v>8501.0</v>
      </c>
      <c r="J2435" s="24">
        <v>0.0</v>
      </c>
      <c r="K2435" s="23" t="s">
        <v>34</v>
      </c>
      <c r="L2435" s="25">
        <v>42751.31957175926</v>
      </c>
      <c r="M2435" s="26" t="s">
        <v>204</v>
      </c>
      <c r="N2435" s="26" t="s">
        <v>5888</v>
      </c>
      <c r="O2435" s="22" t="str">
        <f>HYPERLINK("https://pbs.twimg.com/profile_images/916859677282930689/u_2GWI67_normal.jpg","View")</f>
        <v>View</v>
      </c>
      <c r="P2435" s="27"/>
    </row>
    <row r="2436">
      <c r="A2436" s="14">
        <v>43031.16831018518</v>
      </c>
      <c r="B2436" s="20" t="str">
        <f>HYPERLINK("https://twitter.com/BotSaigai","@BotSaigai")</f>
        <v>@BotSaigai</v>
      </c>
      <c r="C2436" s="21" t="s">
        <v>5889</v>
      </c>
      <c r="D2436" s="21" t="s">
        <v>5890</v>
      </c>
      <c r="E2436" s="22" t="str">
        <f>HYPERLINK("https://twitter.com/BotSaigai/status/922417912140455937","922417912140455937")</f>
        <v>922417912140455937</v>
      </c>
      <c r="F2436" s="23" t="s">
        <v>187</v>
      </c>
      <c r="G2436" s="24">
        <v>65.0</v>
      </c>
      <c r="H2436" s="24">
        <v>34.0</v>
      </c>
      <c r="I2436" s="24">
        <v>0.0</v>
      </c>
      <c r="J2436" s="24">
        <v>0.0</v>
      </c>
      <c r="K2436" s="23" t="s">
        <v>34</v>
      </c>
      <c r="L2436" s="25">
        <v>41607.83005787037</v>
      </c>
      <c r="M2436" s="26" t="s">
        <v>5891</v>
      </c>
      <c r="N2436" s="26" t="s">
        <v>5892</v>
      </c>
      <c r="O2436" s="22" t="str">
        <f>HYPERLINK("https://pbs.twimg.com/profile_images/915317589747703808/oJeD7pWD_normal.jpg","View")</f>
        <v>View</v>
      </c>
      <c r="P2436" s="27"/>
    </row>
    <row r="2437">
      <c r="A2437" s="14">
        <v>43031.16831018518</v>
      </c>
      <c r="B2437" s="20" t="str">
        <f>HYPERLINK("https://twitter.com/BrettRichards67","@BrettRichards67")</f>
        <v>@BrettRichards67</v>
      </c>
      <c r="C2437" s="21" t="s">
        <v>5893</v>
      </c>
      <c r="D2437" s="21" t="s">
        <v>5786</v>
      </c>
      <c r="E2437" s="22" t="str">
        <f>HYPERLINK("https://twitter.com/BrettRichards67/status/922417913004470273","922417913004470273")</f>
        <v>922417913004470273</v>
      </c>
      <c r="F2437" s="23" t="s">
        <v>33</v>
      </c>
      <c r="G2437" s="24">
        <v>1309.0</v>
      </c>
      <c r="H2437" s="24">
        <v>2345.0</v>
      </c>
      <c r="I2437" s="24">
        <v>59.0</v>
      </c>
      <c r="J2437" s="24">
        <v>0.0</v>
      </c>
      <c r="K2437" s="23" t="s">
        <v>34</v>
      </c>
      <c r="L2437" s="25">
        <v>42830.397638888884</v>
      </c>
      <c r="M2437" s="28"/>
      <c r="N2437" s="28"/>
      <c r="O2437" s="22" t="str">
        <f>HYPERLINK("https://pbs.twimg.com/profile_images/858427166597492736/Gzjsv0eS_normal.jpg","View")</f>
        <v>View</v>
      </c>
      <c r="P2437" s="27"/>
    </row>
    <row r="2438">
      <c r="A2438" s="14">
        <v>43031.16831018518</v>
      </c>
      <c r="B2438" s="20" t="str">
        <f>HYPERLINK("https://twitter.com/NewsFromJapanEU","@NewsFromJapanEU")</f>
        <v>@NewsFromJapanEU</v>
      </c>
      <c r="C2438" s="21" t="s">
        <v>5894</v>
      </c>
      <c r="D2438" s="21" t="s">
        <v>5786</v>
      </c>
      <c r="E2438" s="22" t="str">
        <f>HYPERLINK("https://twitter.com/NewsFromJapanEU/status/922417913620865025","922417913620865025")</f>
        <v>922417913620865025</v>
      </c>
      <c r="F2438" s="23" t="s">
        <v>33</v>
      </c>
      <c r="G2438" s="24">
        <v>5078.0</v>
      </c>
      <c r="H2438" s="24">
        <v>5085.0</v>
      </c>
      <c r="I2438" s="24">
        <v>59.0</v>
      </c>
      <c r="J2438" s="24">
        <v>0.0</v>
      </c>
      <c r="K2438" s="23" t="s">
        <v>34</v>
      </c>
      <c r="L2438" s="25">
        <v>40238.82592592593</v>
      </c>
      <c r="M2438" s="26" t="s">
        <v>3693</v>
      </c>
      <c r="N2438" s="26" t="s">
        <v>5895</v>
      </c>
      <c r="O2438" s="22" t="str">
        <f>HYPERLINK("https://pbs.twimg.com/profile_images/861197640196702209/TFbrjJRj_normal.jpg","View")</f>
        <v>View</v>
      </c>
      <c r="P2438" s="27"/>
    </row>
    <row r="2439">
      <c r="A2439" s="14">
        <v>43031.168344907404</v>
      </c>
      <c r="B2439" s="20" t="str">
        <f>HYPERLINK("https://twitter.com/walkerdl","@walkerdl")</f>
        <v>@walkerdl</v>
      </c>
      <c r="C2439" s="21" t="s">
        <v>5896</v>
      </c>
      <c r="D2439" s="21" t="s">
        <v>5786</v>
      </c>
      <c r="E2439" s="22" t="str">
        <f>HYPERLINK("https://twitter.com/walkerdl/status/922417925969076224","922417925969076224")</f>
        <v>922417925969076224</v>
      </c>
      <c r="F2439" s="23" t="s">
        <v>39</v>
      </c>
      <c r="G2439" s="24">
        <v>2441.0</v>
      </c>
      <c r="H2439" s="24">
        <v>3658.0</v>
      </c>
      <c r="I2439" s="24">
        <v>59.0</v>
      </c>
      <c r="J2439" s="24">
        <v>0.0</v>
      </c>
      <c r="K2439" s="23" t="s">
        <v>34</v>
      </c>
      <c r="L2439" s="25">
        <v>39866.656006944446</v>
      </c>
      <c r="M2439" s="26" t="s">
        <v>5897</v>
      </c>
      <c r="N2439" s="26" t="s">
        <v>5898</v>
      </c>
      <c r="O2439" s="22" t="str">
        <f>HYPERLINK("https://pbs.twimg.com/profile_images/918606804954775552/BCDOblIV_normal.jpg","View")</f>
        <v>View</v>
      </c>
      <c r="P2439" s="27"/>
    </row>
    <row r="2440">
      <c r="A2440" s="14">
        <v>43031.16836805556</v>
      </c>
      <c r="B2440" s="20" t="str">
        <f>HYPERLINK("https://twitter.com/yuuji_K1","@yuuji_K1")</f>
        <v>@yuuji_K1</v>
      </c>
      <c r="C2440" s="21" t="s">
        <v>5882</v>
      </c>
      <c r="D2440" s="21" t="s">
        <v>3867</v>
      </c>
      <c r="E2440" s="22" t="str">
        <f>HYPERLINK("https://twitter.com/yuuji_K1/status/922417932964990976","922417932964990976")</f>
        <v>922417932964990976</v>
      </c>
      <c r="F2440" s="23" t="s">
        <v>39</v>
      </c>
      <c r="G2440" s="24">
        <v>2341.0</v>
      </c>
      <c r="H2440" s="24">
        <v>2256.0</v>
      </c>
      <c r="I2440" s="24">
        <v>23.0</v>
      </c>
      <c r="J2440" s="24">
        <v>0.0</v>
      </c>
      <c r="K2440" s="23" t="s">
        <v>34</v>
      </c>
      <c r="L2440" s="25">
        <v>41720.116006944445</v>
      </c>
      <c r="M2440" s="28"/>
      <c r="N2440" s="26" t="s">
        <v>5883</v>
      </c>
      <c r="O2440" s="22" t="str">
        <f>HYPERLINK("https://pbs.twimg.com/profile_images/447319649642770432/l3MsVwx__normal.jpeg","View")</f>
        <v>View</v>
      </c>
      <c r="P2440" s="27"/>
    </row>
    <row r="2441">
      <c r="A2441" s="14">
        <v>43031.16842592593</v>
      </c>
      <c r="B2441" s="20" t="str">
        <f>HYPERLINK("https://twitter.com/EarlOfCornwall","@EarlOfCornwall")</f>
        <v>@EarlOfCornwall</v>
      </c>
      <c r="C2441" s="21" t="s">
        <v>868</v>
      </c>
      <c r="D2441" s="21" t="s">
        <v>5899</v>
      </c>
      <c r="E2441" s="22" t="str">
        <f>HYPERLINK("https://twitter.com/EarlOfCornwall/status/922417953886343168","922417953886343168")</f>
        <v>922417953886343168</v>
      </c>
      <c r="F2441" s="23" t="s">
        <v>187</v>
      </c>
      <c r="G2441" s="24">
        <v>355.0</v>
      </c>
      <c r="H2441" s="24">
        <v>269.0</v>
      </c>
      <c r="I2441" s="24">
        <v>0.0</v>
      </c>
      <c r="J2441" s="24">
        <v>0.0</v>
      </c>
      <c r="K2441" s="23" t="s">
        <v>34</v>
      </c>
      <c r="L2441" s="25">
        <v>42139.73423611111</v>
      </c>
      <c r="M2441" s="26" t="s">
        <v>870</v>
      </c>
      <c r="N2441" s="26" t="s">
        <v>871</v>
      </c>
      <c r="O2441" s="22" t="str">
        <f>HYPERLINK("https://pbs.twimg.com/profile_images/599373664975343616/f36YKczK_normal.jpg","View")</f>
        <v>View</v>
      </c>
      <c r="P2441" s="27"/>
    </row>
    <row r="2442">
      <c r="A2442" s="14">
        <v>43031.168437500004</v>
      </c>
      <c r="B2442" s="20" t="str">
        <f>HYPERLINK("https://twitter.com/phaxyn","@phaxyn")</f>
        <v>@phaxyn</v>
      </c>
      <c r="C2442" s="21" t="s">
        <v>895</v>
      </c>
      <c r="D2442" s="21" t="s">
        <v>5900</v>
      </c>
      <c r="E2442" s="22" t="str">
        <f>HYPERLINK("https://twitter.com/phaxyn/status/922417958722433024","922417958722433024")</f>
        <v>922417958722433024</v>
      </c>
      <c r="F2442" s="23" t="s">
        <v>187</v>
      </c>
      <c r="G2442" s="24">
        <v>2543.0</v>
      </c>
      <c r="H2442" s="24">
        <v>2019.0</v>
      </c>
      <c r="I2442" s="24">
        <v>0.0</v>
      </c>
      <c r="J2442" s="24">
        <v>0.0</v>
      </c>
      <c r="K2442" s="23" t="s">
        <v>34</v>
      </c>
      <c r="L2442" s="25">
        <v>39990.304861111115</v>
      </c>
      <c r="M2442" s="26" t="s">
        <v>897</v>
      </c>
      <c r="N2442" s="26" t="s">
        <v>898</v>
      </c>
      <c r="O2442" s="22" t="str">
        <f>HYPERLINK("https://pbs.twimg.com/profile_images/823182659983736832/XAaQ7I1U_normal.jpg","View")</f>
        <v>View</v>
      </c>
      <c r="P2442" s="27"/>
    </row>
    <row r="2443">
      <c r="A2443" s="14">
        <v>43031.16844907407</v>
      </c>
      <c r="B2443" s="20" t="str">
        <f>HYPERLINK("https://twitter.com/FFoxylion","@FFoxylion")</f>
        <v>@FFoxylion</v>
      </c>
      <c r="C2443" s="21" t="s">
        <v>5901</v>
      </c>
      <c r="D2443" s="21" t="s">
        <v>5902</v>
      </c>
      <c r="E2443" s="22" t="str">
        <f>HYPERLINK("https://twitter.com/FFoxylion/status/922417962467905536","922417962467905536")</f>
        <v>922417962467905536</v>
      </c>
      <c r="F2443" s="23" t="s">
        <v>5903</v>
      </c>
      <c r="G2443" s="24">
        <v>1171.0</v>
      </c>
      <c r="H2443" s="24">
        <v>1154.0</v>
      </c>
      <c r="I2443" s="24">
        <v>0.0</v>
      </c>
      <c r="J2443" s="24">
        <v>0.0</v>
      </c>
      <c r="K2443" s="23" t="s">
        <v>34</v>
      </c>
      <c r="L2443" s="25">
        <v>41037.418344907404</v>
      </c>
      <c r="M2443" s="28"/>
      <c r="N2443" s="28"/>
      <c r="O2443" s="22" t="str">
        <f>HYPERLINK("https://pbs.twimg.com/profile_images/2231764612/image_normal.jpg","View")</f>
        <v>View</v>
      </c>
      <c r="P2443" s="27"/>
    </row>
    <row r="2444">
      <c r="A2444" s="14">
        <v>43031.16844907407</v>
      </c>
      <c r="B2444" s="20" t="str">
        <f>HYPERLINK("https://twitter.com/rajeshchudasma","@rajeshchudasma")</f>
        <v>@rajeshchudasma</v>
      </c>
      <c r="C2444" s="21" t="s">
        <v>5904</v>
      </c>
      <c r="D2444" s="21" t="s">
        <v>42</v>
      </c>
      <c r="E2444" s="22" t="str">
        <f>HYPERLINK("https://twitter.com/rajeshchudasma/status/922417962996285445","922417962996285445")</f>
        <v>922417962996285445</v>
      </c>
      <c r="F2444" s="23" t="s">
        <v>33</v>
      </c>
      <c r="G2444" s="24">
        <v>10822.0</v>
      </c>
      <c r="H2444" s="24">
        <v>526.0</v>
      </c>
      <c r="I2444" s="24">
        <v>8501.0</v>
      </c>
      <c r="J2444" s="24">
        <v>0.0</v>
      </c>
      <c r="K2444" s="23" t="s">
        <v>34</v>
      </c>
      <c r="L2444" s="25">
        <v>42550.33533564815</v>
      </c>
      <c r="M2444" s="26" t="s">
        <v>5905</v>
      </c>
      <c r="N2444" s="26" t="s">
        <v>5906</v>
      </c>
      <c r="O2444" s="22" t="str">
        <f>HYPERLINK("https://pbs.twimg.com/profile_images/893436839964450816/oz64Rqqz_normal.jpg","View")</f>
        <v>View</v>
      </c>
      <c r="P2444" s="27"/>
    </row>
    <row r="2445">
      <c r="A2445" s="14">
        <v>43031.1684837963</v>
      </c>
      <c r="B2445" s="20" t="str">
        <f>HYPERLINK("https://twitter.com/guy_jin","@guy_jin")</f>
        <v>@guy_jin</v>
      </c>
      <c r="C2445" s="21" t="s">
        <v>5907</v>
      </c>
      <c r="D2445" s="21" t="s">
        <v>5786</v>
      </c>
      <c r="E2445" s="22" t="str">
        <f>HYPERLINK("https://twitter.com/guy_jin/status/922417976359337984","922417976359337984")</f>
        <v>922417976359337984</v>
      </c>
      <c r="F2445" s="23" t="s">
        <v>33</v>
      </c>
      <c r="G2445" s="24">
        <v>514.0</v>
      </c>
      <c r="H2445" s="24">
        <v>2524.0</v>
      </c>
      <c r="I2445" s="24">
        <v>59.0</v>
      </c>
      <c r="J2445" s="24">
        <v>0.0</v>
      </c>
      <c r="K2445" s="23" t="s">
        <v>34</v>
      </c>
      <c r="L2445" s="25">
        <v>40358.395474537036</v>
      </c>
      <c r="M2445" s="26" t="s">
        <v>5908</v>
      </c>
      <c r="N2445" s="26" t="s">
        <v>5909</v>
      </c>
      <c r="O2445" s="22" t="str">
        <f>HYPERLINK("https://pbs.twimg.com/profile_images/378800000219172266/99d008a32d2ae3b5456640b7b9500560_normal.jpeg","View")</f>
        <v>View</v>
      </c>
      <c r="P2445" s="27"/>
    </row>
    <row r="2446">
      <c r="A2446" s="14">
        <v>43031.168495370366</v>
      </c>
      <c r="B2446" s="20" t="str">
        <f>HYPERLINK("https://twitter.com/aqytha_joobjip","@aqytha_joobjip")</f>
        <v>@aqytha_joobjip</v>
      </c>
      <c r="C2446" s="21" t="s">
        <v>1094</v>
      </c>
      <c r="D2446" s="21" t="s">
        <v>5910</v>
      </c>
      <c r="E2446" s="22" t="str">
        <f>HYPERLINK("https://twitter.com/aqytha_joobjip/status/922417979022700546","922417979022700546")</f>
        <v>922417979022700546</v>
      </c>
      <c r="F2446" s="23" t="s">
        <v>187</v>
      </c>
      <c r="G2446" s="24">
        <v>1336.0</v>
      </c>
      <c r="H2446" s="24">
        <v>1329.0</v>
      </c>
      <c r="I2446" s="24">
        <v>0.0</v>
      </c>
      <c r="J2446" s="24">
        <v>0.0</v>
      </c>
      <c r="K2446" s="23" t="s">
        <v>34</v>
      </c>
      <c r="L2446" s="25">
        <v>42816.851064814815</v>
      </c>
      <c r="M2446" s="26" t="s">
        <v>1096</v>
      </c>
      <c r="N2446" s="26" t="s">
        <v>1097</v>
      </c>
      <c r="O2446" s="22" t="str">
        <f>HYPERLINK("https://pbs.twimg.com/profile_images/858603371510542336/I0ZwCR8u_normal.jpg","View")</f>
        <v>View</v>
      </c>
      <c r="P2446" s="27"/>
    </row>
    <row r="2447">
      <c r="A2447" s="14">
        <v>43031.16855324074</v>
      </c>
      <c r="B2447" s="20" t="str">
        <f>HYPERLINK("https://twitter.com/CardoInFiore","@CardoInFiore")</f>
        <v>@CardoInFiore</v>
      </c>
      <c r="C2447" s="21" t="s">
        <v>5911</v>
      </c>
      <c r="D2447" s="21" t="s">
        <v>5786</v>
      </c>
      <c r="E2447" s="22" t="str">
        <f>HYPERLINK("https://twitter.com/CardoInFiore/status/922418001508536320","922418001508536320")</f>
        <v>922418001508536320</v>
      </c>
      <c r="F2447" s="23" t="s">
        <v>33</v>
      </c>
      <c r="G2447" s="24">
        <v>1399.0</v>
      </c>
      <c r="H2447" s="24">
        <v>4238.0</v>
      </c>
      <c r="I2447" s="24">
        <v>59.0</v>
      </c>
      <c r="J2447" s="24">
        <v>0.0</v>
      </c>
      <c r="K2447" s="23" t="s">
        <v>34</v>
      </c>
      <c r="L2447" s="25">
        <v>41156.57743055555</v>
      </c>
      <c r="M2447" s="26" t="s">
        <v>5912</v>
      </c>
      <c r="N2447" s="26" t="s">
        <v>5913</v>
      </c>
      <c r="O2447" s="22" t="str">
        <f>HYPERLINK("https://pbs.twimg.com/profile_images/920586741194592256/s5TntBUb_normal.jpg","View")</f>
        <v>View</v>
      </c>
      <c r="P2447" s="27"/>
    </row>
    <row r="2448">
      <c r="A2448" s="14">
        <v>43031.168587962966</v>
      </c>
      <c r="B2448" s="20" t="str">
        <f>HYPERLINK("https://twitter.com/oldSanghi","@oldSanghi")</f>
        <v>@oldSanghi</v>
      </c>
      <c r="C2448" s="21" t="s">
        <v>5914</v>
      </c>
      <c r="D2448" s="21" t="s">
        <v>42</v>
      </c>
      <c r="E2448" s="22" t="str">
        <f>HYPERLINK("https://twitter.com/oldSanghi/status/922418012862296064","922418012862296064")</f>
        <v>922418012862296064</v>
      </c>
      <c r="F2448" s="23" t="s">
        <v>55</v>
      </c>
      <c r="G2448" s="24">
        <v>44.0</v>
      </c>
      <c r="H2448" s="24">
        <v>211.0</v>
      </c>
      <c r="I2448" s="24">
        <v>8501.0</v>
      </c>
      <c r="J2448" s="24">
        <v>0.0</v>
      </c>
      <c r="K2448" s="23" t="s">
        <v>34</v>
      </c>
      <c r="L2448" s="25">
        <v>41144.39336805556</v>
      </c>
      <c r="M2448" s="26" t="s">
        <v>1991</v>
      </c>
      <c r="N2448" s="26" t="s">
        <v>5915</v>
      </c>
      <c r="O2448" s="22" t="str">
        <f>HYPERLINK("https://pbs.twimg.com/profile_images/497383146510245888/YWMQTyIw_normal.jpeg","View")</f>
        <v>View</v>
      </c>
      <c r="P2448" s="27"/>
    </row>
    <row r="2449">
      <c r="A2449" s="14">
        <v>43031.168599537035</v>
      </c>
      <c r="B2449" s="20" t="str">
        <f>HYPERLINK("https://twitter.com/daigakuimoice","@daigakuimoice")</f>
        <v>@daigakuimoice</v>
      </c>
      <c r="C2449" s="21" t="s">
        <v>5916</v>
      </c>
      <c r="D2449" s="21" t="s">
        <v>5786</v>
      </c>
      <c r="E2449" s="22" t="str">
        <f>HYPERLINK("https://twitter.com/daigakuimoice/status/922418018596003840","922418018596003840")</f>
        <v>922418018596003840</v>
      </c>
      <c r="F2449" s="23" t="s">
        <v>33</v>
      </c>
      <c r="G2449" s="24">
        <v>129.0</v>
      </c>
      <c r="H2449" s="24">
        <v>138.0</v>
      </c>
      <c r="I2449" s="24">
        <v>59.0</v>
      </c>
      <c r="J2449" s="24">
        <v>0.0</v>
      </c>
      <c r="K2449" s="23" t="s">
        <v>34</v>
      </c>
      <c r="L2449" s="25">
        <v>40542.2190625</v>
      </c>
      <c r="M2449" s="28"/>
      <c r="N2449" s="26" t="s">
        <v>5917</v>
      </c>
      <c r="O2449" s="22" t="str">
        <f>HYPERLINK("https://pbs.twimg.com/profile_images/1202946513/P1000097_normal.jpg","View")</f>
        <v>View</v>
      </c>
      <c r="P2449" s="27"/>
    </row>
    <row r="2450">
      <c r="A2450" s="14">
        <v>43031.16863425926</v>
      </c>
      <c r="B2450" s="20" t="str">
        <f>HYPERLINK("https://twitter.com/CNBCTradersFan","@CNBCTradersFan")</f>
        <v>@CNBCTradersFan</v>
      </c>
      <c r="C2450" s="21" t="s">
        <v>1945</v>
      </c>
      <c r="D2450" s="21" t="s">
        <v>5918</v>
      </c>
      <c r="E2450" s="22" t="str">
        <f>HYPERLINK("https://twitter.com/CNBCTradersFan/status/922418027957817344","922418027957817344")</f>
        <v>922418027957817344</v>
      </c>
      <c r="F2450" s="23" t="s">
        <v>187</v>
      </c>
      <c r="G2450" s="24">
        <v>17128.0</v>
      </c>
      <c r="H2450" s="24">
        <v>11615.0</v>
      </c>
      <c r="I2450" s="24">
        <v>0.0</v>
      </c>
      <c r="J2450" s="24">
        <v>0.0</v>
      </c>
      <c r="K2450" s="23" t="s">
        <v>34</v>
      </c>
      <c r="L2450" s="25">
        <v>40922.50542824074</v>
      </c>
      <c r="M2450" s="26" t="s">
        <v>1947</v>
      </c>
      <c r="N2450" s="26" t="s">
        <v>1948</v>
      </c>
      <c r="O2450" s="22" t="str">
        <f>HYPERLINK("https://pbs.twimg.com/profile_images/731870469318684672/Ckf7rDdJ_normal.jpg","View")</f>
        <v>View</v>
      </c>
      <c r="P2450" s="27"/>
    </row>
    <row r="2451">
      <c r="A2451" s="14">
        <v>43031.168715277774</v>
      </c>
      <c r="B2451" s="20" t="str">
        <f>HYPERLINK("https://twitter.com/ambadi999","@ambadi999")</f>
        <v>@ambadi999</v>
      </c>
      <c r="C2451" s="21" t="s">
        <v>5919</v>
      </c>
      <c r="D2451" s="21" t="s">
        <v>163</v>
      </c>
      <c r="E2451" s="22" t="str">
        <f>HYPERLINK("https://twitter.com/ambadi999/status/922418056994967554","922418056994967554")</f>
        <v>922418056994967554</v>
      </c>
      <c r="F2451" s="23" t="s">
        <v>55</v>
      </c>
      <c r="G2451" s="24">
        <v>27.0</v>
      </c>
      <c r="H2451" s="24">
        <v>301.0</v>
      </c>
      <c r="I2451" s="24">
        <v>1005.0</v>
      </c>
      <c r="J2451" s="24">
        <v>0.0</v>
      </c>
      <c r="K2451" s="23" t="s">
        <v>34</v>
      </c>
      <c r="L2451" s="25">
        <v>40972.912627314814</v>
      </c>
      <c r="M2451" s="28"/>
      <c r="N2451" s="28"/>
      <c r="O2451" s="22" t="str">
        <f>HYPERLINK("https://abs.twimg.com/sticky/default_profile_images/default_profile_normal.png","View")</f>
        <v>View</v>
      </c>
      <c r="P2451" s="27"/>
    </row>
    <row r="2452">
      <c r="A2452" s="14">
        <v>43031.1688425926</v>
      </c>
      <c r="B2452" s="20" t="str">
        <f>HYPERLINK("https://twitter.com/blkck","@blkck")</f>
        <v>@blkck</v>
      </c>
      <c r="C2452" s="21" t="s">
        <v>5920</v>
      </c>
      <c r="D2452" s="21" t="s">
        <v>2595</v>
      </c>
      <c r="E2452" s="22" t="str">
        <f>HYPERLINK("https://twitter.com/blkck/status/922418103635664897","922418103635664897")</f>
        <v>922418103635664897</v>
      </c>
      <c r="F2452" s="23" t="s">
        <v>33</v>
      </c>
      <c r="G2452" s="24">
        <v>222.0</v>
      </c>
      <c r="H2452" s="24">
        <v>10.0</v>
      </c>
      <c r="I2452" s="24">
        <v>170.0</v>
      </c>
      <c r="J2452" s="24">
        <v>0.0</v>
      </c>
      <c r="K2452" s="23" t="s">
        <v>34</v>
      </c>
      <c r="L2452" s="25">
        <v>40831.446851851855</v>
      </c>
      <c r="M2452" s="28"/>
      <c r="N2452" s="26" t="s">
        <v>5921</v>
      </c>
      <c r="O2452" s="22" t="str">
        <f>HYPERLINK("https://pbs.twimg.com/profile_images/890682612766965760/kOYcSyUM_normal.jpg","View")</f>
        <v>View</v>
      </c>
      <c r="P2452" s="27"/>
    </row>
    <row r="2453">
      <c r="A2453" s="14">
        <v>43031.168865740736</v>
      </c>
      <c r="B2453" s="20" t="str">
        <f>HYPERLINK("https://twitter.com/supra1Bqteam","@supra1Bqteam")</f>
        <v>@supra1Bqteam</v>
      </c>
      <c r="C2453" s="21" t="s">
        <v>5922</v>
      </c>
      <c r="D2453" s="21" t="s">
        <v>5923</v>
      </c>
      <c r="E2453" s="22" t="str">
        <f>HYPERLINK("https://twitter.com/supra1Bqteam/status/922418114318520320","922418114318520320")</f>
        <v>922418114318520320</v>
      </c>
      <c r="F2453" s="23" t="s">
        <v>187</v>
      </c>
      <c r="G2453" s="24">
        <v>29126.0</v>
      </c>
      <c r="H2453" s="24">
        <v>27638.0</v>
      </c>
      <c r="I2453" s="24">
        <v>0.0</v>
      </c>
      <c r="J2453" s="24">
        <v>0.0</v>
      </c>
      <c r="K2453" s="23" t="s">
        <v>34</v>
      </c>
      <c r="L2453" s="25">
        <v>40930.46928240741</v>
      </c>
      <c r="M2453" s="26" t="s">
        <v>5924</v>
      </c>
      <c r="N2453" s="26" t="s">
        <v>5925</v>
      </c>
      <c r="O2453" s="22" t="str">
        <f>HYPERLINK("https://pbs.twimg.com/profile_images/752065571068444672/dkKCTbsg_normal.jpg","View")</f>
        <v>View</v>
      </c>
      <c r="P2453" s="27"/>
    </row>
    <row r="2454">
      <c r="A2454" s="14">
        <v>43031.16888888889</v>
      </c>
      <c r="B2454" s="20" t="str">
        <f>HYPERLINK("https://twitter.com/PanickerUma","@PanickerUma")</f>
        <v>@PanickerUma</v>
      </c>
      <c r="C2454" s="21" t="s">
        <v>5926</v>
      </c>
      <c r="D2454" s="21" t="s">
        <v>42</v>
      </c>
      <c r="E2454" s="22" t="str">
        <f>HYPERLINK("https://twitter.com/PanickerUma/status/922418122212167680","922418122212167680")</f>
        <v>922418122212167680</v>
      </c>
      <c r="F2454" s="23" t="s">
        <v>33</v>
      </c>
      <c r="G2454" s="24">
        <v>373.0</v>
      </c>
      <c r="H2454" s="24">
        <v>508.0</v>
      </c>
      <c r="I2454" s="24">
        <v>8501.0</v>
      </c>
      <c r="J2454" s="24">
        <v>0.0</v>
      </c>
      <c r="K2454" s="23" t="s">
        <v>34</v>
      </c>
      <c r="L2454" s="25">
        <v>41839.89871527778</v>
      </c>
      <c r="M2454" s="28"/>
      <c r="N2454" s="26" t="s">
        <v>5927</v>
      </c>
      <c r="O2454" s="22" t="str">
        <f>HYPERLINK("https://pbs.twimg.com/profile_images/885043630406332417/1xb_SgqV_normal.jpg","View")</f>
        <v>View</v>
      </c>
      <c r="P2454" s="27"/>
    </row>
    <row r="2455">
      <c r="A2455" s="14">
        <v>43031.16893518518</v>
      </c>
      <c r="B2455" s="20" t="str">
        <f>HYPERLINK("https://twitter.com/WorldNews7777","@WorldNews7777")</f>
        <v>@WorldNews7777</v>
      </c>
      <c r="C2455" s="21" t="s">
        <v>1400</v>
      </c>
      <c r="D2455" s="21" t="s">
        <v>5928</v>
      </c>
      <c r="E2455" s="22" t="str">
        <f>HYPERLINK("https://twitter.com/WorldNews7777/status/922418138658037761","922418138658037761")</f>
        <v>922418138658037761</v>
      </c>
      <c r="F2455" s="23" t="s">
        <v>187</v>
      </c>
      <c r="G2455" s="24">
        <v>6454.0</v>
      </c>
      <c r="H2455" s="24">
        <v>6322.0</v>
      </c>
      <c r="I2455" s="24">
        <v>0.0</v>
      </c>
      <c r="J2455" s="24">
        <v>0.0</v>
      </c>
      <c r="K2455" s="23" t="s">
        <v>34</v>
      </c>
      <c r="L2455" s="25">
        <v>42489.131944444445</v>
      </c>
      <c r="M2455" s="26" t="s">
        <v>68</v>
      </c>
      <c r="N2455" s="26" t="s">
        <v>1402</v>
      </c>
      <c r="O2455" s="22" t="str">
        <f>HYPERLINK("https://pbs.twimg.com/profile_images/736884749566889984/BtAvBgS4_normal.jpg","View")</f>
        <v>View</v>
      </c>
      <c r="P2455" s="27"/>
    </row>
    <row r="2456">
      <c r="A2456" s="14">
        <v>43031.16893518518</v>
      </c>
      <c r="B2456" s="20" t="str">
        <f>HYPERLINK("https://twitter.com/WorldNewsGPS","@WorldNewsGPS")</f>
        <v>@WorldNewsGPS</v>
      </c>
      <c r="C2456" s="21" t="s">
        <v>2935</v>
      </c>
      <c r="D2456" s="21" t="s">
        <v>5929</v>
      </c>
      <c r="E2456" s="22" t="str">
        <f>HYPERLINK("https://twitter.com/WorldNewsGPS/status/922418139656110081","922418139656110081")</f>
        <v>922418139656110081</v>
      </c>
      <c r="F2456" s="30" t="s">
        <v>411</v>
      </c>
      <c r="G2456" s="24">
        <v>5140.0</v>
      </c>
      <c r="H2456" s="24">
        <v>3552.0</v>
      </c>
      <c r="I2456" s="24">
        <v>0.0</v>
      </c>
      <c r="J2456" s="24">
        <v>0.0</v>
      </c>
      <c r="K2456" s="23" t="s">
        <v>34</v>
      </c>
      <c r="L2456" s="25">
        <v>41855.64482638889</v>
      </c>
      <c r="M2456" s="26" t="s">
        <v>2937</v>
      </c>
      <c r="N2456" s="26" t="s">
        <v>2938</v>
      </c>
      <c r="O2456" s="22" t="str">
        <f>HYPERLINK("https://pbs.twimg.com/profile_images/922888721292075008/5HmBrNXR_normal.jpg","View")</f>
        <v>View</v>
      </c>
      <c r="P2456" s="27"/>
    </row>
    <row r="2457">
      <c r="A2457" s="14">
        <v>43031.16893518518</v>
      </c>
      <c r="B2457" s="20" t="str">
        <f>HYPERLINK("https://twitter.com/AllNewsNetWorld","@AllNewsNetWorld")</f>
        <v>@AllNewsNetWorld</v>
      </c>
      <c r="C2457" s="21" t="s">
        <v>5930</v>
      </c>
      <c r="D2457" s="21" t="s">
        <v>5931</v>
      </c>
      <c r="E2457" s="22" t="str">
        <f>HYPERLINK("https://twitter.com/AllNewsNetWorld/status/922418139878522880","922418139878522880")</f>
        <v>922418139878522880</v>
      </c>
      <c r="F2457" s="23" t="s">
        <v>187</v>
      </c>
      <c r="G2457" s="24">
        <v>33.0</v>
      </c>
      <c r="H2457" s="24">
        <v>19.0</v>
      </c>
      <c r="I2457" s="24">
        <v>0.0</v>
      </c>
      <c r="J2457" s="24">
        <v>0.0</v>
      </c>
      <c r="K2457" s="23" t="s">
        <v>34</v>
      </c>
      <c r="L2457" s="25">
        <v>41463.496145833335</v>
      </c>
      <c r="M2457" s="28"/>
      <c r="N2457" s="28"/>
      <c r="O2457" s="22" t="str">
        <f>HYPERLINK("https://abs.twimg.com/sticky/default_profile_images/default_profile_normal.png","View")</f>
        <v>View</v>
      </c>
      <c r="P2457" s="27"/>
    </row>
    <row r="2458">
      <c r="A2458" s="14">
        <v>43031.16894675926</v>
      </c>
      <c r="B2458" s="20" t="str">
        <f>HYPERLINK("https://twitter.com/ajay_kanojia","@ajay_kanojia")</f>
        <v>@ajay_kanojia</v>
      </c>
      <c r="C2458" s="21" t="s">
        <v>5932</v>
      </c>
      <c r="D2458" s="21" t="s">
        <v>42</v>
      </c>
      <c r="E2458" s="22" t="str">
        <f>HYPERLINK("https://twitter.com/ajay_kanojia/status/922418141652697088","922418141652697088")</f>
        <v>922418141652697088</v>
      </c>
      <c r="F2458" s="23" t="s">
        <v>39</v>
      </c>
      <c r="G2458" s="24">
        <v>201.0</v>
      </c>
      <c r="H2458" s="24">
        <v>643.0</v>
      </c>
      <c r="I2458" s="24">
        <v>8501.0</v>
      </c>
      <c r="J2458" s="24">
        <v>0.0</v>
      </c>
      <c r="K2458" s="23" t="s">
        <v>34</v>
      </c>
      <c r="L2458" s="25">
        <v>40775.44400462963</v>
      </c>
      <c r="M2458" s="26" t="s">
        <v>204</v>
      </c>
      <c r="N2458" s="26" t="s">
        <v>5933</v>
      </c>
      <c r="O2458" s="22" t="str">
        <f>HYPERLINK("https://pbs.twimg.com/profile_images/507648121166635008/qsjQKAjU_normal.jpeg","View")</f>
        <v>View</v>
      </c>
      <c r="P2458" s="27"/>
    </row>
    <row r="2459">
      <c r="A2459" s="14">
        <v>43031.16898148148</v>
      </c>
      <c r="B2459" s="20" t="str">
        <f>HYPERLINK("https://twitter.com/TsewolePanseh","@TsewolePanseh")</f>
        <v>@TsewolePanseh</v>
      </c>
      <c r="C2459" s="21" t="s">
        <v>5934</v>
      </c>
      <c r="D2459" s="21" t="s">
        <v>5935</v>
      </c>
      <c r="E2459" s="22" t="str">
        <f>HYPERLINK("https://twitter.com/TsewolePanseh/status/922418154134896640","922418154134896640")</f>
        <v>922418154134896640</v>
      </c>
      <c r="F2459" s="30" t="s">
        <v>411</v>
      </c>
      <c r="G2459" s="24">
        <v>469.0</v>
      </c>
      <c r="H2459" s="24">
        <v>15.0</v>
      </c>
      <c r="I2459" s="24">
        <v>0.0</v>
      </c>
      <c r="J2459" s="24">
        <v>0.0</v>
      </c>
      <c r="K2459" s="23" t="s">
        <v>34</v>
      </c>
      <c r="L2459" s="25">
        <v>41764.49532407407</v>
      </c>
      <c r="M2459" s="28"/>
      <c r="N2459" s="26" t="s">
        <v>5936</v>
      </c>
      <c r="O2459" s="22" t="str">
        <f>HYPERLINK("https://abs.twimg.com/sticky/default_profile_images/default_profile_normal.png","View")</f>
        <v>View</v>
      </c>
      <c r="P2459" s="27"/>
    </row>
    <row r="2460">
      <c r="A2460" s="14">
        <v>43031.16899305556</v>
      </c>
      <c r="B2460" s="20" t="str">
        <f>HYPERLINK("https://twitter.com/TheBFRoom","@TheBFRoom")</f>
        <v>@TheBFRoom</v>
      </c>
      <c r="C2460" s="21" t="s">
        <v>943</v>
      </c>
      <c r="D2460" s="21" t="s">
        <v>5937</v>
      </c>
      <c r="E2460" s="22" t="str">
        <f>HYPERLINK("https://twitter.com/TheBFRoom/status/922418159864434688","922418159864434688")</f>
        <v>922418159864434688</v>
      </c>
      <c r="F2460" s="23" t="s">
        <v>187</v>
      </c>
      <c r="G2460" s="24">
        <v>3193.0</v>
      </c>
      <c r="H2460" s="24">
        <v>3873.0</v>
      </c>
      <c r="I2460" s="24">
        <v>0.0</v>
      </c>
      <c r="J2460" s="24">
        <v>0.0</v>
      </c>
      <c r="K2460" s="23" t="s">
        <v>34</v>
      </c>
      <c r="L2460" s="25">
        <v>42761.325162037036</v>
      </c>
      <c r="M2460" s="26" t="s">
        <v>68</v>
      </c>
      <c r="N2460" s="26" t="s">
        <v>945</v>
      </c>
      <c r="O2460" s="22" t="str">
        <f>HYPERLINK("https://pbs.twimg.com/profile_images/898379268778020864/0u1zlj_B_normal.jpg","View")</f>
        <v>View</v>
      </c>
      <c r="P2460" s="27"/>
    </row>
    <row r="2461">
      <c r="A2461" s="14">
        <v>43031.16899305556</v>
      </c>
      <c r="B2461" s="20" t="str">
        <f>HYPERLINK("https://twitter.com/SarahLe91306885","@SarahLe91306885")</f>
        <v>@SarahLe91306885</v>
      </c>
      <c r="C2461" s="21" t="s">
        <v>5938</v>
      </c>
      <c r="D2461" s="21" t="s">
        <v>105</v>
      </c>
      <c r="E2461" s="22" t="str">
        <f>HYPERLINK("https://twitter.com/SarahLe91306885/status/922418161068077058","922418161068077058")</f>
        <v>922418161068077058</v>
      </c>
      <c r="F2461" s="23" t="s">
        <v>33</v>
      </c>
      <c r="G2461" s="24">
        <v>66.0</v>
      </c>
      <c r="H2461" s="24">
        <v>117.0</v>
      </c>
      <c r="I2461" s="24">
        <v>69.0</v>
      </c>
      <c r="J2461" s="24">
        <v>0.0</v>
      </c>
      <c r="K2461" s="23" t="s">
        <v>34</v>
      </c>
      <c r="L2461" s="25">
        <v>42742.60512731482</v>
      </c>
      <c r="M2461" s="26" t="s">
        <v>271</v>
      </c>
      <c r="N2461" s="26" t="s">
        <v>5939</v>
      </c>
      <c r="O2461" s="22" t="str">
        <f>HYPERLINK("https://pbs.twimg.com/profile_images/881834679220944896/6SNWrySZ_normal.jpg","View")</f>
        <v>View</v>
      </c>
      <c r="P2461" s="27"/>
    </row>
    <row r="2462">
      <c r="A2462" s="14">
        <v>43031.16900462963</v>
      </c>
      <c r="B2462" s="20" t="str">
        <f>HYPERLINK("https://twitter.com/KeithYawn","@KeithYawn")</f>
        <v>@KeithYawn</v>
      </c>
      <c r="C2462" s="21" t="s">
        <v>5940</v>
      </c>
      <c r="D2462" s="21" t="s">
        <v>825</v>
      </c>
      <c r="E2462" s="22" t="str">
        <f>HYPERLINK("https://twitter.com/KeithYawn/status/922418162838228997","922418162838228997")</f>
        <v>922418162838228997</v>
      </c>
      <c r="F2462" s="23" t="s">
        <v>39</v>
      </c>
      <c r="G2462" s="24">
        <v>128.0</v>
      </c>
      <c r="H2462" s="24">
        <v>68.0</v>
      </c>
      <c r="I2462" s="24">
        <v>109.0</v>
      </c>
      <c r="J2462" s="24">
        <v>0.0</v>
      </c>
      <c r="K2462" s="23" t="s">
        <v>34</v>
      </c>
      <c r="L2462" s="25">
        <v>41451.631886574076</v>
      </c>
      <c r="M2462" s="26" t="s">
        <v>5941</v>
      </c>
      <c r="N2462" s="26" t="s">
        <v>5942</v>
      </c>
      <c r="O2462" s="22" t="str">
        <f>HYPERLINK("https://pbs.twimg.com/profile_images/756279903226433536/QtVdKGN2_normal.jpg","View")</f>
        <v>View</v>
      </c>
      <c r="P2462" s="27"/>
    </row>
    <row r="2463">
      <c r="A2463" s="14">
        <v>43031.169016203705</v>
      </c>
      <c r="B2463" s="20" t="str">
        <f>HYPERLINK("https://twitter.com/alt_media_today","@alt_media_today")</f>
        <v>@alt_media_today</v>
      </c>
      <c r="C2463" s="21" t="s">
        <v>4304</v>
      </c>
      <c r="D2463" s="21" t="s">
        <v>5943</v>
      </c>
      <c r="E2463" s="22" t="str">
        <f>HYPERLINK("https://twitter.com/alt_media_today/status/922418167414013952","922418167414013952")</f>
        <v>922418167414013952</v>
      </c>
      <c r="F2463" s="30" t="s">
        <v>411</v>
      </c>
      <c r="G2463" s="24">
        <v>8748.0</v>
      </c>
      <c r="H2463" s="24">
        <v>4962.0</v>
      </c>
      <c r="I2463" s="24">
        <v>0.0</v>
      </c>
      <c r="J2463" s="24">
        <v>0.0</v>
      </c>
      <c r="K2463" s="23" t="s">
        <v>34</v>
      </c>
      <c r="L2463" s="25">
        <v>42287.68697916667</v>
      </c>
      <c r="M2463" s="28"/>
      <c r="N2463" s="26" t="s">
        <v>4306</v>
      </c>
      <c r="O2463" s="22" t="str">
        <f>HYPERLINK("https://pbs.twimg.com/profile_images/652996185901260801/KqCtDZcN_normal.jpg","View")</f>
        <v>View</v>
      </c>
      <c r="P2463" s="27"/>
    </row>
    <row r="2464">
      <c r="A2464" s="14">
        <v>43031.169016203705</v>
      </c>
      <c r="B2464" s="20" t="str">
        <f>HYPERLINK("https://twitter.com/dibakarme","@dibakarme")</f>
        <v>@dibakarme</v>
      </c>
      <c r="C2464" s="21" t="s">
        <v>949</v>
      </c>
      <c r="D2464" s="21" t="s">
        <v>5944</v>
      </c>
      <c r="E2464" s="22" t="str">
        <f>HYPERLINK("https://twitter.com/dibakarme/status/922418167896576000","922418167896576000")</f>
        <v>922418167896576000</v>
      </c>
      <c r="F2464" s="23" t="s">
        <v>187</v>
      </c>
      <c r="G2464" s="24">
        <v>1414.0</v>
      </c>
      <c r="H2464" s="24">
        <v>4850.0</v>
      </c>
      <c r="I2464" s="24">
        <v>0.0</v>
      </c>
      <c r="J2464" s="24">
        <v>0.0</v>
      </c>
      <c r="K2464" s="23" t="s">
        <v>34</v>
      </c>
      <c r="L2464" s="25">
        <v>41314.12306712963</v>
      </c>
      <c r="M2464" s="26" t="s">
        <v>951</v>
      </c>
      <c r="N2464" s="26" t="s">
        <v>952</v>
      </c>
      <c r="O2464" s="22" t="str">
        <f>HYPERLINK("https://pbs.twimg.com/profile_images/916070941481951232/hiUaouzl_normal.jpg","View")</f>
        <v>View</v>
      </c>
      <c r="P2464" s="27"/>
    </row>
    <row r="2465">
      <c r="A2465" s="14">
        <v>43031.16902777778</v>
      </c>
      <c r="B2465" s="20" t="str">
        <f>HYPERLINK("https://twitter.com/Fabiolucv","@Fabiolucv")</f>
        <v>@Fabiolucv</v>
      </c>
      <c r="C2465" s="21" t="s">
        <v>5945</v>
      </c>
      <c r="D2465" s="21" t="s">
        <v>5946</v>
      </c>
      <c r="E2465" s="22" t="str">
        <f>HYPERLINK("https://twitter.com/Fabiolucv/status/922418169897033728","922418169897033728")</f>
        <v>922418169897033728</v>
      </c>
      <c r="F2465" s="30" t="s">
        <v>411</v>
      </c>
      <c r="G2465" s="24">
        <v>634.0</v>
      </c>
      <c r="H2465" s="24">
        <v>335.0</v>
      </c>
      <c r="I2465" s="24">
        <v>0.0</v>
      </c>
      <c r="J2465" s="24">
        <v>0.0</v>
      </c>
      <c r="K2465" s="23" t="s">
        <v>34</v>
      </c>
      <c r="L2465" s="25">
        <v>40199.413993055554</v>
      </c>
      <c r="M2465" s="26" t="s">
        <v>1419</v>
      </c>
      <c r="N2465" s="26" t="s">
        <v>5947</v>
      </c>
      <c r="O2465" s="22" t="str">
        <f>HYPERLINK("https://pbs.twimg.com/profile_images/915201585290072064/BufUp5rz_normal.jpg","View")</f>
        <v>View</v>
      </c>
      <c r="P2465" s="27"/>
    </row>
    <row r="2466">
      <c r="A2466" s="14">
        <v>43031.16902777778</v>
      </c>
      <c r="B2466" s="20" t="str">
        <f>HYPERLINK("https://twitter.com/amvinculos","@amvinculos")</f>
        <v>@amvinculos</v>
      </c>
      <c r="C2466" s="21" t="s">
        <v>5948</v>
      </c>
      <c r="D2466" s="21" t="s">
        <v>5786</v>
      </c>
      <c r="E2466" s="22" t="str">
        <f>HYPERLINK("https://twitter.com/amvinculos/status/922418173068087296","922418173068087296")</f>
        <v>922418173068087296</v>
      </c>
      <c r="F2466" s="23" t="s">
        <v>2119</v>
      </c>
      <c r="G2466" s="24">
        <v>143.0</v>
      </c>
      <c r="H2466" s="24">
        <v>339.0</v>
      </c>
      <c r="I2466" s="24">
        <v>59.0</v>
      </c>
      <c r="J2466" s="24">
        <v>0.0</v>
      </c>
      <c r="K2466" s="23" t="s">
        <v>34</v>
      </c>
      <c r="L2466" s="25">
        <v>40516.90996527778</v>
      </c>
      <c r="M2466" s="26" t="s">
        <v>5949</v>
      </c>
      <c r="N2466" s="26" t="s">
        <v>5950</v>
      </c>
      <c r="O2466" s="22" t="str">
        <f>HYPERLINK("https://pbs.twimg.com/profile_images/620556031366668288/fqVp96YE_normal.jpg","View")</f>
        <v>View</v>
      </c>
      <c r="P2466" s="27"/>
    </row>
    <row r="2467">
      <c r="A2467" s="14">
        <v>43031.16903935185</v>
      </c>
      <c r="B2467" s="20" t="str">
        <f>HYPERLINK("https://twitter.com/RanjanKsahoo","@RanjanKsahoo")</f>
        <v>@RanjanKsahoo</v>
      </c>
      <c r="C2467" s="21" t="s">
        <v>5951</v>
      </c>
      <c r="D2467" s="21" t="s">
        <v>42</v>
      </c>
      <c r="E2467" s="22" t="str">
        <f>HYPERLINK("https://twitter.com/RanjanKsahoo/status/922418175425183744","922418175425183744")</f>
        <v>922418175425183744</v>
      </c>
      <c r="F2467" s="23" t="s">
        <v>33</v>
      </c>
      <c r="G2467" s="24">
        <v>187.0</v>
      </c>
      <c r="H2467" s="24">
        <v>418.0</v>
      </c>
      <c r="I2467" s="24">
        <v>8501.0</v>
      </c>
      <c r="J2467" s="24">
        <v>0.0</v>
      </c>
      <c r="K2467" s="23" t="s">
        <v>34</v>
      </c>
      <c r="L2467" s="25">
        <v>40091.935752314814</v>
      </c>
      <c r="M2467" s="26" t="s">
        <v>204</v>
      </c>
      <c r="N2467" s="26" t="s">
        <v>5952</v>
      </c>
      <c r="O2467" s="22" t="str">
        <f>HYPERLINK("https://pbs.twimg.com/profile_images/610542643026620416/CAwDCwwz_normal.jpg","View")</f>
        <v>View</v>
      </c>
      <c r="P2467" s="27"/>
    </row>
    <row r="2468">
      <c r="A2468" s="14">
        <v>43031.169062500005</v>
      </c>
      <c r="B2468" s="20" t="str">
        <f>HYPERLINK("https://twitter.com/bizzscout","@bizzscout")</f>
        <v>@bizzscout</v>
      </c>
      <c r="C2468" s="21" t="s">
        <v>5953</v>
      </c>
      <c r="D2468" s="21" t="s">
        <v>5954</v>
      </c>
      <c r="E2468" s="22" t="str">
        <f>HYPERLINK("https://twitter.com/bizzscout/status/922418183209963520","922418183209963520")</f>
        <v>922418183209963520</v>
      </c>
      <c r="F2468" s="23" t="s">
        <v>5955</v>
      </c>
      <c r="G2468" s="24">
        <v>1606.0</v>
      </c>
      <c r="H2468" s="24">
        <v>1506.0</v>
      </c>
      <c r="I2468" s="24">
        <v>0.0</v>
      </c>
      <c r="J2468" s="24">
        <v>0.0</v>
      </c>
      <c r="K2468" s="23" t="s">
        <v>34</v>
      </c>
      <c r="L2468" s="25">
        <v>40343.40528935185</v>
      </c>
      <c r="M2468" s="28"/>
      <c r="N2468" s="26" t="s">
        <v>5956</v>
      </c>
      <c r="O2468" s="22" t="str">
        <f>HYPERLINK("https://pbs.twimg.com/profile_images/2292517916/6g8ixud0zd2446bw5pk0_normal.jpeg","View")</f>
        <v>View</v>
      </c>
      <c r="P2468" s="27"/>
    </row>
    <row r="2469">
      <c r="A2469" s="14">
        <v>43031.169074074074</v>
      </c>
      <c r="B2469" s="20" t="str">
        <f>HYPERLINK("https://twitter.com/SallamaariM","@SallamaariM")</f>
        <v>@SallamaariM</v>
      </c>
      <c r="C2469" s="21" t="s">
        <v>4040</v>
      </c>
      <c r="D2469" s="21" t="s">
        <v>5786</v>
      </c>
      <c r="E2469" s="22" t="str">
        <f>HYPERLINK("https://twitter.com/SallamaariM/status/922418187865612288","922418187865612288")</f>
        <v>922418187865612288</v>
      </c>
      <c r="F2469" s="23" t="s">
        <v>39</v>
      </c>
      <c r="G2469" s="24">
        <v>3102.0</v>
      </c>
      <c r="H2469" s="24">
        <v>1558.0</v>
      </c>
      <c r="I2469" s="24">
        <v>59.0</v>
      </c>
      <c r="J2469" s="24">
        <v>0.0</v>
      </c>
      <c r="K2469" s="23" t="s">
        <v>34</v>
      </c>
      <c r="L2469" s="25">
        <v>40859.39655092593</v>
      </c>
      <c r="M2469" s="26" t="s">
        <v>4041</v>
      </c>
      <c r="N2469" s="26" t="s">
        <v>4042</v>
      </c>
      <c r="O2469" s="22" t="str">
        <f>HYPERLINK("https://pbs.twimg.com/profile_images/776345809667391488/Egn417OV_normal.jpg","View")</f>
        <v>View</v>
      </c>
      <c r="P2469" s="27"/>
    </row>
    <row r="2470">
      <c r="A2470" s="14">
        <v>43031.16913194444</v>
      </c>
      <c r="B2470" s="20" t="str">
        <f>HYPERLINK("https://twitter.com/gabrielesteger0","@gabrielesteger0")</f>
        <v>@gabrielesteger0</v>
      </c>
      <c r="C2470" s="21" t="s">
        <v>5957</v>
      </c>
      <c r="D2470" s="21" t="s">
        <v>5786</v>
      </c>
      <c r="E2470" s="22" t="str">
        <f>HYPERLINK("https://twitter.com/gabrielesteger0/status/922418211525677058","922418211525677058")</f>
        <v>922418211525677058</v>
      </c>
      <c r="F2470" s="23" t="s">
        <v>55</v>
      </c>
      <c r="G2470" s="24">
        <v>20.0</v>
      </c>
      <c r="H2470" s="24">
        <v>79.0</v>
      </c>
      <c r="I2470" s="24">
        <v>59.0</v>
      </c>
      <c r="J2470" s="24">
        <v>0.0</v>
      </c>
      <c r="K2470" s="23" t="s">
        <v>34</v>
      </c>
      <c r="L2470" s="25">
        <v>42915.17575231481</v>
      </c>
      <c r="M2470" s="26" t="s">
        <v>1653</v>
      </c>
      <c r="N2470" s="26" t="s">
        <v>5958</v>
      </c>
      <c r="O2470" s="22" t="str">
        <f>HYPERLINK("https://pbs.twimg.com/profile_images/886204182000173056/eHeSzLRL_normal.jpg","View")</f>
        <v>View</v>
      </c>
      <c r="P2470" s="27"/>
    </row>
    <row r="2471">
      <c r="A2471" s="14">
        <v>43031.16920138889</v>
      </c>
      <c r="B2471" s="20" t="str">
        <f>HYPERLINK("https://twitter.com/timelivenews","@timelivenews")</f>
        <v>@timelivenews</v>
      </c>
      <c r="C2471" s="21" t="s">
        <v>2820</v>
      </c>
      <c r="D2471" s="21" t="s">
        <v>5959</v>
      </c>
      <c r="E2471" s="22" t="str">
        <f>HYPERLINK("https://twitter.com/timelivenews/status/922418236284686336","922418236284686336")</f>
        <v>922418236284686336</v>
      </c>
      <c r="F2471" s="23" t="s">
        <v>4516</v>
      </c>
      <c r="G2471" s="24">
        <v>1004.0</v>
      </c>
      <c r="H2471" s="24">
        <v>1997.0</v>
      </c>
      <c r="I2471" s="24">
        <v>0.0</v>
      </c>
      <c r="J2471" s="24">
        <v>0.0</v>
      </c>
      <c r="K2471" s="23" t="s">
        <v>34</v>
      </c>
      <c r="L2471" s="25">
        <v>41173.31891203704</v>
      </c>
      <c r="M2471" s="28"/>
      <c r="N2471" s="28"/>
      <c r="O2471" s="22" t="str">
        <f>HYPERLINK("https://pbs.twimg.com/profile_images/2645914047/c79803e0dea4e4b85f99f5b019bf0f4c_normal.png","View")</f>
        <v>View</v>
      </c>
      <c r="P2471" s="27"/>
    </row>
    <row r="2472">
      <c r="A2472" s="14">
        <v>43031.169340277775</v>
      </c>
      <c r="B2472" s="20" t="str">
        <f>HYPERLINK("https://twitter.com/sir_pal","@sir_pal")</f>
        <v>@sir_pal</v>
      </c>
      <c r="C2472" s="21" t="s">
        <v>5960</v>
      </c>
      <c r="D2472" s="21" t="s">
        <v>42</v>
      </c>
      <c r="E2472" s="22" t="str">
        <f>HYPERLINK("https://twitter.com/sir_pal/status/922418285521510401","922418285521510401")</f>
        <v>922418285521510401</v>
      </c>
      <c r="F2472" s="23" t="s">
        <v>780</v>
      </c>
      <c r="G2472" s="24">
        <v>3.0</v>
      </c>
      <c r="H2472" s="24">
        <v>6.0</v>
      </c>
      <c r="I2472" s="24">
        <v>8501.0</v>
      </c>
      <c r="J2472" s="24">
        <v>0.0</v>
      </c>
      <c r="K2472" s="23" t="s">
        <v>34</v>
      </c>
      <c r="L2472" s="25">
        <v>42834.99866898148</v>
      </c>
      <c r="M2472" s="26" t="s">
        <v>5961</v>
      </c>
      <c r="N2472" s="26" t="s">
        <v>5962</v>
      </c>
      <c r="O2472" s="22" t="str">
        <f>HYPERLINK("https://pbs.twimg.com/profile_images/922928881278992384/iJ_Jv_Mk_normal.jpg","View")</f>
        <v>View</v>
      </c>
      <c r="P2472" s="27"/>
    </row>
    <row r="2473">
      <c r="A2473" s="14">
        <v>43031.16954861111</v>
      </c>
      <c r="B2473" s="20" t="str">
        <f t="shared" ref="B2473:B2474" si="40">HYPERLINK("https://twitter.com/yuuji_K1","@yuuji_K1")</f>
        <v>@yuuji_K1</v>
      </c>
      <c r="C2473" s="21" t="s">
        <v>5882</v>
      </c>
      <c r="D2473" s="21" t="s">
        <v>5262</v>
      </c>
      <c r="E2473" s="22" t="str">
        <f>HYPERLINK("https://twitter.com/yuuji_K1/status/922418360033280000","922418360033280000")</f>
        <v>922418360033280000</v>
      </c>
      <c r="F2473" s="23" t="s">
        <v>39</v>
      </c>
      <c r="G2473" s="24">
        <v>2341.0</v>
      </c>
      <c r="H2473" s="24">
        <v>2256.0</v>
      </c>
      <c r="I2473" s="24">
        <v>22.0</v>
      </c>
      <c r="J2473" s="24">
        <v>0.0</v>
      </c>
      <c r="K2473" s="23" t="s">
        <v>34</v>
      </c>
      <c r="L2473" s="25">
        <v>41720.116006944445</v>
      </c>
      <c r="M2473" s="28"/>
      <c r="N2473" s="26" t="s">
        <v>5883</v>
      </c>
      <c r="O2473" s="22" t="str">
        <f t="shared" ref="O2473:O2474" si="41">HYPERLINK("https://pbs.twimg.com/profile_images/447319649642770432/l3MsVwx__normal.jpeg","View")</f>
        <v>View</v>
      </c>
      <c r="P2473" s="27"/>
    </row>
    <row r="2474">
      <c r="A2474" s="14">
        <v>43031.16957175926</v>
      </c>
      <c r="B2474" s="20" t="str">
        <f t="shared" si="40"/>
        <v>@yuuji_K1</v>
      </c>
      <c r="C2474" s="21" t="s">
        <v>5882</v>
      </c>
      <c r="D2474" s="21" t="s">
        <v>5963</v>
      </c>
      <c r="E2474" s="22" t="str">
        <f>HYPERLINK("https://twitter.com/yuuji_K1/status/922418367381741568","922418367381741568")</f>
        <v>922418367381741568</v>
      </c>
      <c r="F2474" s="23" t="s">
        <v>39</v>
      </c>
      <c r="G2474" s="24">
        <v>2341.0</v>
      </c>
      <c r="H2474" s="24">
        <v>2256.0</v>
      </c>
      <c r="I2474" s="24">
        <v>3.0</v>
      </c>
      <c r="J2474" s="24">
        <v>0.0</v>
      </c>
      <c r="K2474" s="23" t="s">
        <v>34</v>
      </c>
      <c r="L2474" s="25">
        <v>41720.116006944445</v>
      </c>
      <c r="M2474" s="28"/>
      <c r="N2474" s="26" t="s">
        <v>5883</v>
      </c>
      <c r="O2474" s="22" t="str">
        <f t="shared" si="41"/>
        <v>View</v>
      </c>
      <c r="P2474" s="27"/>
    </row>
    <row r="2475">
      <c r="A2475" s="14">
        <v>43031.169583333336</v>
      </c>
      <c r="B2475" s="20" t="str">
        <f>HYPERLINK("https://twitter.com/TehMafiaJoe","@TehMafiaJoe")</f>
        <v>@TehMafiaJoe</v>
      </c>
      <c r="C2475" s="21" t="s">
        <v>5964</v>
      </c>
      <c r="D2475" s="21" t="s">
        <v>5965</v>
      </c>
      <c r="E2475" s="22" t="str">
        <f>HYPERLINK("https://twitter.com/TehMafiaJoe/status/922418374029737984","922418374029737984")</f>
        <v>922418374029737984</v>
      </c>
      <c r="F2475" s="23" t="s">
        <v>187</v>
      </c>
      <c r="G2475" s="24">
        <v>897.0</v>
      </c>
      <c r="H2475" s="24">
        <v>915.0</v>
      </c>
      <c r="I2475" s="24">
        <v>0.0</v>
      </c>
      <c r="J2475" s="24">
        <v>0.0</v>
      </c>
      <c r="K2475" s="23" t="s">
        <v>34</v>
      </c>
      <c r="L2475" s="25">
        <v>42382.6534837963</v>
      </c>
      <c r="M2475" s="28"/>
      <c r="N2475" s="26" t="s">
        <v>5966</v>
      </c>
      <c r="O2475" s="22" t="str">
        <f>HYPERLINK("https://pbs.twimg.com/profile_images/687419585000247296/v8zT8eEf_normal.jpg","View")</f>
        <v>View</v>
      </c>
      <c r="P2475" s="27"/>
    </row>
    <row r="2476">
      <c r="A2476" s="14">
        <v>43031.16962962963</v>
      </c>
      <c r="B2476" s="20" t="str">
        <f>HYPERLINK("https://twitter.com/akir8yana1","@akir8yana1")</f>
        <v>@akir8yana1</v>
      </c>
      <c r="C2476" s="21" t="s">
        <v>5967</v>
      </c>
      <c r="D2476" s="21" t="s">
        <v>5786</v>
      </c>
      <c r="E2476" s="22" t="str">
        <f>HYPERLINK("https://twitter.com/akir8yana1/status/922418388973973504","922418388973973504")</f>
        <v>922418388973973504</v>
      </c>
      <c r="F2476" s="23" t="s">
        <v>3884</v>
      </c>
      <c r="G2476" s="24">
        <v>445.0</v>
      </c>
      <c r="H2476" s="24">
        <v>1782.0</v>
      </c>
      <c r="I2476" s="24">
        <v>59.0</v>
      </c>
      <c r="J2476" s="24">
        <v>0.0</v>
      </c>
      <c r="K2476" s="23" t="s">
        <v>34</v>
      </c>
      <c r="L2476" s="25">
        <v>41335.04582175926</v>
      </c>
      <c r="M2476" s="26" t="s">
        <v>5968</v>
      </c>
      <c r="N2476" s="26" t="s">
        <v>5969</v>
      </c>
      <c r="O2476" s="22" t="str">
        <f>HYPERLINK("https://pbs.twimg.com/profile_images/851724592125169664/2wjtvi0P_normal.jpg","View")</f>
        <v>View</v>
      </c>
      <c r="P2476" s="27"/>
    </row>
    <row r="2477">
      <c r="A2477" s="14">
        <v>43031.169641203705</v>
      </c>
      <c r="B2477" s="20" t="str">
        <f>HYPERLINK("https://twitter.com/LloydZiel","@LloydZiel")</f>
        <v>@LloydZiel</v>
      </c>
      <c r="C2477" s="21" t="s">
        <v>1049</v>
      </c>
      <c r="D2477" s="21" t="s">
        <v>5970</v>
      </c>
      <c r="E2477" s="22" t="str">
        <f>HYPERLINK("https://twitter.com/LloydZiel/status/922418393650810880","922418393650810880")</f>
        <v>922418393650810880</v>
      </c>
      <c r="F2477" s="23" t="s">
        <v>187</v>
      </c>
      <c r="G2477" s="24">
        <v>757.0</v>
      </c>
      <c r="H2477" s="24">
        <v>843.0</v>
      </c>
      <c r="I2477" s="24">
        <v>0.0</v>
      </c>
      <c r="J2477" s="24">
        <v>0.0</v>
      </c>
      <c r="K2477" s="23" t="s">
        <v>34</v>
      </c>
      <c r="L2477" s="25">
        <v>40816.290509259255</v>
      </c>
      <c r="M2477" s="26" t="s">
        <v>435</v>
      </c>
      <c r="N2477" s="26" t="s">
        <v>1051</v>
      </c>
      <c r="O2477" s="22" t="str">
        <f>HYPERLINK("https://pbs.twimg.com/profile_images/378800000163294226/f9483ee13c6a6f32086253635d758cc6_normal.jpeg","View")</f>
        <v>View</v>
      </c>
      <c r="P2477" s="27"/>
    </row>
    <row r="2478">
      <c r="A2478" s="14">
        <v>43031.169710648144</v>
      </c>
      <c r="B2478" s="20" t="str">
        <f>HYPERLINK("https://twitter.com/FogodoEon","@FogodoEon")</f>
        <v>@FogodoEon</v>
      </c>
      <c r="C2478" s="21" t="s">
        <v>4444</v>
      </c>
      <c r="D2478" s="21" t="s">
        <v>5786</v>
      </c>
      <c r="E2478" s="22" t="str">
        <f>HYPERLINK("https://twitter.com/FogodoEon/status/922418419395264517","922418419395264517")</f>
        <v>922418419395264517</v>
      </c>
      <c r="F2478" s="23" t="s">
        <v>33</v>
      </c>
      <c r="G2478" s="24">
        <v>701.0</v>
      </c>
      <c r="H2478" s="24">
        <v>486.0</v>
      </c>
      <c r="I2478" s="24">
        <v>59.0</v>
      </c>
      <c r="J2478" s="24">
        <v>0.0</v>
      </c>
      <c r="K2478" s="23" t="s">
        <v>34</v>
      </c>
      <c r="L2478" s="25">
        <v>40515.37106481481</v>
      </c>
      <c r="M2478" s="26" t="s">
        <v>4445</v>
      </c>
      <c r="N2478" s="26" t="s">
        <v>4446</v>
      </c>
      <c r="O2478" s="22" t="str">
        <f>HYPERLINK("https://pbs.twimg.com/profile_images/1182337525/_ndice_normal.jpeg","View")</f>
        <v>View</v>
      </c>
      <c r="P2478" s="27"/>
    </row>
    <row r="2479">
      <c r="A2479" s="14">
        <v>43031.16972222222</v>
      </c>
      <c r="B2479" s="20" t="str">
        <f>HYPERLINK("https://twitter.com/xavvypls","@xavvypls")</f>
        <v>@xavvypls</v>
      </c>
      <c r="C2479" s="21" t="s">
        <v>985</v>
      </c>
      <c r="D2479" s="21" t="s">
        <v>5971</v>
      </c>
      <c r="E2479" s="22" t="str">
        <f>HYPERLINK("https://twitter.com/xavvypls/status/922418423774306306","922418423774306306")</f>
        <v>922418423774306306</v>
      </c>
      <c r="F2479" s="23" t="s">
        <v>187</v>
      </c>
      <c r="G2479" s="24">
        <v>2703.0</v>
      </c>
      <c r="H2479" s="24">
        <v>2991.0</v>
      </c>
      <c r="I2479" s="24">
        <v>0.0</v>
      </c>
      <c r="J2479" s="24">
        <v>0.0</v>
      </c>
      <c r="K2479" s="23" t="s">
        <v>34</v>
      </c>
      <c r="L2479" s="25">
        <v>40108.985497685186</v>
      </c>
      <c r="M2479" s="26" t="s">
        <v>987</v>
      </c>
      <c r="N2479" s="26" t="s">
        <v>988</v>
      </c>
      <c r="O2479" s="22" t="str">
        <f>HYPERLINK("https://pbs.twimg.com/profile_images/730121330276892672/QGTLrj5q_normal.jpg","View")</f>
        <v>View</v>
      </c>
      <c r="P2479" s="27"/>
    </row>
    <row r="2480">
      <c r="A2480" s="14">
        <v>43031.169756944444</v>
      </c>
      <c r="B2480" s="20" t="str">
        <f>HYPERLINK("https://twitter.com/iakovleva3","@iakovleva3")</f>
        <v>@iakovleva3</v>
      </c>
      <c r="C2480" s="21" t="s">
        <v>5777</v>
      </c>
      <c r="D2480" s="21" t="s">
        <v>3227</v>
      </c>
      <c r="E2480" s="22" t="str">
        <f>HYPERLINK("https://twitter.com/iakovleva3/status/922418437221003265","922418437221003265")</f>
        <v>922418437221003265</v>
      </c>
      <c r="F2480" s="23" t="s">
        <v>55</v>
      </c>
      <c r="G2480" s="24">
        <v>4.0</v>
      </c>
      <c r="H2480" s="24">
        <v>1.0</v>
      </c>
      <c r="I2480" s="24">
        <v>61.0</v>
      </c>
      <c r="J2480" s="24">
        <v>0.0</v>
      </c>
      <c r="K2480" s="23" t="s">
        <v>34</v>
      </c>
      <c r="L2480" s="25">
        <v>43015.641331018516</v>
      </c>
      <c r="M2480" s="28"/>
      <c r="N2480" s="28"/>
      <c r="O2480" s="22" t="str">
        <f>HYPERLINK("https://pbs.twimg.com/profile_images/918899008059273216/zYzJlvfS_normal.jpg","View")</f>
        <v>View</v>
      </c>
      <c r="P2480" s="27"/>
    </row>
    <row r="2481">
      <c r="A2481" s="14">
        <v>43031.16976851852</v>
      </c>
      <c r="B2481" s="20" t="str">
        <f>HYPERLINK("https://twitter.com/CorePoliticsTV","@CorePoliticsTV")</f>
        <v>@CorePoliticsTV</v>
      </c>
      <c r="C2481" s="21" t="s">
        <v>2012</v>
      </c>
      <c r="D2481" s="21" t="s">
        <v>5972</v>
      </c>
      <c r="E2481" s="22" t="str">
        <f>HYPERLINK("https://twitter.com/CorePoliticsTV/status/922418440975060992","922418440975060992")</f>
        <v>922418440975060992</v>
      </c>
      <c r="F2481" s="23" t="s">
        <v>2014</v>
      </c>
      <c r="G2481" s="24">
        <v>339.0</v>
      </c>
      <c r="H2481" s="24">
        <v>54.0</v>
      </c>
      <c r="I2481" s="24">
        <v>0.0</v>
      </c>
      <c r="J2481" s="24">
        <v>1.0</v>
      </c>
      <c r="K2481" s="23" t="s">
        <v>34</v>
      </c>
      <c r="L2481" s="25">
        <v>42928.19521990741</v>
      </c>
      <c r="M2481" s="26" t="s">
        <v>40</v>
      </c>
      <c r="N2481" s="26" t="s">
        <v>2015</v>
      </c>
      <c r="O2481" s="22" t="str">
        <f>HYPERLINK("https://pbs.twimg.com/profile_images/885147188258537472/5LLGDLYs_normal.jpg","View")</f>
        <v>View</v>
      </c>
      <c r="P2481" s="27"/>
    </row>
    <row r="2482">
      <c r="A2482" s="14">
        <v>43031.16979166667</v>
      </c>
      <c r="B2482" s="20" t="str">
        <f>HYPERLINK("https://twitter.com/yuuji_K1","@yuuji_K1")</f>
        <v>@yuuji_K1</v>
      </c>
      <c r="C2482" s="21" t="s">
        <v>5882</v>
      </c>
      <c r="D2482" s="21" t="s">
        <v>5973</v>
      </c>
      <c r="E2482" s="22" t="str">
        <f>HYPERLINK("https://twitter.com/yuuji_K1/status/922418447060836353","922418447060836353")</f>
        <v>922418447060836353</v>
      </c>
      <c r="F2482" s="23" t="s">
        <v>39</v>
      </c>
      <c r="G2482" s="24">
        <v>2341.0</v>
      </c>
      <c r="H2482" s="24">
        <v>2256.0</v>
      </c>
      <c r="I2482" s="24">
        <v>4.0</v>
      </c>
      <c r="J2482" s="24">
        <v>0.0</v>
      </c>
      <c r="K2482" s="23" t="s">
        <v>34</v>
      </c>
      <c r="L2482" s="25">
        <v>41720.116006944445</v>
      </c>
      <c r="M2482" s="28"/>
      <c r="N2482" s="26" t="s">
        <v>5883</v>
      </c>
      <c r="O2482" s="22" t="str">
        <f>HYPERLINK("https://pbs.twimg.com/profile_images/447319649642770432/l3MsVwx__normal.jpeg","View")</f>
        <v>View</v>
      </c>
      <c r="P2482" s="27"/>
    </row>
    <row r="2483">
      <c r="A2483" s="14">
        <v>43031.169803240744</v>
      </c>
      <c r="B2483" s="20" t="str">
        <f>HYPERLINK("https://twitter.com/KeriYurikke","@KeriYurikke")</f>
        <v>@KeriYurikke</v>
      </c>
      <c r="C2483" s="21" t="s">
        <v>5974</v>
      </c>
      <c r="D2483" s="21" t="s">
        <v>5975</v>
      </c>
      <c r="E2483" s="22" t="str">
        <f>HYPERLINK("https://twitter.com/KeriYurikke/status/922418453721550849","922418453721550849")</f>
        <v>922418453721550849</v>
      </c>
      <c r="F2483" s="23" t="s">
        <v>187</v>
      </c>
      <c r="G2483" s="24">
        <v>13.0</v>
      </c>
      <c r="H2483" s="24">
        <v>0.0</v>
      </c>
      <c r="I2483" s="24">
        <v>0.0</v>
      </c>
      <c r="J2483" s="24">
        <v>0.0</v>
      </c>
      <c r="K2483" s="23" t="s">
        <v>34</v>
      </c>
      <c r="L2483" s="25">
        <v>42725.16009259259</v>
      </c>
      <c r="M2483" s="26" t="s">
        <v>5976</v>
      </c>
      <c r="N2483" s="26" t="s">
        <v>5977</v>
      </c>
      <c r="O2483" s="22" t="str">
        <f>HYPERLINK("https://pbs.twimg.com/profile_images/817578913559822337/ONBLd-Dv_normal.jpg","View")</f>
        <v>View</v>
      </c>
      <c r="P2483" s="27"/>
    </row>
    <row r="2484">
      <c r="A2484" s="14">
        <v>43031.16982638889</v>
      </c>
      <c r="B2484" s="20" t="str">
        <f>HYPERLINK("https://twitter.com/jillo2015","@jillo2015")</f>
        <v>@jillo2015</v>
      </c>
      <c r="C2484" s="21" t="s">
        <v>5978</v>
      </c>
      <c r="D2484" s="21" t="s">
        <v>42</v>
      </c>
      <c r="E2484" s="22" t="str">
        <f>HYPERLINK("https://twitter.com/jillo2015/status/922418459790663682","922418459790663682")</f>
        <v>922418459790663682</v>
      </c>
      <c r="F2484" s="23" t="s">
        <v>33</v>
      </c>
      <c r="G2484" s="24">
        <v>387.0</v>
      </c>
      <c r="H2484" s="24">
        <v>545.0</v>
      </c>
      <c r="I2484" s="24">
        <v>8501.0</v>
      </c>
      <c r="J2484" s="24">
        <v>0.0</v>
      </c>
      <c r="K2484" s="23" t="s">
        <v>34</v>
      </c>
      <c r="L2484" s="25">
        <v>42200.52306712963</v>
      </c>
      <c r="M2484" s="28"/>
      <c r="N2484" s="28"/>
      <c r="O2484" s="22" t="str">
        <f>HYPERLINK("https://pbs.twimg.com/profile_images/876797385640247296/Mm5w7ZZ9_normal.jpg","View")</f>
        <v>View</v>
      </c>
      <c r="P2484" s="27"/>
    </row>
    <row r="2485">
      <c r="A2485" s="14">
        <v>43031.16982638889</v>
      </c>
      <c r="B2485" s="20" t="str">
        <f>HYPERLINK("https://twitter.com/nimrodog","@nimrodog")</f>
        <v>@nimrodog</v>
      </c>
      <c r="C2485" s="21" t="s">
        <v>5979</v>
      </c>
      <c r="D2485" s="21" t="s">
        <v>113</v>
      </c>
      <c r="E2485" s="22" t="str">
        <f>HYPERLINK("https://twitter.com/nimrodog/status/922418462106050560","922418462106050560")</f>
        <v>922418462106050560</v>
      </c>
      <c r="F2485" s="23" t="s">
        <v>43</v>
      </c>
      <c r="G2485" s="24">
        <v>58.0</v>
      </c>
      <c r="H2485" s="24">
        <v>157.0</v>
      </c>
      <c r="I2485" s="24">
        <v>17.0</v>
      </c>
      <c r="J2485" s="24">
        <v>0.0</v>
      </c>
      <c r="K2485" s="23" t="s">
        <v>34</v>
      </c>
      <c r="L2485" s="25">
        <v>42096.70736111111</v>
      </c>
      <c r="M2485" s="28"/>
      <c r="N2485" s="26" t="s">
        <v>5980</v>
      </c>
      <c r="O2485" s="22" t="str">
        <f>HYPERLINK("https://abs.twimg.com/sticky/default_profile_images/default_profile_normal.png","View")</f>
        <v>View</v>
      </c>
      <c r="P2485" s="27"/>
    </row>
    <row r="2486">
      <c r="A2486" s="14">
        <v>43031.16984953704</v>
      </c>
      <c r="B2486" s="20" t="str">
        <f>HYPERLINK("https://twitter.com/choonsikyoo","@choonsikyoo")</f>
        <v>@choonsikyoo</v>
      </c>
      <c r="C2486" s="21" t="s">
        <v>847</v>
      </c>
      <c r="D2486" s="21" t="s">
        <v>5981</v>
      </c>
      <c r="E2486" s="22" t="str">
        <f>HYPERLINK("https://twitter.com/choonsikyoo/status/922418469701865472","922418469701865472")</f>
        <v>922418469701865472</v>
      </c>
      <c r="F2486" s="23" t="s">
        <v>187</v>
      </c>
      <c r="G2486" s="24">
        <v>1709.0</v>
      </c>
      <c r="H2486" s="24">
        <v>1891.0</v>
      </c>
      <c r="I2486" s="24">
        <v>0.0</v>
      </c>
      <c r="J2486" s="24">
        <v>0.0</v>
      </c>
      <c r="K2486" s="23" t="s">
        <v>34</v>
      </c>
      <c r="L2486" s="25">
        <v>40224.817523148144</v>
      </c>
      <c r="M2486" s="26" t="s">
        <v>849</v>
      </c>
      <c r="N2486" s="26" t="s">
        <v>850</v>
      </c>
      <c r="O2486" s="22" t="str">
        <f>HYPERLINK("https://pbs.twimg.com/profile_images/2545270141/dwadjp2rsl27tumivfew_normal.jpeg","View")</f>
        <v>View</v>
      </c>
      <c r="P2486" s="27"/>
    </row>
    <row r="2487">
      <c r="A2487" s="14">
        <v>43031.16984953704</v>
      </c>
      <c r="B2487" s="20" t="str">
        <f>HYPERLINK("https://twitter.com/yuuji_K1","@yuuji_K1")</f>
        <v>@yuuji_K1</v>
      </c>
      <c r="C2487" s="21" t="s">
        <v>5882</v>
      </c>
      <c r="D2487" s="21" t="s">
        <v>5982</v>
      </c>
      <c r="E2487" s="22" t="str">
        <f>HYPERLINK("https://twitter.com/yuuji_K1/status/922418470288965632","922418470288965632")</f>
        <v>922418470288965632</v>
      </c>
      <c r="F2487" s="23" t="s">
        <v>39</v>
      </c>
      <c r="G2487" s="24">
        <v>2341.0</v>
      </c>
      <c r="H2487" s="24">
        <v>2256.0</v>
      </c>
      <c r="I2487" s="24">
        <v>11.0</v>
      </c>
      <c r="J2487" s="24">
        <v>0.0</v>
      </c>
      <c r="K2487" s="23" t="s">
        <v>34</v>
      </c>
      <c r="L2487" s="25">
        <v>41720.116006944445</v>
      </c>
      <c r="M2487" s="28"/>
      <c r="N2487" s="26" t="s">
        <v>5883</v>
      </c>
      <c r="O2487" s="22" t="str">
        <f>HYPERLINK("https://pbs.twimg.com/profile_images/447319649642770432/l3MsVwx__normal.jpeg","View")</f>
        <v>View</v>
      </c>
      <c r="P2487" s="27"/>
    </row>
    <row r="2488">
      <c r="A2488" s="14">
        <v>43031.169907407406</v>
      </c>
      <c r="B2488" s="20" t="str">
        <f>HYPERLINK("https://twitter.com/wthmateo","@wthmateo")</f>
        <v>@wthmateo</v>
      </c>
      <c r="C2488" s="21" t="s">
        <v>5983</v>
      </c>
      <c r="D2488" s="21" t="s">
        <v>2595</v>
      </c>
      <c r="E2488" s="22" t="str">
        <f>HYPERLINK("https://twitter.com/wthmateo/status/922418489662558208","922418489662558208")</f>
        <v>922418489662558208</v>
      </c>
      <c r="F2488" s="23" t="s">
        <v>39</v>
      </c>
      <c r="G2488" s="24">
        <v>360.0</v>
      </c>
      <c r="H2488" s="24">
        <v>450.0</v>
      </c>
      <c r="I2488" s="24">
        <v>170.0</v>
      </c>
      <c r="J2488" s="24">
        <v>0.0</v>
      </c>
      <c r="K2488" s="23" t="s">
        <v>34</v>
      </c>
      <c r="L2488" s="25">
        <v>41644.7033912037</v>
      </c>
      <c r="M2488" s="26" t="s">
        <v>5984</v>
      </c>
      <c r="N2488" s="26" t="s">
        <v>5985</v>
      </c>
      <c r="O2488" s="22" t="str">
        <f>HYPERLINK("https://pbs.twimg.com/profile_images/902431853210107904/qknpMcPq_normal.jpg","View")</f>
        <v>View</v>
      </c>
      <c r="P2488" s="27"/>
    </row>
    <row r="2489">
      <c r="A2489" s="14">
        <v>43031.169907407406</v>
      </c>
      <c r="B2489" s="20" t="str">
        <f>HYPERLINK("https://twitter.com/yuuji_K1","@yuuji_K1")</f>
        <v>@yuuji_K1</v>
      </c>
      <c r="C2489" s="21" t="s">
        <v>5882</v>
      </c>
      <c r="D2489" s="21" t="s">
        <v>5986</v>
      </c>
      <c r="E2489" s="22" t="str">
        <f>HYPERLINK("https://twitter.com/yuuji_K1/status/922418490413260800","922418490413260800")</f>
        <v>922418490413260800</v>
      </c>
      <c r="F2489" s="23" t="s">
        <v>39</v>
      </c>
      <c r="G2489" s="24">
        <v>2341.0</v>
      </c>
      <c r="H2489" s="24">
        <v>2256.0</v>
      </c>
      <c r="I2489" s="24">
        <v>3.0</v>
      </c>
      <c r="J2489" s="24">
        <v>0.0</v>
      </c>
      <c r="K2489" s="23" t="s">
        <v>34</v>
      </c>
      <c r="L2489" s="25">
        <v>41720.116006944445</v>
      </c>
      <c r="M2489" s="28"/>
      <c r="N2489" s="26" t="s">
        <v>5883</v>
      </c>
      <c r="O2489" s="22" t="str">
        <f>HYPERLINK("https://pbs.twimg.com/profile_images/447319649642770432/l3MsVwx__normal.jpeg","View")</f>
        <v>View</v>
      </c>
      <c r="P2489" s="27"/>
    </row>
    <row r="2490">
      <c r="A2490" s="14">
        <v>43031.16998842593</v>
      </c>
      <c r="B2490" s="20" t="str">
        <f>HYPERLINK("https://twitter.com/Algerie_Infos","@Algerie_Infos")</f>
        <v>@Algerie_Infos</v>
      </c>
      <c r="C2490" s="21" t="s">
        <v>5987</v>
      </c>
      <c r="D2490" s="21" t="s">
        <v>5988</v>
      </c>
      <c r="E2490" s="22" t="str">
        <f>HYPERLINK("https://twitter.com/Algerie_Infos/status/922418521728061440","922418521728061440")</f>
        <v>922418521728061440</v>
      </c>
      <c r="F2490" s="30" t="s">
        <v>3839</v>
      </c>
      <c r="G2490" s="24">
        <v>3650.0</v>
      </c>
      <c r="H2490" s="24">
        <v>146.0</v>
      </c>
      <c r="I2490" s="24">
        <v>0.0</v>
      </c>
      <c r="J2490" s="24">
        <v>0.0</v>
      </c>
      <c r="K2490" s="23" t="s">
        <v>34</v>
      </c>
      <c r="L2490" s="25">
        <v>41467.57237268519</v>
      </c>
      <c r="M2490" s="26" t="s">
        <v>5989</v>
      </c>
      <c r="N2490" s="26" t="s">
        <v>5990</v>
      </c>
      <c r="O2490" s="22" t="str">
        <f>HYPERLINK("https://pbs.twimg.com/profile_images/429118996479082496/JmTyp43i_normal.jpeg","View")</f>
        <v>View</v>
      </c>
      <c r="P2490" s="27"/>
    </row>
    <row r="2491">
      <c r="A2491" s="14">
        <v>43031.17</v>
      </c>
      <c r="B2491" s="20" t="str">
        <f>HYPERLINK("https://twitter.com/MayLoon5","@MayLoon5")</f>
        <v>@MayLoon5</v>
      </c>
      <c r="C2491" s="21" t="s">
        <v>5991</v>
      </c>
      <c r="D2491" s="21" t="s">
        <v>5992</v>
      </c>
      <c r="E2491" s="22" t="str">
        <f>HYPERLINK("https://twitter.com/MayLoon5/status/922418525288857600","922418525288857600")</f>
        <v>922418525288857600</v>
      </c>
      <c r="F2491" s="23" t="s">
        <v>43</v>
      </c>
      <c r="G2491" s="24">
        <v>214.0</v>
      </c>
      <c r="H2491" s="24">
        <v>471.0</v>
      </c>
      <c r="I2491" s="24">
        <v>0.0</v>
      </c>
      <c r="J2491" s="24">
        <v>0.0</v>
      </c>
      <c r="K2491" s="23" t="s">
        <v>34</v>
      </c>
      <c r="L2491" s="25">
        <v>42642.15118055556</v>
      </c>
      <c r="M2491" s="26" t="s">
        <v>5614</v>
      </c>
      <c r="N2491" s="26" t="s">
        <v>5993</v>
      </c>
      <c r="O2491" s="22" t="str">
        <f>HYPERLINK("https://pbs.twimg.com/profile_images/895269889635635201/3O_mbDfC_normal.jpg","View")</f>
        <v>View</v>
      </c>
      <c r="P2491" s="27"/>
    </row>
    <row r="2492">
      <c r="A2492" s="14">
        <v>43031.170011574075</v>
      </c>
      <c r="B2492" s="20" t="str">
        <f>HYPERLINK("https://twitter.com/yuuji_K1","@yuuji_K1")</f>
        <v>@yuuji_K1</v>
      </c>
      <c r="C2492" s="21" t="s">
        <v>5882</v>
      </c>
      <c r="D2492" s="21" t="s">
        <v>5994</v>
      </c>
      <c r="E2492" s="22" t="str">
        <f>HYPERLINK("https://twitter.com/yuuji_K1/status/922418527989989376","922418527989989376")</f>
        <v>922418527989989376</v>
      </c>
      <c r="F2492" s="23" t="s">
        <v>39</v>
      </c>
      <c r="G2492" s="24">
        <v>2341.0</v>
      </c>
      <c r="H2492" s="24">
        <v>2256.0</v>
      </c>
      <c r="I2492" s="24">
        <v>6.0</v>
      </c>
      <c r="J2492" s="24">
        <v>0.0</v>
      </c>
      <c r="K2492" s="23" t="s">
        <v>34</v>
      </c>
      <c r="L2492" s="25">
        <v>41720.116006944445</v>
      </c>
      <c r="M2492" s="28"/>
      <c r="N2492" s="26" t="s">
        <v>5883</v>
      </c>
      <c r="O2492" s="22" t="str">
        <f>HYPERLINK("https://pbs.twimg.com/profile_images/447319649642770432/l3MsVwx__normal.jpeg","View")</f>
        <v>View</v>
      </c>
      <c r="P2492" s="27"/>
    </row>
    <row r="2493">
      <c r="A2493" s="14">
        <v>43031.170069444444</v>
      </c>
      <c r="B2493" s="20" t="str">
        <f>HYPERLINK("https://twitter.com/Kariti4","@Kariti4")</f>
        <v>@Kariti4</v>
      </c>
      <c r="C2493" s="21" t="s">
        <v>5995</v>
      </c>
      <c r="D2493" s="21" t="s">
        <v>32</v>
      </c>
      <c r="E2493" s="22" t="str">
        <f>HYPERLINK("https://twitter.com/Kariti4/status/922418550958108673","922418550958108673")</f>
        <v>922418550958108673</v>
      </c>
      <c r="F2493" s="23" t="s">
        <v>33</v>
      </c>
      <c r="G2493" s="24">
        <v>337.0</v>
      </c>
      <c r="H2493" s="24">
        <v>80.0</v>
      </c>
      <c r="I2493" s="24">
        <v>471.0</v>
      </c>
      <c r="J2493" s="24">
        <v>0.0</v>
      </c>
      <c r="K2493" s="23" t="s">
        <v>34</v>
      </c>
      <c r="L2493" s="25">
        <v>42628.56910879629</v>
      </c>
      <c r="M2493" s="26" t="s">
        <v>114</v>
      </c>
      <c r="N2493" s="26" t="s">
        <v>5996</v>
      </c>
      <c r="O2493" s="22" t="str">
        <f>HYPERLINK("https://pbs.twimg.com/profile_images/831481206587916289/KX37RvDw_normal.jpg","View")</f>
        <v>View</v>
      </c>
      <c r="P2493" s="27"/>
    </row>
    <row r="2494">
      <c r="A2494" s="14">
        <v>43031.1700925926</v>
      </c>
      <c r="B2494" s="20" t="str">
        <f>HYPERLINK("https://twitter.com/srilalgudi","@srilalgudi")</f>
        <v>@srilalgudi</v>
      </c>
      <c r="C2494" s="21" t="s">
        <v>5997</v>
      </c>
      <c r="D2494" s="21" t="s">
        <v>163</v>
      </c>
      <c r="E2494" s="22" t="str">
        <f>HYPERLINK("https://twitter.com/srilalgudi/status/922418559292022795","922418559292022795")</f>
        <v>922418559292022795</v>
      </c>
      <c r="F2494" s="23" t="s">
        <v>33</v>
      </c>
      <c r="G2494" s="24">
        <v>293.0</v>
      </c>
      <c r="H2494" s="24">
        <v>1124.0</v>
      </c>
      <c r="I2494" s="24">
        <v>1005.0</v>
      </c>
      <c r="J2494" s="24">
        <v>0.0</v>
      </c>
      <c r="K2494" s="23" t="s">
        <v>34</v>
      </c>
      <c r="L2494" s="25">
        <v>40018.245254629626</v>
      </c>
      <c r="M2494" s="28"/>
      <c r="N2494" s="26" t="s">
        <v>5998</v>
      </c>
      <c r="O2494" s="22" t="str">
        <f>HYPERLINK("https://pbs.twimg.com/profile_images/711112043978366976/_8YJC-dq_normal.jpg","View")</f>
        <v>View</v>
      </c>
      <c r="P2494" s="27"/>
    </row>
    <row r="2495">
      <c r="A2495" s="14">
        <v>43031.17015046296</v>
      </c>
      <c r="B2495" s="20" t="str">
        <f>HYPERLINK("https://twitter.com/olicisaac","@olicisaac")</f>
        <v>@olicisaac</v>
      </c>
      <c r="C2495" s="21" t="s">
        <v>5999</v>
      </c>
      <c r="D2495" s="21" t="s">
        <v>32</v>
      </c>
      <c r="E2495" s="22" t="str">
        <f>HYPERLINK("https://twitter.com/olicisaac/status/922418579835899905","922418579835899905")</f>
        <v>922418579835899905</v>
      </c>
      <c r="F2495" s="23" t="s">
        <v>33</v>
      </c>
      <c r="G2495" s="24">
        <v>396.0</v>
      </c>
      <c r="H2495" s="24">
        <v>394.0</v>
      </c>
      <c r="I2495" s="24">
        <v>471.0</v>
      </c>
      <c r="J2495" s="24">
        <v>0.0</v>
      </c>
      <c r="K2495" s="23" t="s">
        <v>34</v>
      </c>
      <c r="L2495" s="25">
        <v>40889.04346064815</v>
      </c>
      <c r="M2495" s="26" t="s">
        <v>6000</v>
      </c>
      <c r="N2495" s="26" t="s">
        <v>6001</v>
      </c>
      <c r="O2495" s="22" t="str">
        <f>HYPERLINK("https://pbs.twimg.com/profile_images/897134748937670656/y9jrcoro_normal.jpg","View")</f>
        <v>View</v>
      </c>
      <c r="P2495" s="27"/>
    </row>
    <row r="2496">
      <c r="A2496" s="14">
        <v>43031.17016203704</v>
      </c>
      <c r="B2496" s="20" t="str">
        <f>HYPERLINK("https://twitter.com/Saagi0069","@Saagi0069")</f>
        <v>@Saagi0069</v>
      </c>
      <c r="C2496" s="21" t="s">
        <v>6002</v>
      </c>
      <c r="D2496" s="21" t="s">
        <v>42</v>
      </c>
      <c r="E2496" s="22" t="str">
        <f>HYPERLINK("https://twitter.com/Saagi0069/status/922418584562704384","922418584562704384")</f>
        <v>922418584562704384</v>
      </c>
      <c r="F2496" s="23" t="s">
        <v>33</v>
      </c>
      <c r="G2496" s="24">
        <v>397.0</v>
      </c>
      <c r="H2496" s="24">
        <v>2211.0</v>
      </c>
      <c r="I2496" s="24">
        <v>8501.0</v>
      </c>
      <c r="J2496" s="24">
        <v>0.0</v>
      </c>
      <c r="K2496" s="23" t="s">
        <v>34</v>
      </c>
      <c r="L2496" s="25">
        <v>42859.124074074076</v>
      </c>
      <c r="M2496" s="26" t="s">
        <v>2335</v>
      </c>
      <c r="N2496" s="26" t="s">
        <v>6003</v>
      </c>
      <c r="O2496" s="22" t="str">
        <f>HYPERLINK("https://pbs.twimg.com/profile_images/860078905205678081/ViuIqFF5_normal.jpg","View")</f>
        <v>View</v>
      </c>
      <c r="P2496" s="27"/>
    </row>
    <row r="2497">
      <c r="A2497" s="14">
        <v>43031.17018518518</v>
      </c>
      <c r="B2497" s="20" t="str">
        <f>HYPERLINK("https://twitter.com/Xaniatube","@Xaniatube")</f>
        <v>@Xaniatube</v>
      </c>
      <c r="C2497" s="21" t="s">
        <v>6004</v>
      </c>
      <c r="D2497" s="21" t="s">
        <v>6005</v>
      </c>
      <c r="E2497" s="22" t="str">
        <f>HYPERLINK("https://twitter.com/Xaniatube/status/922418589746978816","922418589746978816")</f>
        <v>922418589746978816</v>
      </c>
      <c r="F2497" s="30" t="s">
        <v>6006</v>
      </c>
      <c r="G2497" s="24">
        <v>2680.0</v>
      </c>
      <c r="H2497" s="24">
        <v>2308.0</v>
      </c>
      <c r="I2497" s="24">
        <v>0.0</v>
      </c>
      <c r="J2497" s="24">
        <v>0.0</v>
      </c>
      <c r="K2497" s="23" t="s">
        <v>34</v>
      </c>
      <c r="L2497" s="25">
        <v>42515.017546296294</v>
      </c>
      <c r="M2497" s="26" t="s">
        <v>6007</v>
      </c>
      <c r="N2497" s="26" t="s">
        <v>6008</v>
      </c>
      <c r="O2497" s="22" t="str">
        <f>HYPERLINK("https://pbs.twimg.com/profile_images/735982523755470848/RowRrw5R_normal.jpg","View")</f>
        <v>View</v>
      </c>
      <c r="P2497" s="27"/>
    </row>
    <row r="2498">
      <c r="A2498" s="14">
        <v>43031.17025462963</v>
      </c>
      <c r="B2498" s="20" t="str">
        <f>HYPERLINK("https://twitter.com/mani_isha","@mani_isha")</f>
        <v>@mani_isha</v>
      </c>
      <c r="C2498" s="21" t="s">
        <v>6009</v>
      </c>
      <c r="D2498" s="21" t="s">
        <v>42</v>
      </c>
      <c r="E2498" s="22" t="str">
        <f>HYPERLINK("https://twitter.com/mani_isha/status/922418616523358208","922418616523358208")</f>
        <v>922418616523358208</v>
      </c>
      <c r="F2498" s="23" t="s">
        <v>33</v>
      </c>
      <c r="G2498" s="24">
        <v>1106.0</v>
      </c>
      <c r="H2498" s="24">
        <v>1568.0</v>
      </c>
      <c r="I2498" s="24">
        <v>8501.0</v>
      </c>
      <c r="J2498" s="24">
        <v>0.0</v>
      </c>
      <c r="K2498" s="23" t="s">
        <v>34</v>
      </c>
      <c r="L2498" s="25">
        <v>41015.349745370375</v>
      </c>
      <c r="M2498" s="28"/>
      <c r="N2498" s="26" t="s">
        <v>6010</v>
      </c>
      <c r="O2498" s="22" t="str">
        <f>HYPERLINK("https://pbs.twimg.com/profile_images/915481564120616960/gwHP8XJv_normal.jpg","View")</f>
        <v>View</v>
      </c>
      <c r="P2498" s="27"/>
    </row>
    <row r="2499">
      <c r="A2499" s="14">
        <v>43031.17030092592</v>
      </c>
      <c r="B2499" s="20" t="str">
        <f>HYPERLINK("https://twitter.com/Sunilsi36772092","@Sunilsi36772092")</f>
        <v>@Sunilsi36772092</v>
      </c>
      <c r="C2499" s="21" t="s">
        <v>6011</v>
      </c>
      <c r="D2499" s="21" t="s">
        <v>42</v>
      </c>
      <c r="E2499" s="22" t="str">
        <f>HYPERLINK("https://twitter.com/Sunilsi36772092/status/922418631857836032","922418631857836032")</f>
        <v>922418631857836032</v>
      </c>
      <c r="F2499" s="23" t="s">
        <v>33</v>
      </c>
      <c r="G2499" s="24">
        <v>1.0</v>
      </c>
      <c r="H2499" s="24">
        <v>2.0</v>
      </c>
      <c r="I2499" s="24">
        <v>8501.0</v>
      </c>
      <c r="J2499" s="24">
        <v>0.0</v>
      </c>
      <c r="K2499" s="23" t="s">
        <v>34</v>
      </c>
      <c r="L2499" s="25">
        <v>42892.223541666666</v>
      </c>
      <c r="M2499" s="28"/>
      <c r="N2499" s="28"/>
      <c r="O2499" s="22" t="str">
        <f>HYPERLINK("https://pbs.twimg.com/profile_images/921674107376332800/cpz5Q7yn_normal.jpg","View")</f>
        <v>View</v>
      </c>
      <c r="P2499" s="27"/>
    </row>
    <row r="2500">
      <c r="A2500" s="14">
        <v>43031.17030092592</v>
      </c>
      <c r="B2500" s="20" t="str">
        <f>HYPERLINK("https://twitter.com/bdNewsTweet","@bdNewsTweet")</f>
        <v>@bdNewsTweet</v>
      </c>
      <c r="C2500" s="21" t="s">
        <v>1066</v>
      </c>
      <c r="D2500" s="21" t="s">
        <v>6012</v>
      </c>
      <c r="E2500" s="22" t="str">
        <f>HYPERLINK("https://twitter.com/bdNewsTweet/status/922418633296539648","922418633296539648")</f>
        <v>922418633296539648</v>
      </c>
      <c r="F2500" s="23" t="s">
        <v>187</v>
      </c>
      <c r="G2500" s="24">
        <v>77.0</v>
      </c>
      <c r="H2500" s="24">
        <v>25.0</v>
      </c>
      <c r="I2500" s="24">
        <v>0.0</v>
      </c>
      <c r="J2500" s="24">
        <v>0.0</v>
      </c>
      <c r="K2500" s="23" t="s">
        <v>34</v>
      </c>
      <c r="L2500" s="25">
        <v>42516.37630787037</v>
      </c>
      <c r="M2500" s="26" t="s">
        <v>747</v>
      </c>
      <c r="N2500" s="26" t="s">
        <v>1068</v>
      </c>
      <c r="O2500" s="22" t="str">
        <f>HYPERLINK("https://pbs.twimg.com/profile_images/902421074008084481/fXS9jF8X_normal.jpg","View")</f>
        <v>View</v>
      </c>
      <c r="P2500" s="27"/>
    </row>
    <row r="2501">
      <c r="A2501" s="14">
        <v>43031.1703125</v>
      </c>
      <c r="B2501" s="20" t="str">
        <f>HYPERLINK("https://twitter.com/sukhdevmahiya99","@sukhdevmahiya99")</f>
        <v>@sukhdevmahiya99</v>
      </c>
      <c r="C2501" s="21" t="s">
        <v>6013</v>
      </c>
      <c r="D2501" s="21" t="s">
        <v>42</v>
      </c>
      <c r="E2501" s="22" t="str">
        <f>HYPERLINK("https://twitter.com/sukhdevmahiya99/status/922418638346321920","922418638346321920")</f>
        <v>922418638346321920</v>
      </c>
      <c r="F2501" s="23" t="s">
        <v>33</v>
      </c>
      <c r="G2501" s="24">
        <v>1305.0</v>
      </c>
      <c r="H2501" s="24">
        <v>1417.0</v>
      </c>
      <c r="I2501" s="24">
        <v>8501.0</v>
      </c>
      <c r="J2501" s="24">
        <v>0.0</v>
      </c>
      <c r="K2501" s="23" t="s">
        <v>34</v>
      </c>
      <c r="L2501" s="25">
        <v>42794.18512731481</v>
      </c>
      <c r="M2501" s="26" t="s">
        <v>6014</v>
      </c>
      <c r="N2501" s="26" t="s">
        <v>6015</v>
      </c>
      <c r="O2501" s="22" t="str">
        <f>HYPERLINK("https://pbs.twimg.com/profile_images/893805204725874691/Pt3fd0lQ_normal.jpg","View")</f>
        <v>View</v>
      </c>
      <c r="P2501" s="27"/>
    </row>
    <row r="2502">
      <c r="A2502" s="14">
        <v>43031.17037037037</v>
      </c>
      <c r="B2502" s="20" t="str">
        <f>HYPERLINK("https://twitter.com/poshpisces84","@poshpisces84")</f>
        <v>@poshpisces84</v>
      </c>
      <c r="C2502" s="21" t="s">
        <v>6016</v>
      </c>
      <c r="D2502" s="21" t="s">
        <v>2555</v>
      </c>
      <c r="E2502" s="22" t="str">
        <f>HYPERLINK("https://twitter.com/poshpisces84/status/922418659162603520","922418659162603520")</f>
        <v>922418659162603520</v>
      </c>
      <c r="F2502" s="23" t="s">
        <v>43</v>
      </c>
      <c r="G2502" s="24">
        <v>264.0</v>
      </c>
      <c r="H2502" s="24">
        <v>32.0</v>
      </c>
      <c r="I2502" s="24">
        <v>58.0</v>
      </c>
      <c r="J2502" s="24">
        <v>0.0</v>
      </c>
      <c r="K2502" s="23" t="s">
        <v>34</v>
      </c>
      <c r="L2502" s="25">
        <v>40385.89252314815</v>
      </c>
      <c r="M2502" s="26" t="s">
        <v>6017</v>
      </c>
      <c r="N2502" s="26" t="s">
        <v>6018</v>
      </c>
      <c r="O2502" s="22" t="str">
        <f>HYPERLINK("https://pbs.twimg.com/profile_images/835527119157387269/omOTF3Ug_normal.jpg","View")</f>
        <v>View</v>
      </c>
      <c r="P2502" s="27"/>
    </row>
    <row r="2503">
      <c r="A2503" s="14">
        <v>43031.170381944445</v>
      </c>
      <c r="B2503" s="20" t="str">
        <f>HYPERLINK("https://twitter.com/aakashs48","@aakashs48")</f>
        <v>@aakashs48</v>
      </c>
      <c r="C2503" s="21" t="s">
        <v>6019</v>
      </c>
      <c r="D2503" s="21" t="s">
        <v>42</v>
      </c>
      <c r="E2503" s="22" t="str">
        <f>HYPERLINK("https://twitter.com/aakashs48/status/922418663596048384","922418663596048384")</f>
        <v>922418663596048384</v>
      </c>
      <c r="F2503" s="23" t="s">
        <v>43</v>
      </c>
      <c r="G2503" s="24">
        <v>38.0</v>
      </c>
      <c r="H2503" s="24">
        <v>52.0</v>
      </c>
      <c r="I2503" s="24">
        <v>8501.0</v>
      </c>
      <c r="J2503" s="24">
        <v>0.0</v>
      </c>
      <c r="K2503" s="23" t="s">
        <v>34</v>
      </c>
      <c r="L2503" s="25">
        <v>41536.46293981482</v>
      </c>
      <c r="M2503" s="28"/>
      <c r="N2503" s="28"/>
      <c r="O2503" s="22" t="str">
        <f>HYPERLINK("https://pbs.twimg.com/profile_images/678807069965737984/ofDrOrsk_normal.jpg","View")</f>
        <v>View</v>
      </c>
      <c r="P2503" s="27"/>
    </row>
    <row r="2504">
      <c r="A2504" s="14">
        <v>43031.17039351852</v>
      </c>
      <c r="B2504" s="20" t="str">
        <f>HYPERLINK("https://twitter.com/worldnewsbox","@worldnewsbox")</f>
        <v>@worldnewsbox</v>
      </c>
      <c r="C2504" s="21" t="s">
        <v>6020</v>
      </c>
      <c r="D2504" s="21" t="s">
        <v>6021</v>
      </c>
      <c r="E2504" s="22" t="str">
        <f>HYPERLINK("https://twitter.com/worldnewsbox/status/922418666834194437","922418666834194437")</f>
        <v>922418666834194437</v>
      </c>
      <c r="F2504" s="23" t="s">
        <v>187</v>
      </c>
      <c r="G2504" s="24">
        <v>139.0</v>
      </c>
      <c r="H2504" s="24">
        <v>0.0</v>
      </c>
      <c r="I2504" s="24">
        <v>0.0</v>
      </c>
      <c r="J2504" s="24">
        <v>0.0</v>
      </c>
      <c r="K2504" s="23" t="s">
        <v>34</v>
      </c>
      <c r="L2504" s="25">
        <v>42048.44263888889</v>
      </c>
      <c r="M2504" s="26" t="s">
        <v>6022</v>
      </c>
      <c r="N2504" s="28"/>
      <c r="O2504" s="22" t="str">
        <f>HYPERLINK("https://pbs.twimg.com/profile_images/566373479780347904/cRWsNt3U_normal.png","View")</f>
        <v>View</v>
      </c>
      <c r="P2504" s="27"/>
    </row>
    <row r="2505">
      <c r="A2505" s="14">
        <v>43031.170428240745</v>
      </c>
      <c r="B2505" s="20" t="str">
        <f>HYPERLINK("https://twitter.com/JigneshShukla16","@JigneshShukla16")</f>
        <v>@JigneshShukla16</v>
      </c>
      <c r="C2505" s="21" t="s">
        <v>6023</v>
      </c>
      <c r="D2505" s="21" t="s">
        <v>42</v>
      </c>
      <c r="E2505" s="22" t="str">
        <f>HYPERLINK("https://twitter.com/JigneshShukla16/status/922418680943620096","922418680943620096")</f>
        <v>922418680943620096</v>
      </c>
      <c r="F2505" s="23" t="s">
        <v>33</v>
      </c>
      <c r="G2505" s="24">
        <v>55.0</v>
      </c>
      <c r="H2505" s="24">
        <v>77.0</v>
      </c>
      <c r="I2505" s="24">
        <v>8501.0</v>
      </c>
      <c r="J2505" s="24">
        <v>0.0</v>
      </c>
      <c r="K2505" s="23" t="s">
        <v>34</v>
      </c>
      <c r="L2505" s="25">
        <v>42844.0405787037</v>
      </c>
      <c r="M2505" s="28"/>
      <c r="N2505" s="28"/>
      <c r="O2505" s="22" t="str">
        <f>HYPERLINK("https://abs.twimg.com/sticky/default_profile_images/default_profile_normal.png","View")</f>
        <v>View</v>
      </c>
      <c r="P2505" s="27"/>
    </row>
    <row r="2506">
      <c r="A2506" s="14">
        <v>43031.17045138888</v>
      </c>
      <c r="B2506" s="20" t="str">
        <f>HYPERLINK("https://twitter.com/EBertolaccini","@EBertolaccini")</f>
        <v>@EBertolaccini</v>
      </c>
      <c r="C2506" s="21" t="s">
        <v>764</v>
      </c>
      <c r="D2506" s="21" t="s">
        <v>6024</v>
      </c>
      <c r="E2506" s="22" t="str">
        <f>HYPERLINK("https://twitter.com/EBertolaccini/status/922418686799024128","922418686799024128")</f>
        <v>922418686799024128</v>
      </c>
      <c r="F2506" s="23" t="s">
        <v>187</v>
      </c>
      <c r="G2506" s="24">
        <v>1179.0</v>
      </c>
      <c r="H2506" s="24">
        <v>1881.0</v>
      </c>
      <c r="I2506" s="24">
        <v>0.0</v>
      </c>
      <c r="J2506" s="24">
        <v>0.0</v>
      </c>
      <c r="K2506" s="23" t="s">
        <v>34</v>
      </c>
      <c r="L2506" s="25">
        <v>40636.36203703703</v>
      </c>
      <c r="M2506" s="26" t="s">
        <v>766</v>
      </c>
      <c r="N2506" s="26" t="s">
        <v>767</v>
      </c>
      <c r="O2506" s="22" t="str">
        <f>HYPERLINK("https://pbs.twimg.com/profile_images/522805721537466368/cbIOXjsD_normal.jpeg","View")</f>
        <v>View</v>
      </c>
      <c r="P2506" s="27"/>
    </row>
    <row r="2507">
      <c r="A2507" s="14">
        <v>43031.17065972222</v>
      </c>
      <c r="B2507" s="20" t="str">
        <f>HYPERLINK("https://twitter.com/meghz24","@meghz24")</f>
        <v>@meghz24</v>
      </c>
      <c r="C2507" s="21" t="s">
        <v>6025</v>
      </c>
      <c r="D2507" s="21" t="s">
        <v>42</v>
      </c>
      <c r="E2507" s="22" t="str">
        <f>HYPERLINK("https://twitter.com/meghz24/status/922418763110035456","922418763110035456")</f>
        <v>922418763110035456</v>
      </c>
      <c r="F2507" s="23" t="s">
        <v>33</v>
      </c>
      <c r="G2507" s="24">
        <v>805.0</v>
      </c>
      <c r="H2507" s="24">
        <v>154.0</v>
      </c>
      <c r="I2507" s="24">
        <v>8501.0</v>
      </c>
      <c r="J2507" s="24">
        <v>0.0</v>
      </c>
      <c r="K2507" s="23" t="s">
        <v>34</v>
      </c>
      <c r="L2507" s="25">
        <v>41399.07902777778</v>
      </c>
      <c r="M2507" s="26" t="s">
        <v>167</v>
      </c>
      <c r="N2507" s="26" t="s">
        <v>6026</v>
      </c>
      <c r="O2507" s="22" t="str">
        <f>HYPERLINK("https://pbs.twimg.com/profile_images/876820469961420800/tS-COpX9_normal.jpg","View")</f>
        <v>View</v>
      </c>
      <c r="P2507" s="27"/>
    </row>
    <row r="2508">
      <c r="A2508" s="14">
        <v>43031.17067129629</v>
      </c>
      <c r="B2508" s="20" t="str">
        <f>HYPERLINK("https://twitter.com/Angelus1701","@Angelus1701")</f>
        <v>@Angelus1701</v>
      </c>
      <c r="C2508" s="21" t="s">
        <v>6027</v>
      </c>
      <c r="D2508" s="21" t="s">
        <v>6028</v>
      </c>
      <c r="E2508" s="22" t="str">
        <f>HYPERLINK("https://twitter.com/Angelus1701/status/922418766700601344","922418766700601344")</f>
        <v>922418766700601344</v>
      </c>
      <c r="F2508" s="23" t="s">
        <v>187</v>
      </c>
      <c r="G2508" s="24">
        <v>849.0</v>
      </c>
      <c r="H2508" s="24">
        <v>1561.0</v>
      </c>
      <c r="I2508" s="24">
        <v>0.0</v>
      </c>
      <c r="J2508" s="24">
        <v>0.0</v>
      </c>
      <c r="K2508" s="23" t="s">
        <v>34</v>
      </c>
      <c r="L2508" s="25">
        <v>40288.10142361111</v>
      </c>
      <c r="M2508" s="26" t="s">
        <v>6029</v>
      </c>
      <c r="N2508" s="26" t="s">
        <v>6030</v>
      </c>
      <c r="O2508" s="22" t="str">
        <f>HYPERLINK("https://pbs.twimg.com/profile_images/730414344303939586/FLFk57Fb_normal.jpg","View")</f>
        <v>View</v>
      </c>
      <c r="P2508" s="27"/>
    </row>
    <row r="2509">
      <c r="A2509" s="14">
        <v>43031.17067129629</v>
      </c>
      <c r="B2509" s="20" t="str">
        <f>HYPERLINK("https://twitter.com/EBertolaccini","@EBertolaccini")</f>
        <v>@EBertolaccini</v>
      </c>
      <c r="C2509" s="21" t="s">
        <v>764</v>
      </c>
      <c r="D2509" s="21" t="s">
        <v>6031</v>
      </c>
      <c r="E2509" s="22" t="str">
        <f>HYPERLINK("https://twitter.com/EBertolaccini/status/922418766977388545","922418766977388545")</f>
        <v>922418766977388545</v>
      </c>
      <c r="F2509" s="23" t="s">
        <v>187</v>
      </c>
      <c r="G2509" s="24">
        <v>1179.0</v>
      </c>
      <c r="H2509" s="24">
        <v>1881.0</v>
      </c>
      <c r="I2509" s="24">
        <v>0.0</v>
      </c>
      <c r="J2509" s="24">
        <v>0.0</v>
      </c>
      <c r="K2509" s="23" t="s">
        <v>34</v>
      </c>
      <c r="L2509" s="25">
        <v>40636.36203703703</v>
      </c>
      <c r="M2509" s="26" t="s">
        <v>766</v>
      </c>
      <c r="N2509" s="26" t="s">
        <v>767</v>
      </c>
      <c r="O2509" s="22" t="str">
        <f>HYPERLINK("https://pbs.twimg.com/profile_images/522805721537466368/cbIOXjsD_normal.jpeg","View")</f>
        <v>View</v>
      </c>
      <c r="P2509" s="27"/>
    </row>
    <row r="2510">
      <c r="A2510" s="14">
        <v>43031.170810185184</v>
      </c>
      <c r="B2510" s="20" t="str">
        <f>HYPERLINK("https://twitter.com/ChanderSainNalo","@ChanderSainNalo")</f>
        <v>@ChanderSainNalo</v>
      </c>
      <c r="C2510" s="21" t="s">
        <v>6032</v>
      </c>
      <c r="D2510" s="21" t="s">
        <v>42</v>
      </c>
      <c r="E2510" s="22" t="str">
        <f>HYPERLINK("https://twitter.com/ChanderSainNalo/status/922418815618637824","922418815618637824")</f>
        <v>922418815618637824</v>
      </c>
      <c r="F2510" s="23" t="s">
        <v>33</v>
      </c>
      <c r="G2510" s="24">
        <v>58.0</v>
      </c>
      <c r="H2510" s="24">
        <v>178.0</v>
      </c>
      <c r="I2510" s="24">
        <v>8501.0</v>
      </c>
      <c r="J2510" s="24">
        <v>0.0</v>
      </c>
      <c r="K2510" s="23" t="s">
        <v>34</v>
      </c>
      <c r="L2510" s="25">
        <v>41565.92737268518</v>
      </c>
      <c r="M2510" s="26" t="s">
        <v>6033</v>
      </c>
      <c r="N2510" s="26" t="s">
        <v>6034</v>
      </c>
      <c r="O2510" s="22" t="str">
        <f>HYPERLINK("https://pbs.twimg.com/profile_images/906845263850901505/qvDawrrB_normal.jpg","View")</f>
        <v>View</v>
      </c>
      <c r="P2510" s="27"/>
    </row>
    <row r="2511">
      <c r="A2511" s="14">
        <v>43031.170810185184</v>
      </c>
      <c r="B2511" s="20" t="str">
        <f>HYPERLINK("https://twitter.com/KiyiyaHowlingWo","@KiyiyaHowlingWo")</f>
        <v>@KiyiyaHowlingWo</v>
      </c>
      <c r="C2511" s="21" t="s">
        <v>6035</v>
      </c>
      <c r="D2511" s="21" t="s">
        <v>6036</v>
      </c>
      <c r="E2511" s="22" t="str">
        <f>HYPERLINK("https://twitter.com/KiyiyaHowlingWo/status/922418817170632704","922418817170632704")</f>
        <v>922418817170632704</v>
      </c>
      <c r="F2511" s="23" t="s">
        <v>55</v>
      </c>
      <c r="G2511" s="24">
        <v>50.0</v>
      </c>
      <c r="H2511" s="24">
        <v>630.0</v>
      </c>
      <c r="I2511" s="24">
        <v>4.0</v>
      </c>
      <c r="J2511" s="24">
        <v>0.0</v>
      </c>
      <c r="K2511" s="23" t="s">
        <v>34</v>
      </c>
      <c r="L2511" s="25">
        <v>41855.6640625</v>
      </c>
      <c r="M2511" s="26" t="s">
        <v>6037</v>
      </c>
      <c r="N2511" s="26" t="s">
        <v>6038</v>
      </c>
      <c r="O2511" s="22" t="str">
        <f>HYPERLINK("https://pbs.twimg.com/profile_images/920142446771757056/LY4gFynr_normal.jpg","View")</f>
        <v>View</v>
      </c>
      <c r="P2511" s="27"/>
    </row>
    <row r="2512">
      <c r="A2512" s="14">
        <v>43031.170856481476</v>
      </c>
      <c r="B2512" s="20" t="str">
        <f>HYPERLINK("https://twitter.com/Thiyagarajan_TG","@Thiyagarajan_TG")</f>
        <v>@Thiyagarajan_TG</v>
      </c>
      <c r="C2512" s="21" t="s">
        <v>6039</v>
      </c>
      <c r="D2512" s="21" t="s">
        <v>42</v>
      </c>
      <c r="E2512" s="22" t="str">
        <f>HYPERLINK("https://twitter.com/Thiyagarajan_TG/status/922418834039906305","922418834039906305")</f>
        <v>922418834039906305</v>
      </c>
      <c r="F2512" s="23" t="s">
        <v>33</v>
      </c>
      <c r="G2512" s="24">
        <v>258.0</v>
      </c>
      <c r="H2512" s="24">
        <v>687.0</v>
      </c>
      <c r="I2512" s="24">
        <v>8501.0</v>
      </c>
      <c r="J2512" s="24">
        <v>0.0</v>
      </c>
      <c r="K2512" s="23" t="s">
        <v>34</v>
      </c>
      <c r="L2512" s="25">
        <v>42373.13835648148</v>
      </c>
      <c r="M2512" s="26" t="s">
        <v>167</v>
      </c>
      <c r="N2512" s="26" t="s">
        <v>6040</v>
      </c>
      <c r="O2512" s="22" t="str">
        <f>HYPERLINK("https://pbs.twimg.com/profile_images/882136811094515712/GlxRgOdB_normal.jpg","View")</f>
        <v>View</v>
      </c>
      <c r="P2512" s="27"/>
    </row>
    <row r="2513">
      <c r="A2513" s="14">
        <v>43031.170902777776</v>
      </c>
      <c r="B2513" s="20" t="str">
        <f>HYPERLINK("https://twitter.com/JCSura","@JCSura")</f>
        <v>@JCSura</v>
      </c>
      <c r="C2513" s="21" t="s">
        <v>6041</v>
      </c>
      <c r="D2513" s="21" t="s">
        <v>6042</v>
      </c>
      <c r="E2513" s="22" t="str">
        <f>HYPERLINK("https://twitter.com/JCSura/status/922418850393657344","922418850393657344")</f>
        <v>922418850393657344</v>
      </c>
      <c r="F2513" s="23" t="s">
        <v>187</v>
      </c>
      <c r="G2513" s="24">
        <v>7341.0</v>
      </c>
      <c r="H2513" s="24">
        <v>503.0</v>
      </c>
      <c r="I2513" s="24">
        <v>0.0</v>
      </c>
      <c r="J2513" s="24">
        <v>0.0</v>
      </c>
      <c r="K2513" s="23" t="s">
        <v>34</v>
      </c>
      <c r="L2513" s="25">
        <v>39904.2328587963</v>
      </c>
      <c r="M2513" s="26" t="s">
        <v>6043</v>
      </c>
      <c r="N2513" s="26" t="s">
        <v>6044</v>
      </c>
      <c r="O2513" s="22" t="str">
        <f>HYPERLINK("https://pbs.twimg.com/profile_images/827568259465555968/4MROd4Dr_normal.jpg","View")</f>
        <v>View</v>
      </c>
      <c r="P2513" s="27"/>
    </row>
    <row r="2514">
      <c r="A2514" s="14">
        <v>43031.170949074076</v>
      </c>
      <c r="B2514" s="20" t="str">
        <f>HYPERLINK("https://twitter.com/Sorgitzak","@Sorgitzak")</f>
        <v>@Sorgitzak</v>
      </c>
      <c r="C2514" s="21" t="s">
        <v>1122</v>
      </c>
      <c r="D2514" s="21" t="s">
        <v>6045</v>
      </c>
      <c r="E2514" s="22" t="str">
        <f>HYPERLINK("https://twitter.com/Sorgitzak/status/922418869570080768","922418869570080768")</f>
        <v>922418869570080768</v>
      </c>
      <c r="F2514" s="23" t="s">
        <v>187</v>
      </c>
      <c r="G2514" s="24">
        <v>723.0</v>
      </c>
      <c r="H2514" s="24">
        <v>1309.0</v>
      </c>
      <c r="I2514" s="24">
        <v>0.0</v>
      </c>
      <c r="J2514" s="24">
        <v>0.0</v>
      </c>
      <c r="K2514" s="23" t="s">
        <v>34</v>
      </c>
      <c r="L2514" s="25">
        <v>39990.552152777775</v>
      </c>
      <c r="M2514" s="26" t="s">
        <v>1124</v>
      </c>
      <c r="N2514" s="28"/>
      <c r="O2514" s="22" t="str">
        <f>HYPERLINK("https://pbs.twimg.com/profile_images/284404970/sorgitzak_normal.JPG","View")</f>
        <v>View</v>
      </c>
      <c r="P2514" s="27"/>
    </row>
    <row r="2515">
      <c r="A2515" s="14">
        <v>43031.17104166667</v>
      </c>
      <c r="B2515" s="20" t="str">
        <f>HYPERLINK("https://twitter.com/mviworld","@mviworld")</f>
        <v>@mviworld</v>
      </c>
      <c r="C2515" s="21" t="s">
        <v>2022</v>
      </c>
      <c r="D2515" s="21" t="s">
        <v>6046</v>
      </c>
      <c r="E2515" s="22" t="str">
        <f>HYPERLINK("https://twitter.com/mviworld/status/922418901807521792","922418901807521792")</f>
        <v>922418901807521792</v>
      </c>
      <c r="F2515" s="23" t="s">
        <v>187</v>
      </c>
      <c r="G2515" s="24">
        <v>10.0</v>
      </c>
      <c r="H2515" s="24">
        <v>0.0</v>
      </c>
      <c r="I2515" s="24">
        <v>0.0</v>
      </c>
      <c r="J2515" s="24">
        <v>0.0</v>
      </c>
      <c r="K2515" s="23" t="s">
        <v>34</v>
      </c>
      <c r="L2515" s="25">
        <v>42108.69364583334</v>
      </c>
      <c r="M2515" s="28"/>
      <c r="N2515" s="26" t="s">
        <v>2024</v>
      </c>
      <c r="O2515" s="22" t="str">
        <f>HYPERLINK("https://pbs.twimg.com/profile_images/917892304836399105/Z1hIAXOo_normal.jpg","View")</f>
        <v>View</v>
      </c>
      <c r="P2515" s="27"/>
    </row>
    <row r="2516">
      <c r="A2516" s="14">
        <v>43031.171064814815</v>
      </c>
      <c r="B2516" s="20" t="str">
        <f>HYPERLINK("https://twitter.com/bdnews24","@bdnews24")</f>
        <v>@bdnews24</v>
      </c>
      <c r="C2516" s="21" t="s">
        <v>831</v>
      </c>
      <c r="D2516" s="21" t="s">
        <v>6047</v>
      </c>
      <c r="E2516" s="22" t="str">
        <f>HYPERLINK("https://twitter.com/bdnews24/status/922418910745497601","922418910745497601")</f>
        <v>922418910745497601</v>
      </c>
      <c r="F2516" s="23" t="s">
        <v>187</v>
      </c>
      <c r="G2516" s="24">
        <v>215301.0</v>
      </c>
      <c r="H2516" s="24">
        <v>67843.0</v>
      </c>
      <c r="I2516" s="24">
        <v>0.0</v>
      </c>
      <c r="J2516" s="24">
        <v>1.0</v>
      </c>
      <c r="K2516" s="23" t="s">
        <v>34</v>
      </c>
      <c r="L2516" s="25">
        <v>39844.468043981484</v>
      </c>
      <c r="M2516" s="26" t="s">
        <v>833</v>
      </c>
      <c r="N2516" s="26" t="s">
        <v>834</v>
      </c>
      <c r="O2516" s="22" t="str">
        <f>HYPERLINK("https://pbs.twimg.com/profile_images/718433521509994497/4iW9RC_r_normal.jpg","View")</f>
        <v>View</v>
      </c>
      <c r="P2516" s="27"/>
    </row>
    <row r="2517">
      <c r="A2517" s="14">
        <v>43031.171076388884</v>
      </c>
      <c r="B2517" s="20" t="str">
        <f>HYPERLINK("https://twitter.com/balicv19","@balicv19")</f>
        <v>@balicv19</v>
      </c>
      <c r="C2517" s="21" t="s">
        <v>6048</v>
      </c>
      <c r="D2517" s="21" t="s">
        <v>67</v>
      </c>
      <c r="E2517" s="22" t="str">
        <f>HYPERLINK("https://twitter.com/balicv19/status/922418915946397697","922418915946397697")</f>
        <v>922418915946397697</v>
      </c>
      <c r="F2517" s="23" t="s">
        <v>33</v>
      </c>
      <c r="G2517" s="24">
        <v>113.0</v>
      </c>
      <c r="H2517" s="24">
        <v>271.0</v>
      </c>
      <c r="I2517" s="24">
        <v>169.0</v>
      </c>
      <c r="J2517" s="24">
        <v>0.0</v>
      </c>
      <c r="K2517" s="23" t="s">
        <v>34</v>
      </c>
      <c r="L2517" s="25">
        <v>42576.84415509259</v>
      </c>
      <c r="M2517" s="28"/>
      <c r="N2517" s="28"/>
      <c r="O2517" s="22" t="str">
        <f>HYPERLINK("https://abs.twimg.com/sticky/default_profile_images/default_profile_normal.png","View")</f>
        <v>View</v>
      </c>
      <c r="P2517" s="27"/>
    </row>
    <row r="2518">
      <c r="A2518" s="14">
        <v>43031.17108796297</v>
      </c>
      <c r="B2518" s="20" t="str">
        <f>HYPERLINK("https://twitter.com/Vladstock","@Vladstock")</f>
        <v>@Vladstock</v>
      </c>
      <c r="C2518" s="21" t="s">
        <v>6049</v>
      </c>
      <c r="D2518" s="21" t="s">
        <v>6050</v>
      </c>
      <c r="E2518" s="22" t="str">
        <f>HYPERLINK("https://twitter.com/Vladstock/status/922418918114955264","922418918114955264")</f>
        <v>922418918114955264</v>
      </c>
      <c r="F2518" s="23" t="s">
        <v>230</v>
      </c>
      <c r="G2518" s="24">
        <v>244.0</v>
      </c>
      <c r="H2518" s="24">
        <v>39.0</v>
      </c>
      <c r="I2518" s="24">
        <v>0.0</v>
      </c>
      <c r="J2518" s="24">
        <v>0.0</v>
      </c>
      <c r="K2518" s="23" t="s">
        <v>34</v>
      </c>
      <c r="L2518" s="25">
        <v>39984.24951388889</v>
      </c>
      <c r="M2518" s="26" t="s">
        <v>6051</v>
      </c>
      <c r="N2518" s="26" t="s">
        <v>6052</v>
      </c>
      <c r="O2518" s="22" t="str">
        <f>HYPERLINK("https://pbs.twimg.com/profile_images/378800000246647366/8bc694146b169ee8569cf665affee415_normal.jpeg","View")</f>
        <v>View</v>
      </c>
      <c r="P2518" s="27"/>
    </row>
    <row r="2519">
      <c r="A2519" s="14">
        <v>43031.17109953704</v>
      </c>
      <c r="B2519" s="20" t="str">
        <f>HYPERLINK("https://twitter.com/RadioLondra_","@RadioLondra_")</f>
        <v>@RadioLondra_</v>
      </c>
      <c r="C2519" s="21" t="s">
        <v>6053</v>
      </c>
      <c r="D2519" s="21" t="s">
        <v>6054</v>
      </c>
      <c r="E2519" s="22" t="str">
        <f>HYPERLINK("https://twitter.com/RadioLondra_/status/922418923609444352","922418923609444352")</f>
        <v>922418923609444352</v>
      </c>
      <c r="F2519" s="23" t="s">
        <v>187</v>
      </c>
      <c r="G2519" s="24">
        <v>9655.0</v>
      </c>
      <c r="H2519" s="24">
        <v>3695.0</v>
      </c>
      <c r="I2519" s="24">
        <v>0.0</v>
      </c>
      <c r="J2519" s="24">
        <v>0.0</v>
      </c>
      <c r="K2519" s="23" t="s">
        <v>34</v>
      </c>
      <c r="L2519" s="25">
        <v>41468.141226851854</v>
      </c>
      <c r="M2519" s="26" t="s">
        <v>6055</v>
      </c>
      <c r="N2519" s="26" t="s">
        <v>6056</v>
      </c>
      <c r="O2519" s="22" t="str">
        <f>HYPERLINK("https://pbs.twimg.com/profile_images/441863978172436480/0W69MoDX_normal.jpeg","View")</f>
        <v>View</v>
      </c>
      <c r="P2519" s="27"/>
    </row>
    <row r="2520">
      <c r="A2520" s="14">
        <v>43031.171122685184</v>
      </c>
      <c r="B2520" s="20" t="str">
        <f>HYPERLINK("https://twitter.com/TheNewsAlerts","@TheNewsAlerts")</f>
        <v>@TheNewsAlerts</v>
      </c>
      <c r="C2520" s="21" t="s">
        <v>827</v>
      </c>
      <c r="D2520" s="21" t="s">
        <v>6057</v>
      </c>
      <c r="E2520" s="22" t="str">
        <f>HYPERLINK("https://twitter.com/TheNewsAlerts/status/922418929758334976","922418929758334976")</f>
        <v>922418929758334976</v>
      </c>
      <c r="F2520" s="23" t="s">
        <v>187</v>
      </c>
      <c r="G2520" s="24">
        <v>705.0</v>
      </c>
      <c r="H2520" s="24">
        <v>566.0</v>
      </c>
      <c r="I2520" s="24">
        <v>0.0</v>
      </c>
      <c r="J2520" s="24">
        <v>0.0</v>
      </c>
      <c r="K2520" s="23" t="s">
        <v>34</v>
      </c>
      <c r="L2520" s="25">
        <v>40368.59261574074</v>
      </c>
      <c r="M2520" s="26" t="s">
        <v>829</v>
      </c>
      <c r="N2520" s="26" t="s">
        <v>830</v>
      </c>
      <c r="O2520" s="22" t="str">
        <f>HYPERLINK("https://pbs.twimg.com/profile_images/824973109522464768/RosVlZDx_normal.jpg","View")</f>
        <v>View</v>
      </c>
      <c r="P2520" s="27"/>
    </row>
    <row r="2521">
      <c r="A2521" s="14">
        <v>43031.171122685184</v>
      </c>
      <c r="B2521" s="20" t="str">
        <f>HYPERLINK("https://twitter.com/Ianmport","@Ianmport")</f>
        <v>@Ianmport</v>
      </c>
      <c r="C2521" s="21" t="s">
        <v>6058</v>
      </c>
      <c r="D2521" s="21" t="s">
        <v>6059</v>
      </c>
      <c r="E2521" s="22" t="str">
        <f>HYPERLINK("https://twitter.com/Ianmport/status/922418931587002368","922418931587002368")</f>
        <v>922418931587002368</v>
      </c>
      <c r="F2521" s="23" t="s">
        <v>33</v>
      </c>
      <c r="G2521" s="24">
        <v>1631.0</v>
      </c>
      <c r="H2521" s="24">
        <v>3916.0</v>
      </c>
      <c r="I2521" s="24">
        <v>0.0</v>
      </c>
      <c r="J2521" s="24">
        <v>0.0</v>
      </c>
      <c r="K2521" s="23" t="s">
        <v>34</v>
      </c>
      <c r="L2521" s="25">
        <v>41589.533530092594</v>
      </c>
      <c r="M2521" s="26" t="s">
        <v>6060</v>
      </c>
      <c r="N2521" s="26" t="s">
        <v>6061</v>
      </c>
      <c r="O2521" s="22" t="str">
        <f>HYPERLINK("https://pbs.twimg.com/profile_images/579652332767584256/GDdZPT87_normal.jpg","View")</f>
        <v>View</v>
      </c>
      <c r="P2521" s="27"/>
    </row>
    <row r="2522">
      <c r="A2522" s="14">
        <v>43031.17113425926</v>
      </c>
      <c r="B2522" s="20" t="str">
        <f>HYPERLINK("https://twitter.com/Global____News","@Global____News")</f>
        <v>@Global____News</v>
      </c>
      <c r="C2522" s="21" t="s">
        <v>6062</v>
      </c>
      <c r="D2522" s="21" t="s">
        <v>6063</v>
      </c>
      <c r="E2522" s="22" t="str">
        <f>HYPERLINK("https://twitter.com/Global____News/status/922418935135395840","922418935135395840")</f>
        <v>922418935135395840</v>
      </c>
      <c r="F2522" s="23" t="s">
        <v>187</v>
      </c>
      <c r="G2522" s="24">
        <v>5788.0</v>
      </c>
      <c r="H2522" s="24">
        <v>2904.0</v>
      </c>
      <c r="I2522" s="24">
        <v>0.0</v>
      </c>
      <c r="J2522" s="24">
        <v>0.0</v>
      </c>
      <c r="K2522" s="23" t="s">
        <v>34</v>
      </c>
      <c r="L2522" s="25">
        <v>42003.52075231481</v>
      </c>
      <c r="M2522" s="26" t="s">
        <v>6064</v>
      </c>
      <c r="N2522" s="26" t="s">
        <v>6065</v>
      </c>
      <c r="O2522" s="22" t="str">
        <f>HYPERLINK("https://pbs.twimg.com/profile_images/553154855804481537/PP1npsIT_normal.jpeg","View")</f>
        <v>View</v>
      </c>
      <c r="P2522" s="27"/>
    </row>
    <row r="2523">
      <c r="A2523" s="14">
        <v>43031.171168981484</v>
      </c>
      <c r="B2523" s="20" t="str">
        <f>HYPERLINK("https://twitter.com/seniormacuser","@seniormacuser")</f>
        <v>@seniormacuser</v>
      </c>
      <c r="C2523" s="21" t="s">
        <v>6066</v>
      </c>
      <c r="D2523" s="21" t="s">
        <v>6067</v>
      </c>
      <c r="E2523" s="22" t="str">
        <f>HYPERLINK("https://twitter.com/seniormacuser/status/922418949307944961","922418949307944961")</f>
        <v>922418949307944961</v>
      </c>
      <c r="F2523" s="23" t="s">
        <v>187</v>
      </c>
      <c r="G2523" s="24">
        <v>427.0</v>
      </c>
      <c r="H2523" s="24">
        <v>77.0</v>
      </c>
      <c r="I2523" s="24">
        <v>0.0</v>
      </c>
      <c r="J2523" s="24">
        <v>0.0</v>
      </c>
      <c r="K2523" s="23" t="s">
        <v>34</v>
      </c>
      <c r="L2523" s="25">
        <v>40668.107777777775</v>
      </c>
      <c r="M2523" s="28"/>
      <c r="N2523" s="26" t="s">
        <v>6068</v>
      </c>
      <c r="O2523" s="22" t="str">
        <f>HYPERLINK("https://pbs.twimg.com/profile_images/464104865279385600/9iXELFL1_normal.png","View")</f>
        <v>View</v>
      </c>
      <c r="P2523" s="27"/>
    </row>
    <row r="2524">
      <c r="A2524" s="14">
        <v>43031.17125</v>
      </c>
      <c r="B2524" s="20" t="str">
        <f>HYPERLINK("https://twitter.com/rogswabot","@rogswabot")</f>
        <v>@rogswabot</v>
      </c>
      <c r="C2524" s="21" t="s">
        <v>6069</v>
      </c>
      <c r="D2524" s="21" t="s">
        <v>6070</v>
      </c>
      <c r="E2524" s="22" t="str">
        <f>HYPERLINK("https://twitter.com/rogswabot/status/922418978940702720","922418978940702720")</f>
        <v>922418978940702720</v>
      </c>
      <c r="F2524" s="23" t="s">
        <v>187</v>
      </c>
      <c r="G2524" s="24">
        <v>170.0</v>
      </c>
      <c r="H2524" s="24">
        <v>39.0</v>
      </c>
      <c r="I2524" s="24">
        <v>0.0</v>
      </c>
      <c r="J2524" s="24">
        <v>0.0</v>
      </c>
      <c r="K2524" s="23" t="s">
        <v>34</v>
      </c>
      <c r="L2524" s="25">
        <v>42659.36556712963</v>
      </c>
      <c r="M2524" s="28"/>
      <c r="N2524" s="26" t="s">
        <v>6071</v>
      </c>
      <c r="O2524" s="22" t="str">
        <f>HYPERLINK("https://pbs.twimg.com/profile_images/787687252197597185/K2CcBrKH_normal.jpg","View")</f>
        <v>View</v>
      </c>
      <c r="P2524" s="27"/>
    </row>
    <row r="2525">
      <c r="A2525" s="14">
        <v>43031.17127314815</v>
      </c>
      <c r="B2525" s="20" t="str">
        <f>HYPERLINK("https://twitter.com/MonishPatra","@MonishPatra")</f>
        <v>@MonishPatra</v>
      </c>
      <c r="C2525" s="21" t="s">
        <v>6072</v>
      </c>
      <c r="D2525" s="21" t="s">
        <v>5786</v>
      </c>
      <c r="E2525" s="22" t="str">
        <f>HYPERLINK("https://twitter.com/MonishPatra/status/922418984892248064","922418984892248064")</f>
        <v>922418984892248064</v>
      </c>
      <c r="F2525" s="23" t="s">
        <v>33</v>
      </c>
      <c r="G2525" s="24">
        <v>85.0</v>
      </c>
      <c r="H2525" s="24">
        <v>225.0</v>
      </c>
      <c r="I2525" s="24">
        <v>59.0</v>
      </c>
      <c r="J2525" s="24">
        <v>0.0</v>
      </c>
      <c r="K2525" s="23" t="s">
        <v>34</v>
      </c>
      <c r="L2525" s="25">
        <v>42937.5258912037</v>
      </c>
      <c r="M2525" s="26" t="s">
        <v>6073</v>
      </c>
      <c r="N2525" s="26" t="s">
        <v>6074</v>
      </c>
      <c r="O2525" s="22" t="str">
        <f>HYPERLINK("https://pbs.twimg.com/profile_images/922093971001679872/Y6IdqEdh_normal.jpg","View")</f>
        <v>View</v>
      </c>
      <c r="P2525" s="27"/>
    </row>
    <row r="2526">
      <c r="A2526" s="14">
        <v>43031.17136574074</v>
      </c>
      <c r="B2526" s="20" t="str">
        <f>HYPERLINK("https://twitter.com/autorenonline","@autorenonline")</f>
        <v>@autorenonline</v>
      </c>
      <c r="C2526" s="21" t="s">
        <v>6075</v>
      </c>
      <c r="D2526" s="21" t="s">
        <v>6076</v>
      </c>
      <c r="E2526" s="22" t="str">
        <f>HYPERLINK("https://twitter.com/autorenonline/status/922419018757107712","922419018757107712")</f>
        <v>922419018757107712</v>
      </c>
      <c r="F2526" s="30" t="s">
        <v>191</v>
      </c>
      <c r="G2526" s="24">
        <v>505702.0</v>
      </c>
      <c r="H2526" s="24">
        <v>3114.0</v>
      </c>
      <c r="I2526" s="24">
        <v>0.0</v>
      </c>
      <c r="J2526" s="24">
        <v>0.0</v>
      </c>
      <c r="K2526" s="23" t="s">
        <v>34</v>
      </c>
      <c r="L2526" s="25">
        <v>40377.849814814814</v>
      </c>
      <c r="M2526" s="26" t="s">
        <v>6077</v>
      </c>
      <c r="N2526" s="35" t="s">
        <v>6078</v>
      </c>
      <c r="O2526" s="22" t="str">
        <f>HYPERLINK("https://pbs.twimg.com/profile_images/878666979074355204/JdNu823o_normal.jpg","View")</f>
        <v>View</v>
      </c>
      <c r="P2526" s="27"/>
    </row>
    <row r="2527">
      <c r="A2527" s="14">
        <v>43031.171435185184</v>
      </c>
      <c r="B2527" s="20" t="str">
        <f>HYPERLINK("https://twitter.com/moi0101","@moi0101")</f>
        <v>@moi0101</v>
      </c>
      <c r="C2527" s="21" t="s">
        <v>6079</v>
      </c>
      <c r="D2527" s="21" t="s">
        <v>42</v>
      </c>
      <c r="E2527" s="22" t="str">
        <f>HYPERLINK("https://twitter.com/moi0101/status/922419042886938624","922419042886938624")</f>
        <v>922419042886938624</v>
      </c>
      <c r="F2527" s="23" t="s">
        <v>55</v>
      </c>
      <c r="G2527" s="24">
        <v>51.0</v>
      </c>
      <c r="H2527" s="24">
        <v>261.0</v>
      </c>
      <c r="I2527" s="24">
        <v>8501.0</v>
      </c>
      <c r="J2527" s="24">
        <v>0.0</v>
      </c>
      <c r="K2527" s="23" t="s">
        <v>34</v>
      </c>
      <c r="L2527" s="25">
        <v>40634.80420138889</v>
      </c>
      <c r="M2527" s="26" t="s">
        <v>6080</v>
      </c>
      <c r="N2527" s="26" t="s">
        <v>6081</v>
      </c>
      <c r="O2527" s="22" t="str">
        <f>HYPERLINK("https://pbs.twimg.com/profile_images/1296689443/03_normal.jpeg","View")</f>
        <v>View</v>
      </c>
      <c r="P2527" s="27"/>
    </row>
    <row r="2528">
      <c r="A2528" s="14">
        <v>43031.17152777778</v>
      </c>
      <c r="B2528" s="20" t="str">
        <f>HYPERLINK("https://twitter.com/SheilaSmithCFR","@SheilaSmithCFR")</f>
        <v>@SheilaSmithCFR</v>
      </c>
      <c r="C2528" s="21" t="s">
        <v>5595</v>
      </c>
      <c r="D2528" s="21" t="s">
        <v>3867</v>
      </c>
      <c r="E2528" s="22" t="str">
        <f>HYPERLINK("https://twitter.com/SheilaSmithCFR/status/922419078983282688","922419078983282688")</f>
        <v>922419078983282688</v>
      </c>
      <c r="F2528" s="23" t="s">
        <v>39</v>
      </c>
      <c r="G2528" s="24">
        <v>4431.0</v>
      </c>
      <c r="H2528" s="24">
        <v>310.0</v>
      </c>
      <c r="I2528" s="24">
        <v>23.0</v>
      </c>
      <c r="J2528" s="24">
        <v>0.0</v>
      </c>
      <c r="K2528" s="23" t="s">
        <v>34</v>
      </c>
      <c r="L2528" s="25">
        <v>40897.79835648148</v>
      </c>
      <c r="M2528" s="26" t="s">
        <v>4239</v>
      </c>
      <c r="N2528" s="26" t="s">
        <v>5596</v>
      </c>
      <c r="O2528" s="22" t="str">
        <f>HYPERLINK("https://pbs.twimg.com/profile_images/474587797337042945/HOSFbOao_normal.jpeg","View")</f>
        <v>View</v>
      </c>
      <c r="P2528" s="27"/>
    </row>
    <row r="2529">
      <c r="A2529" s="14">
        <v>43031.17152777778</v>
      </c>
      <c r="B2529" s="20" t="str">
        <f>HYPERLINK("https://twitter.com/smartygaurav25","@smartygaurav25")</f>
        <v>@smartygaurav25</v>
      </c>
      <c r="C2529" s="21" t="s">
        <v>6082</v>
      </c>
      <c r="D2529" s="21" t="s">
        <v>42</v>
      </c>
      <c r="E2529" s="22" t="str">
        <f>HYPERLINK("https://twitter.com/smartygaurav25/status/922419079637475328","922419079637475328")</f>
        <v>922419079637475328</v>
      </c>
      <c r="F2529" s="23" t="s">
        <v>33</v>
      </c>
      <c r="G2529" s="24">
        <v>43.0</v>
      </c>
      <c r="H2529" s="24">
        <v>74.0</v>
      </c>
      <c r="I2529" s="24">
        <v>8501.0</v>
      </c>
      <c r="J2529" s="24">
        <v>0.0</v>
      </c>
      <c r="K2529" s="23" t="s">
        <v>34</v>
      </c>
      <c r="L2529" s="25">
        <v>41024.00295138889</v>
      </c>
      <c r="M2529" s="26" t="s">
        <v>6083</v>
      </c>
      <c r="N2529" s="26" t="s">
        <v>6084</v>
      </c>
      <c r="O2529" s="22" t="str">
        <f>HYPERLINK("https://pbs.twimg.com/profile_images/426412697551269888/_y9kDlHs_normal.jpeg","View")</f>
        <v>View</v>
      </c>
      <c r="P2529" s="27"/>
    </row>
    <row r="2530">
      <c r="A2530" s="14">
        <v>43031.1716087963</v>
      </c>
      <c r="B2530" s="20" t="str">
        <f>HYPERLINK("https://twitter.com/mbwManzoni","@mbwManzoni")</f>
        <v>@mbwManzoni</v>
      </c>
      <c r="C2530" s="21" t="s">
        <v>6085</v>
      </c>
      <c r="D2530" s="21" t="s">
        <v>6086</v>
      </c>
      <c r="E2530" s="22" t="str">
        <f>HYPERLINK("https://twitter.com/mbwManzoni/status/922419105797410816","922419105797410816")</f>
        <v>922419105797410816</v>
      </c>
      <c r="F2530" s="23" t="s">
        <v>48</v>
      </c>
      <c r="G2530" s="24">
        <v>495.0</v>
      </c>
      <c r="H2530" s="24">
        <v>1160.0</v>
      </c>
      <c r="I2530" s="24">
        <v>0.0</v>
      </c>
      <c r="J2530" s="24">
        <v>0.0</v>
      </c>
      <c r="K2530" s="23" t="s">
        <v>34</v>
      </c>
      <c r="L2530" s="25">
        <v>40440.49842592592</v>
      </c>
      <c r="M2530" s="26" t="s">
        <v>6087</v>
      </c>
      <c r="N2530" s="26" t="s">
        <v>6088</v>
      </c>
      <c r="O2530" s="22" t="str">
        <f>HYPERLINK("https://pbs.twimg.com/profile_images/876267141082861569/P5HrOcEH_normal.jpg","View")</f>
        <v>View</v>
      </c>
      <c r="P2530" s="27"/>
    </row>
    <row r="2531">
      <c r="A2531" s="14">
        <v>43031.1716087963</v>
      </c>
      <c r="B2531" s="20" t="str">
        <f>HYPERLINK("https://twitter.com/Erb_76","@Erb_76")</f>
        <v>@Erb_76</v>
      </c>
      <c r="C2531" s="21" t="s">
        <v>6089</v>
      </c>
      <c r="D2531" s="21" t="s">
        <v>6090</v>
      </c>
      <c r="E2531" s="22" t="str">
        <f>HYPERLINK("https://twitter.com/Erb_76/status/922419106275581952","922419106275581952")</f>
        <v>922419106275581952</v>
      </c>
      <c r="F2531" s="23" t="s">
        <v>48</v>
      </c>
      <c r="G2531" s="24">
        <v>54.0</v>
      </c>
      <c r="H2531" s="24">
        <v>120.0</v>
      </c>
      <c r="I2531" s="24">
        <v>0.0</v>
      </c>
      <c r="J2531" s="24">
        <v>0.0</v>
      </c>
      <c r="K2531" s="23" t="s">
        <v>34</v>
      </c>
      <c r="L2531" s="25">
        <v>40037.49115740741</v>
      </c>
      <c r="M2531" s="26" t="s">
        <v>6091</v>
      </c>
      <c r="N2531" s="28"/>
      <c r="O2531" s="22" t="str">
        <f>HYPERLINK("https://pbs.twimg.com/profile_images/791456690327748608/sKaZuw0U_normal.jpg","View")</f>
        <v>View</v>
      </c>
      <c r="P2531" s="27"/>
    </row>
    <row r="2532">
      <c r="A2532" s="14">
        <v>43031.1716087963</v>
      </c>
      <c r="B2532" s="20" t="str">
        <f>HYPERLINK("https://twitter.com/SahelHKJ","@SahelHKJ")</f>
        <v>@SahelHKJ</v>
      </c>
      <c r="C2532" s="21" t="s">
        <v>6092</v>
      </c>
      <c r="D2532" s="21" t="s">
        <v>6093</v>
      </c>
      <c r="E2532" s="22" t="str">
        <f>HYPERLINK("https://twitter.com/SahelHKJ/status/922419109127770117","922419109127770117")</f>
        <v>922419109127770117</v>
      </c>
      <c r="F2532" s="23" t="s">
        <v>187</v>
      </c>
      <c r="G2532" s="24">
        <v>49116.0</v>
      </c>
      <c r="H2532" s="24">
        <v>632.0</v>
      </c>
      <c r="I2532" s="24">
        <v>0.0</v>
      </c>
      <c r="J2532" s="24">
        <v>0.0</v>
      </c>
      <c r="K2532" s="23" t="s">
        <v>34</v>
      </c>
      <c r="L2532" s="25">
        <v>40640.52108796296</v>
      </c>
      <c r="M2532" s="26" t="s">
        <v>6094</v>
      </c>
      <c r="N2532" s="26" t="s">
        <v>6095</v>
      </c>
      <c r="O2532" s="22" t="str">
        <f>HYPERLINK("https://pbs.twimg.com/profile_images/908288635841150978/Et2ENdHX_normal.jpg","View")</f>
        <v>View</v>
      </c>
      <c r="P2532" s="27"/>
    </row>
    <row r="2533">
      <c r="A2533" s="14">
        <v>43031.171631944446</v>
      </c>
      <c r="B2533" s="20" t="str">
        <f>HYPERLINK("https://twitter.com/bretallcious","@bretallcious")</f>
        <v>@bretallcious</v>
      </c>
      <c r="C2533" s="21" t="s">
        <v>6096</v>
      </c>
      <c r="D2533" s="21" t="s">
        <v>6097</v>
      </c>
      <c r="E2533" s="22" t="str">
        <f>HYPERLINK("https://twitter.com/bretallcious/status/922419113980436481","922419113980436481")</f>
        <v>922419113980436481</v>
      </c>
      <c r="F2533" s="23" t="s">
        <v>33</v>
      </c>
      <c r="G2533" s="24">
        <v>38.0</v>
      </c>
      <c r="H2533" s="24">
        <v>1562.0</v>
      </c>
      <c r="I2533" s="24">
        <v>1.0</v>
      </c>
      <c r="J2533" s="24">
        <v>0.0</v>
      </c>
      <c r="K2533" s="23" t="s">
        <v>34</v>
      </c>
      <c r="L2533" s="25">
        <v>41746.07636574074</v>
      </c>
      <c r="M2533" s="26" t="s">
        <v>6098</v>
      </c>
      <c r="N2533" s="28"/>
      <c r="O2533" s="22" t="str">
        <f>HYPERLINK("https://pbs.twimg.com/profile_images/749776114529206273/gBVSiu_X_normal.jpg","View")</f>
        <v>View</v>
      </c>
      <c r="P2533" s="27"/>
    </row>
    <row r="2534">
      <c r="A2534" s="14">
        <v>43031.171689814815</v>
      </c>
      <c r="B2534" s="20" t="str">
        <f>HYPERLINK("https://twitter.com/keshavmishra5","@keshavmishra5")</f>
        <v>@keshavmishra5</v>
      </c>
      <c r="C2534" s="21" t="s">
        <v>6099</v>
      </c>
      <c r="D2534" s="21" t="s">
        <v>42</v>
      </c>
      <c r="E2534" s="22" t="str">
        <f>HYPERLINK("https://twitter.com/keshavmishra5/status/922419138517016576","922419138517016576")</f>
        <v>922419138517016576</v>
      </c>
      <c r="F2534" s="23" t="s">
        <v>55</v>
      </c>
      <c r="G2534" s="24">
        <v>206.0</v>
      </c>
      <c r="H2534" s="24">
        <v>1167.0</v>
      </c>
      <c r="I2534" s="24">
        <v>8501.0</v>
      </c>
      <c r="J2534" s="24">
        <v>0.0</v>
      </c>
      <c r="K2534" s="23" t="s">
        <v>34</v>
      </c>
      <c r="L2534" s="25">
        <v>40318.3100462963</v>
      </c>
      <c r="M2534" s="26" t="s">
        <v>207</v>
      </c>
      <c r="N2534" s="26" t="s">
        <v>6100</v>
      </c>
      <c r="O2534" s="22" t="str">
        <f>HYPERLINK("https://pbs.twimg.com/profile_images/872418574672904193/iq6uDDgD_normal.jpg","View")</f>
        <v>View</v>
      </c>
      <c r="P2534" s="27"/>
    </row>
    <row r="2535">
      <c r="A2535" s="14">
        <v>43031.17171296296</v>
      </c>
      <c r="B2535" s="20" t="str">
        <f>HYPERLINK("https://twitter.com/channel1america","@channel1america")</f>
        <v>@channel1america</v>
      </c>
      <c r="C2535" s="21" t="s">
        <v>903</v>
      </c>
      <c r="D2535" s="21" t="s">
        <v>6101</v>
      </c>
      <c r="E2535" s="22" t="str">
        <f>HYPERLINK("https://twitter.com/channel1america/status/922419143256821760","922419143256821760")</f>
        <v>922419143256821760</v>
      </c>
      <c r="F2535" s="23" t="s">
        <v>187</v>
      </c>
      <c r="G2535" s="24">
        <v>574.0</v>
      </c>
      <c r="H2535" s="24">
        <v>1093.0</v>
      </c>
      <c r="I2535" s="24">
        <v>0.0</v>
      </c>
      <c r="J2535" s="24">
        <v>0.0</v>
      </c>
      <c r="K2535" s="23" t="s">
        <v>34</v>
      </c>
      <c r="L2535" s="25">
        <v>41490.48872685185</v>
      </c>
      <c r="M2535" s="26" t="s">
        <v>905</v>
      </c>
      <c r="N2535" s="26" t="s">
        <v>906</v>
      </c>
      <c r="O2535" s="22" t="str">
        <f>HYPERLINK("https://pbs.twimg.com/profile_images/419040982844207104/Rlky9pGx_normal.jpeg","View")</f>
        <v>View</v>
      </c>
      <c r="P2535" s="27"/>
    </row>
    <row r="2536">
      <c r="A2536" s="14">
        <v>43031.17172453704</v>
      </c>
      <c r="B2536" s="20" t="str">
        <f>HYPERLINK("https://twitter.com/dileep12336136","@dileep12336136")</f>
        <v>@dileep12336136</v>
      </c>
      <c r="C2536" s="21" t="s">
        <v>6102</v>
      </c>
      <c r="D2536" s="21" t="s">
        <v>42</v>
      </c>
      <c r="E2536" s="22" t="str">
        <f>HYPERLINK("https://twitter.com/dileep12336136/status/922419147874566146","922419147874566146")</f>
        <v>922419147874566146</v>
      </c>
      <c r="F2536" s="23" t="s">
        <v>780</v>
      </c>
      <c r="G2536" s="24">
        <v>12.0</v>
      </c>
      <c r="H2536" s="24">
        <v>40.0</v>
      </c>
      <c r="I2536" s="24">
        <v>8501.0</v>
      </c>
      <c r="J2536" s="24">
        <v>0.0</v>
      </c>
      <c r="K2536" s="23" t="s">
        <v>34</v>
      </c>
      <c r="L2536" s="25">
        <v>42436.05209490741</v>
      </c>
      <c r="M2536" s="28"/>
      <c r="N2536" s="28"/>
      <c r="O2536" s="22" t="str">
        <f>HYPERLINK("https://pbs.twimg.com/profile_images/706772011838603264/GxAUgpzR_normal.jpg","View")</f>
        <v>View</v>
      </c>
      <c r="P2536" s="27"/>
    </row>
    <row r="2537">
      <c r="A2537" s="14">
        <v>43031.171747685185</v>
      </c>
      <c r="B2537" s="20" t="str">
        <f>HYPERLINK("https://twitter.com/Lavjisingh","@Lavjisingh")</f>
        <v>@Lavjisingh</v>
      </c>
      <c r="C2537" s="21" t="s">
        <v>6103</v>
      </c>
      <c r="D2537" s="21" t="s">
        <v>42</v>
      </c>
      <c r="E2537" s="22" t="str">
        <f>HYPERLINK("https://twitter.com/Lavjisingh/status/922419159127941120","922419159127941120")</f>
        <v>922419159127941120</v>
      </c>
      <c r="F2537" s="23" t="s">
        <v>43</v>
      </c>
      <c r="G2537" s="24">
        <v>104.0</v>
      </c>
      <c r="H2537" s="24">
        <v>729.0</v>
      </c>
      <c r="I2537" s="24">
        <v>8501.0</v>
      </c>
      <c r="J2537" s="24">
        <v>0.0</v>
      </c>
      <c r="K2537" s="23" t="s">
        <v>34</v>
      </c>
      <c r="L2537" s="25">
        <v>41015.04924768519</v>
      </c>
      <c r="M2537" s="26" t="s">
        <v>6104</v>
      </c>
      <c r="N2537" s="26" t="s">
        <v>6105</v>
      </c>
      <c r="O2537" s="22" t="str">
        <f>HYPERLINK("https://pbs.twimg.com/profile_images/919792651775250433/lNgvaoNp_normal.jpg","View")</f>
        <v>View</v>
      </c>
      <c r="P2537" s="27"/>
    </row>
    <row r="2538">
      <c r="A2538" s="14">
        <v>43031.17177083333</v>
      </c>
      <c r="B2538" s="20" t="str">
        <f>HYPERLINK("https://twitter.com/WorldNewsNgayon","@WorldNewsNgayon")</f>
        <v>@WorldNewsNgayon</v>
      </c>
      <c r="C2538" s="21" t="s">
        <v>4889</v>
      </c>
      <c r="D2538" s="21" t="s">
        <v>6106</v>
      </c>
      <c r="E2538" s="22" t="str">
        <f>HYPERLINK("https://twitter.com/WorldNewsNgayon/status/922419167453736960","922419167453736960")</f>
        <v>922419167453736960</v>
      </c>
      <c r="F2538" s="23" t="s">
        <v>187</v>
      </c>
      <c r="G2538" s="24">
        <v>1177.0</v>
      </c>
      <c r="H2538" s="24">
        <v>9.0</v>
      </c>
      <c r="I2538" s="24">
        <v>0.0</v>
      </c>
      <c r="J2538" s="24">
        <v>0.0</v>
      </c>
      <c r="K2538" s="23" t="s">
        <v>34</v>
      </c>
      <c r="L2538" s="25">
        <v>41174.847233796296</v>
      </c>
      <c r="M2538" s="26" t="s">
        <v>3507</v>
      </c>
      <c r="N2538" s="26" t="s">
        <v>4891</v>
      </c>
      <c r="O2538" s="22" t="str">
        <f>HYPERLINK("https://pbs.twimg.com/profile_images/425420772534784000/_u4Vu6V1_normal.jpeg","View")</f>
        <v>View</v>
      </c>
      <c r="P2538" s="27"/>
    </row>
    <row r="2539">
      <c r="A2539" s="14">
        <v>43031.171793981484</v>
      </c>
      <c r="B2539" s="20" t="str">
        <f>HYPERLINK("https://twitter.com/suekings35","@suekings35")</f>
        <v>@suekings35</v>
      </c>
      <c r="C2539" s="21" t="s">
        <v>6107</v>
      </c>
      <c r="D2539" s="21" t="s">
        <v>5786</v>
      </c>
      <c r="E2539" s="22" t="str">
        <f>HYPERLINK("https://twitter.com/suekings35/status/922419172994441216","922419172994441216")</f>
        <v>922419172994441216</v>
      </c>
      <c r="F2539" s="23" t="s">
        <v>230</v>
      </c>
      <c r="G2539" s="24">
        <v>301.0</v>
      </c>
      <c r="H2539" s="24">
        <v>455.0</v>
      </c>
      <c r="I2539" s="24">
        <v>59.0</v>
      </c>
      <c r="J2539" s="24">
        <v>0.0</v>
      </c>
      <c r="K2539" s="23" t="s">
        <v>34</v>
      </c>
      <c r="L2539" s="25">
        <v>41795.19872685185</v>
      </c>
      <c r="M2539" s="28"/>
      <c r="N2539" s="26" t="s">
        <v>6108</v>
      </c>
      <c r="O2539" s="22" t="str">
        <f>HYPERLINK("https://pbs.twimg.com/profile_images/552634998260760580/ZFvgi54H_normal.jpeg","View")</f>
        <v>View</v>
      </c>
      <c r="P2539" s="27"/>
    </row>
    <row r="2540">
      <c r="A2540" s="14">
        <v>43031.17188657407</v>
      </c>
      <c r="B2540" s="20" t="str">
        <f>HYPERLINK("https://twitter.com/ThomasLyndem","@ThomasLyndem")</f>
        <v>@ThomasLyndem</v>
      </c>
      <c r="C2540" s="21" t="s">
        <v>6109</v>
      </c>
      <c r="D2540" s="21" t="s">
        <v>42</v>
      </c>
      <c r="E2540" s="22" t="str">
        <f>HYPERLINK("https://twitter.com/ThomasLyndem/status/922419207572111360","922419207572111360")</f>
        <v>922419207572111360</v>
      </c>
      <c r="F2540" s="23" t="s">
        <v>33</v>
      </c>
      <c r="G2540" s="24">
        <v>934.0</v>
      </c>
      <c r="H2540" s="24">
        <v>3901.0</v>
      </c>
      <c r="I2540" s="24">
        <v>8501.0</v>
      </c>
      <c r="J2540" s="24">
        <v>0.0</v>
      </c>
      <c r="K2540" s="23" t="s">
        <v>34</v>
      </c>
      <c r="L2540" s="25">
        <v>41936.23226851852</v>
      </c>
      <c r="M2540" s="26" t="s">
        <v>6110</v>
      </c>
      <c r="N2540" s="26" t="s">
        <v>6111</v>
      </c>
      <c r="O2540" s="22" t="str">
        <f>HYPERLINK("https://pbs.twimg.com/profile_images/903912866067005446/BM2IE3Zo_normal.jpg","View")</f>
        <v>View</v>
      </c>
      <c r="P2540" s="27"/>
    </row>
    <row r="2541">
      <c r="A2541" s="14">
        <v>43031.17189814815</v>
      </c>
      <c r="B2541" s="20" t="str">
        <f>HYPERLINK("https://twitter.com/rchlwll","@rchlwll")</f>
        <v>@rchlwll</v>
      </c>
      <c r="C2541" s="21" t="s">
        <v>6112</v>
      </c>
      <c r="D2541" s="21" t="s">
        <v>2595</v>
      </c>
      <c r="E2541" s="22" t="str">
        <f>HYPERLINK("https://twitter.com/rchlwll/status/922419210159919104","922419210159919104")</f>
        <v>922419210159919104</v>
      </c>
      <c r="F2541" s="23" t="s">
        <v>39</v>
      </c>
      <c r="G2541" s="24">
        <v>971.0</v>
      </c>
      <c r="H2541" s="24">
        <v>2601.0</v>
      </c>
      <c r="I2541" s="24">
        <v>170.0</v>
      </c>
      <c r="J2541" s="24">
        <v>0.0</v>
      </c>
      <c r="K2541" s="23" t="s">
        <v>34</v>
      </c>
      <c r="L2541" s="25">
        <v>40821.97487268518</v>
      </c>
      <c r="M2541" s="26" t="s">
        <v>6113</v>
      </c>
      <c r="N2541" s="26" t="s">
        <v>6114</v>
      </c>
      <c r="O2541" s="22" t="str">
        <f>HYPERLINK("https://pbs.twimg.com/profile_images/813597801791635456/fO8GzScv_normal.jpg","View")</f>
        <v>View</v>
      </c>
      <c r="P2541" s="27"/>
    </row>
    <row r="2542">
      <c r="A2542" s="14">
        <v>43031.172048611115</v>
      </c>
      <c r="B2542" s="20" t="str">
        <f>HYPERLINK("https://twitter.com/hemanshughia","@hemanshughia")</f>
        <v>@hemanshughia</v>
      </c>
      <c r="C2542" s="21" t="s">
        <v>6115</v>
      </c>
      <c r="D2542" s="21" t="s">
        <v>42</v>
      </c>
      <c r="E2542" s="22" t="str">
        <f>HYPERLINK("https://twitter.com/hemanshughia/status/922419264866390016","922419264866390016")</f>
        <v>922419264866390016</v>
      </c>
      <c r="F2542" s="23" t="s">
        <v>33</v>
      </c>
      <c r="G2542" s="24">
        <v>175.0</v>
      </c>
      <c r="H2542" s="24">
        <v>131.0</v>
      </c>
      <c r="I2542" s="24">
        <v>8501.0</v>
      </c>
      <c r="J2542" s="24">
        <v>0.0</v>
      </c>
      <c r="K2542" s="23" t="s">
        <v>34</v>
      </c>
      <c r="L2542" s="25">
        <v>40387.020104166666</v>
      </c>
      <c r="M2542" s="26" t="s">
        <v>246</v>
      </c>
      <c r="N2542" s="26" t="s">
        <v>6116</v>
      </c>
      <c r="O2542" s="22" t="str">
        <f>HYPERLINK("https://pbs.twimg.com/profile_images/911353641604407296/wK6dMcIA_normal.jpg","View")</f>
        <v>View</v>
      </c>
      <c r="P2542" s="27"/>
    </row>
    <row r="2543">
      <c r="A2543" s="14">
        <v>43031.172048611115</v>
      </c>
      <c r="B2543" s="20" t="str">
        <f>HYPERLINK("https://twitter.com/nekoya_3","@nekoya_3")</f>
        <v>@nekoya_3</v>
      </c>
      <c r="C2543" s="21" t="s">
        <v>6117</v>
      </c>
      <c r="D2543" s="21" t="s">
        <v>5786</v>
      </c>
      <c r="E2543" s="22" t="str">
        <f>HYPERLINK("https://twitter.com/nekoya_3/status/922419268523823104","922419268523823104")</f>
        <v>922419268523823104</v>
      </c>
      <c r="F2543" s="23" t="s">
        <v>55</v>
      </c>
      <c r="G2543" s="24">
        <v>1193.0</v>
      </c>
      <c r="H2543" s="24">
        <v>71.0</v>
      </c>
      <c r="I2543" s="24">
        <v>59.0</v>
      </c>
      <c r="J2543" s="24">
        <v>0.0</v>
      </c>
      <c r="K2543" s="23" t="s">
        <v>34</v>
      </c>
      <c r="L2543" s="25">
        <v>41146.13159722222</v>
      </c>
      <c r="M2543" s="26" t="s">
        <v>6118</v>
      </c>
      <c r="N2543" s="26" t="s">
        <v>6119</v>
      </c>
      <c r="O2543" s="22" t="str">
        <f>HYPERLINK("https://pbs.twimg.com/profile_images/572557586113650688/kWaWM64v_normal.jpeg","View")</f>
        <v>View</v>
      </c>
      <c r="P2543" s="27"/>
    </row>
    <row r="2544">
      <c r="A2544" s="14">
        <v>43031.1721412037</v>
      </c>
      <c r="B2544" s="20" t="str">
        <f>HYPERLINK("https://twitter.com/reutersBenHir","@reutersBenHir")</f>
        <v>@reutersBenHir</v>
      </c>
      <c r="C2544" s="21" t="s">
        <v>6120</v>
      </c>
      <c r="D2544" s="21" t="s">
        <v>6121</v>
      </c>
      <c r="E2544" s="22" t="str">
        <f>HYPERLINK("https://twitter.com/reutersBenHir/status/922419301247803392","922419301247803392")</f>
        <v>922419301247803392</v>
      </c>
      <c r="F2544" s="23" t="s">
        <v>55</v>
      </c>
      <c r="G2544" s="24">
        <v>19337.0</v>
      </c>
      <c r="H2544" s="24">
        <v>1722.0</v>
      </c>
      <c r="I2544" s="24">
        <v>1.0</v>
      </c>
      <c r="J2544" s="24">
        <v>0.0</v>
      </c>
      <c r="K2544" s="23" t="s">
        <v>34</v>
      </c>
      <c r="L2544" s="25">
        <v>39891.37701388889</v>
      </c>
      <c r="M2544" s="26" t="s">
        <v>334</v>
      </c>
      <c r="N2544" s="26" t="s">
        <v>6122</v>
      </c>
      <c r="O2544" s="22" t="str">
        <f>HYPERLINK("https://pbs.twimg.com/profile_images/668968842/Venice_pic_normal.jpg","View")</f>
        <v>View</v>
      </c>
      <c r="P2544" s="27"/>
    </row>
    <row r="2545">
      <c r="A2545" s="14">
        <v>43031.17221064815</v>
      </c>
      <c r="B2545" s="20" t="str">
        <f>HYPERLINK("https://twitter.com/rajgrad","@rajgrad")</f>
        <v>@rajgrad</v>
      </c>
      <c r="C2545" s="21" t="s">
        <v>6123</v>
      </c>
      <c r="D2545" s="21" t="s">
        <v>42</v>
      </c>
      <c r="E2545" s="22" t="str">
        <f>HYPERLINK("https://twitter.com/rajgrad/status/922419325713158144","922419325713158144")</f>
        <v>922419325713158144</v>
      </c>
      <c r="F2545" s="23" t="s">
        <v>33</v>
      </c>
      <c r="G2545" s="24">
        <v>190.0</v>
      </c>
      <c r="H2545" s="24">
        <v>524.0</v>
      </c>
      <c r="I2545" s="24">
        <v>8501.0</v>
      </c>
      <c r="J2545" s="24">
        <v>0.0</v>
      </c>
      <c r="K2545" s="23" t="s">
        <v>34</v>
      </c>
      <c r="L2545" s="25">
        <v>40278.290625</v>
      </c>
      <c r="M2545" s="26" t="s">
        <v>5053</v>
      </c>
      <c r="N2545" s="26" t="s">
        <v>6124</v>
      </c>
      <c r="O2545" s="22" t="str">
        <f>HYPERLINK("https://pbs.twimg.com/profile_images/899297652264906752/kxd0r_Pw_normal.jpg","View")</f>
        <v>View</v>
      </c>
      <c r="P2545" s="27"/>
    </row>
    <row r="2546">
      <c r="A2546" s="14">
        <v>43031.17222222222</v>
      </c>
      <c r="B2546" s="20" t="str">
        <f>HYPERLINK("https://twitter.com/Fractaurean","@Fractaurean")</f>
        <v>@Fractaurean</v>
      </c>
      <c r="C2546" s="21" t="s">
        <v>6125</v>
      </c>
      <c r="D2546" s="21" t="s">
        <v>6126</v>
      </c>
      <c r="E2546" s="22" t="str">
        <f>HYPERLINK("https://twitter.com/Fractaurean/status/922419327504125952","922419327504125952")</f>
        <v>922419327504125952</v>
      </c>
      <c r="F2546" s="23" t="s">
        <v>230</v>
      </c>
      <c r="G2546" s="24">
        <v>609.0</v>
      </c>
      <c r="H2546" s="24">
        <v>1630.0</v>
      </c>
      <c r="I2546" s="24">
        <v>0.0</v>
      </c>
      <c r="J2546" s="24">
        <v>0.0</v>
      </c>
      <c r="K2546" s="23" t="s">
        <v>34</v>
      </c>
      <c r="L2546" s="25">
        <v>39870.80636574074</v>
      </c>
      <c r="M2546" s="26" t="s">
        <v>6127</v>
      </c>
      <c r="N2546" s="26" t="s">
        <v>6128</v>
      </c>
      <c r="O2546" s="22" t="str">
        <f>HYPERLINK("https://pbs.twimg.com/profile_images/847490373081473024/xvARKyo2_normal.jpg","View")</f>
        <v>View</v>
      </c>
      <c r="P2546" s="27"/>
    </row>
    <row r="2547">
      <c r="A2547" s="14">
        <v>43031.17222222222</v>
      </c>
      <c r="B2547" s="20" t="str">
        <f>HYPERLINK("https://twitter.com/WomenAFrontiers","@WomenAFrontiers")</f>
        <v>@WomenAFrontiers</v>
      </c>
      <c r="C2547" s="21" t="s">
        <v>6129</v>
      </c>
      <c r="D2547" s="21" t="s">
        <v>6130</v>
      </c>
      <c r="E2547" s="22" t="str">
        <f>HYPERLINK("https://twitter.com/WomenAFrontiers/status/922419330247282694","922419330247282694")</f>
        <v>922419330247282694</v>
      </c>
      <c r="F2547" s="23" t="s">
        <v>769</v>
      </c>
      <c r="G2547" s="24">
        <v>2989.0</v>
      </c>
      <c r="H2547" s="24">
        <v>4971.0</v>
      </c>
      <c r="I2547" s="24">
        <v>0.0</v>
      </c>
      <c r="J2547" s="24">
        <v>0.0</v>
      </c>
      <c r="K2547" s="23" t="s">
        <v>34</v>
      </c>
      <c r="L2547" s="25">
        <v>42052.9087037037</v>
      </c>
      <c r="M2547" s="26" t="s">
        <v>1250</v>
      </c>
      <c r="N2547" s="26" t="s">
        <v>6131</v>
      </c>
      <c r="O2547" s="22" t="str">
        <f>HYPERLINK("https://pbs.twimg.com/profile_images/758454527930564608/7AnR00Up_normal.jpg","View")</f>
        <v>View</v>
      </c>
      <c r="P2547" s="27"/>
    </row>
    <row r="2548">
      <c r="A2548" s="14">
        <v>43031.17229166666</v>
      </c>
      <c r="B2548" s="20" t="str">
        <f>HYPERLINK("https://twitter.com/Ya_Zeynab_","@Ya_Zeynab_")</f>
        <v>@Ya_Zeynab_</v>
      </c>
      <c r="C2548" s="31" t="s">
        <v>6132</v>
      </c>
      <c r="D2548" s="21" t="s">
        <v>6133</v>
      </c>
      <c r="E2548" s="22" t="str">
        <f>HYPERLINK("https://twitter.com/Ya_Zeynab_/status/922419354179735552","922419354179735552")</f>
        <v>922419354179735552</v>
      </c>
      <c r="F2548" s="30" t="s">
        <v>411</v>
      </c>
      <c r="G2548" s="24">
        <v>326.0</v>
      </c>
      <c r="H2548" s="24">
        <v>31.0</v>
      </c>
      <c r="I2548" s="24">
        <v>0.0</v>
      </c>
      <c r="J2548" s="24">
        <v>0.0</v>
      </c>
      <c r="K2548" s="23" t="s">
        <v>34</v>
      </c>
      <c r="L2548" s="25">
        <v>42627.05283564815</v>
      </c>
      <c r="M2548" s="32" t="s">
        <v>6134</v>
      </c>
      <c r="N2548" s="32" t="s">
        <v>6135</v>
      </c>
      <c r="O2548" s="22" t="str">
        <f>HYPERLINK("https://pbs.twimg.com/profile_images/881866748177338368/9A3Gp3ev_normal.jpg","View")</f>
        <v>View</v>
      </c>
      <c r="P2548" s="27"/>
    </row>
    <row r="2549">
      <c r="A2549" s="14">
        <v>43031.17230324074</v>
      </c>
      <c r="B2549" s="20" t="str">
        <f>HYPERLINK("https://twitter.com/hammerculture","@hammerculture")</f>
        <v>@hammerculture</v>
      </c>
      <c r="C2549" s="21" t="s">
        <v>6136</v>
      </c>
      <c r="D2549" s="21" t="s">
        <v>5262</v>
      </c>
      <c r="E2549" s="22" t="str">
        <f>HYPERLINK("https://twitter.com/hammerculture/status/922419358021844992","922419358021844992")</f>
        <v>922419358021844992</v>
      </c>
      <c r="F2549" s="23" t="s">
        <v>39</v>
      </c>
      <c r="G2549" s="24">
        <v>225.0</v>
      </c>
      <c r="H2549" s="24">
        <v>151.0</v>
      </c>
      <c r="I2549" s="24">
        <v>22.0</v>
      </c>
      <c r="J2549" s="24">
        <v>0.0</v>
      </c>
      <c r="K2549" s="23" t="s">
        <v>34</v>
      </c>
      <c r="L2549" s="25">
        <v>40258.976111111115</v>
      </c>
      <c r="M2549" s="26" t="s">
        <v>6137</v>
      </c>
      <c r="N2549" s="26" t="s">
        <v>6138</v>
      </c>
      <c r="O2549" s="22" t="str">
        <f>HYPERLINK("https://pbs.twimg.com/profile_images/866816795121942528/cPttp-HI_normal.jpg","View")</f>
        <v>View</v>
      </c>
      <c r="P2549" s="27"/>
    </row>
    <row r="2550">
      <c r="A2550" s="14">
        <v>43031.17230324074</v>
      </c>
      <c r="B2550" s="20" t="str">
        <f>HYPERLINK("https://twitter.com/KathemJubranFX","@KathemJubranFX")</f>
        <v>@KathemJubranFX</v>
      </c>
      <c r="C2550" s="21" t="s">
        <v>6139</v>
      </c>
      <c r="D2550" s="21" t="s">
        <v>6140</v>
      </c>
      <c r="E2550" s="22" t="str">
        <f>HYPERLINK("https://twitter.com/KathemJubranFX/status/922419359183597569","922419359183597569")</f>
        <v>922419359183597569</v>
      </c>
      <c r="F2550" s="30" t="s">
        <v>411</v>
      </c>
      <c r="G2550" s="24">
        <v>1105.0</v>
      </c>
      <c r="H2550" s="24">
        <v>4724.0</v>
      </c>
      <c r="I2550" s="24">
        <v>0.0</v>
      </c>
      <c r="J2550" s="24">
        <v>0.0</v>
      </c>
      <c r="K2550" s="23" t="s">
        <v>34</v>
      </c>
      <c r="L2550" s="25">
        <v>42133.92903935185</v>
      </c>
      <c r="M2550" s="26" t="s">
        <v>238</v>
      </c>
      <c r="N2550" s="26" t="s">
        <v>6141</v>
      </c>
      <c r="O2550" s="22" t="str">
        <f>HYPERLINK("https://pbs.twimg.com/profile_images/862521752345116673/0icBraj6_normal.jpg","View")</f>
        <v>View</v>
      </c>
      <c r="P2550" s="27"/>
    </row>
    <row r="2551">
      <c r="A2551" s="14">
        <v>43031.17230324074</v>
      </c>
      <c r="B2551" s="20" t="str">
        <f>HYPERLINK("https://twitter.com/simplyfxbandung","@simplyfxbandung")</f>
        <v>@simplyfxbandung</v>
      </c>
      <c r="C2551" s="21" t="s">
        <v>6142</v>
      </c>
      <c r="D2551" s="21" t="s">
        <v>6143</v>
      </c>
      <c r="E2551" s="22" t="str">
        <f>HYPERLINK("https://twitter.com/simplyfxbandung/status/922419359657500672","922419359657500672")</f>
        <v>922419359657500672</v>
      </c>
      <c r="F2551" s="30" t="s">
        <v>411</v>
      </c>
      <c r="G2551" s="24">
        <v>12.0</v>
      </c>
      <c r="H2551" s="24">
        <v>21.0</v>
      </c>
      <c r="I2551" s="24">
        <v>0.0</v>
      </c>
      <c r="J2551" s="24">
        <v>0.0</v>
      </c>
      <c r="K2551" s="23" t="s">
        <v>34</v>
      </c>
      <c r="L2551" s="25">
        <v>42669.32666666667</v>
      </c>
      <c r="M2551" s="28"/>
      <c r="N2551" s="28"/>
      <c r="O2551" s="22" t="str">
        <f>HYPERLINK("https://abs.twimg.com/sticky/default_profile_images/default_profile_normal.png","View")</f>
        <v>View</v>
      </c>
      <c r="P2551" s="27"/>
    </row>
    <row r="2552">
      <c r="A2552" s="14">
        <v>43031.172314814816</v>
      </c>
      <c r="B2552" s="20" t="str">
        <f>HYPERLINK("https://twitter.com/Quoinvestments","@Quoinvestments")</f>
        <v>@Quoinvestments</v>
      </c>
      <c r="C2552" s="21" t="s">
        <v>6144</v>
      </c>
      <c r="D2552" s="21" t="s">
        <v>6145</v>
      </c>
      <c r="E2552" s="22" t="str">
        <f>HYPERLINK("https://twitter.com/Quoinvestments/status/922419360991363073","922419360991363073")</f>
        <v>922419360991363073</v>
      </c>
      <c r="F2552" s="30" t="s">
        <v>411</v>
      </c>
      <c r="G2552" s="24">
        <v>14715.0</v>
      </c>
      <c r="H2552" s="24">
        <v>5541.0</v>
      </c>
      <c r="I2552" s="24">
        <v>0.0</v>
      </c>
      <c r="J2552" s="24">
        <v>0.0</v>
      </c>
      <c r="K2552" s="23" t="s">
        <v>34</v>
      </c>
      <c r="L2552" s="25">
        <v>41693.02905092593</v>
      </c>
      <c r="M2552" s="26" t="s">
        <v>6146</v>
      </c>
      <c r="N2552" s="26" t="s">
        <v>6147</v>
      </c>
      <c r="O2552" s="22" t="str">
        <f>HYPERLINK("https://pbs.twimg.com/profile_images/437537007032492032/sPrJMlXT_normal.jpeg","View")</f>
        <v>View</v>
      </c>
      <c r="P2552" s="27"/>
    </row>
    <row r="2553">
      <c r="A2553" s="14">
        <v>43031.17233796296</v>
      </c>
      <c r="B2553" s="20" t="str">
        <f>HYPERLINK("https://twitter.com/DurgeshTrivadi","@DurgeshTrivadi")</f>
        <v>@DurgeshTrivadi</v>
      </c>
      <c r="C2553" s="21" t="s">
        <v>6148</v>
      </c>
      <c r="D2553" s="21" t="s">
        <v>42</v>
      </c>
      <c r="E2553" s="22" t="str">
        <f>HYPERLINK("https://twitter.com/DurgeshTrivadi/status/922419372064256000","922419372064256000")</f>
        <v>922419372064256000</v>
      </c>
      <c r="F2553" s="23" t="s">
        <v>33</v>
      </c>
      <c r="G2553" s="24">
        <v>6.0</v>
      </c>
      <c r="H2553" s="24">
        <v>112.0</v>
      </c>
      <c r="I2553" s="24">
        <v>8501.0</v>
      </c>
      <c r="J2553" s="24">
        <v>0.0</v>
      </c>
      <c r="K2553" s="23" t="s">
        <v>34</v>
      </c>
      <c r="L2553" s="25">
        <v>43030.223275462966</v>
      </c>
      <c r="M2553" s="26" t="s">
        <v>6149</v>
      </c>
      <c r="N2553" s="28"/>
      <c r="O2553" s="22" t="str">
        <f t="shared" ref="O2553:O2554" si="42">HYPERLINK("https://abs.twimg.com/sticky/default_profile_images/default_profile_normal.png","View")</f>
        <v>View</v>
      </c>
      <c r="P2553" s="27"/>
    </row>
    <row r="2554">
      <c r="A2554" s="14">
        <v>43031.17238425926</v>
      </c>
      <c r="B2554" s="20" t="str">
        <f>HYPERLINK("https://twitter.com/imArunDalvi","@imArunDalvi")</f>
        <v>@imArunDalvi</v>
      </c>
      <c r="C2554" s="21" t="s">
        <v>6150</v>
      </c>
      <c r="D2554" s="21" t="s">
        <v>42</v>
      </c>
      <c r="E2554" s="22" t="str">
        <f>HYPERLINK("https://twitter.com/imArunDalvi/status/922419387000225792","922419387000225792")</f>
        <v>922419387000225792</v>
      </c>
      <c r="F2554" s="23" t="s">
        <v>33</v>
      </c>
      <c r="G2554" s="24">
        <v>9.0</v>
      </c>
      <c r="H2554" s="24">
        <v>34.0</v>
      </c>
      <c r="I2554" s="24">
        <v>8501.0</v>
      </c>
      <c r="J2554" s="24">
        <v>0.0</v>
      </c>
      <c r="K2554" s="23" t="s">
        <v>34</v>
      </c>
      <c r="L2554" s="25">
        <v>42990.17613425926</v>
      </c>
      <c r="M2554" s="28"/>
      <c r="N2554" s="28"/>
      <c r="O2554" s="22" t="str">
        <f t="shared" si="42"/>
        <v>View</v>
      </c>
      <c r="P2554" s="27"/>
    </row>
    <row r="2555">
      <c r="A2555" s="14">
        <v>43031.17238425926</v>
      </c>
      <c r="B2555" s="20" t="str">
        <f>HYPERLINK("https://twitter.com/cartradejapan","@cartradejapan")</f>
        <v>@cartradejapan</v>
      </c>
      <c r="C2555" s="21" t="s">
        <v>2109</v>
      </c>
      <c r="D2555" s="21" t="s">
        <v>6151</v>
      </c>
      <c r="E2555" s="22" t="str">
        <f>HYPERLINK("https://twitter.com/cartradejapan/status/922419387532845057","922419387532845057")</f>
        <v>922419387532845057</v>
      </c>
      <c r="F2555" s="23" t="s">
        <v>2111</v>
      </c>
      <c r="G2555" s="24">
        <v>901.0</v>
      </c>
      <c r="H2555" s="24">
        <v>1777.0</v>
      </c>
      <c r="I2555" s="24">
        <v>0.0</v>
      </c>
      <c r="J2555" s="24">
        <v>0.0</v>
      </c>
      <c r="K2555" s="23" t="s">
        <v>34</v>
      </c>
      <c r="L2555" s="25">
        <v>41497.54555555555</v>
      </c>
      <c r="M2555" s="26" t="s">
        <v>2112</v>
      </c>
      <c r="N2555" s="26" t="s">
        <v>2113</v>
      </c>
      <c r="O2555" s="22" t="str">
        <f>HYPERLINK("https://pbs.twimg.com/profile_images/595912331265085441/17hdfbuV_normal.jpg","View")</f>
        <v>View</v>
      </c>
      <c r="P2555" s="27"/>
    </row>
    <row r="2556">
      <c r="A2556" s="14">
        <v>43031.17244212963</v>
      </c>
      <c r="B2556" s="20" t="str">
        <f>HYPERLINK("https://twitter.com/bobsmithwind1","@bobsmithwind1")</f>
        <v>@bobsmithwind1</v>
      </c>
      <c r="C2556" s="21" t="s">
        <v>6152</v>
      </c>
      <c r="D2556" s="21" t="s">
        <v>6153</v>
      </c>
      <c r="E2556" s="22" t="str">
        <f>HYPERLINK("https://twitter.com/bobsmithwind1/status/922419408919842817","922419408919842817")</f>
        <v>922419408919842817</v>
      </c>
      <c r="F2556" s="23" t="s">
        <v>187</v>
      </c>
      <c r="G2556" s="24">
        <v>17.0</v>
      </c>
      <c r="H2556" s="24">
        <v>28.0</v>
      </c>
      <c r="I2556" s="24">
        <v>0.0</v>
      </c>
      <c r="J2556" s="24">
        <v>0.0</v>
      </c>
      <c r="K2556" s="23" t="s">
        <v>34</v>
      </c>
      <c r="L2556" s="25">
        <v>42371.56224537037</v>
      </c>
      <c r="M2556" s="28"/>
      <c r="N2556" s="28"/>
      <c r="O2556" s="22" t="str">
        <f>HYPERLINK("https://abs.twimg.com/sticky/default_profile_images/default_profile_normal.png","View")</f>
        <v>View</v>
      </c>
      <c r="P2556" s="27"/>
    </row>
    <row r="2557">
      <c r="A2557" s="14">
        <v>43031.17245370371</v>
      </c>
      <c r="B2557" s="20" t="str">
        <f>HYPERLINK("https://twitter.com/TrudieMerwin","@TrudieMerwin")</f>
        <v>@TrudieMerwin</v>
      </c>
      <c r="C2557" s="21" t="s">
        <v>6154</v>
      </c>
      <c r="D2557" s="21" t="s">
        <v>6155</v>
      </c>
      <c r="E2557" s="22" t="str">
        <f>HYPERLINK("https://twitter.com/TrudieMerwin/status/922419414338809862","922419414338809862")</f>
        <v>922419414338809862</v>
      </c>
      <c r="F2557" s="23" t="s">
        <v>187</v>
      </c>
      <c r="G2557" s="24">
        <v>12.0</v>
      </c>
      <c r="H2557" s="24">
        <v>60.0</v>
      </c>
      <c r="I2557" s="24">
        <v>0.0</v>
      </c>
      <c r="J2557" s="24">
        <v>0.0</v>
      </c>
      <c r="K2557" s="23" t="s">
        <v>34</v>
      </c>
      <c r="L2557" s="25">
        <v>42725.8915625</v>
      </c>
      <c r="M2557" s="26" t="s">
        <v>6156</v>
      </c>
      <c r="N2557" s="26" t="s">
        <v>6157</v>
      </c>
      <c r="O2557" s="22" t="str">
        <f>HYPERLINK("https://pbs.twimg.com/profile_images/827036635422351362/w3kC3t7T_normal.jpg","View")</f>
        <v>View</v>
      </c>
      <c r="P2557" s="27"/>
    </row>
    <row r="2558">
      <c r="A2558" s="14">
        <v>43031.17248842593</v>
      </c>
      <c r="B2558" s="20" t="str">
        <f>HYPERLINK("https://twitter.com/Vijay47491613","@Vijay47491613")</f>
        <v>@Vijay47491613</v>
      </c>
      <c r="C2558" s="21" t="s">
        <v>4182</v>
      </c>
      <c r="D2558" s="21" t="s">
        <v>42</v>
      </c>
      <c r="E2558" s="22" t="str">
        <f>HYPERLINK("https://twitter.com/Vijay47491613/status/922419424094588928","922419424094588928")</f>
        <v>922419424094588928</v>
      </c>
      <c r="F2558" s="23" t="s">
        <v>33</v>
      </c>
      <c r="G2558" s="24">
        <v>5.0</v>
      </c>
      <c r="H2558" s="24">
        <v>6.0</v>
      </c>
      <c r="I2558" s="24">
        <v>8501.0</v>
      </c>
      <c r="J2558" s="24">
        <v>0.0</v>
      </c>
      <c r="K2558" s="23" t="s">
        <v>34</v>
      </c>
      <c r="L2558" s="25">
        <v>43029.95306712963</v>
      </c>
      <c r="M2558" s="26" t="s">
        <v>2189</v>
      </c>
      <c r="N2558" s="28"/>
      <c r="O2558" s="22" t="str">
        <f>HYPERLINK("https://pbs.twimg.com/profile_images/922799490859376641/m-J826wj_normal.jpg","View")</f>
        <v>View</v>
      </c>
      <c r="P2558" s="27"/>
    </row>
    <row r="2559">
      <c r="A2559" s="14">
        <v>43031.17248842593</v>
      </c>
      <c r="B2559" s="20" t="str">
        <f>HYPERLINK("https://twitter.com/mlnangalama","@mlnangalama")</f>
        <v>@mlnangalama</v>
      </c>
      <c r="C2559" s="21" t="s">
        <v>925</v>
      </c>
      <c r="D2559" s="21" t="s">
        <v>6158</v>
      </c>
      <c r="E2559" s="22" t="str">
        <f>HYPERLINK("https://twitter.com/mlnangalama/status/922419426498109440","922419426498109440")</f>
        <v>922419426498109440</v>
      </c>
      <c r="F2559" s="23" t="s">
        <v>187</v>
      </c>
      <c r="G2559" s="24">
        <v>2366.0</v>
      </c>
      <c r="H2559" s="24">
        <v>1582.0</v>
      </c>
      <c r="I2559" s="24">
        <v>0.0</v>
      </c>
      <c r="J2559" s="24">
        <v>0.0</v>
      </c>
      <c r="K2559" s="23" t="s">
        <v>34</v>
      </c>
      <c r="L2559" s="25">
        <v>41041.54378472222</v>
      </c>
      <c r="M2559" s="26" t="s">
        <v>927</v>
      </c>
      <c r="N2559" s="26" t="s">
        <v>928</v>
      </c>
      <c r="O2559" s="22" t="str">
        <f>HYPERLINK("https://pbs.twimg.com/profile_images/900915882444173313/biUHzvpx_normal.jpg","View")</f>
        <v>View</v>
      </c>
      <c r="P2559" s="27"/>
    </row>
    <row r="2560">
      <c r="A2560" s="14">
        <v>43031.172581018516</v>
      </c>
      <c r="B2560" s="20" t="str">
        <f>HYPERLINK("https://twitter.com/DTSutton","@DTSutton")</f>
        <v>@DTSutton</v>
      </c>
      <c r="C2560" s="21" t="s">
        <v>6159</v>
      </c>
      <c r="D2560" s="21" t="s">
        <v>6160</v>
      </c>
      <c r="E2560" s="22" t="str">
        <f>HYPERLINK("https://twitter.com/DTSutton/status/922419457363935233","922419457363935233")</f>
        <v>922419457363935233</v>
      </c>
      <c r="F2560" s="23" t="s">
        <v>55</v>
      </c>
      <c r="G2560" s="24">
        <v>145.0</v>
      </c>
      <c r="H2560" s="24">
        <v>193.0</v>
      </c>
      <c r="I2560" s="24">
        <v>0.0</v>
      </c>
      <c r="J2560" s="24">
        <v>0.0</v>
      </c>
      <c r="K2560" s="23" t="s">
        <v>34</v>
      </c>
      <c r="L2560" s="25">
        <v>40631.765081018515</v>
      </c>
      <c r="M2560" s="26" t="s">
        <v>6161</v>
      </c>
      <c r="N2560" s="26" t="s">
        <v>6162</v>
      </c>
      <c r="O2560" s="22" t="str">
        <f>HYPERLINK("https://pbs.twimg.com/profile_images/1537250551/Picture_1_normal.jpg","View")</f>
        <v>View</v>
      </c>
      <c r="P2560" s="27"/>
    </row>
    <row r="2561">
      <c r="A2561" s="14">
        <v>43031.17265046296</v>
      </c>
      <c r="B2561" s="20" t="str">
        <f>HYPERLINK("https://twitter.com/shahshivam01","@shahshivam01")</f>
        <v>@shahshivam01</v>
      </c>
      <c r="C2561" s="21" t="s">
        <v>6163</v>
      </c>
      <c r="D2561" s="21" t="s">
        <v>42</v>
      </c>
      <c r="E2561" s="22" t="str">
        <f>HYPERLINK("https://twitter.com/shahshivam01/status/922419483335041024","922419483335041024")</f>
        <v>922419483335041024</v>
      </c>
      <c r="F2561" s="23" t="s">
        <v>33</v>
      </c>
      <c r="G2561" s="24">
        <v>52.0</v>
      </c>
      <c r="H2561" s="24">
        <v>68.0</v>
      </c>
      <c r="I2561" s="24">
        <v>8501.0</v>
      </c>
      <c r="J2561" s="24">
        <v>0.0</v>
      </c>
      <c r="K2561" s="23" t="s">
        <v>34</v>
      </c>
      <c r="L2561" s="25">
        <v>42851.52155092593</v>
      </c>
      <c r="M2561" s="26" t="s">
        <v>6164</v>
      </c>
      <c r="N2561" s="26" t="s">
        <v>6165</v>
      </c>
      <c r="O2561" s="22" t="str">
        <f>HYPERLINK("https://pbs.twimg.com/profile_images/922803092650737664/4Azcmgjw_normal.jpg","View")</f>
        <v>View</v>
      </c>
      <c r="P2561" s="27"/>
    </row>
    <row r="2562">
      <c r="A2562" s="14">
        <v>43031.17266203703</v>
      </c>
      <c r="B2562" s="20" t="str">
        <f>HYPERLINK("https://twitter.com/MajaniMadoya","@MajaniMadoya")</f>
        <v>@MajaniMadoya</v>
      </c>
      <c r="C2562" s="21" t="s">
        <v>6166</v>
      </c>
      <c r="D2562" s="21" t="s">
        <v>32</v>
      </c>
      <c r="E2562" s="22" t="str">
        <f>HYPERLINK("https://twitter.com/MajaniMadoya/status/922419488779374592","922419488779374592")</f>
        <v>922419488779374592</v>
      </c>
      <c r="F2562" s="23" t="s">
        <v>33</v>
      </c>
      <c r="G2562" s="24">
        <v>2122.0</v>
      </c>
      <c r="H2562" s="24">
        <v>1845.0</v>
      </c>
      <c r="I2562" s="24">
        <v>471.0</v>
      </c>
      <c r="J2562" s="24">
        <v>0.0</v>
      </c>
      <c r="K2562" s="23" t="s">
        <v>34</v>
      </c>
      <c r="L2562" s="25">
        <v>41198.12341435185</v>
      </c>
      <c r="M2562" s="26" t="s">
        <v>843</v>
      </c>
      <c r="N2562" s="26" t="s">
        <v>6167</v>
      </c>
      <c r="O2562" s="22" t="str">
        <f>HYPERLINK("https://pbs.twimg.com/profile_images/898934353199280128/fd1ILIza_normal.jpg","View")</f>
        <v>View</v>
      </c>
      <c r="P2562" s="27"/>
    </row>
    <row r="2563">
      <c r="A2563" s="14">
        <v>43031.172743055555</v>
      </c>
      <c r="B2563" s="20" t="str">
        <f>HYPERLINK("https://twitter.com/nsp2106","@nsp2106")</f>
        <v>@nsp2106</v>
      </c>
      <c r="C2563" s="21" t="s">
        <v>6168</v>
      </c>
      <c r="D2563" s="21" t="s">
        <v>42</v>
      </c>
      <c r="E2563" s="22" t="str">
        <f>HYPERLINK("https://twitter.com/nsp2106/status/922419518105718784","922419518105718784")</f>
        <v>922419518105718784</v>
      </c>
      <c r="F2563" s="23" t="s">
        <v>33</v>
      </c>
      <c r="G2563" s="24">
        <v>27639.0</v>
      </c>
      <c r="H2563" s="24">
        <v>10191.0</v>
      </c>
      <c r="I2563" s="24">
        <v>8501.0</v>
      </c>
      <c r="J2563" s="24">
        <v>0.0</v>
      </c>
      <c r="K2563" s="23" t="s">
        <v>34</v>
      </c>
      <c r="L2563" s="25">
        <v>41780.66703703704</v>
      </c>
      <c r="M2563" s="26" t="s">
        <v>423</v>
      </c>
      <c r="N2563" s="26" t="s">
        <v>6169</v>
      </c>
      <c r="O2563" s="22" t="str">
        <f>HYPERLINK("https://pbs.twimg.com/profile_images/921086885035876352/QLGEqT-y_normal.jpg","View")</f>
        <v>View</v>
      </c>
      <c r="P2563" s="27"/>
    </row>
    <row r="2564">
      <c r="A2564" s="14">
        <v>43031.172743055555</v>
      </c>
      <c r="B2564" s="20" t="str">
        <f>HYPERLINK("https://twitter.com/go_ramakrishna","@go_ramakrishna")</f>
        <v>@go_ramakrishna</v>
      </c>
      <c r="C2564" s="21" t="s">
        <v>6170</v>
      </c>
      <c r="D2564" s="21" t="s">
        <v>42</v>
      </c>
      <c r="E2564" s="22" t="str">
        <f>HYPERLINK("https://twitter.com/go_ramakrishna/status/922419518244208640","922419518244208640")</f>
        <v>922419518244208640</v>
      </c>
      <c r="F2564" s="23" t="s">
        <v>39</v>
      </c>
      <c r="G2564" s="24">
        <v>112.0</v>
      </c>
      <c r="H2564" s="24">
        <v>54.0</v>
      </c>
      <c r="I2564" s="24">
        <v>8501.0</v>
      </c>
      <c r="J2564" s="24">
        <v>0.0</v>
      </c>
      <c r="K2564" s="23" t="s">
        <v>34</v>
      </c>
      <c r="L2564" s="25">
        <v>41383.400613425925</v>
      </c>
      <c r="M2564" s="28"/>
      <c r="N2564" s="26" t="s">
        <v>6171</v>
      </c>
      <c r="O2564" s="22" t="str">
        <f>HYPERLINK("https://pbs.twimg.com/profile_images/662928952160202752/jKDJOwGx_normal.jpg","View")</f>
        <v>View</v>
      </c>
      <c r="P2564" s="27"/>
    </row>
    <row r="2565">
      <c r="A2565" s="14">
        <v>43031.1728125</v>
      </c>
      <c r="B2565" s="20" t="str">
        <f>HYPERLINK("https://twitter.com/Drskrath","@Drskrath")</f>
        <v>@Drskrath</v>
      </c>
      <c r="C2565" s="21" t="s">
        <v>6172</v>
      </c>
      <c r="D2565" s="21" t="s">
        <v>42</v>
      </c>
      <c r="E2565" s="22" t="str">
        <f>HYPERLINK("https://twitter.com/Drskrath/status/922419543909076992","922419543909076992")</f>
        <v>922419543909076992</v>
      </c>
      <c r="F2565" s="23" t="s">
        <v>55</v>
      </c>
      <c r="G2565" s="24">
        <v>561.0</v>
      </c>
      <c r="H2565" s="24">
        <v>152.0</v>
      </c>
      <c r="I2565" s="24">
        <v>8501.0</v>
      </c>
      <c r="J2565" s="24">
        <v>0.0</v>
      </c>
      <c r="K2565" s="23" t="s">
        <v>34</v>
      </c>
      <c r="L2565" s="25">
        <v>40160.94777777778</v>
      </c>
      <c r="M2565" s="26" t="s">
        <v>6173</v>
      </c>
      <c r="N2565" s="26" t="s">
        <v>6174</v>
      </c>
      <c r="O2565" s="22" t="str">
        <f>HYPERLINK("https://pbs.twimg.com/profile_images/474516888697831426/NoD53GOE_normal.jpeg","View")</f>
        <v>View</v>
      </c>
      <c r="P2565" s="27"/>
    </row>
    <row r="2566">
      <c r="A2566" s="14">
        <v>43031.173067129625</v>
      </c>
      <c r="B2566" s="20" t="str">
        <f>HYPERLINK("https://twitter.com/Rajiv25479263","@Rajiv25479263")</f>
        <v>@Rajiv25479263</v>
      </c>
      <c r="C2566" s="21" t="s">
        <v>6175</v>
      </c>
      <c r="D2566" s="21" t="s">
        <v>42</v>
      </c>
      <c r="E2566" s="22" t="str">
        <f>HYPERLINK("https://twitter.com/Rajiv25479263/status/922419636083220480","922419636083220480")</f>
        <v>922419636083220480</v>
      </c>
      <c r="F2566" s="23" t="s">
        <v>33</v>
      </c>
      <c r="G2566" s="24">
        <v>4.0</v>
      </c>
      <c r="H2566" s="24">
        <v>70.0</v>
      </c>
      <c r="I2566" s="24">
        <v>8501.0</v>
      </c>
      <c r="J2566" s="24">
        <v>0.0</v>
      </c>
      <c r="K2566" s="23" t="s">
        <v>34</v>
      </c>
      <c r="L2566" s="25">
        <v>43029.943449074075</v>
      </c>
      <c r="M2566" s="28"/>
      <c r="N2566" s="28"/>
      <c r="O2566" s="22" t="str">
        <f>HYPERLINK("https://abs.twimg.com/sticky/default_profile_images/default_profile_normal.png","View")</f>
        <v>View</v>
      </c>
      <c r="P2566" s="27"/>
    </row>
    <row r="2567">
      <c r="A2567" s="14">
        <v>43031.17310185185</v>
      </c>
      <c r="B2567" s="20" t="str">
        <f>HYPERLINK("https://twitter.com/susheelkumar44","@susheelkumar44")</f>
        <v>@susheelkumar44</v>
      </c>
      <c r="C2567" s="21" t="s">
        <v>6176</v>
      </c>
      <c r="D2567" s="21" t="s">
        <v>42</v>
      </c>
      <c r="E2567" s="22" t="str">
        <f>HYPERLINK("https://twitter.com/susheelkumar44/status/922419648338866176","922419648338866176")</f>
        <v>922419648338866176</v>
      </c>
      <c r="F2567" s="23" t="s">
        <v>33</v>
      </c>
      <c r="G2567" s="24">
        <v>2084.0</v>
      </c>
      <c r="H2567" s="24">
        <v>2597.0</v>
      </c>
      <c r="I2567" s="24">
        <v>8501.0</v>
      </c>
      <c r="J2567" s="24">
        <v>0.0</v>
      </c>
      <c r="K2567" s="23" t="s">
        <v>34</v>
      </c>
      <c r="L2567" s="25">
        <v>40129.32096064815</v>
      </c>
      <c r="M2567" s="26" t="s">
        <v>6177</v>
      </c>
      <c r="N2567" s="26" t="s">
        <v>6178</v>
      </c>
      <c r="O2567" s="22" t="str">
        <f>HYPERLINK("https://pbs.twimg.com/profile_images/856123021068718080/TwWOAZx4_normal.jpg","View")</f>
        <v>View</v>
      </c>
      <c r="P2567" s="27"/>
    </row>
    <row r="2568">
      <c r="A2568" s="14">
        <v>43031.173113425924</v>
      </c>
      <c r="B2568" s="20" t="str">
        <f>HYPERLINK("https://twitter.com/inu_to_niwatori","@inu_to_niwatori")</f>
        <v>@inu_to_niwatori</v>
      </c>
      <c r="C2568" s="21" t="s">
        <v>6179</v>
      </c>
      <c r="D2568" s="21" t="s">
        <v>6180</v>
      </c>
      <c r="E2568" s="22" t="str">
        <f>HYPERLINK("https://twitter.com/inu_to_niwatori/status/922419653992890373","922419653992890373")</f>
        <v>922419653992890373</v>
      </c>
      <c r="F2568" s="23" t="s">
        <v>39</v>
      </c>
      <c r="G2568" s="24">
        <v>348.0</v>
      </c>
      <c r="H2568" s="24">
        <v>705.0</v>
      </c>
      <c r="I2568" s="24">
        <v>40.0</v>
      </c>
      <c r="J2568" s="24">
        <v>0.0</v>
      </c>
      <c r="K2568" s="23" t="s">
        <v>34</v>
      </c>
      <c r="L2568" s="25">
        <v>42831.02416666667</v>
      </c>
      <c r="M2568" s="26" t="s">
        <v>660</v>
      </c>
      <c r="N2568" s="28"/>
      <c r="O2568" s="22" t="str">
        <f>HYPERLINK("https://pbs.twimg.com/profile_images/849890518116909056/cUEQXRFf_normal.jpg","View")</f>
        <v>View</v>
      </c>
      <c r="P2568" s="27"/>
    </row>
    <row r="2569">
      <c r="A2569" s="14">
        <v>43031.173159722224</v>
      </c>
      <c r="B2569" s="20" t="str">
        <f>HYPERLINK("https://twitter.com/fc1575","@fc1575")</f>
        <v>@fc1575</v>
      </c>
      <c r="C2569" s="21" t="s">
        <v>6181</v>
      </c>
      <c r="D2569" s="21" t="s">
        <v>42</v>
      </c>
      <c r="E2569" s="22" t="str">
        <f>HYPERLINK("https://twitter.com/fc1575/status/922419668240830464","922419668240830464")</f>
        <v>922419668240830464</v>
      </c>
      <c r="F2569" s="23" t="s">
        <v>39</v>
      </c>
      <c r="G2569" s="24">
        <v>456.0</v>
      </c>
      <c r="H2569" s="24">
        <v>244.0</v>
      </c>
      <c r="I2569" s="24">
        <v>8501.0</v>
      </c>
      <c r="J2569" s="24">
        <v>0.0</v>
      </c>
      <c r="K2569" s="23" t="s">
        <v>34</v>
      </c>
      <c r="L2569" s="25">
        <v>40271.43622685185</v>
      </c>
      <c r="M2569" s="26" t="s">
        <v>6182</v>
      </c>
      <c r="N2569" s="26" t="s">
        <v>6183</v>
      </c>
      <c r="O2569" s="22" t="str">
        <f>HYPERLINK("https://pbs.twimg.com/profile_images/481545211311448064/XnRNXLOO_normal.jpeg","View")</f>
        <v>View</v>
      </c>
      <c r="P2569" s="27"/>
    </row>
    <row r="2570">
      <c r="A2570" s="14">
        <v>43031.17318287037</v>
      </c>
      <c r="B2570" s="20" t="str">
        <f>HYPERLINK("https://twitter.com/mikeymikedoha","@mikeymikedoha")</f>
        <v>@mikeymikedoha</v>
      </c>
      <c r="C2570" s="21" t="s">
        <v>6184</v>
      </c>
      <c r="D2570" s="21" t="s">
        <v>513</v>
      </c>
      <c r="E2570" s="22" t="str">
        <f>HYPERLINK("https://twitter.com/mikeymikedoha/status/922419676210016256","922419676210016256")</f>
        <v>922419676210016256</v>
      </c>
      <c r="F2570" s="23" t="s">
        <v>39</v>
      </c>
      <c r="G2570" s="24">
        <v>9386.0</v>
      </c>
      <c r="H2570" s="24">
        <v>8122.0</v>
      </c>
      <c r="I2570" s="24">
        <v>101.0</v>
      </c>
      <c r="J2570" s="24">
        <v>0.0</v>
      </c>
      <c r="K2570" s="23" t="s">
        <v>34</v>
      </c>
      <c r="L2570" s="25">
        <v>39879.056597222225</v>
      </c>
      <c r="M2570" s="26" t="s">
        <v>6185</v>
      </c>
      <c r="N2570" s="26" t="s">
        <v>6186</v>
      </c>
      <c r="O2570" s="22" t="str">
        <f>HYPERLINK("https://pbs.twimg.com/profile_images/866890527047856128/nIDeXgik_normal.jpg","View")</f>
        <v>View</v>
      </c>
      <c r="P2570" s="27"/>
    </row>
    <row r="2571">
      <c r="A2571" s="14">
        <v>43031.17322916667</v>
      </c>
      <c r="B2571" s="20" t="str">
        <f>HYPERLINK("https://twitter.com/hurricanelamp1","@hurricanelamp1")</f>
        <v>@hurricanelamp1</v>
      </c>
      <c r="C2571" s="21" t="s">
        <v>6187</v>
      </c>
      <c r="D2571" s="21" t="s">
        <v>42</v>
      </c>
      <c r="E2571" s="22" t="str">
        <f>HYPERLINK("https://twitter.com/hurricanelamp1/status/922419692332969985","922419692332969985")</f>
        <v>922419692332969985</v>
      </c>
      <c r="F2571" s="23" t="s">
        <v>33</v>
      </c>
      <c r="G2571" s="24">
        <v>58.0</v>
      </c>
      <c r="H2571" s="24">
        <v>94.0</v>
      </c>
      <c r="I2571" s="24">
        <v>8501.0</v>
      </c>
      <c r="J2571" s="24">
        <v>0.0</v>
      </c>
      <c r="K2571" s="23" t="s">
        <v>34</v>
      </c>
      <c r="L2571" s="25">
        <v>41548.55159722222</v>
      </c>
      <c r="M2571" s="26" t="s">
        <v>204</v>
      </c>
      <c r="N2571" s="26" t="s">
        <v>6188</v>
      </c>
      <c r="O2571" s="22" t="str">
        <f>HYPERLINK("https://pbs.twimg.com/profile_images/825341711807295488/xHrqQtW__normal.jpg","View")</f>
        <v>View</v>
      </c>
      <c r="P2571" s="27"/>
    </row>
    <row r="2572">
      <c r="A2572" s="14">
        <v>43031.17324074074</v>
      </c>
      <c r="B2572" s="20" t="str">
        <f>HYPERLINK("https://twitter.com/cpraghav","@cpraghav")</f>
        <v>@cpraghav</v>
      </c>
      <c r="C2572" s="21" t="s">
        <v>6189</v>
      </c>
      <c r="D2572" s="21" t="s">
        <v>163</v>
      </c>
      <c r="E2572" s="22" t="str">
        <f>HYPERLINK("https://twitter.com/cpraghav/status/922419697131200513","922419697131200513")</f>
        <v>922419697131200513</v>
      </c>
      <c r="F2572" s="23" t="s">
        <v>33</v>
      </c>
      <c r="G2572" s="24">
        <v>1004.0</v>
      </c>
      <c r="H2572" s="24">
        <v>290.0</v>
      </c>
      <c r="I2572" s="24">
        <v>1005.0</v>
      </c>
      <c r="J2572" s="24">
        <v>0.0</v>
      </c>
      <c r="K2572" s="23" t="s">
        <v>34</v>
      </c>
      <c r="L2572" s="25">
        <v>40177.8462037037</v>
      </c>
      <c r="M2572" s="26" t="s">
        <v>6190</v>
      </c>
      <c r="N2572" s="26" t="s">
        <v>6191</v>
      </c>
      <c r="O2572" s="22" t="str">
        <f>HYPERLINK("https://pbs.twimg.com/profile_images/920842012156235777/99_L1KgR_normal.jpg","View")</f>
        <v>View</v>
      </c>
      <c r="P2572" s="27"/>
    </row>
    <row r="2573">
      <c r="A2573" s="14">
        <v>43031.17324074074</v>
      </c>
      <c r="B2573" s="20" t="str">
        <f>HYPERLINK("https://twitter.com/anmolsinha19","@anmolsinha19")</f>
        <v>@anmolsinha19</v>
      </c>
      <c r="C2573" s="21" t="s">
        <v>6192</v>
      </c>
      <c r="D2573" s="21" t="s">
        <v>42</v>
      </c>
      <c r="E2573" s="22" t="str">
        <f>HYPERLINK("https://twitter.com/anmolsinha19/status/922419698293080064","922419698293080064")</f>
        <v>922419698293080064</v>
      </c>
      <c r="F2573" s="23" t="s">
        <v>33</v>
      </c>
      <c r="G2573" s="24">
        <v>290.0</v>
      </c>
      <c r="H2573" s="24">
        <v>835.0</v>
      </c>
      <c r="I2573" s="24">
        <v>8501.0</v>
      </c>
      <c r="J2573" s="24">
        <v>0.0</v>
      </c>
      <c r="K2573" s="23" t="s">
        <v>34</v>
      </c>
      <c r="L2573" s="25">
        <v>42405.928391203706</v>
      </c>
      <c r="M2573" s="28"/>
      <c r="N2573" s="26" t="s">
        <v>6193</v>
      </c>
      <c r="O2573" s="22" t="str">
        <f>HYPERLINK("https://pbs.twimg.com/profile_images/896253904265990144/ZJXf4zcB_normal.jpg","View")</f>
        <v>View</v>
      </c>
      <c r="P2573" s="27"/>
    </row>
    <row r="2574">
      <c r="A2574" s="14">
        <v>43031.17325231481</v>
      </c>
      <c r="B2574" s="20" t="str">
        <f>HYPERLINK("https://twitter.com/AbbiejAbbieja","@AbbiejAbbieja")</f>
        <v>@AbbiejAbbieja</v>
      </c>
      <c r="C2574" s="21" t="s">
        <v>979</v>
      </c>
      <c r="D2574" s="21" t="s">
        <v>6194</v>
      </c>
      <c r="E2574" s="22" t="str">
        <f>HYPERLINK("https://twitter.com/AbbiejAbbieja/status/922419701266960385","922419701266960385")</f>
        <v>922419701266960385</v>
      </c>
      <c r="F2574" s="23" t="s">
        <v>187</v>
      </c>
      <c r="G2574" s="24">
        <v>1293.0</v>
      </c>
      <c r="H2574" s="24">
        <v>1320.0</v>
      </c>
      <c r="I2574" s="24">
        <v>0.0</v>
      </c>
      <c r="J2574" s="24">
        <v>0.0</v>
      </c>
      <c r="K2574" s="23" t="s">
        <v>34</v>
      </c>
      <c r="L2574" s="25">
        <v>42803.79164351852</v>
      </c>
      <c r="M2574" s="26" t="s">
        <v>920</v>
      </c>
      <c r="N2574" s="26" t="s">
        <v>981</v>
      </c>
      <c r="O2574" s="22" t="str">
        <f>HYPERLINK("https://pbs.twimg.com/profile_images/860496478065774593/Ti_AHgwa_normal.jpg","View")</f>
        <v>View</v>
      </c>
      <c r="P2574" s="27"/>
    </row>
    <row r="2575">
      <c r="A2575" s="14">
        <v>43031.17326388889</v>
      </c>
      <c r="B2575" s="20" t="str">
        <f>HYPERLINK("https://twitter.com/hetalpatelbjp","@hetalpatelbjp")</f>
        <v>@hetalpatelbjp</v>
      </c>
      <c r="C2575" s="21" t="s">
        <v>6195</v>
      </c>
      <c r="D2575" s="21" t="s">
        <v>42</v>
      </c>
      <c r="E2575" s="22" t="str">
        <f>HYPERLINK("https://twitter.com/hetalpatelbjp/status/922419705473667073","922419705473667073")</f>
        <v>922419705473667073</v>
      </c>
      <c r="F2575" s="23" t="s">
        <v>39</v>
      </c>
      <c r="G2575" s="24">
        <v>230.0</v>
      </c>
      <c r="H2575" s="24">
        <v>119.0</v>
      </c>
      <c r="I2575" s="24">
        <v>8501.0</v>
      </c>
      <c r="J2575" s="24">
        <v>0.0</v>
      </c>
      <c r="K2575" s="23" t="s">
        <v>34</v>
      </c>
      <c r="L2575" s="25">
        <v>42889.432870370365</v>
      </c>
      <c r="M2575" s="26" t="s">
        <v>6196</v>
      </c>
      <c r="N2575" s="28"/>
      <c r="O2575" s="22" t="str">
        <f>HYPERLINK("https://pbs.twimg.com/profile_images/922016137713512448/atvvBo_v_normal.jpg","View")</f>
        <v>View</v>
      </c>
      <c r="P2575" s="27"/>
    </row>
    <row r="2576">
      <c r="A2576" s="14">
        <v>43031.17327546296</v>
      </c>
      <c r="B2576" s="20" t="str">
        <f>HYPERLINK("https://twitter.com/FXDIRK","@FXDIRK")</f>
        <v>@FXDIRK</v>
      </c>
      <c r="C2576" s="21" t="s">
        <v>6197</v>
      </c>
      <c r="D2576" s="21" t="s">
        <v>6198</v>
      </c>
      <c r="E2576" s="22" t="str">
        <f>HYPERLINK("https://twitter.com/FXDIRK/status/922419709139660800","922419709139660800")</f>
        <v>922419709139660800</v>
      </c>
      <c r="F2576" s="23" t="s">
        <v>39</v>
      </c>
      <c r="G2576" s="24">
        <v>25743.0</v>
      </c>
      <c r="H2576" s="24">
        <v>3866.0</v>
      </c>
      <c r="I2576" s="24">
        <v>3.0</v>
      </c>
      <c r="J2576" s="24">
        <v>0.0</v>
      </c>
      <c r="K2576" s="23" t="s">
        <v>34</v>
      </c>
      <c r="L2576" s="25">
        <v>39911.249444444446</v>
      </c>
      <c r="M2576" s="26" t="s">
        <v>6199</v>
      </c>
      <c r="N2576" s="26" t="s">
        <v>6200</v>
      </c>
      <c r="O2576" s="22" t="str">
        <f>HYPERLINK("https://pbs.twimg.com/profile_images/2507489625/8vgteoj7xjgz7tkvmhih_normal.jpeg","View")</f>
        <v>View</v>
      </c>
      <c r="P2576" s="27"/>
    </row>
    <row r="2577">
      <c r="A2577" s="14">
        <v>43031.173310185186</v>
      </c>
      <c r="B2577" s="20" t="str">
        <f>HYPERLINK("https://twitter.com/anirudhramesh95","@anirudhramesh95")</f>
        <v>@anirudhramesh95</v>
      </c>
      <c r="C2577" s="21" t="s">
        <v>6201</v>
      </c>
      <c r="D2577" s="21" t="s">
        <v>42</v>
      </c>
      <c r="E2577" s="22" t="str">
        <f>HYPERLINK("https://twitter.com/anirudhramesh95/status/922419721563017216","922419721563017216")</f>
        <v>922419721563017216</v>
      </c>
      <c r="F2577" s="23" t="s">
        <v>33</v>
      </c>
      <c r="G2577" s="24">
        <v>177.0</v>
      </c>
      <c r="H2577" s="24">
        <v>407.0</v>
      </c>
      <c r="I2577" s="24">
        <v>8501.0</v>
      </c>
      <c r="J2577" s="24">
        <v>0.0</v>
      </c>
      <c r="K2577" s="23" t="s">
        <v>34</v>
      </c>
      <c r="L2577" s="25">
        <v>41355.32035879629</v>
      </c>
      <c r="M2577" s="26" t="s">
        <v>6202</v>
      </c>
      <c r="N2577" s="26" t="s">
        <v>6203</v>
      </c>
      <c r="O2577" s="22" t="str">
        <f>HYPERLINK("https://pbs.twimg.com/profile_images/3414114112/6c1c60ba8776e447281e2fc4f56a0e3c_normal.jpeg","View")</f>
        <v>View</v>
      </c>
      <c r="P2577" s="27"/>
    </row>
    <row r="2578">
      <c r="A2578" s="14">
        <v>43031.17335648148</v>
      </c>
      <c r="B2578" s="20" t="str">
        <f>HYPERLINK("https://twitter.com/JedLeft","@JedLeft")</f>
        <v>@JedLeft</v>
      </c>
      <c r="C2578" s="21" t="s">
        <v>6204</v>
      </c>
      <c r="D2578" s="21" t="s">
        <v>6205</v>
      </c>
      <c r="E2578" s="22" t="str">
        <f>HYPERLINK("https://twitter.com/JedLeft/status/922419742404521984","922419742404521984")</f>
        <v>922419742404521984</v>
      </c>
      <c r="F2578" s="23" t="s">
        <v>39</v>
      </c>
      <c r="G2578" s="24">
        <v>51.0</v>
      </c>
      <c r="H2578" s="24">
        <v>221.0</v>
      </c>
      <c r="I2578" s="24">
        <v>0.0</v>
      </c>
      <c r="J2578" s="24">
        <v>0.0</v>
      </c>
      <c r="K2578" s="23" t="s">
        <v>34</v>
      </c>
      <c r="L2578" s="25">
        <v>40719.65136574074</v>
      </c>
      <c r="M2578" s="26" t="s">
        <v>6206</v>
      </c>
      <c r="N2578" s="28"/>
      <c r="O2578" s="22" t="str">
        <f>HYPERLINK("https://pbs.twimg.com/profile_images/822895881263288320/t6X1c7m6_normal.jpg","View")</f>
        <v>View</v>
      </c>
      <c r="P2578" s="27"/>
    </row>
    <row r="2579">
      <c r="A2579" s="14">
        <v>43031.17337962963</v>
      </c>
      <c r="B2579" s="20" t="str">
        <f>HYPERLINK("https://twitter.com/NyakwarOsuo","@NyakwarOsuo")</f>
        <v>@NyakwarOsuo</v>
      </c>
      <c r="C2579" s="21" t="s">
        <v>6207</v>
      </c>
      <c r="D2579" s="21" t="s">
        <v>32</v>
      </c>
      <c r="E2579" s="22" t="str">
        <f>HYPERLINK("https://twitter.com/NyakwarOsuo/status/922419750331875328","922419750331875328")</f>
        <v>922419750331875328</v>
      </c>
      <c r="F2579" s="23" t="s">
        <v>33</v>
      </c>
      <c r="G2579" s="24">
        <v>171.0</v>
      </c>
      <c r="H2579" s="24">
        <v>1312.0</v>
      </c>
      <c r="I2579" s="24">
        <v>471.0</v>
      </c>
      <c r="J2579" s="24">
        <v>0.0</v>
      </c>
      <c r="K2579" s="23" t="s">
        <v>34</v>
      </c>
      <c r="L2579" s="25">
        <v>42024.10142361111</v>
      </c>
      <c r="M2579" s="26" t="s">
        <v>6208</v>
      </c>
      <c r="N2579" s="26" t="s">
        <v>6209</v>
      </c>
      <c r="O2579" s="22" t="str">
        <f>HYPERLINK("https://pbs.twimg.com/profile_images/731542750454239232/NES_ufPC_normal.jpg","View")</f>
        <v>View</v>
      </c>
      <c r="P2579" s="27"/>
    </row>
    <row r="2580">
      <c r="A2580" s="14">
        <v>43031.17347222222</v>
      </c>
      <c r="B2580" s="20" t="str">
        <f>HYPERLINK("https://twitter.com/thekortimes","@thekortimes")</f>
        <v>@thekortimes</v>
      </c>
      <c r="C2580" s="21" t="s">
        <v>6210</v>
      </c>
      <c r="D2580" s="21" t="s">
        <v>6211</v>
      </c>
      <c r="E2580" s="22" t="str">
        <f>HYPERLINK("https://twitter.com/thekortimes/status/922419783110336513","922419783110336513")</f>
        <v>922419783110336513</v>
      </c>
      <c r="F2580" s="23" t="s">
        <v>48</v>
      </c>
      <c r="G2580" s="24">
        <v>8078.0</v>
      </c>
      <c r="H2580" s="24">
        <v>1873.0</v>
      </c>
      <c r="I2580" s="24">
        <v>0.0</v>
      </c>
      <c r="J2580" s="24">
        <v>3.0</v>
      </c>
      <c r="K2580" s="23" t="s">
        <v>34</v>
      </c>
      <c r="L2580" s="25">
        <v>41011.96644675926</v>
      </c>
      <c r="M2580" s="26" t="s">
        <v>849</v>
      </c>
      <c r="N2580" s="26" t="s">
        <v>6212</v>
      </c>
      <c r="O2580" s="22" t="str">
        <f>HYPERLINK("https://pbs.twimg.com/profile_images/583517579479646209/mmsicd2E_normal.png","View")</f>
        <v>View</v>
      </c>
      <c r="P2580" s="27"/>
    </row>
    <row r="2581">
      <c r="A2581" s="14">
        <v>43031.17351851852</v>
      </c>
      <c r="B2581" s="20" t="str">
        <f>HYPERLINK("https://twitter.com/mikeymikedoha","@mikeymikedoha")</f>
        <v>@mikeymikedoha</v>
      </c>
      <c r="C2581" s="21" t="s">
        <v>6184</v>
      </c>
      <c r="D2581" s="21" t="s">
        <v>760</v>
      </c>
      <c r="E2581" s="22" t="str">
        <f>HYPERLINK("https://twitter.com/mikeymikedoha/status/922419799401140225","922419799401140225")</f>
        <v>922419799401140225</v>
      </c>
      <c r="F2581" s="23" t="s">
        <v>39</v>
      </c>
      <c r="G2581" s="24">
        <v>9386.0</v>
      </c>
      <c r="H2581" s="24">
        <v>8122.0</v>
      </c>
      <c r="I2581" s="24">
        <v>62.0</v>
      </c>
      <c r="J2581" s="24">
        <v>0.0</v>
      </c>
      <c r="K2581" s="23" t="s">
        <v>34</v>
      </c>
      <c r="L2581" s="25">
        <v>39879.056597222225</v>
      </c>
      <c r="M2581" s="26" t="s">
        <v>6185</v>
      </c>
      <c r="N2581" s="26" t="s">
        <v>6186</v>
      </c>
      <c r="O2581" s="22" t="str">
        <f>HYPERLINK("https://pbs.twimg.com/profile_images/866890527047856128/nIDeXgik_normal.jpg","View")</f>
        <v>View</v>
      </c>
      <c r="P2581" s="27"/>
    </row>
    <row r="2582">
      <c r="A2582" s="14">
        <v>43031.173530092594</v>
      </c>
      <c r="B2582" s="20" t="str">
        <f>HYPERLINK("https://twitter.com/SumanKantJha2","@SumanKantJha2")</f>
        <v>@SumanKantJha2</v>
      </c>
      <c r="C2582" s="21" t="s">
        <v>6213</v>
      </c>
      <c r="D2582" s="21" t="s">
        <v>42</v>
      </c>
      <c r="E2582" s="22" t="str">
        <f>HYPERLINK("https://twitter.com/SumanKantJha2/status/922419802425176064","922419802425176064")</f>
        <v>922419802425176064</v>
      </c>
      <c r="F2582" s="23" t="s">
        <v>33</v>
      </c>
      <c r="G2582" s="24">
        <v>153.0</v>
      </c>
      <c r="H2582" s="24">
        <v>387.0</v>
      </c>
      <c r="I2582" s="24">
        <v>8501.0</v>
      </c>
      <c r="J2582" s="24">
        <v>0.0</v>
      </c>
      <c r="K2582" s="23" t="s">
        <v>34</v>
      </c>
      <c r="L2582" s="25">
        <v>42895.297800925924</v>
      </c>
      <c r="M2582" s="26" t="s">
        <v>6214</v>
      </c>
      <c r="N2582" s="26" t="s">
        <v>6215</v>
      </c>
      <c r="O2582" s="22" t="str">
        <f>HYPERLINK("https://pbs.twimg.com/profile_images/919278519250800641/aeqA0yHx_normal.jpg","View")</f>
        <v>View</v>
      </c>
      <c r="P2582" s="27"/>
    </row>
    <row r="2583">
      <c r="A2583" s="14">
        <v>43031.17361111111</v>
      </c>
      <c r="B2583" s="20" t="str">
        <f>HYPERLINK("https://twitter.com/AFP","@AFP")</f>
        <v>@AFP</v>
      </c>
      <c r="C2583" s="21" t="s">
        <v>6216</v>
      </c>
      <c r="D2583" s="21" t="s">
        <v>6217</v>
      </c>
      <c r="E2583" s="22" t="str">
        <f>HYPERLINK("https://twitter.com/AFP/status/922419833072861184","922419833072861184")</f>
        <v>922419833072861184</v>
      </c>
      <c r="F2583" s="23" t="s">
        <v>769</v>
      </c>
      <c r="G2583" s="24">
        <v>1288042.0</v>
      </c>
      <c r="H2583" s="24">
        <v>559.0</v>
      </c>
      <c r="I2583" s="24">
        <v>26.0</v>
      </c>
      <c r="J2583" s="24">
        <v>20.0</v>
      </c>
      <c r="K2583" s="23" t="s">
        <v>34</v>
      </c>
      <c r="L2583" s="25">
        <v>40812.73275462963</v>
      </c>
      <c r="M2583" s="26" t="s">
        <v>6118</v>
      </c>
      <c r="N2583" s="26" t="s">
        <v>6218</v>
      </c>
      <c r="O2583" s="22" t="str">
        <f>HYPERLINK("https://pbs.twimg.com/profile_images/697343883630481408/c08JBfBB_normal.jpg","View")</f>
        <v>View</v>
      </c>
      <c r="P2583" s="27"/>
    </row>
    <row r="2584">
      <c r="A2584" s="14">
        <v>43031.173668981486</v>
      </c>
      <c r="B2584" s="20" t="str">
        <f>HYPERLINK("https://twitter.com/Umesh11390467","@Umesh11390467")</f>
        <v>@Umesh11390467</v>
      </c>
      <c r="C2584" s="21" t="s">
        <v>6219</v>
      </c>
      <c r="D2584" s="21" t="s">
        <v>42</v>
      </c>
      <c r="E2584" s="22" t="str">
        <f>HYPERLINK("https://twitter.com/Umesh11390467/status/922419854467936256","922419854467936256")</f>
        <v>922419854467936256</v>
      </c>
      <c r="F2584" s="23" t="s">
        <v>33</v>
      </c>
      <c r="G2584" s="24">
        <v>15.0</v>
      </c>
      <c r="H2584" s="24">
        <v>63.0</v>
      </c>
      <c r="I2584" s="24">
        <v>8501.0</v>
      </c>
      <c r="J2584" s="24">
        <v>0.0</v>
      </c>
      <c r="K2584" s="23" t="s">
        <v>34</v>
      </c>
      <c r="L2584" s="25">
        <v>42875.42555555556</v>
      </c>
      <c r="M2584" s="26" t="s">
        <v>2335</v>
      </c>
      <c r="N2584" s="26" t="s">
        <v>6220</v>
      </c>
      <c r="O2584" s="22" t="str">
        <f>HYPERLINK("https://pbs.twimg.com/profile_images/866266641214132224/9YyyUvDs_normal.jpg","View")</f>
        <v>View</v>
      </c>
      <c r="P2584" s="27"/>
    </row>
    <row r="2585">
      <c r="A2585" s="14">
        <v>43031.173680555556</v>
      </c>
      <c r="B2585" s="20" t="str">
        <f>HYPERLINK("https://twitter.com/us_world_news","@us_world_news")</f>
        <v>@us_world_news</v>
      </c>
      <c r="C2585" s="21" t="s">
        <v>6221</v>
      </c>
      <c r="D2585" s="21" t="s">
        <v>6222</v>
      </c>
      <c r="E2585" s="22" t="str">
        <f>HYPERLINK("https://twitter.com/us_world_news/status/922419859903967233","922419859903967233")</f>
        <v>922419859903967233</v>
      </c>
      <c r="F2585" s="23" t="s">
        <v>6221</v>
      </c>
      <c r="G2585" s="24">
        <v>141.0</v>
      </c>
      <c r="H2585" s="24">
        <v>5.0</v>
      </c>
      <c r="I2585" s="24">
        <v>0.0</v>
      </c>
      <c r="J2585" s="24">
        <v>0.0</v>
      </c>
      <c r="K2585" s="23" t="s">
        <v>34</v>
      </c>
      <c r="L2585" s="25">
        <v>42420.20202546296</v>
      </c>
      <c r="M2585" s="28"/>
      <c r="N2585" s="28"/>
      <c r="O2585" s="22" t="str">
        <f>HYPERLINK("https://pbs.twimg.com/profile_images/701026859115536384/10CtA2e4_normal.png","View")</f>
        <v>View</v>
      </c>
      <c r="P2585" s="27"/>
    </row>
    <row r="2586">
      <c r="A2586" s="14">
        <v>43031.17376157407</v>
      </c>
      <c r="B2586" s="20" t="str">
        <f>HYPERLINK("https://twitter.com/VikalRajat","@VikalRajat")</f>
        <v>@VikalRajat</v>
      </c>
      <c r="C2586" s="21" t="s">
        <v>6223</v>
      </c>
      <c r="D2586" s="21" t="s">
        <v>42</v>
      </c>
      <c r="E2586" s="22" t="str">
        <f>HYPERLINK("https://twitter.com/VikalRajat/status/922419885732499458","922419885732499458")</f>
        <v>922419885732499458</v>
      </c>
      <c r="F2586" s="23" t="s">
        <v>33</v>
      </c>
      <c r="G2586" s="24">
        <v>66.0</v>
      </c>
      <c r="H2586" s="24">
        <v>77.0</v>
      </c>
      <c r="I2586" s="24">
        <v>8501.0</v>
      </c>
      <c r="J2586" s="24">
        <v>0.0</v>
      </c>
      <c r="K2586" s="23" t="s">
        <v>34</v>
      </c>
      <c r="L2586" s="25">
        <v>42934.0074537037</v>
      </c>
      <c r="M2586" s="26" t="s">
        <v>2806</v>
      </c>
      <c r="N2586" s="26" t="s">
        <v>6224</v>
      </c>
      <c r="O2586" s="22" t="str">
        <f>HYPERLINK("https://pbs.twimg.com/profile_images/904197058655072256/4fz7Tfcf_normal.jpg","View")</f>
        <v>View</v>
      </c>
      <c r="P2586" s="27"/>
    </row>
    <row r="2587">
      <c r="A2587" s="14">
        <v>43031.17383101852</v>
      </c>
      <c r="B2587" s="20" t="str">
        <f>HYPERLINK("https://twitter.com/BrownBearPro","@BrownBearPro")</f>
        <v>@BrownBearPro</v>
      </c>
      <c r="C2587" s="21" t="s">
        <v>6225</v>
      </c>
      <c r="D2587" s="21" t="s">
        <v>5786</v>
      </c>
      <c r="E2587" s="22" t="str">
        <f>HYPERLINK("https://twitter.com/BrownBearPro/status/922419912043266049","922419912043266049")</f>
        <v>922419912043266049</v>
      </c>
      <c r="F2587" s="23" t="s">
        <v>33</v>
      </c>
      <c r="G2587" s="24">
        <v>180.0</v>
      </c>
      <c r="H2587" s="24">
        <v>596.0</v>
      </c>
      <c r="I2587" s="24">
        <v>59.0</v>
      </c>
      <c r="J2587" s="24">
        <v>0.0</v>
      </c>
      <c r="K2587" s="23" t="s">
        <v>34</v>
      </c>
      <c r="L2587" s="25">
        <v>41151.67815972222</v>
      </c>
      <c r="M2587" s="26" t="s">
        <v>2068</v>
      </c>
      <c r="N2587" s="26" t="s">
        <v>6226</v>
      </c>
      <c r="O2587" s="22" t="str">
        <f>HYPERLINK("https://pbs.twimg.com/profile_images/716696342148554752/2dDY5kps_normal.jpg","View")</f>
        <v>View</v>
      </c>
      <c r="P2587" s="27"/>
    </row>
    <row r="2588">
      <c r="A2588" s="14">
        <v>43031.17386574074</v>
      </c>
      <c r="B2588" s="20" t="str">
        <f>HYPERLINK("https://twitter.com/bdnews24","@bdnews24")</f>
        <v>@bdnews24</v>
      </c>
      <c r="C2588" s="21" t="s">
        <v>831</v>
      </c>
      <c r="D2588" s="21" t="s">
        <v>6227</v>
      </c>
      <c r="E2588" s="22" t="str">
        <f>HYPERLINK("https://twitter.com/bdnews24/status/922419924747857921","922419924747857921")</f>
        <v>922419924747857921</v>
      </c>
      <c r="F2588" s="23" t="s">
        <v>187</v>
      </c>
      <c r="G2588" s="24">
        <v>215301.0</v>
      </c>
      <c r="H2588" s="24">
        <v>67843.0</v>
      </c>
      <c r="I2588" s="24">
        <v>0.0</v>
      </c>
      <c r="J2588" s="24">
        <v>1.0</v>
      </c>
      <c r="K2588" s="23" t="s">
        <v>34</v>
      </c>
      <c r="L2588" s="25">
        <v>39844.468043981484</v>
      </c>
      <c r="M2588" s="26" t="s">
        <v>833</v>
      </c>
      <c r="N2588" s="26" t="s">
        <v>834</v>
      </c>
      <c r="O2588" s="22" t="str">
        <f>HYPERLINK("https://pbs.twimg.com/profile_images/718433521509994497/4iW9RC_r_normal.jpg","View")</f>
        <v>View</v>
      </c>
      <c r="P2588" s="27"/>
    </row>
    <row r="2589">
      <c r="A2589" s="14">
        <v>43031.173946759256</v>
      </c>
      <c r="B2589" s="20" t="str">
        <f>HYPERLINK("https://twitter.com/fatimaalisheikh","@fatimaalisheikh")</f>
        <v>@fatimaalisheikh</v>
      </c>
      <c r="C2589" s="21" t="s">
        <v>6228</v>
      </c>
      <c r="D2589" s="21" t="s">
        <v>5786</v>
      </c>
      <c r="E2589" s="22" t="str">
        <f>HYPERLINK("https://twitter.com/fatimaalisheikh/status/922419955609620480","922419955609620480")</f>
        <v>922419955609620480</v>
      </c>
      <c r="F2589" s="23" t="s">
        <v>33</v>
      </c>
      <c r="G2589" s="24">
        <v>171.0</v>
      </c>
      <c r="H2589" s="24">
        <v>1449.0</v>
      </c>
      <c r="I2589" s="24">
        <v>59.0</v>
      </c>
      <c r="J2589" s="24">
        <v>0.0</v>
      </c>
      <c r="K2589" s="23" t="s">
        <v>34</v>
      </c>
      <c r="L2589" s="25">
        <v>40943.30571759259</v>
      </c>
      <c r="M2589" s="26" t="s">
        <v>6229</v>
      </c>
      <c r="N2589" s="26" t="s">
        <v>6230</v>
      </c>
      <c r="O2589" s="22" t="str">
        <f>HYPERLINK("https://pbs.twimg.com/profile_images/891111642376884224/L1BiaesX_normal.jpg","View")</f>
        <v>View</v>
      </c>
      <c r="P2589" s="27"/>
    </row>
    <row r="2590">
      <c r="A2590" s="14">
        <v>43031.17398148148</v>
      </c>
      <c r="B2590" s="20" t="str">
        <f>HYPERLINK("https://twitter.com/_YegonDuncan","@_YegonDuncan")</f>
        <v>@_YegonDuncan</v>
      </c>
      <c r="C2590" s="21" t="s">
        <v>6231</v>
      </c>
      <c r="D2590" s="21" t="s">
        <v>32</v>
      </c>
      <c r="E2590" s="22" t="str">
        <f>HYPERLINK("https://twitter.com/_YegonDuncan/status/922419965348675585","922419965348675585")</f>
        <v>922419965348675585</v>
      </c>
      <c r="F2590" s="23" t="s">
        <v>55</v>
      </c>
      <c r="G2590" s="24">
        <v>152.0</v>
      </c>
      <c r="H2590" s="24">
        <v>259.0</v>
      </c>
      <c r="I2590" s="24">
        <v>471.0</v>
      </c>
      <c r="J2590" s="24">
        <v>0.0</v>
      </c>
      <c r="K2590" s="23" t="s">
        <v>34</v>
      </c>
      <c r="L2590" s="25">
        <v>42771.324837962966</v>
      </c>
      <c r="M2590" s="28"/>
      <c r="N2590" s="28"/>
      <c r="O2590" s="22" t="str">
        <f>HYPERLINK("https://pbs.twimg.com/profile_images/844097271629303808/uG64nJKY_normal.jpg","View")</f>
        <v>View</v>
      </c>
      <c r="P2590" s="27"/>
    </row>
    <row r="2591">
      <c r="A2591" s="14">
        <v>43031.17402777778</v>
      </c>
      <c r="B2591" s="20" t="str">
        <f>HYPERLINK("https://twitter.com/Bullish19","@Bullish19")</f>
        <v>@Bullish19</v>
      </c>
      <c r="C2591" s="21" t="s">
        <v>6232</v>
      </c>
      <c r="D2591" s="21" t="s">
        <v>42</v>
      </c>
      <c r="E2591" s="22" t="str">
        <f>HYPERLINK("https://twitter.com/Bullish19/status/922419982696361984","922419982696361984")</f>
        <v>922419982696361984</v>
      </c>
      <c r="F2591" s="23" t="s">
        <v>55</v>
      </c>
      <c r="G2591" s="24">
        <v>4974.0</v>
      </c>
      <c r="H2591" s="24">
        <v>2496.0</v>
      </c>
      <c r="I2591" s="24">
        <v>8501.0</v>
      </c>
      <c r="J2591" s="24">
        <v>0.0</v>
      </c>
      <c r="K2591" s="23" t="s">
        <v>34</v>
      </c>
      <c r="L2591" s="25">
        <v>41724.25989583333</v>
      </c>
      <c r="M2591" s="26" t="s">
        <v>6233</v>
      </c>
      <c r="N2591" s="26" t="s">
        <v>6234</v>
      </c>
      <c r="O2591" s="22" t="str">
        <f>HYPERLINK("https://pbs.twimg.com/profile_images/823485553681301504/Dz-wXdQs_normal.jpg","View")</f>
        <v>View</v>
      </c>
      <c r="P2591" s="27"/>
    </row>
    <row r="2592">
      <c r="A2592" s="14">
        <v>43031.17408564815</v>
      </c>
      <c r="B2592" s="20" t="str">
        <f>HYPERLINK("https://twitter.com/paulabrighten","@paulabrighten")</f>
        <v>@paulabrighten</v>
      </c>
      <c r="C2592" s="21" t="s">
        <v>6235</v>
      </c>
      <c r="D2592" s="21" t="s">
        <v>6236</v>
      </c>
      <c r="E2592" s="22" t="str">
        <f>HYPERLINK("https://twitter.com/paulabrighten/status/922420006582972417","922420006582972417")</f>
        <v>922420006582972417</v>
      </c>
      <c r="F2592" s="23" t="s">
        <v>39</v>
      </c>
      <c r="G2592" s="24">
        <v>350.0</v>
      </c>
      <c r="H2592" s="24">
        <v>193.0</v>
      </c>
      <c r="I2592" s="24">
        <v>26.0</v>
      </c>
      <c r="J2592" s="24">
        <v>0.0</v>
      </c>
      <c r="K2592" s="23" t="s">
        <v>34</v>
      </c>
      <c r="L2592" s="25">
        <v>39911.65797453704</v>
      </c>
      <c r="M2592" s="26" t="s">
        <v>1735</v>
      </c>
      <c r="N2592" s="32" t="s">
        <v>6237</v>
      </c>
      <c r="O2592" s="22" t="str">
        <f>HYPERLINK("https://pbs.twimg.com/profile_images/922962871033761792/z5XVV6k__normal.jpg","View")</f>
        <v>View</v>
      </c>
      <c r="P2592" s="27"/>
    </row>
    <row r="2593">
      <c r="A2593" s="14">
        <v>43031.17414351852</v>
      </c>
      <c r="B2593" s="20" t="str">
        <f>HYPERLINK("https://twitter.com/JapjotSingh1031","@JapjotSingh1031")</f>
        <v>@JapjotSingh1031</v>
      </c>
      <c r="C2593" s="21" t="s">
        <v>6238</v>
      </c>
      <c r="D2593" s="21" t="s">
        <v>42</v>
      </c>
      <c r="E2593" s="22" t="str">
        <f>HYPERLINK("https://twitter.com/JapjotSingh1031/status/922420026782523392","922420026782523392")</f>
        <v>922420026782523392</v>
      </c>
      <c r="F2593" s="23" t="s">
        <v>33</v>
      </c>
      <c r="G2593" s="24">
        <v>5.0</v>
      </c>
      <c r="H2593" s="24">
        <v>76.0</v>
      </c>
      <c r="I2593" s="24">
        <v>8501.0</v>
      </c>
      <c r="J2593" s="24">
        <v>0.0</v>
      </c>
      <c r="K2593" s="23" t="s">
        <v>34</v>
      </c>
      <c r="L2593" s="25">
        <v>42631.459745370375</v>
      </c>
      <c r="M2593" s="28"/>
      <c r="N2593" s="28"/>
      <c r="O2593" s="22" t="str">
        <f>HYPERLINK("https://pbs.twimg.com/profile_images/922147418958790656/XWf7_KdU_normal.jpg","View")</f>
        <v>View</v>
      </c>
      <c r="P2593" s="27"/>
    </row>
    <row r="2594">
      <c r="A2594" s="14">
        <v>43031.174155092594</v>
      </c>
      <c r="B2594" s="20" t="str">
        <f>HYPERLINK("https://twitter.com/dlyglobalnews","@dlyglobalnews")</f>
        <v>@dlyglobalnews</v>
      </c>
      <c r="C2594" s="21" t="s">
        <v>6239</v>
      </c>
      <c r="D2594" s="21" t="s">
        <v>6240</v>
      </c>
      <c r="E2594" s="22" t="str">
        <f>HYPERLINK("https://twitter.com/dlyglobalnews/status/922420030133940225","922420030133940225")</f>
        <v>922420030133940225</v>
      </c>
      <c r="F2594" s="30" t="s">
        <v>191</v>
      </c>
      <c r="G2594" s="24">
        <v>14368.0</v>
      </c>
      <c r="H2594" s="24">
        <v>4645.0</v>
      </c>
      <c r="I2594" s="24">
        <v>0.0</v>
      </c>
      <c r="J2594" s="24">
        <v>0.0</v>
      </c>
      <c r="K2594" s="23" t="s">
        <v>34</v>
      </c>
      <c r="L2594" s="25">
        <v>42319.237384259264</v>
      </c>
      <c r="M2594" s="26" t="s">
        <v>6241</v>
      </c>
      <c r="N2594" s="26" t="s">
        <v>6242</v>
      </c>
      <c r="O2594" s="22" t="str">
        <f>HYPERLINK("https://pbs.twimg.com/profile_images/745963667406073857/EZ6Gypvm_normal.jpg","View")</f>
        <v>View</v>
      </c>
      <c r="P2594" s="27"/>
    </row>
    <row r="2595">
      <c r="A2595" s="14">
        <v>43031.17420138889</v>
      </c>
      <c r="B2595" s="20" t="str">
        <f>HYPERLINK("https://twitter.com/WadaJP","@WadaJP")</f>
        <v>@WadaJP</v>
      </c>
      <c r="C2595" s="21" t="s">
        <v>6243</v>
      </c>
      <c r="D2595" s="21" t="s">
        <v>6236</v>
      </c>
      <c r="E2595" s="22" t="str">
        <f>HYPERLINK("https://twitter.com/WadaJP/status/922420045883437056","922420045883437056")</f>
        <v>922420045883437056</v>
      </c>
      <c r="F2595" s="23" t="s">
        <v>55</v>
      </c>
      <c r="G2595" s="24">
        <v>2079.0</v>
      </c>
      <c r="H2595" s="24">
        <v>266.0</v>
      </c>
      <c r="I2595" s="24">
        <v>26.0</v>
      </c>
      <c r="J2595" s="24">
        <v>0.0</v>
      </c>
      <c r="K2595" s="23" t="s">
        <v>34</v>
      </c>
      <c r="L2595" s="25">
        <v>40443.30039351852</v>
      </c>
      <c r="M2595" s="26" t="s">
        <v>6244</v>
      </c>
      <c r="N2595" s="26" t="s">
        <v>6245</v>
      </c>
      <c r="O2595" s="22" t="str">
        <f>HYPERLINK("https://pbs.twimg.com/profile_images/751793721004273666/jXwz78oi_normal.jpg","View")</f>
        <v>View</v>
      </c>
      <c r="P2595" s="27"/>
    </row>
    <row r="2596">
      <c r="A2596" s="14">
        <v>43031.17420138889</v>
      </c>
      <c r="B2596" s="20" t="str">
        <f>HYPERLINK("https://twitter.com/prabpkumar","@prabpkumar")</f>
        <v>@prabpkumar</v>
      </c>
      <c r="C2596" s="21" t="s">
        <v>6246</v>
      </c>
      <c r="D2596" s="21" t="s">
        <v>42</v>
      </c>
      <c r="E2596" s="22" t="str">
        <f>HYPERLINK("https://twitter.com/prabpkumar/status/922420046219034624","922420046219034624")</f>
        <v>922420046219034624</v>
      </c>
      <c r="F2596" s="23" t="s">
        <v>33</v>
      </c>
      <c r="G2596" s="24">
        <v>129.0</v>
      </c>
      <c r="H2596" s="24">
        <v>285.0</v>
      </c>
      <c r="I2596" s="24">
        <v>8501.0</v>
      </c>
      <c r="J2596" s="24">
        <v>0.0</v>
      </c>
      <c r="K2596" s="23" t="s">
        <v>34</v>
      </c>
      <c r="L2596" s="25">
        <v>41656.94421296296</v>
      </c>
      <c r="M2596" s="28"/>
      <c r="N2596" s="28"/>
      <c r="O2596" s="22" t="str">
        <f>HYPERLINK("https://pbs.twimg.com/profile_images/804611081616392192/FsmrmrJX_normal.jpg","View")</f>
        <v>View</v>
      </c>
      <c r="P2596" s="27"/>
    </row>
    <row r="2597">
      <c r="A2597" s="14">
        <v>43031.17434027778</v>
      </c>
      <c r="B2597" s="20" t="str">
        <f>HYPERLINK("https://twitter.com/PtMaheshShastri","@PtMaheshShastri")</f>
        <v>@PtMaheshShastri</v>
      </c>
      <c r="C2597" s="21" t="s">
        <v>6247</v>
      </c>
      <c r="D2597" s="21" t="s">
        <v>42</v>
      </c>
      <c r="E2597" s="22" t="str">
        <f>HYPERLINK("https://twitter.com/PtMaheshShastri/status/922420097544630274","922420097544630274")</f>
        <v>922420097544630274</v>
      </c>
      <c r="F2597" s="23" t="s">
        <v>39</v>
      </c>
      <c r="G2597" s="24">
        <v>114.0</v>
      </c>
      <c r="H2597" s="24">
        <v>27.0</v>
      </c>
      <c r="I2597" s="24">
        <v>8501.0</v>
      </c>
      <c r="J2597" s="24">
        <v>0.0</v>
      </c>
      <c r="K2597" s="23" t="s">
        <v>34</v>
      </c>
      <c r="L2597" s="25">
        <v>40743.47809027778</v>
      </c>
      <c r="M2597" s="26" t="s">
        <v>4587</v>
      </c>
      <c r="N2597" s="26" t="s">
        <v>6248</v>
      </c>
      <c r="O2597" s="22" t="str">
        <f>HYPERLINK("https://pbs.twimg.com/profile_images/884221279561162753/H_ZKvjKB_normal.jpg","View")</f>
        <v>View</v>
      </c>
      <c r="P2597" s="27"/>
    </row>
    <row r="2598">
      <c r="A2598" s="14">
        <v>43031.17439814815</v>
      </c>
      <c r="B2598" s="20" t="str">
        <f>HYPERLINK("https://twitter.com/nofly_nocry","@nofly_nocry")</f>
        <v>@nofly_nocry</v>
      </c>
      <c r="C2598" s="21" t="s">
        <v>6249</v>
      </c>
      <c r="D2598" s="21" t="s">
        <v>42</v>
      </c>
      <c r="E2598" s="22" t="str">
        <f>HYPERLINK("https://twitter.com/nofly_nocry/status/922420116666462208","922420116666462208")</f>
        <v>922420116666462208</v>
      </c>
      <c r="F2598" s="23" t="s">
        <v>39</v>
      </c>
      <c r="G2598" s="24">
        <v>105.0</v>
      </c>
      <c r="H2598" s="24">
        <v>240.0</v>
      </c>
      <c r="I2598" s="24">
        <v>8501.0</v>
      </c>
      <c r="J2598" s="24">
        <v>0.0</v>
      </c>
      <c r="K2598" s="23" t="s">
        <v>34</v>
      </c>
      <c r="L2598" s="25">
        <v>41408.16150462963</v>
      </c>
      <c r="M2598" s="26" t="s">
        <v>6250</v>
      </c>
      <c r="N2598" s="26" t="s">
        <v>6251</v>
      </c>
      <c r="O2598" s="22" t="str">
        <f>HYPERLINK("https://pbs.twimg.com/profile_images/902132213134659584/250O7qK__normal.jpg","View")</f>
        <v>View</v>
      </c>
      <c r="P2598" s="27"/>
    </row>
    <row r="2599">
      <c r="A2599" s="14">
        <v>43031.174421296295</v>
      </c>
      <c r="B2599" s="20" t="str">
        <f>HYPERLINK("https://twitter.com/BiengShashank","@BiengShashank")</f>
        <v>@BiengShashank</v>
      </c>
      <c r="C2599" s="21" t="s">
        <v>6252</v>
      </c>
      <c r="D2599" s="21" t="s">
        <v>42</v>
      </c>
      <c r="E2599" s="22" t="str">
        <f>HYPERLINK("https://twitter.com/BiengShashank/status/922420124535025664","922420124535025664")</f>
        <v>922420124535025664</v>
      </c>
      <c r="F2599" s="23" t="s">
        <v>33</v>
      </c>
      <c r="G2599" s="24">
        <v>204.0</v>
      </c>
      <c r="H2599" s="24">
        <v>614.0</v>
      </c>
      <c r="I2599" s="24">
        <v>8501.0</v>
      </c>
      <c r="J2599" s="24">
        <v>0.0</v>
      </c>
      <c r="K2599" s="23" t="s">
        <v>34</v>
      </c>
      <c r="L2599" s="25">
        <v>42744.7362037037</v>
      </c>
      <c r="M2599" s="28"/>
      <c r="N2599" s="26" t="s">
        <v>6253</v>
      </c>
      <c r="O2599" s="22" t="str">
        <f>HYPERLINK("https://pbs.twimg.com/profile_images/823916435290411008/boQxxj8A_normal.jpg","View")</f>
        <v>View</v>
      </c>
      <c r="P2599" s="27"/>
    </row>
    <row r="2600">
      <c r="A2600" s="14">
        <v>43031.17446759259</v>
      </c>
      <c r="B2600" s="20" t="str">
        <f>HYPERLINK("https://twitter.com/parth_kacha","@parth_kacha")</f>
        <v>@parth_kacha</v>
      </c>
      <c r="C2600" s="21" t="s">
        <v>6254</v>
      </c>
      <c r="D2600" s="21" t="s">
        <v>42</v>
      </c>
      <c r="E2600" s="22" t="str">
        <f>HYPERLINK("https://twitter.com/parth_kacha/status/922420144235716609","922420144235716609")</f>
        <v>922420144235716609</v>
      </c>
      <c r="F2600" s="23" t="s">
        <v>33</v>
      </c>
      <c r="G2600" s="24">
        <v>1508.0</v>
      </c>
      <c r="H2600" s="24">
        <v>221.0</v>
      </c>
      <c r="I2600" s="24">
        <v>8501.0</v>
      </c>
      <c r="J2600" s="24">
        <v>0.0</v>
      </c>
      <c r="K2600" s="23" t="s">
        <v>34</v>
      </c>
      <c r="L2600" s="25">
        <v>42046.30804398148</v>
      </c>
      <c r="M2600" s="26" t="s">
        <v>6255</v>
      </c>
      <c r="N2600" s="26" t="s">
        <v>6256</v>
      </c>
      <c r="O2600" s="22" t="str">
        <f>HYPERLINK("https://pbs.twimg.com/profile_images/906536259530612736/ByqkxNQ5_normal.jpg","View")</f>
        <v>View</v>
      </c>
      <c r="P2600" s="27"/>
    </row>
    <row r="2601">
      <c r="A2601" s="14">
        <v>43031.17461805556</v>
      </c>
      <c r="B2601" s="20" t="str">
        <f>HYPERLINK("https://twitter.com/danisasaki","@danisasaki")</f>
        <v>@danisasaki</v>
      </c>
      <c r="C2601" s="21" t="s">
        <v>6257</v>
      </c>
      <c r="D2601" s="21" t="s">
        <v>5786</v>
      </c>
      <c r="E2601" s="22" t="str">
        <f>HYPERLINK("https://twitter.com/danisasaki/status/922420199332118528","922420199332118528")</f>
        <v>922420199332118528</v>
      </c>
      <c r="F2601" s="23" t="s">
        <v>39</v>
      </c>
      <c r="G2601" s="24">
        <v>411.0</v>
      </c>
      <c r="H2601" s="24">
        <v>987.0</v>
      </c>
      <c r="I2601" s="24">
        <v>59.0</v>
      </c>
      <c r="J2601" s="24">
        <v>0.0</v>
      </c>
      <c r="K2601" s="23" t="s">
        <v>34</v>
      </c>
      <c r="L2601" s="25">
        <v>39937.34979166667</v>
      </c>
      <c r="M2601" s="26" t="s">
        <v>6258</v>
      </c>
      <c r="N2601" s="26" t="s">
        <v>6259</v>
      </c>
      <c r="O2601" s="22" t="str">
        <f>HYPERLINK("https://pbs.twimg.com/profile_images/917657657129005056/2IJ6IgwB_normal.jpg","View")</f>
        <v>View</v>
      </c>
      <c r="P2601" s="27"/>
    </row>
    <row r="2602">
      <c r="A2602" s="14">
        <v>43031.17480324074</v>
      </c>
      <c r="B2602" s="20" t="str">
        <f>HYPERLINK("https://twitter.com/CollectedN","@CollectedN")</f>
        <v>@CollectedN</v>
      </c>
      <c r="C2602" s="21" t="s">
        <v>3553</v>
      </c>
      <c r="D2602" s="21" t="s">
        <v>6260</v>
      </c>
      <c r="E2602" s="22" t="str">
        <f>HYPERLINK("https://twitter.com/CollectedN/status/922420263433703424","922420263433703424")</f>
        <v>922420263433703424</v>
      </c>
      <c r="F2602" s="23" t="s">
        <v>187</v>
      </c>
      <c r="G2602" s="24">
        <v>21993.0</v>
      </c>
      <c r="H2602" s="24">
        <v>16541.0</v>
      </c>
      <c r="I2602" s="24">
        <v>0.0</v>
      </c>
      <c r="J2602" s="24">
        <v>0.0</v>
      </c>
      <c r="K2602" s="23" t="s">
        <v>34</v>
      </c>
      <c r="L2602" s="25">
        <v>41333.76840277778</v>
      </c>
      <c r="M2602" s="28"/>
      <c r="N2602" s="26" t="s">
        <v>3555</v>
      </c>
      <c r="O2602" s="22" t="str">
        <f>HYPERLINK("https://pbs.twimg.com/profile_images/705925817277108224/nGS1Ko7F_normal.jpg","View")</f>
        <v>View</v>
      </c>
      <c r="P2602" s="27"/>
    </row>
    <row r="2603">
      <c r="A2603" s="14">
        <v>43031.17509259259</v>
      </c>
      <c r="B2603" s="20" t="str">
        <f>HYPERLINK("https://twitter.com/arcagility","@arcagility")</f>
        <v>@arcagility</v>
      </c>
      <c r="C2603" s="21" t="s">
        <v>6261</v>
      </c>
      <c r="D2603" s="21" t="s">
        <v>6262</v>
      </c>
      <c r="E2603" s="22" t="str">
        <f>HYPERLINK("https://twitter.com/arcagility/status/922420370413637637","922420370413637637")</f>
        <v>922420370413637637</v>
      </c>
      <c r="F2603" s="23" t="s">
        <v>91</v>
      </c>
      <c r="G2603" s="24">
        <v>1329.0</v>
      </c>
      <c r="H2603" s="24">
        <v>885.0</v>
      </c>
      <c r="I2603" s="24">
        <v>0.0</v>
      </c>
      <c r="J2603" s="24">
        <v>0.0</v>
      </c>
      <c r="K2603" s="23" t="s">
        <v>34</v>
      </c>
      <c r="L2603" s="25">
        <v>39892.10334490741</v>
      </c>
      <c r="M2603" s="26" t="s">
        <v>6263</v>
      </c>
      <c r="N2603" s="26" t="s">
        <v>6264</v>
      </c>
      <c r="O2603" s="22" t="str">
        <f>HYPERLINK("https://pbs.twimg.com/profile_images/2816068661/19312f462d2e5b6a05d66900deba7f05_normal.jpeg","View")</f>
        <v>View</v>
      </c>
      <c r="P2603" s="27"/>
    </row>
    <row r="2604">
      <c r="A2604" s="14">
        <v>43031.17517361111</v>
      </c>
      <c r="B2604" s="20" t="str">
        <f>HYPERLINK("https://twitter.com/LovToRideMyTrek","@LovToRideMyTrek")</f>
        <v>@LovToRideMyTrek</v>
      </c>
      <c r="C2604" s="21" t="s">
        <v>6265</v>
      </c>
      <c r="D2604" s="21" t="s">
        <v>513</v>
      </c>
      <c r="E2604" s="22" t="str">
        <f>HYPERLINK("https://twitter.com/LovToRideMyTrek/status/922420397001322496","922420397001322496")</f>
        <v>922420397001322496</v>
      </c>
      <c r="F2604" s="23" t="s">
        <v>33</v>
      </c>
      <c r="G2604" s="24">
        <v>6901.0</v>
      </c>
      <c r="H2604" s="24">
        <v>7330.0</v>
      </c>
      <c r="I2604" s="24">
        <v>101.0</v>
      </c>
      <c r="J2604" s="24">
        <v>0.0</v>
      </c>
      <c r="K2604" s="23" t="s">
        <v>34</v>
      </c>
      <c r="L2604" s="25">
        <v>40458.45159722222</v>
      </c>
      <c r="M2604" s="26" t="s">
        <v>4083</v>
      </c>
      <c r="N2604" s="26" t="s">
        <v>6266</v>
      </c>
      <c r="O2604" s="22" t="str">
        <f>HYPERLINK("https://pbs.twimg.com/profile_images/742405202922217478/3rq6WeOa_normal.jpg","View")</f>
        <v>View</v>
      </c>
      <c r="P2604" s="27"/>
    </row>
    <row r="2605">
      <c r="A2605" s="14">
        <v>43031.17517361111</v>
      </c>
      <c r="B2605" s="20" t="str">
        <f>HYPERLINK("https://twitter.com/RTGWorld","@RTGWorld")</f>
        <v>@RTGWorld</v>
      </c>
      <c r="C2605" s="21" t="s">
        <v>6267</v>
      </c>
      <c r="D2605" s="21" t="s">
        <v>6268</v>
      </c>
      <c r="E2605" s="22" t="str">
        <f>HYPERLINK("https://twitter.com/RTGWorld/status/922420398377132032","922420398377132032")</f>
        <v>922420398377132032</v>
      </c>
      <c r="F2605" s="23" t="s">
        <v>187</v>
      </c>
      <c r="G2605" s="24">
        <v>350.0</v>
      </c>
      <c r="H2605" s="24">
        <v>5.0</v>
      </c>
      <c r="I2605" s="24">
        <v>0.0</v>
      </c>
      <c r="J2605" s="24">
        <v>0.0</v>
      </c>
      <c r="K2605" s="23" t="s">
        <v>34</v>
      </c>
      <c r="L2605" s="25">
        <v>42111.125497685185</v>
      </c>
      <c r="M2605" s="28"/>
      <c r="N2605" s="28"/>
      <c r="O2605" s="22" t="str">
        <f>HYPERLINK("https://pbs.twimg.com/profile_images/621177630109249536/Dn9SiFvI_normal.png","View")</f>
        <v>View</v>
      </c>
      <c r="P2605" s="27"/>
    </row>
    <row r="2606">
      <c r="A2606" s="14">
        <v>43031.175208333334</v>
      </c>
      <c r="B2606" s="20" t="str">
        <f>HYPERLINK("https://twitter.com/InviSibleSold","@InviSibleSold")</f>
        <v>@InviSibleSold</v>
      </c>
      <c r="C2606" s="21" t="s">
        <v>6269</v>
      </c>
      <c r="D2606" s="21" t="s">
        <v>6236</v>
      </c>
      <c r="E2606" s="22" t="str">
        <f>HYPERLINK("https://twitter.com/InviSibleSold/status/922420412193099776","922420412193099776")</f>
        <v>922420412193099776</v>
      </c>
      <c r="F2606" s="23" t="s">
        <v>86</v>
      </c>
      <c r="G2606" s="24">
        <v>120.0</v>
      </c>
      <c r="H2606" s="24">
        <v>411.0</v>
      </c>
      <c r="I2606" s="24">
        <v>26.0</v>
      </c>
      <c r="J2606" s="24">
        <v>0.0</v>
      </c>
      <c r="K2606" s="23" t="s">
        <v>34</v>
      </c>
      <c r="L2606" s="25">
        <v>42926.08247685185</v>
      </c>
      <c r="M2606" s="26" t="s">
        <v>6270</v>
      </c>
      <c r="N2606" s="28"/>
      <c r="O2606" s="22" t="str">
        <f>HYPERLINK("https://pbs.twimg.com/profile_images/918318450522562561/QdLqs4gB_normal.jpg","View")</f>
        <v>View</v>
      </c>
      <c r="P2606" s="27"/>
    </row>
    <row r="2607">
      <c r="A2607" s="14">
        <v>43031.17534722222</v>
      </c>
      <c r="B2607" s="20" t="str">
        <f>HYPERLINK("https://twitter.com/autorenonline","@autorenonline")</f>
        <v>@autorenonline</v>
      </c>
      <c r="C2607" s="21" t="s">
        <v>6075</v>
      </c>
      <c r="D2607" s="21" t="s">
        <v>6271</v>
      </c>
      <c r="E2607" s="22" t="str">
        <f>HYPERLINK("https://twitter.com/autorenonline/status/922420463673933825","922420463673933825")</f>
        <v>922420463673933825</v>
      </c>
      <c r="F2607" s="30" t="s">
        <v>191</v>
      </c>
      <c r="G2607" s="24">
        <v>505702.0</v>
      </c>
      <c r="H2607" s="24">
        <v>3114.0</v>
      </c>
      <c r="I2607" s="24">
        <v>0.0</v>
      </c>
      <c r="J2607" s="24">
        <v>0.0</v>
      </c>
      <c r="K2607" s="23" t="s">
        <v>34</v>
      </c>
      <c r="L2607" s="25">
        <v>40377.849814814814</v>
      </c>
      <c r="M2607" s="26" t="s">
        <v>6077</v>
      </c>
      <c r="N2607" s="35" t="s">
        <v>6078</v>
      </c>
      <c r="O2607" s="22" t="str">
        <f>HYPERLINK("https://pbs.twimg.com/profile_images/878666979074355204/JdNu823o_normal.jpg","View")</f>
        <v>View</v>
      </c>
      <c r="P2607" s="27"/>
    </row>
    <row r="2608">
      <c r="A2608" s="14">
        <v>43031.175520833334</v>
      </c>
      <c r="B2608" s="20" t="str">
        <f>HYPERLINK("https://twitter.com/TakabaBoy","@TakabaBoy")</f>
        <v>@TakabaBoy</v>
      </c>
      <c r="C2608" s="21" t="s">
        <v>6272</v>
      </c>
      <c r="D2608" s="21" t="s">
        <v>6236</v>
      </c>
      <c r="E2608" s="22" t="str">
        <f>HYPERLINK("https://twitter.com/TakabaBoy/status/922420525913296897","922420525913296897")</f>
        <v>922420525913296897</v>
      </c>
      <c r="F2608" s="23" t="s">
        <v>33</v>
      </c>
      <c r="G2608" s="24">
        <v>1097.0</v>
      </c>
      <c r="H2608" s="24">
        <v>1605.0</v>
      </c>
      <c r="I2608" s="24">
        <v>26.0</v>
      </c>
      <c r="J2608" s="24">
        <v>0.0</v>
      </c>
      <c r="K2608" s="23" t="s">
        <v>34</v>
      </c>
      <c r="L2608" s="25">
        <v>39766.017546296294</v>
      </c>
      <c r="M2608" s="26" t="s">
        <v>282</v>
      </c>
      <c r="N2608" s="26" t="s">
        <v>6273</v>
      </c>
      <c r="O2608" s="22" t="str">
        <f>HYPERLINK("https://pbs.twimg.com/profile_images/910203122336894976/po7jht5N_normal.jpg","View")</f>
        <v>View</v>
      </c>
      <c r="P2608" s="27"/>
    </row>
    <row r="2609">
      <c r="A2609" s="14">
        <v>43031.175520833334</v>
      </c>
      <c r="B2609" s="20" t="str">
        <f>HYPERLINK("https://twitter.com/libertas_animus","@libertas_animus")</f>
        <v>@libertas_animus</v>
      </c>
      <c r="C2609" s="21" t="s">
        <v>6274</v>
      </c>
      <c r="D2609" s="21" t="s">
        <v>6275</v>
      </c>
      <c r="E2609" s="22" t="str">
        <f>HYPERLINK("https://twitter.com/libertas_animus/status/922420526319988736","922420526319988736")</f>
        <v>922420526319988736</v>
      </c>
      <c r="F2609" s="23" t="s">
        <v>55</v>
      </c>
      <c r="G2609" s="24">
        <v>31.0</v>
      </c>
      <c r="H2609" s="24">
        <v>20.0</v>
      </c>
      <c r="I2609" s="24">
        <v>0.0</v>
      </c>
      <c r="J2609" s="24">
        <v>0.0</v>
      </c>
      <c r="K2609" s="23" t="s">
        <v>34</v>
      </c>
      <c r="L2609" s="25">
        <v>40920.111909722225</v>
      </c>
      <c r="M2609" s="26" t="s">
        <v>6276</v>
      </c>
      <c r="N2609" s="26" t="s">
        <v>6277</v>
      </c>
      <c r="O2609" s="22" t="str">
        <f>HYPERLINK("https://pbs.twimg.com/profile_images/847520420265721856/BhIG7-Uw_normal.jpg","View")</f>
        <v>View</v>
      </c>
      <c r="P2609" s="27"/>
    </row>
    <row r="2610">
      <c r="A2610" s="14">
        <v>43031.17576388889</v>
      </c>
      <c r="B2610" s="20" t="str">
        <f>HYPERLINK("https://twitter.com/Ajith_Adhi_Dev","@Ajith_Adhi_Dev")</f>
        <v>@Ajith_Adhi_Dev</v>
      </c>
      <c r="C2610" s="21" t="s">
        <v>6278</v>
      </c>
      <c r="D2610" s="21" t="s">
        <v>42</v>
      </c>
      <c r="E2610" s="22" t="str">
        <f>HYPERLINK("https://twitter.com/Ajith_Adhi_Dev/status/922420614819745792","922420614819745792")</f>
        <v>922420614819745792</v>
      </c>
      <c r="F2610" s="23" t="s">
        <v>33</v>
      </c>
      <c r="G2610" s="24">
        <v>40.0</v>
      </c>
      <c r="H2610" s="24">
        <v>130.0</v>
      </c>
      <c r="I2610" s="24">
        <v>8501.0</v>
      </c>
      <c r="J2610" s="24">
        <v>0.0</v>
      </c>
      <c r="K2610" s="23" t="s">
        <v>34</v>
      </c>
      <c r="L2610" s="25">
        <v>42928.18806712963</v>
      </c>
      <c r="M2610" s="26" t="s">
        <v>3295</v>
      </c>
      <c r="N2610" s="26" t="s">
        <v>6279</v>
      </c>
      <c r="O2610" s="22" t="str">
        <f>HYPERLINK("https://pbs.twimg.com/profile_images/923024727102205952/IioPNfK-_normal.jpg","View")</f>
        <v>View</v>
      </c>
      <c r="P2610" s="27"/>
    </row>
    <row r="2611">
      <c r="A2611" s="14">
        <v>43031.17581018519</v>
      </c>
      <c r="B2611" s="20" t="str">
        <f>HYPERLINK("https://twitter.com/MShravank","@MShravank")</f>
        <v>@MShravank</v>
      </c>
      <c r="C2611" s="21" t="s">
        <v>6280</v>
      </c>
      <c r="D2611" s="21" t="s">
        <v>42</v>
      </c>
      <c r="E2611" s="22" t="str">
        <f>HYPERLINK("https://twitter.com/MShravank/status/922420631353819136","922420631353819136")</f>
        <v>922420631353819136</v>
      </c>
      <c r="F2611" s="23" t="s">
        <v>33</v>
      </c>
      <c r="G2611" s="24">
        <v>3426.0</v>
      </c>
      <c r="H2611" s="24">
        <v>2679.0</v>
      </c>
      <c r="I2611" s="24">
        <v>8501.0</v>
      </c>
      <c r="J2611" s="24">
        <v>0.0</v>
      </c>
      <c r="K2611" s="23" t="s">
        <v>34</v>
      </c>
      <c r="L2611" s="25">
        <v>40331.48070601852</v>
      </c>
      <c r="M2611" s="26" t="s">
        <v>6281</v>
      </c>
      <c r="N2611" s="26" t="s">
        <v>6282</v>
      </c>
      <c r="O2611" s="22" t="str">
        <f>HYPERLINK("https://pbs.twimg.com/profile_images/871160272735670272/XVAyrMzo_normal.jpg","View")</f>
        <v>View</v>
      </c>
      <c r="P2611" s="27"/>
    </row>
    <row r="2612">
      <c r="A2612" s="14">
        <v>43031.175833333335</v>
      </c>
      <c r="B2612" s="20" t="str">
        <f>HYPERLINK("https://twitter.com/ManojMayogi","@ManojMayogi")</f>
        <v>@ManojMayogi</v>
      </c>
      <c r="C2612" s="21" t="s">
        <v>6283</v>
      </c>
      <c r="D2612" s="21" t="s">
        <v>42</v>
      </c>
      <c r="E2612" s="22" t="str">
        <f>HYPERLINK("https://twitter.com/ManojMayogi/status/922420635946512385","922420635946512385")</f>
        <v>922420635946512385</v>
      </c>
      <c r="F2612" s="23" t="s">
        <v>33</v>
      </c>
      <c r="G2612" s="24">
        <v>58.0</v>
      </c>
      <c r="H2612" s="24">
        <v>233.0</v>
      </c>
      <c r="I2612" s="24">
        <v>8501.0</v>
      </c>
      <c r="J2612" s="24">
        <v>0.0</v>
      </c>
      <c r="K2612" s="23" t="s">
        <v>34</v>
      </c>
      <c r="L2612" s="25">
        <v>41590.34575231482</v>
      </c>
      <c r="M2612" s="26" t="s">
        <v>234</v>
      </c>
      <c r="N2612" s="28"/>
      <c r="O2612" s="22" t="str">
        <f>HYPERLINK("https://pbs.twimg.com/profile_images/896992369546895360/U0N4RqMh_normal.jpg","View")</f>
        <v>View</v>
      </c>
      <c r="P2612" s="27"/>
    </row>
    <row r="2613">
      <c r="A2613" s="14">
        <v>43031.17586805555</v>
      </c>
      <c r="B2613" s="20" t="str">
        <f>HYPERLINK("https://twitter.com/indian186777","@indian186777")</f>
        <v>@indian186777</v>
      </c>
      <c r="C2613" s="21" t="s">
        <v>6284</v>
      </c>
      <c r="D2613" s="21" t="s">
        <v>42</v>
      </c>
      <c r="E2613" s="22" t="str">
        <f>HYPERLINK("https://twitter.com/indian186777/status/922420652203696128","922420652203696128")</f>
        <v>922420652203696128</v>
      </c>
      <c r="F2613" s="23" t="s">
        <v>33</v>
      </c>
      <c r="G2613" s="24">
        <v>22.0</v>
      </c>
      <c r="H2613" s="24">
        <v>176.0</v>
      </c>
      <c r="I2613" s="24">
        <v>8501.0</v>
      </c>
      <c r="J2613" s="24">
        <v>0.0</v>
      </c>
      <c r="K2613" s="23" t="s">
        <v>34</v>
      </c>
      <c r="L2613" s="25">
        <v>42448.501921296294</v>
      </c>
      <c r="M2613" s="28"/>
      <c r="N2613" s="28"/>
      <c r="O2613" s="22" t="str">
        <f>HYPERLINK("https://pbs.twimg.com/profile_images/922466392854577152/yOc2JLaW_normal.jpg","View")</f>
        <v>View</v>
      </c>
      <c r="P2613" s="27"/>
    </row>
    <row r="2614">
      <c r="A2614" s="14">
        <v>43031.175891203704</v>
      </c>
      <c r="B2614" s="20" t="str">
        <f>HYPERLINK("https://twitter.com/eris313","@eris313")</f>
        <v>@eris313</v>
      </c>
      <c r="C2614" s="21" t="s">
        <v>6285</v>
      </c>
      <c r="D2614" s="21" t="s">
        <v>42</v>
      </c>
      <c r="E2614" s="22" t="str">
        <f>HYPERLINK("https://twitter.com/eris313/status/922420659698855936","922420659698855936")</f>
        <v>922420659698855936</v>
      </c>
      <c r="F2614" s="23" t="s">
        <v>55</v>
      </c>
      <c r="G2614" s="24">
        <v>127.0</v>
      </c>
      <c r="H2614" s="24">
        <v>134.0</v>
      </c>
      <c r="I2614" s="24">
        <v>8501.0</v>
      </c>
      <c r="J2614" s="24">
        <v>0.0</v>
      </c>
      <c r="K2614" s="23" t="s">
        <v>34</v>
      </c>
      <c r="L2614" s="25">
        <v>40168.76405092592</v>
      </c>
      <c r="M2614" s="26" t="s">
        <v>4698</v>
      </c>
      <c r="N2614" s="26" t="s">
        <v>6286</v>
      </c>
      <c r="O2614" s="22" t="str">
        <f>HYPERLINK("https://pbs.twimg.com/profile_images/1396893685/_______normal.jpg","View")</f>
        <v>View</v>
      </c>
      <c r="P2614" s="27"/>
    </row>
    <row r="2615">
      <c r="A2615" s="14">
        <v>43031.17592592593</v>
      </c>
      <c r="B2615" s="20" t="str">
        <f>HYPERLINK("https://twitter.com/Involution88","@Involution88")</f>
        <v>@Involution88</v>
      </c>
      <c r="C2615" s="21" t="s">
        <v>6287</v>
      </c>
      <c r="D2615" s="21" t="s">
        <v>5786</v>
      </c>
      <c r="E2615" s="22" t="str">
        <f>HYPERLINK("https://twitter.com/Involution88/status/922420669526130689","922420669526130689")</f>
        <v>922420669526130689</v>
      </c>
      <c r="F2615" s="23" t="s">
        <v>33</v>
      </c>
      <c r="G2615" s="24">
        <v>367.0</v>
      </c>
      <c r="H2615" s="24">
        <v>578.0</v>
      </c>
      <c r="I2615" s="24">
        <v>59.0</v>
      </c>
      <c r="J2615" s="24">
        <v>0.0</v>
      </c>
      <c r="K2615" s="23" t="s">
        <v>34</v>
      </c>
      <c r="L2615" s="25">
        <v>40120.70594907407</v>
      </c>
      <c r="M2615" s="28"/>
      <c r="N2615" s="28"/>
      <c r="O2615" s="22" t="str">
        <f>HYPERLINK("https://pbs.twimg.com/profile_images/507775445/ATT00013_normal.jpg","View")</f>
        <v>View</v>
      </c>
      <c r="P2615" s="27"/>
    </row>
    <row r="2616">
      <c r="A2616" s="14">
        <v>43031.17596064815</v>
      </c>
      <c r="B2616" s="20" t="str">
        <f>HYPERLINK("https://twitter.com/liquidskydesign","@liquidskydesign")</f>
        <v>@liquidskydesign</v>
      </c>
      <c r="C2616" s="21" t="s">
        <v>3377</v>
      </c>
      <c r="D2616" s="21" t="s">
        <v>6288</v>
      </c>
      <c r="E2616" s="22" t="str">
        <f>HYPERLINK("https://twitter.com/liquidskydesign/status/922420684235603968","922420684235603968")</f>
        <v>922420684235603968</v>
      </c>
      <c r="F2616" s="23" t="s">
        <v>187</v>
      </c>
      <c r="G2616" s="24">
        <v>1634.0</v>
      </c>
      <c r="H2616" s="24">
        <v>796.0</v>
      </c>
      <c r="I2616" s="24">
        <v>0.0</v>
      </c>
      <c r="J2616" s="24">
        <v>0.0</v>
      </c>
      <c r="K2616" s="23" t="s">
        <v>34</v>
      </c>
      <c r="L2616" s="25">
        <v>39900.46163194445</v>
      </c>
      <c r="M2616" s="26" t="s">
        <v>3379</v>
      </c>
      <c r="N2616" s="26" t="s">
        <v>3380</v>
      </c>
      <c r="O2616" s="22" t="str">
        <f>HYPERLINK("https://pbs.twimg.com/profile_images/791418013107032064/bXRIcy4-_normal.jpg","View")</f>
        <v>View</v>
      </c>
      <c r="P2616" s="27"/>
    </row>
    <row r="2617">
      <c r="A2617" s="14">
        <v>43031.17606481482</v>
      </c>
      <c r="B2617" s="20" t="str">
        <f>HYPERLINK("https://twitter.com/halle__katherin","@halle__katherin")</f>
        <v>@halle__katherin</v>
      </c>
      <c r="C2617" s="21" t="s">
        <v>6289</v>
      </c>
      <c r="D2617" s="21" t="s">
        <v>5786</v>
      </c>
      <c r="E2617" s="22" t="str">
        <f>HYPERLINK("https://twitter.com/halle__katherin/status/922420720918986753","922420720918986753")</f>
        <v>922420720918986753</v>
      </c>
      <c r="F2617" s="23" t="s">
        <v>33</v>
      </c>
      <c r="G2617" s="24">
        <v>24.0</v>
      </c>
      <c r="H2617" s="24">
        <v>394.0</v>
      </c>
      <c r="I2617" s="24">
        <v>59.0</v>
      </c>
      <c r="J2617" s="24">
        <v>0.0</v>
      </c>
      <c r="K2617" s="23" t="s">
        <v>34</v>
      </c>
      <c r="L2617" s="25">
        <v>42064.17523148148</v>
      </c>
      <c r="M2617" s="26" t="s">
        <v>6290</v>
      </c>
      <c r="N2617" s="26" t="s">
        <v>6291</v>
      </c>
      <c r="O2617" s="22" t="str">
        <f>HYPERLINK("https://pbs.twimg.com/profile_images/765227401278320640/FWhFuivD_normal.jpg","View")</f>
        <v>View</v>
      </c>
      <c r="P2617" s="27"/>
    </row>
    <row r="2618">
      <c r="A2618" s="14">
        <v>43031.17606481482</v>
      </c>
      <c r="B2618" s="20" t="str">
        <f>HYPERLINK("https://twitter.com/heangthearith","@heangthearith")</f>
        <v>@heangthearith</v>
      </c>
      <c r="C2618" s="21" t="s">
        <v>6292</v>
      </c>
      <c r="D2618" s="21" t="s">
        <v>6236</v>
      </c>
      <c r="E2618" s="22" t="str">
        <f>HYPERLINK("https://twitter.com/heangthearith/status/922420722743459841","922420722743459841")</f>
        <v>922420722743459841</v>
      </c>
      <c r="F2618" s="23" t="s">
        <v>39</v>
      </c>
      <c r="G2618" s="24">
        <v>209.0</v>
      </c>
      <c r="H2618" s="24">
        <v>575.0</v>
      </c>
      <c r="I2618" s="24">
        <v>26.0</v>
      </c>
      <c r="J2618" s="24">
        <v>0.0</v>
      </c>
      <c r="K2618" s="23" t="s">
        <v>34</v>
      </c>
      <c r="L2618" s="25">
        <v>40330.06166666667</v>
      </c>
      <c r="M2618" s="26" t="s">
        <v>6293</v>
      </c>
      <c r="N2618" s="26" t="s">
        <v>6294</v>
      </c>
      <c r="O2618" s="22" t="str">
        <f>HYPERLINK("https://pbs.twimg.com/profile_images/836786327182065664/M6F6nz02_normal.jpg","View")</f>
        <v>View</v>
      </c>
      <c r="P2618" s="27"/>
    </row>
    <row r="2619">
      <c r="A2619" s="14">
        <v>43031.17613425926</v>
      </c>
      <c r="B2619" s="20" t="str">
        <f>HYPERLINK("https://twitter.com/arjun_ondkar","@arjun_ondkar")</f>
        <v>@arjun_ondkar</v>
      </c>
      <c r="C2619" s="21" t="s">
        <v>6295</v>
      </c>
      <c r="D2619" s="21" t="s">
        <v>163</v>
      </c>
      <c r="E2619" s="22" t="str">
        <f>HYPERLINK("https://twitter.com/arjun_ondkar/status/922420748576178176","922420748576178176")</f>
        <v>922420748576178176</v>
      </c>
      <c r="F2619" s="23" t="s">
        <v>39</v>
      </c>
      <c r="G2619" s="24">
        <v>244.0</v>
      </c>
      <c r="H2619" s="24">
        <v>350.0</v>
      </c>
      <c r="I2619" s="24">
        <v>1005.0</v>
      </c>
      <c r="J2619" s="24">
        <v>0.0</v>
      </c>
      <c r="K2619" s="23" t="s">
        <v>34</v>
      </c>
      <c r="L2619" s="25">
        <v>40294.30756944444</v>
      </c>
      <c r="M2619" s="26" t="s">
        <v>423</v>
      </c>
      <c r="N2619" s="26" t="s">
        <v>6296</v>
      </c>
      <c r="O2619" s="22" t="str">
        <f>HYPERLINK("https://pbs.twimg.com/profile_images/689683076574789632/E072HrWH_normal.jpg","View")</f>
        <v>View</v>
      </c>
      <c r="P2619" s="27"/>
    </row>
    <row r="2620">
      <c r="A2620" s="14">
        <v>43031.17619212963</v>
      </c>
      <c r="B2620" s="20" t="str">
        <f>HYPERLINK("https://twitter.com/UKMoments","@UKMoments")</f>
        <v>@UKMoments</v>
      </c>
      <c r="C2620" s="21" t="s">
        <v>6297</v>
      </c>
      <c r="D2620" s="21" t="s">
        <v>5601</v>
      </c>
      <c r="E2620" s="22" t="str">
        <f>HYPERLINK("https://twitter.com/UKMoments/status/922420767618461697","922420767618461697")</f>
        <v>922420767618461697</v>
      </c>
      <c r="F2620" s="23" t="s">
        <v>769</v>
      </c>
      <c r="G2620" s="24">
        <v>44912.0</v>
      </c>
      <c r="H2620" s="24">
        <v>165.0</v>
      </c>
      <c r="I2620" s="24">
        <v>15.0</v>
      </c>
      <c r="J2620" s="24">
        <v>0.0</v>
      </c>
      <c r="K2620" s="23" t="s">
        <v>34</v>
      </c>
      <c r="L2620" s="25">
        <v>41656.31136574074</v>
      </c>
      <c r="M2620" s="26" t="s">
        <v>40</v>
      </c>
      <c r="N2620" s="26" t="s">
        <v>6298</v>
      </c>
      <c r="O2620" s="22" t="str">
        <f>HYPERLINK("https://pbs.twimg.com/profile_images/826180910974377984/c5YMMdP5_normal.jpg","View")</f>
        <v>View</v>
      </c>
      <c r="P2620" s="27"/>
    </row>
    <row r="2621">
      <c r="A2621" s="14">
        <v>43031.17619212963</v>
      </c>
      <c r="B2621" s="20" t="str">
        <f>HYPERLINK("https://twitter.com/hasmukhahir79","@hasmukhahir79")</f>
        <v>@hasmukhahir79</v>
      </c>
      <c r="C2621" s="21" t="s">
        <v>6299</v>
      </c>
      <c r="D2621" s="21" t="s">
        <v>42</v>
      </c>
      <c r="E2621" s="22" t="str">
        <f>HYPERLINK("https://twitter.com/hasmukhahir79/status/922420768708861952","922420768708861952")</f>
        <v>922420768708861952</v>
      </c>
      <c r="F2621" s="23" t="s">
        <v>55</v>
      </c>
      <c r="G2621" s="24">
        <v>174.0</v>
      </c>
      <c r="H2621" s="24">
        <v>589.0</v>
      </c>
      <c r="I2621" s="24">
        <v>8501.0</v>
      </c>
      <c r="J2621" s="24">
        <v>0.0</v>
      </c>
      <c r="K2621" s="23" t="s">
        <v>34</v>
      </c>
      <c r="L2621" s="25">
        <v>42226.017858796295</v>
      </c>
      <c r="M2621" s="26" t="s">
        <v>1633</v>
      </c>
      <c r="N2621" s="26" t="s">
        <v>6300</v>
      </c>
      <c r="O2621" s="22" t="str">
        <f>HYPERLINK("https://pbs.twimg.com/profile_images/659320438581936129/OgHXc_CF_normal.jpg","View")</f>
        <v>View</v>
      </c>
      <c r="P2621" s="27"/>
    </row>
    <row r="2622">
      <c r="A2622" s="14">
        <v>43031.17622685185</v>
      </c>
      <c r="B2622" s="20" t="str">
        <f>HYPERLINK("https://twitter.com/KnowYourLeakGuy","@KnowYourLeakGuy")</f>
        <v>@KnowYourLeakGuy</v>
      </c>
      <c r="C2622" s="21" t="s">
        <v>6301</v>
      </c>
      <c r="D2622" s="21" t="s">
        <v>6302</v>
      </c>
      <c r="E2622" s="22" t="str">
        <f>HYPERLINK("https://twitter.com/KnowYourLeakGuy/status/922420781010903040","922420781010903040")</f>
        <v>922420781010903040</v>
      </c>
      <c r="F2622" s="23" t="s">
        <v>6303</v>
      </c>
      <c r="G2622" s="24">
        <v>480.0</v>
      </c>
      <c r="H2622" s="24">
        <v>10.0</v>
      </c>
      <c r="I2622" s="24">
        <v>0.0</v>
      </c>
      <c r="J2622" s="24">
        <v>0.0</v>
      </c>
      <c r="K2622" s="23" t="s">
        <v>34</v>
      </c>
      <c r="L2622" s="25">
        <v>42779.35674768519</v>
      </c>
      <c r="M2622" s="28"/>
      <c r="N2622" s="26" t="s">
        <v>2230</v>
      </c>
      <c r="O2622" s="22" t="str">
        <f>HYPERLINK("https://pbs.twimg.com/profile_images/831179861276377088/EI0H4hQx_normal.jpg","View")</f>
        <v>View</v>
      </c>
      <c r="P2622" s="27"/>
    </row>
    <row r="2623">
      <c r="A2623" s="14">
        <v>43031.17626157407</v>
      </c>
      <c r="B2623" s="20" t="str">
        <f>HYPERLINK("https://twitter.com/MomentsAU","@MomentsAU")</f>
        <v>@MomentsAU</v>
      </c>
      <c r="C2623" s="21" t="s">
        <v>6304</v>
      </c>
      <c r="D2623" s="21" t="s">
        <v>5601</v>
      </c>
      <c r="E2623" s="22" t="str">
        <f>HYPERLINK("https://twitter.com/MomentsAU/status/922420792754868224","922420792754868224")</f>
        <v>922420792754868224</v>
      </c>
      <c r="F2623" s="23" t="s">
        <v>769</v>
      </c>
      <c r="G2623" s="24">
        <v>18143.0</v>
      </c>
      <c r="H2623" s="24">
        <v>88.0</v>
      </c>
      <c r="I2623" s="24">
        <v>15.0</v>
      </c>
      <c r="J2623" s="24">
        <v>0.0</v>
      </c>
      <c r="K2623" s="23" t="s">
        <v>34</v>
      </c>
      <c r="L2623" s="25">
        <v>42355.583657407406</v>
      </c>
      <c r="M2623" s="26" t="s">
        <v>3224</v>
      </c>
      <c r="N2623" s="26" t="s">
        <v>6298</v>
      </c>
      <c r="O2623" s="22" t="str">
        <f>HYPERLINK("https://pbs.twimg.com/profile_images/704652161800470528/7I0UUk98_normal.jpg","View")</f>
        <v>View</v>
      </c>
      <c r="P2623" s="27"/>
    </row>
    <row r="2624">
      <c r="A2624" s="14">
        <v>43031.17626157407</v>
      </c>
      <c r="B2624" s="20" t="str">
        <f>HYPERLINK("https://twitter.com/TwitterMoments","@TwitterMoments")</f>
        <v>@TwitterMoments</v>
      </c>
      <c r="C2624" s="21" t="s">
        <v>6305</v>
      </c>
      <c r="D2624" s="21" t="s">
        <v>5601</v>
      </c>
      <c r="E2624" s="22" t="str">
        <f>HYPERLINK("https://twitter.com/TwitterMoments/status/922420792754954240","922420792754954240")</f>
        <v>922420792754954240</v>
      </c>
      <c r="F2624" s="23" t="s">
        <v>769</v>
      </c>
      <c r="G2624" s="24">
        <v>499216.0</v>
      </c>
      <c r="H2624" s="24">
        <v>10.0</v>
      </c>
      <c r="I2624" s="24">
        <v>15.0</v>
      </c>
      <c r="J2624" s="24">
        <v>0.0</v>
      </c>
      <c r="K2624" s="23" t="s">
        <v>34</v>
      </c>
      <c r="L2624" s="25">
        <v>42184.754849537036</v>
      </c>
      <c r="M2624" s="26" t="s">
        <v>1250</v>
      </c>
      <c r="N2624" s="26" t="s">
        <v>6298</v>
      </c>
      <c r="O2624" s="22" t="str">
        <f>HYPERLINK("https://pbs.twimg.com/profile_images/651463624330907648/OzaAcuSR_normal.png","View")</f>
        <v>View</v>
      </c>
      <c r="P2624" s="27"/>
    </row>
    <row r="2625">
      <c r="A2625" s="14">
        <v>43031.17626157407</v>
      </c>
      <c r="B2625" s="20" t="str">
        <f>HYPERLINK("https://twitter.com/CanadaMoments","@CanadaMoments")</f>
        <v>@CanadaMoments</v>
      </c>
      <c r="C2625" s="21" t="s">
        <v>6306</v>
      </c>
      <c r="D2625" s="21" t="s">
        <v>5601</v>
      </c>
      <c r="E2625" s="22" t="str">
        <f>HYPERLINK("https://twitter.com/CanadaMoments/status/922420792868163585","922420792868163585")</f>
        <v>922420792868163585</v>
      </c>
      <c r="F2625" s="23" t="s">
        <v>769</v>
      </c>
      <c r="G2625" s="24">
        <v>31445.0</v>
      </c>
      <c r="H2625" s="24">
        <v>11.0</v>
      </c>
      <c r="I2625" s="24">
        <v>15.0</v>
      </c>
      <c r="J2625" s="24">
        <v>0.0</v>
      </c>
      <c r="K2625" s="23" t="s">
        <v>34</v>
      </c>
      <c r="L2625" s="25">
        <v>42289.63009259259</v>
      </c>
      <c r="M2625" s="26" t="s">
        <v>1961</v>
      </c>
      <c r="N2625" s="26" t="s">
        <v>6298</v>
      </c>
      <c r="O2625" s="22" t="str">
        <f>HYPERLINK("https://pbs.twimg.com/profile_images/715225650156716033/PDBxLv_l_normal.jpg","View")</f>
        <v>View</v>
      </c>
      <c r="P2625" s="27"/>
    </row>
    <row r="2626">
      <c r="A2626" s="14">
        <v>43031.17627314814</v>
      </c>
      <c r="B2626" s="20" t="str">
        <f>HYPERLINK("https://twitter.com/jdilipjain","@jdilipjain")</f>
        <v>@jdilipjain</v>
      </c>
      <c r="C2626" s="21" t="s">
        <v>6307</v>
      </c>
      <c r="D2626" s="21" t="s">
        <v>42</v>
      </c>
      <c r="E2626" s="22" t="str">
        <f>HYPERLINK("https://twitter.com/jdilipjain/status/922420795657265152","922420795657265152")</f>
        <v>922420795657265152</v>
      </c>
      <c r="F2626" s="23" t="s">
        <v>33</v>
      </c>
      <c r="G2626" s="24">
        <v>1214.0</v>
      </c>
      <c r="H2626" s="24">
        <v>1313.0</v>
      </c>
      <c r="I2626" s="24">
        <v>8501.0</v>
      </c>
      <c r="J2626" s="24">
        <v>0.0</v>
      </c>
      <c r="K2626" s="23" t="s">
        <v>34</v>
      </c>
      <c r="L2626" s="25">
        <v>41562.87600694445</v>
      </c>
      <c r="M2626" s="26" t="s">
        <v>1991</v>
      </c>
      <c r="N2626" s="28"/>
      <c r="O2626" s="22" t="str">
        <f>HYPERLINK("https://pbs.twimg.com/profile_images/637139985263558656/wWhZDnAq_normal.jpg","View")</f>
        <v>View</v>
      </c>
      <c r="P2626" s="27"/>
    </row>
    <row r="2627">
      <c r="A2627" s="14">
        <v>43031.17627314814</v>
      </c>
      <c r="B2627" s="20" t="str">
        <f>HYPERLINK("https://twitter.com/oliverwabwire","@oliverwabwire")</f>
        <v>@oliverwabwire</v>
      </c>
      <c r="C2627" s="21" t="s">
        <v>6308</v>
      </c>
      <c r="D2627" s="21" t="s">
        <v>32</v>
      </c>
      <c r="E2627" s="22" t="str">
        <f>HYPERLINK("https://twitter.com/oliverwabwire/status/922420795934150661","922420795934150661")</f>
        <v>922420795934150661</v>
      </c>
      <c r="F2627" s="23" t="s">
        <v>55</v>
      </c>
      <c r="G2627" s="24">
        <v>717.0</v>
      </c>
      <c r="H2627" s="24">
        <v>2226.0</v>
      </c>
      <c r="I2627" s="24">
        <v>471.0</v>
      </c>
      <c r="J2627" s="24">
        <v>0.0</v>
      </c>
      <c r="K2627" s="23" t="s">
        <v>34</v>
      </c>
      <c r="L2627" s="25">
        <v>40977.22299768518</v>
      </c>
      <c r="M2627" s="26" t="s">
        <v>282</v>
      </c>
      <c r="N2627" s="26" t="s">
        <v>6309</v>
      </c>
      <c r="O2627" s="22" t="str">
        <f>HYPERLINK("https://pbs.twimg.com/profile_images/1886403293/Olive_14_normal.JPG","View")</f>
        <v>View</v>
      </c>
      <c r="P2627" s="27"/>
    </row>
    <row r="2628">
      <c r="A2628" s="14">
        <v>43031.176307870366</v>
      </c>
      <c r="B2628" s="20" t="str">
        <f>HYPERLINK("https://twitter.com/genepaulkelly","@genepaulkelly")</f>
        <v>@genepaulkelly</v>
      </c>
      <c r="C2628" s="21" t="s">
        <v>6310</v>
      </c>
      <c r="D2628" s="21" t="s">
        <v>6311</v>
      </c>
      <c r="E2628" s="22" t="str">
        <f>HYPERLINK("https://twitter.com/genepaulkelly/status/922420808210894850","922420808210894850")</f>
        <v>922420808210894850</v>
      </c>
      <c r="F2628" s="23" t="s">
        <v>33</v>
      </c>
      <c r="G2628" s="24">
        <v>159.0</v>
      </c>
      <c r="H2628" s="24">
        <v>419.0</v>
      </c>
      <c r="I2628" s="24">
        <v>4.0</v>
      </c>
      <c r="J2628" s="24">
        <v>0.0</v>
      </c>
      <c r="K2628" s="23" t="s">
        <v>34</v>
      </c>
      <c r="L2628" s="25">
        <v>39926.66258101852</v>
      </c>
      <c r="M2628" s="26" t="s">
        <v>6312</v>
      </c>
      <c r="N2628" s="26" t="s">
        <v>6313</v>
      </c>
      <c r="O2628" s="22" t="str">
        <f>HYPERLINK("https://pbs.twimg.com/profile_images/909401022803709953/v3cLvajy_normal.jpg","View")</f>
        <v>View</v>
      </c>
      <c r="P2628" s="27"/>
    </row>
    <row r="2629">
      <c r="A2629" s="14">
        <v>43031.17631944444</v>
      </c>
      <c r="B2629" s="20" t="str">
        <f>HYPERLINK("https://twitter.com/Ashutosh820409","@Ashutosh820409")</f>
        <v>@Ashutosh820409</v>
      </c>
      <c r="C2629" s="21" t="s">
        <v>6314</v>
      </c>
      <c r="D2629" s="21" t="s">
        <v>42</v>
      </c>
      <c r="E2629" s="22" t="str">
        <f>HYPERLINK("https://twitter.com/Ashutosh820409/status/922420815718690817","922420815718690817")</f>
        <v>922420815718690817</v>
      </c>
      <c r="F2629" s="23" t="s">
        <v>33</v>
      </c>
      <c r="G2629" s="24">
        <v>10.0</v>
      </c>
      <c r="H2629" s="24">
        <v>90.0</v>
      </c>
      <c r="I2629" s="24">
        <v>8501.0</v>
      </c>
      <c r="J2629" s="24">
        <v>0.0</v>
      </c>
      <c r="K2629" s="23" t="s">
        <v>34</v>
      </c>
      <c r="L2629" s="25">
        <v>43015.36913194445</v>
      </c>
      <c r="M2629" s="26" t="s">
        <v>6315</v>
      </c>
      <c r="N2629" s="26" t="s">
        <v>6316</v>
      </c>
      <c r="O2629" s="22" t="str">
        <f>HYPERLINK("https://pbs.twimg.com/profile_images/916708142053965824/3kmoUdKt_normal.jpg","View")</f>
        <v>View</v>
      </c>
      <c r="P2629" s="27"/>
    </row>
    <row r="2630">
      <c r="A2630" s="14">
        <v>43031.17633101852</v>
      </c>
      <c r="B2630" s="20" t="str">
        <f>HYPERLINK("https://twitter.com/Piramit41","@Piramit41")</f>
        <v>@Piramit41</v>
      </c>
      <c r="C2630" s="21" t="s">
        <v>6317</v>
      </c>
      <c r="D2630" s="21" t="s">
        <v>82</v>
      </c>
      <c r="E2630" s="22" t="str">
        <f>HYPERLINK("https://twitter.com/Piramit41/status/922420816465268736","922420816465268736")</f>
        <v>922420816465268736</v>
      </c>
      <c r="F2630" s="23" t="s">
        <v>33</v>
      </c>
      <c r="G2630" s="24">
        <v>792.0</v>
      </c>
      <c r="H2630" s="24">
        <v>315.0</v>
      </c>
      <c r="I2630" s="24">
        <v>38.0</v>
      </c>
      <c r="J2630" s="24">
        <v>0.0</v>
      </c>
      <c r="K2630" s="23" t="s">
        <v>34</v>
      </c>
      <c r="L2630" s="25">
        <v>41877.062314814815</v>
      </c>
      <c r="M2630" s="26" t="s">
        <v>6318</v>
      </c>
      <c r="N2630" s="28"/>
      <c r="O2630" s="22" t="str">
        <f>HYPERLINK("https://pbs.twimg.com/profile_images/780290809207881728/yLmDVmAC_normal.jpg","View")</f>
        <v>View</v>
      </c>
      <c r="P2630" s="27"/>
    </row>
    <row r="2631">
      <c r="A2631" s="14">
        <v>43031.176412037035</v>
      </c>
      <c r="B2631" s="20" t="str">
        <f>HYPERLINK("https://twitter.com/ayumi1192","@ayumi1192")</f>
        <v>@ayumi1192</v>
      </c>
      <c r="C2631" s="21" t="s">
        <v>6319</v>
      </c>
      <c r="D2631" s="21" t="s">
        <v>1426</v>
      </c>
      <c r="E2631" s="22" t="str">
        <f>HYPERLINK("https://twitter.com/ayumi1192/status/922420849092698112","922420849092698112")</f>
        <v>922420849092698112</v>
      </c>
      <c r="F2631" s="23" t="s">
        <v>39</v>
      </c>
      <c r="G2631" s="24">
        <v>173.0</v>
      </c>
      <c r="H2631" s="24">
        <v>537.0</v>
      </c>
      <c r="I2631" s="24">
        <v>29.0</v>
      </c>
      <c r="J2631" s="24">
        <v>0.0</v>
      </c>
      <c r="K2631" s="23" t="s">
        <v>34</v>
      </c>
      <c r="L2631" s="25">
        <v>40362.89800925926</v>
      </c>
      <c r="M2631" s="26" t="s">
        <v>6320</v>
      </c>
      <c r="N2631" s="28"/>
      <c r="O2631" s="22" t="str">
        <f>HYPERLINK("https://pbs.twimg.com/profile_images/851580145382998016/lSkL2s4n_normal.jpg","View")</f>
        <v>View</v>
      </c>
      <c r="P2631" s="27"/>
    </row>
    <row r="2632">
      <c r="A2632" s="14">
        <v>43031.17645833333</v>
      </c>
      <c r="B2632" s="20" t="str">
        <f>HYPERLINK("https://twitter.com/tre0000","@tre0000")</f>
        <v>@tre0000</v>
      </c>
      <c r="C2632" s="21" t="s">
        <v>6321</v>
      </c>
      <c r="D2632" s="21" t="s">
        <v>6236</v>
      </c>
      <c r="E2632" s="22" t="str">
        <f>HYPERLINK("https://twitter.com/tre0000/status/922420864079015936","922420864079015936")</f>
        <v>922420864079015936</v>
      </c>
      <c r="F2632" s="23" t="s">
        <v>39</v>
      </c>
      <c r="G2632" s="24">
        <v>62.0</v>
      </c>
      <c r="H2632" s="24">
        <v>250.0</v>
      </c>
      <c r="I2632" s="24">
        <v>26.0</v>
      </c>
      <c r="J2632" s="24">
        <v>0.0</v>
      </c>
      <c r="K2632" s="23" t="s">
        <v>34</v>
      </c>
      <c r="L2632" s="25">
        <v>40567.34537037037</v>
      </c>
      <c r="M2632" s="26" t="s">
        <v>6322</v>
      </c>
      <c r="N2632" s="28"/>
      <c r="O2632" s="22" t="str">
        <f>HYPERLINK("https://pbs.twimg.com/profile_images/444063489204551680/H3EMw3ns_normal.jpeg","View")</f>
        <v>View</v>
      </c>
      <c r="P2632" s="27"/>
    </row>
    <row r="2633">
      <c r="A2633" s="14">
        <v>43031.176516203705</v>
      </c>
      <c r="B2633" s="20" t="str">
        <f>HYPERLINK("https://twitter.com/christinayiotis","@christinayiotis")</f>
        <v>@christinayiotis</v>
      </c>
      <c r="C2633" s="21" t="s">
        <v>6323</v>
      </c>
      <c r="D2633" s="21" t="s">
        <v>6236</v>
      </c>
      <c r="E2633" s="22" t="str">
        <f>HYPERLINK("https://twitter.com/christinayiotis/status/922420884551491584","922420884551491584")</f>
        <v>922420884551491584</v>
      </c>
      <c r="F2633" s="23" t="s">
        <v>39</v>
      </c>
      <c r="G2633" s="24">
        <v>2446.0</v>
      </c>
      <c r="H2633" s="24">
        <v>3497.0</v>
      </c>
      <c r="I2633" s="24">
        <v>26.0</v>
      </c>
      <c r="J2633" s="24">
        <v>0.0</v>
      </c>
      <c r="K2633" s="23" t="s">
        <v>34</v>
      </c>
      <c r="L2633" s="25">
        <v>41334.17853009259</v>
      </c>
      <c r="M2633" s="26" t="s">
        <v>6324</v>
      </c>
      <c r="N2633" s="26" t="s">
        <v>6325</v>
      </c>
      <c r="O2633" s="22" t="str">
        <f>HYPERLINK("https://pbs.twimg.com/profile_images/629648567829987328/p1GlOuR5_normal.jpg","View")</f>
        <v>View</v>
      </c>
      <c r="P2633" s="27"/>
    </row>
    <row r="2634">
      <c r="A2634" s="14">
        <v>43031.17653935185</v>
      </c>
      <c r="B2634" s="20" t="str">
        <f>HYPERLINK("https://twitter.com/Ammy6556","@Ammy6556")</f>
        <v>@Ammy6556</v>
      </c>
      <c r="C2634" s="21" t="s">
        <v>6326</v>
      </c>
      <c r="D2634" s="21" t="s">
        <v>42</v>
      </c>
      <c r="E2634" s="22" t="str">
        <f>HYPERLINK("https://twitter.com/Ammy6556/status/922420893166419968","922420893166419968")</f>
        <v>922420893166419968</v>
      </c>
      <c r="F2634" s="23" t="s">
        <v>33</v>
      </c>
      <c r="G2634" s="24">
        <v>6.0</v>
      </c>
      <c r="H2634" s="24">
        <v>137.0</v>
      </c>
      <c r="I2634" s="24">
        <v>8501.0</v>
      </c>
      <c r="J2634" s="24">
        <v>0.0</v>
      </c>
      <c r="K2634" s="23" t="s">
        <v>34</v>
      </c>
      <c r="L2634" s="25">
        <v>43019.80826388889</v>
      </c>
      <c r="M2634" s="26" t="s">
        <v>2280</v>
      </c>
      <c r="N2634" s="26" t="s">
        <v>6327</v>
      </c>
      <c r="O2634" s="22" t="str">
        <f>HYPERLINK("https://pbs.twimg.com/profile_images/918304334537826305/MRttZrP3_normal.jpg","View")</f>
        <v>View</v>
      </c>
      <c r="P2634" s="27"/>
    </row>
    <row r="2635">
      <c r="A2635" s="14">
        <v>43031.17655092593</v>
      </c>
      <c r="B2635" s="20" t="str">
        <f>HYPERLINK("https://twitter.com/TheNewsAlerts","@TheNewsAlerts")</f>
        <v>@TheNewsAlerts</v>
      </c>
      <c r="C2635" s="21" t="s">
        <v>827</v>
      </c>
      <c r="D2635" s="21" t="s">
        <v>6328</v>
      </c>
      <c r="E2635" s="22" t="str">
        <f>HYPERLINK("https://twitter.com/TheNewsAlerts/status/922420897482407936","922420897482407936")</f>
        <v>922420897482407936</v>
      </c>
      <c r="F2635" s="23" t="s">
        <v>187</v>
      </c>
      <c r="G2635" s="24">
        <v>705.0</v>
      </c>
      <c r="H2635" s="24">
        <v>566.0</v>
      </c>
      <c r="I2635" s="24">
        <v>0.0</v>
      </c>
      <c r="J2635" s="24">
        <v>0.0</v>
      </c>
      <c r="K2635" s="23" t="s">
        <v>34</v>
      </c>
      <c r="L2635" s="25">
        <v>40368.59261574074</v>
      </c>
      <c r="M2635" s="26" t="s">
        <v>829</v>
      </c>
      <c r="N2635" s="26" t="s">
        <v>830</v>
      </c>
      <c r="O2635" s="22" t="str">
        <f>HYPERLINK("https://pbs.twimg.com/profile_images/824973109522464768/RosVlZDx_normal.jpg","View")</f>
        <v>View</v>
      </c>
      <c r="P2635" s="27"/>
    </row>
    <row r="2636">
      <c r="A2636" s="14">
        <v>43031.176678240736</v>
      </c>
      <c r="B2636" s="20" t="str">
        <f>HYPERLINK("https://twitter.com/Ani_National","@Ani_National")</f>
        <v>@Ani_National</v>
      </c>
      <c r="C2636" s="21" t="s">
        <v>6329</v>
      </c>
      <c r="D2636" s="21" t="s">
        <v>42</v>
      </c>
      <c r="E2636" s="22" t="str">
        <f>HYPERLINK("https://twitter.com/Ani_National/status/922420942961176576","922420942961176576")</f>
        <v>922420942961176576</v>
      </c>
      <c r="F2636" s="23" t="s">
        <v>33</v>
      </c>
      <c r="G2636" s="24">
        <v>22.0</v>
      </c>
      <c r="H2636" s="24">
        <v>146.0</v>
      </c>
      <c r="I2636" s="24">
        <v>8501.0</v>
      </c>
      <c r="J2636" s="24">
        <v>0.0</v>
      </c>
      <c r="K2636" s="23" t="s">
        <v>34</v>
      </c>
      <c r="L2636" s="25">
        <v>42971.45769675926</v>
      </c>
      <c r="M2636" s="28"/>
      <c r="N2636" s="26" t="s">
        <v>6330</v>
      </c>
      <c r="O2636" s="22" t="str">
        <f t="shared" ref="O2636:O2637" si="43">HYPERLINK("https://abs.twimg.com/sticky/default_profile_images/default_profile_normal.png","View")</f>
        <v>View</v>
      </c>
      <c r="P2636" s="27"/>
    </row>
    <row r="2637">
      <c r="A2637" s="14">
        <v>43031.176724537036</v>
      </c>
      <c r="B2637" s="20" t="str">
        <f>HYPERLINK("https://twitter.com/sofatrix_douhi","@sofatrix_douhi")</f>
        <v>@sofatrix_douhi</v>
      </c>
      <c r="C2637" s="21" t="s">
        <v>6331</v>
      </c>
      <c r="D2637" s="21" t="s">
        <v>6332</v>
      </c>
      <c r="E2637" s="22" t="str">
        <f>HYPERLINK("https://twitter.com/sofatrix_douhi/status/922420962276139008","922420962276139008")</f>
        <v>922420962276139008</v>
      </c>
      <c r="F2637" s="23" t="s">
        <v>55</v>
      </c>
      <c r="G2637" s="24">
        <v>381.0</v>
      </c>
      <c r="H2637" s="24">
        <v>1752.0</v>
      </c>
      <c r="I2637" s="24">
        <v>25.0</v>
      </c>
      <c r="J2637" s="24">
        <v>0.0</v>
      </c>
      <c r="K2637" s="23" t="s">
        <v>34</v>
      </c>
      <c r="L2637" s="25">
        <v>42597.24545138889</v>
      </c>
      <c r="M2637" s="26" t="s">
        <v>6333</v>
      </c>
      <c r="N2637" s="26" t="s">
        <v>6334</v>
      </c>
      <c r="O2637" s="22" t="str">
        <f t="shared" si="43"/>
        <v>View</v>
      </c>
      <c r="P2637" s="27"/>
    </row>
    <row r="2638">
      <c r="A2638" s="14">
        <v>43031.17684027778</v>
      </c>
      <c r="B2638" s="20" t="str">
        <f>HYPERLINK("https://twitter.com/arunk5feb","@arunk5feb")</f>
        <v>@arunk5feb</v>
      </c>
      <c r="C2638" s="21" t="s">
        <v>6335</v>
      </c>
      <c r="D2638" s="21" t="s">
        <v>163</v>
      </c>
      <c r="E2638" s="22" t="str">
        <f>HYPERLINK("https://twitter.com/arunk5feb/status/922421004508438528","922421004508438528")</f>
        <v>922421004508438528</v>
      </c>
      <c r="F2638" s="23" t="s">
        <v>33</v>
      </c>
      <c r="G2638" s="24">
        <v>1299.0</v>
      </c>
      <c r="H2638" s="24">
        <v>2461.0</v>
      </c>
      <c r="I2638" s="24">
        <v>1005.0</v>
      </c>
      <c r="J2638" s="24">
        <v>0.0</v>
      </c>
      <c r="K2638" s="23" t="s">
        <v>34</v>
      </c>
      <c r="L2638" s="25">
        <v>41544.47258101852</v>
      </c>
      <c r="M2638" s="26" t="s">
        <v>6336</v>
      </c>
      <c r="N2638" s="26" t="s">
        <v>6337</v>
      </c>
      <c r="O2638" s="22" t="str">
        <f>HYPERLINK("https://pbs.twimg.com/profile_images/921058933552291840/8duYHJB0_normal.jpg","View")</f>
        <v>View</v>
      </c>
      <c r="P2638" s="27"/>
    </row>
    <row r="2639">
      <c r="A2639" s="14">
        <v>43031.176875000005</v>
      </c>
      <c r="B2639" s="20" t="str">
        <f>HYPERLINK("https://twitter.com/radha_sudan","@radha_sudan")</f>
        <v>@radha_sudan</v>
      </c>
      <c r="C2639" s="21" t="s">
        <v>6338</v>
      </c>
      <c r="D2639" s="21" t="s">
        <v>42</v>
      </c>
      <c r="E2639" s="22" t="str">
        <f>HYPERLINK("https://twitter.com/radha_sudan/status/922421013471571970","922421013471571970")</f>
        <v>922421013471571970</v>
      </c>
      <c r="F2639" s="23" t="s">
        <v>33</v>
      </c>
      <c r="G2639" s="24">
        <v>142.0</v>
      </c>
      <c r="H2639" s="24">
        <v>15.0</v>
      </c>
      <c r="I2639" s="24">
        <v>8501.0</v>
      </c>
      <c r="J2639" s="24">
        <v>0.0</v>
      </c>
      <c r="K2639" s="23" t="s">
        <v>34</v>
      </c>
      <c r="L2639" s="25">
        <v>42923.154756944445</v>
      </c>
      <c r="M2639" s="26" t="s">
        <v>6339</v>
      </c>
      <c r="N2639" s="26" t="s">
        <v>6340</v>
      </c>
      <c r="O2639" s="22" t="str">
        <f>HYPERLINK("https://pbs.twimg.com/profile_images/883314468670902273/o_BYtjWX_normal.jpg","View")</f>
        <v>View</v>
      </c>
      <c r="P2639" s="27"/>
    </row>
    <row r="2640">
      <c r="A2640" s="14">
        <v>43031.17694444444</v>
      </c>
      <c r="B2640" s="20" t="str">
        <f>HYPERLINK("https://twitter.com/ychiny","@ychiny")</f>
        <v>@ychiny</v>
      </c>
      <c r="C2640" s="21" t="s">
        <v>6341</v>
      </c>
      <c r="D2640" s="21" t="s">
        <v>42</v>
      </c>
      <c r="E2640" s="22" t="str">
        <f>HYPERLINK("https://twitter.com/ychiny/status/922421042290630656","922421042290630656")</f>
        <v>922421042290630656</v>
      </c>
      <c r="F2640" s="23" t="s">
        <v>39</v>
      </c>
      <c r="G2640" s="24">
        <v>780.0</v>
      </c>
      <c r="H2640" s="24">
        <v>628.0</v>
      </c>
      <c r="I2640" s="24">
        <v>8501.0</v>
      </c>
      <c r="J2640" s="24">
        <v>0.0</v>
      </c>
      <c r="K2640" s="23" t="s">
        <v>34</v>
      </c>
      <c r="L2640" s="25">
        <v>41033.77836805556</v>
      </c>
      <c r="M2640" s="26" t="s">
        <v>6342</v>
      </c>
      <c r="N2640" s="26" t="s">
        <v>6343</v>
      </c>
      <c r="O2640" s="22" t="str">
        <f>HYPERLINK("https://pbs.twimg.com/profile_images/876375848034607104/uovf6u2z_normal.jpg","View")</f>
        <v>View</v>
      </c>
      <c r="P2640" s="27"/>
    </row>
    <row r="2641">
      <c r="A2641" s="14">
        <v>43031.17697916667</v>
      </c>
      <c r="B2641" s="20" t="str">
        <f>HYPERLINK("https://twitter.com/spookyscary666","@spookyscary666")</f>
        <v>@spookyscary666</v>
      </c>
      <c r="C2641" s="21" t="s">
        <v>6344</v>
      </c>
      <c r="D2641" s="21" t="s">
        <v>163</v>
      </c>
      <c r="E2641" s="22" t="str">
        <f>HYPERLINK("https://twitter.com/spookyscary666/status/922421051341942784","922421051341942784")</f>
        <v>922421051341942784</v>
      </c>
      <c r="F2641" s="23" t="s">
        <v>33</v>
      </c>
      <c r="G2641" s="24">
        <v>442.0</v>
      </c>
      <c r="H2641" s="24">
        <v>1046.0</v>
      </c>
      <c r="I2641" s="24">
        <v>1005.0</v>
      </c>
      <c r="J2641" s="24">
        <v>0.0</v>
      </c>
      <c r="K2641" s="23" t="s">
        <v>34</v>
      </c>
      <c r="L2641" s="25">
        <v>42139.5850462963</v>
      </c>
      <c r="M2641" s="28"/>
      <c r="N2641" s="28"/>
      <c r="O2641" s="22" t="str">
        <f>HYPERLINK("https://pbs.twimg.com/profile_images/922698604418015232/LshSnl_z_normal.jpg","View")</f>
        <v>View</v>
      </c>
      <c r="P2641" s="27"/>
    </row>
    <row r="2642">
      <c r="A2642" s="14">
        <v>43031.17702546297</v>
      </c>
      <c r="B2642" s="20" t="str">
        <f>HYPERLINK("https://twitter.com/Kadi_Ninda1","@Kadi_Ninda1")</f>
        <v>@Kadi_Ninda1</v>
      </c>
      <c r="C2642" s="21" t="s">
        <v>6345</v>
      </c>
      <c r="D2642" s="21" t="s">
        <v>4507</v>
      </c>
      <c r="E2642" s="22" t="str">
        <f>HYPERLINK("https://twitter.com/Kadi_Ninda1/status/922421071525003264","922421071525003264")</f>
        <v>922421071525003264</v>
      </c>
      <c r="F2642" s="23" t="s">
        <v>55</v>
      </c>
      <c r="G2642" s="24">
        <v>658.0</v>
      </c>
      <c r="H2642" s="24">
        <v>433.0</v>
      </c>
      <c r="I2642" s="24">
        <v>139.0</v>
      </c>
      <c r="J2642" s="24">
        <v>0.0</v>
      </c>
      <c r="K2642" s="23" t="s">
        <v>34</v>
      </c>
      <c r="L2642" s="25">
        <v>41215.34451388889</v>
      </c>
      <c r="M2642" s="28"/>
      <c r="N2642" s="26" t="s">
        <v>6346</v>
      </c>
      <c r="O2642" s="22" t="str">
        <f>HYPERLINK("https://pbs.twimg.com/profile_images/506491793534238722/W_3ugUlh_normal.jpeg","View")</f>
        <v>View</v>
      </c>
      <c r="P2642" s="27"/>
    </row>
    <row r="2643">
      <c r="A2643" s="14">
        <v>43031.177037037036</v>
      </c>
      <c r="B2643" s="20" t="str">
        <f>HYPERLINK("https://twitter.com/ankurpaliwal13","@ankurpaliwal13")</f>
        <v>@ankurpaliwal13</v>
      </c>
      <c r="C2643" s="21" t="s">
        <v>6347</v>
      </c>
      <c r="D2643" s="21" t="s">
        <v>42</v>
      </c>
      <c r="E2643" s="22" t="str">
        <f>HYPERLINK("https://twitter.com/ankurpaliwal13/status/922421075106869248","922421075106869248")</f>
        <v>922421075106869248</v>
      </c>
      <c r="F2643" s="23" t="s">
        <v>33</v>
      </c>
      <c r="G2643" s="24">
        <v>118.0</v>
      </c>
      <c r="H2643" s="24">
        <v>1130.0</v>
      </c>
      <c r="I2643" s="24">
        <v>8501.0</v>
      </c>
      <c r="J2643" s="24">
        <v>0.0</v>
      </c>
      <c r="K2643" s="23" t="s">
        <v>34</v>
      </c>
      <c r="L2643" s="25">
        <v>43009.07880787037</v>
      </c>
      <c r="M2643" s="26" t="s">
        <v>575</v>
      </c>
      <c r="N2643" s="26" t="s">
        <v>6348</v>
      </c>
      <c r="O2643" s="22" t="str">
        <f>HYPERLINK("https://pbs.twimg.com/profile_images/922097147259924481/GCPNdjSc_normal.jpg","View")</f>
        <v>View</v>
      </c>
      <c r="P2643" s="27"/>
    </row>
    <row r="2644">
      <c r="A2644" s="14">
        <v>43031.17712962963</v>
      </c>
      <c r="B2644" s="20" t="str">
        <f>HYPERLINK("https://twitter.com/Kero_417","@Kero_417")</f>
        <v>@Kero_417</v>
      </c>
      <c r="C2644" s="21" t="s">
        <v>6349</v>
      </c>
      <c r="D2644" s="21" t="s">
        <v>126</v>
      </c>
      <c r="E2644" s="22" t="str">
        <f>HYPERLINK("https://twitter.com/Kero_417/status/922421109542199296","922421109542199296")</f>
        <v>922421109542199296</v>
      </c>
      <c r="F2644" s="23" t="s">
        <v>39</v>
      </c>
      <c r="G2644" s="24">
        <v>121.0</v>
      </c>
      <c r="H2644" s="24">
        <v>303.0</v>
      </c>
      <c r="I2644" s="24">
        <v>62.0</v>
      </c>
      <c r="J2644" s="24">
        <v>0.0</v>
      </c>
      <c r="K2644" s="23" t="s">
        <v>34</v>
      </c>
      <c r="L2644" s="25">
        <v>42526.40368055555</v>
      </c>
      <c r="M2644" s="28"/>
      <c r="N2644" s="26" t="s">
        <v>6350</v>
      </c>
      <c r="O2644" s="22" t="str">
        <f>HYPERLINK("https://pbs.twimg.com/profile_images/841318962562457601/1Hno5ttB_normal.jpg","View")</f>
        <v>View</v>
      </c>
      <c r="P2644" s="27"/>
    </row>
    <row r="2645">
      <c r="A2645" s="14">
        <v>43031.17716435185</v>
      </c>
      <c r="B2645" s="20" t="str">
        <f>HYPERLINK("https://twitter.com/notiven","@notiven")</f>
        <v>@notiven</v>
      </c>
      <c r="C2645" s="21" t="s">
        <v>1012</v>
      </c>
      <c r="D2645" s="21" t="s">
        <v>6351</v>
      </c>
      <c r="E2645" s="22" t="str">
        <f>HYPERLINK("https://twitter.com/notiven/status/922421118308376576","922421118308376576")</f>
        <v>922421118308376576</v>
      </c>
      <c r="F2645" s="23" t="s">
        <v>1014</v>
      </c>
      <c r="G2645" s="24">
        <v>51323.0</v>
      </c>
      <c r="H2645" s="24">
        <v>194.0</v>
      </c>
      <c r="I2645" s="24">
        <v>0.0</v>
      </c>
      <c r="J2645" s="24">
        <v>0.0</v>
      </c>
      <c r="K2645" s="23" t="s">
        <v>34</v>
      </c>
      <c r="L2645" s="25">
        <v>39235.5805787037</v>
      </c>
      <c r="M2645" s="26" t="s">
        <v>1015</v>
      </c>
      <c r="N2645" s="26" t="s">
        <v>1016</v>
      </c>
      <c r="O2645" s="22" t="str">
        <f>HYPERLINK("https://pbs.twimg.com/profile_images/799317731648606208/vbXQCdts_normal.jpg","View")</f>
        <v>View</v>
      </c>
      <c r="P2645" s="27"/>
    </row>
    <row r="2646">
      <c r="A2646" s="14">
        <v>43031.177199074074</v>
      </c>
      <c r="B2646" s="20" t="str">
        <f>HYPERLINK("https://twitter.com/Narayan84347595","@Narayan84347595")</f>
        <v>@Narayan84347595</v>
      </c>
      <c r="C2646" s="21" t="s">
        <v>6352</v>
      </c>
      <c r="D2646" s="21" t="s">
        <v>42</v>
      </c>
      <c r="E2646" s="22" t="str">
        <f>HYPERLINK("https://twitter.com/Narayan84347595/status/922421131038023681","922421131038023681")</f>
        <v>922421131038023681</v>
      </c>
      <c r="F2646" s="23" t="s">
        <v>33</v>
      </c>
      <c r="G2646" s="24">
        <v>31.0</v>
      </c>
      <c r="H2646" s="24">
        <v>203.0</v>
      </c>
      <c r="I2646" s="24">
        <v>8501.0</v>
      </c>
      <c r="J2646" s="24">
        <v>0.0</v>
      </c>
      <c r="K2646" s="23" t="s">
        <v>34</v>
      </c>
      <c r="L2646" s="25">
        <v>42509.955775462964</v>
      </c>
      <c r="M2646" s="26" t="s">
        <v>6353</v>
      </c>
      <c r="N2646" s="26" t="s">
        <v>6354</v>
      </c>
      <c r="O2646" s="22" t="str">
        <f>HYPERLINK("https://pbs.twimg.com/profile_images/882096455573544960/SS5EZ7p__normal.jpg","View")</f>
        <v>View</v>
      </c>
      <c r="P2646" s="27"/>
    </row>
    <row r="2647">
      <c r="A2647" s="14">
        <v>43031.17726851851</v>
      </c>
      <c r="B2647" s="20" t="str">
        <f>HYPERLINK("https://twitter.com/TouficBarakeh","@TouficBarakeh")</f>
        <v>@TouficBarakeh</v>
      </c>
      <c r="C2647" s="21" t="s">
        <v>6355</v>
      </c>
      <c r="D2647" s="21" t="s">
        <v>6356</v>
      </c>
      <c r="E2647" s="22" t="str">
        <f>HYPERLINK("https://twitter.com/TouficBarakeh/status/922421156992507904","922421156992507904")</f>
        <v>922421156992507904</v>
      </c>
      <c r="F2647" s="23" t="s">
        <v>55</v>
      </c>
      <c r="G2647" s="24">
        <v>2152.0</v>
      </c>
      <c r="H2647" s="24">
        <v>2422.0</v>
      </c>
      <c r="I2647" s="24">
        <v>0.0</v>
      </c>
      <c r="J2647" s="24">
        <v>0.0</v>
      </c>
      <c r="K2647" s="23" t="s">
        <v>34</v>
      </c>
      <c r="L2647" s="25">
        <v>40972.37055555556</v>
      </c>
      <c r="M2647" s="26" t="s">
        <v>708</v>
      </c>
      <c r="N2647" s="26" t="s">
        <v>6357</v>
      </c>
      <c r="O2647" s="22" t="str">
        <f>HYPERLINK("https://pbs.twimg.com/profile_images/1873495276/04-19-2008_12_08_15PM_normal.GIF","View")</f>
        <v>View</v>
      </c>
      <c r="P2647" s="27"/>
    </row>
    <row r="2648">
      <c r="A2648" s="14">
        <v>43031.17726851851</v>
      </c>
      <c r="B2648" s="20" t="str">
        <f>HYPERLINK("https://twitter.com/usyername","@usyername")</f>
        <v>@usyername</v>
      </c>
      <c r="C2648" s="21" t="s">
        <v>1279</v>
      </c>
      <c r="D2648" s="21" t="s">
        <v>6358</v>
      </c>
      <c r="E2648" s="22" t="str">
        <f>HYPERLINK("https://twitter.com/usyername/status/922421158892498944","922421158892498944")</f>
        <v>922421158892498944</v>
      </c>
      <c r="F2648" s="23" t="s">
        <v>187</v>
      </c>
      <c r="G2648" s="24">
        <v>8.0</v>
      </c>
      <c r="H2648" s="24">
        <v>0.0</v>
      </c>
      <c r="I2648" s="24">
        <v>0.0</v>
      </c>
      <c r="J2648" s="24">
        <v>0.0</v>
      </c>
      <c r="K2648" s="23" t="s">
        <v>34</v>
      </c>
      <c r="L2648" s="25">
        <v>43009.781076388885</v>
      </c>
      <c r="M2648" s="28"/>
      <c r="N2648" s="28"/>
      <c r="O2648" s="22" t="str">
        <f>HYPERLINK("https://pbs.twimg.com/profile_images/916502409580392448/6PpLTsL5_normal.jpg","View")</f>
        <v>View</v>
      </c>
      <c r="P2648" s="27"/>
    </row>
    <row r="2649">
      <c r="A2649" s="14">
        <v>43031.17732638889</v>
      </c>
      <c r="B2649" s="20" t="str">
        <f>HYPERLINK("https://twitter.com/rooopsing","@rooopsing")</f>
        <v>@rooopsing</v>
      </c>
      <c r="C2649" s="21" t="s">
        <v>6359</v>
      </c>
      <c r="D2649" s="21" t="s">
        <v>42</v>
      </c>
      <c r="E2649" s="22" t="str">
        <f>HYPERLINK("https://twitter.com/rooopsing/status/922421178286796800","922421178286796800")</f>
        <v>922421178286796800</v>
      </c>
      <c r="F2649" s="23" t="s">
        <v>33</v>
      </c>
      <c r="G2649" s="24">
        <v>444.0</v>
      </c>
      <c r="H2649" s="24">
        <v>638.0</v>
      </c>
      <c r="I2649" s="24">
        <v>8501.0</v>
      </c>
      <c r="J2649" s="24">
        <v>0.0</v>
      </c>
      <c r="K2649" s="23" t="s">
        <v>34</v>
      </c>
      <c r="L2649" s="25">
        <v>40217.07253472222</v>
      </c>
      <c r="M2649" s="28"/>
      <c r="N2649" s="26" t="s">
        <v>6360</v>
      </c>
      <c r="O2649" s="22" t="str">
        <f>HYPERLINK("https://pbs.twimg.com/profile_images/848571623363891200/DnsEp1V9_normal.jpg","View")</f>
        <v>View</v>
      </c>
      <c r="P2649" s="27"/>
    </row>
    <row r="2650">
      <c r="A2650" s="14">
        <v>43031.17744212963</v>
      </c>
      <c r="B2650" s="20" t="str">
        <f>HYPERLINK("https://twitter.com/presyar","@presyar")</f>
        <v>@presyar</v>
      </c>
      <c r="C2650" s="21" t="s">
        <v>6361</v>
      </c>
      <c r="D2650" s="21" t="s">
        <v>5262</v>
      </c>
      <c r="E2650" s="22" t="str">
        <f>HYPERLINK("https://twitter.com/presyar/status/922421220489830400","922421220489830400")</f>
        <v>922421220489830400</v>
      </c>
      <c r="F2650" s="23" t="s">
        <v>39</v>
      </c>
      <c r="G2650" s="24">
        <v>492.0</v>
      </c>
      <c r="H2650" s="24">
        <v>1491.0</v>
      </c>
      <c r="I2650" s="24">
        <v>22.0</v>
      </c>
      <c r="J2650" s="24">
        <v>0.0</v>
      </c>
      <c r="K2650" s="23" t="s">
        <v>34</v>
      </c>
      <c r="L2650" s="25">
        <v>40634.34190972222</v>
      </c>
      <c r="M2650" s="28"/>
      <c r="N2650" s="26" t="s">
        <v>6362</v>
      </c>
      <c r="O2650" s="22" t="str">
        <f>HYPERLINK("https://pbs.twimg.com/profile_images/861798521619365888/Lvr3Aazy_normal.jpg","View")</f>
        <v>View</v>
      </c>
      <c r="P2650" s="27"/>
    </row>
    <row r="2651">
      <c r="A2651" s="14">
        <v>43031.17759259259</v>
      </c>
      <c r="B2651" s="20" t="str">
        <f>HYPERLINK("https://twitter.com/Nareshv38402466","@Nareshv38402466")</f>
        <v>@Nareshv38402466</v>
      </c>
      <c r="C2651" s="21" t="s">
        <v>6363</v>
      </c>
      <c r="D2651" s="21" t="s">
        <v>42</v>
      </c>
      <c r="E2651" s="22" t="str">
        <f>HYPERLINK("https://twitter.com/Nareshv38402466/status/922421273690562560","922421273690562560")</f>
        <v>922421273690562560</v>
      </c>
      <c r="F2651" s="23" t="s">
        <v>33</v>
      </c>
      <c r="G2651" s="24">
        <v>91.0</v>
      </c>
      <c r="H2651" s="24">
        <v>73.0</v>
      </c>
      <c r="I2651" s="24">
        <v>8501.0</v>
      </c>
      <c r="J2651" s="24">
        <v>0.0</v>
      </c>
      <c r="K2651" s="23" t="s">
        <v>34</v>
      </c>
      <c r="L2651" s="25">
        <v>42928.576689814814</v>
      </c>
      <c r="M2651" s="28"/>
      <c r="N2651" s="26" t="s">
        <v>6364</v>
      </c>
      <c r="O2651" s="22" t="str">
        <f>HYPERLINK("https://pbs.twimg.com/profile_images/922414074079608837/iC82PrUL_normal.jpg","View")</f>
        <v>View</v>
      </c>
      <c r="P2651" s="27"/>
    </row>
    <row r="2652">
      <c r="A2652" s="14">
        <v>43031.17769675926</v>
      </c>
      <c r="B2652" s="20" t="str">
        <f>HYPERLINK("https://twitter.com/BDliveSA","@BDliveSA")</f>
        <v>@BDliveSA</v>
      </c>
      <c r="C2652" s="21" t="s">
        <v>6365</v>
      </c>
      <c r="D2652" s="21" t="s">
        <v>6366</v>
      </c>
      <c r="E2652" s="22" t="str">
        <f>HYPERLINK("https://twitter.com/BDliveSA/status/922421311443554304","922421311443554304")</f>
        <v>922421311443554304</v>
      </c>
      <c r="F2652" s="23" t="s">
        <v>427</v>
      </c>
      <c r="G2652" s="24">
        <v>184021.0</v>
      </c>
      <c r="H2652" s="24">
        <v>238.0</v>
      </c>
      <c r="I2652" s="24">
        <v>1.0</v>
      </c>
      <c r="J2652" s="24">
        <v>0.0</v>
      </c>
      <c r="K2652" s="23" t="s">
        <v>34</v>
      </c>
      <c r="L2652" s="25">
        <v>40015.34075231481</v>
      </c>
      <c r="M2652" s="26" t="s">
        <v>4198</v>
      </c>
      <c r="N2652" s="26" t="s">
        <v>6367</v>
      </c>
      <c r="O2652" s="22" t="str">
        <f>HYPERLINK("https://pbs.twimg.com/profile_images/786305326547107844/EpkLTfTj_normal.jpg","View")</f>
        <v>View</v>
      </c>
      <c r="P2652" s="27"/>
    </row>
    <row r="2653">
      <c r="A2653" s="14">
        <v>43031.17773148148</v>
      </c>
      <c r="B2653" s="20" t="str">
        <f>HYPERLINK("https://twitter.com/JayendraVarma11","@JayendraVarma11")</f>
        <v>@JayendraVarma11</v>
      </c>
      <c r="C2653" s="21" t="s">
        <v>6368</v>
      </c>
      <c r="D2653" s="21" t="s">
        <v>42</v>
      </c>
      <c r="E2653" s="22" t="str">
        <f>HYPERLINK("https://twitter.com/JayendraVarma11/status/922421327478145024","922421327478145024")</f>
        <v>922421327478145024</v>
      </c>
      <c r="F2653" s="23" t="s">
        <v>33</v>
      </c>
      <c r="G2653" s="24">
        <v>22.0</v>
      </c>
      <c r="H2653" s="24">
        <v>98.0</v>
      </c>
      <c r="I2653" s="24">
        <v>8501.0</v>
      </c>
      <c r="J2653" s="24">
        <v>0.0</v>
      </c>
      <c r="K2653" s="23" t="s">
        <v>34</v>
      </c>
      <c r="L2653" s="25">
        <v>42351.1575</v>
      </c>
      <c r="M2653" s="28"/>
      <c r="N2653" s="28"/>
      <c r="O2653" s="22" t="str">
        <f>HYPERLINK("https://pbs.twimg.com/profile_images/676006454030032897/EY0aFHvt_normal.jpg","View")</f>
        <v>View</v>
      </c>
      <c r="P2653" s="27"/>
    </row>
    <row r="2654">
      <c r="A2654" s="14">
        <v>43031.17774305555</v>
      </c>
      <c r="B2654" s="20" t="str">
        <f>HYPERLINK("https://twitter.com/BanankoJanko","@BanankoJanko")</f>
        <v>@BanankoJanko</v>
      </c>
      <c r="C2654" s="21" t="s">
        <v>1629</v>
      </c>
      <c r="D2654" s="21" t="s">
        <v>6369</v>
      </c>
      <c r="E2654" s="22" t="str">
        <f>HYPERLINK("https://twitter.com/BanankoJanko/status/922421330154328064","922421330154328064")</f>
        <v>922421330154328064</v>
      </c>
      <c r="F2654" s="23" t="s">
        <v>187</v>
      </c>
      <c r="G2654" s="24">
        <v>73.0</v>
      </c>
      <c r="H2654" s="24">
        <v>53.0</v>
      </c>
      <c r="I2654" s="24">
        <v>0.0</v>
      </c>
      <c r="J2654" s="24">
        <v>0.0</v>
      </c>
      <c r="K2654" s="23" t="s">
        <v>34</v>
      </c>
      <c r="L2654" s="25">
        <v>42837.10114583334</v>
      </c>
      <c r="M2654" s="28"/>
      <c r="N2654" s="35" t="s">
        <v>1631</v>
      </c>
      <c r="O2654" s="22" t="str">
        <f>HYPERLINK("https://pbs.twimg.com/profile_images/852669910123675651/CVUt6bXC_normal.jpg","View")</f>
        <v>View</v>
      </c>
      <c r="P2654" s="27"/>
    </row>
    <row r="2655">
      <c r="A2655" s="14">
        <v>43031.17783564815</v>
      </c>
      <c r="B2655" s="20" t="str">
        <f>HYPERLINK("https://twitter.com/AllQuotes_enws","@AllQuotes_enws")</f>
        <v>@AllQuotes_enws</v>
      </c>
      <c r="C2655" s="21" t="s">
        <v>6370</v>
      </c>
      <c r="D2655" s="21" t="s">
        <v>6371</v>
      </c>
      <c r="E2655" s="22" t="str">
        <f>HYPERLINK("https://twitter.com/AllQuotes_enws/status/922421361640910849","922421361640910849")</f>
        <v>922421361640910849</v>
      </c>
      <c r="F2655" s="23" t="s">
        <v>6372</v>
      </c>
      <c r="G2655" s="24">
        <v>181.0</v>
      </c>
      <c r="H2655" s="24">
        <v>156.0</v>
      </c>
      <c r="I2655" s="24">
        <v>0.0</v>
      </c>
      <c r="J2655" s="24">
        <v>0.0</v>
      </c>
      <c r="K2655" s="23" t="s">
        <v>34</v>
      </c>
      <c r="L2655" s="25">
        <v>42709.16135416667</v>
      </c>
      <c r="M2655" s="28"/>
      <c r="N2655" s="26" t="s">
        <v>6373</v>
      </c>
      <c r="O2655" s="22" t="str">
        <f>HYPERLINK("https://pbs.twimg.com/profile_images/882176763194994688/Emewyav9_normal.jpg","View")</f>
        <v>View</v>
      </c>
      <c r="P2655" s="27"/>
    </row>
    <row r="2656">
      <c r="A2656" s="14">
        <v>43031.1779050926</v>
      </c>
      <c r="B2656" s="20" t="str">
        <f>HYPERLINK("https://twitter.com/snr_gotekar15","@snr_gotekar15")</f>
        <v>@snr_gotekar15</v>
      </c>
      <c r="C2656" s="21" t="s">
        <v>6374</v>
      </c>
      <c r="D2656" s="21" t="s">
        <v>42</v>
      </c>
      <c r="E2656" s="22" t="str">
        <f>HYPERLINK("https://twitter.com/snr_gotekar15/status/922421386873679872","922421386873679872")</f>
        <v>922421386873679872</v>
      </c>
      <c r="F2656" s="23" t="s">
        <v>43</v>
      </c>
      <c r="G2656" s="24">
        <v>411.0</v>
      </c>
      <c r="H2656" s="24">
        <v>855.0</v>
      </c>
      <c r="I2656" s="24">
        <v>8501.0</v>
      </c>
      <c r="J2656" s="24">
        <v>0.0</v>
      </c>
      <c r="K2656" s="23" t="s">
        <v>34</v>
      </c>
      <c r="L2656" s="25">
        <v>40590.81696759259</v>
      </c>
      <c r="M2656" s="26" t="s">
        <v>6375</v>
      </c>
      <c r="N2656" s="26" t="s">
        <v>6376</v>
      </c>
      <c r="O2656" s="22" t="str">
        <f>HYPERLINK("https://pbs.twimg.com/profile_images/851773694036688896/wG5Klt6T_normal.jpg","View")</f>
        <v>View</v>
      </c>
      <c r="P2656" s="27"/>
    </row>
    <row r="2657">
      <c r="A2657" s="14">
        <v>43031.17791666667</v>
      </c>
      <c r="B2657" s="20" t="str">
        <f>HYPERLINK("https://twitter.com/viveksurat","@viveksurat")</f>
        <v>@viveksurat</v>
      </c>
      <c r="C2657" s="21" t="s">
        <v>6377</v>
      </c>
      <c r="D2657" s="21" t="s">
        <v>42</v>
      </c>
      <c r="E2657" s="22" t="str">
        <f>HYPERLINK("https://twitter.com/viveksurat/status/922421394377342977","922421394377342977")</f>
        <v>922421394377342977</v>
      </c>
      <c r="F2657" s="23" t="s">
        <v>55</v>
      </c>
      <c r="G2657" s="24">
        <v>2041.0</v>
      </c>
      <c r="H2657" s="24">
        <v>1062.0</v>
      </c>
      <c r="I2657" s="24">
        <v>8501.0</v>
      </c>
      <c r="J2657" s="24">
        <v>0.0</v>
      </c>
      <c r="K2657" s="23" t="s">
        <v>34</v>
      </c>
      <c r="L2657" s="25">
        <v>40181.21796296296</v>
      </c>
      <c r="M2657" s="26" t="s">
        <v>2739</v>
      </c>
      <c r="N2657" s="26" t="s">
        <v>6378</v>
      </c>
      <c r="O2657" s="22" t="str">
        <f>HYPERLINK("https://pbs.twimg.com/profile_images/897671752808935424/votY8jby_normal.jpg","View")</f>
        <v>View</v>
      </c>
      <c r="P2657" s="27"/>
    </row>
    <row r="2658">
      <c r="A2658" s="14">
        <v>43031.17796296296</v>
      </c>
      <c r="B2658" s="20" t="str">
        <f>HYPERLINK("https://twitter.com/RunRrai74","@RunRrai74")</f>
        <v>@RunRrai74</v>
      </c>
      <c r="C2658" s="21" t="s">
        <v>6379</v>
      </c>
      <c r="D2658" s="21" t="s">
        <v>5786</v>
      </c>
      <c r="E2658" s="22" t="str">
        <f>HYPERLINK("https://twitter.com/RunRrai74/status/922421411666366464","922421411666366464")</f>
        <v>922421411666366464</v>
      </c>
      <c r="F2658" s="23" t="s">
        <v>33</v>
      </c>
      <c r="G2658" s="24">
        <v>63.0</v>
      </c>
      <c r="H2658" s="24">
        <v>266.0</v>
      </c>
      <c r="I2658" s="24">
        <v>59.0</v>
      </c>
      <c r="J2658" s="24">
        <v>0.0</v>
      </c>
      <c r="K2658" s="23" t="s">
        <v>34</v>
      </c>
      <c r="L2658" s="25">
        <v>41800.536886574075</v>
      </c>
      <c r="M2658" s="28"/>
      <c r="N2658" s="28"/>
      <c r="O2658" s="22" t="str">
        <f>HYPERLINK("https://pbs.twimg.com/profile_images/919585790447022080/C-_Upv-w_normal.jpg","View")</f>
        <v>View</v>
      </c>
      <c r="P2658" s="27"/>
    </row>
    <row r="2659">
      <c r="A2659" s="14">
        <v>43031.17798611111</v>
      </c>
      <c r="B2659" s="20" t="str">
        <f>HYPERLINK("https://twitter.com/TrendingNewsTV","@TrendingNewsTV")</f>
        <v>@TrendingNewsTV</v>
      </c>
      <c r="C2659" s="21" t="s">
        <v>6380</v>
      </c>
      <c r="D2659" s="21" t="s">
        <v>6381</v>
      </c>
      <c r="E2659" s="22" t="str">
        <f>HYPERLINK("https://twitter.com/TrendingNewsTV/status/922421417098072064","922421417098072064")</f>
        <v>922421417098072064</v>
      </c>
      <c r="F2659" s="23" t="s">
        <v>187</v>
      </c>
      <c r="G2659" s="24">
        <v>157.0</v>
      </c>
      <c r="H2659" s="24">
        <v>16.0</v>
      </c>
      <c r="I2659" s="24">
        <v>0.0</v>
      </c>
      <c r="J2659" s="24">
        <v>0.0</v>
      </c>
      <c r="K2659" s="23" t="s">
        <v>34</v>
      </c>
      <c r="L2659" s="25">
        <v>42873.31518518519</v>
      </c>
      <c r="M2659" s="26" t="s">
        <v>6382</v>
      </c>
      <c r="N2659" s="26" t="s">
        <v>6383</v>
      </c>
      <c r="O2659" s="22" t="str">
        <f>HYPERLINK("https://pbs.twimg.com/profile_images/870695993104252929/yk2g-5OO_normal.jpg","View")</f>
        <v>View</v>
      </c>
      <c r="P2659" s="27"/>
    </row>
    <row r="2660">
      <c r="A2660" s="14">
        <v>43031.17799768518</v>
      </c>
      <c r="B2660" s="20" t="str">
        <f>HYPERLINK("https://twitter.com/hateSickulars06","@hateSickulars06")</f>
        <v>@hateSickulars06</v>
      </c>
      <c r="C2660" s="21" t="s">
        <v>6384</v>
      </c>
      <c r="D2660" s="21" t="s">
        <v>42</v>
      </c>
      <c r="E2660" s="22" t="str">
        <f>HYPERLINK("https://twitter.com/hateSickulars06/status/922421420482809856","922421420482809856")</f>
        <v>922421420482809856</v>
      </c>
      <c r="F2660" s="23" t="s">
        <v>33</v>
      </c>
      <c r="G2660" s="24">
        <v>0.0</v>
      </c>
      <c r="H2660" s="24">
        <v>3.0</v>
      </c>
      <c r="I2660" s="24">
        <v>8501.0</v>
      </c>
      <c r="J2660" s="24">
        <v>0.0</v>
      </c>
      <c r="K2660" s="23" t="s">
        <v>34</v>
      </c>
      <c r="L2660" s="25">
        <v>43031.17462962963</v>
      </c>
      <c r="M2660" s="28"/>
      <c r="N2660" s="28"/>
      <c r="O2660" s="22" t="str">
        <f>HYPERLINK("https://abs.twimg.com/sticky/default_profile_images/default_profile_normal.png","View")</f>
        <v>View</v>
      </c>
      <c r="P2660" s="27"/>
    </row>
    <row r="2661">
      <c r="A2661" s="14">
        <v>43031.1780787037</v>
      </c>
      <c r="B2661" s="20" t="str">
        <f>HYPERLINK("https://twitter.com/Priyank_1001","@Priyank_1001")</f>
        <v>@Priyank_1001</v>
      </c>
      <c r="C2661" s="21" t="s">
        <v>6385</v>
      </c>
      <c r="D2661" s="21" t="s">
        <v>42</v>
      </c>
      <c r="E2661" s="22" t="str">
        <f>HYPERLINK("https://twitter.com/Priyank_1001/status/922421450954260480","922421450954260480")</f>
        <v>922421450954260480</v>
      </c>
      <c r="F2661" s="23" t="s">
        <v>33</v>
      </c>
      <c r="G2661" s="24">
        <v>2116.0</v>
      </c>
      <c r="H2661" s="24">
        <v>2461.0</v>
      </c>
      <c r="I2661" s="24">
        <v>8501.0</v>
      </c>
      <c r="J2661" s="24">
        <v>0.0</v>
      </c>
      <c r="K2661" s="23" t="s">
        <v>34</v>
      </c>
      <c r="L2661" s="25">
        <v>40423.943877314814</v>
      </c>
      <c r="M2661" s="26" t="s">
        <v>6386</v>
      </c>
      <c r="N2661" s="26" t="s">
        <v>6387</v>
      </c>
      <c r="O2661" s="22" t="str">
        <f>HYPERLINK("https://pbs.twimg.com/profile_images/922922274746961920/haSFOxKm_normal.jpg","View")</f>
        <v>View</v>
      </c>
      <c r="P2661" s="27"/>
    </row>
    <row r="2662">
      <c r="A2662" s="14">
        <v>43031.17818287037</v>
      </c>
      <c r="B2662" s="20" t="str">
        <f>HYPERLINK("https://twitter.com/pnoytrader","@pnoytrader")</f>
        <v>@pnoytrader</v>
      </c>
      <c r="C2662" s="21" t="s">
        <v>6388</v>
      </c>
      <c r="D2662" s="21" t="s">
        <v>6389</v>
      </c>
      <c r="E2662" s="22" t="str">
        <f>HYPERLINK("https://twitter.com/pnoytrader/status/922421487591596032","922421487591596032")</f>
        <v>922421487591596032</v>
      </c>
      <c r="F2662" s="30" t="s">
        <v>411</v>
      </c>
      <c r="G2662" s="24">
        <v>2964.0</v>
      </c>
      <c r="H2662" s="24">
        <v>697.0</v>
      </c>
      <c r="I2662" s="24">
        <v>0.0</v>
      </c>
      <c r="J2662" s="24">
        <v>0.0</v>
      </c>
      <c r="K2662" s="23" t="s">
        <v>34</v>
      </c>
      <c r="L2662" s="25">
        <v>40480.0528125</v>
      </c>
      <c r="M2662" s="26" t="s">
        <v>6390</v>
      </c>
      <c r="N2662" s="26" t="s">
        <v>6391</v>
      </c>
      <c r="O2662" s="22" t="str">
        <f>HYPERLINK("https://pbs.twimg.com/profile_images/898555146627538945/1lAAzSqF_normal.jpg","View")</f>
        <v>View</v>
      </c>
      <c r="P2662" s="27"/>
    </row>
    <row r="2663">
      <c r="A2663" s="14">
        <v>43031.17820601852</v>
      </c>
      <c r="B2663" s="20" t="str">
        <f>HYPERLINK("https://twitter.com/yelvee","@yelvee")</f>
        <v>@yelvee</v>
      </c>
      <c r="C2663" s="21" t="s">
        <v>6392</v>
      </c>
      <c r="D2663" s="21" t="s">
        <v>42</v>
      </c>
      <c r="E2663" s="22" t="str">
        <f>HYPERLINK("https://twitter.com/yelvee/status/922421496026247168","922421496026247168")</f>
        <v>922421496026247168</v>
      </c>
      <c r="F2663" s="23" t="s">
        <v>33</v>
      </c>
      <c r="G2663" s="24">
        <v>92.0</v>
      </c>
      <c r="H2663" s="24">
        <v>1149.0</v>
      </c>
      <c r="I2663" s="24">
        <v>8501.0</v>
      </c>
      <c r="J2663" s="24">
        <v>0.0</v>
      </c>
      <c r="K2663" s="23" t="s">
        <v>34</v>
      </c>
      <c r="L2663" s="25">
        <v>40078.39210648148</v>
      </c>
      <c r="M2663" s="26" t="s">
        <v>520</v>
      </c>
      <c r="N2663" s="26" t="s">
        <v>6393</v>
      </c>
      <c r="O2663" s="22" t="str">
        <f>HYPERLINK("https://pbs.twimg.com/profile_images/857543678394605568/L55w7byV_normal.jpg","View")</f>
        <v>View</v>
      </c>
      <c r="P2663" s="27"/>
    </row>
    <row r="2664">
      <c r="A2664" s="14">
        <v>43031.17832175926</v>
      </c>
      <c r="B2664" s="20" t="str">
        <f>HYPERLINK("https://twitter.com/Number10gov","@Number10gov")</f>
        <v>@Number10gov</v>
      </c>
      <c r="C2664" s="21" t="s">
        <v>6394</v>
      </c>
      <c r="D2664" s="21" t="s">
        <v>6395</v>
      </c>
      <c r="E2664" s="22" t="str">
        <f>HYPERLINK("https://twitter.com/Number10gov/status/922421539953364993","922421539953364993")</f>
        <v>922421539953364993</v>
      </c>
      <c r="F2664" s="23" t="s">
        <v>55</v>
      </c>
      <c r="G2664" s="24">
        <v>5401461.0</v>
      </c>
      <c r="H2664" s="24">
        <v>799.0</v>
      </c>
      <c r="I2664" s="24">
        <v>97.0</v>
      </c>
      <c r="J2664" s="24">
        <v>207.0</v>
      </c>
      <c r="K2664" s="23" t="s">
        <v>34</v>
      </c>
      <c r="L2664" s="25">
        <v>39533.17780092593</v>
      </c>
      <c r="M2664" s="26" t="s">
        <v>6396</v>
      </c>
      <c r="N2664" s="26" t="s">
        <v>6397</v>
      </c>
      <c r="O2664" s="22" t="str">
        <f>HYPERLINK("https://pbs.twimg.com/profile_images/911155107366100992/UZZMTABe_normal.jpg","View")</f>
        <v>View</v>
      </c>
      <c r="P2664" s="27"/>
    </row>
    <row r="2665">
      <c r="A2665" s="14">
        <v>43031.1784375</v>
      </c>
      <c r="B2665" s="20" t="str">
        <f>HYPERLINK("https://twitter.com/Anon_Eu","@Anon_Eu")</f>
        <v>@Anon_Eu</v>
      </c>
      <c r="C2665" s="21" t="s">
        <v>3473</v>
      </c>
      <c r="D2665" s="21" t="s">
        <v>6398</v>
      </c>
      <c r="E2665" s="22" t="str">
        <f>HYPERLINK("https://twitter.com/Anon_Eu/status/922421583322345472","922421583322345472")</f>
        <v>922421583322345472</v>
      </c>
      <c r="F2665" s="30" t="s">
        <v>411</v>
      </c>
      <c r="G2665" s="24">
        <v>13134.0</v>
      </c>
      <c r="H2665" s="24">
        <v>6958.0</v>
      </c>
      <c r="I2665" s="24">
        <v>0.0</v>
      </c>
      <c r="J2665" s="24">
        <v>0.0</v>
      </c>
      <c r="K2665" s="23" t="s">
        <v>34</v>
      </c>
      <c r="L2665" s="25">
        <v>41161.59104166667</v>
      </c>
      <c r="M2665" s="26" t="s">
        <v>3475</v>
      </c>
      <c r="N2665" s="26" t="s">
        <v>3476</v>
      </c>
      <c r="O2665" s="22" t="str">
        <f>HYPERLINK("https://pbs.twimg.com/profile_images/839870179282669570/K5jLYmlF_normal.jpg","View")</f>
        <v>View</v>
      </c>
      <c r="P2665" s="27"/>
    </row>
    <row r="2666">
      <c r="A2666" s="14">
        <v>43031.17847222222</v>
      </c>
      <c r="B2666" s="20" t="str">
        <f>HYPERLINK("https://twitter.com/cheruvu","@cheruvu")</f>
        <v>@cheruvu</v>
      </c>
      <c r="C2666" s="21" t="s">
        <v>6399</v>
      </c>
      <c r="D2666" s="21" t="s">
        <v>42</v>
      </c>
      <c r="E2666" s="22" t="str">
        <f>HYPERLINK("https://twitter.com/cheruvu/status/922421593577463808","922421593577463808")</f>
        <v>922421593577463808</v>
      </c>
      <c r="F2666" s="23" t="s">
        <v>33</v>
      </c>
      <c r="G2666" s="24">
        <v>167.0</v>
      </c>
      <c r="H2666" s="24">
        <v>1300.0</v>
      </c>
      <c r="I2666" s="24">
        <v>8501.0</v>
      </c>
      <c r="J2666" s="24">
        <v>0.0</v>
      </c>
      <c r="K2666" s="23" t="s">
        <v>34</v>
      </c>
      <c r="L2666" s="25">
        <v>39777.39711805555</v>
      </c>
      <c r="M2666" s="26" t="s">
        <v>6400</v>
      </c>
      <c r="N2666" s="26" t="s">
        <v>6401</v>
      </c>
      <c r="O2666" s="22" t="str">
        <f>HYPERLINK("https://pbs.twimg.com/profile_images/483665471720271872/vbU6Sfa-_normal.jpeg","View")</f>
        <v>View</v>
      </c>
      <c r="P2666" s="27"/>
    </row>
    <row r="2667">
      <c r="A2667" s="14">
        <v>43031.178564814814</v>
      </c>
      <c r="B2667" s="20" t="str">
        <f>HYPERLINK("https://twitter.com/ainemichellel","@ainemichellel")</f>
        <v>@ainemichellel</v>
      </c>
      <c r="C2667" s="21" t="s">
        <v>6402</v>
      </c>
      <c r="D2667" s="21" t="s">
        <v>6403</v>
      </c>
      <c r="E2667" s="22" t="str">
        <f>HYPERLINK("https://twitter.com/ainemichellel/status/922421625886298112","922421625886298112")</f>
        <v>922421625886298112</v>
      </c>
      <c r="F2667" s="23" t="s">
        <v>39</v>
      </c>
      <c r="G2667" s="24">
        <v>1100.0</v>
      </c>
      <c r="H2667" s="24">
        <v>414.0</v>
      </c>
      <c r="I2667" s="24">
        <v>97.0</v>
      </c>
      <c r="J2667" s="24">
        <v>0.0</v>
      </c>
      <c r="K2667" s="23" t="s">
        <v>34</v>
      </c>
      <c r="L2667" s="25">
        <v>42606.313414351855</v>
      </c>
      <c r="M2667" s="26" t="s">
        <v>6404</v>
      </c>
      <c r="N2667" s="26" t="s">
        <v>6405</v>
      </c>
      <c r="O2667" s="22" t="str">
        <f>HYPERLINK("https://pbs.twimg.com/profile_images/913902580283199488/pwTtxr9p_normal.jpg","View")</f>
        <v>View</v>
      </c>
      <c r="P2667" s="27"/>
    </row>
    <row r="2668">
      <c r="A2668" s="14">
        <v>43031.17865740741</v>
      </c>
      <c r="B2668" s="20" t="str">
        <f>HYPERLINK("https://twitter.com/SamDoesPolitics","@SamDoesPolitics")</f>
        <v>@SamDoesPolitics</v>
      </c>
      <c r="C2668" s="21" t="s">
        <v>6406</v>
      </c>
      <c r="D2668" s="21" t="s">
        <v>6403</v>
      </c>
      <c r="E2668" s="22" t="str">
        <f>HYPERLINK("https://twitter.com/SamDoesPolitics/status/922421661093285891","922421661093285891")</f>
        <v>922421661093285891</v>
      </c>
      <c r="F2668" s="23" t="s">
        <v>39</v>
      </c>
      <c r="G2668" s="24">
        <v>2081.0</v>
      </c>
      <c r="H2668" s="24">
        <v>1320.0</v>
      </c>
      <c r="I2668" s="24">
        <v>97.0</v>
      </c>
      <c r="J2668" s="24">
        <v>0.0</v>
      </c>
      <c r="K2668" s="23" t="s">
        <v>34</v>
      </c>
      <c r="L2668" s="25">
        <v>42812.70533564815</v>
      </c>
      <c r="M2668" s="26" t="s">
        <v>6407</v>
      </c>
      <c r="N2668" s="26" t="s">
        <v>6408</v>
      </c>
      <c r="O2668" s="22" t="str">
        <f>HYPERLINK("https://pbs.twimg.com/profile_images/921843443789389825/bEJyDasQ_normal.jpg","View")</f>
        <v>View</v>
      </c>
      <c r="P2668" s="27"/>
    </row>
    <row r="2669">
      <c r="A2669" s="14">
        <v>43031.178715277776</v>
      </c>
      <c r="B2669" s="20" t="str">
        <f>HYPERLINK("https://twitter.com/New_Narrative","@New_Narrative")</f>
        <v>@New_Narrative</v>
      </c>
      <c r="C2669" s="21" t="s">
        <v>6409</v>
      </c>
      <c r="D2669" s="21" t="s">
        <v>6410</v>
      </c>
      <c r="E2669" s="22" t="str">
        <f>HYPERLINK("https://twitter.com/New_Narrative/status/922421684086460418","922421684086460418")</f>
        <v>922421684086460418</v>
      </c>
      <c r="F2669" s="23" t="s">
        <v>39</v>
      </c>
      <c r="G2669" s="24">
        <v>6536.0</v>
      </c>
      <c r="H2669" s="24">
        <v>27.0</v>
      </c>
      <c r="I2669" s="24">
        <v>1.0</v>
      </c>
      <c r="J2669" s="24">
        <v>1.0</v>
      </c>
      <c r="K2669" s="23" t="s">
        <v>34</v>
      </c>
      <c r="L2669" s="25">
        <v>40566.38041666667</v>
      </c>
      <c r="M2669" s="26" t="s">
        <v>6411</v>
      </c>
      <c r="N2669" s="26" t="s">
        <v>6412</v>
      </c>
      <c r="O2669" s="22" t="str">
        <f>HYPERLINK("https://pbs.twimg.com/profile_images/1548673665/megaphone-kid-cropped_normal.jpg","View")</f>
        <v>View</v>
      </c>
      <c r="P2669" s="27"/>
    </row>
    <row r="2670">
      <c r="A2670" s="14">
        <v>43031.17875</v>
      </c>
      <c r="B2670" s="20" t="str">
        <f t="shared" ref="B2670:B2672" si="44">HYPERLINK("https://twitter.com/serega7denisov","@serega7denisov")</f>
        <v>@serega7denisov</v>
      </c>
      <c r="C2670" s="21" t="s">
        <v>6413</v>
      </c>
      <c r="D2670" s="21" t="s">
        <v>5451</v>
      </c>
      <c r="E2670" s="22" t="str">
        <f>HYPERLINK("https://twitter.com/serega7denisov/status/922421696006467584","922421696006467584")</f>
        <v>922421696006467584</v>
      </c>
      <c r="F2670" s="23" t="s">
        <v>55</v>
      </c>
      <c r="G2670" s="24">
        <v>1.0</v>
      </c>
      <c r="H2670" s="24">
        <v>0.0</v>
      </c>
      <c r="I2670" s="24">
        <v>62.0</v>
      </c>
      <c r="J2670" s="24">
        <v>0.0</v>
      </c>
      <c r="K2670" s="23" t="s">
        <v>34</v>
      </c>
      <c r="L2670" s="25">
        <v>43015.6030787037</v>
      </c>
      <c r="M2670" s="28"/>
      <c r="N2670" s="28"/>
      <c r="O2670" s="22" t="str">
        <f t="shared" ref="O2670:O2672" si="45">HYPERLINK("https://pbs.twimg.com/profile_images/920632279243747328/vHwTgz1W_normal.jpg","View")</f>
        <v>View</v>
      </c>
      <c r="P2670" s="27"/>
    </row>
    <row r="2671">
      <c r="A2671" s="14">
        <v>43031.17875</v>
      </c>
      <c r="B2671" s="20" t="str">
        <f t="shared" si="44"/>
        <v>@serega7denisov</v>
      </c>
      <c r="C2671" s="21" t="s">
        <v>6413</v>
      </c>
      <c r="D2671" s="21" t="s">
        <v>2555</v>
      </c>
      <c r="E2671" s="22" t="str">
        <f>HYPERLINK("https://twitter.com/serega7denisov/status/922421696102928385","922421696102928385")</f>
        <v>922421696102928385</v>
      </c>
      <c r="F2671" s="23" t="s">
        <v>55</v>
      </c>
      <c r="G2671" s="24">
        <v>1.0</v>
      </c>
      <c r="H2671" s="24">
        <v>0.0</v>
      </c>
      <c r="I2671" s="24">
        <v>58.0</v>
      </c>
      <c r="J2671" s="24">
        <v>0.0</v>
      </c>
      <c r="K2671" s="23" t="s">
        <v>34</v>
      </c>
      <c r="L2671" s="25">
        <v>43015.6030787037</v>
      </c>
      <c r="M2671" s="28"/>
      <c r="N2671" s="28"/>
      <c r="O2671" s="22" t="str">
        <f t="shared" si="45"/>
        <v>View</v>
      </c>
      <c r="P2671" s="27"/>
    </row>
    <row r="2672">
      <c r="A2672" s="14">
        <v>43031.17875</v>
      </c>
      <c r="B2672" s="20" t="str">
        <f t="shared" si="44"/>
        <v>@serega7denisov</v>
      </c>
      <c r="C2672" s="21" t="s">
        <v>6413</v>
      </c>
      <c r="D2672" s="21" t="s">
        <v>404</v>
      </c>
      <c r="E2672" s="22" t="str">
        <f>HYPERLINK("https://twitter.com/serega7denisov/status/922421696178438144","922421696178438144")</f>
        <v>922421696178438144</v>
      </c>
      <c r="F2672" s="23" t="s">
        <v>55</v>
      </c>
      <c r="G2672" s="24">
        <v>1.0</v>
      </c>
      <c r="H2672" s="24">
        <v>0.0</v>
      </c>
      <c r="I2672" s="24">
        <v>59.0</v>
      </c>
      <c r="J2672" s="24">
        <v>0.0</v>
      </c>
      <c r="K2672" s="23" t="s">
        <v>34</v>
      </c>
      <c r="L2672" s="25">
        <v>43015.6030787037</v>
      </c>
      <c r="M2672" s="28"/>
      <c r="N2672" s="28"/>
      <c r="O2672" s="22" t="str">
        <f t="shared" si="45"/>
        <v>View</v>
      </c>
      <c r="P2672" s="27"/>
    </row>
    <row r="2673">
      <c r="A2673" s="14">
        <v>43031.17875</v>
      </c>
      <c r="B2673" s="20" t="str">
        <f>HYPERLINK("https://twitter.com/chandragupt73","@chandragupt73")</f>
        <v>@chandragupt73</v>
      </c>
      <c r="C2673" s="21" t="s">
        <v>6414</v>
      </c>
      <c r="D2673" s="21" t="s">
        <v>42</v>
      </c>
      <c r="E2673" s="22" t="str">
        <f>HYPERLINK("https://twitter.com/chandragupt73/status/922421696728100865","922421696728100865")</f>
        <v>922421696728100865</v>
      </c>
      <c r="F2673" s="23" t="s">
        <v>230</v>
      </c>
      <c r="G2673" s="24">
        <v>76.0</v>
      </c>
      <c r="H2673" s="24">
        <v>52.0</v>
      </c>
      <c r="I2673" s="24">
        <v>8501.0</v>
      </c>
      <c r="J2673" s="24">
        <v>0.0</v>
      </c>
      <c r="K2673" s="23" t="s">
        <v>34</v>
      </c>
      <c r="L2673" s="25">
        <v>41739.42917824074</v>
      </c>
      <c r="M2673" s="28"/>
      <c r="N2673" s="28"/>
      <c r="O2673" s="22" t="str">
        <f>HYPERLINK("https://abs.twimg.com/sticky/default_profile_images/default_profile_normal.png","View")</f>
        <v>View</v>
      </c>
      <c r="P2673" s="27"/>
    </row>
    <row r="2674">
      <c r="A2674" s="14">
        <v>43031.17878472222</v>
      </c>
      <c r="B2674" s="20" t="str">
        <f>HYPERLINK("https://twitter.com/RollinFrederic","@RollinFrederic")</f>
        <v>@RollinFrederic</v>
      </c>
      <c r="C2674" s="21" t="s">
        <v>6415</v>
      </c>
      <c r="D2674" s="21" t="s">
        <v>5501</v>
      </c>
      <c r="E2674" s="22" t="str">
        <f>HYPERLINK("https://twitter.com/RollinFrederic/status/922421708409188352","922421708409188352")</f>
        <v>922421708409188352</v>
      </c>
      <c r="F2674" s="23" t="s">
        <v>39</v>
      </c>
      <c r="G2674" s="24">
        <v>284.0</v>
      </c>
      <c r="H2674" s="24">
        <v>313.0</v>
      </c>
      <c r="I2674" s="24">
        <v>4.0</v>
      </c>
      <c r="J2674" s="24">
        <v>0.0</v>
      </c>
      <c r="K2674" s="23" t="s">
        <v>34</v>
      </c>
      <c r="L2674" s="25">
        <v>41254.24172453704</v>
      </c>
      <c r="M2674" s="26" t="s">
        <v>1110</v>
      </c>
      <c r="N2674" s="26" t="s">
        <v>6416</v>
      </c>
      <c r="O2674" s="22" t="str">
        <f>HYPERLINK("https://pbs.twimg.com/profile_images/578203017402421248/uQlerQXt_normal.jpeg","View")</f>
        <v>View</v>
      </c>
      <c r="P2674" s="27"/>
    </row>
    <row r="2675">
      <c r="A2675" s="14">
        <v>43031.178819444445</v>
      </c>
      <c r="B2675" s="20" t="str">
        <f>HYPERLINK("https://twitter.com/NewsUpdate24Int","@NewsUpdate24Int")</f>
        <v>@NewsUpdate24Int</v>
      </c>
      <c r="C2675" s="21" t="s">
        <v>6417</v>
      </c>
      <c r="D2675" s="21" t="s">
        <v>6418</v>
      </c>
      <c r="E2675" s="22" t="str">
        <f>HYPERLINK("https://twitter.com/NewsUpdate24Int/status/922421719880667138","922421719880667138")</f>
        <v>922421719880667138</v>
      </c>
      <c r="F2675" s="23" t="s">
        <v>187</v>
      </c>
      <c r="G2675" s="24">
        <v>1282.0</v>
      </c>
      <c r="H2675" s="24">
        <v>54.0</v>
      </c>
      <c r="I2675" s="24">
        <v>0.0</v>
      </c>
      <c r="J2675" s="24">
        <v>0.0</v>
      </c>
      <c r="K2675" s="23" t="s">
        <v>34</v>
      </c>
      <c r="L2675" s="25">
        <v>42142.58181712963</v>
      </c>
      <c r="M2675" s="26" t="s">
        <v>6419</v>
      </c>
      <c r="N2675" s="26" t="s">
        <v>6420</v>
      </c>
      <c r="O2675" s="22" t="str">
        <f>HYPERLINK("https://pbs.twimg.com/profile_images/858443073717764096/OPmPGIMa_normal.jpg","View")</f>
        <v>View</v>
      </c>
      <c r="P2675" s="27"/>
    </row>
    <row r="2676">
      <c r="A2676" s="14">
        <v>43031.178819444445</v>
      </c>
      <c r="B2676" s="20" t="str">
        <f>HYPERLINK("https://twitter.com/samuelcpw","@samuelcpw")</f>
        <v>@samuelcpw</v>
      </c>
      <c r="C2676" s="21" t="s">
        <v>6421</v>
      </c>
      <c r="D2676" s="21" t="s">
        <v>6422</v>
      </c>
      <c r="E2676" s="22" t="str">
        <f>HYPERLINK("https://twitter.com/samuelcpw/status/922421721654808576","922421721654808576")</f>
        <v>922421721654808576</v>
      </c>
      <c r="F2676" s="23" t="s">
        <v>187</v>
      </c>
      <c r="G2676" s="24">
        <v>16137.0</v>
      </c>
      <c r="H2676" s="24">
        <v>7306.0</v>
      </c>
      <c r="I2676" s="24">
        <v>0.0</v>
      </c>
      <c r="J2676" s="24">
        <v>0.0</v>
      </c>
      <c r="K2676" s="23" t="s">
        <v>34</v>
      </c>
      <c r="L2676" s="25">
        <v>41777.852800925924</v>
      </c>
      <c r="M2676" s="26" t="s">
        <v>6423</v>
      </c>
      <c r="N2676" s="28"/>
      <c r="O2676" s="22" t="str">
        <f>HYPERLINK("https://pbs.twimg.com/profile_images/922808221504503809/1b_7r3Vt_normal.jpg","View")</f>
        <v>View</v>
      </c>
      <c r="P2676" s="27"/>
    </row>
    <row r="2677">
      <c r="A2677" s="14">
        <v>43031.17890046297</v>
      </c>
      <c r="B2677" s="20" t="str">
        <f>HYPERLINK("https://twitter.com/NaomiMo16023848","@NaomiMo16023848")</f>
        <v>@NaomiMo16023848</v>
      </c>
      <c r="C2677" s="21" t="s">
        <v>6424</v>
      </c>
      <c r="D2677" s="21" t="s">
        <v>6403</v>
      </c>
      <c r="E2677" s="22" t="str">
        <f>HYPERLINK("https://twitter.com/NaomiMo16023848/status/922421748137566208","922421748137566208")</f>
        <v>922421748137566208</v>
      </c>
      <c r="F2677" s="23" t="s">
        <v>33</v>
      </c>
      <c r="G2677" s="24">
        <v>260.0</v>
      </c>
      <c r="H2677" s="24">
        <v>239.0</v>
      </c>
      <c r="I2677" s="24">
        <v>97.0</v>
      </c>
      <c r="J2677" s="24">
        <v>0.0</v>
      </c>
      <c r="K2677" s="23" t="s">
        <v>34</v>
      </c>
      <c r="L2677" s="25">
        <v>42683.03061342593</v>
      </c>
      <c r="M2677" s="26" t="s">
        <v>6425</v>
      </c>
      <c r="N2677" s="26" t="s">
        <v>6426</v>
      </c>
      <c r="O2677" s="22" t="str">
        <f>HYPERLINK("https://pbs.twimg.com/profile_images/906016201637191681/AE0I14XS_normal.jpg","View")</f>
        <v>View</v>
      </c>
      <c r="P2677" s="27"/>
    </row>
    <row r="2678">
      <c r="A2678" s="14">
        <v>43031.17891203704</v>
      </c>
      <c r="B2678" s="20" t="str">
        <f>HYPERLINK("https://twitter.com/StewartMJackson","@StewartMJackson")</f>
        <v>@StewartMJackson</v>
      </c>
      <c r="C2678" s="21" t="s">
        <v>6427</v>
      </c>
      <c r="D2678" s="21" t="s">
        <v>6428</v>
      </c>
      <c r="E2678" s="22" t="str">
        <f>HYPERLINK("https://twitter.com/StewartMJackson/status/922421753783115776","922421753783115776")</f>
        <v>922421753783115776</v>
      </c>
      <c r="F2678" s="23" t="s">
        <v>55</v>
      </c>
      <c r="G2678" s="24">
        <v>521.0</v>
      </c>
      <c r="H2678" s="24">
        <v>522.0</v>
      </c>
      <c r="I2678" s="24">
        <v>0.0</v>
      </c>
      <c r="J2678" s="24">
        <v>0.0</v>
      </c>
      <c r="K2678" s="23" t="s">
        <v>34</v>
      </c>
      <c r="L2678" s="25">
        <v>40893.03501157407</v>
      </c>
      <c r="M2678" s="28"/>
      <c r="N2678" s="26" t="s">
        <v>6429</v>
      </c>
      <c r="O2678" s="22" t="str">
        <f>HYPERLINK("https://pbs.twimg.com/profile_images/694680546899722240/FdKXWo3o_normal.jpg","View")</f>
        <v>View</v>
      </c>
      <c r="P2678" s="27"/>
    </row>
    <row r="2679">
      <c r="A2679" s="14">
        <v>43031.178981481484</v>
      </c>
      <c r="B2679" s="20" t="str">
        <f>HYPERLINK("https://twitter.com/Pavan2693","@Pavan2693")</f>
        <v>@Pavan2693</v>
      </c>
      <c r="C2679" s="21" t="s">
        <v>6430</v>
      </c>
      <c r="D2679" s="21" t="s">
        <v>42</v>
      </c>
      <c r="E2679" s="22" t="str">
        <f>HYPERLINK("https://twitter.com/Pavan2693/status/922421777795551232","922421777795551232")</f>
        <v>922421777795551232</v>
      </c>
      <c r="F2679" s="23" t="s">
        <v>33</v>
      </c>
      <c r="G2679" s="24">
        <v>32.0</v>
      </c>
      <c r="H2679" s="24">
        <v>20.0</v>
      </c>
      <c r="I2679" s="24">
        <v>8501.0</v>
      </c>
      <c r="J2679" s="24">
        <v>0.0</v>
      </c>
      <c r="K2679" s="23" t="s">
        <v>34</v>
      </c>
      <c r="L2679" s="25">
        <v>42698.05640046296</v>
      </c>
      <c r="M2679" s="26" t="s">
        <v>6431</v>
      </c>
      <c r="N2679" s="26" t="s">
        <v>6432</v>
      </c>
      <c r="O2679" s="22" t="str">
        <f>HYPERLINK("https://pbs.twimg.com/profile_images/841594774180237312/oAuYyUBf_normal.jpg","View")</f>
        <v>View</v>
      </c>
      <c r="P2679" s="27"/>
    </row>
    <row r="2680">
      <c r="A2680" s="14">
        <v>43031.179027777776</v>
      </c>
      <c r="B2680" s="20" t="str">
        <f>HYPERLINK("https://twitter.com/Akshay_surya91","@Akshay_surya91")</f>
        <v>@Akshay_surya91</v>
      </c>
      <c r="C2680" s="21" t="s">
        <v>6433</v>
      </c>
      <c r="D2680" s="21" t="s">
        <v>42</v>
      </c>
      <c r="E2680" s="22" t="str">
        <f>HYPERLINK("https://twitter.com/Akshay_surya91/status/922421793800908801","922421793800908801")</f>
        <v>922421793800908801</v>
      </c>
      <c r="F2680" s="23" t="s">
        <v>33</v>
      </c>
      <c r="G2680" s="24">
        <v>19.0</v>
      </c>
      <c r="H2680" s="24">
        <v>273.0</v>
      </c>
      <c r="I2680" s="24">
        <v>8501.0</v>
      </c>
      <c r="J2680" s="24">
        <v>0.0</v>
      </c>
      <c r="K2680" s="23" t="s">
        <v>34</v>
      </c>
      <c r="L2680" s="25">
        <v>42982.547789351855</v>
      </c>
      <c r="M2680" s="26" t="s">
        <v>167</v>
      </c>
      <c r="N2680" s="28"/>
      <c r="O2680" s="22" t="str">
        <f>HYPERLINK("https://pbs.twimg.com/profile_images/904803698508836864/8aCGtUeC_normal.jpg","View")</f>
        <v>View</v>
      </c>
      <c r="P2680" s="27"/>
    </row>
    <row r="2681">
      <c r="A2681" s="14">
        <v>43031.17903935185</v>
      </c>
      <c r="B2681" s="20" t="str">
        <f>HYPERLINK("https://twitter.com/pas5974","@pas5974")</f>
        <v>@pas5974</v>
      </c>
      <c r="C2681" s="21" t="s">
        <v>6434</v>
      </c>
      <c r="D2681" s="21" t="s">
        <v>6435</v>
      </c>
      <c r="E2681" s="22" t="str">
        <f>HYPERLINK("https://twitter.com/pas5974/status/922421797802430464","922421797802430464")</f>
        <v>922421797802430464</v>
      </c>
      <c r="F2681" s="23" t="s">
        <v>55</v>
      </c>
      <c r="G2681" s="24">
        <v>2086.0</v>
      </c>
      <c r="H2681" s="24">
        <v>4960.0</v>
      </c>
      <c r="I2681" s="24">
        <v>1.0</v>
      </c>
      <c r="J2681" s="24">
        <v>0.0</v>
      </c>
      <c r="K2681" s="23" t="s">
        <v>34</v>
      </c>
      <c r="L2681" s="25">
        <v>40290.227800925924</v>
      </c>
      <c r="M2681" s="26" t="s">
        <v>6436</v>
      </c>
      <c r="N2681" s="26" t="s">
        <v>6437</v>
      </c>
      <c r="O2681" s="22" t="str">
        <f>HYPERLINK("https://pbs.twimg.com/profile_images/470221559164968960/upatBMkg_normal.png","View")</f>
        <v>View</v>
      </c>
      <c r="P2681" s="27"/>
    </row>
    <row r="2682">
      <c r="A2682" s="14">
        <v>43031.17915509259</v>
      </c>
      <c r="B2682" s="20" t="str">
        <f>HYPERLINK("https://twitter.com/SANJEET33388","@SANJEET33388")</f>
        <v>@SANJEET33388</v>
      </c>
      <c r="C2682" s="21" t="s">
        <v>6438</v>
      </c>
      <c r="D2682" s="21" t="s">
        <v>42</v>
      </c>
      <c r="E2682" s="22" t="str">
        <f>HYPERLINK("https://twitter.com/SANJEET33388/status/922421840118562821","922421840118562821")</f>
        <v>922421840118562821</v>
      </c>
      <c r="F2682" s="23" t="s">
        <v>33</v>
      </c>
      <c r="G2682" s="24">
        <v>1.0</v>
      </c>
      <c r="H2682" s="24">
        <v>32.0</v>
      </c>
      <c r="I2682" s="24">
        <v>8501.0</v>
      </c>
      <c r="J2682" s="24">
        <v>0.0</v>
      </c>
      <c r="K2682" s="23" t="s">
        <v>34</v>
      </c>
      <c r="L2682" s="25">
        <v>42691.431759259256</v>
      </c>
      <c r="M2682" s="28"/>
      <c r="N2682" s="28"/>
      <c r="O2682" s="22" t="str">
        <f>HYPERLINK("https://pbs.twimg.com/profile_images/921776580241735680/cV-kcO1U_normal.jpg","View")</f>
        <v>View</v>
      </c>
      <c r="P2682" s="27"/>
    </row>
    <row r="2683">
      <c r="A2683" s="14">
        <v>43031.17917824074</v>
      </c>
      <c r="B2683" s="20" t="str">
        <f>HYPERLINK("https://twitter.com/hushmonitor","@hushmonitor")</f>
        <v>@hushmonitor</v>
      </c>
      <c r="C2683" s="21" t="s">
        <v>6439</v>
      </c>
      <c r="D2683" s="21" t="s">
        <v>6440</v>
      </c>
      <c r="E2683" s="22" t="str">
        <f>HYPERLINK("https://twitter.com/hushmonitor/status/922421851942420480","922421851942420480")</f>
        <v>922421851942420480</v>
      </c>
      <c r="F2683" s="23" t="s">
        <v>39</v>
      </c>
      <c r="G2683" s="24">
        <v>72.0</v>
      </c>
      <c r="H2683" s="24">
        <v>206.0</v>
      </c>
      <c r="I2683" s="24">
        <v>1.0</v>
      </c>
      <c r="J2683" s="24">
        <v>0.0</v>
      </c>
      <c r="K2683" s="23" t="s">
        <v>34</v>
      </c>
      <c r="L2683" s="25">
        <v>42982.38769675926</v>
      </c>
      <c r="M2683" s="26" t="s">
        <v>68</v>
      </c>
      <c r="N2683" s="26" t="s">
        <v>6441</v>
      </c>
      <c r="O2683" s="22" t="str">
        <f>HYPERLINK("https://pbs.twimg.com/profile_images/904741936627625985/g2QSg5X8_normal.jpg","View")</f>
        <v>View</v>
      </c>
      <c r="P2683" s="27"/>
    </row>
    <row r="2684">
      <c r="A2684" s="14">
        <v>43031.17921296296</v>
      </c>
      <c r="B2684" s="20" t="str">
        <f>HYPERLINK("https://twitter.com/BoardofDarkness","@BoardofDarkness")</f>
        <v>@BoardofDarkness</v>
      </c>
      <c r="C2684" s="21" t="s">
        <v>6442</v>
      </c>
      <c r="D2684" s="21" t="s">
        <v>6403</v>
      </c>
      <c r="E2684" s="22" t="str">
        <f>HYPERLINK("https://twitter.com/BoardofDarkness/status/922421864588247040","922421864588247040")</f>
        <v>922421864588247040</v>
      </c>
      <c r="F2684" s="23" t="s">
        <v>33</v>
      </c>
      <c r="G2684" s="24">
        <v>30.0</v>
      </c>
      <c r="H2684" s="24">
        <v>154.0</v>
      </c>
      <c r="I2684" s="24">
        <v>97.0</v>
      </c>
      <c r="J2684" s="24">
        <v>0.0</v>
      </c>
      <c r="K2684" s="23" t="s">
        <v>34</v>
      </c>
      <c r="L2684" s="25">
        <v>42943.00983796296</v>
      </c>
      <c r="M2684" s="26" t="s">
        <v>6443</v>
      </c>
      <c r="N2684" s="26" t="s">
        <v>6444</v>
      </c>
      <c r="O2684" s="22" t="str">
        <f>HYPERLINK("https://pbs.twimg.com/profile_images/923031238813863936/FsAPe1Uq_normal.jpg","View")</f>
        <v>View</v>
      </c>
      <c r="P2684" s="27"/>
    </row>
    <row r="2685">
      <c r="A2685" s="14">
        <v>43031.179247685184</v>
      </c>
      <c r="B2685" s="20" t="str">
        <f>HYPERLINK("https://twitter.com/AlexContestBot","@AlexContestBot")</f>
        <v>@AlexContestBot</v>
      </c>
      <c r="C2685" s="21" t="s">
        <v>6445</v>
      </c>
      <c r="D2685" s="21" t="s">
        <v>5786</v>
      </c>
      <c r="E2685" s="22" t="str">
        <f>HYPERLINK("https://twitter.com/AlexContestBot/status/922421874235129857","922421874235129857")</f>
        <v>922421874235129857</v>
      </c>
      <c r="F2685" s="23" t="s">
        <v>6446</v>
      </c>
      <c r="G2685" s="24">
        <v>609.0</v>
      </c>
      <c r="H2685" s="24">
        <v>5002.0</v>
      </c>
      <c r="I2685" s="24">
        <v>59.0</v>
      </c>
      <c r="J2685" s="24">
        <v>0.0</v>
      </c>
      <c r="K2685" s="23" t="s">
        <v>34</v>
      </c>
      <c r="L2685" s="25">
        <v>42987.538981481484</v>
      </c>
      <c r="M2685" s="28"/>
      <c r="N2685" s="28"/>
      <c r="O2685" s="22" t="str">
        <f>HYPERLINK("https://abs.twimg.com/sticky/default_profile_images/default_profile_normal.png","View")</f>
        <v>View</v>
      </c>
      <c r="P2685" s="27"/>
    </row>
    <row r="2686">
      <c r="A2686" s="14">
        <v>43031.17930555556</v>
      </c>
      <c r="B2686" s="20" t="str">
        <f>HYPERLINK("https://twitter.com/xbelbar","@xbelbar")</f>
        <v>@xbelbar</v>
      </c>
      <c r="C2686" s="21" t="s">
        <v>6447</v>
      </c>
      <c r="D2686" s="21" t="s">
        <v>6448</v>
      </c>
      <c r="E2686" s="22" t="str">
        <f>HYPERLINK("https://twitter.com/xbelbar/status/922421896884510721","922421896884510721")</f>
        <v>922421896884510721</v>
      </c>
      <c r="F2686" s="23" t="s">
        <v>33</v>
      </c>
      <c r="G2686" s="24">
        <v>1094.0</v>
      </c>
      <c r="H2686" s="24">
        <v>2106.0</v>
      </c>
      <c r="I2686" s="24">
        <v>0.0</v>
      </c>
      <c r="J2686" s="24">
        <v>0.0</v>
      </c>
      <c r="K2686" s="23" t="s">
        <v>34</v>
      </c>
      <c r="L2686" s="25">
        <v>40657.27391203704</v>
      </c>
      <c r="M2686" s="26" t="s">
        <v>6449</v>
      </c>
      <c r="N2686" s="26" t="s">
        <v>6450</v>
      </c>
      <c r="O2686" s="22" t="str">
        <f>HYPERLINK("https://pbs.twimg.com/profile_images/484989127310311425/Zp1_S2-5_normal.jpeg","View")</f>
        <v>View</v>
      </c>
      <c r="P2686" s="27"/>
    </row>
    <row r="2687">
      <c r="A2687" s="14">
        <v>43031.17931712963</v>
      </c>
      <c r="B2687" s="20" t="str">
        <f>HYPERLINK("https://twitter.com/mvdsister","@mvdsister")</f>
        <v>@mvdsister</v>
      </c>
      <c r="C2687" s="21" t="s">
        <v>6451</v>
      </c>
      <c r="D2687" s="21" t="s">
        <v>6452</v>
      </c>
      <c r="E2687" s="22" t="str">
        <f>HYPERLINK("https://twitter.com/mvdsister/status/922421900101472256","922421900101472256")</f>
        <v>922421900101472256</v>
      </c>
      <c r="F2687" s="23" t="s">
        <v>39</v>
      </c>
      <c r="G2687" s="24">
        <v>9043.0</v>
      </c>
      <c r="H2687" s="24">
        <v>6565.0</v>
      </c>
      <c r="I2687" s="24">
        <v>0.0</v>
      </c>
      <c r="J2687" s="24">
        <v>0.0</v>
      </c>
      <c r="K2687" s="23" t="s">
        <v>34</v>
      </c>
      <c r="L2687" s="25">
        <v>39921.44347222222</v>
      </c>
      <c r="M2687" s="26" t="s">
        <v>6453</v>
      </c>
      <c r="N2687" s="26" t="s">
        <v>6454</v>
      </c>
      <c r="O2687" s="22" t="str">
        <f>HYPERLINK("https://pbs.twimg.com/profile_images/920681834924699650/O1QP3ZGn_normal.jpg","View")</f>
        <v>View</v>
      </c>
      <c r="P2687" s="27"/>
    </row>
    <row r="2688">
      <c r="A2688" s="14">
        <v>43031.17931712963</v>
      </c>
      <c r="B2688" s="20" t="str">
        <f>HYPERLINK("https://twitter.com/worldnews_net","@worldnews_net")</f>
        <v>@worldnews_net</v>
      </c>
      <c r="C2688" s="21" t="s">
        <v>3637</v>
      </c>
      <c r="D2688" s="21" t="s">
        <v>6455</v>
      </c>
      <c r="E2688" s="22" t="str">
        <f>HYPERLINK("https://twitter.com/worldnews_net/status/922421900789284864","922421900789284864")</f>
        <v>922421900789284864</v>
      </c>
      <c r="F2688" s="23" t="s">
        <v>187</v>
      </c>
      <c r="G2688" s="24">
        <v>6452.0</v>
      </c>
      <c r="H2688" s="24">
        <v>1320.0</v>
      </c>
      <c r="I2688" s="24">
        <v>0.0</v>
      </c>
      <c r="J2688" s="24">
        <v>0.0</v>
      </c>
      <c r="K2688" s="23" t="s">
        <v>34</v>
      </c>
      <c r="L2688" s="25">
        <v>42056.08016203703</v>
      </c>
      <c r="M2688" s="28"/>
      <c r="N2688" s="26" t="s">
        <v>3639</v>
      </c>
      <c r="O2688" s="22" t="str">
        <f>HYPERLINK("https://pbs.twimg.com/profile_images/570163852034076672/nbok5qlW_normal.jpeg","View")</f>
        <v>View</v>
      </c>
      <c r="P2688" s="27"/>
    </row>
    <row r="2689">
      <c r="A2689" s="14">
        <v>43031.1793287037</v>
      </c>
      <c r="B2689" s="20" t="str">
        <f>HYPERLINK("https://twitter.com/KaithReetu","@KaithReetu")</f>
        <v>@KaithReetu</v>
      </c>
      <c r="C2689" s="21" t="s">
        <v>6456</v>
      </c>
      <c r="D2689" s="21" t="s">
        <v>42</v>
      </c>
      <c r="E2689" s="22" t="str">
        <f>HYPERLINK("https://twitter.com/KaithReetu/status/922421904073355265","922421904073355265")</f>
        <v>922421904073355265</v>
      </c>
      <c r="F2689" s="23" t="s">
        <v>33</v>
      </c>
      <c r="G2689" s="24">
        <v>16.0</v>
      </c>
      <c r="H2689" s="24">
        <v>744.0</v>
      </c>
      <c r="I2689" s="24">
        <v>8501.0</v>
      </c>
      <c r="J2689" s="24">
        <v>0.0</v>
      </c>
      <c r="K2689" s="23" t="s">
        <v>34</v>
      </c>
      <c r="L2689" s="25">
        <v>43025.25206018519</v>
      </c>
      <c r="M2689" s="28"/>
      <c r="N2689" s="28"/>
      <c r="O2689" s="22" t="str">
        <f>HYPERLINK("https://abs.twimg.com/sticky/default_profile_images/default_profile_normal.png","View")</f>
        <v>View</v>
      </c>
      <c r="P2689" s="27"/>
    </row>
    <row r="2690">
      <c r="A2690" s="14">
        <v>43031.1793287037</v>
      </c>
      <c r="B2690" s="20" t="str">
        <f>HYPERLINK("https://twitter.com/vrai777","@vrai777")</f>
        <v>@vrai777</v>
      </c>
      <c r="C2690" s="21" t="s">
        <v>1770</v>
      </c>
      <c r="D2690" s="21" t="s">
        <v>6457</v>
      </c>
      <c r="E2690" s="22" t="str">
        <f>HYPERLINK("https://twitter.com/vrai777/status/922421906669821952","922421906669821952")</f>
        <v>922421906669821952</v>
      </c>
      <c r="F2690" s="23" t="s">
        <v>187</v>
      </c>
      <c r="G2690" s="24">
        <v>7944.0</v>
      </c>
      <c r="H2690" s="24">
        <v>71.0</v>
      </c>
      <c r="I2690" s="24">
        <v>0.0</v>
      </c>
      <c r="J2690" s="24">
        <v>0.0</v>
      </c>
      <c r="K2690" s="23" t="s">
        <v>34</v>
      </c>
      <c r="L2690" s="25">
        <v>39878.7593287037</v>
      </c>
      <c r="M2690" s="26" t="s">
        <v>1024</v>
      </c>
      <c r="N2690" s="26" t="s">
        <v>1772</v>
      </c>
      <c r="O2690" s="22" t="str">
        <f>HYPERLINK("https://pbs.twimg.com/profile_images/688775800284266496/qhWTo08H_normal.png","View")</f>
        <v>View</v>
      </c>
      <c r="P2690" s="27"/>
    </row>
    <row r="2691">
      <c r="A2691" s="14">
        <v>43031.17935185185</v>
      </c>
      <c r="B2691" s="20" t="str">
        <f>HYPERLINK("https://twitter.com/aleksan28423572","@aleksan28423572")</f>
        <v>@aleksan28423572</v>
      </c>
      <c r="C2691" s="21" t="s">
        <v>6458</v>
      </c>
      <c r="D2691" s="21" t="s">
        <v>2555</v>
      </c>
      <c r="E2691" s="22" t="str">
        <f>HYPERLINK("https://twitter.com/aleksan28423572/status/922421911270834176","922421911270834176")</f>
        <v>922421911270834176</v>
      </c>
      <c r="F2691" s="23" t="s">
        <v>55</v>
      </c>
      <c r="G2691" s="24">
        <v>3.0</v>
      </c>
      <c r="H2691" s="24">
        <v>0.0</v>
      </c>
      <c r="I2691" s="24">
        <v>58.0</v>
      </c>
      <c r="J2691" s="24">
        <v>0.0</v>
      </c>
      <c r="K2691" s="23" t="s">
        <v>34</v>
      </c>
      <c r="L2691" s="25">
        <v>43015.55734953703</v>
      </c>
      <c r="M2691" s="28"/>
      <c r="N2691" s="28"/>
      <c r="O2691" s="22" t="str">
        <f>HYPERLINK("https://pbs.twimg.com/profile_images/921003911783227392/rh7vqSGz_normal.jpg","View")</f>
        <v>View</v>
      </c>
      <c r="P2691" s="27"/>
    </row>
    <row r="2692">
      <c r="A2692" s="14">
        <v>43031.17945601852</v>
      </c>
      <c r="B2692" s="20" t="str">
        <f>HYPERLINK("https://twitter.com/CollectedN","@CollectedN")</f>
        <v>@CollectedN</v>
      </c>
      <c r="C2692" s="21" t="s">
        <v>3553</v>
      </c>
      <c r="D2692" s="21" t="s">
        <v>6459</v>
      </c>
      <c r="E2692" s="22" t="str">
        <f>HYPERLINK("https://twitter.com/CollectedN/status/922421949447507968","922421949447507968")</f>
        <v>922421949447507968</v>
      </c>
      <c r="F2692" s="23" t="s">
        <v>187</v>
      </c>
      <c r="G2692" s="24">
        <v>21993.0</v>
      </c>
      <c r="H2692" s="24">
        <v>16541.0</v>
      </c>
      <c r="I2692" s="24">
        <v>0.0</v>
      </c>
      <c r="J2692" s="24">
        <v>0.0</v>
      </c>
      <c r="K2692" s="23" t="s">
        <v>34</v>
      </c>
      <c r="L2692" s="25">
        <v>41333.76840277778</v>
      </c>
      <c r="M2692" s="28"/>
      <c r="N2692" s="26" t="s">
        <v>3555</v>
      </c>
      <c r="O2692" s="22" t="str">
        <f>HYPERLINK("https://pbs.twimg.com/profile_images/705925817277108224/nGS1Ko7F_normal.jpg","View")</f>
        <v>View</v>
      </c>
      <c r="P2692" s="27"/>
    </row>
    <row r="2693">
      <c r="A2693" s="14">
        <v>43031.17947916666</v>
      </c>
      <c r="B2693" s="20" t="str">
        <f>HYPERLINK("https://twitter.com/jsknikhilesh","@jsknikhilesh")</f>
        <v>@jsknikhilesh</v>
      </c>
      <c r="C2693" s="21" t="s">
        <v>6460</v>
      </c>
      <c r="D2693" s="21" t="s">
        <v>163</v>
      </c>
      <c r="E2693" s="22" t="str">
        <f>HYPERLINK("https://twitter.com/jsknikhilesh/status/922421961212551168","922421961212551168")</f>
        <v>922421961212551168</v>
      </c>
      <c r="F2693" s="23" t="s">
        <v>33</v>
      </c>
      <c r="G2693" s="24">
        <v>152.0</v>
      </c>
      <c r="H2693" s="24">
        <v>407.0</v>
      </c>
      <c r="I2693" s="24">
        <v>1005.0</v>
      </c>
      <c r="J2693" s="24">
        <v>0.0</v>
      </c>
      <c r="K2693" s="23" t="s">
        <v>34</v>
      </c>
      <c r="L2693" s="25">
        <v>41733.58159722222</v>
      </c>
      <c r="M2693" s="26" t="s">
        <v>6461</v>
      </c>
      <c r="N2693" s="26" t="s">
        <v>6462</v>
      </c>
      <c r="O2693" s="22" t="str">
        <f>HYPERLINK("https://pbs.twimg.com/profile_images/452487173573705728/_z36yowx_normal.jpeg","View")</f>
        <v>View</v>
      </c>
      <c r="P2693" s="27"/>
    </row>
    <row r="2694">
      <c r="A2694" s="14">
        <v>43031.179513888885</v>
      </c>
      <c r="B2694" s="20" t="str">
        <f>HYPERLINK("https://twitter.com/neilmonnery","@neilmonnery")</f>
        <v>@neilmonnery</v>
      </c>
      <c r="C2694" s="21" t="s">
        <v>6463</v>
      </c>
      <c r="D2694" s="21" t="s">
        <v>6464</v>
      </c>
      <c r="E2694" s="22" t="str">
        <f>HYPERLINK("https://twitter.com/neilmonnery/status/922421969760456705","922421969760456705")</f>
        <v>922421969760456705</v>
      </c>
      <c r="F2694" s="23" t="s">
        <v>769</v>
      </c>
      <c r="G2694" s="24">
        <v>1654.0</v>
      </c>
      <c r="H2694" s="24">
        <v>747.0</v>
      </c>
      <c r="I2694" s="24">
        <v>1.0</v>
      </c>
      <c r="J2694" s="24">
        <v>0.0</v>
      </c>
      <c r="K2694" s="23" t="s">
        <v>34</v>
      </c>
      <c r="L2694" s="25">
        <v>39876.26521990741</v>
      </c>
      <c r="M2694" s="26" t="s">
        <v>6465</v>
      </c>
      <c r="N2694" s="26" t="s">
        <v>6466</v>
      </c>
      <c r="O2694" s="22" t="str">
        <f>HYPERLINK("https://pbs.twimg.com/profile_images/1236910718/neilmonnery_normal.png","View")</f>
        <v>View</v>
      </c>
      <c r="P2694" s="27"/>
    </row>
    <row r="2695">
      <c r="A2695" s="14">
        <v>43031.17952546296</v>
      </c>
      <c r="B2695" s="20" t="str">
        <f>HYPERLINK("https://twitter.com/urbanfriendden","@urbanfriendden")</f>
        <v>@urbanfriendden</v>
      </c>
      <c r="C2695" s="21" t="s">
        <v>6467</v>
      </c>
      <c r="D2695" s="21" t="s">
        <v>6468</v>
      </c>
      <c r="E2695" s="22" t="str">
        <f>HYPERLINK("https://twitter.com/urbanfriendden/status/922421977633222656","922421977633222656")</f>
        <v>922421977633222656</v>
      </c>
      <c r="F2695" s="23" t="s">
        <v>33</v>
      </c>
      <c r="G2695" s="24">
        <v>4210.0</v>
      </c>
      <c r="H2695" s="24">
        <v>521.0</v>
      </c>
      <c r="I2695" s="24">
        <v>2.0</v>
      </c>
      <c r="J2695" s="24">
        <v>6.0</v>
      </c>
      <c r="K2695" s="23" t="s">
        <v>34</v>
      </c>
      <c r="L2695" s="25">
        <v>40890.28585648148</v>
      </c>
      <c r="M2695" s="26" t="s">
        <v>6469</v>
      </c>
      <c r="N2695" s="26" t="s">
        <v>6470</v>
      </c>
      <c r="O2695" s="22" t="str">
        <f>HYPERLINK("https://pbs.twimg.com/profile_images/917510442431451136/dOEyWOXJ_normal.jpg","View")</f>
        <v>View</v>
      </c>
      <c r="P2695" s="27"/>
    </row>
    <row r="2696">
      <c r="A2696" s="14">
        <v>43031.17954861111</v>
      </c>
      <c r="B2696" s="20" t="str">
        <f>HYPERLINK("https://twitter.com/Okhzo","@Okhzo")</f>
        <v>@Okhzo</v>
      </c>
      <c r="C2696" s="21" t="s">
        <v>6471</v>
      </c>
      <c r="D2696" s="21" t="s">
        <v>6236</v>
      </c>
      <c r="E2696" s="22" t="str">
        <f>HYPERLINK("https://twitter.com/Okhzo/status/922421985715671041","922421985715671041")</f>
        <v>922421985715671041</v>
      </c>
      <c r="F2696" s="23" t="s">
        <v>33</v>
      </c>
      <c r="G2696" s="24">
        <v>563.0</v>
      </c>
      <c r="H2696" s="24">
        <v>1163.0</v>
      </c>
      <c r="I2696" s="24">
        <v>26.0</v>
      </c>
      <c r="J2696" s="24">
        <v>0.0</v>
      </c>
      <c r="K2696" s="23" t="s">
        <v>34</v>
      </c>
      <c r="L2696" s="25">
        <v>41001.21315972222</v>
      </c>
      <c r="M2696" s="28"/>
      <c r="N2696" s="26" t="s">
        <v>6472</v>
      </c>
      <c r="O2696" s="22" t="str">
        <f>HYPERLINK("https://pbs.twimg.com/profile_images/2166922997/Okhzo_normal.jpg","View")</f>
        <v>View</v>
      </c>
      <c r="P2696" s="27"/>
    </row>
    <row r="2697">
      <c r="A2697" s="14">
        <v>43031.17958333333</v>
      </c>
      <c r="B2697" s="20" t="str">
        <f>HYPERLINK("https://twitter.com/pramoduniyal14","@pramoduniyal14")</f>
        <v>@pramoduniyal14</v>
      </c>
      <c r="C2697" s="21" t="s">
        <v>6473</v>
      </c>
      <c r="D2697" s="21" t="s">
        <v>42</v>
      </c>
      <c r="E2697" s="22" t="str">
        <f>HYPERLINK("https://twitter.com/pramoduniyal14/status/922421995135840257","922421995135840257")</f>
        <v>922421995135840257</v>
      </c>
      <c r="F2697" s="23" t="s">
        <v>55</v>
      </c>
      <c r="G2697" s="24">
        <v>191.0</v>
      </c>
      <c r="H2697" s="24">
        <v>2358.0</v>
      </c>
      <c r="I2697" s="24">
        <v>8501.0</v>
      </c>
      <c r="J2697" s="24">
        <v>0.0</v>
      </c>
      <c r="K2697" s="23" t="s">
        <v>34</v>
      </c>
      <c r="L2697" s="25">
        <v>42802.85239583333</v>
      </c>
      <c r="M2697" s="28"/>
      <c r="N2697" s="28"/>
      <c r="O2697" s="22" t="str">
        <f>HYPERLINK("https://pbs.twimg.com/profile_images/895651242239680513/fabYDfua_normal.jpg","View")</f>
        <v>View</v>
      </c>
      <c r="P2697" s="27"/>
    </row>
    <row r="2698">
      <c r="A2698" s="14">
        <v>43031.17965277778</v>
      </c>
      <c r="B2698" s="20" t="str">
        <f>HYPERLINK("https://twitter.com/DinkarP05790190","@DinkarP05790190")</f>
        <v>@DinkarP05790190</v>
      </c>
      <c r="C2698" s="21" t="s">
        <v>6474</v>
      </c>
      <c r="D2698" s="21" t="s">
        <v>42</v>
      </c>
      <c r="E2698" s="22" t="str">
        <f>HYPERLINK("https://twitter.com/DinkarP05790190/status/922422023762186242","922422023762186242")</f>
        <v>922422023762186242</v>
      </c>
      <c r="F2698" s="23" t="s">
        <v>33</v>
      </c>
      <c r="G2698" s="24">
        <v>1.0</v>
      </c>
      <c r="H2698" s="24">
        <v>86.0</v>
      </c>
      <c r="I2698" s="24">
        <v>8501.0</v>
      </c>
      <c r="J2698" s="24">
        <v>0.0</v>
      </c>
      <c r="K2698" s="23" t="s">
        <v>34</v>
      </c>
      <c r="L2698" s="25">
        <v>42974.186064814814</v>
      </c>
      <c r="M2698" s="28"/>
      <c r="N2698" s="28"/>
      <c r="O2698" s="22" t="str">
        <f>HYPERLINK("https://abs.twimg.com/sticky/default_profile_images/default_profile_normal.png","View")</f>
        <v>View</v>
      </c>
      <c r="P2698" s="27"/>
    </row>
    <row r="2699">
      <c r="A2699" s="14">
        <v>43031.17972222222</v>
      </c>
      <c r="B2699" s="20" t="str">
        <f>HYPERLINK("https://twitter.com/auntyfudge","@auntyfudge")</f>
        <v>@auntyfudge</v>
      </c>
      <c r="C2699" s="21" t="s">
        <v>6475</v>
      </c>
      <c r="D2699" s="21" t="s">
        <v>6476</v>
      </c>
      <c r="E2699" s="22" t="str">
        <f>HYPERLINK("https://twitter.com/auntyfudge/status/922422046767722497","922422046767722497")</f>
        <v>922422046767722497</v>
      </c>
      <c r="F2699" s="23" t="s">
        <v>55</v>
      </c>
      <c r="G2699" s="24">
        <v>1891.0</v>
      </c>
      <c r="H2699" s="24">
        <v>1657.0</v>
      </c>
      <c r="I2699" s="24">
        <v>0.0</v>
      </c>
      <c r="J2699" s="24">
        <v>0.0</v>
      </c>
      <c r="K2699" s="23" t="s">
        <v>34</v>
      </c>
      <c r="L2699" s="25">
        <v>41586.693564814814</v>
      </c>
      <c r="M2699" s="26" t="s">
        <v>3011</v>
      </c>
      <c r="N2699" s="26" t="s">
        <v>6477</v>
      </c>
      <c r="O2699" s="22" t="str">
        <f>HYPERLINK("https://pbs.twimg.com/profile_images/421799283197628416/OyM0vhyp_normal.jpeg","View")</f>
        <v>View</v>
      </c>
      <c r="P2699" s="27"/>
    </row>
    <row r="2700">
      <c r="A2700" s="14">
        <v>43031.17980324074</v>
      </c>
      <c r="B2700" s="20" t="str">
        <f>HYPERLINK("https://twitter.com/BusinessLiveSA","@BusinessLiveSA")</f>
        <v>@BusinessLiveSA</v>
      </c>
      <c r="C2700" s="21" t="s">
        <v>6478</v>
      </c>
      <c r="D2700" s="21" t="s">
        <v>6479</v>
      </c>
      <c r="E2700" s="22" t="str">
        <f>HYPERLINK("https://twitter.com/BusinessLiveSA/status/922422076736188416","922422076736188416")</f>
        <v>922422076736188416</v>
      </c>
      <c r="F2700" s="23" t="s">
        <v>427</v>
      </c>
      <c r="G2700" s="24">
        <v>7793.0</v>
      </c>
      <c r="H2700" s="24">
        <v>528.0</v>
      </c>
      <c r="I2700" s="24">
        <v>0.0</v>
      </c>
      <c r="J2700" s="24">
        <v>0.0</v>
      </c>
      <c r="K2700" s="23" t="s">
        <v>34</v>
      </c>
      <c r="L2700" s="25">
        <v>40429.0778125</v>
      </c>
      <c r="M2700" s="26" t="s">
        <v>6480</v>
      </c>
      <c r="N2700" s="26" t="s">
        <v>6481</v>
      </c>
      <c r="O2700" s="22" t="str">
        <f>HYPERLINK("https://pbs.twimg.com/profile_images/780662545300488192/KSPoUhC4_normal.jpg","View")</f>
        <v>View</v>
      </c>
      <c r="P2700" s="27"/>
    </row>
    <row r="2701">
      <c r="A2701" s="14">
        <v>43031.17980324074</v>
      </c>
      <c r="B2701" s="20" t="str">
        <f>HYPERLINK("https://twitter.com/kingjohan_","@kingjohan_")</f>
        <v>@kingjohan_</v>
      </c>
      <c r="C2701" s="21" t="s">
        <v>6482</v>
      </c>
      <c r="D2701" s="21" t="s">
        <v>2595</v>
      </c>
      <c r="E2701" s="22" t="str">
        <f>HYPERLINK("https://twitter.com/kingjohan_/status/922422076857872385","922422076857872385")</f>
        <v>922422076857872385</v>
      </c>
      <c r="F2701" s="23" t="s">
        <v>39</v>
      </c>
      <c r="G2701" s="24">
        <v>313.0</v>
      </c>
      <c r="H2701" s="24">
        <v>289.0</v>
      </c>
      <c r="I2701" s="24">
        <v>170.0</v>
      </c>
      <c r="J2701" s="24">
        <v>0.0</v>
      </c>
      <c r="K2701" s="23" t="s">
        <v>34</v>
      </c>
      <c r="L2701" s="25">
        <v>42027.50653935185</v>
      </c>
      <c r="M2701" s="26" t="s">
        <v>6483</v>
      </c>
      <c r="N2701" s="28"/>
      <c r="O2701" s="22" t="str">
        <f>HYPERLINK("https://pbs.twimg.com/profile_images/826425633966325760/fYilo6r9_normal.jpg","View")</f>
        <v>View</v>
      </c>
      <c r="P2701" s="27"/>
    </row>
    <row r="2702">
      <c r="A2702" s="14">
        <v>43031.1799537037</v>
      </c>
      <c r="B2702" s="20" t="str">
        <f>HYPERLINK("https://twitter.com/AhmadTuraj","@AhmadTuraj")</f>
        <v>@AhmadTuraj</v>
      </c>
      <c r="C2702" s="21" t="s">
        <v>6484</v>
      </c>
      <c r="D2702" s="21" t="s">
        <v>6403</v>
      </c>
      <c r="E2702" s="22" t="str">
        <f>HYPERLINK("https://twitter.com/AhmadTuraj/status/922422130125533184","922422130125533184")</f>
        <v>922422130125533184</v>
      </c>
      <c r="F2702" s="23" t="s">
        <v>33</v>
      </c>
      <c r="G2702" s="24">
        <v>652.0</v>
      </c>
      <c r="H2702" s="24">
        <v>707.0</v>
      </c>
      <c r="I2702" s="24">
        <v>97.0</v>
      </c>
      <c r="J2702" s="24">
        <v>0.0</v>
      </c>
      <c r="K2702" s="23" t="s">
        <v>34</v>
      </c>
      <c r="L2702" s="25">
        <v>41139.10170138889</v>
      </c>
      <c r="M2702" s="26" t="s">
        <v>6485</v>
      </c>
      <c r="N2702" s="26" t="s">
        <v>6486</v>
      </c>
      <c r="O2702" s="22" t="str">
        <f>HYPERLINK("https://pbs.twimg.com/profile_images/631447990155259904/3d1lMPiG_normal.jpg","View")</f>
        <v>View</v>
      </c>
      <c r="P2702" s="27"/>
    </row>
    <row r="2703">
      <c r="A2703" s="14">
        <v>43031.18005787037</v>
      </c>
      <c r="B2703" s="20" t="str">
        <f>HYPERLINK("https://twitter.com/AbhayJitendra","@AbhayJitendra")</f>
        <v>@AbhayJitendra</v>
      </c>
      <c r="C2703" s="21" t="s">
        <v>6487</v>
      </c>
      <c r="D2703" s="21" t="s">
        <v>42</v>
      </c>
      <c r="E2703" s="22" t="str">
        <f>HYPERLINK("https://twitter.com/AbhayJitendra/status/922422168864088064","922422168864088064")</f>
        <v>922422168864088064</v>
      </c>
      <c r="F2703" s="23" t="s">
        <v>33</v>
      </c>
      <c r="G2703" s="24">
        <v>122.0</v>
      </c>
      <c r="H2703" s="24">
        <v>1446.0</v>
      </c>
      <c r="I2703" s="24">
        <v>8501.0</v>
      </c>
      <c r="J2703" s="24">
        <v>0.0</v>
      </c>
      <c r="K2703" s="23" t="s">
        <v>34</v>
      </c>
      <c r="L2703" s="25">
        <v>42919.09326388889</v>
      </c>
      <c r="M2703" s="26" t="s">
        <v>6488</v>
      </c>
      <c r="N2703" s="28"/>
      <c r="O2703" s="22" t="str">
        <f>HYPERLINK("https://pbs.twimg.com/profile_images/881809142947733506/nNswPnRI_normal.jpg","View")</f>
        <v>View</v>
      </c>
      <c r="P2703" s="27"/>
    </row>
    <row r="2704">
      <c r="A2704" s="14">
        <v>43031.18006944444</v>
      </c>
      <c r="B2704" s="20" t="str">
        <f>HYPERLINK("https://twitter.com/Yogendr36474902","@Yogendr36474902")</f>
        <v>@Yogendr36474902</v>
      </c>
      <c r="C2704" s="21" t="s">
        <v>6489</v>
      </c>
      <c r="D2704" s="21" t="s">
        <v>42</v>
      </c>
      <c r="E2704" s="22" t="str">
        <f>HYPERLINK("https://twitter.com/Yogendr36474902/status/922422171112062976","922422171112062976")</f>
        <v>922422171112062976</v>
      </c>
      <c r="F2704" s="23" t="s">
        <v>33</v>
      </c>
      <c r="G2704" s="24">
        <v>429.0</v>
      </c>
      <c r="H2704" s="24">
        <v>203.0</v>
      </c>
      <c r="I2704" s="24">
        <v>8501.0</v>
      </c>
      <c r="J2704" s="24">
        <v>0.0</v>
      </c>
      <c r="K2704" s="23" t="s">
        <v>34</v>
      </c>
      <c r="L2704" s="25">
        <v>42852.90638888889</v>
      </c>
      <c r="M2704" s="26" t="s">
        <v>3273</v>
      </c>
      <c r="N2704" s="26" t="s">
        <v>6490</v>
      </c>
      <c r="O2704" s="22" t="str">
        <f>HYPERLINK("https://pbs.twimg.com/profile_images/918853082057818112/rpduV8oL_normal.jpg","View")</f>
        <v>View</v>
      </c>
      <c r="P2704" s="27"/>
    </row>
    <row r="2705">
      <c r="A2705" s="14">
        <v>43031.18010416666</v>
      </c>
      <c r="B2705" s="20" t="str">
        <f>HYPERLINK("https://twitter.com/Kingmakertweet","@Kingmakertweet")</f>
        <v>@Kingmakertweet</v>
      </c>
      <c r="C2705" s="21" t="s">
        <v>788</v>
      </c>
      <c r="D2705" s="21" t="s">
        <v>5786</v>
      </c>
      <c r="E2705" s="22" t="str">
        <f>HYPERLINK("https://twitter.com/Kingmakertweet/status/922422183757885441","922422183757885441")</f>
        <v>922422183757885441</v>
      </c>
      <c r="F2705" s="23" t="s">
        <v>55</v>
      </c>
      <c r="G2705" s="24">
        <v>126.0</v>
      </c>
      <c r="H2705" s="24">
        <v>66.0</v>
      </c>
      <c r="I2705" s="24">
        <v>59.0</v>
      </c>
      <c r="J2705" s="24">
        <v>0.0</v>
      </c>
      <c r="K2705" s="23" t="s">
        <v>34</v>
      </c>
      <c r="L2705" s="25">
        <v>41053.04650462963</v>
      </c>
      <c r="M2705" s="28"/>
      <c r="N2705" s="26" t="s">
        <v>789</v>
      </c>
      <c r="O2705" s="22" t="str">
        <f>HYPERLINK("https://pbs.twimg.com/profile_images/836959111707123712/vw98l-VT_normal.jpg","View")</f>
        <v>View</v>
      </c>
      <c r="P2705" s="27"/>
    </row>
    <row r="2706">
      <c r="A2706" s="14">
        <v>43031.180127314816</v>
      </c>
      <c r="B2706" s="20" t="str">
        <f>HYPERLINK("https://twitter.com/pspoffice365","@pspoffice365")</f>
        <v>@pspoffice365</v>
      </c>
      <c r="C2706" s="21" t="s">
        <v>6491</v>
      </c>
      <c r="D2706" s="21" t="s">
        <v>42</v>
      </c>
      <c r="E2706" s="22" t="str">
        <f>HYPERLINK("https://twitter.com/pspoffice365/status/922422192666656771","922422192666656771")</f>
        <v>922422192666656771</v>
      </c>
      <c r="F2706" s="23" t="s">
        <v>33</v>
      </c>
      <c r="G2706" s="24">
        <v>6.0</v>
      </c>
      <c r="H2706" s="24">
        <v>255.0</v>
      </c>
      <c r="I2706" s="24">
        <v>8501.0</v>
      </c>
      <c r="J2706" s="24">
        <v>0.0</v>
      </c>
      <c r="K2706" s="23" t="s">
        <v>34</v>
      </c>
      <c r="L2706" s="25">
        <v>42831.48332175926</v>
      </c>
      <c r="M2706" s="26" t="s">
        <v>246</v>
      </c>
      <c r="N2706" s="26" t="s">
        <v>6492</v>
      </c>
      <c r="O2706" s="22" t="str">
        <f>HYPERLINK("https://pbs.twimg.com/profile_images/922192606842429440/2zfgnCYQ_normal.jpg","View")</f>
        <v>View</v>
      </c>
      <c r="P2706" s="27"/>
    </row>
    <row r="2707">
      <c r="A2707" s="14">
        <v>43031.18015046296</v>
      </c>
      <c r="B2707" s="20" t="str">
        <f>HYPERLINK("https://twitter.com/HouseofTwitsLib","@HouseofTwitsLib")</f>
        <v>@HouseofTwitsLib</v>
      </c>
      <c r="C2707" s="21" t="s">
        <v>6493</v>
      </c>
      <c r="D2707" s="21" t="s">
        <v>6494</v>
      </c>
      <c r="E2707" s="22" t="str">
        <f>HYPERLINK("https://twitter.com/HouseofTwitsLib/status/922422202951241729","922422202951241729")</f>
        <v>922422202951241729</v>
      </c>
      <c r="F2707" s="23" t="s">
        <v>1799</v>
      </c>
      <c r="G2707" s="24">
        <v>1873.0</v>
      </c>
      <c r="H2707" s="24">
        <v>1050.0</v>
      </c>
      <c r="I2707" s="24">
        <v>1.0</v>
      </c>
      <c r="J2707" s="24">
        <v>0.0</v>
      </c>
      <c r="K2707" s="23" t="s">
        <v>34</v>
      </c>
      <c r="L2707" s="25">
        <v>39913.16798611111</v>
      </c>
      <c r="M2707" s="26" t="s">
        <v>6495</v>
      </c>
      <c r="N2707" s="26" t="s">
        <v>6496</v>
      </c>
      <c r="O2707" s="22" t="str">
        <f>HYPERLINK("https://pbs.twimg.com/profile_images/654711611/Picture_5_normal.jpg","View")</f>
        <v>View</v>
      </c>
      <c r="P2707" s="27"/>
    </row>
    <row r="2708">
      <c r="A2708" s="14">
        <v>43031.18020833333</v>
      </c>
      <c r="B2708" s="20" t="str">
        <f>HYPERLINK("https://twitter.com/panditsk1975","@panditsk1975")</f>
        <v>@panditsk1975</v>
      </c>
      <c r="C2708" s="21" t="s">
        <v>6497</v>
      </c>
      <c r="D2708" s="21" t="s">
        <v>42</v>
      </c>
      <c r="E2708" s="22" t="str">
        <f>HYPERLINK("https://twitter.com/panditsk1975/status/922422221682876416","922422221682876416")</f>
        <v>922422221682876416</v>
      </c>
      <c r="F2708" s="23" t="s">
        <v>33</v>
      </c>
      <c r="G2708" s="24">
        <v>82.0</v>
      </c>
      <c r="H2708" s="24">
        <v>248.0</v>
      </c>
      <c r="I2708" s="24">
        <v>8501.0</v>
      </c>
      <c r="J2708" s="24">
        <v>0.0</v>
      </c>
      <c r="K2708" s="23" t="s">
        <v>34</v>
      </c>
      <c r="L2708" s="25">
        <v>42437.09513888889</v>
      </c>
      <c r="M2708" s="28"/>
      <c r="N2708" s="28"/>
      <c r="O2708" s="22" t="str">
        <f>HYPERLINK("https://pbs.twimg.com/profile_images/768049962714337281/n0MKdF20_normal.jpg","View")</f>
        <v>View</v>
      </c>
      <c r="P2708" s="27"/>
    </row>
    <row r="2709">
      <c r="A2709" s="14">
        <v>43031.18025462963</v>
      </c>
      <c r="B2709" s="20" t="str">
        <f>HYPERLINK("https://twitter.com/Bambambic","@Bambambic")</f>
        <v>@Bambambic</v>
      </c>
      <c r="C2709" s="21" t="s">
        <v>6498</v>
      </c>
      <c r="D2709" s="21" t="s">
        <v>6499</v>
      </c>
      <c r="E2709" s="22" t="str">
        <f>HYPERLINK("https://twitter.com/Bambambic/status/922422239080931328","922422239080931328")</f>
        <v>922422239080931328</v>
      </c>
      <c r="F2709" s="23" t="s">
        <v>33</v>
      </c>
      <c r="G2709" s="24">
        <v>382.0</v>
      </c>
      <c r="H2709" s="24">
        <v>965.0</v>
      </c>
      <c r="I2709" s="24">
        <v>1.0</v>
      </c>
      <c r="J2709" s="24">
        <v>0.0</v>
      </c>
      <c r="K2709" s="23" t="s">
        <v>34</v>
      </c>
      <c r="L2709" s="25">
        <v>39940.652962962966</v>
      </c>
      <c r="M2709" s="26" t="s">
        <v>6500</v>
      </c>
      <c r="N2709" s="26" t="s">
        <v>6501</v>
      </c>
      <c r="O2709" s="22" t="str">
        <f>HYPERLINK("https://pbs.twimg.com/profile_images/909043701749559297/hrlO0uxg_normal.jpg","View")</f>
        <v>View</v>
      </c>
      <c r="P2709" s="27"/>
    </row>
    <row r="2710">
      <c r="A2710" s="14">
        <v>43031.18027777778</v>
      </c>
      <c r="B2710" s="20" t="str">
        <f>HYPERLINK("https://twitter.com/aleksan28423572","@aleksan28423572")</f>
        <v>@aleksan28423572</v>
      </c>
      <c r="C2710" s="21" t="s">
        <v>6458</v>
      </c>
      <c r="D2710" s="21" t="s">
        <v>404</v>
      </c>
      <c r="E2710" s="22" t="str">
        <f>HYPERLINK("https://twitter.com/aleksan28423572/status/922422247293194240","922422247293194240")</f>
        <v>922422247293194240</v>
      </c>
      <c r="F2710" s="23" t="s">
        <v>55</v>
      </c>
      <c r="G2710" s="24">
        <v>3.0</v>
      </c>
      <c r="H2710" s="24">
        <v>0.0</v>
      </c>
      <c r="I2710" s="24">
        <v>59.0</v>
      </c>
      <c r="J2710" s="24">
        <v>0.0</v>
      </c>
      <c r="K2710" s="23" t="s">
        <v>34</v>
      </c>
      <c r="L2710" s="25">
        <v>43015.55734953703</v>
      </c>
      <c r="M2710" s="28"/>
      <c r="N2710" s="28"/>
      <c r="O2710" s="22" t="str">
        <f>HYPERLINK("https://pbs.twimg.com/profile_images/921003911783227392/rh7vqSGz_normal.jpg","View")</f>
        <v>View</v>
      </c>
      <c r="P2710" s="27"/>
    </row>
    <row r="2711">
      <c r="A2711" s="14">
        <v>43031.180347222224</v>
      </c>
      <c r="B2711" s="20" t="str">
        <f>HYPERLINK("https://twitter.com/soorajpandey27","@soorajpandey27")</f>
        <v>@soorajpandey27</v>
      </c>
      <c r="C2711" s="21" t="s">
        <v>6502</v>
      </c>
      <c r="D2711" s="21" t="s">
        <v>42</v>
      </c>
      <c r="E2711" s="22" t="str">
        <f>HYPERLINK("https://twitter.com/soorajpandey27/status/922422273578958849","922422273578958849")</f>
        <v>922422273578958849</v>
      </c>
      <c r="F2711" s="23" t="s">
        <v>33</v>
      </c>
      <c r="G2711" s="24">
        <v>68.0</v>
      </c>
      <c r="H2711" s="24">
        <v>236.0</v>
      </c>
      <c r="I2711" s="24">
        <v>8501.0</v>
      </c>
      <c r="J2711" s="24">
        <v>0.0</v>
      </c>
      <c r="K2711" s="23" t="s">
        <v>34</v>
      </c>
      <c r="L2711" s="25">
        <v>41769.12630787037</v>
      </c>
      <c r="M2711" s="26" t="s">
        <v>3904</v>
      </c>
      <c r="N2711" s="26" t="s">
        <v>6503</v>
      </c>
      <c r="O2711" s="22" t="str">
        <f>HYPERLINK("https://pbs.twimg.com/profile_images/919199761600733184/Yd7qSjxi_normal.jpg","View")</f>
        <v>View</v>
      </c>
      <c r="P2711" s="27"/>
    </row>
    <row r="2712">
      <c r="A2712" s="14">
        <v>43031.18035879629</v>
      </c>
      <c r="B2712" s="20" t="str">
        <f>HYPERLINK("https://twitter.com/njlintern","@njlintern")</f>
        <v>@njlintern</v>
      </c>
      <c r="C2712" s="21" t="s">
        <v>6504</v>
      </c>
      <c r="D2712" s="21" t="s">
        <v>6236</v>
      </c>
      <c r="E2712" s="22" t="str">
        <f>HYPERLINK("https://twitter.com/njlintern/status/922422278897438720","922422278897438720")</f>
        <v>922422278897438720</v>
      </c>
      <c r="F2712" s="23" t="s">
        <v>230</v>
      </c>
      <c r="G2712" s="24">
        <v>2246.0</v>
      </c>
      <c r="H2712" s="24">
        <v>2474.0</v>
      </c>
      <c r="I2712" s="24">
        <v>26.0</v>
      </c>
      <c r="J2712" s="24">
        <v>0.0</v>
      </c>
      <c r="K2712" s="23" t="s">
        <v>34</v>
      </c>
      <c r="L2712" s="25">
        <v>40997.18644675926</v>
      </c>
      <c r="M2712" s="26" t="s">
        <v>6505</v>
      </c>
      <c r="N2712" s="26" t="s">
        <v>6506</v>
      </c>
      <c r="O2712" s="22" t="str">
        <f>HYPERLINK("https://pbs.twimg.com/profile_images/769981454377943040/rqXMyrq8_normal.jpg","View")</f>
        <v>View</v>
      </c>
      <c r="P2712" s="27"/>
    </row>
    <row r="2713">
      <c r="A2713" s="14">
        <v>43031.18038194445</v>
      </c>
      <c r="B2713" s="20" t="str">
        <f>HYPERLINK("https://twitter.com/AgniveerAbhi","@AgniveerAbhi")</f>
        <v>@AgniveerAbhi</v>
      </c>
      <c r="C2713" s="21" t="s">
        <v>6507</v>
      </c>
      <c r="D2713" s="21" t="s">
        <v>42</v>
      </c>
      <c r="E2713" s="22" t="str">
        <f>HYPERLINK("https://twitter.com/AgniveerAbhi/status/922422287021744128","922422287021744128")</f>
        <v>922422287021744128</v>
      </c>
      <c r="F2713" s="23" t="s">
        <v>55</v>
      </c>
      <c r="G2713" s="24">
        <v>163.0</v>
      </c>
      <c r="H2713" s="24">
        <v>1081.0</v>
      </c>
      <c r="I2713" s="24">
        <v>8501.0</v>
      </c>
      <c r="J2713" s="24">
        <v>0.0</v>
      </c>
      <c r="K2713" s="23" t="s">
        <v>34</v>
      </c>
      <c r="L2713" s="25">
        <v>41572.342152777775</v>
      </c>
      <c r="M2713" s="28"/>
      <c r="N2713" s="26" t="s">
        <v>6508</v>
      </c>
      <c r="O2713" s="22" t="str">
        <f>HYPERLINK("https://pbs.twimg.com/profile_images/680306804710977537/hGGjKY9t_normal.jpg","View")</f>
        <v>View</v>
      </c>
      <c r="P2713" s="27"/>
    </row>
    <row r="2714">
      <c r="A2714" s="14">
        <v>43031.180555555555</v>
      </c>
      <c r="B2714" s="20" t="str">
        <f>HYPERLINK("https://twitter.com/Turfline","@Turfline")</f>
        <v>@Turfline</v>
      </c>
      <c r="C2714" s="21" t="s">
        <v>6509</v>
      </c>
      <c r="D2714" s="21" t="s">
        <v>4284</v>
      </c>
      <c r="E2714" s="22" t="str">
        <f>HYPERLINK("https://twitter.com/Turfline/status/922422350653591552","922422350653591552")</f>
        <v>922422350653591552</v>
      </c>
      <c r="F2714" s="23" t="s">
        <v>55</v>
      </c>
      <c r="G2714" s="24">
        <v>7101.0</v>
      </c>
      <c r="H2714" s="24">
        <v>7132.0</v>
      </c>
      <c r="I2714" s="24">
        <v>4.0</v>
      </c>
      <c r="J2714" s="24">
        <v>0.0</v>
      </c>
      <c r="K2714" s="23" t="s">
        <v>34</v>
      </c>
      <c r="L2714" s="25">
        <v>40753.36818287037</v>
      </c>
      <c r="M2714" s="26" t="s">
        <v>6510</v>
      </c>
      <c r="N2714" s="28"/>
      <c r="O2714" s="22" t="str">
        <f>HYPERLINK("https://pbs.twimg.com/profile_images/2171093460/MP900399294__1__normal.JPG","View")</f>
        <v>View</v>
      </c>
      <c r="P2714" s="27"/>
    </row>
    <row r="2715">
      <c r="A2715" s="14">
        <v>43031.1805787037</v>
      </c>
      <c r="B2715" s="20" t="str">
        <f>HYPERLINK("https://twitter.com/Robertwhite__","@Robertwhite__")</f>
        <v>@Robertwhite__</v>
      </c>
      <c r="C2715" s="21" t="s">
        <v>6511</v>
      </c>
      <c r="D2715" s="21" t="s">
        <v>6403</v>
      </c>
      <c r="E2715" s="22" t="str">
        <f>HYPERLINK("https://twitter.com/Robertwhite__/status/922422357628682242","922422357628682242")</f>
        <v>922422357628682242</v>
      </c>
      <c r="F2715" s="23" t="s">
        <v>39</v>
      </c>
      <c r="G2715" s="24">
        <v>448.0</v>
      </c>
      <c r="H2715" s="24">
        <v>103.0</v>
      </c>
      <c r="I2715" s="24">
        <v>97.0</v>
      </c>
      <c r="J2715" s="24">
        <v>0.0</v>
      </c>
      <c r="K2715" s="23" t="s">
        <v>34</v>
      </c>
      <c r="L2715" s="25">
        <v>41583.571550925924</v>
      </c>
      <c r="M2715" s="26" t="s">
        <v>6512</v>
      </c>
      <c r="N2715" s="28"/>
      <c r="O2715" s="22" t="str">
        <f>HYPERLINK("https://pbs.twimg.com/profile_images/919725728010207232/mkQd8k0K_normal.jpg","View")</f>
        <v>View</v>
      </c>
      <c r="P2715" s="27"/>
    </row>
    <row r="2716">
      <c r="A2716" s="14">
        <v>43031.18059027778</v>
      </c>
      <c r="B2716" s="20" t="str">
        <f>HYPERLINK("https://twitter.com/voidwalker67","@voidwalker67")</f>
        <v>@voidwalker67</v>
      </c>
      <c r="C2716" s="21" t="s">
        <v>6513</v>
      </c>
      <c r="D2716" s="21" t="s">
        <v>163</v>
      </c>
      <c r="E2716" s="22" t="str">
        <f>HYPERLINK("https://twitter.com/voidwalker67/status/922422361869099009","922422361869099009")</f>
        <v>922422361869099009</v>
      </c>
      <c r="F2716" s="23" t="s">
        <v>33</v>
      </c>
      <c r="G2716" s="24">
        <v>64.0</v>
      </c>
      <c r="H2716" s="24">
        <v>43.0</v>
      </c>
      <c r="I2716" s="24">
        <v>1005.0</v>
      </c>
      <c r="J2716" s="24">
        <v>0.0</v>
      </c>
      <c r="K2716" s="23" t="s">
        <v>34</v>
      </c>
      <c r="L2716" s="25">
        <v>41945.399733796294</v>
      </c>
      <c r="M2716" s="26" t="s">
        <v>1009</v>
      </c>
      <c r="N2716" s="26" t="s">
        <v>6514</v>
      </c>
      <c r="O2716" s="22" t="str">
        <f>HYPERLINK("https://pbs.twimg.com/profile_images/722875095157329923/gTG6c2hq_normal.jpg","View")</f>
        <v>View</v>
      </c>
      <c r="P2716" s="27"/>
    </row>
    <row r="2717">
      <c r="A2717" s="14">
        <v>43031.180601851855</v>
      </c>
      <c r="B2717" s="20" t="str">
        <f>HYPERLINK("https://twitter.com/takinyera","@takinyera")</f>
        <v>@takinyera</v>
      </c>
      <c r="C2717" s="21" t="s">
        <v>6515</v>
      </c>
      <c r="D2717" s="21" t="s">
        <v>6236</v>
      </c>
      <c r="E2717" s="22" t="str">
        <f>HYPERLINK("https://twitter.com/takinyera/status/922422366914965505","922422366914965505")</f>
        <v>922422366914965505</v>
      </c>
      <c r="F2717" s="23" t="s">
        <v>39</v>
      </c>
      <c r="G2717" s="24">
        <v>729.0</v>
      </c>
      <c r="H2717" s="24">
        <v>509.0</v>
      </c>
      <c r="I2717" s="24">
        <v>26.0</v>
      </c>
      <c r="J2717" s="24">
        <v>0.0</v>
      </c>
      <c r="K2717" s="23" t="s">
        <v>34</v>
      </c>
      <c r="L2717" s="25">
        <v>41654.635347222225</v>
      </c>
      <c r="M2717" s="26" t="s">
        <v>3604</v>
      </c>
      <c r="N2717" s="26" t="s">
        <v>6516</v>
      </c>
      <c r="O2717" s="22" t="str">
        <f>HYPERLINK("https://pbs.twimg.com/profile_images/912367021899309056/WjI-659O_normal.jpg","View")</f>
        <v>View</v>
      </c>
      <c r="P2717" s="27"/>
    </row>
    <row r="2718">
      <c r="A2718" s="14">
        <v>43031.180613425924</v>
      </c>
      <c r="B2718" s="20" t="str">
        <f>HYPERLINK("https://twitter.com/1Srianju","@1Srianju")</f>
        <v>@1Srianju</v>
      </c>
      <c r="C2718" s="21" t="s">
        <v>6517</v>
      </c>
      <c r="D2718" s="21" t="s">
        <v>42</v>
      </c>
      <c r="E2718" s="22" t="str">
        <f>HYPERLINK("https://twitter.com/1Srianju/status/922422369729372160","922422369729372160")</f>
        <v>922422369729372160</v>
      </c>
      <c r="F2718" s="23" t="s">
        <v>33</v>
      </c>
      <c r="G2718" s="24">
        <v>122.0</v>
      </c>
      <c r="H2718" s="24">
        <v>4.0</v>
      </c>
      <c r="I2718" s="24">
        <v>8501.0</v>
      </c>
      <c r="J2718" s="24">
        <v>0.0</v>
      </c>
      <c r="K2718" s="23" t="s">
        <v>34</v>
      </c>
      <c r="L2718" s="25">
        <v>42835.490625</v>
      </c>
      <c r="M2718" s="26" t="s">
        <v>6518</v>
      </c>
      <c r="N2718" s="26" t="s">
        <v>6519</v>
      </c>
      <c r="O2718" s="22" t="str">
        <f>HYPERLINK("https://pbs.twimg.com/profile_images/912758707074805761/tHm7Hzkb_normal.jpg","View")</f>
        <v>View</v>
      </c>
      <c r="P2718" s="27"/>
    </row>
    <row r="2719">
      <c r="A2719" s="14">
        <v>43031.18063657408</v>
      </c>
      <c r="B2719" s="20" t="str">
        <f>HYPERLINK("https://twitter.com/Education24x7","@Education24x7")</f>
        <v>@Education24x7</v>
      </c>
      <c r="C2719" s="21" t="s">
        <v>6520</v>
      </c>
      <c r="D2719" s="21" t="s">
        <v>6521</v>
      </c>
      <c r="E2719" s="22" t="str">
        <f>HYPERLINK("https://twitter.com/Education24x7/status/922422377274753024","922422377274753024")</f>
        <v>922422377274753024</v>
      </c>
      <c r="F2719" s="30" t="s">
        <v>411</v>
      </c>
      <c r="G2719" s="24">
        <v>954.0</v>
      </c>
      <c r="H2719" s="24">
        <v>747.0</v>
      </c>
      <c r="I2719" s="24">
        <v>0.0</v>
      </c>
      <c r="J2719" s="24">
        <v>0.0</v>
      </c>
      <c r="K2719" s="23" t="s">
        <v>34</v>
      </c>
      <c r="L2719" s="25">
        <v>41274.04109953703</v>
      </c>
      <c r="M2719" s="26" t="s">
        <v>6522</v>
      </c>
      <c r="N2719" s="26" t="s">
        <v>6523</v>
      </c>
      <c r="O2719" s="22" t="str">
        <f>HYPERLINK("https://pbs.twimg.com/profile_images/3369044278/1e079d0416dfbdd7277a729070a7dcf8_normal.jpeg","View")</f>
        <v>View</v>
      </c>
      <c r="P2719" s="27"/>
    </row>
    <row r="2720">
      <c r="A2720" s="14">
        <v>43031.18068287037</v>
      </c>
      <c r="B2720" s="20" t="str">
        <f>HYPERLINK("https://twitter.com/zeetan","@zeetan")</f>
        <v>@zeetan</v>
      </c>
      <c r="C2720" s="21" t="s">
        <v>6524</v>
      </c>
      <c r="D2720" s="21" t="s">
        <v>6525</v>
      </c>
      <c r="E2720" s="22" t="str">
        <f>HYPERLINK("https://twitter.com/zeetan/status/922422395880611840","922422395880611840")</f>
        <v>922422395880611840</v>
      </c>
      <c r="F2720" s="23" t="s">
        <v>39</v>
      </c>
      <c r="G2720" s="24">
        <v>1261.0</v>
      </c>
      <c r="H2720" s="24">
        <v>1186.0</v>
      </c>
      <c r="I2720" s="24">
        <v>1.0</v>
      </c>
      <c r="J2720" s="24">
        <v>0.0</v>
      </c>
      <c r="K2720" s="23" t="s">
        <v>34</v>
      </c>
      <c r="L2720" s="25">
        <v>39910.04789351852</v>
      </c>
      <c r="M2720" s="26" t="s">
        <v>6526</v>
      </c>
      <c r="N2720" s="26" t="s">
        <v>6527</v>
      </c>
      <c r="O2720" s="22" t="str">
        <f>HYPERLINK("https://pbs.twimg.com/profile_images/491079450449018880/DQigelTb_normal.jpeg","View")</f>
        <v>View</v>
      </c>
      <c r="P2720" s="27"/>
    </row>
    <row r="2721">
      <c r="A2721" s="14">
        <v>43031.18068287037</v>
      </c>
      <c r="B2721" s="20" t="str">
        <f>HYPERLINK("https://twitter.com/westbase","@westbase")</f>
        <v>@westbase</v>
      </c>
      <c r="C2721" s="29" t="s">
        <v>6528</v>
      </c>
      <c r="D2721" s="21" t="s">
        <v>6529</v>
      </c>
      <c r="E2721" s="22" t="str">
        <f>HYPERLINK("https://twitter.com/westbase/status/922422396220473344","922422396220473344")</f>
        <v>922422396220473344</v>
      </c>
      <c r="F2721" s="23" t="s">
        <v>6530</v>
      </c>
      <c r="G2721" s="24">
        <v>977.0</v>
      </c>
      <c r="H2721" s="24">
        <v>3583.0</v>
      </c>
      <c r="I2721" s="24">
        <v>0.0</v>
      </c>
      <c r="J2721" s="24">
        <v>0.0</v>
      </c>
      <c r="K2721" s="23" t="s">
        <v>34</v>
      </c>
      <c r="L2721" s="25">
        <v>39899.42667824074</v>
      </c>
      <c r="M2721" s="26" t="s">
        <v>6531</v>
      </c>
      <c r="N2721" s="26" t="s">
        <v>6532</v>
      </c>
      <c r="O2721" s="22" t="str">
        <f>HYPERLINK("https://pbs.twimg.com/profile_images/1174777281/jpegWlogo_normal.jpg","View")</f>
        <v>View</v>
      </c>
      <c r="P2721" s="27"/>
    </row>
    <row r="2722">
      <c r="A2722" s="14">
        <v>43031.18068287037</v>
      </c>
      <c r="B2722" s="20" t="str">
        <f>HYPERLINK("https://twitter.com/nikhilpatel_Bjp","@nikhilpatel_Bjp")</f>
        <v>@nikhilpatel_Bjp</v>
      </c>
      <c r="C2722" s="21" t="s">
        <v>6533</v>
      </c>
      <c r="D2722" s="21" t="s">
        <v>42</v>
      </c>
      <c r="E2722" s="22" t="str">
        <f>HYPERLINK("https://twitter.com/nikhilpatel_Bjp/status/922422396824498176","922422396824498176")</f>
        <v>922422396824498176</v>
      </c>
      <c r="F2722" s="23" t="s">
        <v>39</v>
      </c>
      <c r="G2722" s="24">
        <v>715.0</v>
      </c>
      <c r="H2722" s="24">
        <v>1630.0</v>
      </c>
      <c r="I2722" s="24">
        <v>8501.0</v>
      </c>
      <c r="J2722" s="24">
        <v>0.0</v>
      </c>
      <c r="K2722" s="23" t="s">
        <v>34</v>
      </c>
      <c r="L2722" s="25">
        <v>41964.89802083334</v>
      </c>
      <c r="M2722" s="26" t="s">
        <v>6534</v>
      </c>
      <c r="N2722" s="26" t="s">
        <v>6535</v>
      </c>
      <c r="O2722" s="22" t="str">
        <f>HYPERLINK("https://pbs.twimg.com/profile_images/895852402980474880/jCaY0DSY_normal.jpg","View")</f>
        <v>View</v>
      </c>
      <c r="P2722" s="27"/>
    </row>
    <row r="2723">
      <c r="A2723" s="14">
        <v>43031.18069444444</v>
      </c>
      <c r="B2723" s="20" t="str">
        <f>HYPERLINK("https://twitter.com/fxonefa","@fxonefa")</f>
        <v>@fxonefa</v>
      </c>
      <c r="C2723" s="21" t="s">
        <v>6536</v>
      </c>
      <c r="D2723" s="21" t="s">
        <v>6537</v>
      </c>
      <c r="E2723" s="22" t="str">
        <f>HYPERLINK("https://twitter.com/fxonefa/status/922422401341804544","922422401341804544")</f>
        <v>922422401341804544</v>
      </c>
      <c r="F2723" s="23" t="s">
        <v>55</v>
      </c>
      <c r="G2723" s="24">
        <v>276.0</v>
      </c>
      <c r="H2723" s="24">
        <v>82.0</v>
      </c>
      <c r="I2723" s="24">
        <v>0.0</v>
      </c>
      <c r="J2723" s="24">
        <v>0.0</v>
      </c>
      <c r="K2723" s="23" t="s">
        <v>34</v>
      </c>
      <c r="L2723" s="25">
        <v>40485.937951388885</v>
      </c>
      <c r="M2723" s="26" t="s">
        <v>6538</v>
      </c>
      <c r="N2723" s="26" t="s">
        <v>6539</v>
      </c>
      <c r="O2723" s="22" t="str">
        <f>HYPERLINK("https://pbs.twimg.com/profile_images/497363875369463808/PvSup2kl_normal.jpeg","View")</f>
        <v>View</v>
      </c>
      <c r="P2723" s="27"/>
    </row>
    <row r="2724">
      <c r="A2724" s="14">
        <v>43031.180856481486</v>
      </c>
      <c r="B2724" s="20" t="str">
        <f>HYPERLINK("https://twitter.com/aleksan28423572","@aleksan28423572")</f>
        <v>@aleksan28423572</v>
      </c>
      <c r="C2724" s="21" t="s">
        <v>6458</v>
      </c>
      <c r="D2724" s="21" t="s">
        <v>5451</v>
      </c>
      <c r="E2724" s="22" t="str">
        <f>HYPERLINK("https://twitter.com/aleksan28423572/status/922422458371555328","922422458371555328")</f>
        <v>922422458371555328</v>
      </c>
      <c r="F2724" s="23" t="s">
        <v>55</v>
      </c>
      <c r="G2724" s="24">
        <v>3.0</v>
      </c>
      <c r="H2724" s="24">
        <v>0.0</v>
      </c>
      <c r="I2724" s="24">
        <v>62.0</v>
      </c>
      <c r="J2724" s="24">
        <v>0.0</v>
      </c>
      <c r="K2724" s="23" t="s">
        <v>34</v>
      </c>
      <c r="L2724" s="25">
        <v>43015.55734953703</v>
      </c>
      <c r="M2724" s="28"/>
      <c r="N2724" s="28"/>
      <c r="O2724" s="22" t="str">
        <f>HYPERLINK("https://pbs.twimg.com/profile_images/921003911783227392/rh7vqSGz_normal.jpg","View")</f>
        <v>View</v>
      </c>
      <c r="P2724" s="27"/>
    </row>
    <row r="2725">
      <c r="A2725" s="14">
        <v>43031.180868055555</v>
      </c>
      <c r="B2725" s="20" t="str">
        <f>HYPERLINK("https://twitter.com/AkHaridas","@AkHaridas")</f>
        <v>@AkHaridas</v>
      </c>
      <c r="C2725" s="21" t="s">
        <v>6540</v>
      </c>
      <c r="D2725" s="21" t="s">
        <v>42</v>
      </c>
      <c r="E2725" s="22" t="str">
        <f>HYPERLINK("https://twitter.com/AkHaridas/status/922422463618719744","922422463618719744")</f>
        <v>922422463618719744</v>
      </c>
      <c r="F2725" s="23" t="s">
        <v>33</v>
      </c>
      <c r="G2725" s="24">
        <v>2134.0</v>
      </c>
      <c r="H2725" s="24">
        <v>3854.0</v>
      </c>
      <c r="I2725" s="24">
        <v>8501.0</v>
      </c>
      <c r="J2725" s="24">
        <v>0.0</v>
      </c>
      <c r="K2725" s="23" t="s">
        <v>34</v>
      </c>
      <c r="L2725" s="25">
        <v>41402.33013888889</v>
      </c>
      <c r="M2725" s="26" t="s">
        <v>6541</v>
      </c>
      <c r="N2725" s="26" t="s">
        <v>6542</v>
      </c>
      <c r="O2725" s="22" t="str">
        <f>HYPERLINK("https://pbs.twimg.com/profile_images/836783808775077888/oTxoAK1r_normal.jpg","View")</f>
        <v>View</v>
      </c>
      <c r="P2725" s="27"/>
    </row>
    <row r="2726">
      <c r="A2726" s="14">
        <v>43031.1812037037</v>
      </c>
      <c r="B2726" s="20" t="str">
        <f>HYPERLINK("https://twitter.com/AdeleMFraser","@AdeleMFraser")</f>
        <v>@AdeleMFraser</v>
      </c>
      <c r="C2726" s="21" t="s">
        <v>5538</v>
      </c>
      <c r="D2726" s="21" t="s">
        <v>5450</v>
      </c>
      <c r="E2726" s="22" t="str">
        <f>HYPERLINK("https://twitter.com/AdeleMFraser/status/922422585283014656","922422585283014656")</f>
        <v>922422585283014656</v>
      </c>
      <c r="F2726" s="23" t="s">
        <v>39</v>
      </c>
      <c r="G2726" s="24">
        <v>271.0</v>
      </c>
      <c r="H2726" s="24">
        <v>554.0</v>
      </c>
      <c r="I2726" s="24">
        <v>2.0</v>
      </c>
      <c r="J2726" s="24">
        <v>0.0</v>
      </c>
      <c r="K2726" s="23" t="s">
        <v>34</v>
      </c>
      <c r="L2726" s="25">
        <v>41300.58027777778</v>
      </c>
      <c r="M2726" s="26" t="s">
        <v>40</v>
      </c>
      <c r="N2726" s="26" t="s">
        <v>5539</v>
      </c>
      <c r="O2726" s="22" t="str">
        <f>HYPERLINK("https://pbs.twimg.com/profile_images/918179688153075713/8Pfqqavm_normal.jpg","View")</f>
        <v>View</v>
      </c>
      <c r="P2726" s="27"/>
    </row>
    <row r="2727">
      <c r="A2727" s="14">
        <v>43031.18126157408</v>
      </c>
      <c r="B2727" s="20" t="str">
        <f>HYPERLINK("https://twitter.com/india_jain","@india_jain")</f>
        <v>@india_jain</v>
      </c>
      <c r="C2727" s="21" t="s">
        <v>6543</v>
      </c>
      <c r="D2727" s="21" t="s">
        <v>6544</v>
      </c>
      <c r="E2727" s="22" t="str">
        <f>HYPERLINK("https://twitter.com/india_jain/status/922422603330887681","922422603330887681")</f>
        <v>922422603330887681</v>
      </c>
      <c r="F2727" s="23" t="s">
        <v>33</v>
      </c>
      <c r="G2727" s="24">
        <v>51.0</v>
      </c>
      <c r="H2727" s="24">
        <v>514.0</v>
      </c>
      <c r="I2727" s="24">
        <v>0.0</v>
      </c>
      <c r="J2727" s="24">
        <v>0.0</v>
      </c>
      <c r="K2727" s="23" t="s">
        <v>34</v>
      </c>
      <c r="L2727" s="25">
        <v>41137.21261574074</v>
      </c>
      <c r="M2727" s="26" t="s">
        <v>6545</v>
      </c>
      <c r="N2727" s="26" t="s">
        <v>6546</v>
      </c>
      <c r="O2727" s="22" t="str">
        <f>HYPERLINK("https://pbs.twimg.com/profile_images/696350841096310786/MZBlZl-U_normal.jpg","View")</f>
        <v>View</v>
      </c>
      <c r="P2727" s="27"/>
    </row>
    <row r="2728">
      <c r="A2728" s="14">
        <v>43031.18126157408</v>
      </c>
      <c r="B2728" s="20" t="str">
        <f>HYPERLINK("https://twitter.com/MODIFIREKBAR","@MODIFIREKBAR")</f>
        <v>@MODIFIREKBAR</v>
      </c>
      <c r="C2728" s="21" t="s">
        <v>6547</v>
      </c>
      <c r="D2728" s="21" t="s">
        <v>42</v>
      </c>
      <c r="E2728" s="22" t="str">
        <f>HYPERLINK("https://twitter.com/MODIFIREKBAR/status/922422604413132802","922422604413132802")</f>
        <v>922422604413132802</v>
      </c>
      <c r="F2728" s="23" t="s">
        <v>86</v>
      </c>
      <c r="G2728" s="24">
        <v>2736.0</v>
      </c>
      <c r="H2728" s="24">
        <v>5002.0</v>
      </c>
      <c r="I2728" s="24">
        <v>8501.0</v>
      </c>
      <c r="J2728" s="24">
        <v>0.0</v>
      </c>
      <c r="K2728" s="23" t="s">
        <v>34</v>
      </c>
      <c r="L2728" s="25">
        <v>40480.06618055556</v>
      </c>
      <c r="M2728" s="28"/>
      <c r="N2728" s="26" t="s">
        <v>6548</v>
      </c>
      <c r="O2728" s="22" t="str">
        <f>HYPERLINK("https://pbs.twimg.com/profile_images/856740891255427072/vFWcrXK3_normal.jpg","View")</f>
        <v>View</v>
      </c>
      <c r="P2728" s="27"/>
    </row>
    <row r="2729">
      <c r="A2729" s="14">
        <v>43031.18133101852</v>
      </c>
      <c r="B2729" s="20" t="str">
        <f>HYPERLINK("https://twitter.com/RealTimeHack","@RealTimeHack")</f>
        <v>@RealTimeHack</v>
      </c>
      <c r="C2729" s="21" t="s">
        <v>3773</v>
      </c>
      <c r="D2729" s="21" t="s">
        <v>6549</v>
      </c>
      <c r="E2729" s="22" t="str">
        <f>HYPERLINK("https://twitter.com/RealTimeHack/status/922422629935566848","922422629935566848")</f>
        <v>922422629935566848</v>
      </c>
      <c r="F2729" s="23" t="s">
        <v>187</v>
      </c>
      <c r="G2729" s="24">
        <v>2189.0</v>
      </c>
      <c r="H2729" s="24">
        <v>1282.0</v>
      </c>
      <c r="I2729" s="24">
        <v>0.0</v>
      </c>
      <c r="J2729" s="24">
        <v>0.0</v>
      </c>
      <c r="K2729" s="23" t="s">
        <v>34</v>
      </c>
      <c r="L2729" s="25">
        <v>40641.39920138889</v>
      </c>
      <c r="M2729" s="26" t="s">
        <v>3775</v>
      </c>
      <c r="N2729" s="26" t="s">
        <v>3776</v>
      </c>
      <c r="O2729" s="22" t="str">
        <f>HYPERLINK("https://pbs.twimg.com/profile_images/1304602852/Nuke_Egg_normal.gif","View")</f>
        <v>View</v>
      </c>
      <c r="P2729" s="27"/>
    </row>
    <row r="2730">
      <c r="A2730" s="14">
        <v>43031.181342592594</v>
      </c>
      <c r="B2730" s="20" t="str">
        <f>HYPERLINK("https://twitter.com/yuuji_K1","@yuuji_K1")</f>
        <v>@yuuji_K1</v>
      </c>
      <c r="C2730" s="21" t="s">
        <v>5882</v>
      </c>
      <c r="D2730" s="21" t="s">
        <v>5786</v>
      </c>
      <c r="E2730" s="22" t="str">
        <f>HYPERLINK("https://twitter.com/yuuji_K1/status/922422633941024769","922422633941024769")</f>
        <v>922422633941024769</v>
      </c>
      <c r="F2730" s="23" t="s">
        <v>39</v>
      </c>
      <c r="G2730" s="24">
        <v>2341.0</v>
      </c>
      <c r="H2730" s="24">
        <v>2256.0</v>
      </c>
      <c r="I2730" s="24">
        <v>59.0</v>
      </c>
      <c r="J2730" s="24">
        <v>0.0</v>
      </c>
      <c r="K2730" s="23" t="s">
        <v>34</v>
      </c>
      <c r="L2730" s="25">
        <v>41720.116006944445</v>
      </c>
      <c r="M2730" s="28"/>
      <c r="N2730" s="26" t="s">
        <v>5883</v>
      </c>
      <c r="O2730" s="22" t="str">
        <f>HYPERLINK("https://pbs.twimg.com/profile_images/447319649642770432/l3MsVwx__normal.jpeg","View")</f>
        <v>View</v>
      </c>
      <c r="P2730" s="27"/>
    </row>
    <row r="2731">
      <c r="A2731" s="14">
        <v>43031.18135416666</v>
      </c>
      <c r="B2731" s="20" t="str">
        <f>HYPERLINK("https://twitter.com/inews2day","@inews2day")</f>
        <v>@inews2day</v>
      </c>
      <c r="C2731" s="21" t="s">
        <v>539</v>
      </c>
      <c r="D2731" s="21" t="s">
        <v>6550</v>
      </c>
      <c r="E2731" s="22" t="str">
        <f>HYPERLINK("https://twitter.com/inews2day/status/922422639737622528","922422639737622528")</f>
        <v>922422639737622528</v>
      </c>
      <c r="F2731" s="23" t="s">
        <v>187</v>
      </c>
      <c r="G2731" s="24">
        <v>487.0</v>
      </c>
      <c r="H2731" s="24">
        <v>0.0</v>
      </c>
      <c r="I2731" s="24">
        <v>0.0</v>
      </c>
      <c r="J2731" s="24">
        <v>0.0</v>
      </c>
      <c r="K2731" s="23" t="s">
        <v>34</v>
      </c>
      <c r="L2731" s="25">
        <v>42055.11097222222</v>
      </c>
      <c r="M2731" s="26" t="s">
        <v>541</v>
      </c>
      <c r="N2731" s="26" t="s">
        <v>542</v>
      </c>
      <c r="O2731" s="22" t="str">
        <f>HYPERLINK("https://pbs.twimg.com/profile_images/568731081323466752/-oyEQpj9_normal.jpeg","View")</f>
        <v>View</v>
      </c>
      <c r="P2731" s="27"/>
    </row>
    <row r="2732">
      <c r="A2732" s="14">
        <v>43031.1815162037</v>
      </c>
      <c r="B2732" s="20" t="str">
        <f>HYPERLINK("https://twitter.com/Prakash86243335","@Prakash86243335")</f>
        <v>@Prakash86243335</v>
      </c>
      <c r="C2732" s="21" t="s">
        <v>6551</v>
      </c>
      <c r="D2732" s="21" t="s">
        <v>42</v>
      </c>
      <c r="E2732" s="22" t="str">
        <f>HYPERLINK("https://twitter.com/Prakash86243335/status/922422697308569600","922422697308569600")</f>
        <v>922422697308569600</v>
      </c>
      <c r="F2732" s="23" t="s">
        <v>43</v>
      </c>
      <c r="G2732" s="24">
        <v>2.0</v>
      </c>
      <c r="H2732" s="24">
        <v>30.0</v>
      </c>
      <c r="I2732" s="24">
        <v>8501.0</v>
      </c>
      <c r="J2732" s="24">
        <v>0.0</v>
      </c>
      <c r="K2732" s="23" t="s">
        <v>34</v>
      </c>
      <c r="L2732" s="25">
        <v>43031.17832175926</v>
      </c>
      <c r="M2732" s="26" t="s">
        <v>6552</v>
      </c>
      <c r="N2732" s="28"/>
      <c r="O2732" s="22" t="str">
        <f>HYPERLINK("https://pbs.twimg.com/profile_images/922426842136567808/AJnNipM__normal.jpg","View")</f>
        <v>View</v>
      </c>
      <c r="P2732" s="27"/>
    </row>
    <row r="2733">
      <c r="A2733" s="14">
        <v>43031.18157407407</v>
      </c>
      <c r="B2733" s="20" t="str">
        <f>HYPERLINK("https://twitter.com/SupriyaSehgal_3","@SupriyaSehgal_3")</f>
        <v>@SupriyaSehgal_3</v>
      </c>
      <c r="C2733" s="21" t="s">
        <v>6553</v>
      </c>
      <c r="D2733" s="21" t="s">
        <v>5262</v>
      </c>
      <c r="E2733" s="22" t="str">
        <f>HYPERLINK("https://twitter.com/SupriyaSehgal_3/status/922422719681126402","922422719681126402")</f>
        <v>922422719681126402</v>
      </c>
      <c r="F2733" s="23" t="s">
        <v>33</v>
      </c>
      <c r="G2733" s="24">
        <v>694.0</v>
      </c>
      <c r="H2733" s="24">
        <v>273.0</v>
      </c>
      <c r="I2733" s="24">
        <v>22.0</v>
      </c>
      <c r="J2733" s="24">
        <v>0.0</v>
      </c>
      <c r="K2733" s="23" t="s">
        <v>34</v>
      </c>
      <c r="L2733" s="25">
        <v>42372.9314699074</v>
      </c>
      <c r="M2733" s="26" t="s">
        <v>204</v>
      </c>
      <c r="N2733" s="26" t="s">
        <v>6554</v>
      </c>
      <c r="O2733" s="22" t="str">
        <f>HYPERLINK("https://pbs.twimg.com/profile_images/894577005441593344/Y-qiGFSu_normal.jpg","View")</f>
        <v>View</v>
      </c>
      <c r="P2733" s="27"/>
    </row>
    <row r="2734">
      <c r="A2734" s="14">
        <v>43031.18162037037</v>
      </c>
      <c r="B2734" s="20" t="str">
        <f>HYPERLINK("https://twitter.com/LateNightWatch","@LateNightWatch")</f>
        <v>@LateNightWatch</v>
      </c>
      <c r="C2734" s="21" t="s">
        <v>6555</v>
      </c>
      <c r="D2734" s="21" t="s">
        <v>6556</v>
      </c>
      <c r="E2734" s="22" t="str">
        <f>HYPERLINK("https://twitter.com/LateNightWatch/status/922422735564886017","922422735564886017")</f>
        <v>922422735564886017</v>
      </c>
      <c r="F2734" s="23" t="s">
        <v>55</v>
      </c>
      <c r="G2734" s="24">
        <v>175.0</v>
      </c>
      <c r="H2734" s="24">
        <v>0.0</v>
      </c>
      <c r="I2734" s="24">
        <v>0.0</v>
      </c>
      <c r="J2734" s="24">
        <v>0.0</v>
      </c>
      <c r="K2734" s="23" t="s">
        <v>34</v>
      </c>
      <c r="L2734" s="25">
        <v>40681.31396990741</v>
      </c>
      <c r="M2734" s="28"/>
      <c r="N2734" s="26" t="s">
        <v>6557</v>
      </c>
      <c r="O2734" s="22" t="str">
        <f>HYPERLINK("https://pbs.twimg.com/profile_images/1359667152/image011_normal.gif","View")</f>
        <v>View</v>
      </c>
      <c r="P2734" s="27"/>
    </row>
    <row r="2735">
      <c r="A2735" s="14">
        <v>43031.18163194445</v>
      </c>
      <c r="B2735" s="20" t="str">
        <f>HYPERLINK("https://twitter.com/Abhayso27795677","@Abhayso27795677")</f>
        <v>@Abhayso27795677</v>
      </c>
      <c r="C2735" s="21" t="s">
        <v>6558</v>
      </c>
      <c r="D2735" s="21" t="s">
        <v>42</v>
      </c>
      <c r="E2735" s="22" t="str">
        <f>HYPERLINK("https://twitter.com/Abhayso27795677/status/922422738534391808","922422738534391808")</f>
        <v>922422738534391808</v>
      </c>
      <c r="F2735" s="23" t="s">
        <v>33</v>
      </c>
      <c r="G2735" s="24">
        <v>358.0</v>
      </c>
      <c r="H2735" s="24">
        <v>1941.0</v>
      </c>
      <c r="I2735" s="24">
        <v>8501.0</v>
      </c>
      <c r="J2735" s="24">
        <v>0.0</v>
      </c>
      <c r="K2735" s="23" t="s">
        <v>34</v>
      </c>
      <c r="L2735" s="25">
        <v>42702.837175925924</v>
      </c>
      <c r="M2735" s="26" t="s">
        <v>2189</v>
      </c>
      <c r="N2735" s="26" t="s">
        <v>6559</v>
      </c>
      <c r="O2735" s="22" t="str">
        <f>HYPERLINK("https://pbs.twimg.com/profile_images/806720816079458304/OiRlY52I_normal.jpg","View")</f>
        <v>View</v>
      </c>
      <c r="P2735" s="27"/>
    </row>
    <row r="2736">
      <c r="A2736" s="14">
        <v>43031.18173611111</v>
      </c>
      <c r="B2736" s="20" t="str">
        <f>HYPERLINK("https://twitter.com/deepaksam5","@deepaksam5")</f>
        <v>@deepaksam5</v>
      </c>
      <c r="C2736" s="21" t="s">
        <v>4680</v>
      </c>
      <c r="D2736" s="21" t="s">
        <v>163</v>
      </c>
      <c r="E2736" s="22" t="str">
        <f>HYPERLINK("https://twitter.com/deepaksam5/status/922422776371146752","922422776371146752")</f>
        <v>922422776371146752</v>
      </c>
      <c r="F2736" s="23" t="s">
        <v>33</v>
      </c>
      <c r="G2736" s="24">
        <v>1666.0</v>
      </c>
      <c r="H2736" s="24">
        <v>2577.0</v>
      </c>
      <c r="I2736" s="24">
        <v>1005.0</v>
      </c>
      <c r="J2736" s="24">
        <v>0.0</v>
      </c>
      <c r="K2736" s="23" t="s">
        <v>34</v>
      </c>
      <c r="L2736" s="25">
        <v>40171.11201388889</v>
      </c>
      <c r="M2736" s="26" t="s">
        <v>4681</v>
      </c>
      <c r="N2736" s="26" t="s">
        <v>4682</v>
      </c>
      <c r="O2736" s="22" t="str">
        <f>HYPERLINK("https://pbs.twimg.com/profile_images/3229771496/583180adffe55206085825a4de778a12_normal.jpeg","View")</f>
        <v>View</v>
      </c>
      <c r="P2736" s="27"/>
    </row>
    <row r="2737">
      <c r="A2737" s="14">
        <v>43031.181805555556</v>
      </c>
      <c r="B2737" s="20" t="str">
        <f>HYPERLINK("https://twitter.com/NewsMixerBG","@NewsMixerBG")</f>
        <v>@NewsMixerBG</v>
      </c>
      <c r="C2737" s="21" t="s">
        <v>6560</v>
      </c>
      <c r="D2737" s="21" t="s">
        <v>6561</v>
      </c>
      <c r="E2737" s="22" t="str">
        <f>HYPERLINK("https://twitter.com/NewsMixerBG/status/922422800157216769","922422800157216769")</f>
        <v>922422800157216769</v>
      </c>
      <c r="F2737" s="23" t="s">
        <v>187</v>
      </c>
      <c r="G2737" s="24">
        <v>4275.0</v>
      </c>
      <c r="H2737" s="24">
        <v>3216.0</v>
      </c>
      <c r="I2737" s="24">
        <v>0.0</v>
      </c>
      <c r="J2737" s="24">
        <v>0.0</v>
      </c>
      <c r="K2737" s="23" t="s">
        <v>34</v>
      </c>
      <c r="L2737" s="25">
        <v>40413.4931712963</v>
      </c>
      <c r="M2737" s="26" t="s">
        <v>6562</v>
      </c>
      <c r="N2737" s="26" t="s">
        <v>6563</v>
      </c>
      <c r="O2737" s="22" t="str">
        <f>HYPERLINK("https://pbs.twimg.com/profile_images/696802813104386048/RuImxQOc_normal.png","View")</f>
        <v>View</v>
      </c>
      <c r="P2737" s="27"/>
    </row>
    <row r="2738">
      <c r="A2738" s="14">
        <v>43031.1818287037</v>
      </c>
      <c r="B2738" s="20" t="str">
        <f>HYPERLINK("https://twitter.com/palulu1994","@palulu1994")</f>
        <v>@palulu1994</v>
      </c>
      <c r="C2738" s="21" t="s">
        <v>6564</v>
      </c>
      <c r="D2738" s="21" t="s">
        <v>6403</v>
      </c>
      <c r="E2738" s="22" t="str">
        <f>HYPERLINK("https://twitter.com/palulu1994/status/922422810638565376","922422810638565376")</f>
        <v>922422810638565376</v>
      </c>
      <c r="F2738" s="23" t="s">
        <v>39</v>
      </c>
      <c r="G2738" s="24">
        <v>3407.0</v>
      </c>
      <c r="H2738" s="24">
        <v>2180.0</v>
      </c>
      <c r="I2738" s="24">
        <v>97.0</v>
      </c>
      <c r="J2738" s="24">
        <v>0.0</v>
      </c>
      <c r="K2738" s="23" t="s">
        <v>34</v>
      </c>
      <c r="L2738" s="25">
        <v>41790.409479166665</v>
      </c>
      <c r="M2738" s="26" t="s">
        <v>6565</v>
      </c>
      <c r="N2738" s="26" t="s">
        <v>6566</v>
      </c>
      <c r="O2738" s="22" t="str">
        <f>HYPERLINK("https://pbs.twimg.com/profile_images/922758616960057344/_qHJqLd6_normal.jpg","View")</f>
        <v>View</v>
      </c>
      <c r="P2738" s="27"/>
    </row>
    <row r="2739">
      <c r="A2739" s="14">
        <v>43031.18184027778</v>
      </c>
      <c r="B2739" s="20" t="str">
        <f>HYPERLINK("https://twitter.com/KRK34s","@KRK34s")</f>
        <v>@KRK34s</v>
      </c>
      <c r="C2739" s="21" t="s">
        <v>6567</v>
      </c>
      <c r="D2739" s="21" t="s">
        <v>42</v>
      </c>
      <c r="E2739" s="22" t="str">
        <f>HYPERLINK("https://twitter.com/KRK34s/status/922422815487279104","922422815487279104")</f>
        <v>922422815487279104</v>
      </c>
      <c r="F2739" s="23" t="s">
        <v>39</v>
      </c>
      <c r="G2739" s="24">
        <v>218.0</v>
      </c>
      <c r="H2739" s="24">
        <v>427.0</v>
      </c>
      <c r="I2739" s="24">
        <v>8501.0</v>
      </c>
      <c r="J2739" s="24">
        <v>0.0</v>
      </c>
      <c r="K2739" s="23" t="s">
        <v>34</v>
      </c>
      <c r="L2739" s="25">
        <v>40691.14420138889</v>
      </c>
      <c r="M2739" s="28"/>
      <c r="N2739" s="26" t="s">
        <v>6568</v>
      </c>
      <c r="O2739" s="22" t="str">
        <f>HYPERLINK("https://pbs.twimg.com/profile_images/579598065230741504/gmEg7kJ5_normal.jpg","View")</f>
        <v>View</v>
      </c>
      <c r="P2739" s="27"/>
    </row>
    <row r="2740">
      <c r="A2740" s="14">
        <v>43031.18184027778</v>
      </c>
      <c r="B2740" s="20" t="str">
        <f>HYPERLINK("https://twitter.com/japanzone17","@japanzone17")</f>
        <v>@japanzone17</v>
      </c>
      <c r="C2740" s="21" t="s">
        <v>6569</v>
      </c>
      <c r="D2740" s="21" t="s">
        <v>6570</v>
      </c>
      <c r="E2740" s="22" t="str">
        <f>HYPERLINK("https://twitter.com/japanzone17/status/922422816154247168","922422816154247168")</f>
        <v>922422816154247168</v>
      </c>
      <c r="F2740" s="23" t="s">
        <v>33</v>
      </c>
      <c r="G2740" s="24">
        <v>22.0</v>
      </c>
      <c r="H2740" s="24">
        <v>102.0</v>
      </c>
      <c r="I2740" s="24">
        <v>0.0</v>
      </c>
      <c r="J2740" s="24">
        <v>0.0</v>
      </c>
      <c r="K2740" s="23" t="s">
        <v>34</v>
      </c>
      <c r="L2740" s="25">
        <v>42618.49936342593</v>
      </c>
      <c r="M2740" s="26" t="s">
        <v>6571</v>
      </c>
      <c r="N2740" s="26" t="s">
        <v>6572</v>
      </c>
      <c r="O2740" s="22" t="str">
        <f>HYPERLINK("https://pbs.twimg.com/profile_images/917339021881348096/5S6GJ2Xc_normal.jpg","View")</f>
        <v>View</v>
      </c>
      <c r="P2740" s="27"/>
    </row>
    <row r="2741">
      <c r="A2741" s="14">
        <v>43031.18194444444</v>
      </c>
      <c r="B2741" s="20" t="str">
        <f t="shared" ref="B2741:B2742" si="46">HYPERLINK("https://twitter.com/yuuji_K1","@yuuji_K1")</f>
        <v>@yuuji_K1</v>
      </c>
      <c r="C2741" s="21" t="s">
        <v>5882</v>
      </c>
      <c r="D2741" s="21" t="s">
        <v>1345</v>
      </c>
      <c r="E2741" s="22" t="str">
        <f>HYPERLINK("https://twitter.com/yuuji_K1/status/922422851692462080","922422851692462080")</f>
        <v>922422851692462080</v>
      </c>
      <c r="F2741" s="23" t="s">
        <v>39</v>
      </c>
      <c r="G2741" s="24">
        <v>2341.0</v>
      </c>
      <c r="H2741" s="24">
        <v>2256.0</v>
      </c>
      <c r="I2741" s="24">
        <v>22.0</v>
      </c>
      <c r="J2741" s="24">
        <v>0.0</v>
      </c>
      <c r="K2741" s="23" t="s">
        <v>34</v>
      </c>
      <c r="L2741" s="25">
        <v>41720.116006944445</v>
      </c>
      <c r="M2741" s="28"/>
      <c r="N2741" s="26" t="s">
        <v>5883</v>
      </c>
      <c r="O2741" s="22" t="str">
        <f t="shared" ref="O2741:O2742" si="47">HYPERLINK("https://pbs.twimg.com/profile_images/447319649642770432/l3MsVwx__normal.jpeg","View")</f>
        <v>View</v>
      </c>
      <c r="P2741" s="27"/>
    </row>
    <row r="2742">
      <c r="A2742" s="14">
        <v>43031.18194444444</v>
      </c>
      <c r="B2742" s="20" t="str">
        <f t="shared" si="46"/>
        <v>@yuuji_K1</v>
      </c>
      <c r="C2742" s="21" t="s">
        <v>5882</v>
      </c>
      <c r="D2742" s="21" t="s">
        <v>760</v>
      </c>
      <c r="E2742" s="22" t="str">
        <f>HYPERLINK("https://twitter.com/yuuji_K1/status/922422851755425792","922422851755425792")</f>
        <v>922422851755425792</v>
      </c>
      <c r="F2742" s="23" t="s">
        <v>39</v>
      </c>
      <c r="G2742" s="24">
        <v>2341.0</v>
      </c>
      <c r="H2742" s="24">
        <v>2256.0</v>
      </c>
      <c r="I2742" s="24">
        <v>62.0</v>
      </c>
      <c r="J2742" s="24">
        <v>0.0</v>
      </c>
      <c r="K2742" s="23" t="s">
        <v>34</v>
      </c>
      <c r="L2742" s="25">
        <v>41720.116006944445</v>
      </c>
      <c r="M2742" s="28"/>
      <c r="N2742" s="26" t="s">
        <v>5883</v>
      </c>
      <c r="O2742" s="22" t="str">
        <f t="shared" si="47"/>
        <v>View</v>
      </c>
      <c r="P2742" s="27"/>
    </row>
    <row r="2743">
      <c r="A2743" s="14">
        <v>43031.18199074074</v>
      </c>
      <c r="B2743" s="20" t="str">
        <f>HYPERLINK("https://twitter.com/BloombergCA","@BloombergCA")</f>
        <v>@BloombergCA</v>
      </c>
      <c r="C2743" s="21" t="s">
        <v>6573</v>
      </c>
      <c r="D2743" s="21" t="s">
        <v>6574</v>
      </c>
      <c r="E2743" s="22" t="str">
        <f>HYPERLINK("https://twitter.com/BloombergCA/status/922422868880785408","922422868880785408")</f>
        <v>922422868880785408</v>
      </c>
      <c r="F2743" s="23" t="s">
        <v>1103</v>
      </c>
      <c r="G2743" s="24">
        <v>12496.0</v>
      </c>
      <c r="H2743" s="24">
        <v>113.0</v>
      </c>
      <c r="I2743" s="24">
        <v>0.0</v>
      </c>
      <c r="J2743" s="24">
        <v>0.0</v>
      </c>
      <c r="K2743" s="23" t="s">
        <v>34</v>
      </c>
      <c r="L2743" s="25">
        <v>41814.23299768518</v>
      </c>
      <c r="M2743" s="26" t="s">
        <v>6575</v>
      </c>
      <c r="N2743" s="26" t="s">
        <v>6576</v>
      </c>
      <c r="O2743" s="22" t="str">
        <f>HYPERLINK("https://pbs.twimg.com/profile_images/492693139333738496/RAKyEqS2_normal.png","View")</f>
        <v>View</v>
      </c>
      <c r="P2743" s="27"/>
    </row>
    <row r="2744">
      <c r="A2744" s="14">
        <v>43031.18200231482</v>
      </c>
      <c r="B2744" s="20" t="str">
        <f>HYPERLINK("https://twitter.com/phantomod1","@phantomod1")</f>
        <v>@phantomod1</v>
      </c>
      <c r="C2744" s="21" t="s">
        <v>6577</v>
      </c>
      <c r="D2744" s="21" t="s">
        <v>6578</v>
      </c>
      <c r="E2744" s="22" t="str">
        <f>HYPERLINK("https://twitter.com/phantomod1/status/922422873528160256","922422873528160256")</f>
        <v>922422873528160256</v>
      </c>
      <c r="F2744" s="23" t="s">
        <v>4516</v>
      </c>
      <c r="G2744" s="24">
        <v>371.0</v>
      </c>
      <c r="H2744" s="24">
        <v>609.0</v>
      </c>
      <c r="I2744" s="24">
        <v>1.0</v>
      </c>
      <c r="J2744" s="24">
        <v>0.0</v>
      </c>
      <c r="K2744" s="23" t="s">
        <v>34</v>
      </c>
      <c r="L2744" s="25">
        <v>41763.066608796296</v>
      </c>
      <c r="M2744" s="26" t="s">
        <v>6579</v>
      </c>
      <c r="N2744" s="26" t="s">
        <v>6580</v>
      </c>
      <c r="O2744" s="22" t="str">
        <f>HYPERLINK("https://pbs.twimg.com/profile_images/883302456381386752/BUjiCUUF_normal.jpg","View")</f>
        <v>View</v>
      </c>
      <c r="P2744" s="27"/>
    </row>
    <row r="2745">
      <c r="A2745" s="14">
        <v>43031.18201388889</v>
      </c>
      <c r="B2745" s="20" t="str">
        <f>HYPERLINK("https://twitter.com/NUMBER007BOND","@NUMBER007BOND")</f>
        <v>@NUMBER007BOND</v>
      </c>
      <c r="C2745" s="21" t="s">
        <v>6581</v>
      </c>
      <c r="D2745" s="21" t="s">
        <v>6036</v>
      </c>
      <c r="E2745" s="22" t="str">
        <f>HYPERLINK("https://twitter.com/NUMBER007BOND/status/922422879626592258","922422879626592258")</f>
        <v>922422879626592258</v>
      </c>
      <c r="F2745" s="23" t="s">
        <v>55</v>
      </c>
      <c r="G2745" s="24">
        <v>6260.0</v>
      </c>
      <c r="H2745" s="24">
        <v>2809.0</v>
      </c>
      <c r="I2745" s="24">
        <v>4.0</v>
      </c>
      <c r="J2745" s="24">
        <v>0.0</v>
      </c>
      <c r="K2745" s="23" t="s">
        <v>34</v>
      </c>
      <c r="L2745" s="25">
        <v>39874.69789351852</v>
      </c>
      <c r="M2745" s="26" t="s">
        <v>6582</v>
      </c>
      <c r="N2745" s="26" t="s">
        <v>6583</v>
      </c>
      <c r="O2745" s="22" t="str">
        <f>HYPERLINK("https://pbs.twimg.com/profile_images/871555136753205248/7DZ_682W_normal.jpg","View")</f>
        <v>View</v>
      </c>
      <c r="P2745" s="27"/>
    </row>
    <row r="2746">
      <c r="A2746" s="14">
        <v>43031.18204861111</v>
      </c>
      <c r="B2746" s="20" t="str">
        <f>HYPERLINK("https://twitter.com/srivastava1091","@srivastava1091")</f>
        <v>@srivastava1091</v>
      </c>
      <c r="C2746" s="21" t="s">
        <v>6584</v>
      </c>
      <c r="D2746" s="21" t="s">
        <v>42</v>
      </c>
      <c r="E2746" s="22" t="str">
        <f>HYPERLINK("https://twitter.com/srivastava1091/status/922422889176973312","922422889176973312")</f>
        <v>922422889176973312</v>
      </c>
      <c r="F2746" s="23" t="s">
        <v>33</v>
      </c>
      <c r="G2746" s="24">
        <v>44.0</v>
      </c>
      <c r="H2746" s="24">
        <v>101.0</v>
      </c>
      <c r="I2746" s="24">
        <v>8501.0</v>
      </c>
      <c r="J2746" s="24">
        <v>0.0</v>
      </c>
      <c r="K2746" s="23" t="s">
        <v>34</v>
      </c>
      <c r="L2746" s="25">
        <v>42787.30136574074</v>
      </c>
      <c r="M2746" s="26" t="s">
        <v>2020</v>
      </c>
      <c r="N2746" s="26" t="s">
        <v>6585</v>
      </c>
      <c r="O2746" s="22" t="str">
        <f>HYPERLINK("https://pbs.twimg.com/profile_images/835411012941725697/Hyuzb2oF_normal.jpg","View")</f>
        <v>View</v>
      </c>
      <c r="P2746" s="27"/>
    </row>
    <row r="2747">
      <c r="A2747" s="14">
        <v>43031.18206018519</v>
      </c>
      <c r="B2747" s="20" t="str">
        <f>HYPERLINK("https://twitter.com/USPressWorld","@USPressWorld")</f>
        <v>@USPressWorld</v>
      </c>
      <c r="C2747" s="21" t="s">
        <v>6586</v>
      </c>
      <c r="D2747" s="21" t="s">
        <v>6587</v>
      </c>
      <c r="E2747" s="22" t="str">
        <f>HYPERLINK("https://twitter.com/USPressWorld/status/922422894269001728","922422894269001728")</f>
        <v>922422894269001728</v>
      </c>
      <c r="F2747" s="23" t="s">
        <v>6588</v>
      </c>
      <c r="G2747" s="24">
        <v>12280.0</v>
      </c>
      <c r="H2747" s="24">
        <v>12373.0</v>
      </c>
      <c r="I2747" s="24">
        <v>0.0</v>
      </c>
      <c r="J2747" s="24">
        <v>0.0</v>
      </c>
      <c r="K2747" s="23" t="s">
        <v>34</v>
      </c>
      <c r="L2747" s="25">
        <v>41218.808217592596</v>
      </c>
      <c r="M2747" s="26" t="s">
        <v>6589</v>
      </c>
      <c r="N2747" s="26" t="s">
        <v>6590</v>
      </c>
      <c r="O2747" s="22" t="str">
        <f>HYPERLINK("https://pbs.twimg.com/profile_images/692071485813440512/MxuoxAoC_normal.png","View")</f>
        <v>View</v>
      </c>
      <c r="P2747" s="27"/>
    </row>
    <row r="2748">
      <c r="A2748" s="14">
        <v>43031.18229166667</v>
      </c>
      <c r="B2748" s="20" t="str">
        <f>HYPERLINK("https://twitter.com/KS13_1631","@KS13_1631")</f>
        <v>@KS13_1631</v>
      </c>
      <c r="C2748" s="21" t="s">
        <v>6591</v>
      </c>
      <c r="D2748" s="21" t="s">
        <v>42</v>
      </c>
      <c r="E2748" s="22" t="str">
        <f>HYPERLINK("https://twitter.com/KS13_1631/status/922422977488044032","922422977488044032")</f>
        <v>922422977488044032</v>
      </c>
      <c r="F2748" s="23" t="s">
        <v>39</v>
      </c>
      <c r="G2748" s="24">
        <v>155.0</v>
      </c>
      <c r="H2748" s="24">
        <v>142.0</v>
      </c>
      <c r="I2748" s="24">
        <v>8501.0</v>
      </c>
      <c r="J2748" s="24">
        <v>0.0</v>
      </c>
      <c r="K2748" s="23" t="s">
        <v>34</v>
      </c>
      <c r="L2748" s="25">
        <v>42595.295578703706</v>
      </c>
      <c r="M2748" s="26" t="s">
        <v>6592</v>
      </c>
      <c r="N2748" s="26" t="s">
        <v>6593</v>
      </c>
      <c r="O2748" s="22" t="str">
        <f>HYPERLINK("https://pbs.twimg.com/profile_images/919206994396901376/vwKhsOcP_normal.jpg","View")</f>
        <v>View</v>
      </c>
      <c r="P2748" s="27"/>
    </row>
    <row r="2749">
      <c r="A2749" s="14">
        <v>43031.18232638889</v>
      </c>
      <c r="B2749" s="20" t="str">
        <f>HYPERLINK("https://twitter.com/yuuji_K1","@yuuji_K1")</f>
        <v>@yuuji_K1</v>
      </c>
      <c r="C2749" s="21" t="s">
        <v>5882</v>
      </c>
      <c r="D2749" s="21" t="s">
        <v>6236</v>
      </c>
      <c r="E2749" s="22" t="str">
        <f>HYPERLINK("https://twitter.com/yuuji_K1/status/922422989500510208","922422989500510208")</f>
        <v>922422989500510208</v>
      </c>
      <c r="F2749" s="23" t="s">
        <v>39</v>
      </c>
      <c r="G2749" s="24">
        <v>2341.0</v>
      </c>
      <c r="H2749" s="24">
        <v>2256.0</v>
      </c>
      <c r="I2749" s="24">
        <v>26.0</v>
      </c>
      <c r="J2749" s="24">
        <v>0.0</v>
      </c>
      <c r="K2749" s="23" t="s">
        <v>34</v>
      </c>
      <c r="L2749" s="25">
        <v>41720.116006944445</v>
      </c>
      <c r="M2749" s="28"/>
      <c r="N2749" s="26" t="s">
        <v>5883</v>
      </c>
      <c r="O2749" s="22" t="str">
        <f>HYPERLINK("https://pbs.twimg.com/profile_images/447319649642770432/l3MsVwx__normal.jpeg","View")</f>
        <v>View</v>
      </c>
      <c r="P2749" s="27"/>
    </row>
    <row r="2750">
      <c r="A2750" s="14">
        <v>43031.18236111111</v>
      </c>
      <c r="B2750" s="20" t="str">
        <f>HYPERLINK("https://twitter.com/kikudinho","@kikudinho")</f>
        <v>@kikudinho</v>
      </c>
      <c r="C2750" s="21" t="s">
        <v>6594</v>
      </c>
      <c r="D2750" s="21" t="s">
        <v>42</v>
      </c>
      <c r="E2750" s="22" t="str">
        <f>HYPERLINK("https://twitter.com/kikudinho/status/922423003530399744","922423003530399744")</f>
        <v>922423003530399744</v>
      </c>
      <c r="F2750" s="23" t="s">
        <v>536</v>
      </c>
      <c r="G2750" s="24">
        <v>1182.0</v>
      </c>
      <c r="H2750" s="24">
        <v>1264.0</v>
      </c>
      <c r="I2750" s="24">
        <v>8501.0</v>
      </c>
      <c r="J2750" s="24">
        <v>0.0</v>
      </c>
      <c r="K2750" s="23" t="s">
        <v>34</v>
      </c>
      <c r="L2750" s="25">
        <v>39407.29017361111</v>
      </c>
      <c r="M2750" s="26" t="s">
        <v>6595</v>
      </c>
      <c r="N2750" s="26" t="s">
        <v>6596</v>
      </c>
      <c r="O2750" s="22" t="str">
        <f>HYPERLINK("https://pbs.twimg.com/profile_images/2150492985/146af63e-5f3a-4fc0-b189-de0e2c2ca81b_normal.png","View")</f>
        <v>View</v>
      </c>
      <c r="P2750" s="27"/>
    </row>
    <row r="2751">
      <c r="A2751" s="14">
        <v>43031.18253472222</v>
      </c>
      <c r="B2751" s="20" t="str">
        <f>HYPERLINK("https://twitter.com/aleksan28423572","@aleksan28423572")</f>
        <v>@aleksan28423572</v>
      </c>
      <c r="C2751" s="21" t="s">
        <v>6458</v>
      </c>
      <c r="D2751" s="21" t="s">
        <v>3227</v>
      </c>
      <c r="E2751" s="22" t="str">
        <f>HYPERLINK("https://twitter.com/aleksan28423572/status/922423067363520517","922423067363520517")</f>
        <v>922423067363520517</v>
      </c>
      <c r="F2751" s="23" t="s">
        <v>55</v>
      </c>
      <c r="G2751" s="24">
        <v>3.0</v>
      </c>
      <c r="H2751" s="24">
        <v>0.0</v>
      </c>
      <c r="I2751" s="24">
        <v>61.0</v>
      </c>
      <c r="J2751" s="24">
        <v>0.0</v>
      </c>
      <c r="K2751" s="23" t="s">
        <v>34</v>
      </c>
      <c r="L2751" s="25">
        <v>43015.55734953703</v>
      </c>
      <c r="M2751" s="28"/>
      <c r="N2751" s="28"/>
      <c r="O2751" s="22" t="str">
        <f>HYPERLINK("https://pbs.twimg.com/profile_images/921003911783227392/rh7vqSGz_normal.jpg","View")</f>
        <v>View</v>
      </c>
      <c r="P2751" s="27"/>
    </row>
    <row r="2752">
      <c r="A2752" s="14">
        <v>43031.18255787037</v>
      </c>
      <c r="B2752" s="20" t="str">
        <f>HYPERLINK("https://twitter.com/userpko","@userpko")</f>
        <v>@userpko</v>
      </c>
      <c r="C2752" s="21" t="s">
        <v>6597</v>
      </c>
      <c r="D2752" s="21" t="s">
        <v>5309</v>
      </c>
      <c r="E2752" s="22" t="str">
        <f>HYPERLINK("https://twitter.com/userpko/status/922423076767150080","922423076767150080")</f>
        <v>922423076767150080</v>
      </c>
      <c r="F2752" s="23" t="s">
        <v>33</v>
      </c>
      <c r="G2752" s="24">
        <v>63.0</v>
      </c>
      <c r="H2752" s="24">
        <v>156.0</v>
      </c>
      <c r="I2752" s="24">
        <v>22.0</v>
      </c>
      <c r="J2752" s="24">
        <v>0.0</v>
      </c>
      <c r="K2752" s="23" t="s">
        <v>34</v>
      </c>
      <c r="L2752" s="25">
        <v>40689.11715277778</v>
      </c>
      <c r="M2752" s="28"/>
      <c r="N2752" s="28"/>
      <c r="O2752" s="22" t="str">
        <f>HYPERLINK("https://abs.twimg.com/sticky/default_profile_images/default_profile_normal.png","View")</f>
        <v>View</v>
      </c>
      <c r="P2752" s="27"/>
    </row>
    <row r="2753">
      <c r="A2753" s="14">
        <v>43031.18263888889</v>
      </c>
      <c r="B2753" s="20" t="str">
        <f>HYPERLINK("https://twitter.com/3X04N0N","@3X04N0N")</f>
        <v>@3X04N0N</v>
      </c>
      <c r="C2753" s="21" t="s">
        <v>3927</v>
      </c>
      <c r="D2753" s="21" t="s">
        <v>6598</v>
      </c>
      <c r="E2753" s="22" t="str">
        <f>HYPERLINK("https://twitter.com/3X04N0N/status/922423105691226112","922423105691226112")</f>
        <v>922423105691226112</v>
      </c>
      <c r="F2753" s="23" t="s">
        <v>187</v>
      </c>
      <c r="G2753" s="24">
        <v>915.0</v>
      </c>
      <c r="H2753" s="24">
        <v>295.0</v>
      </c>
      <c r="I2753" s="24">
        <v>0.0</v>
      </c>
      <c r="J2753" s="24">
        <v>0.0</v>
      </c>
      <c r="K2753" s="23" t="s">
        <v>34</v>
      </c>
      <c r="L2753" s="25">
        <v>42066.56685185185</v>
      </c>
      <c r="M2753" s="28"/>
      <c r="N2753" s="26" t="s">
        <v>3929</v>
      </c>
      <c r="O2753" s="22" t="str">
        <f>HYPERLINK("https://pbs.twimg.com/profile_images/793550507205914625/qBVxzsrU_normal.jpg","View")</f>
        <v>View</v>
      </c>
      <c r="P2753" s="27"/>
    </row>
    <row r="2754">
      <c r="A2754" s="14">
        <v>43031.182650462964</v>
      </c>
      <c r="B2754" s="20" t="str">
        <f>HYPERLINK("https://twitter.com/mysourcespot","@mysourcespot")</f>
        <v>@mysourcespot</v>
      </c>
      <c r="C2754" s="21" t="s">
        <v>5545</v>
      </c>
      <c r="D2754" s="21" t="s">
        <v>6599</v>
      </c>
      <c r="E2754" s="22" t="str">
        <f>HYPERLINK("https://twitter.com/mysourcespot/status/922423108606230529","922423108606230529")</f>
        <v>922423108606230529</v>
      </c>
      <c r="F2754" s="30" t="s">
        <v>191</v>
      </c>
      <c r="G2754" s="24">
        <v>74.0</v>
      </c>
      <c r="H2754" s="24">
        <v>783.0</v>
      </c>
      <c r="I2754" s="24">
        <v>0.0</v>
      </c>
      <c r="J2754" s="24">
        <v>0.0</v>
      </c>
      <c r="K2754" s="23" t="s">
        <v>34</v>
      </c>
      <c r="L2754" s="25">
        <v>42766.06340277778</v>
      </c>
      <c r="M2754" s="28"/>
      <c r="N2754" s="28"/>
      <c r="O2754" s="22" t="str">
        <f>HYPERLINK("https://pbs.twimg.com/profile_images/826363423927713794/FKQplekc_normal.jpg","View")</f>
        <v>View</v>
      </c>
      <c r="P2754" s="27"/>
    </row>
    <row r="2755">
      <c r="A2755" s="14">
        <v>43031.182650462964</v>
      </c>
      <c r="B2755" s="20" t="str">
        <f>HYPERLINK("https://twitter.com/taniasmirnova8","@taniasmirnova8")</f>
        <v>@taniasmirnova8</v>
      </c>
      <c r="C2755" s="21" t="s">
        <v>6600</v>
      </c>
      <c r="D2755" s="21" t="s">
        <v>2555</v>
      </c>
      <c r="E2755" s="22" t="str">
        <f>HYPERLINK("https://twitter.com/taniasmirnova8/status/922423109424070656","922423109424070656")</f>
        <v>922423109424070656</v>
      </c>
      <c r="F2755" s="23" t="s">
        <v>55</v>
      </c>
      <c r="G2755" s="24">
        <v>4.0</v>
      </c>
      <c r="H2755" s="24">
        <v>0.0</v>
      </c>
      <c r="I2755" s="24">
        <v>58.0</v>
      </c>
      <c r="J2755" s="24">
        <v>0.0</v>
      </c>
      <c r="K2755" s="23" t="s">
        <v>34</v>
      </c>
      <c r="L2755" s="25">
        <v>43015.644062499996</v>
      </c>
      <c r="M2755" s="28"/>
      <c r="N2755" s="28"/>
      <c r="O2755" s="22" t="str">
        <f>HYPERLINK("https://pbs.twimg.com/profile_images/919553263921373184/IVocaqox_normal.jpg","View")</f>
        <v>View</v>
      </c>
      <c r="P2755" s="27"/>
    </row>
    <row r="2756">
      <c r="A2756" s="14">
        <v>43031.18274305556</v>
      </c>
      <c r="B2756" s="20" t="str">
        <f>HYPERLINK("https://twitter.com/SaduuH","@SaduuH")</f>
        <v>@SaduuH</v>
      </c>
      <c r="C2756" s="21" t="s">
        <v>6601</v>
      </c>
      <c r="D2756" s="21" t="s">
        <v>32</v>
      </c>
      <c r="E2756" s="22" t="str">
        <f>HYPERLINK("https://twitter.com/SaduuH/status/922423140545941504","922423140545941504")</f>
        <v>922423140545941504</v>
      </c>
      <c r="F2756" s="23" t="s">
        <v>43</v>
      </c>
      <c r="G2756" s="24">
        <v>831.0</v>
      </c>
      <c r="H2756" s="24">
        <v>720.0</v>
      </c>
      <c r="I2756" s="24">
        <v>471.0</v>
      </c>
      <c r="J2756" s="24">
        <v>0.0</v>
      </c>
      <c r="K2756" s="23" t="s">
        <v>34</v>
      </c>
      <c r="L2756" s="25">
        <v>41539.19278935185</v>
      </c>
      <c r="M2756" s="26" t="s">
        <v>6602</v>
      </c>
      <c r="N2756" s="26" t="s">
        <v>6603</v>
      </c>
      <c r="O2756" s="22" t="str">
        <f>HYPERLINK("https://pbs.twimg.com/profile_images/896642885701046272/rAsK6lEf_normal.jpg","View")</f>
        <v>View</v>
      </c>
      <c r="P2756" s="27"/>
    </row>
    <row r="2757">
      <c r="A2757" s="14">
        <v>43031.18277777778</v>
      </c>
      <c r="B2757" s="20" t="str">
        <f>HYPERLINK("https://twitter.com/babu_zindagi","@babu_zindagi")</f>
        <v>@babu_zindagi</v>
      </c>
      <c r="C2757" s="21" t="s">
        <v>6604</v>
      </c>
      <c r="D2757" s="21" t="s">
        <v>42</v>
      </c>
      <c r="E2757" s="22" t="str">
        <f>HYPERLINK("https://twitter.com/babu_zindagi/status/922423153636278272","922423153636278272")</f>
        <v>922423153636278272</v>
      </c>
      <c r="F2757" s="23" t="s">
        <v>780</v>
      </c>
      <c r="G2757" s="24">
        <v>49.0</v>
      </c>
      <c r="H2757" s="24">
        <v>10.0</v>
      </c>
      <c r="I2757" s="24">
        <v>8501.0</v>
      </c>
      <c r="J2757" s="24">
        <v>0.0</v>
      </c>
      <c r="K2757" s="23" t="s">
        <v>34</v>
      </c>
      <c r="L2757" s="25">
        <v>42629.16046296296</v>
      </c>
      <c r="M2757" s="26" t="s">
        <v>6605</v>
      </c>
      <c r="N2757" s="26" t="s">
        <v>6606</v>
      </c>
      <c r="O2757" s="22" t="str">
        <f>HYPERLINK("https://pbs.twimg.com/profile_images/919933590011613184/RHnqFpfP_normal.jpg","View")</f>
        <v>View</v>
      </c>
      <c r="P2757" s="27"/>
    </row>
    <row r="2758">
      <c r="A2758" s="14">
        <v>43031.182858796295</v>
      </c>
      <c r="B2758" s="20" t="str">
        <f>HYPERLINK("https://twitter.com/3NovicesEU","@3NovicesEU")</f>
        <v>@3NovicesEU</v>
      </c>
      <c r="C2758" s="21" t="s">
        <v>6607</v>
      </c>
      <c r="D2758" s="21" t="s">
        <v>6608</v>
      </c>
      <c r="E2758" s="22" t="str">
        <f>HYPERLINK("https://twitter.com/3NovicesEU/status/922423182073778178","922423182073778178")</f>
        <v>922423182073778178</v>
      </c>
      <c r="F2758" s="23" t="s">
        <v>187</v>
      </c>
      <c r="G2758" s="24">
        <v>372.0</v>
      </c>
      <c r="H2758" s="24">
        <v>633.0</v>
      </c>
      <c r="I2758" s="24">
        <v>0.0</v>
      </c>
      <c r="J2758" s="24">
        <v>0.0</v>
      </c>
      <c r="K2758" s="23" t="s">
        <v>34</v>
      </c>
      <c r="L2758" s="25">
        <v>42275.84685185185</v>
      </c>
      <c r="M2758" s="26" t="s">
        <v>860</v>
      </c>
      <c r="N2758" s="26" t="s">
        <v>6609</v>
      </c>
      <c r="O2758" s="22" t="str">
        <f>HYPERLINK("https://pbs.twimg.com/profile_images/648699070412775424/q--vQwCk_normal.jpg","View")</f>
        <v>View</v>
      </c>
      <c r="P2758" s="27"/>
    </row>
    <row r="2759">
      <c r="A2759" s="14">
        <v>43031.18309027777</v>
      </c>
      <c r="B2759" s="20" t="str">
        <f>HYPERLINK("https://twitter.com/addicted2newz","@addicted2newz")</f>
        <v>@addicted2newz</v>
      </c>
      <c r="C2759" s="21" t="s">
        <v>6610</v>
      </c>
      <c r="D2759" s="21" t="s">
        <v>6403</v>
      </c>
      <c r="E2759" s="22" t="str">
        <f>HYPERLINK("https://twitter.com/addicted2newz/status/922423268124045312","922423268124045312")</f>
        <v>922423268124045312</v>
      </c>
      <c r="F2759" s="23" t="s">
        <v>55</v>
      </c>
      <c r="G2759" s="24">
        <v>410.0</v>
      </c>
      <c r="H2759" s="24">
        <v>831.0</v>
      </c>
      <c r="I2759" s="24">
        <v>97.0</v>
      </c>
      <c r="J2759" s="24">
        <v>0.0</v>
      </c>
      <c r="K2759" s="23" t="s">
        <v>34</v>
      </c>
      <c r="L2759" s="25">
        <v>42004.794641203705</v>
      </c>
      <c r="M2759" s="26" t="s">
        <v>40</v>
      </c>
      <c r="N2759" s="26" t="s">
        <v>6611</v>
      </c>
      <c r="O2759" s="22" t="str">
        <f>HYPERLINK("https://pbs.twimg.com/profile_images/612316018279608320/C2zeyZfQ_normal.jpg","View")</f>
        <v>View</v>
      </c>
      <c r="P2759" s="27"/>
    </row>
    <row r="2760">
      <c r="A2760" s="14">
        <v>43031.183124999996</v>
      </c>
      <c r="B2760" s="20" t="str">
        <f>HYPERLINK("https://twitter.com/SaurabhJNUfan","@SaurabhJNUfan")</f>
        <v>@SaurabhJNUfan</v>
      </c>
      <c r="C2760" s="21" t="s">
        <v>6612</v>
      </c>
      <c r="D2760" s="21" t="s">
        <v>42</v>
      </c>
      <c r="E2760" s="22" t="str">
        <f>HYPERLINK("https://twitter.com/SaurabhJNUfan/status/922423278987128832","922423278987128832")</f>
        <v>922423278987128832</v>
      </c>
      <c r="F2760" s="23" t="s">
        <v>55</v>
      </c>
      <c r="G2760" s="24">
        <v>22.0</v>
      </c>
      <c r="H2760" s="24">
        <v>56.0</v>
      </c>
      <c r="I2760" s="24">
        <v>8501.0</v>
      </c>
      <c r="J2760" s="24">
        <v>0.0</v>
      </c>
      <c r="K2760" s="23" t="s">
        <v>34</v>
      </c>
      <c r="L2760" s="25">
        <v>43026.42451388889</v>
      </c>
      <c r="M2760" s="26" t="s">
        <v>204</v>
      </c>
      <c r="N2760" s="26" t="s">
        <v>6613</v>
      </c>
      <c r="O2760" s="22" t="str">
        <f>HYPERLINK("https://pbs.twimg.com/profile_images/920700688174166016/_Vj__nZY_normal.jpg","View")</f>
        <v>View</v>
      </c>
      <c r="P2760" s="27"/>
    </row>
    <row r="2761">
      <c r="A2761" s="14">
        <v>43031.183124999996</v>
      </c>
      <c r="B2761" s="20" t="str">
        <f>HYPERLINK("https://twitter.com/emeka6010","@emeka6010")</f>
        <v>@emeka6010</v>
      </c>
      <c r="C2761" s="21" t="s">
        <v>6614</v>
      </c>
      <c r="D2761" s="21" t="s">
        <v>5601</v>
      </c>
      <c r="E2761" s="22" t="str">
        <f>HYPERLINK("https://twitter.com/emeka6010/status/922423282435059712","922423282435059712")</f>
        <v>922423282435059712</v>
      </c>
      <c r="F2761" s="23" t="s">
        <v>33</v>
      </c>
      <c r="G2761" s="24">
        <v>2055.0</v>
      </c>
      <c r="H2761" s="24">
        <v>5000.0</v>
      </c>
      <c r="I2761" s="24">
        <v>15.0</v>
      </c>
      <c r="J2761" s="24">
        <v>0.0</v>
      </c>
      <c r="K2761" s="23" t="s">
        <v>34</v>
      </c>
      <c r="L2761" s="25">
        <v>41382.3328125</v>
      </c>
      <c r="M2761" s="28"/>
      <c r="N2761" s="26" t="s">
        <v>6615</v>
      </c>
      <c r="O2761" s="22" t="str">
        <f>HYPERLINK("https://pbs.twimg.com/profile_images/887559731627294720/DRorW3eb_normal.jpg","View")</f>
        <v>View</v>
      </c>
      <c r="P2761" s="27"/>
    </row>
    <row r="2762">
      <c r="A2762" s="14">
        <v>43031.183217592596</v>
      </c>
      <c r="B2762" s="20" t="str">
        <f>HYPERLINK("https://twitter.com/aleksan28423572","@aleksan28423572")</f>
        <v>@aleksan28423572</v>
      </c>
      <c r="C2762" s="21" t="s">
        <v>6458</v>
      </c>
      <c r="D2762" s="21" t="s">
        <v>5544</v>
      </c>
      <c r="E2762" s="22" t="str">
        <f>HYPERLINK("https://twitter.com/aleksan28423572/status/922423315234406400","922423315234406400")</f>
        <v>922423315234406400</v>
      </c>
      <c r="F2762" s="23" t="s">
        <v>55</v>
      </c>
      <c r="G2762" s="24">
        <v>3.0</v>
      </c>
      <c r="H2762" s="24">
        <v>0.0</v>
      </c>
      <c r="I2762" s="24">
        <v>77.0</v>
      </c>
      <c r="J2762" s="24">
        <v>0.0</v>
      </c>
      <c r="K2762" s="23" t="s">
        <v>34</v>
      </c>
      <c r="L2762" s="25">
        <v>43015.55734953703</v>
      </c>
      <c r="M2762" s="28"/>
      <c r="N2762" s="28"/>
      <c r="O2762" s="22" t="str">
        <f>HYPERLINK("https://pbs.twimg.com/profile_images/921003911783227392/rh7vqSGz_normal.jpg","View")</f>
        <v>View</v>
      </c>
      <c r="P2762" s="27"/>
    </row>
    <row r="2763">
      <c r="A2763" s="14">
        <v>43031.183217592596</v>
      </c>
      <c r="B2763" s="20" t="str">
        <f>HYPERLINK("https://twitter.com/kerign","@kerign")</f>
        <v>@kerign</v>
      </c>
      <c r="C2763" s="21" t="s">
        <v>6616</v>
      </c>
      <c r="D2763" s="21" t="s">
        <v>6617</v>
      </c>
      <c r="E2763" s="22" t="str">
        <f>HYPERLINK("https://twitter.com/kerign/status/922423315976687617","922423315976687617")</f>
        <v>922423315976687617</v>
      </c>
      <c r="F2763" s="23" t="s">
        <v>3572</v>
      </c>
      <c r="G2763" s="24">
        <v>15.0</v>
      </c>
      <c r="H2763" s="24">
        <v>31.0</v>
      </c>
      <c r="I2763" s="24">
        <v>12.0</v>
      </c>
      <c r="J2763" s="24">
        <v>0.0</v>
      </c>
      <c r="K2763" s="23" t="s">
        <v>34</v>
      </c>
      <c r="L2763" s="25">
        <v>40813.05924768519</v>
      </c>
      <c r="M2763" s="28"/>
      <c r="N2763" s="26" t="s">
        <v>6618</v>
      </c>
      <c r="O2763" s="22" t="str">
        <f>HYPERLINK("https://pbs.twimg.com/profile_images/662430146834501633/hRDZJ3Wq_normal.jpg","View")</f>
        <v>View</v>
      </c>
      <c r="P2763" s="27"/>
    </row>
    <row r="2764">
      <c r="A2764" s="14">
        <v>43031.183229166665</v>
      </c>
      <c r="B2764" s="20" t="str">
        <f>HYPERLINK("https://twitter.com/konstantinaBel3","@konstantinaBel3")</f>
        <v>@konstantinaBel3</v>
      </c>
      <c r="C2764" s="21" t="s">
        <v>6619</v>
      </c>
      <c r="D2764" s="21" t="s">
        <v>6236</v>
      </c>
      <c r="E2764" s="22" t="str">
        <f>HYPERLINK("https://twitter.com/konstantinaBel3/status/922423319126822912","922423319126822912")</f>
        <v>922423319126822912</v>
      </c>
      <c r="F2764" s="23" t="s">
        <v>43</v>
      </c>
      <c r="G2764" s="24">
        <v>498.0</v>
      </c>
      <c r="H2764" s="24">
        <v>1007.0</v>
      </c>
      <c r="I2764" s="24">
        <v>26.0</v>
      </c>
      <c r="J2764" s="24">
        <v>0.0</v>
      </c>
      <c r="K2764" s="23" t="s">
        <v>34</v>
      </c>
      <c r="L2764" s="25">
        <v>42240.24513888889</v>
      </c>
      <c r="M2764" s="26" t="s">
        <v>6620</v>
      </c>
      <c r="N2764" s="26" t="s">
        <v>6621</v>
      </c>
      <c r="O2764" s="22" t="str">
        <f>HYPERLINK("https://pbs.twimg.com/profile_images/909814956161413121/FC--YmLH_normal.jpg","View")</f>
        <v>View</v>
      </c>
      <c r="P2764" s="27"/>
    </row>
    <row r="2765">
      <c r="A2765" s="14">
        <v>43031.18325231482</v>
      </c>
      <c r="B2765" s="20" t="str">
        <f>HYPERLINK("https://twitter.com/sierrasevier","@sierrasevier")</f>
        <v>@sierrasevier</v>
      </c>
      <c r="C2765" s="21" t="s">
        <v>6622</v>
      </c>
      <c r="D2765" s="21" t="s">
        <v>5601</v>
      </c>
      <c r="E2765" s="22" t="str">
        <f>HYPERLINK("https://twitter.com/sierrasevier/status/922423324705206272","922423324705206272")</f>
        <v>922423324705206272</v>
      </c>
      <c r="F2765" s="23" t="s">
        <v>39</v>
      </c>
      <c r="G2765" s="24">
        <v>777.0</v>
      </c>
      <c r="H2765" s="24">
        <v>507.0</v>
      </c>
      <c r="I2765" s="24">
        <v>15.0</v>
      </c>
      <c r="J2765" s="24">
        <v>0.0</v>
      </c>
      <c r="K2765" s="23" t="s">
        <v>34</v>
      </c>
      <c r="L2765" s="25">
        <v>40513.65331018518</v>
      </c>
      <c r="M2765" s="26" t="s">
        <v>6623</v>
      </c>
      <c r="N2765" s="28"/>
      <c r="O2765" s="22" t="str">
        <f>HYPERLINK("https://pbs.twimg.com/profile_images/917164767831384064/1mGjWOH7_normal.jpg","View")</f>
        <v>View</v>
      </c>
      <c r="P2765" s="27"/>
    </row>
    <row r="2766">
      <c r="A2766" s="14">
        <v>43031.18325231482</v>
      </c>
      <c r="B2766" s="20" t="str">
        <f>HYPERLINK("https://twitter.com/poonamipj","@poonamipj")</f>
        <v>@poonamipj</v>
      </c>
      <c r="C2766" s="21" t="s">
        <v>6624</v>
      </c>
      <c r="D2766" s="21" t="s">
        <v>163</v>
      </c>
      <c r="E2766" s="22" t="str">
        <f>HYPERLINK("https://twitter.com/poonamipj/status/922423324835115009","922423324835115009")</f>
        <v>922423324835115009</v>
      </c>
      <c r="F2766" s="23" t="s">
        <v>33</v>
      </c>
      <c r="G2766" s="24">
        <v>436.0</v>
      </c>
      <c r="H2766" s="24">
        <v>643.0</v>
      </c>
      <c r="I2766" s="24">
        <v>1005.0</v>
      </c>
      <c r="J2766" s="24">
        <v>0.0</v>
      </c>
      <c r="K2766" s="23" t="s">
        <v>34</v>
      </c>
      <c r="L2766" s="25">
        <v>40777.23076388889</v>
      </c>
      <c r="M2766" s="26" t="s">
        <v>204</v>
      </c>
      <c r="N2766" s="26" t="s">
        <v>1279</v>
      </c>
      <c r="O2766" s="22" t="str">
        <f>HYPERLINK("https://pbs.twimg.com/profile_images/897524199266201600/Hn6BRUaS_normal.jpg","View")</f>
        <v>View</v>
      </c>
      <c r="P2766" s="27"/>
    </row>
    <row r="2767">
      <c r="A2767" s="14">
        <v>43031.183599537035</v>
      </c>
      <c r="B2767" s="20" t="str">
        <f>HYPERLINK("https://twitter.com/jeffreyoduma1","@jeffreyoduma1")</f>
        <v>@jeffreyoduma1</v>
      </c>
      <c r="C2767" s="21" t="s">
        <v>6625</v>
      </c>
      <c r="D2767" s="21" t="s">
        <v>32</v>
      </c>
      <c r="E2767" s="22" t="str">
        <f>HYPERLINK("https://twitter.com/jeffreyoduma1/status/922423452312752129","922423452312752129")</f>
        <v>922423452312752129</v>
      </c>
      <c r="F2767" s="23" t="s">
        <v>55</v>
      </c>
      <c r="G2767" s="24">
        <v>18035.0</v>
      </c>
      <c r="H2767" s="24">
        <v>16531.0</v>
      </c>
      <c r="I2767" s="24">
        <v>471.0</v>
      </c>
      <c r="J2767" s="24">
        <v>0.0</v>
      </c>
      <c r="K2767" s="23" t="s">
        <v>34</v>
      </c>
      <c r="L2767" s="25">
        <v>41034.15733796296</v>
      </c>
      <c r="M2767" s="26" t="s">
        <v>6626</v>
      </c>
      <c r="N2767" s="26" t="s">
        <v>6627</v>
      </c>
      <c r="O2767" s="22" t="str">
        <f>HYPERLINK("https://pbs.twimg.com/profile_images/919989166456307712/Dg9l9M0__normal.jpg","View")</f>
        <v>View</v>
      </c>
      <c r="P2767" s="27"/>
    </row>
    <row r="2768">
      <c r="A2768" s="14">
        <v>43031.183645833335</v>
      </c>
      <c r="B2768" s="20" t="str">
        <f>HYPERLINK("https://twitter.com/taniasmirnova8","@taniasmirnova8")</f>
        <v>@taniasmirnova8</v>
      </c>
      <c r="C2768" s="21" t="s">
        <v>6600</v>
      </c>
      <c r="D2768" s="21" t="s">
        <v>404</v>
      </c>
      <c r="E2768" s="22" t="str">
        <f>HYPERLINK("https://twitter.com/taniasmirnova8/status/922423469135900672","922423469135900672")</f>
        <v>922423469135900672</v>
      </c>
      <c r="F2768" s="23" t="s">
        <v>55</v>
      </c>
      <c r="G2768" s="24">
        <v>4.0</v>
      </c>
      <c r="H2768" s="24">
        <v>0.0</v>
      </c>
      <c r="I2768" s="24">
        <v>59.0</v>
      </c>
      <c r="J2768" s="24">
        <v>0.0</v>
      </c>
      <c r="K2768" s="23" t="s">
        <v>34</v>
      </c>
      <c r="L2768" s="25">
        <v>43015.644062499996</v>
      </c>
      <c r="M2768" s="28"/>
      <c r="N2768" s="28"/>
      <c r="O2768" s="22" t="str">
        <f>HYPERLINK("https://pbs.twimg.com/profile_images/919553263921373184/IVocaqox_normal.jpg","View")</f>
        <v>View</v>
      </c>
      <c r="P2768" s="27"/>
    </row>
    <row r="2769">
      <c r="A2769" s="14">
        <v>43031.18372685185</v>
      </c>
      <c r="B2769" s="20" t="str">
        <f>HYPERLINK("https://twitter.com/HDSuryawanshi","@HDSuryawanshi")</f>
        <v>@HDSuryawanshi</v>
      </c>
      <c r="C2769" s="21" t="s">
        <v>6628</v>
      </c>
      <c r="D2769" s="21" t="s">
        <v>42</v>
      </c>
      <c r="E2769" s="22" t="str">
        <f>HYPERLINK("https://twitter.com/HDSuryawanshi/status/922423499653828610","922423499653828610")</f>
        <v>922423499653828610</v>
      </c>
      <c r="F2769" s="23" t="s">
        <v>39</v>
      </c>
      <c r="G2769" s="24">
        <v>816.0</v>
      </c>
      <c r="H2769" s="24">
        <v>625.0</v>
      </c>
      <c r="I2769" s="24">
        <v>8501.0</v>
      </c>
      <c r="J2769" s="24">
        <v>0.0</v>
      </c>
      <c r="K2769" s="23" t="s">
        <v>34</v>
      </c>
      <c r="L2769" s="25">
        <v>41656.33251157407</v>
      </c>
      <c r="M2769" s="26" t="s">
        <v>5053</v>
      </c>
      <c r="N2769" s="26" t="s">
        <v>6629</v>
      </c>
      <c r="O2769" s="22" t="str">
        <f>HYPERLINK("https://pbs.twimg.com/profile_images/921895937991159808/86qbsvif_normal.jpg","View")</f>
        <v>View</v>
      </c>
      <c r="P2769" s="27"/>
    </row>
    <row r="2770">
      <c r="A2770" s="14">
        <v>43031.18380787037</v>
      </c>
      <c r="B2770" s="20" t="str">
        <f>HYPERLINK("https://twitter.com/10DaysThatShook","@10DaysThatShook")</f>
        <v>@10DaysThatShook</v>
      </c>
      <c r="C2770" s="21" t="s">
        <v>6630</v>
      </c>
      <c r="D2770" s="21" t="s">
        <v>6311</v>
      </c>
      <c r="E2770" s="22" t="str">
        <f>HYPERLINK("https://twitter.com/10DaysThatShook/status/922423525880877057","922423525880877057")</f>
        <v>922423525880877057</v>
      </c>
      <c r="F2770" s="23" t="s">
        <v>39</v>
      </c>
      <c r="G2770" s="24">
        <v>134.0</v>
      </c>
      <c r="H2770" s="24">
        <v>166.0</v>
      </c>
      <c r="I2770" s="24">
        <v>4.0</v>
      </c>
      <c r="J2770" s="24">
        <v>0.0</v>
      </c>
      <c r="K2770" s="23" t="s">
        <v>34</v>
      </c>
      <c r="L2770" s="25">
        <v>42420.45747685185</v>
      </c>
      <c r="M2770" s="26" t="s">
        <v>3443</v>
      </c>
      <c r="N2770" s="26" t="s">
        <v>6631</v>
      </c>
      <c r="O2770" s="22" t="str">
        <f>HYPERLINK("https://pbs.twimg.com/profile_images/701131494635474947/ycaRxFIv_normal.jpg","View")</f>
        <v>View</v>
      </c>
      <c r="P2770" s="27"/>
    </row>
    <row r="2771">
      <c r="A2771" s="14">
        <v>43031.18391203704</v>
      </c>
      <c r="B2771" s="20" t="str">
        <f>HYPERLINK("https://twitter.com/ivan11ivanov1","@ivan11ivanov1")</f>
        <v>@ivan11ivanov1</v>
      </c>
      <c r="C2771" s="21" t="s">
        <v>6632</v>
      </c>
      <c r="D2771" s="21" t="s">
        <v>2555</v>
      </c>
      <c r="E2771" s="22" t="str">
        <f>HYPERLINK("https://twitter.com/ivan11ivanov1/status/922423563948253184","922423563948253184")</f>
        <v>922423563948253184</v>
      </c>
      <c r="F2771" s="23" t="s">
        <v>55</v>
      </c>
      <c r="G2771" s="24">
        <v>1.0</v>
      </c>
      <c r="H2771" s="24">
        <v>0.0</v>
      </c>
      <c r="I2771" s="24">
        <v>58.0</v>
      </c>
      <c r="J2771" s="24">
        <v>0.0</v>
      </c>
      <c r="K2771" s="23" t="s">
        <v>34</v>
      </c>
      <c r="L2771" s="25">
        <v>43015.561215277776</v>
      </c>
      <c r="M2771" s="28"/>
      <c r="N2771" s="28"/>
      <c r="O2771" s="22" t="str">
        <f>HYPERLINK("https://pbs.twimg.com/profile_images/921013112567840770/TXy64Tah_normal.jpg","View")</f>
        <v>View</v>
      </c>
      <c r="P2771" s="27"/>
    </row>
    <row r="2772">
      <c r="A2772" s="14">
        <v>43031.18392361111</v>
      </c>
      <c r="B2772" s="20" t="str">
        <f>HYPERLINK("https://twitter.com/cpraghav","@cpraghav")</f>
        <v>@cpraghav</v>
      </c>
      <c r="C2772" s="21" t="s">
        <v>6189</v>
      </c>
      <c r="D2772" s="21" t="s">
        <v>4507</v>
      </c>
      <c r="E2772" s="22" t="str">
        <f>HYPERLINK("https://twitter.com/cpraghav/status/922423568285102080","922423568285102080")</f>
        <v>922423568285102080</v>
      </c>
      <c r="F2772" s="23" t="s">
        <v>33</v>
      </c>
      <c r="G2772" s="24">
        <v>1004.0</v>
      </c>
      <c r="H2772" s="24">
        <v>290.0</v>
      </c>
      <c r="I2772" s="24">
        <v>139.0</v>
      </c>
      <c r="J2772" s="24">
        <v>0.0</v>
      </c>
      <c r="K2772" s="23" t="s">
        <v>34</v>
      </c>
      <c r="L2772" s="25">
        <v>40177.8462037037</v>
      </c>
      <c r="M2772" s="26" t="s">
        <v>6190</v>
      </c>
      <c r="N2772" s="26" t="s">
        <v>6191</v>
      </c>
      <c r="O2772" s="22" t="str">
        <f>HYPERLINK("https://pbs.twimg.com/profile_images/920842012156235777/99_L1KgR_normal.jpg","View")</f>
        <v>View</v>
      </c>
      <c r="P2772" s="27"/>
    </row>
    <row r="2773">
      <c r="A2773" s="14">
        <v>43031.184016203704</v>
      </c>
      <c r="B2773" s="20" t="str">
        <f>HYPERLINK("https://twitter.com/inews2day","@inews2day")</f>
        <v>@inews2day</v>
      </c>
      <c r="C2773" s="21" t="s">
        <v>539</v>
      </c>
      <c r="D2773" s="21" t="s">
        <v>6633</v>
      </c>
      <c r="E2773" s="22" t="str">
        <f>HYPERLINK("https://twitter.com/inews2day/status/922423604725370880","922423604725370880")</f>
        <v>922423604725370880</v>
      </c>
      <c r="F2773" s="30" t="s">
        <v>191</v>
      </c>
      <c r="G2773" s="24">
        <v>487.0</v>
      </c>
      <c r="H2773" s="24">
        <v>0.0</v>
      </c>
      <c r="I2773" s="24">
        <v>0.0</v>
      </c>
      <c r="J2773" s="24">
        <v>0.0</v>
      </c>
      <c r="K2773" s="23" t="s">
        <v>34</v>
      </c>
      <c r="L2773" s="25">
        <v>42055.11097222222</v>
      </c>
      <c r="M2773" s="26" t="s">
        <v>541</v>
      </c>
      <c r="N2773" s="26" t="s">
        <v>542</v>
      </c>
      <c r="O2773" s="22" t="str">
        <f>HYPERLINK("https://pbs.twimg.com/profile_images/568731081323466752/-oyEQpj9_normal.jpeg","View")</f>
        <v>View</v>
      </c>
      <c r="P2773" s="27"/>
    </row>
    <row r="2774">
      <c r="A2774" s="14">
        <v>43031.18402777778</v>
      </c>
      <c r="B2774" s="20" t="str">
        <f>HYPERLINK("https://twitter.com/FoxBusiness","@FoxBusiness")</f>
        <v>@FoxBusiness</v>
      </c>
      <c r="C2774" s="21" t="s">
        <v>6634</v>
      </c>
      <c r="D2774" s="21" t="s">
        <v>6635</v>
      </c>
      <c r="E2774" s="22" t="str">
        <f>HYPERLINK("https://twitter.com/FoxBusiness/status/922423607141081088","922423607141081088")</f>
        <v>922423607141081088</v>
      </c>
      <c r="F2774" s="23" t="s">
        <v>769</v>
      </c>
      <c r="G2774" s="24">
        <v>720722.0</v>
      </c>
      <c r="H2774" s="24">
        <v>400.0</v>
      </c>
      <c r="I2774" s="24">
        <v>18.0</v>
      </c>
      <c r="J2774" s="24">
        <v>33.0</v>
      </c>
      <c r="K2774" s="23" t="s">
        <v>34</v>
      </c>
      <c r="L2774" s="25">
        <v>40007.3878125</v>
      </c>
      <c r="M2774" s="26" t="s">
        <v>2534</v>
      </c>
      <c r="N2774" s="26" t="s">
        <v>6636</v>
      </c>
      <c r="O2774" s="22" t="str">
        <f>HYPERLINK("https://pbs.twimg.com/profile_images/875384861736841217/j4vwsisS_normal.jpg","View")</f>
        <v>View</v>
      </c>
      <c r="P2774" s="27"/>
    </row>
    <row r="2775">
      <c r="A2775" s="14">
        <v>43031.18407407407</v>
      </c>
      <c r="B2775" s="20" t="str">
        <f>HYPERLINK("https://twitter.com/Babuji9","@Babuji9")</f>
        <v>@Babuji9</v>
      </c>
      <c r="C2775" s="21" t="s">
        <v>6637</v>
      </c>
      <c r="D2775" s="21" t="s">
        <v>42</v>
      </c>
      <c r="E2775" s="22" t="str">
        <f>HYPERLINK("https://twitter.com/Babuji9/status/922423625835302912","922423625835302912")</f>
        <v>922423625835302912</v>
      </c>
      <c r="F2775" s="23" t="s">
        <v>43</v>
      </c>
      <c r="G2775" s="24">
        <v>165.0</v>
      </c>
      <c r="H2775" s="24">
        <v>142.0</v>
      </c>
      <c r="I2775" s="24">
        <v>8501.0</v>
      </c>
      <c r="J2775" s="24">
        <v>0.0</v>
      </c>
      <c r="K2775" s="23" t="s">
        <v>34</v>
      </c>
      <c r="L2775" s="25">
        <v>40771.829930555556</v>
      </c>
      <c r="M2775" s="26" t="s">
        <v>6638</v>
      </c>
      <c r="N2775" s="26" t="s">
        <v>6639</v>
      </c>
      <c r="O2775" s="22" t="str">
        <f>HYPERLINK("https://abs.twimg.com/sticky/default_profile_images/default_profile_normal.png","View")</f>
        <v>View</v>
      </c>
      <c r="P2775" s="27"/>
    </row>
    <row r="2776">
      <c r="A2776" s="14">
        <v>43031.1841087963</v>
      </c>
      <c r="B2776" s="20" t="str">
        <f>HYPERLINK("https://twitter.com/Hiring_Houston","@Hiring_Houston")</f>
        <v>@Hiring_Houston</v>
      </c>
      <c r="C2776" s="21" t="s">
        <v>6640</v>
      </c>
      <c r="D2776" s="21" t="s">
        <v>6641</v>
      </c>
      <c r="E2776" s="22" t="str">
        <f>HYPERLINK("https://twitter.com/Hiring_Houston/status/922423635502972929","922423635502972929")</f>
        <v>922423635502972929</v>
      </c>
      <c r="F2776" s="30" t="s">
        <v>411</v>
      </c>
      <c r="G2776" s="24">
        <v>179.0</v>
      </c>
      <c r="H2776" s="24">
        <v>77.0</v>
      </c>
      <c r="I2776" s="24">
        <v>0.0</v>
      </c>
      <c r="J2776" s="24">
        <v>0.0</v>
      </c>
      <c r="K2776" s="23" t="s">
        <v>34</v>
      </c>
      <c r="L2776" s="25">
        <v>41909.23732638889</v>
      </c>
      <c r="M2776" s="26" t="s">
        <v>1186</v>
      </c>
      <c r="N2776" s="26" t="s">
        <v>6642</v>
      </c>
      <c r="O2776" s="22" t="str">
        <f>HYPERLINK("https://pbs.twimg.com/profile_images/515843995507777537/4bfGAYvD_normal.jpeg","View")</f>
        <v>View</v>
      </c>
      <c r="P2776" s="27"/>
    </row>
    <row r="2777">
      <c r="A2777" s="14">
        <v>43031.1841087963</v>
      </c>
      <c r="B2777" s="20" t="str">
        <f>HYPERLINK("https://twitter.com/alastairdick","@alastairdick")</f>
        <v>@alastairdick</v>
      </c>
      <c r="C2777" s="21" t="s">
        <v>6643</v>
      </c>
      <c r="D2777" s="21" t="s">
        <v>6403</v>
      </c>
      <c r="E2777" s="22" t="str">
        <f>HYPERLINK("https://twitter.com/alastairdick/status/922423638812495878","922423638812495878")</f>
        <v>922423638812495878</v>
      </c>
      <c r="F2777" s="23" t="s">
        <v>55</v>
      </c>
      <c r="G2777" s="24">
        <v>472.0</v>
      </c>
      <c r="H2777" s="24">
        <v>599.0</v>
      </c>
      <c r="I2777" s="24">
        <v>97.0</v>
      </c>
      <c r="J2777" s="24">
        <v>0.0</v>
      </c>
      <c r="K2777" s="23" t="s">
        <v>34</v>
      </c>
      <c r="L2777" s="25">
        <v>41798.15435185185</v>
      </c>
      <c r="M2777" s="26" t="s">
        <v>40</v>
      </c>
      <c r="N2777" s="26" t="s">
        <v>6644</v>
      </c>
      <c r="O2777" s="22" t="str">
        <f>HYPERLINK("https://pbs.twimg.com/profile_images/772823393129340928/GansQ0z-_normal.jpg","View")</f>
        <v>View</v>
      </c>
      <c r="P2777" s="27"/>
    </row>
    <row r="2778">
      <c r="A2778" s="14">
        <v>43031.18413194444</v>
      </c>
      <c r="B2778" s="20" t="str">
        <f>HYPERLINK("https://twitter.com/iamPadmavati","@iamPadmavati")</f>
        <v>@iamPadmavati</v>
      </c>
      <c r="C2778" s="21" t="s">
        <v>6645</v>
      </c>
      <c r="D2778" s="21" t="s">
        <v>42</v>
      </c>
      <c r="E2778" s="22" t="str">
        <f>HYPERLINK("https://twitter.com/iamPadmavati/status/922423646714445829","922423646714445829")</f>
        <v>922423646714445829</v>
      </c>
      <c r="F2778" s="23" t="s">
        <v>55</v>
      </c>
      <c r="G2778" s="24">
        <v>10741.0</v>
      </c>
      <c r="H2778" s="24">
        <v>2687.0</v>
      </c>
      <c r="I2778" s="24">
        <v>8501.0</v>
      </c>
      <c r="J2778" s="24">
        <v>0.0</v>
      </c>
      <c r="K2778" s="23" t="s">
        <v>34</v>
      </c>
      <c r="L2778" s="25">
        <v>42224.235613425924</v>
      </c>
      <c r="M2778" s="26" t="s">
        <v>204</v>
      </c>
      <c r="N2778" s="26" t="s">
        <v>6646</v>
      </c>
      <c r="O2778" s="22" t="str">
        <f>HYPERLINK("https://pbs.twimg.com/profile_images/761901591590940674/XfQthdGC_normal.jpg","View")</f>
        <v>View</v>
      </c>
      <c r="P2778" s="27"/>
    </row>
    <row r="2779">
      <c r="A2779" s="14">
        <v>43031.18418981481</v>
      </c>
      <c r="B2779" s="20" t="str">
        <f>HYPERLINK("https://twitter.com/AynvanBergland","@AynvanBergland")</f>
        <v>@AynvanBergland</v>
      </c>
      <c r="C2779" s="21" t="s">
        <v>6647</v>
      </c>
      <c r="D2779" s="21" t="s">
        <v>6648</v>
      </c>
      <c r="E2779" s="22" t="str">
        <f>HYPERLINK("https://twitter.com/AynvanBergland/status/922423665978834944","922423665978834944")</f>
        <v>922423665978834944</v>
      </c>
      <c r="F2779" s="23" t="s">
        <v>55</v>
      </c>
      <c r="G2779" s="24">
        <v>161.0</v>
      </c>
      <c r="H2779" s="24">
        <v>25.0</v>
      </c>
      <c r="I2779" s="24">
        <v>0.0</v>
      </c>
      <c r="J2779" s="24">
        <v>1.0</v>
      </c>
      <c r="K2779" s="23" t="s">
        <v>34</v>
      </c>
      <c r="L2779" s="25">
        <v>42453.02333333333</v>
      </c>
      <c r="M2779" s="28"/>
      <c r="N2779" s="26" t="s">
        <v>6649</v>
      </c>
      <c r="O2779" s="22" t="str">
        <f>HYPERLINK("https://pbs.twimg.com/profile_images/745308000592793600/to66nxz-_normal.jpg","View")</f>
        <v>View</v>
      </c>
      <c r="P2779" s="27"/>
    </row>
    <row r="2780">
      <c r="A2780" s="14">
        <v>43031.18420138889</v>
      </c>
      <c r="B2780" s="20" t="str">
        <f>HYPERLINK("https://twitter.com/taniasmirnova8","@taniasmirnova8")</f>
        <v>@taniasmirnova8</v>
      </c>
      <c r="C2780" s="21" t="s">
        <v>6600</v>
      </c>
      <c r="D2780" s="21" t="s">
        <v>5451</v>
      </c>
      <c r="E2780" s="22" t="str">
        <f>HYPERLINK("https://twitter.com/taniasmirnova8/status/922423671997612033","922423671997612033")</f>
        <v>922423671997612033</v>
      </c>
      <c r="F2780" s="23" t="s">
        <v>55</v>
      </c>
      <c r="G2780" s="24">
        <v>4.0</v>
      </c>
      <c r="H2780" s="24">
        <v>0.0</v>
      </c>
      <c r="I2780" s="24">
        <v>62.0</v>
      </c>
      <c r="J2780" s="24">
        <v>0.0</v>
      </c>
      <c r="K2780" s="23" t="s">
        <v>34</v>
      </c>
      <c r="L2780" s="25">
        <v>43015.644062499996</v>
      </c>
      <c r="M2780" s="28"/>
      <c r="N2780" s="28"/>
      <c r="O2780" s="22" t="str">
        <f>HYPERLINK("https://pbs.twimg.com/profile_images/919553263921373184/IVocaqox_normal.jpg","View")</f>
        <v>View</v>
      </c>
      <c r="P2780" s="27"/>
    </row>
    <row r="2781">
      <c r="A2781" s="14">
        <v>43031.184212962966</v>
      </c>
      <c r="B2781" s="20" t="str">
        <f>HYPERLINK("https://twitter.com/AIIAmericanGirI","@AIIAmericanGirI")</f>
        <v>@AIIAmericanGirI</v>
      </c>
      <c r="C2781" s="21" t="s">
        <v>6650</v>
      </c>
      <c r="D2781" s="21" t="s">
        <v>6651</v>
      </c>
      <c r="E2781" s="22" t="str">
        <f>HYPERLINK("https://twitter.com/AIIAmericanGirI/status/922423672698232833","922423672698232833")</f>
        <v>922423672698232833</v>
      </c>
      <c r="F2781" s="23" t="s">
        <v>55</v>
      </c>
      <c r="G2781" s="24">
        <v>108885.0</v>
      </c>
      <c r="H2781" s="24">
        <v>78369.0</v>
      </c>
      <c r="I2781" s="24">
        <v>1.0</v>
      </c>
      <c r="J2781" s="24">
        <v>1.0</v>
      </c>
      <c r="K2781" s="23" t="s">
        <v>34</v>
      </c>
      <c r="L2781" s="25">
        <v>41433.99773148148</v>
      </c>
      <c r="M2781" s="26" t="s">
        <v>6652</v>
      </c>
      <c r="N2781" s="26" t="s">
        <v>6653</v>
      </c>
      <c r="O2781" s="22" t="str">
        <f>HYPERLINK("https://pbs.twimg.com/profile_images/868308621645447170/5FdTxSnK_normal.jpg","View")</f>
        <v>View</v>
      </c>
      <c r="P2781" s="27"/>
    </row>
    <row r="2782">
      <c r="A2782" s="14">
        <v>43031.184317129635</v>
      </c>
      <c r="B2782" s="20" t="str">
        <f>HYPERLINK("https://twitter.com/modinarendra007","@modinarendra007")</f>
        <v>@modinarendra007</v>
      </c>
      <c r="C2782" s="21" t="s">
        <v>2226</v>
      </c>
      <c r="D2782" s="21" t="s">
        <v>6654</v>
      </c>
      <c r="E2782" s="22" t="str">
        <f>HYPERLINK("https://twitter.com/modinarendra007/status/922423711231221760","922423711231221760")</f>
        <v>922423711231221760</v>
      </c>
      <c r="F2782" s="23" t="s">
        <v>33</v>
      </c>
      <c r="G2782" s="24">
        <v>67.0</v>
      </c>
      <c r="H2782" s="24">
        <v>8.0</v>
      </c>
      <c r="I2782" s="24">
        <v>0.0</v>
      </c>
      <c r="J2782" s="24">
        <v>0.0</v>
      </c>
      <c r="K2782" s="23" t="s">
        <v>34</v>
      </c>
      <c r="L2782" s="25">
        <v>43029.91689814815</v>
      </c>
      <c r="M2782" s="26" t="s">
        <v>6655</v>
      </c>
      <c r="N2782" s="26" t="s">
        <v>6656</v>
      </c>
      <c r="O2782" s="22" t="str">
        <f>HYPERLINK("https://pbs.twimg.com/profile_images/921967247043715072/cEYOyDta_normal.jpg","View")</f>
        <v>View</v>
      </c>
      <c r="P2782" s="27"/>
    </row>
    <row r="2783">
      <c r="A2783" s="14">
        <v>43031.184340277774</v>
      </c>
      <c r="B2783" s="20" t="str">
        <f>HYPERLINK("https://twitter.com/VADAKKANTHARA","@VADAKKANTHARA")</f>
        <v>@VADAKKANTHARA</v>
      </c>
      <c r="C2783" s="21" t="s">
        <v>6657</v>
      </c>
      <c r="D2783" s="21" t="s">
        <v>163</v>
      </c>
      <c r="E2783" s="22" t="str">
        <f>HYPERLINK("https://twitter.com/VADAKKANTHARA/status/922423722044256257","922423722044256257")</f>
        <v>922423722044256257</v>
      </c>
      <c r="F2783" s="23" t="s">
        <v>39</v>
      </c>
      <c r="G2783" s="24">
        <v>500.0</v>
      </c>
      <c r="H2783" s="24">
        <v>531.0</v>
      </c>
      <c r="I2783" s="24">
        <v>1005.0</v>
      </c>
      <c r="J2783" s="24">
        <v>0.0</v>
      </c>
      <c r="K2783" s="23" t="s">
        <v>34</v>
      </c>
      <c r="L2783" s="25">
        <v>40176.918078703704</v>
      </c>
      <c r="M2783" s="26" t="s">
        <v>164</v>
      </c>
      <c r="N2783" s="26" t="s">
        <v>6658</v>
      </c>
      <c r="O2783" s="22" t="str">
        <f>HYPERLINK("https://pbs.twimg.com/profile_images/922428069108789249/fPmB1qPG_normal.jpg","View")</f>
        <v>View</v>
      </c>
      <c r="P2783" s="27"/>
    </row>
    <row r="2784">
      <c r="A2784" s="14">
        <v>43031.184375</v>
      </c>
      <c r="B2784" s="20" t="str">
        <f>HYPERLINK("https://twitter.com/mammeri14828361","@mammeri14828361")</f>
        <v>@mammeri14828361</v>
      </c>
      <c r="C2784" s="21" t="s">
        <v>6659</v>
      </c>
      <c r="D2784" s="21" t="s">
        <v>2748</v>
      </c>
      <c r="E2784" s="22" t="str">
        <f>HYPERLINK("https://twitter.com/mammeri14828361/status/922423733347868672","922423733347868672")</f>
        <v>922423733347868672</v>
      </c>
      <c r="F2784" s="23" t="s">
        <v>33</v>
      </c>
      <c r="G2784" s="24">
        <v>1163.0</v>
      </c>
      <c r="H2784" s="24">
        <v>3555.0</v>
      </c>
      <c r="I2784" s="24">
        <v>15.0</v>
      </c>
      <c r="J2784" s="24">
        <v>0.0</v>
      </c>
      <c r="K2784" s="23" t="s">
        <v>34</v>
      </c>
      <c r="L2784" s="25">
        <v>43019.4796412037</v>
      </c>
      <c r="M2784" s="26" t="s">
        <v>6660</v>
      </c>
      <c r="N2784" s="26" t="s">
        <v>6661</v>
      </c>
      <c r="O2784" s="22" t="str">
        <f>HYPERLINK("https://pbs.twimg.com/profile_images/918460128994709505/kmCxXmEM_normal.jpg","View")</f>
        <v>View</v>
      </c>
      <c r="P2784" s="27"/>
    </row>
    <row r="2785">
      <c r="A2785" s="14">
        <v>43031.184432870374</v>
      </c>
      <c r="B2785" s="20" t="str">
        <f>HYPERLINK("https://twitter.com/ariananking","@ariananking")</f>
        <v>@ariananking</v>
      </c>
      <c r="C2785" s="21" t="s">
        <v>6662</v>
      </c>
      <c r="D2785" s="21" t="s">
        <v>6663</v>
      </c>
      <c r="E2785" s="22" t="str">
        <f>HYPERLINK("https://twitter.com/ariananking/status/922423754512322560","922423754512322560")</f>
        <v>922423754512322560</v>
      </c>
      <c r="F2785" s="23" t="s">
        <v>39</v>
      </c>
      <c r="G2785" s="24">
        <v>303.0</v>
      </c>
      <c r="H2785" s="24">
        <v>660.0</v>
      </c>
      <c r="I2785" s="24">
        <v>0.0</v>
      </c>
      <c r="J2785" s="24">
        <v>0.0</v>
      </c>
      <c r="K2785" s="23" t="s">
        <v>34</v>
      </c>
      <c r="L2785" s="25">
        <v>41759.25203703703</v>
      </c>
      <c r="M2785" s="26" t="s">
        <v>120</v>
      </c>
      <c r="N2785" s="26" t="s">
        <v>6664</v>
      </c>
      <c r="O2785" s="22" t="str">
        <f>HYPERLINK("https://pbs.twimg.com/profile_images/667467390930837504/NlaNzm7b_normal.jpg","View")</f>
        <v>View</v>
      </c>
      <c r="P2785" s="27"/>
    </row>
    <row r="2786">
      <c r="A2786" s="14">
        <v>43031.18445601852</v>
      </c>
      <c r="B2786" s="20" t="str">
        <f>HYPERLINK("https://twitter.com/heitakunjane","@heitakunjane")</f>
        <v>@heitakunjane</v>
      </c>
      <c r="C2786" s="21" t="s">
        <v>6665</v>
      </c>
      <c r="D2786" s="21" t="s">
        <v>32</v>
      </c>
      <c r="E2786" s="22" t="str">
        <f>HYPERLINK("https://twitter.com/heitakunjane/status/922423763257487360","922423763257487360")</f>
        <v>922423763257487360</v>
      </c>
      <c r="F2786" s="23" t="s">
        <v>33</v>
      </c>
      <c r="G2786" s="24">
        <v>172.0</v>
      </c>
      <c r="H2786" s="24">
        <v>1534.0</v>
      </c>
      <c r="I2786" s="24">
        <v>471.0</v>
      </c>
      <c r="J2786" s="24">
        <v>0.0</v>
      </c>
      <c r="K2786" s="23" t="s">
        <v>34</v>
      </c>
      <c r="L2786" s="25">
        <v>41462.464050925926</v>
      </c>
      <c r="M2786" s="26" t="s">
        <v>6666</v>
      </c>
      <c r="N2786" s="28"/>
      <c r="O2786" s="22" t="str">
        <f>HYPERLINK("https://pbs.twimg.com/profile_images/876817408576630785/xfIU78CD_normal.jpg","View")</f>
        <v>View</v>
      </c>
      <c r="P2786" s="27"/>
    </row>
    <row r="2787">
      <c r="A2787" s="14">
        <v>43031.1844675926</v>
      </c>
      <c r="B2787" s="20" t="str">
        <f>HYPERLINK("https://twitter.com/ritorbandco","@ritorbandco")</f>
        <v>@ritorbandco</v>
      </c>
      <c r="C2787" s="21" t="s">
        <v>5398</v>
      </c>
      <c r="D2787" s="21" t="s">
        <v>4507</v>
      </c>
      <c r="E2787" s="22" t="str">
        <f>HYPERLINK("https://twitter.com/ritorbandco/status/922423768403738625","922423768403738625")</f>
        <v>922423768403738625</v>
      </c>
      <c r="F2787" s="23" t="s">
        <v>33</v>
      </c>
      <c r="G2787" s="24">
        <v>125.0</v>
      </c>
      <c r="H2787" s="24">
        <v>192.0</v>
      </c>
      <c r="I2787" s="24">
        <v>139.0</v>
      </c>
      <c r="J2787" s="24">
        <v>0.0</v>
      </c>
      <c r="K2787" s="23" t="s">
        <v>34</v>
      </c>
      <c r="L2787" s="25">
        <v>42335.49506944444</v>
      </c>
      <c r="M2787" s="26" t="s">
        <v>1137</v>
      </c>
      <c r="N2787" s="26" t="s">
        <v>5399</v>
      </c>
      <c r="O2787" s="22" t="str">
        <f>HYPERLINK("https://pbs.twimg.com/profile_images/670330674377678848/CYaA3tsN_normal.jpg","View")</f>
        <v>View</v>
      </c>
      <c r="P2787" s="27"/>
    </row>
    <row r="2788">
      <c r="A2788" s="14">
        <v>43031.18456018518</v>
      </c>
      <c r="B2788" s="20" t="str">
        <f>HYPERLINK("https://twitter.com/bhodia1","@bhodia1")</f>
        <v>@bhodia1</v>
      </c>
      <c r="C2788" s="21" t="s">
        <v>6667</v>
      </c>
      <c r="D2788" s="21" t="s">
        <v>42</v>
      </c>
      <c r="E2788" s="22" t="str">
        <f>HYPERLINK("https://twitter.com/bhodia1/status/922423800523714561","922423800523714561")</f>
        <v>922423800523714561</v>
      </c>
      <c r="F2788" s="23" t="s">
        <v>33</v>
      </c>
      <c r="G2788" s="24">
        <v>207.0</v>
      </c>
      <c r="H2788" s="24">
        <v>98.0</v>
      </c>
      <c r="I2788" s="24">
        <v>8501.0</v>
      </c>
      <c r="J2788" s="24">
        <v>0.0</v>
      </c>
      <c r="K2788" s="23" t="s">
        <v>34</v>
      </c>
      <c r="L2788" s="25">
        <v>40307.03400462963</v>
      </c>
      <c r="M2788" s="26" t="s">
        <v>1991</v>
      </c>
      <c r="N2788" s="26" t="s">
        <v>6668</v>
      </c>
      <c r="O2788" s="22" t="str">
        <f>HYPERLINK("https://pbs.twimg.com/profile_images/456663264282169344/utx0D9eK_normal.jpeg","View")</f>
        <v>View</v>
      </c>
      <c r="P2788" s="27"/>
    </row>
    <row r="2789">
      <c r="A2789" s="14">
        <v>43031.18460648148</v>
      </c>
      <c r="B2789" s="20" t="str">
        <f>HYPERLINK("https://twitter.com/MikedeRoode","@MikedeRoode")</f>
        <v>@MikedeRoode</v>
      </c>
      <c r="C2789" s="21" t="s">
        <v>6669</v>
      </c>
      <c r="D2789" s="21" t="s">
        <v>6670</v>
      </c>
      <c r="E2789" s="22" t="str">
        <f>HYPERLINK("https://twitter.com/MikedeRoode/status/922423818425118721","922423818425118721")</f>
        <v>922423818425118721</v>
      </c>
      <c r="F2789" s="23" t="s">
        <v>39</v>
      </c>
      <c r="G2789" s="24">
        <v>3028.0</v>
      </c>
      <c r="H2789" s="24">
        <v>1859.0</v>
      </c>
      <c r="I2789" s="24">
        <v>18.0</v>
      </c>
      <c r="J2789" s="24">
        <v>0.0</v>
      </c>
      <c r="K2789" s="23" t="s">
        <v>34</v>
      </c>
      <c r="L2789" s="25">
        <v>39827.39135416667</v>
      </c>
      <c r="M2789" s="26" t="s">
        <v>6671</v>
      </c>
      <c r="N2789" s="26" t="s">
        <v>6672</v>
      </c>
      <c r="O2789" s="22" t="str">
        <f>HYPERLINK("https://pbs.twimg.com/profile_images/893031551801344001/1aafNLGq_normal.jpg","View")</f>
        <v>View</v>
      </c>
      <c r="P2789" s="27"/>
    </row>
    <row r="2790">
      <c r="A2790" s="14">
        <v>43031.18478009259</v>
      </c>
      <c r="B2790" s="20" t="str">
        <f>HYPERLINK("https://twitter.com/New_Narrative","@New_Narrative")</f>
        <v>@New_Narrative</v>
      </c>
      <c r="C2790" s="21" t="s">
        <v>6409</v>
      </c>
      <c r="D2790" s="21" t="s">
        <v>6673</v>
      </c>
      <c r="E2790" s="22" t="str">
        <f>HYPERLINK("https://twitter.com/New_Narrative/status/922423880370868225","922423880370868225")</f>
        <v>922423880370868225</v>
      </c>
      <c r="F2790" s="23" t="s">
        <v>39</v>
      </c>
      <c r="G2790" s="24">
        <v>6536.0</v>
      </c>
      <c r="H2790" s="24">
        <v>27.0</v>
      </c>
      <c r="I2790" s="24">
        <v>0.0</v>
      </c>
      <c r="J2790" s="24">
        <v>1.0</v>
      </c>
      <c r="K2790" s="23" t="s">
        <v>34</v>
      </c>
      <c r="L2790" s="25">
        <v>40566.38041666667</v>
      </c>
      <c r="M2790" s="26" t="s">
        <v>6411</v>
      </c>
      <c r="N2790" s="26" t="s">
        <v>6412</v>
      </c>
      <c r="O2790" s="22" t="str">
        <f>HYPERLINK("https://pbs.twimg.com/profile_images/1548673665/megaphone-kid-cropped_normal.jpg","View")</f>
        <v>View</v>
      </c>
      <c r="P2790" s="27"/>
    </row>
    <row r="2791">
      <c r="A2791" s="14">
        <v>43031.18482638889</v>
      </c>
      <c r="B2791" s="20" t="str">
        <f>HYPERLINK("https://twitter.com/drjayantvishe","@drjayantvishe")</f>
        <v>@drjayantvishe</v>
      </c>
      <c r="C2791" s="21" t="s">
        <v>6674</v>
      </c>
      <c r="D2791" s="21" t="s">
        <v>42</v>
      </c>
      <c r="E2791" s="22" t="str">
        <f>HYPERLINK("https://twitter.com/drjayantvishe/status/922423895088496640","922423895088496640")</f>
        <v>922423895088496640</v>
      </c>
      <c r="F2791" s="23" t="s">
        <v>33</v>
      </c>
      <c r="G2791" s="24">
        <v>239.0</v>
      </c>
      <c r="H2791" s="24">
        <v>252.0</v>
      </c>
      <c r="I2791" s="24">
        <v>8501.0</v>
      </c>
      <c r="J2791" s="24">
        <v>0.0</v>
      </c>
      <c r="K2791" s="23" t="s">
        <v>34</v>
      </c>
      <c r="L2791" s="25">
        <v>42337.897731481484</v>
      </c>
      <c r="M2791" s="26" t="s">
        <v>246</v>
      </c>
      <c r="N2791" s="26" t="s">
        <v>6675</v>
      </c>
      <c r="O2791" s="22" t="str">
        <f>HYPERLINK("https://pbs.twimg.com/profile_images/825396354365194241/ASCECRVS_normal.jpg","View")</f>
        <v>View</v>
      </c>
      <c r="P2791" s="27"/>
    </row>
    <row r="2792">
      <c r="A2792" s="14">
        <v>43031.18482638889</v>
      </c>
      <c r="B2792" s="20" t="str">
        <f>HYPERLINK("https://twitter.com/ivan11ivanov1","@ivan11ivanov1")</f>
        <v>@ivan11ivanov1</v>
      </c>
      <c r="C2792" s="21" t="s">
        <v>6632</v>
      </c>
      <c r="D2792" s="21" t="s">
        <v>404</v>
      </c>
      <c r="E2792" s="22" t="str">
        <f>HYPERLINK("https://twitter.com/ivan11ivanov1/status/922423898607513606","922423898607513606")</f>
        <v>922423898607513606</v>
      </c>
      <c r="F2792" s="23" t="s">
        <v>55</v>
      </c>
      <c r="G2792" s="24">
        <v>1.0</v>
      </c>
      <c r="H2792" s="24">
        <v>0.0</v>
      </c>
      <c r="I2792" s="24">
        <v>59.0</v>
      </c>
      <c r="J2792" s="24">
        <v>0.0</v>
      </c>
      <c r="K2792" s="23" t="s">
        <v>34</v>
      </c>
      <c r="L2792" s="25">
        <v>43015.561215277776</v>
      </c>
      <c r="M2792" s="28"/>
      <c r="N2792" s="28"/>
      <c r="O2792" s="22" t="str">
        <f>HYPERLINK("https://pbs.twimg.com/profile_images/921013112567840770/TXy64Tah_normal.jpg","View")</f>
        <v>View</v>
      </c>
      <c r="P2792" s="27"/>
    </row>
    <row r="2793">
      <c r="A2793" s="14">
        <v>43031.184849537036</v>
      </c>
      <c r="B2793" s="20" t="str">
        <f>HYPERLINK("https://twitter.com/aiammaia","@aiammaia")</f>
        <v>@aiammaia</v>
      </c>
      <c r="C2793" s="21" t="s">
        <v>6676</v>
      </c>
      <c r="D2793" s="21" t="s">
        <v>6677</v>
      </c>
      <c r="E2793" s="22" t="str">
        <f>HYPERLINK("https://twitter.com/aiammaia/status/922423903418544128","922423903418544128")</f>
        <v>922423903418544128</v>
      </c>
      <c r="F2793" s="23" t="s">
        <v>55</v>
      </c>
      <c r="G2793" s="24">
        <v>573.0</v>
      </c>
      <c r="H2793" s="24">
        <v>907.0</v>
      </c>
      <c r="I2793" s="24">
        <v>0.0</v>
      </c>
      <c r="J2793" s="24">
        <v>0.0</v>
      </c>
      <c r="K2793" s="23" t="s">
        <v>34</v>
      </c>
      <c r="L2793" s="25">
        <v>39646.75938657408</v>
      </c>
      <c r="M2793" s="26" t="s">
        <v>6678</v>
      </c>
      <c r="N2793" s="26" t="s">
        <v>6679</v>
      </c>
      <c r="O2793" s="22" t="str">
        <f>HYPERLINK("https://pbs.twimg.com/profile_images/3136519909/524e606c9de724d386a88b49f4cfa323_normal.png","View")</f>
        <v>View</v>
      </c>
      <c r="P2793" s="27"/>
    </row>
    <row r="2794">
      <c r="A2794" s="14">
        <v>43031.184849537036</v>
      </c>
      <c r="B2794" s="20" t="str">
        <f>HYPERLINK("https://twitter.com/saneeshcreation","@saneeshcreation")</f>
        <v>@saneeshcreation</v>
      </c>
      <c r="C2794" s="21" t="s">
        <v>6680</v>
      </c>
      <c r="D2794" s="21" t="s">
        <v>42</v>
      </c>
      <c r="E2794" s="22" t="str">
        <f>HYPERLINK("https://twitter.com/saneeshcreation/status/922423906832732161","922423906832732161")</f>
        <v>922423906832732161</v>
      </c>
      <c r="F2794" s="23" t="s">
        <v>39</v>
      </c>
      <c r="G2794" s="24">
        <v>30.0</v>
      </c>
      <c r="H2794" s="24">
        <v>156.0</v>
      </c>
      <c r="I2794" s="24">
        <v>8501.0</v>
      </c>
      <c r="J2794" s="24">
        <v>0.0</v>
      </c>
      <c r="K2794" s="23" t="s">
        <v>34</v>
      </c>
      <c r="L2794" s="25">
        <v>41945.08259259259</v>
      </c>
      <c r="M2794" s="26" t="s">
        <v>6681</v>
      </c>
      <c r="N2794" s="28"/>
      <c r="O2794" s="22" t="str">
        <f>HYPERLINK("https://pbs.twimg.com/profile_images/843049727000301568/QHYqvYz3_normal.jpg","View")</f>
        <v>View</v>
      </c>
      <c r="P2794" s="27"/>
    </row>
    <row r="2795">
      <c r="A2795" s="14">
        <v>43031.184849537036</v>
      </c>
      <c r="B2795" s="20" t="str">
        <f>HYPERLINK("https://twitter.com/Monalisazelf","@Monalisazelf")</f>
        <v>@Monalisazelf</v>
      </c>
      <c r="C2795" s="21" t="s">
        <v>1262</v>
      </c>
      <c r="D2795" s="21" t="s">
        <v>5601</v>
      </c>
      <c r="E2795" s="22" t="str">
        <f>HYPERLINK("https://twitter.com/Monalisazelf/status/922423907235368961","922423907235368961")</f>
        <v>922423907235368961</v>
      </c>
      <c r="F2795" s="23" t="s">
        <v>33</v>
      </c>
      <c r="G2795" s="24">
        <v>1541.0</v>
      </c>
      <c r="H2795" s="24">
        <v>4392.0</v>
      </c>
      <c r="I2795" s="24">
        <v>15.0</v>
      </c>
      <c r="J2795" s="24">
        <v>0.0</v>
      </c>
      <c r="K2795" s="23" t="s">
        <v>34</v>
      </c>
      <c r="L2795" s="25">
        <v>40142.19084490741</v>
      </c>
      <c r="M2795" s="28"/>
      <c r="N2795" s="26" t="s">
        <v>1263</v>
      </c>
      <c r="O2795" s="22" t="str">
        <f>HYPERLINK("https://pbs.twimg.com/profile_images/843806789003042816/_YrsHDLc_normal.jpg","View")</f>
        <v>View</v>
      </c>
      <c r="P2795" s="27"/>
    </row>
    <row r="2796">
      <c r="A2796" s="14">
        <v>43031.18489583333</v>
      </c>
      <c r="B2796" s="20" t="str">
        <f>HYPERLINK("https://twitter.com/love_umei","@love_umei")</f>
        <v>@love_umei</v>
      </c>
      <c r="C2796" s="21" t="s">
        <v>6682</v>
      </c>
      <c r="D2796" s="21" t="s">
        <v>6683</v>
      </c>
      <c r="E2796" s="22" t="str">
        <f>HYPERLINK("https://twitter.com/love_umei/status/922423921596657664","922423921596657664")</f>
        <v>922423921596657664</v>
      </c>
      <c r="F2796" s="23" t="s">
        <v>187</v>
      </c>
      <c r="G2796" s="24">
        <v>181.0</v>
      </c>
      <c r="H2796" s="24">
        <v>115.0</v>
      </c>
      <c r="I2796" s="24">
        <v>0.0</v>
      </c>
      <c r="J2796" s="24">
        <v>0.0</v>
      </c>
      <c r="K2796" s="23" t="s">
        <v>34</v>
      </c>
      <c r="L2796" s="25">
        <v>39934.510243055556</v>
      </c>
      <c r="M2796" s="26" t="s">
        <v>6684</v>
      </c>
      <c r="N2796" s="26" t="s">
        <v>6685</v>
      </c>
      <c r="O2796" s="22" t="str">
        <f>HYPERLINK("https://pbs.twimg.com/profile_images/922544723239223297/xnBDHftj_normal.jpg","View")</f>
        <v>View</v>
      </c>
      <c r="P2796" s="27"/>
    </row>
    <row r="2797">
      <c r="A2797" s="14">
        <v>43031.18493055555</v>
      </c>
      <c r="B2797" s="20" t="str">
        <f>HYPERLINK("https://twitter.com/RAJPUTAKS7","@RAJPUTAKS7")</f>
        <v>@RAJPUTAKS7</v>
      </c>
      <c r="C2797" s="21" t="s">
        <v>6686</v>
      </c>
      <c r="D2797" s="21" t="s">
        <v>42</v>
      </c>
      <c r="E2797" s="22" t="str">
        <f>HYPERLINK("https://twitter.com/RAJPUTAKS7/status/922423934577811457","922423934577811457")</f>
        <v>922423934577811457</v>
      </c>
      <c r="F2797" s="23" t="s">
        <v>33</v>
      </c>
      <c r="G2797" s="24">
        <v>519.0</v>
      </c>
      <c r="H2797" s="24">
        <v>266.0</v>
      </c>
      <c r="I2797" s="24">
        <v>8501.0</v>
      </c>
      <c r="J2797" s="24">
        <v>0.0</v>
      </c>
      <c r="K2797" s="23" t="s">
        <v>34</v>
      </c>
      <c r="L2797" s="25">
        <v>42662.72440972222</v>
      </c>
      <c r="M2797" s="26" t="s">
        <v>204</v>
      </c>
      <c r="N2797" s="26" t="s">
        <v>6687</v>
      </c>
      <c r="O2797" s="22" t="str">
        <f>HYPERLINK("https://pbs.twimg.com/profile_images/914190609908326400/BTQHahMY_normal.jpg","View")</f>
        <v>View</v>
      </c>
      <c r="P2797" s="27"/>
    </row>
    <row r="2798">
      <c r="A2798" s="14">
        <v>43031.18502314815</v>
      </c>
      <c r="B2798" s="20" t="str">
        <f>HYPERLINK("https://twitter.com/yoyopandaking","@yoyopandaking")</f>
        <v>@yoyopandaking</v>
      </c>
      <c r="C2798" s="21" t="s">
        <v>6688</v>
      </c>
      <c r="D2798" s="21" t="s">
        <v>42</v>
      </c>
      <c r="E2798" s="22" t="str">
        <f>HYPERLINK("https://twitter.com/yoyopandaking/status/922423967842836480","922423967842836480")</f>
        <v>922423967842836480</v>
      </c>
      <c r="F2798" s="23" t="s">
        <v>33</v>
      </c>
      <c r="G2798" s="24">
        <v>143.0</v>
      </c>
      <c r="H2798" s="24">
        <v>1014.0</v>
      </c>
      <c r="I2798" s="24">
        <v>8501.0</v>
      </c>
      <c r="J2798" s="24">
        <v>0.0</v>
      </c>
      <c r="K2798" s="23" t="s">
        <v>34</v>
      </c>
      <c r="L2798" s="25">
        <v>42408.399143518516</v>
      </c>
      <c r="M2798" s="26" t="s">
        <v>1532</v>
      </c>
      <c r="N2798" s="26" t="s">
        <v>6689</v>
      </c>
      <c r="O2798" s="22" t="str">
        <f>HYPERLINK("https://pbs.twimg.com/profile_images/696750404793561089/Xx-Q-RHR_normal.jpg","View")</f>
        <v>View</v>
      </c>
      <c r="P2798" s="27"/>
    </row>
    <row r="2799">
      <c r="A2799" s="14">
        <v>43031.18508101851</v>
      </c>
      <c r="B2799" s="20" t="str">
        <f>HYPERLINK("https://twitter.com/SiddharthaPanj2","@SiddharthaPanj2")</f>
        <v>@SiddharthaPanj2</v>
      </c>
      <c r="C2799" s="21" t="s">
        <v>6690</v>
      </c>
      <c r="D2799" s="21" t="s">
        <v>42</v>
      </c>
      <c r="E2799" s="22" t="str">
        <f>HYPERLINK("https://twitter.com/SiddharthaPanj2/status/922423988164239360","922423988164239360")</f>
        <v>922423988164239360</v>
      </c>
      <c r="F2799" s="23" t="s">
        <v>33</v>
      </c>
      <c r="G2799" s="24">
        <v>24.0</v>
      </c>
      <c r="H2799" s="24">
        <v>310.0</v>
      </c>
      <c r="I2799" s="24">
        <v>8501.0</v>
      </c>
      <c r="J2799" s="24">
        <v>0.0</v>
      </c>
      <c r="K2799" s="23" t="s">
        <v>34</v>
      </c>
      <c r="L2799" s="25">
        <v>42693.868310185186</v>
      </c>
      <c r="M2799" s="26" t="s">
        <v>6691</v>
      </c>
      <c r="N2799" s="28"/>
      <c r="O2799" s="22" t="str">
        <f>HYPERLINK("https://pbs.twimg.com/profile_images/800253934162112512/Wdv2T9Cf_normal.jpg","View")</f>
        <v>View</v>
      </c>
      <c r="P2799" s="27"/>
    </row>
    <row r="2800">
      <c r="A2800" s="14">
        <v>43031.18511574074</v>
      </c>
      <c r="B2800" s="20" t="str">
        <f>HYPERLINK("https://twitter.com/Nihar_Patra_","@Nihar_Patra_")</f>
        <v>@Nihar_Patra_</v>
      </c>
      <c r="C2800" s="21" t="s">
        <v>6692</v>
      </c>
      <c r="D2800" s="21" t="s">
        <v>6693</v>
      </c>
      <c r="E2800" s="22" t="str">
        <f>HYPERLINK("https://twitter.com/Nihar_Patra_/status/922424002173272064","922424002173272064")</f>
        <v>922424002173272064</v>
      </c>
      <c r="F2800" s="23" t="s">
        <v>33</v>
      </c>
      <c r="G2800" s="24">
        <v>11.0</v>
      </c>
      <c r="H2800" s="24">
        <v>126.0</v>
      </c>
      <c r="I2800" s="24">
        <v>0.0</v>
      </c>
      <c r="J2800" s="24">
        <v>0.0</v>
      </c>
      <c r="K2800" s="23" t="s">
        <v>34</v>
      </c>
      <c r="L2800" s="25">
        <v>42697.08064814815</v>
      </c>
      <c r="M2800" s="28"/>
      <c r="N2800" s="28"/>
      <c r="O2800" s="22" t="str">
        <f>HYPERLINK("https://pbs.twimg.com/profile_images/805345955155308544/SKgYKFFI_normal.jpg","View")</f>
        <v>View</v>
      </c>
      <c r="P2800" s="27"/>
    </row>
    <row r="2801">
      <c r="A2801" s="14">
        <v>43031.18518518518</v>
      </c>
      <c r="B2801" s="20" t="str">
        <f>HYPERLINK("https://twitter.com/shivhermonite","@shivhermonite")</f>
        <v>@shivhermonite</v>
      </c>
      <c r="C2801" s="21" t="s">
        <v>6694</v>
      </c>
      <c r="D2801" s="21" t="s">
        <v>42</v>
      </c>
      <c r="E2801" s="22" t="str">
        <f>HYPERLINK("https://twitter.com/shivhermonite/status/922424028991602688","922424028991602688")</f>
        <v>922424028991602688</v>
      </c>
      <c r="F2801" s="23" t="s">
        <v>230</v>
      </c>
      <c r="G2801" s="24">
        <v>365.0</v>
      </c>
      <c r="H2801" s="24">
        <v>503.0</v>
      </c>
      <c r="I2801" s="24">
        <v>8501.0</v>
      </c>
      <c r="J2801" s="24">
        <v>0.0</v>
      </c>
      <c r="K2801" s="23" t="s">
        <v>34</v>
      </c>
      <c r="L2801" s="25">
        <v>40461.25570601852</v>
      </c>
      <c r="M2801" s="26" t="s">
        <v>6695</v>
      </c>
      <c r="N2801" s="26" t="s">
        <v>6696</v>
      </c>
      <c r="O2801" s="22" t="str">
        <f t="shared" ref="O2801:O2802" si="48">HYPERLINK("https://abs.twimg.com/sticky/default_profile_images/default_profile_normal.png","View")</f>
        <v>View</v>
      </c>
      <c r="P2801" s="27"/>
    </row>
    <row r="2802">
      <c r="A2802" s="14">
        <v>43031.185266203705</v>
      </c>
      <c r="B2802" s="20" t="str">
        <f>HYPERLINK("https://twitter.com/dukataka1","@dukataka1")</f>
        <v>@dukataka1</v>
      </c>
      <c r="C2802" s="21" t="s">
        <v>6697</v>
      </c>
      <c r="D2802" s="21" t="s">
        <v>6403</v>
      </c>
      <c r="E2802" s="22" t="str">
        <f>HYPERLINK("https://twitter.com/dukataka1/status/922424054375575552","922424054375575552")</f>
        <v>922424054375575552</v>
      </c>
      <c r="F2802" s="23" t="s">
        <v>39</v>
      </c>
      <c r="G2802" s="24">
        <v>714.0</v>
      </c>
      <c r="H2802" s="24">
        <v>1979.0</v>
      </c>
      <c r="I2802" s="24">
        <v>97.0</v>
      </c>
      <c r="J2802" s="24">
        <v>0.0</v>
      </c>
      <c r="K2802" s="23" t="s">
        <v>34</v>
      </c>
      <c r="L2802" s="25">
        <v>40812.29818287037</v>
      </c>
      <c r="M2802" s="26" t="s">
        <v>6698</v>
      </c>
      <c r="N2802" s="26" t="s">
        <v>6699</v>
      </c>
      <c r="O2802" s="22" t="str">
        <f t="shared" si="48"/>
        <v>View</v>
      </c>
      <c r="P2802" s="27"/>
    </row>
    <row r="2803">
      <c r="A2803" s="14">
        <v>43031.18527777778</v>
      </c>
      <c r="B2803" s="20" t="str">
        <f>HYPERLINK("https://twitter.com/Hnurse07","@Hnurse07")</f>
        <v>@Hnurse07</v>
      </c>
      <c r="C2803" s="21" t="s">
        <v>6700</v>
      </c>
      <c r="D2803" s="21" t="s">
        <v>6670</v>
      </c>
      <c r="E2803" s="22" t="str">
        <f>HYPERLINK("https://twitter.com/Hnurse07/status/922424060709044225","922424060709044225")</f>
        <v>922424060709044225</v>
      </c>
      <c r="F2803" s="23" t="s">
        <v>33</v>
      </c>
      <c r="G2803" s="24">
        <v>1516.0</v>
      </c>
      <c r="H2803" s="24">
        <v>769.0</v>
      </c>
      <c r="I2803" s="24">
        <v>18.0</v>
      </c>
      <c r="J2803" s="24">
        <v>0.0</v>
      </c>
      <c r="K2803" s="23" t="s">
        <v>34</v>
      </c>
      <c r="L2803" s="25">
        <v>40690.24947916667</v>
      </c>
      <c r="M2803" s="26" t="s">
        <v>6701</v>
      </c>
      <c r="N2803" s="28"/>
      <c r="O2803" s="22" t="str">
        <f>HYPERLINK("https://pbs.twimg.com/profile_images/451487901042614272/_ksdd1do_normal.jpeg","View")</f>
        <v>View</v>
      </c>
      <c r="P2803" s="27"/>
    </row>
    <row r="2804">
      <c r="A2804" s="14">
        <v>43031.185312500005</v>
      </c>
      <c r="B2804" s="20" t="str">
        <f>HYPERLINK("https://twitter.com/ishivampandey19","@ishivampandey19")</f>
        <v>@ishivampandey19</v>
      </c>
      <c r="C2804" s="21" t="s">
        <v>6702</v>
      </c>
      <c r="D2804" s="21" t="s">
        <v>42</v>
      </c>
      <c r="E2804" s="22" t="str">
        <f>HYPERLINK("https://twitter.com/ishivampandey19/status/922424072637698049","922424072637698049")</f>
        <v>922424072637698049</v>
      </c>
      <c r="F2804" s="23" t="s">
        <v>33</v>
      </c>
      <c r="G2804" s="24">
        <v>174.0</v>
      </c>
      <c r="H2804" s="24">
        <v>1479.0</v>
      </c>
      <c r="I2804" s="24">
        <v>8501.0</v>
      </c>
      <c r="J2804" s="24">
        <v>0.0</v>
      </c>
      <c r="K2804" s="23" t="s">
        <v>34</v>
      </c>
      <c r="L2804" s="25">
        <v>42513.13160879629</v>
      </c>
      <c r="M2804" s="26" t="s">
        <v>204</v>
      </c>
      <c r="N2804" s="26" t="s">
        <v>6703</v>
      </c>
      <c r="O2804" s="22" t="str">
        <f>HYPERLINK("https://pbs.twimg.com/profile_images/894835131440963584/2Zv9-6zo_normal.jpg","View")</f>
        <v>View</v>
      </c>
      <c r="P2804" s="27"/>
    </row>
    <row r="2805">
      <c r="A2805" s="14">
        <v>43031.185335648144</v>
      </c>
      <c r="B2805" s="20" t="str">
        <f>HYPERLINK("https://twitter.com/boothejoan_","@boothejoan_")</f>
        <v>@boothejoan_</v>
      </c>
      <c r="C2805" s="21" t="s">
        <v>6704</v>
      </c>
      <c r="D2805" s="21" t="s">
        <v>2595</v>
      </c>
      <c r="E2805" s="22" t="str">
        <f>HYPERLINK("https://twitter.com/boothejoan_/status/922424082376876032","922424082376876032")</f>
        <v>922424082376876032</v>
      </c>
      <c r="F2805" s="23" t="s">
        <v>39</v>
      </c>
      <c r="G2805" s="24">
        <v>436.0</v>
      </c>
      <c r="H2805" s="24">
        <v>332.0</v>
      </c>
      <c r="I2805" s="24">
        <v>170.0</v>
      </c>
      <c r="J2805" s="24">
        <v>0.0</v>
      </c>
      <c r="K2805" s="23" t="s">
        <v>34</v>
      </c>
      <c r="L2805" s="25">
        <v>42848.66091435185</v>
      </c>
      <c r="M2805" s="26" t="s">
        <v>2534</v>
      </c>
      <c r="N2805" s="26" t="s">
        <v>6705</v>
      </c>
      <c r="O2805" s="22" t="str">
        <f>HYPERLINK("https://pbs.twimg.com/profile_images/912884913283768322/ilWDbAqM_normal.jpg","View")</f>
        <v>View</v>
      </c>
      <c r="P2805" s="27"/>
    </row>
    <row r="2806">
      <c r="A2806" s="14">
        <v>43031.1853587963</v>
      </c>
      <c r="B2806" s="20" t="str">
        <f>HYPERLINK("https://twitter.com/fandinogiovanni","@fandinogiovanni")</f>
        <v>@fandinogiovanni</v>
      </c>
      <c r="C2806" s="21" t="s">
        <v>6706</v>
      </c>
      <c r="D2806" s="21" t="s">
        <v>6707</v>
      </c>
      <c r="E2806" s="22" t="str">
        <f>HYPERLINK("https://twitter.com/fandinogiovanni/status/922424089989533696","922424089989533696")</f>
        <v>922424089989533696</v>
      </c>
      <c r="F2806" s="23" t="s">
        <v>230</v>
      </c>
      <c r="G2806" s="24">
        <v>1847.0</v>
      </c>
      <c r="H2806" s="24">
        <v>1825.0</v>
      </c>
      <c r="I2806" s="24">
        <v>0.0</v>
      </c>
      <c r="J2806" s="24">
        <v>0.0</v>
      </c>
      <c r="K2806" s="23" t="s">
        <v>34</v>
      </c>
      <c r="L2806" s="25">
        <v>39983.642743055556</v>
      </c>
      <c r="M2806" s="26" t="s">
        <v>6708</v>
      </c>
      <c r="N2806" s="26" t="s">
        <v>6709</v>
      </c>
      <c r="O2806" s="22" t="str">
        <f>HYPERLINK("https://pbs.twimg.com/profile_images/3170798981/d26195fffa2658e0ea6be0715646b26c_normal.jpeg","View")</f>
        <v>View</v>
      </c>
      <c r="P2806" s="27"/>
    </row>
    <row r="2807">
      <c r="A2807" s="14">
        <v>43031.18540509259</v>
      </c>
      <c r="B2807" s="20" t="str">
        <f>HYPERLINK("https://twitter.com/ivan11ivanov1","@ivan11ivanov1")</f>
        <v>@ivan11ivanov1</v>
      </c>
      <c r="C2807" s="21" t="s">
        <v>6632</v>
      </c>
      <c r="D2807" s="21" t="s">
        <v>5451</v>
      </c>
      <c r="E2807" s="22" t="str">
        <f>HYPERLINK("https://twitter.com/ivan11ivanov1/status/922424107047690240","922424107047690240")</f>
        <v>922424107047690240</v>
      </c>
      <c r="F2807" s="23" t="s">
        <v>55</v>
      </c>
      <c r="G2807" s="24">
        <v>1.0</v>
      </c>
      <c r="H2807" s="24">
        <v>0.0</v>
      </c>
      <c r="I2807" s="24">
        <v>62.0</v>
      </c>
      <c r="J2807" s="24">
        <v>0.0</v>
      </c>
      <c r="K2807" s="23" t="s">
        <v>34</v>
      </c>
      <c r="L2807" s="25">
        <v>43015.561215277776</v>
      </c>
      <c r="M2807" s="28"/>
      <c r="N2807" s="28"/>
      <c r="O2807" s="22" t="str">
        <f>HYPERLINK("https://pbs.twimg.com/profile_images/921013112567840770/TXy64Tah_normal.jpg","View")</f>
        <v>View</v>
      </c>
      <c r="P2807" s="27"/>
    </row>
    <row r="2808">
      <c r="A2808" s="14">
        <v>43031.18545138889</v>
      </c>
      <c r="B2808" s="20" t="str">
        <f>HYPERLINK("https://twitter.com/bulletguru","@bulletguru")</f>
        <v>@bulletguru</v>
      </c>
      <c r="C2808" s="21" t="s">
        <v>6710</v>
      </c>
      <c r="D2808" s="21" t="s">
        <v>163</v>
      </c>
      <c r="E2808" s="22" t="str">
        <f>HYPERLINK("https://twitter.com/bulletguru/status/922424121480187908","922424121480187908")</f>
        <v>922424121480187908</v>
      </c>
      <c r="F2808" s="23" t="s">
        <v>39</v>
      </c>
      <c r="G2808" s="24">
        <v>232.0</v>
      </c>
      <c r="H2808" s="24">
        <v>467.0</v>
      </c>
      <c r="I2808" s="24">
        <v>1005.0</v>
      </c>
      <c r="J2808" s="24">
        <v>0.0</v>
      </c>
      <c r="K2808" s="23" t="s">
        <v>34</v>
      </c>
      <c r="L2808" s="25">
        <v>40267.470196759255</v>
      </c>
      <c r="M2808" s="26" t="s">
        <v>6711</v>
      </c>
      <c r="N2808" s="26" t="s">
        <v>6712</v>
      </c>
      <c r="O2808" s="22" t="str">
        <f>HYPERLINK("https://pbs.twimg.com/profile_images/879406941969170432/yMG63lND_normal.jpg","View")</f>
        <v>View</v>
      </c>
      <c r="P2808" s="27"/>
    </row>
    <row r="2809">
      <c r="A2809" s="14">
        <v>43031.18550925926</v>
      </c>
      <c r="B2809" s="20" t="str">
        <f>HYPERLINK("https://twitter.com/fxyeah","@fxyeah")</f>
        <v>@fxyeah</v>
      </c>
      <c r="C2809" s="29" t="s">
        <v>6713</v>
      </c>
      <c r="D2809" s="21" t="s">
        <v>6714</v>
      </c>
      <c r="E2809" s="22" t="str">
        <f>HYPERLINK("https://twitter.com/fxyeah/status/922424144846757888","922424144846757888")</f>
        <v>922424144846757888</v>
      </c>
      <c r="F2809" s="30" t="s">
        <v>411</v>
      </c>
      <c r="G2809" s="24">
        <v>165.0</v>
      </c>
      <c r="H2809" s="24">
        <v>145.0</v>
      </c>
      <c r="I2809" s="24">
        <v>0.0</v>
      </c>
      <c r="J2809" s="24">
        <v>0.0</v>
      </c>
      <c r="K2809" s="23" t="s">
        <v>34</v>
      </c>
      <c r="L2809" s="25">
        <v>40989.82074074074</v>
      </c>
      <c r="M2809" s="28"/>
      <c r="N2809" s="26" t="s">
        <v>6715</v>
      </c>
      <c r="O2809" s="22" t="str">
        <f>HYPERLINK("https://pbs.twimg.com/profile_images/774117587856699392/y0vZ1uPl_normal.jpg","View")</f>
        <v>View</v>
      </c>
      <c r="P2809" s="27"/>
    </row>
    <row r="2810">
      <c r="A2810" s="14">
        <v>43031.18552083333</v>
      </c>
      <c r="B2810" s="20" t="str">
        <f>HYPERLINK("https://twitter.com/SwarnenduAME","@SwarnenduAME")</f>
        <v>@SwarnenduAME</v>
      </c>
      <c r="C2810" s="21" t="s">
        <v>6716</v>
      </c>
      <c r="D2810" s="21" t="s">
        <v>42</v>
      </c>
      <c r="E2810" s="22" t="str">
        <f>HYPERLINK("https://twitter.com/SwarnenduAME/status/922424146591543296","922424146591543296")</f>
        <v>922424146591543296</v>
      </c>
      <c r="F2810" s="23" t="s">
        <v>33</v>
      </c>
      <c r="G2810" s="24">
        <v>175.0</v>
      </c>
      <c r="H2810" s="24">
        <v>649.0</v>
      </c>
      <c r="I2810" s="24">
        <v>8501.0</v>
      </c>
      <c r="J2810" s="24">
        <v>0.0</v>
      </c>
      <c r="K2810" s="23" t="s">
        <v>34</v>
      </c>
      <c r="L2810" s="25">
        <v>42527.342465277776</v>
      </c>
      <c r="M2810" s="26" t="s">
        <v>6717</v>
      </c>
      <c r="N2810" s="26" t="s">
        <v>6718</v>
      </c>
      <c r="O2810" s="22" t="str">
        <f>HYPERLINK("https://pbs.twimg.com/profile_images/920024129884921856/bwRGz9oy_normal.jpg","View")</f>
        <v>View</v>
      </c>
      <c r="P2810" s="27"/>
    </row>
    <row r="2811">
      <c r="A2811" s="14">
        <v>43031.18561342593</v>
      </c>
      <c r="B2811" s="20" t="str">
        <f>HYPERLINK("https://twitter.com/pranavsirohi","@pranavsirohi")</f>
        <v>@pranavsirohi</v>
      </c>
      <c r="C2811" s="21" t="s">
        <v>6719</v>
      </c>
      <c r="D2811" s="21" t="s">
        <v>42</v>
      </c>
      <c r="E2811" s="22" t="str">
        <f>HYPERLINK("https://twitter.com/pranavsirohi/status/922424183698571266","922424183698571266")</f>
        <v>922424183698571266</v>
      </c>
      <c r="F2811" s="23" t="s">
        <v>55</v>
      </c>
      <c r="G2811" s="24">
        <v>904.0</v>
      </c>
      <c r="H2811" s="24">
        <v>2083.0</v>
      </c>
      <c r="I2811" s="24">
        <v>8501.0</v>
      </c>
      <c r="J2811" s="24">
        <v>0.0</v>
      </c>
      <c r="K2811" s="23" t="s">
        <v>34</v>
      </c>
      <c r="L2811" s="25">
        <v>39969.0890162037</v>
      </c>
      <c r="M2811" s="26" t="s">
        <v>96</v>
      </c>
      <c r="N2811" s="26" t="s">
        <v>6720</v>
      </c>
      <c r="O2811" s="22" t="str">
        <f>HYPERLINK("https://pbs.twimg.com/profile_images/876073372840538112/t7ksSa4__normal.jpg","View")</f>
        <v>View</v>
      </c>
      <c r="P2811" s="27"/>
    </row>
    <row r="2812">
      <c r="A2812" s="14">
        <v>43031.18564814815</v>
      </c>
      <c r="B2812" s="20" t="str">
        <f>HYPERLINK("https://twitter.com/NightsideAEB","@NightsideAEB")</f>
        <v>@NightsideAEB</v>
      </c>
      <c r="C2812" s="21" t="s">
        <v>6721</v>
      </c>
      <c r="D2812" s="21" t="s">
        <v>5786</v>
      </c>
      <c r="E2812" s="22" t="str">
        <f>HYPERLINK("https://twitter.com/NightsideAEB/status/922424194868051969","922424194868051969")</f>
        <v>922424194868051969</v>
      </c>
      <c r="F2812" s="23" t="s">
        <v>33</v>
      </c>
      <c r="G2812" s="24">
        <v>727.0</v>
      </c>
      <c r="H2812" s="24">
        <v>2514.0</v>
      </c>
      <c r="I2812" s="24">
        <v>59.0</v>
      </c>
      <c r="J2812" s="24">
        <v>0.0</v>
      </c>
      <c r="K2812" s="23" t="s">
        <v>34</v>
      </c>
      <c r="L2812" s="25">
        <v>40571.49019675926</v>
      </c>
      <c r="M2812" s="28"/>
      <c r="N2812" s="28"/>
      <c r="O2812" s="22" t="str">
        <f>HYPERLINK("https://pbs.twimg.com/profile_images/912931774451404800/8zd-efLU_normal.jpg","View")</f>
        <v>View</v>
      </c>
      <c r="P2812" s="27"/>
    </row>
    <row r="2813">
      <c r="A2813" s="14">
        <v>43031.1857175926</v>
      </c>
      <c r="B2813" s="20" t="str">
        <f>HYPERLINK("https://twitter.com/Popatraog1","@Popatraog1")</f>
        <v>@Popatraog1</v>
      </c>
      <c r="C2813" s="21" t="s">
        <v>6722</v>
      </c>
      <c r="D2813" s="21" t="s">
        <v>42</v>
      </c>
      <c r="E2813" s="22" t="str">
        <f>HYPERLINK("https://twitter.com/Popatraog1/status/922424221673730056","922424221673730056")</f>
        <v>922424221673730056</v>
      </c>
      <c r="F2813" s="23" t="s">
        <v>33</v>
      </c>
      <c r="G2813" s="24">
        <v>0.0</v>
      </c>
      <c r="H2813" s="24">
        <v>31.0</v>
      </c>
      <c r="I2813" s="24">
        <v>8501.0</v>
      </c>
      <c r="J2813" s="24">
        <v>0.0</v>
      </c>
      <c r="K2813" s="23" t="s">
        <v>34</v>
      </c>
      <c r="L2813" s="25">
        <v>43031.180925925924</v>
      </c>
      <c r="M2813" s="28"/>
      <c r="N2813" s="28"/>
      <c r="O2813" s="22" t="str">
        <f>HYPERLINK("https://pbs.twimg.com/profile_images/922423358762893312/wMiUErIh_normal.jpg","View")</f>
        <v>View</v>
      </c>
      <c r="P2813" s="27"/>
    </row>
    <row r="2814">
      <c r="A2814" s="14">
        <v>43031.18579861111</v>
      </c>
      <c r="B2814" s="20" t="str">
        <f>HYPERLINK("https://twitter.com/NeerGopal","@NeerGopal")</f>
        <v>@NeerGopal</v>
      </c>
      <c r="C2814" s="21" t="s">
        <v>6723</v>
      </c>
      <c r="D2814" s="21" t="s">
        <v>42</v>
      </c>
      <c r="E2814" s="22" t="str">
        <f>HYPERLINK("https://twitter.com/NeerGopal/status/922424248907395073","922424248907395073")</f>
        <v>922424248907395073</v>
      </c>
      <c r="F2814" s="23" t="s">
        <v>33</v>
      </c>
      <c r="G2814" s="24">
        <v>213.0</v>
      </c>
      <c r="H2814" s="24">
        <v>897.0</v>
      </c>
      <c r="I2814" s="24">
        <v>8501.0</v>
      </c>
      <c r="J2814" s="24">
        <v>0.0</v>
      </c>
      <c r="K2814" s="23" t="s">
        <v>34</v>
      </c>
      <c r="L2814" s="25">
        <v>42479.10061342592</v>
      </c>
      <c r="M2814" s="26" t="s">
        <v>204</v>
      </c>
      <c r="N2814" s="28"/>
      <c r="O2814" s="22" t="str">
        <f>HYPERLINK("https://pbs.twimg.com/profile_images/919833299190669312/34ibGVxK_normal.jpg","View")</f>
        <v>View</v>
      </c>
      <c r="P2814" s="27"/>
    </row>
    <row r="2815">
      <c r="A2815" s="14">
        <v>43031.18583333334</v>
      </c>
      <c r="B2815" s="20" t="str">
        <f>HYPERLINK("https://twitter.com/taniasmirnova8","@taniasmirnova8")</f>
        <v>@taniasmirnova8</v>
      </c>
      <c r="C2815" s="21" t="s">
        <v>6600</v>
      </c>
      <c r="D2815" s="21" t="s">
        <v>3227</v>
      </c>
      <c r="E2815" s="22" t="str">
        <f>HYPERLINK("https://twitter.com/taniasmirnova8/status/922424261905485824","922424261905485824")</f>
        <v>922424261905485824</v>
      </c>
      <c r="F2815" s="23" t="s">
        <v>55</v>
      </c>
      <c r="G2815" s="24">
        <v>4.0</v>
      </c>
      <c r="H2815" s="24">
        <v>0.0</v>
      </c>
      <c r="I2815" s="24">
        <v>61.0</v>
      </c>
      <c r="J2815" s="24">
        <v>0.0</v>
      </c>
      <c r="K2815" s="23" t="s">
        <v>34</v>
      </c>
      <c r="L2815" s="25">
        <v>43015.644062499996</v>
      </c>
      <c r="M2815" s="28"/>
      <c r="N2815" s="28"/>
      <c r="O2815" s="22" t="str">
        <f>HYPERLINK("https://pbs.twimg.com/profile_images/919553263921373184/IVocaqox_normal.jpg","View")</f>
        <v>View</v>
      </c>
      <c r="P2815" s="27"/>
    </row>
    <row r="2816">
      <c r="A2816" s="14">
        <v>43031.185844907406</v>
      </c>
      <c r="B2816" s="20" t="str">
        <f>HYPERLINK("https://twitter.com/EssexCanning","@EssexCanning")</f>
        <v>@EssexCanning</v>
      </c>
      <c r="C2816" s="21" t="s">
        <v>6724</v>
      </c>
      <c r="D2816" s="21" t="s">
        <v>6403</v>
      </c>
      <c r="E2816" s="22" t="str">
        <f>HYPERLINK("https://twitter.com/EssexCanning/status/922424266066419713","922424266066419713")</f>
        <v>922424266066419713</v>
      </c>
      <c r="F2816" s="23" t="s">
        <v>39</v>
      </c>
      <c r="G2816" s="24">
        <v>9621.0</v>
      </c>
      <c r="H2816" s="24">
        <v>5882.0</v>
      </c>
      <c r="I2816" s="24">
        <v>97.0</v>
      </c>
      <c r="J2816" s="24">
        <v>0.0</v>
      </c>
      <c r="K2816" s="23" t="s">
        <v>34</v>
      </c>
      <c r="L2816" s="25">
        <v>41143.09645833333</v>
      </c>
      <c r="M2816" s="26" t="s">
        <v>6725</v>
      </c>
      <c r="N2816" s="26" t="s">
        <v>6726</v>
      </c>
      <c r="O2816" s="22" t="str">
        <f>HYPERLINK("https://pbs.twimg.com/profile_images/920212180200501248/fULT7sXt_normal.jpg","View")</f>
        <v>View</v>
      </c>
      <c r="P2816" s="27"/>
    </row>
    <row r="2817">
      <c r="A2817" s="14">
        <v>43031.18587962963</v>
      </c>
      <c r="B2817" s="20" t="str">
        <f>HYPERLINK("https://twitter.com/AbhishekRohatg1","@AbhishekRohatg1")</f>
        <v>@AbhishekRohatg1</v>
      </c>
      <c r="C2817" s="21" t="s">
        <v>6727</v>
      </c>
      <c r="D2817" s="21" t="s">
        <v>6236</v>
      </c>
      <c r="E2817" s="22" t="str">
        <f>HYPERLINK("https://twitter.com/AbhishekRohatg1/status/922424280226283521","922424280226283521")</f>
        <v>922424280226283521</v>
      </c>
      <c r="F2817" s="23" t="s">
        <v>33</v>
      </c>
      <c r="G2817" s="24">
        <v>124.0</v>
      </c>
      <c r="H2817" s="24">
        <v>166.0</v>
      </c>
      <c r="I2817" s="24">
        <v>26.0</v>
      </c>
      <c r="J2817" s="24">
        <v>0.0</v>
      </c>
      <c r="K2817" s="23" t="s">
        <v>34</v>
      </c>
      <c r="L2817" s="25">
        <v>42210.98125</v>
      </c>
      <c r="M2817" s="28"/>
      <c r="N2817" s="28"/>
      <c r="O2817" s="22" t="str">
        <f>HYPERLINK("https://pbs.twimg.com/profile_images/908743856048316416/AmFxHQPc_normal.jpg","View")</f>
        <v>View</v>
      </c>
      <c r="P2817" s="27"/>
    </row>
    <row r="2818">
      <c r="A2818" s="14">
        <v>43031.18590277778</v>
      </c>
      <c r="B2818" s="20" t="str">
        <f>HYPERLINK("https://twitter.com/gum_boots","@gum_boots")</f>
        <v>@gum_boots</v>
      </c>
      <c r="C2818" s="21" t="s">
        <v>6728</v>
      </c>
      <c r="D2818" s="21" t="s">
        <v>42</v>
      </c>
      <c r="E2818" s="22" t="str">
        <f>HYPERLINK("https://twitter.com/gum_boots/status/922424287759233024","922424287759233024")</f>
        <v>922424287759233024</v>
      </c>
      <c r="F2818" s="23" t="s">
        <v>33</v>
      </c>
      <c r="G2818" s="24">
        <v>464.0</v>
      </c>
      <c r="H2818" s="24">
        <v>388.0</v>
      </c>
      <c r="I2818" s="24">
        <v>8501.0</v>
      </c>
      <c r="J2818" s="24">
        <v>0.0</v>
      </c>
      <c r="K2818" s="23" t="s">
        <v>34</v>
      </c>
      <c r="L2818" s="25">
        <v>39993.27501157408</v>
      </c>
      <c r="M2818" s="28"/>
      <c r="N2818" s="28"/>
      <c r="O2818" s="22" t="str">
        <f>HYPERLINK("https://pbs.twimg.com/profile_images/889835188657594368/JhsL-9dR_normal.jpg","View")</f>
        <v>View</v>
      </c>
      <c r="P2818" s="27"/>
    </row>
    <row r="2819">
      <c r="A2819" s="14">
        <v>43031.18607638888</v>
      </c>
      <c r="B2819" s="20" t="str">
        <f>HYPERLINK("https://twitter.com/krunalmarathe2","@krunalmarathe2")</f>
        <v>@krunalmarathe2</v>
      </c>
      <c r="C2819" s="21" t="s">
        <v>6729</v>
      </c>
      <c r="D2819" s="21" t="s">
        <v>42</v>
      </c>
      <c r="E2819" s="22" t="str">
        <f>HYPERLINK("https://twitter.com/krunalmarathe2/status/922424351143555072","922424351143555072")</f>
        <v>922424351143555072</v>
      </c>
      <c r="F2819" s="23" t="s">
        <v>33</v>
      </c>
      <c r="G2819" s="24">
        <v>36.0</v>
      </c>
      <c r="H2819" s="24">
        <v>68.0</v>
      </c>
      <c r="I2819" s="24">
        <v>8501.0</v>
      </c>
      <c r="J2819" s="24">
        <v>0.0</v>
      </c>
      <c r="K2819" s="23" t="s">
        <v>34</v>
      </c>
      <c r="L2819" s="25">
        <v>42667.87841435186</v>
      </c>
      <c r="M2819" s="26" t="s">
        <v>6730</v>
      </c>
      <c r="N2819" s="26" t="s">
        <v>6731</v>
      </c>
      <c r="O2819" s="22" t="str">
        <f>HYPERLINK("https://pbs.twimg.com/profile_images/909789724637663232/8mS7HWAC_normal.jpg","View")</f>
        <v>View</v>
      </c>
      <c r="P2819" s="27"/>
    </row>
    <row r="2820">
      <c r="A2820" s="14">
        <v>43031.18616898148</v>
      </c>
      <c r="B2820" s="20" t="str">
        <f>HYPERLINK("https://twitter.com/ShleldedNewborn","@ShleldedNewborn")</f>
        <v>@ShleldedNewborn</v>
      </c>
      <c r="C2820" s="21" t="s">
        <v>6732</v>
      </c>
      <c r="D2820" s="21" t="s">
        <v>5786</v>
      </c>
      <c r="E2820" s="22" t="str">
        <f>HYPERLINK("https://twitter.com/ShleldedNewborn/status/922424383943139328","922424383943139328")</f>
        <v>922424383943139328</v>
      </c>
      <c r="F2820" s="23" t="s">
        <v>33</v>
      </c>
      <c r="G2820" s="24">
        <v>22.0</v>
      </c>
      <c r="H2820" s="24">
        <v>397.0</v>
      </c>
      <c r="I2820" s="24">
        <v>59.0</v>
      </c>
      <c r="J2820" s="24">
        <v>0.0</v>
      </c>
      <c r="K2820" s="23" t="s">
        <v>34</v>
      </c>
      <c r="L2820" s="25">
        <v>42064.58943287037</v>
      </c>
      <c r="M2820" s="28"/>
      <c r="N2820" s="26" t="s">
        <v>6733</v>
      </c>
      <c r="O2820" s="22" t="str">
        <f>HYPERLINK("https://pbs.twimg.com/profile_images/770369207167057920/H2Qc8nVt_normal.jpg","View")</f>
        <v>View</v>
      </c>
      <c r="P2820" s="27"/>
    </row>
    <row r="2821">
      <c r="A2821" s="14">
        <v>43031.186203703706</v>
      </c>
      <c r="B2821" s="20" t="str">
        <f>HYPERLINK("https://twitter.com/fanta8579","@fanta8579")</f>
        <v>@fanta8579</v>
      </c>
      <c r="C2821" s="21" t="s">
        <v>6734</v>
      </c>
      <c r="D2821" s="21" t="s">
        <v>42</v>
      </c>
      <c r="E2821" s="22" t="str">
        <f>HYPERLINK("https://twitter.com/fanta8579/status/922424394760065024","922424394760065024")</f>
        <v>922424394760065024</v>
      </c>
      <c r="F2821" s="23" t="s">
        <v>230</v>
      </c>
      <c r="G2821" s="24">
        <v>12.0</v>
      </c>
      <c r="H2821" s="24">
        <v>130.0</v>
      </c>
      <c r="I2821" s="24">
        <v>8501.0</v>
      </c>
      <c r="J2821" s="24">
        <v>0.0</v>
      </c>
      <c r="K2821" s="23" t="s">
        <v>34</v>
      </c>
      <c r="L2821" s="25">
        <v>42004.42896990741</v>
      </c>
      <c r="M2821" s="28"/>
      <c r="N2821" s="28"/>
      <c r="O2821" s="22" t="str">
        <f>HYPERLINK("https://abs.twimg.com/sticky/default_profile_images/default_profile_normal.png","View")</f>
        <v>View</v>
      </c>
      <c r="P2821" s="27"/>
    </row>
    <row r="2822">
      <c r="A2822" s="14">
        <v>43031.186203703706</v>
      </c>
      <c r="B2822" s="20" t="str">
        <f>HYPERLINK("https://twitter.com/pramodyadav99","@pramodyadav99")</f>
        <v>@pramodyadav99</v>
      </c>
      <c r="C2822" s="21" t="s">
        <v>6735</v>
      </c>
      <c r="D2822" s="21" t="s">
        <v>42</v>
      </c>
      <c r="E2822" s="22" t="str">
        <f>HYPERLINK("https://twitter.com/pramodyadav99/status/922424398178480128","922424398178480128")</f>
        <v>922424398178480128</v>
      </c>
      <c r="F2822" s="23" t="s">
        <v>33</v>
      </c>
      <c r="G2822" s="24">
        <v>21.0</v>
      </c>
      <c r="H2822" s="24">
        <v>197.0</v>
      </c>
      <c r="I2822" s="24">
        <v>8501.0</v>
      </c>
      <c r="J2822" s="24">
        <v>0.0</v>
      </c>
      <c r="K2822" s="23" t="s">
        <v>34</v>
      </c>
      <c r="L2822" s="25">
        <v>41033.31795138889</v>
      </c>
      <c r="M2822" s="28"/>
      <c r="N2822" s="28"/>
      <c r="O2822" s="22" t="str">
        <f>HYPERLINK("https://pbs.twimg.com/profile_images/835891254273556482/ivLEWffi_normal.jpg","View")</f>
        <v>View</v>
      </c>
      <c r="P2822" s="27"/>
    </row>
    <row r="2823">
      <c r="A2823" s="14">
        <v>43031.18628472222</v>
      </c>
      <c r="B2823" s="20" t="str">
        <f>HYPERLINK("https://twitter.com/aleksissss","@aleksissss")</f>
        <v>@aleksissss</v>
      </c>
      <c r="C2823" s="21" t="s">
        <v>6736</v>
      </c>
      <c r="D2823" s="21" t="s">
        <v>32</v>
      </c>
      <c r="E2823" s="22" t="str">
        <f>HYPERLINK("https://twitter.com/aleksissss/status/922424426976727040","922424426976727040")</f>
        <v>922424426976727040</v>
      </c>
      <c r="F2823" s="23" t="s">
        <v>230</v>
      </c>
      <c r="G2823" s="24">
        <v>760.0</v>
      </c>
      <c r="H2823" s="24">
        <v>3378.0</v>
      </c>
      <c r="I2823" s="24">
        <v>471.0</v>
      </c>
      <c r="J2823" s="24">
        <v>0.0</v>
      </c>
      <c r="K2823" s="23" t="s">
        <v>34</v>
      </c>
      <c r="L2823" s="25">
        <v>40618.4140625</v>
      </c>
      <c r="M2823" s="28"/>
      <c r="N2823" s="26" t="s">
        <v>6737</v>
      </c>
      <c r="O2823" s="22" t="str">
        <f>HYPERLINK("https://pbs.twimg.com/profile_images/568129386684370944/0nCd_Bfv_normal.jpeg","View")</f>
        <v>View</v>
      </c>
      <c r="P2823" s="27"/>
    </row>
    <row r="2824">
      <c r="A2824" s="14">
        <v>43031.186319444445</v>
      </c>
      <c r="B2824" s="20" t="str">
        <f>HYPERLINK("https://twitter.com/RobinMCouch","@RobinMCouch")</f>
        <v>@RobinMCouch</v>
      </c>
      <c r="C2824" s="21" t="s">
        <v>6738</v>
      </c>
      <c r="D2824" s="21" t="s">
        <v>6739</v>
      </c>
      <c r="E2824" s="22" t="str">
        <f>HYPERLINK("https://twitter.com/RobinMCouch/status/922424438251016192","922424438251016192")</f>
        <v>922424438251016192</v>
      </c>
      <c r="F2824" s="23" t="s">
        <v>33</v>
      </c>
      <c r="G2824" s="24">
        <v>2194.0</v>
      </c>
      <c r="H2824" s="24">
        <v>1007.0</v>
      </c>
      <c r="I2824" s="24">
        <v>0.0</v>
      </c>
      <c r="J2824" s="24">
        <v>0.0</v>
      </c>
      <c r="K2824" s="23" t="s">
        <v>34</v>
      </c>
      <c r="L2824" s="25">
        <v>40695.45011574074</v>
      </c>
      <c r="M2824" s="26" t="s">
        <v>6740</v>
      </c>
      <c r="N2824" s="26" t="s">
        <v>6741</v>
      </c>
      <c r="O2824" s="22" t="str">
        <f>HYPERLINK("https://pbs.twimg.com/profile_images/895362129905299456/6CTLMRGU_normal.jpg","View")</f>
        <v>View</v>
      </c>
      <c r="P2824" s="27"/>
    </row>
    <row r="2825">
      <c r="A2825" s="14">
        <v>43031.18635416667</v>
      </c>
      <c r="B2825" s="20" t="str">
        <f>HYPERLINK("https://twitter.com/paravola","@paravola")</f>
        <v>@paravola</v>
      </c>
      <c r="C2825" s="21" t="s">
        <v>6742</v>
      </c>
      <c r="D2825" s="21" t="s">
        <v>82</v>
      </c>
      <c r="E2825" s="22" t="str">
        <f>HYPERLINK("https://twitter.com/paravola/status/922424451508998146","922424451508998146")</f>
        <v>922424451508998146</v>
      </c>
      <c r="F2825" s="23" t="s">
        <v>55</v>
      </c>
      <c r="G2825" s="24">
        <v>1701.0</v>
      </c>
      <c r="H2825" s="24">
        <v>771.0</v>
      </c>
      <c r="I2825" s="24">
        <v>38.0</v>
      </c>
      <c r="J2825" s="24">
        <v>0.0</v>
      </c>
      <c r="K2825" s="23" t="s">
        <v>34</v>
      </c>
      <c r="L2825" s="25">
        <v>40195.03741898148</v>
      </c>
      <c r="M2825" s="26" t="s">
        <v>271</v>
      </c>
      <c r="N2825" s="26" t="s">
        <v>6743</v>
      </c>
      <c r="O2825" s="22" t="str">
        <f>HYPERLINK("https://pbs.twimg.com/profile_images/875570067299123203/3HDjFeYe_normal.jpg","View")</f>
        <v>View</v>
      </c>
      <c r="P2825" s="27"/>
    </row>
    <row r="2826">
      <c r="A2826" s="14">
        <v>43031.18644675926</v>
      </c>
      <c r="B2826" s="20" t="str">
        <f>HYPERLINK("https://twitter.com/kaivalya_desai","@kaivalya_desai")</f>
        <v>@kaivalya_desai</v>
      </c>
      <c r="C2826" s="21" t="s">
        <v>6744</v>
      </c>
      <c r="D2826" s="21" t="s">
        <v>42</v>
      </c>
      <c r="E2826" s="22" t="str">
        <f>HYPERLINK("https://twitter.com/kaivalya_desai/status/922424482509111301","922424482509111301")</f>
        <v>922424482509111301</v>
      </c>
      <c r="F2826" s="23" t="s">
        <v>33</v>
      </c>
      <c r="G2826" s="24">
        <v>1453.0</v>
      </c>
      <c r="H2826" s="24">
        <v>40.0</v>
      </c>
      <c r="I2826" s="24">
        <v>8501.0</v>
      </c>
      <c r="J2826" s="24">
        <v>0.0</v>
      </c>
      <c r="K2826" s="23" t="s">
        <v>34</v>
      </c>
      <c r="L2826" s="25">
        <v>42599.130578703705</v>
      </c>
      <c r="M2826" s="26" t="s">
        <v>6745</v>
      </c>
      <c r="N2826" s="26" t="s">
        <v>6746</v>
      </c>
      <c r="O2826" s="22" t="str">
        <f>HYPERLINK("https://pbs.twimg.com/profile_images/872130162090954752/3XenIB9G_normal.jpg","View")</f>
        <v>View</v>
      </c>
      <c r="P2826" s="27"/>
    </row>
    <row r="2827">
      <c r="A2827" s="14">
        <v>43031.18649305556</v>
      </c>
      <c r="B2827" s="20" t="str">
        <f>HYPERLINK("https://twitter.com/taniasmirnova8","@taniasmirnova8")</f>
        <v>@taniasmirnova8</v>
      </c>
      <c r="C2827" s="21" t="s">
        <v>6600</v>
      </c>
      <c r="D2827" s="21" t="s">
        <v>5544</v>
      </c>
      <c r="E2827" s="22" t="str">
        <f>HYPERLINK("https://twitter.com/taniasmirnova8/status/922424501404516352","922424501404516352")</f>
        <v>922424501404516352</v>
      </c>
      <c r="F2827" s="23" t="s">
        <v>55</v>
      </c>
      <c r="G2827" s="24">
        <v>4.0</v>
      </c>
      <c r="H2827" s="24">
        <v>0.0</v>
      </c>
      <c r="I2827" s="24">
        <v>77.0</v>
      </c>
      <c r="J2827" s="24">
        <v>0.0</v>
      </c>
      <c r="K2827" s="23" t="s">
        <v>34</v>
      </c>
      <c r="L2827" s="25">
        <v>43015.644062499996</v>
      </c>
      <c r="M2827" s="28"/>
      <c r="N2827" s="28"/>
      <c r="O2827" s="22" t="str">
        <f>HYPERLINK("https://pbs.twimg.com/profile_images/919553263921373184/IVocaqox_normal.jpg","View")</f>
        <v>View</v>
      </c>
      <c r="P2827" s="27"/>
    </row>
    <row r="2828">
      <c r="A2828" s="14">
        <v>43031.186631944445</v>
      </c>
      <c r="B2828" s="20" t="str">
        <f>HYPERLINK("https://twitter.com/dickiebeas","@dickiebeas")</f>
        <v>@dickiebeas</v>
      </c>
      <c r="C2828" s="21" t="s">
        <v>6747</v>
      </c>
      <c r="D2828" s="21" t="s">
        <v>6748</v>
      </c>
      <c r="E2828" s="22" t="str">
        <f>HYPERLINK("https://twitter.com/dickiebeas/status/922424549794308096","922424549794308096")</f>
        <v>922424549794308096</v>
      </c>
      <c r="F2828" s="23" t="s">
        <v>55</v>
      </c>
      <c r="G2828" s="24">
        <v>106.0</v>
      </c>
      <c r="H2828" s="24">
        <v>76.0</v>
      </c>
      <c r="I2828" s="24">
        <v>0.0</v>
      </c>
      <c r="J2828" s="24">
        <v>1.0</v>
      </c>
      <c r="K2828" s="23" t="s">
        <v>34</v>
      </c>
      <c r="L2828" s="25">
        <v>41129.5084375</v>
      </c>
      <c r="M2828" s="26" t="s">
        <v>708</v>
      </c>
      <c r="N2828" s="26" t="s">
        <v>6749</v>
      </c>
      <c r="O2828" s="22" t="str">
        <f>HYPERLINK("https://pbs.twimg.com/profile_images/896652211199111168/C8Q1vZGq_normal.jpg","View")</f>
        <v>View</v>
      </c>
      <c r="P2828" s="27"/>
    </row>
    <row r="2829">
      <c r="A2829" s="14">
        <v>43031.186701388884</v>
      </c>
      <c r="B2829" s="20" t="str">
        <f>HYPERLINK("https://twitter.com/Bongani20994708","@Bongani20994708")</f>
        <v>@Bongani20994708</v>
      </c>
      <c r="C2829" s="21" t="s">
        <v>6750</v>
      </c>
      <c r="D2829" s="21" t="s">
        <v>6236</v>
      </c>
      <c r="E2829" s="22" t="str">
        <f>HYPERLINK("https://twitter.com/Bongani20994708/status/922424576574926848","922424576574926848")</f>
        <v>922424576574926848</v>
      </c>
      <c r="F2829" s="23" t="s">
        <v>43</v>
      </c>
      <c r="G2829" s="24">
        <v>643.0</v>
      </c>
      <c r="H2829" s="24">
        <v>905.0</v>
      </c>
      <c r="I2829" s="24">
        <v>26.0</v>
      </c>
      <c r="J2829" s="24">
        <v>0.0</v>
      </c>
      <c r="K2829" s="23" t="s">
        <v>34</v>
      </c>
      <c r="L2829" s="25">
        <v>41766.186527777776</v>
      </c>
      <c r="M2829" s="26" t="s">
        <v>6751</v>
      </c>
      <c r="N2829" s="26" t="s">
        <v>6752</v>
      </c>
      <c r="O2829" s="22" t="str">
        <f>HYPERLINK("https://pbs.twimg.com/profile_images/915197556459700227/wmqfkCUs_normal.jpg","View")</f>
        <v>View</v>
      </c>
      <c r="P2829" s="27"/>
    </row>
    <row r="2830">
      <c r="A2830" s="14">
        <v>43031.18672453704</v>
      </c>
      <c r="B2830" s="20" t="str">
        <f>HYPERLINK("https://twitter.com/Rak3sh_","@Rak3sh_")</f>
        <v>@Rak3sh_</v>
      </c>
      <c r="C2830" s="21" t="s">
        <v>4117</v>
      </c>
      <c r="D2830" s="21" t="s">
        <v>42</v>
      </c>
      <c r="E2830" s="22" t="str">
        <f>HYPERLINK("https://twitter.com/Rak3sh_/status/922424586511171585","922424586511171585")</f>
        <v>922424586511171585</v>
      </c>
      <c r="F2830" s="23" t="s">
        <v>33</v>
      </c>
      <c r="G2830" s="24">
        <v>260.0</v>
      </c>
      <c r="H2830" s="24">
        <v>528.0</v>
      </c>
      <c r="I2830" s="24">
        <v>8501.0</v>
      </c>
      <c r="J2830" s="24">
        <v>0.0</v>
      </c>
      <c r="K2830" s="23" t="s">
        <v>34</v>
      </c>
      <c r="L2830" s="25">
        <v>41445.39530092593</v>
      </c>
      <c r="M2830" s="26" t="s">
        <v>6753</v>
      </c>
      <c r="N2830" s="26" t="s">
        <v>6754</v>
      </c>
      <c r="O2830" s="22" t="str">
        <f>HYPERLINK("https://pbs.twimg.com/profile_images/920950358716944385/YUXsBN5r_normal.jpg","View")</f>
        <v>View</v>
      </c>
      <c r="P2830" s="27"/>
    </row>
    <row r="2831">
      <c r="A2831" s="14">
        <v>43031.18681712963</v>
      </c>
      <c r="B2831" s="20" t="str">
        <f>HYPERLINK("https://twitter.com/izawak","@izawak")</f>
        <v>@izawak</v>
      </c>
      <c r="C2831" s="21" t="s">
        <v>6755</v>
      </c>
      <c r="D2831" s="21" t="s">
        <v>6236</v>
      </c>
      <c r="E2831" s="22" t="str">
        <f>HYPERLINK("https://twitter.com/izawak/status/922424620380127235","922424620380127235")</f>
        <v>922424620380127235</v>
      </c>
      <c r="F2831" s="23" t="s">
        <v>6756</v>
      </c>
      <c r="G2831" s="24">
        <v>645.0</v>
      </c>
      <c r="H2831" s="24">
        <v>542.0</v>
      </c>
      <c r="I2831" s="24">
        <v>26.0</v>
      </c>
      <c r="J2831" s="24">
        <v>0.0</v>
      </c>
      <c r="K2831" s="23" t="s">
        <v>34</v>
      </c>
      <c r="L2831" s="25">
        <v>39914.76971064815</v>
      </c>
      <c r="M2831" s="26" t="s">
        <v>6757</v>
      </c>
      <c r="N2831" s="26" t="s">
        <v>6758</v>
      </c>
      <c r="O2831" s="22" t="str">
        <f>HYPERLINK("https://pbs.twimg.com/profile_images/134210928/IMG_3510_normal.JPG","View")</f>
        <v>View</v>
      </c>
      <c r="P2831" s="27"/>
    </row>
    <row r="2832">
      <c r="A2832" s="14">
        <v>43031.186840277776</v>
      </c>
      <c r="B2832" s="20" t="str">
        <f>HYPERLINK("https://twitter.com/BlueOpalWealth","@BlueOpalWealth")</f>
        <v>@BlueOpalWealth</v>
      </c>
      <c r="C2832" s="21" t="s">
        <v>6759</v>
      </c>
      <c r="D2832" s="21" t="s">
        <v>6760</v>
      </c>
      <c r="E2832" s="22" t="str">
        <f>HYPERLINK("https://twitter.com/BlueOpalWealth/status/922424628605108225","922424628605108225")</f>
        <v>922424628605108225</v>
      </c>
      <c r="F2832" s="23" t="s">
        <v>48</v>
      </c>
      <c r="G2832" s="24">
        <v>993.0</v>
      </c>
      <c r="H2832" s="24">
        <v>1528.0</v>
      </c>
      <c r="I2832" s="24">
        <v>0.0</v>
      </c>
      <c r="J2832" s="24">
        <v>0.0</v>
      </c>
      <c r="K2832" s="23" t="s">
        <v>34</v>
      </c>
      <c r="L2832" s="25">
        <v>40886.42791666667</v>
      </c>
      <c r="M2832" s="28"/>
      <c r="N2832" s="26" t="s">
        <v>6761</v>
      </c>
      <c r="O2832" s="22" t="str">
        <f>HYPERLINK("https://pbs.twimg.com/profile_images/1683660907/content6_normal.jpg","View")</f>
        <v>View</v>
      </c>
      <c r="P2832" s="27"/>
    </row>
    <row r="2833">
      <c r="A2833" s="14">
        <v>43031.18688657407</v>
      </c>
      <c r="B2833" s="20" t="str">
        <f>HYPERLINK("https://twitter.com/akhetaton11","@akhetaton11")</f>
        <v>@akhetaton11</v>
      </c>
      <c r="C2833" s="21" t="s">
        <v>6762</v>
      </c>
      <c r="D2833" s="21" t="s">
        <v>6403</v>
      </c>
      <c r="E2833" s="22" t="str">
        <f>HYPERLINK("https://twitter.com/akhetaton11/status/922424645269192704","922424645269192704")</f>
        <v>922424645269192704</v>
      </c>
      <c r="F2833" s="23" t="s">
        <v>33</v>
      </c>
      <c r="G2833" s="24">
        <v>2553.0</v>
      </c>
      <c r="H2833" s="24">
        <v>4984.0</v>
      </c>
      <c r="I2833" s="24">
        <v>97.0</v>
      </c>
      <c r="J2833" s="24">
        <v>0.0</v>
      </c>
      <c r="K2833" s="23" t="s">
        <v>34</v>
      </c>
      <c r="L2833" s="25">
        <v>41253.33971064815</v>
      </c>
      <c r="M2833" s="28"/>
      <c r="N2833" s="28"/>
      <c r="O2833" s="22" t="str">
        <f>HYPERLINK("https://pbs.twimg.com/profile_images/2957618526/1dfdec8c288afc0c6dfcf12cf67f3879_normal.gif","View")</f>
        <v>View</v>
      </c>
      <c r="P2833" s="27"/>
    </row>
    <row r="2834">
      <c r="A2834" s="14">
        <v>43031.186944444446</v>
      </c>
      <c r="B2834" s="20" t="str">
        <f>HYPERLINK("https://twitter.com/krunalmarathe2","@krunalmarathe2")</f>
        <v>@krunalmarathe2</v>
      </c>
      <c r="C2834" s="21" t="s">
        <v>6729</v>
      </c>
      <c r="D2834" s="21" t="s">
        <v>2906</v>
      </c>
      <c r="E2834" s="22" t="str">
        <f>HYPERLINK("https://twitter.com/krunalmarathe2/status/922424664265129984","922424664265129984")</f>
        <v>922424664265129984</v>
      </c>
      <c r="F2834" s="23" t="s">
        <v>33</v>
      </c>
      <c r="G2834" s="24">
        <v>36.0</v>
      </c>
      <c r="H2834" s="24">
        <v>68.0</v>
      </c>
      <c r="I2834" s="24">
        <v>18.0</v>
      </c>
      <c r="J2834" s="24">
        <v>0.0</v>
      </c>
      <c r="K2834" s="23" t="s">
        <v>34</v>
      </c>
      <c r="L2834" s="25">
        <v>42667.87841435186</v>
      </c>
      <c r="M2834" s="26" t="s">
        <v>6730</v>
      </c>
      <c r="N2834" s="26" t="s">
        <v>6731</v>
      </c>
      <c r="O2834" s="22" t="str">
        <f>HYPERLINK("https://pbs.twimg.com/profile_images/909789724637663232/8mS7HWAC_normal.jpg","View")</f>
        <v>View</v>
      </c>
      <c r="P2834" s="27"/>
    </row>
    <row r="2835">
      <c r="A2835" s="14">
        <v>43031.18696759259</v>
      </c>
      <c r="B2835" s="20" t="str">
        <f>HYPERLINK("https://twitter.com/JPN_PMO","@JPN_PMO")</f>
        <v>@JPN_PMO</v>
      </c>
      <c r="C2835" s="21" t="s">
        <v>6763</v>
      </c>
      <c r="D2835" s="21" t="s">
        <v>42</v>
      </c>
      <c r="E2835" s="22" t="str">
        <f>HYPERLINK("https://twitter.com/JPN_PMO/status/922424674838908929","922424674838908929")</f>
        <v>922424674838908929</v>
      </c>
      <c r="F2835" s="23" t="s">
        <v>55</v>
      </c>
      <c r="G2835" s="24">
        <v>201072.0</v>
      </c>
      <c r="H2835" s="24">
        <v>109.0</v>
      </c>
      <c r="I2835" s="24">
        <v>8501.0</v>
      </c>
      <c r="J2835" s="24">
        <v>0.0</v>
      </c>
      <c r="K2835" s="23" t="s">
        <v>34</v>
      </c>
      <c r="L2835" s="25">
        <v>40617.89414351852</v>
      </c>
      <c r="M2835" s="26" t="s">
        <v>853</v>
      </c>
      <c r="N2835" s="26" t="s">
        <v>6764</v>
      </c>
      <c r="O2835" s="22" t="str">
        <f>HYPERLINK("https://pbs.twimg.com/profile_images/896994122426220545/IL7zNLB3_normal.jpg","View")</f>
        <v>View</v>
      </c>
      <c r="P2835" s="27"/>
    </row>
    <row r="2836">
      <c r="A2836" s="14">
        <v>43031.18697916667</v>
      </c>
      <c r="B2836" s="20" t="str">
        <f>HYPERLINK("https://twitter.com/claracatnya","@claracatnya")</f>
        <v>@claracatnya</v>
      </c>
      <c r="C2836" s="21" t="s">
        <v>6765</v>
      </c>
      <c r="D2836" s="21" t="s">
        <v>740</v>
      </c>
      <c r="E2836" s="22" t="str">
        <f>HYPERLINK("https://twitter.com/claracatnya/status/922424679062581250","922424679062581250")</f>
        <v>922424679062581250</v>
      </c>
      <c r="F2836" s="23" t="s">
        <v>39</v>
      </c>
      <c r="G2836" s="24">
        <v>197.0</v>
      </c>
      <c r="H2836" s="24">
        <v>293.0</v>
      </c>
      <c r="I2836" s="24">
        <v>87.0</v>
      </c>
      <c r="J2836" s="24">
        <v>0.0</v>
      </c>
      <c r="K2836" s="23" t="s">
        <v>34</v>
      </c>
      <c r="L2836" s="25">
        <v>42944.30913194444</v>
      </c>
      <c r="M2836" s="28"/>
      <c r="N2836" s="26" t="s">
        <v>6766</v>
      </c>
      <c r="O2836" s="22" t="str">
        <f>HYPERLINK("https://pbs.twimg.com/profile_images/916277856690257920/QngIfnsw_normal.jpg","View")</f>
        <v>View</v>
      </c>
      <c r="P2836" s="27"/>
    </row>
    <row r="2837">
      <c r="A2837" s="14">
        <v>43031.187002314815</v>
      </c>
      <c r="B2837" s="20" t="str">
        <f>HYPERLINK("https://twitter.com/AndersTingsBone","@AndersTingsBone")</f>
        <v>@AndersTingsBone</v>
      </c>
      <c r="C2837" s="21" t="s">
        <v>6767</v>
      </c>
      <c r="D2837" s="21" t="s">
        <v>6403</v>
      </c>
      <c r="E2837" s="22" t="str">
        <f>HYPERLINK("https://twitter.com/AndersTingsBone/status/922424683462582275","922424683462582275")</f>
        <v>922424683462582275</v>
      </c>
      <c r="F2837" s="23" t="s">
        <v>55</v>
      </c>
      <c r="G2837" s="24">
        <v>1894.0</v>
      </c>
      <c r="H2837" s="24">
        <v>4999.0</v>
      </c>
      <c r="I2837" s="24">
        <v>97.0</v>
      </c>
      <c r="J2837" s="24">
        <v>0.0</v>
      </c>
      <c r="K2837" s="23" t="s">
        <v>34</v>
      </c>
      <c r="L2837" s="25">
        <v>42081.104722222226</v>
      </c>
      <c r="M2837" s="28"/>
      <c r="N2837" s="26" t="s">
        <v>6768</v>
      </c>
      <c r="O2837" s="22" t="str">
        <f>HYPERLINK("https://pbs.twimg.com/profile_images/857117050250170369/R1v7GUzF_normal.jpg","View")</f>
        <v>View</v>
      </c>
      <c r="P2837" s="27"/>
    </row>
    <row r="2838">
      <c r="A2838" s="14">
        <v>43031.18703703704</v>
      </c>
      <c r="B2838" s="20" t="str">
        <f>HYPERLINK("https://twitter.com/JBMasila_Qsc","@JBMasila_Qsc")</f>
        <v>@JBMasila_Qsc</v>
      </c>
      <c r="C2838" s="21" t="s">
        <v>6769</v>
      </c>
      <c r="D2838" s="21" t="s">
        <v>32</v>
      </c>
      <c r="E2838" s="22" t="str">
        <f>HYPERLINK("https://twitter.com/JBMasila_Qsc/status/922424696477552640","922424696477552640")</f>
        <v>922424696477552640</v>
      </c>
      <c r="F2838" s="23" t="s">
        <v>33</v>
      </c>
      <c r="G2838" s="24">
        <v>141.0</v>
      </c>
      <c r="H2838" s="24">
        <v>1649.0</v>
      </c>
      <c r="I2838" s="24">
        <v>471.0</v>
      </c>
      <c r="J2838" s="24">
        <v>0.0</v>
      </c>
      <c r="K2838" s="23" t="s">
        <v>34</v>
      </c>
      <c r="L2838" s="25">
        <v>42991.44128472223</v>
      </c>
      <c r="M2838" s="26" t="s">
        <v>6770</v>
      </c>
      <c r="N2838" s="26" t="s">
        <v>6771</v>
      </c>
      <c r="O2838" s="22" t="str">
        <f>HYPERLINK("https://pbs.twimg.com/profile_images/908025873353334784/HBlLWbdG_normal.jpg","View")</f>
        <v>View</v>
      </c>
      <c r="P2838" s="27"/>
    </row>
    <row r="2839">
      <c r="A2839" s="14">
        <v>43031.18709490741</v>
      </c>
      <c r="B2839" s="20" t="str">
        <f>HYPERLINK("https://twitter.com/ivan11ivanov1","@ivan11ivanov1")</f>
        <v>@ivan11ivanov1</v>
      </c>
      <c r="C2839" s="21" t="s">
        <v>6632</v>
      </c>
      <c r="D2839" s="21" t="s">
        <v>3227</v>
      </c>
      <c r="E2839" s="22" t="str">
        <f>HYPERLINK("https://twitter.com/ivan11ivanov1/status/922424718929543169","922424718929543169")</f>
        <v>922424718929543169</v>
      </c>
      <c r="F2839" s="23" t="s">
        <v>55</v>
      </c>
      <c r="G2839" s="24">
        <v>1.0</v>
      </c>
      <c r="H2839" s="24">
        <v>0.0</v>
      </c>
      <c r="I2839" s="24">
        <v>61.0</v>
      </c>
      <c r="J2839" s="24">
        <v>0.0</v>
      </c>
      <c r="K2839" s="23" t="s">
        <v>34</v>
      </c>
      <c r="L2839" s="25">
        <v>43015.561215277776</v>
      </c>
      <c r="M2839" s="28"/>
      <c r="N2839" s="28"/>
      <c r="O2839" s="22" t="str">
        <f>HYPERLINK("https://pbs.twimg.com/profile_images/921013112567840770/TXy64Tah_normal.jpg","View")</f>
        <v>View</v>
      </c>
      <c r="P2839" s="27"/>
    </row>
    <row r="2840">
      <c r="A2840" s="14">
        <v>43031.1871412037</v>
      </c>
      <c r="B2840" s="20" t="str">
        <f>HYPERLINK("https://twitter.com/tejudada85","@tejudada85")</f>
        <v>@tejudada85</v>
      </c>
      <c r="C2840" s="21" t="s">
        <v>6772</v>
      </c>
      <c r="D2840" s="21" t="s">
        <v>42</v>
      </c>
      <c r="E2840" s="22" t="str">
        <f>HYPERLINK("https://twitter.com/tejudada85/status/922424735987671040","922424735987671040")</f>
        <v>922424735987671040</v>
      </c>
      <c r="F2840" s="23" t="s">
        <v>33</v>
      </c>
      <c r="G2840" s="24">
        <v>264.0</v>
      </c>
      <c r="H2840" s="24">
        <v>1017.0</v>
      </c>
      <c r="I2840" s="24">
        <v>8501.0</v>
      </c>
      <c r="J2840" s="24">
        <v>0.0</v>
      </c>
      <c r="K2840" s="23" t="s">
        <v>34</v>
      </c>
      <c r="L2840" s="25">
        <v>41945.32150462963</v>
      </c>
      <c r="M2840" s="26" t="s">
        <v>204</v>
      </c>
      <c r="N2840" s="26" t="s">
        <v>6773</v>
      </c>
      <c r="O2840" s="22" t="str">
        <f>HYPERLINK("https://pbs.twimg.com/profile_images/918047937321566208/SyMnRv5P_normal.jpg","View")</f>
        <v>View</v>
      </c>
      <c r="P2840" s="27"/>
    </row>
    <row r="2841">
      <c r="A2841" s="14">
        <v>43031.18716435185</v>
      </c>
      <c r="B2841" s="20" t="str">
        <f>HYPERLINK("https://twitter.com/nekrasov7pavel","@nekrasov7pavel")</f>
        <v>@nekrasov7pavel</v>
      </c>
      <c r="C2841" s="21" t="s">
        <v>6774</v>
      </c>
      <c r="D2841" s="21" t="s">
        <v>2555</v>
      </c>
      <c r="E2841" s="22" t="str">
        <f>HYPERLINK("https://twitter.com/nekrasov7pavel/status/922424744414142464","922424744414142464")</f>
        <v>922424744414142464</v>
      </c>
      <c r="F2841" s="23" t="s">
        <v>55</v>
      </c>
      <c r="G2841" s="24">
        <v>2.0</v>
      </c>
      <c r="H2841" s="24">
        <v>3.0</v>
      </c>
      <c r="I2841" s="24">
        <v>58.0</v>
      </c>
      <c r="J2841" s="24">
        <v>0.0</v>
      </c>
      <c r="K2841" s="23" t="s">
        <v>34</v>
      </c>
      <c r="L2841" s="25">
        <v>43015.647465277776</v>
      </c>
      <c r="M2841" s="28"/>
      <c r="N2841" s="28"/>
      <c r="O2841" s="22" t="str">
        <f>HYPERLINK("https://pbs.twimg.com/profile_images/919554173821100032/8lik4TSM_normal.jpg","View")</f>
        <v>View</v>
      </c>
      <c r="P2841" s="27"/>
    </row>
    <row r="2842">
      <c r="A2842" s="14">
        <v>43031.18717592592</v>
      </c>
      <c r="B2842" s="20" t="str">
        <f>HYPERLINK("https://twitter.com/umeshsh31142874","@umeshsh31142874")</f>
        <v>@umeshsh31142874</v>
      </c>
      <c r="C2842" s="21" t="s">
        <v>6775</v>
      </c>
      <c r="D2842" s="21" t="s">
        <v>42</v>
      </c>
      <c r="E2842" s="22" t="str">
        <f>HYPERLINK("https://twitter.com/umeshsh31142874/status/922424746720899072","922424746720899072")</f>
        <v>922424746720899072</v>
      </c>
      <c r="F2842" s="23" t="s">
        <v>33</v>
      </c>
      <c r="G2842" s="24">
        <v>4.0</v>
      </c>
      <c r="H2842" s="24">
        <v>37.0</v>
      </c>
      <c r="I2842" s="24">
        <v>8501.0</v>
      </c>
      <c r="J2842" s="24">
        <v>0.0</v>
      </c>
      <c r="K2842" s="23" t="s">
        <v>34</v>
      </c>
      <c r="L2842" s="25">
        <v>43020.034062499995</v>
      </c>
      <c r="M2842" s="28"/>
      <c r="N2842" s="26" t="s">
        <v>6776</v>
      </c>
      <c r="O2842" s="22" t="str">
        <f>HYPERLINK("https://pbs.twimg.com/profile_images/921216982254436355/AjN9EQ6f_normal.jpg","View")</f>
        <v>View</v>
      </c>
      <c r="P2842" s="27"/>
    </row>
    <row r="2843">
      <c r="A2843" s="14">
        <v>43031.1871875</v>
      </c>
      <c r="B2843" s="20" t="str">
        <f>HYPERLINK("https://twitter.com/anarcho","@anarcho")</f>
        <v>@anarcho</v>
      </c>
      <c r="C2843" s="21" t="s">
        <v>6777</v>
      </c>
      <c r="D2843" s="21" t="s">
        <v>6778</v>
      </c>
      <c r="E2843" s="22" t="str">
        <f>HYPERLINK("https://twitter.com/anarcho/status/922424751317860353","922424751317860353")</f>
        <v>922424751317860353</v>
      </c>
      <c r="F2843" s="23" t="s">
        <v>39</v>
      </c>
      <c r="G2843" s="24">
        <v>13401.0</v>
      </c>
      <c r="H2843" s="24">
        <v>14464.0</v>
      </c>
      <c r="I2843" s="24">
        <v>0.0</v>
      </c>
      <c r="J2843" s="24">
        <v>0.0</v>
      </c>
      <c r="K2843" s="23" t="s">
        <v>34</v>
      </c>
      <c r="L2843" s="25">
        <v>39684.44511574074</v>
      </c>
      <c r="M2843" s="26" t="s">
        <v>6779</v>
      </c>
      <c r="N2843" s="26" t="s">
        <v>6780</v>
      </c>
      <c r="O2843" s="22" t="str">
        <f>HYPERLINK("https://pbs.twimg.com/profile_images/59466853/anarcho_normal.jpg","View")</f>
        <v>View</v>
      </c>
      <c r="P2843" s="27"/>
    </row>
    <row r="2844">
      <c r="A2844" s="14">
        <v>43031.1871875</v>
      </c>
      <c r="B2844" s="20" t="str">
        <f>HYPERLINK("https://twitter.com/SharpsPixley","@SharpsPixley")</f>
        <v>@SharpsPixley</v>
      </c>
      <c r="C2844" s="21" t="s">
        <v>6781</v>
      </c>
      <c r="D2844" s="21" t="s">
        <v>6782</v>
      </c>
      <c r="E2844" s="22" t="str">
        <f>HYPERLINK("https://twitter.com/SharpsPixley/status/922424751678771200","922424751678771200")</f>
        <v>922424751678771200</v>
      </c>
      <c r="F2844" s="23" t="s">
        <v>55</v>
      </c>
      <c r="G2844" s="24">
        <v>26698.0</v>
      </c>
      <c r="H2844" s="24">
        <v>17505.0</v>
      </c>
      <c r="I2844" s="24">
        <v>4.0</v>
      </c>
      <c r="J2844" s="24">
        <v>1.0</v>
      </c>
      <c r="K2844" s="23" t="s">
        <v>34</v>
      </c>
      <c r="L2844" s="25">
        <v>40491.25881944445</v>
      </c>
      <c r="M2844" s="26" t="s">
        <v>590</v>
      </c>
      <c r="N2844" s="26" t="s">
        <v>6783</v>
      </c>
      <c r="O2844" s="22" t="str">
        <f>HYPERLINK("https://pbs.twimg.com/profile_images/473472396947492864/mxJzv8-o_normal.jpeg","View")</f>
        <v>View</v>
      </c>
      <c r="P2844" s="27"/>
    </row>
    <row r="2845">
      <c r="A2845" s="14">
        <v>43031.18726851852</v>
      </c>
      <c r="B2845" s="20" t="str">
        <f>HYPERLINK("https://twitter.com/hzs_admrl","@hzs_admrl")</f>
        <v>@hzs_admrl</v>
      </c>
      <c r="C2845" s="21" t="s">
        <v>6784</v>
      </c>
      <c r="D2845" s="21" t="s">
        <v>42</v>
      </c>
      <c r="E2845" s="22" t="str">
        <f>HYPERLINK("https://twitter.com/hzs_admrl/status/922424782372483072","922424782372483072")</f>
        <v>922424782372483072</v>
      </c>
      <c r="F2845" s="23" t="s">
        <v>39</v>
      </c>
      <c r="G2845" s="24">
        <v>110.0</v>
      </c>
      <c r="H2845" s="24">
        <v>135.0</v>
      </c>
      <c r="I2845" s="24">
        <v>8501.0</v>
      </c>
      <c r="J2845" s="24">
        <v>0.0</v>
      </c>
      <c r="K2845" s="23" t="s">
        <v>34</v>
      </c>
      <c r="L2845" s="25">
        <v>42823.76553240741</v>
      </c>
      <c r="M2845" s="26" t="s">
        <v>6785</v>
      </c>
      <c r="N2845" s="26" t="s">
        <v>6786</v>
      </c>
      <c r="O2845" s="22" t="str">
        <f>HYPERLINK("https://pbs.twimg.com/profile_images/921748608847822848/huy14Rx8_normal.jpg","View")</f>
        <v>View</v>
      </c>
      <c r="P2845" s="27"/>
    </row>
    <row r="2846">
      <c r="A2846" s="14">
        <v>43031.18729166666</v>
      </c>
      <c r="B2846" s="20" t="str">
        <f>HYPERLINK("https://twitter.com/WHISSTLER1","@WHISSTLER1")</f>
        <v>@WHISSTLER1</v>
      </c>
      <c r="C2846" s="21" t="s">
        <v>6787</v>
      </c>
      <c r="D2846" s="21" t="s">
        <v>6670</v>
      </c>
      <c r="E2846" s="22" t="str">
        <f>HYPERLINK("https://twitter.com/WHISSTLER1/status/922424788525682689","922424788525682689")</f>
        <v>922424788525682689</v>
      </c>
      <c r="F2846" s="23" t="s">
        <v>33</v>
      </c>
      <c r="G2846" s="24">
        <v>292.0</v>
      </c>
      <c r="H2846" s="24">
        <v>352.0</v>
      </c>
      <c r="I2846" s="24">
        <v>18.0</v>
      </c>
      <c r="J2846" s="24">
        <v>0.0</v>
      </c>
      <c r="K2846" s="23" t="s">
        <v>34</v>
      </c>
      <c r="L2846" s="25">
        <v>40235.47046296296</v>
      </c>
      <c r="M2846" s="26" t="s">
        <v>6788</v>
      </c>
      <c r="N2846" s="26" t="s">
        <v>6789</v>
      </c>
      <c r="O2846" s="22" t="str">
        <f>HYPERLINK("https://pbs.twimg.com/profile_images/920662605697601536/iygGfxRd_normal.jpg","View")</f>
        <v>View</v>
      </c>
      <c r="P2846" s="27"/>
    </row>
    <row r="2847">
      <c r="A2847" s="14">
        <v>43031.187326388885</v>
      </c>
      <c r="B2847" s="20" t="str">
        <f>HYPERLINK("https://twitter.com/barbi_desantis","@barbi_desantis")</f>
        <v>@barbi_desantis</v>
      </c>
      <c r="C2847" s="21" t="s">
        <v>6790</v>
      </c>
      <c r="D2847" s="21" t="s">
        <v>6791</v>
      </c>
      <c r="E2847" s="22" t="str">
        <f>HYPERLINK("https://twitter.com/barbi_desantis/status/922424802211713024","922424802211713024")</f>
        <v>922424802211713024</v>
      </c>
      <c r="F2847" s="23" t="s">
        <v>55</v>
      </c>
      <c r="G2847" s="24">
        <v>362.0</v>
      </c>
      <c r="H2847" s="24">
        <v>308.0</v>
      </c>
      <c r="I2847" s="24">
        <v>0.0</v>
      </c>
      <c r="J2847" s="24">
        <v>0.0</v>
      </c>
      <c r="K2847" s="23" t="s">
        <v>34</v>
      </c>
      <c r="L2847" s="25">
        <v>42300.90758101852</v>
      </c>
      <c r="M2847" s="26" t="s">
        <v>6792</v>
      </c>
      <c r="N2847" s="26" t="s">
        <v>6793</v>
      </c>
      <c r="O2847" s="22" t="str">
        <f>HYPERLINK("https://pbs.twimg.com/profile_images/883159104704970753/Qd5LTIX7_normal.jpg","View")</f>
        <v>View</v>
      </c>
      <c r="P2847" s="27"/>
    </row>
    <row r="2848">
      <c r="A2848" s="14">
        <v>43031.18733796296</v>
      </c>
      <c r="B2848" s="20" t="str">
        <f>HYPERLINK("https://twitter.com/bajgirenamdev","@bajgirenamdev")</f>
        <v>@bajgirenamdev</v>
      </c>
      <c r="C2848" s="21" t="s">
        <v>6794</v>
      </c>
      <c r="D2848" s="21" t="s">
        <v>42</v>
      </c>
      <c r="E2848" s="22" t="str">
        <f>HYPERLINK("https://twitter.com/bajgirenamdev/status/922424807949504513","922424807949504513")</f>
        <v>922424807949504513</v>
      </c>
      <c r="F2848" s="23" t="s">
        <v>33</v>
      </c>
      <c r="G2848" s="24">
        <v>349.0</v>
      </c>
      <c r="H2848" s="24">
        <v>5001.0</v>
      </c>
      <c r="I2848" s="24">
        <v>8501.0</v>
      </c>
      <c r="J2848" s="24">
        <v>0.0</v>
      </c>
      <c r="K2848" s="23" t="s">
        <v>34</v>
      </c>
      <c r="L2848" s="25">
        <v>42326.411273148144</v>
      </c>
      <c r="M2848" s="26" t="s">
        <v>6795</v>
      </c>
      <c r="N2848" s="26" t="s">
        <v>6796</v>
      </c>
      <c r="O2848" s="22" t="str">
        <f>HYPERLINK("https://pbs.twimg.com/profile_images/912131467479801856/Qs4-UwdW_normal.jpg","View")</f>
        <v>View</v>
      </c>
      <c r="P2848" s="27"/>
    </row>
    <row r="2849">
      <c r="A2849" s="14">
        <v>43031.18744212963</v>
      </c>
      <c r="B2849" s="20" t="str">
        <f>HYPERLINK("https://twitter.com/DeronCozartSr","@DeronCozartSr")</f>
        <v>@DeronCozartSr</v>
      </c>
      <c r="C2849" s="21" t="s">
        <v>6797</v>
      </c>
      <c r="D2849" s="21" t="s">
        <v>6798</v>
      </c>
      <c r="E2849" s="22" t="str">
        <f>HYPERLINK("https://twitter.com/DeronCozartSr/status/922424846126080001","922424846126080001")</f>
        <v>922424846126080001</v>
      </c>
      <c r="F2849" s="23" t="s">
        <v>33</v>
      </c>
      <c r="G2849" s="24">
        <v>282.0</v>
      </c>
      <c r="H2849" s="24">
        <v>1242.0</v>
      </c>
      <c r="I2849" s="24">
        <v>7.0</v>
      </c>
      <c r="J2849" s="24">
        <v>0.0</v>
      </c>
      <c r="K2849" s="23" t="s">
        <v>34</v>
      </c>
      <c r="L2849" s="25">
        <v>40801.59369212963</v>
      </c>
      <c r="M2849" s="26" t="s">
        <v>6799</v>
      </c>
      <c r="N2849" s="26" t="s">
        <v>6800</v>
      </c>
      <c r="O2849" s="22" t="str">
        <f>HYPERLINK("https://pbs.twimg.com/profile_images/759721523338805252/UmsixVDf_normal.jpg","View")</f>
        <v>View</v>
      </c>
      <c r="P2849" s="27"/>
    </row>
    <row r="2850">
      <c r="A2850" s="14">
        <v>43031.18745370371</v>
      </c>
      <c r="B2850" s="20" t="str">
        <f>HYPERLINK("https://twitter.com/samskarebyaha","@samskarebyaha")</f>
        <v>@samskarebyaha</v>
      </c>
      <c r="C2850" s="21" t="s">
        <v>6801</v>
      </c>
      <c r="D2850" s="21" t="s">
        <v>42</v>
      </c>
      <c r="E2850" s="22" t="str">
        <f>HYPERLINK("https://twitter.com/samskarebyaha/status/922424850970374144","922424850970374144")</f>
        <v>922424850970374144</v>
      </c>
      <c r="F2850" s="23" t="s">
        <v>33</v>
      </c>
      <c r="G2850" s="24">
        <v>165.0</v>
      </c>
      <c r="H2850" s="24">
        <v>1688.0</v>
      </c>
      <c r="I2850" s="24">
        <v>8501.0</v>
      </c>
      <c r="J2850" s="24">
        <v>0.0</v>
      </c>
      <c r="K2850" s="23" t="s">
        <v>34</v>
      </c>
      <c r="L2850" s="25">
        <v>42341.08122685185</v>
      </c>
      <c r="M2850" s="28"/>
      <c r="N2850" s="35" t="s">
        <v>6802</v>
      </c>
      <c r="O2850" s="22" t="str">
        <f>HYPERLINK("https://pbs.twimg.com/profile_images/672358266702192641/Pwc0syDt_normal.jpg","View")</f>
        <v>View</v>
      </c>
      <c r="P2850" s="27"/>
    </row>
    <row r="2851">
      <c r="A2851" s="14">
        <v>43031.18747685185</v>
      </c>
      <c r="B2851" s="20" t="str">
        <f>HYPERLINK("https://twitter.com/HolmesCarolyn23","@HolmesCarolyn23")</f>
        <v>@HolmesCarolyn23</v>
      </c>
      <c r="C2851" s="21" t="s">
        <v>6803</v>
      </c>
      <c r="D2851" s="21" t="s">
        <v>6670</v>
      </c>
      <c r="E2851" s="22" t="str">
        <f>HYPERLINK("https://twitter.com/HolmesCarolyn23/status/922424859484938240","922424859484938240")</f>
        <v>922424859484938240</v>
      </c>
      <c r="F2851" s="23" t="s">
        <v>33</v>
      </c>
      <c r="G2851" s="24">
        <v>884.0</v>
      </c>
      <c r="H2851" s="24">
        <v>1695.0</v>
      </c>
      <c r="I2851" s="24">
        <v>18.0</v>
      </c>
      <c r="J2851" s="24">
        <v>0.0</v>
      </c>
      <c r="K2851" s="23" t="s">
        <v>34</v>
      </c>
      <c r="L2851" s="25">
        <v>42611.87940972223</v>
      </c>
      <c r="M2851" s="26" t="s">
        <v>68</v>
      </c>
      <c r="N2851" s="26" t="s">
        <v>6804</v>
      </c>
      <c r="O2851" s="22" t="str">
        <f>HYPERLINK("https://abs.twimg.com/sticky/default_profile_images/default_profile_normal.png","View")</f>
        <v>View</v>
      </c>
      <c r="P2851" s="27"/>
    </row>
    <row r="2852">
      <c r="A2852" s="14">
        <v>43031.18751157407</v>
      </c>
      <c r="B2852" s="20" t="str">
        <f>HYPERLINK("https://twitter.com/Forex4Group_com","@Forex4Group_com")</f>
        <v>@Forex4Group_com</v>
      </c>
      <c r="C2852" s="21" t="s">
        <v>6805</v>
      </c>
      <c r="D2852" s="21" t="s">
        <v>6806</v>
      </c>
      <c r="E2852" s="22" t="str">
        <f>HYPERLINK("https://twitter.com/Forex4Group_com/status/922424871597965313","922424871597965313")</f>
        <v>922424871597965313</v>
      </c>
      <c r="F2852" s="23" t="s">
        <v>769</v>
      </c>
      <c r="G2852" s="24">
        <v>24.0</v>
      </c>
      <c r="H2852" s="24">
        <v>16.0</v>
      </c>
      <c r="I2852" s="24">
        <v>0.0</v>
      </c>
      <c r="J2852" s="24">
        <v>0.0</v>
      </c>
      <c r="K2852" s="23" t="s">
        <v>34</v>
      </c>
      <c r="L2852" s="25">
        <v>42796.30155092593</v>
      </c>
      <c r="M2852" s="26" t="s">
        <v>6807</v>
      </c>
      <c r="N2852" s="26" t="s">
        <v>6808</v>
      </c>
      <c r="O2852" s="22" t="str">
        <f>HYPERLINK("https://pbs.twimg.com/profile_images/837344943345700864/OWoZNKKy_normal.jpg","View")</f>
        <v>View</v>
      </c>
      <c r="P2852" s="27"/>
    </row>
    <row r="2853">
      <c r="A2853" s="14">
        <v>43031.187581018516</v>
      </c>
      <c r="B2853" s="20" t="str">
        <f>HYPERLINK("https://twitter.com/akshata24aug","@akshata24aug")</f>
        <v>@akshata24aug</v>
      </c>
      <c r="C2853" s="21" t="s">
        <v>6809</v>
      </c>
      <c r="D2853" s="21" t="s">
        <v>42</v>
      </c>
      <c r="E2853" s="22" t="str">
        <f>HYPERLINK("https://twitter.com/akshata24aug/status/922424894205202433","922424894205202433")</f>
        <v>922424894205202433</v>
      </c>
      <c r="F2853" s="23" t="s">
        <v>33</v>
      </c>
      <c r="G2853" s="24">
        <v>2506.0</v>
      </c>
      <c r="H2853" s="24">
        <v>5000.0</v>
      </c>
      <c r="I2853" s="24">
        <v>8501.0</v>
      </c>
      <c r="J2853" s="24">
        <v>0.0</v>
      </c>
      <c r="K2853" s="23" t="s">
        <v>34</v>
      </c>
      <c r="L2853" s="25">
        <v>42242.219988425924</v>
      </c>
      <c r="M2853" s="26" t="s">
        <v>6810</v>
      </c>
      <c r="N2853" s="26" t="s">
        <v>6811</v>
      </c>
      <c r="O2853" s="22" t="str">
        <f>HYPERLINK("https://pbs.twimg.com/profile_images/921072177339711488/RO0FjWTp_normal.jpg","View")</f>
        <v>View</v>
      </c>
      <c r="P2853" s="27"/>
    </row>
    <row r="2854">
      <c r="A2854" s="14">
        <v>43031.18766203704</v>
      </c>
      <c r="B2854" s="20" t="str">
        <f>HYPERLINK("https://twitter.com/Vivek_17m","@Vivek_17m")</f>
        <v>@Vivek_17m</v>
      </c>
      <c r="C2854" s="21" t="s">
        <v>6812</v>
      </c>
      <c r="D2854" s="21" t="s">
        <v>42</v>
      </c>
      <c r="E2854" s="22" t="str">
        <f>HYPERLINK("https://twitter.com/Vivek_17m/status/922424923791900674","922424923791900674")</f>
        <v>922424923791900674</v>
      </c>
      <c r="F2854" s="23" t="s">
        <v>43</v>
      </c>
      <c r="G2854" s="24">
        <v>174.0</v>
      </c>
      <c r="H2854" s="24">
        <v>627.0</v>
      </c>
      <c r="I2854" s="24">
        <v>8501.0</v>
      </c>
      <c r="J2854" s="24">
        <v>0.0</v>
      </c>
      <c r="K2854" s="23" t="s">
        <v>34</v>
      </c>
      <c r="L2854" s="25">
        <v>40701.17743055556</v>
      </c>
      <c r="M2854" s="26" t="s">
        <v>207</v>
      </c>
      <c r="N2854" s="26" t="s">
        <v>6813</v>
      </c>
      <c r="O2854" s="22" t="str">
        <f>HYPERLINK("https://pbs.twimg.com/profile_images/2744675055/eee0c13fb6cc1270538fdbad44609ec1_normal.jpeg","View")</f>
        <v>View</v>
      </c>
      <c r="P2854" s="27"/>
    </row>
    <row r="2855">
      <c r="A2855" s="14">
        <v>43031.187743055554</v>
      </c>
      <c r="B2855" s="20" t="str">
        <f>HYPERLINK("https://twitter.com/jainamit81","@jainamit81")</f>
        <v>@jainamit81</v>
      </c>
      <c r="C2855" s="21" t="s">
        <v>6814</v>
      </c>
      <c r="D2855" s="21" t="s">
        <v>42</v>
      </c>
      <c r="E2855" s="22" t="str">
        <f>HYPERLINK("https://twitter.com/jainamit81/status/922424952581603328","922424952581603328")</f>
        <v>922424952581603328</v>
      </c>
      <c r="F2855" s="23" t="s">
        <v>55</v>
      </c>
      <c r="G2855" s="24">
        <v>340.0</v>
      </c>
      <c r="H2855" s="24">
        <v>737.0</v>
      </c>
      <c r="I2855" s="24">
        <v>8501.0</v>
      </c>
      <c r="J2855" s="24">
        <v>0.0</v>
      </c>
      <c r="K2855" s="23" t="s">
        <v>34</v>
      </c>
      <c r="L2855" s="25">
        <v>39954.988287037035</v>
      </c>
      <c r="M2855" s="26" t="s">
        <v>2356</v>
      </c>
      <c r="N2855" s="26" t="s">
        <v>6815</v>
      </c>
      <c r="O2855" s="22" t="str">
        <f>HYPERLINK("https://pbs.twimg.com/profile_images/453498756608950272/LAnsBsM7_normal.jpeg","View")</f>
        <v>View</v>
      </c>
      <c r="P2855" s="27"/>
    </row>
    <row r="2856">
      <c r="A2856" s="14">
        <v>43031.187743055554</v>
      </c>
      <c r="B2856" s="20" t="str">
        <f>HYPERLINK("https://twitter.com/worldnews_net","@worldnews_net")</f>
        <v>@worldnews_net</v>
      </c>
      <c r="C2856" s="21" t="s">
        <v>3637</v>
      </c>
      <c r="D2856" s="21" t="s">
        <v>6816</v>
      </c>
      <c r="E2856" s="22" t="str">
        <f>HYPERLINK("https://twitter.com/worldnews_net/status/922424955165446144","922424955165446144")</f>
        <v>922424955165446144</v>
      </c>
      <c r="F2856" s="23" t="s">
        <v>187</v>
      </c>
      <c r="G2856" s="24">
        <v>6452.0</v>
      </c>
      <c r="H2856" s="24">
        <v>1320.0</v>
      </c>
      <c r="I2856" s="24">
        <v>0.0</v>
      </c>
      <c r="J2856" s="24">
        <v>0.0</v>
      </c>
      <c r="K2856" s="23" t="s">
        <v>34</v>
      </c>
      <c r="L2856" s="25">
        <v>42056.08016203703</v>
      </c>
      <c r="M2856" s="28"/>
      <c r="N2856" s="26" t="s">
        <v>3639</v>
      </c>
      <c r="O2856" s="22" t="str">
        <f>HYPERLINK("https://pbs.twimg.com/profile_images/570163852034076672/nbok5qlW_normal.jpeg","View")</f>
        <v>View</v>
      </c>
      <c r="P2856" s="27"/>
    </row>
    <row r="2857">
      <c r="A2857" s="14">
        <v>43031.18775462963</v>
      </c>
      <c r="B2857" s="20" t="str">
        <f>HYPERLINK("https://twitter.com/YogeshB88416606","@YogeshB88416606")</f>
        <v>@YogeshB88416606</v>
      </c>
      <c r="C2857" s="21" t="s">
        <v>6817</v>
      </c>
      <c r="D2857" s="21" t="s">
        <v>42</v>
      </c>
      <c r="E2857" s="22" t="str">
        <f>HYPERLINK("https://twitter.com/YogeshB88416606/status/922424958403276800","922424958403276800")</f>
        <v>922424958403276800</v>
      </c>
      <c r="F2857" s="23" t="s">
        <v>33</v>
      </c>
      <c r="G2857" s="24">
        <v>4.0</v>
      </c>
      <c r="H2857" s="24">
        <v>188.0</v>
      </c>
      <c r="I2857" s="24">
        <v>8501.0</v>
      </c>
      <c r="J2857" s="24">
        <v>0.0</v>
      </c>
      <c r="K2857" s="23" t="s">
        <v>34</v>
      </c>
      <c r="L2857" s="25">
        <v>42963.441296296296</v>
      </c>
      <c r="M2857" s="26" t="s">
        <v>246</v>
      </c>
      <c r="N2857" s="28"/>
      <c r="O2857" s="22" t="str">
        <f>HYPERLINK("https://pbs.twimg.com/profile_images/897882643580297216/fUXd5Pmf_normal.jpg","View")</f>
        <v>View</v>
      </c>
      <c r="P2857" s="27"/>
    </row>
    <row r="2858">
      <c r="A2858" s="14">
        <v>43031.1877662037</v>
      </c>
      <c r="B2858" s="20" t="str">
        <f>HYPERLINK("https://twitter.com/ivan11ivanov1","@ivan11ivanov1")</f>
        <v>@ivan11ivanov1</v>
      </c>
      <c r="C2858" s="21" t="s">
        <v>6632</v>
      </c>
      <c r="D2858" s="21" t="s">
        <v>5544</v>
      </c>
      <c r="E2858" s="22" t="str">
        <f>HYPERLINK("https://twitter.com/ivan11ivanov1/status/922424963876896768","922424963876896768")</f>
        <v>922424963876896768</v>
      </c>
      <c r="F2858" s="23" t="s">
        <v>55</v>
      </c>
      <c r="G2858" s="24">
        <v>1.0</v>
      </c>
      <c r="H2858" s="24">
        <v>0.0</v>
      </c>
      <c r="I2858" s="24">
        <v>77.0</v>
      </c>
      <c r="J2858" s="24">
        <v>0.0</v>
      </c>
      <c r="K2858" s="23" t="s">
        <v>34</v>
      </c>
      <c r="L2858" s="25">
        <v>43015.561215277776</v>
      </c>
      <c r="M2858" s="28"/>
      <c r="N2858" s="28"/>
      <c r="O2858" s="22" t="str">
        <f>HYPERLINK("https://pbs.twimg.com/profile_images/921013112567840770/TXy64Tah_normal.jpg","View")</f>
        <v>View</v>
      </c>
      <c r="P2858" s="27"/>
    </row>
    <row r="2859">
      <c r="A2859" s="14">
        <v>43031.1878125</v>
      </c>
      <c r="B2859" s="20" t="str">
        <f>HYPERLINK("https://twitter.com/warplan","@warplan")</f>
        <v>@warplan</v>
      </c>
      <c r="C2859" s="21" t="s">
        <v>6818</v>
      </c>
      <c r="D2859" s="21" t="s">
        <v>6819</v>
      </c>
      <c r="E2859" s="22" t="str">
        <f>HYPERLINK("https://twitter.com/warplan/status/922424980180103172","922424980180103172")</f>
        <v>922424980180103172</v>
      </c>
      <c r="F2859" s="23" t="s">
        <v>33</v>
      </c>
      <c r="G2859" s="24">
        <v>6488.0</v>
      </c>
      <c r="H2859" s="24">
        <v>6190.0</v>
      </c>
      <c r="I2859" s="24">
        <v>0.0</v>
      </c>
      <c r="J2859" s="24">
        <v>0.0</v>
      </c>
      <c r="K2859" s="23" t="s">
        <v>34</v>
      </c>
      <c r="L2859" s="25">
        <v>39990.78587962963</v>
      </c>
      <c r="M2859" s="26" t="s">
        <v>6820</v>
      </c>
      <c r="N2859" s="26" t="s">
        <v>6821</v>
      </c>
      <c r="O2859" s="22" t="str">
        <f>HYPERLINK("https://pbs.twimg.com/profile_images/308837043/015_normal.JPG","View")</f>
        <v>View</v>
      </c>
      <c r="P2859" s="27"/>
    </row>
    <row r="2860">
      <c r="A2860" s="14">
        <v>43031.1878587963</v>
      </c>
      <c r="B2860" s="20" t="str">
        <f>HYPERLINK("https://twitter.com/samarjeet_n","@samarjeet_n")</f>
        <v>@samarjeet_n</v>
      </c>
      <c r="C2860" s="21" t="s">
        <v>6822</v>
      </c>
      <c r="D2860" s="21" t="s">
        <v>3787</v>
      </c>
      <c r="E2860" s="22" t="str">
        <f>HYPERLINK("https://twitter.com/samarjeet_n/status/922424997297012736","922424997297012736")</f>
        <v>922424997297012736</v>
      </c>
      <c r="F2860" s="23" t="s">
        <v>33</v>
      </c>
      <c r="G2860" s="24">
        <v>78508.0</v>
      </c>
      <c r="H2860" s="24">
        <v>28300.0</v>
      </c>
      <c r="I2860" s="24">
        <v>25.0</v>
      </c>
      <c r="J2860" s="24">
        <v>0.0</v>
      </c>
      <c r="K2860" s="23" t="s">
        <v>34</v>
      </c>
      <c r="L2860" s="25">
        <v>40176.38429398148</v>
      </c>
      <c r="M2860" s="26" t="s">
        <v>6823</v>
      </c>
      <c r="N2860" s="26" t="s">
        <v>6824</v>
      </c>
      <c r="O2860" s="22" t="str">
        <f>HYPERLINK("https://pbs.twimg.com/profile_images/884086323904106496/7JA9-x96_normal.jpg","View")</f>
        <v>View</v>
      </c>
      <c r="P2860" s="27"/>
    </row>
    <row r="2861">
      <c r="A2861" s="14">
        <v>43031.18788194444</v>
      </c>
      <c r="B2861" s="20" t="str">
        <f>HYPERLINK("https://twitter.com/Prashan55640739","@Prashan55640739")</f>
        <v>@Prashan55640739</v>
      </c>
      <c r="C2861" s="21" t="s">
        <v>6825</v>
      </c>
      <c r="D2861" s="21" t="s">
        <v>42</v>
      </c>
      <c r="E2861" s="22" t="str">
        <f>HYPERLINK("https://twitter.com/Prashan55640739/status/922425003554979840","922425003554979840")</f>
        <v>922425003554979840</v>
      </c>
      <c r="F2861" s="23" t="s">
        <v>33</v>
      </c>
      <c r="G2861" s="24">
        <v>1.0</v>
      </c>
      <c r="H2861" s="24">
        <v>9.0</v>
      </c>
      <c r="I2861" s="24">
        <v>8501.0</v>
      </c>
      <c r="J2861" s="24">
        <v>0.0</v>
      </c>
      <c r="K2861" s="23" t="s">
        <v>34</v>
      </c>
      <c r="L2861" s="25">
        <v>43026.09449074074</v>
      </c>
      <c r="M2861" s="28"/>
      <c r="N2861" s="28"/>
      <c r="O2861" s="22" t="str">
        <f>HYPERLINK("https://abs.twimg.com/sticky/default_profile_images/default_profile_normal.png","View")</f>
        <v>View</v>
      </c>
      <c r="P2861" s="27"/>
    </row>
    <row r="2862">
      <c r="A2862" s="14">
        <v>43031.18789351852</v>
      </c>
      <c r="B2862" s="20" t="str">
        <f>HYPERLINK("https://twitter.com/thepoorghost","@thepoorghost")</f>
        <v>@thepoorghost</v>
      </c>
      <c r="C2862" s="21" t="s">
        <v>6826</v>
      </c>
      <c r="D2862" s="21" t="s">
        <v>42</v>
      </c>
      <c r="E2862" s="22" t="str">
        <f>HYPERLINK("https://twitter.com/thepoorghost/status/922425006977458176","922425006977458176")</f>
        <v>922425006977458176</v>
      </c>
      <c r="F2862" s="23" t="s">
        <v>33</v>
      </c>
      <c r="G2862" s="24">
        <v>83.0</v>
      </c>
      <c r="H2862" s="24">
        <v>178.0</v>
      </c>
      <c r="I2862" s="24">
        <v>8501.0</v>
      </c>
      <c r="J2862" s="24">
        <v>0.0</v>
      </c>
      <c r="K2862" s="23" t="s">
        <v>34</v>
      </c>
      <c r="L2862" s="25">
        <v>42397.50120370371</v>
      </c>
      <c r="M2862" s="26" t="s">
        <v>204</v>
      </c>
      <c r="N2862" s="26" t="s">
        <v>6827</v>
      </c>
      <c r="O2862" s="22" t="str">
        <f>HYPERLINK("https://pbs.twimg.com/profile_images/822492496873852928/R16gi_dJ_normal.jpg","View")</f>
        <v>View</v>
      </c>
      <c r="P2862" s="27"/>
    </row>
    <row r="2863">
      <c r="A2863" s="14">
        <v>43031.18797453704</v>
      </c>
      <c r="B2863" s="20" t="str">
        <f>HYPERLINK("https://twitter.com/ReferralKings","@ReferralKings")</f>
        <v>@ReferralKings</v>
      </c>
      <c r="C2863" s="21" t="s">
        <v>6828</v>
      </c>
      <c r="D2863" s="21" t="s">
        <v>6829</v>
      </c>
      <c r="E2863" s="22" t="str">
        <f>HYPERLINK("https://twitter.com/ReferralKings/status/922425038359465984","922425038359465984")</f>
        <v>922425038359465984</v>
      </c>
      <c r="F2863" s="23" t="s">
        <v>427</v>
      </c>
      <c r="G2863" s="24">
        <v>1026.0</v>
      </c>
      <c r="H2863" s="24">
        <v>276.0</v>
      </c>
      <c r="I2863" s="24">
        <v>0.0</v>
      </c>
      <c r="J2863" s="24">
        <v>0.0</v>
      </c>
      <c r="K2863" s="23" t="s">
        <v>34</v>
      </c>
      <c r="L2863" s="25">
        <v>41489.75340277778</v>
      </c>
      <c r="M2863" s="28"/>
      <c r="N2863" s="28"/>
      <c r="O2863" s="22" t="str">
        <f>HYPERLINK("https://pbs.twimg.com/profile_images/378800000237545093/129eed449ce087831a648389ee4e3606_normal.jpeg","View")</f>
        <v>View</v>
      </c>
      <c r="P2863" s="27"/>
    </row>
    <row r="2864">
      <c r="A2864" s="14">
        <v>43031.18800925926</v>
      </c>
      <c r="B2864" s="20" t="str">
        <f>HYPERLINK("https://twitter.com/shrinkbill","@shrinkbill")</f>
        <v>@shrinkbill</v>
      </c>
      <c r="C2864" s="21" t="s">
        <v>6830</v>
      </c>
      <c r="D2864" s="21" t="s">
        <v>6831</v>
      </c>
      <c r="E2864" s="22" t="str">
        <f>HYPERLINK("https://twitter.com/shrinkbill/status/922425052385169408","922425052385169408")</f>
        <v>922425052385169408</v>
      </c>
      <c r="F2864" s="23" t="s">
        <v>6530</v>
      </c>
      <c r="G2864" s="24">
        <v>185.0</v>
      </c>
      <c r="H2864" s="24">
        <v>226.0</v>
      </c>
      <c r="I2864" s="24">
        <v>0.0</v>
      </c>
      <c r="J2864" s="24">
        <v>0.0</v>
      </c>
      <c r="K2864" s="23" t="s">
        <v>34</v>
      </c>
      <c r="L2864" s="25">
        <v>40024.32849537037</v>
      </c>
      <c r="M2864" s="26" t="s">
        <v>6832</v>
      </c>
      <c r="N2864" s="26" t="s">
        <v>6833</v>
      </c>
      <c r="O2864" s="22" t="str">
        <f>HYPERLINK("https://pbs.twimg.com/profile_images/380485526/shrinkbill-logo_normal.gif","View")</f>
        <v>View</v>
      </c>
      <c r="P2864" s="27"/>
    </row>
    <row r="2865">
      <c r="A2865" s="14">
        <v>43031.188055555554</v>
      </c>
      <c r="B2865" s="20" t="str">
        <f>HYPERLINK("https://twitter.com/nekrasov7pavel","@nekrasov7pavel")</f>
        <v>@nekrasov7pavel</v>
      </c>
      <c r="C2865" s="21" t="s">
        <v>6774</v>
      </c>
      <c r="D2865" s="21" t="s">
        <v>404</v>
      </c>
      <c r="E2865" s="22" t="str">
        <f>HYPERLINK("https://twitter.com/nekrasov7pavel/status/922425068235272194","922425068235272194")</f>
        <v>922425068235272194</v>
      </c>
      <c r="F2865" s="23" t="s">
        <v>55</v>
      </c>
      <c r="G2865" s="24">
        <v>2.0</v>
      </c>
      <c r="H2865" s="24">
        <v>3.0</v>
      </c>
      <c r="I2865" s="24">
        <v>59.0</v>
      </c>
      <c r="J2865" s="24">
        <v>0.0</v>
      </c>
      <c r="K2865" s="23" t="s">
        <v>34</v>
      </c>
      <c r="L2865" s="25">
        <v>43015.647465277776</v>
      </c>
      <c r="M2865" s="28"/>
      <c r="N2865" s="28"/>
      <c r="O2865" s="22" t="str">
        <f>HYPERLINK("https://pbs.twimg.com/profile_images/919554173821100032/8lik4TSM_normal.jpg","View")</f>
        <v>View</v>
      </c>
      <c r="P2865" s="27"/>
    </row>
    <row r="2866">
      <c r="A2866" s="14">
        <v>43031.18807870371</v>
      </c>
      <c r="B2866" s="20" t="str">
        <f>HYPERLINK("https://twitter.com/Anirudd695","@Anirudd695")</f>
        <v>@Anirudd695</v>
      </c>
      <c r="C2866" s="21" t="s">
        <v>6834</v>
      </c>
      <c r="D2866" s="21" t="s">
        <v>42</v>
      </c>
      <c r="E2866" s="22" t="str">
        <f>HYPERLINK("https://twitter.com/Anirudd695/status/922425075411779585","922425075411779585")</f>
        <v>922425075411779585</v>
      </c>
      <c r="F2866" s="23" t="s">
        <v>43</v>
      </c>
      <c r="G2866" s="24">
        <v>2375.0</v>
      </c>
      <c r="H2866" s="24">
        <v>4786.0</v>
      </c>
      <c r="I2866" s="24">
        <v>8501.0</v>
      </c>
      <c r="J2866" s="24">
        <v>0.0</v>
      </c>
      <c r="K2866" s="23" t="s">
        <v>34</v>
      </c>
      <c r="L2866" s="25">
        <v>41639.260254629626</v>
      </c>
      <c r="M2866" s="26" t="s">
        <v>204</v>
      </c>
      <c r="N2866" s="26" t="s">
        <v>6835</v>
      </c>
      <c r="O2866" s="22" t="str">
        <f>HYPERLINK("https://pbs.twimg.com/profile_images/495221991943598083/9N65e19n_normal.jpeg","View")</f>
        <v>View</v>
      </c>
      <c r="P2866" s="27"/>
    </row>
    <row r="2867">
      <c r="A2867" s="14">
        <v>43031.18807870371</v>
      </c>
      <c r="B2867" s="20" t="str">
        <f>HYPERLINK("https://twitter.com/maitysusu","@maitysusu")</f>
        <v>@maitysusu</v>
      </c>
      <c r="C2867" s="21" t="s">
        <v>6836</v>
      </c>
      <c r="D2867" s="21" t="s">
        <v>42</v>
      </c>
      <c r="E2867" s="22" t="str">
        <f>HYPERLINK("https://twitter.com/maitysusu/status/922425076309303296","922425076309303296")</f>
        <v>922425076309303296</v>
      </c>
      <c r="F2867" s="23" t="s">
        <v>39</v>
      </c>
      <c r="G2867" s="24">
        <v>10.0</v>
      </c>
      <c r="H2867" s="24">
        <v>31.0</v>
      </c>
      <c r="I2867" s="24">
        <v>8501.0</v>
      </c>
      <c r="J2867" s="24">
        <v>0.0</v>
      </c>
      <c r="K2867" s="23" t="s">
        <v>34</v>
      </c>
      <c r="L2867" s="25">
        <v>40582.27385416666</v>
      </c>
      <c r="M2867" s="28"/>
      <c r="N2867" s="28"/>
      <c r="O2867" s="22" t="str">
        <f>HYPERLINK("https://pbs.twimg.com/profile_images/914675858429718529/d-omAqbU_normal.jpg","View")</f>
        <v>View</v>
      </c>
      <c r="P2867" s="27"/>
    </row>
    <row r="2868">
      <c r="A2868" s="14">
        <v>43031.188159722224</v>
      </c>
      <c r="B2868" s="20" t="str">
        <f>HYPERLINK("https://twitter.com/ShintaroNY74","@ShintaroNY74")</f>
        <v>@ShintaroNY74</v>
      </c>
      <c r="C2868" s="21" t="s">
        <v>6837</v>
      </c>
      <c r="D2868" s="21" t="s">
        <v>6403</v>
      </c>
      <c r="E2868" s="22" t="str">
        <f>HYPERLINK("https://twitter.com/ShintaroNY74/status/922425104339894272","922425104339894272")</f>
        <v>922425104339894272</v>
      </c>
      <c r="F2868" s="23" t="s">
        <v>39</v>
      </c>
      <c r="G2868" s="24">
        <v>80.0</v>
      </c>
      <c r="H2868" s="24">
        <v>769.0</v>
      </c>
      <c r="I2868" s="24">
        <v>97.0</v>
      </c>
      <c r="J2868" s="24">
        <v>0.0</v>
      </c>
      <c r="K2868" s="23" t="s">
        <v>34</v>
      </c>
      <c r="L2868" s="25">
        <v>41799.991747685184</v>
      </c>
      <c r="M2868" s="26" t="s">
        <v>4704</v>
      </c>
      <c r="N2868" s="26" t="s">
        <v>6838</v>
      </c>
      <c r="O2868" s="22" t="str">
        <f>HYPERLINK("https://pbs.twimg.com/profile_images/826692373757300737/1FNERag7_normal.jpg","View")</f>
        <v>View</v>
      </c>
      <c r="P2868" s="27"/>
    </row>
    <row r="2869">
      <c r="A2869" s="14">
        <v>43031.18818287037</v>
      </c>
      <c r="B2869" s="20" t="str">
        <f>HYPERLINK("https://twitter.com/SharpsPixley","@SharpsPixley")</f>
        <v>@SharpsPixley</v>
      </c>
      <c r="C2869" s="21" t="s">
        <v>6781</v>
      </c>
      <c r="D2869" s="21" t="s">
        <v>6839</v>
      </c>
      <c r="E2869" s="22" t="str">
        <f>HYPERLINK("https://twitter.com/SharpsPixley/status/922425112938377217","922425112938377217")</f>
        <v>922425112938377217</v>
      </c>
      <c r="F2869" s="23" t="s">
        <v>1570</v>
      </c>
      <c r="G2869" s="24">
        <v>26698.0</v>
      </c>
      <c r="H2869" s="24">
        <v>17505.0</v>
      </c>
      <c r="I2869" s="24">
        <v>10.0</v>
      </c>
      <c r="J2869" s="24">
        <v>4.0</v>
      </c>
      <c r="K2869" s="23" t="s">
        <v>34</v>
      </c>
      <c r="L2869" s="25">
        <v>40491.25881944445</v>
      </c>
      <c r="M2869" s="26" t="s">
        <v>590</v>
      </c>
      <c r="N2869" s="26" t="s">
        <v>6783</v>
      </c>
      <c r="O2869" s="22" t="str">
        <f>HYPERLINK("https://pbs.twimg.com/profile_images/473472396947492864/mxJzv8-o_normal.jpeg","View")</f>
        <v>View</v>
      </c>
      <c r="P2869" s="27"/>
    </row>
    <row r="2870">
      <c r="A2870" s="14">
        <v>43031.18821759259</v>
      </c>
      <c r="B2870" s="20" t="str">
        <f>HYPERLINK("https://twitter.com/Abhi_D_","@Abhi_D_")</f>
        <v>@Abhi_D_</v>
      </c>
      <c r="C2870" s="21" t="s">
        <v>6840</v>
      </c>
      <c r="D2870" s="21" t="s">
        <v>42</v>
      </c>
      <c r="E2870" s="22" t="str">
        <f>HYPERLINK("https://twitter.com/Abhi_D_/status/922425124090822656","922425124090822656")</f>
        <v>922425124090822656</v>
      </c>
      <c r="F2870" s="23" t="s">
        <v>33</v>
      </c>
      <c r="G2870" s="24">
        <v>908.0</v>
      </c>
      <c r="H2870" s="24">
        <v>1502.0</v>
      </c>
      <c r="I2870" s="24">
        <v>8501.0</v>
      </c>
      <c r="J2870" s="24">
        <v>0.0</v>
      </c>
      <c r="K2870" s="23" t="s">
        <v>34</v>
      </c>
      <c r="L2870" s="25">
        <v>40535.808483796296</v>
      </c>
      <c r="M2870" s="26" t="s">
        <v>6841</v>
      </c>
      <c r="N2870" s="26" t="s">
        <v>6842</v>
      </c>
      <c r="O2870" s="22" t="str">
        <f>HYPERLINK("https://pbs.twimg.com/profile_images/885864311914188800/antUim-N_normal.jpg","View")</f>
        <v>View</v>
      </c>
      <c r="P2870" s="27"/>
    </row>
    <row r="2871">
      <c r="A2871" s="14">
        <v>43031.18821759259</v>
      </c>
      <c r="B2871" s="20" t="str">
        <f>HYPERLINK("https://twitter.com/Chandan_ykts","@Chandan_ykts")</f>
        <v>@Chandan_ykts</v>
      </c>
      <c r="C2871" s="21" t="s">
        <v>6843</v>
      </c>
      <c r="D2871" s="21" t="s">
        <v>42</v>
      </c>
      <c r="E2871" s="22" t="str">
        <f>HYPERLINK("https://twitter.com/Chandan_ykts/status/922425127488315394","922425127488315394")</f>
        <v>922425127488315394</v>
      </c>
      <c r="F2871" s="23" t="s">
        <v>43</v>
      </c>
      <c r="G2871" s="24">
        <v>61.0</v>
      </c>
      <c r="H2871" s="24">
        <v>139.0</v>
      </c>
      <c r="I2871" s="24">
        <v>8501.0</v>
      </c>
      <c r="J2871" s="24">
        <v>0.0</v>
      </c>
      <c r="K2871" s="23" t="s">
        <v>34</v>
      </c>
      <c r="L2871" s="25">
        <v>41632.969039351854</v>
      </c>
      <c r="M2871" s="26" t="s">
        <v>423</v>
      </c>
      <c r="N2871" s="26" t="s">
        <v>6844</v>
      </c>
      <c r="O2871" s="22" t="str">
        <f>HYPERLINK("https://pbs.twimg.com/profile_images/698200353712373760/_HM0UVLz_normal.jpg","View")</f>
        <v>View</v>
      </c>
      <c r="P2871" s="27"/>
    </row>
    <row r="2872">
      <c r="A2872" s="14">
        <v>43031.18822916667</v>
      </c>
      <c r="B2872" s="20" t="str">
        <f>HYPERLINK("https://twitter.com/SubrataDasa2013","@SubrataDasa2013")</f>
        <v>@SubrataDasa2013</v>
      </c>
      <c r="C2872" s="21" t="s">
        <v>6845</v>
      </c>
      <c r="D2872" s="21" t="s">
        <v>42</v>
      </c>
      <c r="E2872" s="22" t="str">
        <f>HYPERLINK("https://twitter.com/SubrataDasa2013/status/922425129778286592","922425129778286592")</f>
        <v>922425129778286592</v>
      </c>
      <c r="F2872" s="23" t="s">
        <v>33</v>
      </c>
      <c r="G2872" s="24">
        <v>21.0</v>
      </c>
      <c r="H2872" s="24">
        <v>77.0</v>
      </c>
      <c r="I2872" s="24">
        <v>8501.0</v>
      </c>
      <c r="J2872" s="24">
        <v>0.0</v>
      </c>
      <c r="K2872" s="23" t="s">
        <v>34</v>
      </c>
      <c r="L2872" s="25">
        <v>41520.32760416667</v>
      </c>
      <c r="M2872" s="26" t="s">
        <v>204</v>
      </c>
      <c r="N2872" s="26" t="s">
        <v>6846</v>
      </c>
      <c r="O2872" s="22" t="str">
        <f>HYPERLINK("https://pbs.twimg.com/profile_images/920545752585093121/Nj1D_56e_normal.jpg","View")</f>
        <v>View</v>
      </c>
      <c r="P2872" s="27"/>
    </row>
    <row r="2873">
      <c r="A2873" s="14">
        <v>43031.18837962963</v>
      </c>
      <c r="B2873" s="20" t="str">
        <f>HYPERLINK("https://twitter.com/BrownSugar_oki","@BrownSugar_oki")</f>
        <v>@BrownSugar_oki</v>
      </c>
      <c r="C2873" s="21" t="s">
        <v>6847</v>
      </c>
      <c r="D2873" s="21" t="s">
        <v>42</v>
      </c>
      <c r="E2873" s="22" t="str">
        <f>HYPERLINK("https://twitter.com/BrownSugar_oki/status/922425184245620738","922425184245620738")</f>
        <v>922425184245620738</v>
      </c>
      <c r="F2873" s="23" t="s">
        <v>39</v>
      </c>
      <c r="G2873" s="24">
        <v>210.0</v>
      </c>
      <c r="H2873" s="24">
        <v>1047.0</v>
      </c>
      <c r="I2873" s="24">
        <v>8501.0</v>
      </c>
      <c r="J2873" s="24">
        <v>0.0</v>
      </c>
      <c r="K2873" s="23" t="s">
        <v>34</v>
      </c>
      <c r="L2873" s="25">
        <v>42576.34076388889</v>
      </c>
      <c r="M2873" s="26" t="s">
        <v>6848</v>
      </c>
      <c r="N2873" s="26" t="s">
        <v>6849</v>
      </c>
      <c r="O2873" s="22" t="str">
        <f>HYPERLINK("https://pbs.twimg.com/profile_images/919768305434476544/lddKTDoL_normal.jpg","View")</f>
        <v>View</v>
      </c>
      <c r="P2873" s="27"/>
    </row>
    <row r="2874">
      <c r="A2874" s="14">
        <v>43031.1884375</v>
      </c>
      <c r="B2874" s="20" t="str">
        <f>HYPERLINK("https://twitter.com/cbriquet","@cbriquet")</f>
        <v>@cbriquet</v>
      </c>
      <c r="C2874" s="21" t="s">
        <v>6850</v>
      </c>
      <c r="D2874" s="21" t="s">
        <v>105</v>
      </c>
      <c r="E2874" s="22" t="str">
        <f>HYPERLINK("https://twitter.com/cbriquet/status/922425207255715840","922425207255715840")</f>
        <v>922425207255715840</v>
      </c>
      <c r="F2874" s="23" t="s">
        <v>39</v>
      </c>
      <c r="G2874" s="24">
        <v>1898.0</v>
      </c>
      <c r="H2874" s="24">
        <v>18.0</v>
      </c>
      <c r="I2874" s="24">
        <v>69.0</v>
      </c>
      <c r="J2874" s="24">
        <v>0.0</v>
      </c>
      <c r="K2874" s="23" t="s">
        <v>34</v>
      </c>
      <c r="L2874" s="25">
        <v>39580.7503125</v>
      </c>
      <c r="M2874" s="26" t="s">
        <v>6851</v>
      </c>
      <c r="N2874" s="26" t="s">
        <v>6852</v>
      </c>
      <c r="O2874" s="22" t="str">
        <f>HYPERLINK("https://pbs.twimg.com/profile_images/871397153725394944/nPNPV8kP_normal.jpg","View")</f>
        <v>View</v>
      </c>
      <c r="P2874" s="27"/>
    </row>
    <row r="2875">
      <c r="A2875" s="14">
        <v>43031.18844907408</v>
      </c>
      <c r="B2875" s="20" t="str">
        <f>HYPERLINK("https://twitter.com/1980nikolaev1","@1980nikolaev1")</f>
        <v>@1980nikolaev1</v>
      </c>
      <c r="C2875" s="21" t="s">
        <v>6853</v>
      </c>
      <c r="D2875" s="21" t="s">
        <v>2555</v>
      </c>
      <c r="E2875" s="22" t="str">
        <f>HYPERLINK("https://twitter.com/1980nikolaev1/status/922425209981771776","922425209981771776")</f>
        <v>922425209981771776</v>
      </c>
      <c r="F2875" s="23" t="s">
        <v>55</v>
      </c>
      <c r="G2875" s="24">
        <v>1.0</v>
      </c>
      <c r="H2875" s="24">
        <v>0.0</v>
      </c>
      <c r="I2875" s="24">
        <v>58.0</v>
      </c>
      <c r="J2875" s="24">
        <v>0.0</v>
      </c>
      <c r="K2875" s="23" t="s">
        <v>34</v>
      </c>
      <c r="L2875" s="25">
        <v>43015.563680555555</v>
      </c>
      <c r="M2875" s="28"/>
      <c r="N2875" s="28"/>
      <c r="O2875" s="22" t="str">
        <f>HYPERLINK("https://pbs.twimg.com/profile_images/921018802728443904/tSNJfa9F_normal.jpg","View")</f>
        <v>View</v>
      </c>
      <c r="P2875" s="27"/>
    </row>
    <row r="2876">
      <c r="A2876" s="14">
        <v>43031.188472222224</v>
      </c>
      <c r="B2876" s="20" t="str">
        <f>HYPERLINK("https://twitter.com/reine_endormie","@reine_endormie")</f>
        <v>@reine_endormie</v>
      </c>
      <c r="C2876" s="21" t="s">
        <v>6854</v>
      </c>
      <c r="D2876" s="21" t="s">
        <v>2595</v>
      </c>
      <c r="E2876" s="22" t="str">
        <f>HYPERLINK("https://twitter.com/reine_endormie/status/922425218106134528","922425218106134528")</f>
        <v>922425218106134528</v>
      </c>
      <c r="F2876" s="23" t="s">
        <v>39</v>
      </c>
      <c r="G2876" s="24">
        <v>30.0</v>
      </c>
      <c r="H2876" s="24">
        <v>33.0</v>
      </c>
      <c r="I2876" s="24">
        <v>170.0</v>
      </c>
      <c r="J2876" s="24">
        <v>0.0</v>
      </c>
      <c r="K2876" s="23" t="s">
        <v>34</v>
      </c>
      <c r="L2876" s="25">
        <v>43028.13314814815</v>
      </c>
      <c r="M2876" s="26" t="s">
        <v>6855</v>
      </c>
      <c r="N2876" s="26" t="s">
        <v>6856</v>
      </c>
      <c r="O2876" s="22" t="str">
        <f>HYPERLINK("https://pbs.twimg.com/profile_images/922467912840986625/sDtvnIbL_normal.jpg","View")</f>
        <v>View</v>
      </c>
      <c r="P2876" s="27"/>
    </row>
    <row r="2877">
      <c r="A2877" s="14">
        <v>43031.18850694444</v>
      </c>
      <c r="B2877" s="20" t="str">
        <f>HYPERLINK("https://twitter.com/PatrickValisno","@PatrickValisno")</f>
        <v>@PatrickValisno</v>
      </c>
      <c r="C2877" s="21" t="s">
        <v>6857</v>
      </c>
      <c r="D2877" s="21" t="s">
        <v>6858</v>
      </c>
      <c r="E2877" s="22" t="str">
        <f>HYPERLINK("https://twitter.com/PatrickValisno/status/922425230869463040","922425230869463040")</f>
        <v>922425230869463040</v>
      </c>
      <c r="F2877" s="23" t="s">
        <v>55</v>
      </c>
      <c r="G2877" s="24">
        <v>27.0</v>
      </c>
      <c r="H2877" s="24">
        <v>443.0</v>
      </c>
      <c r="I2877" s="24">
        <v>0.0</v>
      </c>
      <c r="J2877" s="24">
        <v>0.0</v>
      </c>
      <c r="K2877" s="23" t="s">
        <v>34</v>
      </c>
      <c r="L2877" s="25">
        <v>42843.16193287037</v>
      </c>
      <c r="M2877" s="26" t="s">
        <v>3327</v>
      </c>
      <c r="N2877" s="28"/>
      <c r="O2877" s="22" t="str">
        <f>HYPERLINK("https://pbs.twimg.com/profile_images/857866238956929026/NGAcTbI1_normal.jpg","View")</f>
        <v>View</v>
      </c>
      <c r="P2877" s="27"/>
    </row>
    <row r="2878">
      <c r="A2878" s="14">
        <v>43031.18850694444</v>
      </c>
      <c r="B2878" s="20" t="str">
        <f>HYPERLINK("https://twitter.com/vickyagarwall","@vickyagarwall")</f>
        <v>@vickyagarwall</v>
      </c>
      <c r="C2878" s="21" t="s">
        <v>6859</v>
      </c>
      <c r="D2878" s="21" t="s">
        <v>3787</v>
      </c>
      <c r="E2878" s="22" t="str">
        <f>HYPERLINK("https://twitter.com/vickyagarwall/status/922425232127795201","922425232127795201")</f>
        <v>922425232127795201</v>
      </c>
      <c r="F2878" s="23" t="s">
        <v>780</v>
      </c>
      <c r="G2878" s="24">
        <v>680.0</v>
      </c>
      <c r="H2878" s="24">
        <v>366.0</v>
      </c>
      <c r="I2878" s="24">
        <v>25.0</v>
      </c>
      <c r="J2878" s="24">
        <v>0.0</v>
      </c>
      <c r="K2878" s="23" t="s">
        <v>34</v>
      </c>
      <c r="L2878" s="25">
        <v>41996.84259259259</v>
      </c>
      <c r="M2878" s="26" t="s">
        <v>1137</v>
      </c>
      <c r="N2878" s="26" t="s">
        <v>6860</v>
      </c>
      <c r="O2878" s="22" t="str">
        <f>HYPERLINK("https://pbs.twimg.com/profile_images/835512510124032001/9BeCjZcP_normal.jpg","View")</f>
        <v>View</v>
      </c>
      <c r="P2878" s="27"/>
    </row>
    <row r="2879">
      <c r="A2879" s="14">
        <v>43031.18850694444</v>
      </c>
      <c r="B2879" s="20" t="str">
        <f>HYPERLINK("https://twitter.com/chiraoka","@chiraoka")</f>
        <v>@chiraoka</v>
      </c>
      <c r="C2879" s="21" t="s">
        <v>6861</v>
      </c>
      <c r="D2879" s="21" t="s">
        <v>5786</v>
      </c>
      <c r="E2879" s="22" t="str">
        <f>HYPERLINK("https://twitter.com/chiraoka/status/922425232807399424","922425232807399424")</f>
        <v>922425232807399424</v>
      </c>
      <c r="F2879" s="23" t="s">
        <v>39</v>
      </c>
      <c r="G2879" s="24">
        <v>685.0</v>
      </c>
      <c r="H2879" s="24">
        <v>682.0</v>
      </c>
      <c r="I2879" s="24">
        <v>59.0</v>
      </c>
      <c r="J2879" s="24">
        <v>0.0</v>
      </c>
      <c r="K2879" s="23" t="s">
        <v>34</v>
      </c>
      <c r="L2879" s="25">
        <v>40008.888182870374</v>
      </c>
      <c r="M2879" s="26" t="s">
        <v>6862</v>
      </c>
      <c r="N2879" s="26" t="s">
        <v>6863</v>
      </c>
      <c r="O2879" s="22" t="str">
        <f>HYPERLINK("https://pbs.twimg.com/profile_images/2762704678/19a84551004ed7391b001a546322ff1c_normal.jpeg","View")</f>
        <v>View</v>
      </c>
      <c r="P2879" s="27"/>
    </row>
    <row r="2880">
      <c r="A2880" s="14">
        <v>43031.18853009259</v>
      </c>
      <c r="B2880" s="20" t="str">
        <f>HYPERLINK("https://twitter.com/louezard","@louezard")</f>
        <v>@louezard</v>
      </c>
      <c r="C2880" s="21" t="s">
        <v>6864</v>
      </c>
      <c r="D2880" s="21" t="s">
        <v>6403</v>
      </c>
      <c r="E2880" s="22" t="str">
        <f>HYPERLINK("https://twitter.com/louezard/status/922425237354041344","922425237354041344")</f>
        <v>922425237354041344</v>
      </c>
      <c r="F2880" s="23" t="s">
        <v>33</v>
      </c>
      <c r="G2880" s="24">
        <v>1241.0</v>
      </c>
      <c r="H2880" s="24">
        <v>1875.0</v>
      </c>
      <c r="I2880" s="24">
        <v>97.0</v>
      </c>
      <c r="J2880" s="24">
        <v>0.0</v>
      </c>
      <c r="K2880" s="23" t="s">
        <v>34</v>
      </c>
      <c r="L2880" s="25">
        <v>41529.50402777777</v>
      </c>
      <c r="M2880" s="28"/>
      <c r="N2880" s="26" t="s">
        <v>6865</v>
      </c>
      <c r="O2880" s="22" t="str">
        <f>HYPERLINK("https://pbs.twimg.com/profile_images/378800000448305176/74abcb5781c260d943c6c7540187f114_normal.jpeg","View")</f>
        <v>View</v>
      </c>
      <c r="P2880" s="27"/>
    </row>
    <row r="2881">
      <c r="A2881" s="14">
        <v>43031.18855324074</v>
      </c>
      <c r="B2881" s="20" t="str">
        <f>HYPERLINK("https://twitter.com/RkbeAmor","@RkbeAmor")</f>
        <v>@RkbeAmor</v>
      </c>
      <c r="C2881" s="21" t="s">
        <v>6866</v>
      </c>
      <c r="D2881" s="21" t="s">
        <v>42</v>
      </c>
      <c r="E2881" s="22" t="str">
        <f>HYPERLINK("https://twitter.com/RkbeAmor/status/922425249609662464","922425249609662464")</f>
        <v>922425249609662464</v>
      </c>
      <c r="F2881" s="23" t="s">
        <v>33</v>
      </c>
      <c r="G2881" s="24">
        <v>203.0</v>
      </c>
      <c r="H2881" s="24">
        <v>314.0</v>
      </c>
      <c r="I2881" s="24">
        <v>8501.0</v>
      </c>
      <c r="J2881" s="24">
        <v>0.0</v>
      </c>
      <c r="K2881" s="23" t="s">
        <v>34</v>
      </c>
      <c r="L2881" s="25">
        <v>42371.888344907406</v>
      </c>
      <c r="M2881" s="26" t="s">
        <v>3955</v>
      </c>
      <c r="N2881" s="26" t="s">
        <v>6867</v>
      </c>
      <c r="O2881" s="22" t="str">
        <f>HYPERLINK("https://pbs.twimg.com/profile_images/855086866822856704/pxbhFHjN_normal.jpg","View")</f>
        <v>View</v>
      </c>
      <c r="P2881" s="27"/>
    </row>
    <row r="2882">
      <c r="A2882" s="14">
        <v>43031.18861111111</v>
      </c>
      <c r="B2882" s="20" t="str">
        <f>HYPERLINK("https://twitter.com/ericmtyson","@ericmtyson")</f>
        <v>@ericmtyson</v>
      </c>
      <c r="C2882" s="21" t="s">
        <v>6868</v>
      </c>
      <c r="D2882" s="21" t="s">
        <v>6670</v>
      </c>
      <c r="E2882" s="22" t="str">
        <f>HYPERLINK("https://twitter.com/ericmtyson/status/922425268932788224","922425268932788224")</f>
        <v>922425268932788224</v>
      </c>
      <c r="F2882" s="23" t="s">
        <v>39</v>
      </c>
      <c r="G2882" s="24">
        <v>2936.0</v>
      </c>
      <c r="H2882" s="24">
        <v>2869.0</v>
      </c>
      <c r="I2882" s="24">
        <v>18.0</v>
      </c>
      <c r="J2882" s="24">
        <v>0.0</v>
      </c>
      <c r="K2882" s="23" t="s">
        <v>34</v>
      </c>
      <c r="L2882" s="25">
        <v>40839.81545138889</v>
      </c>
      <c r="M2882" s="28"/>
      <c r="N2882" s="26" t="s">
        <v>6869</v>
      </c>
      <c r="O2882" s="22" t="str">
        <f>HYPERLINK("https://pbs.twimg.com/profile_images/778534424023490560/skb1thI-_normal.jpg","View")</f>
        <v>View</v>
      </c>
      <c r="P2882" s="27"/>
    </row>
    <row r="2883">
      <c r="A2883" s="14">
        <v>43031.18861111111</v>
      </c>
      <c r="B2883" s="20" t="str">
        <f>HYPERLINK("https://twitter.com/Dirigentes","@Dirigentes")</f>
        <v>@Dirigentes</v>
      </c>
      <c r="C2883" s="21" t="s">
        <v>6870</v>
      </c>
      <c r="D2883" s="21" t="s">
        <v>6871</v>
      </c>
      <c r="E2883" s="22" t="str">
        <f>HYPERLINK("https://twitter.com/Dirigentes/status/922425269847171072","922425269847171072")</f>
        <v>922425269847171072</v>
      </c>
      <c r="F2883" s="30" t="s">
        <v>411</v>
      </c>
      <c r="G2883" s="24">
        <v>478807.0</v>
      </c>
      <c r="H2883" s="24">
        <v>425878.0</v>
      </c>
      <c r="I2883" s="24">
        <v>0.0</v>
      </c>
      <c r="J2883" s="24">
        <v>0.0</v>
      </c>
      <c r="K2883" s="23" t="s">
        <v>34</v>
      </c>
      <c r="L2883" s="25">
        <v>40373.088796296295</v>
      </c>
      <c r="M2883" s="28"/>
      <c r="N2883" s="26" t="s">
        <v>6872</v>
      </c>
      <c r="O2883" s="22" t="str">
        <f>HYPERLINK("https://pbs.twimg.com/profile_images/461188776467787776/NicsVjec_normal.png","View")</f>
        <v>View</v>
      </c>
      <c r="P2883" s="27"/>
    </row>
    <row r="2884">
      <c r="A2884" s="14">
        <v>43031.188668981486</v>
      </c>
      <c r="B2884" s="20" t="str">
        <f>HYPERLINK("https://twitter.com/Mr_Comet","@Mr_Comet")</f>
        <v>@Mr_Comet</v>
      </c>
      <c r="C2884" s="21" t="s">
        <v>6873</v>
      </c>
      <c r="D2884" s="21" t="s">
        <v>163</v>
      </c>
      <c r="E2884" s="22" t="str">
        <f>HYPERLINK("https://twitter.com/Mr_Comet/status/922425289824641024","922425289824641024")</f>
        <v>922425289824641024</v>
      </c>
      <c r="F2884" s="23" t="s">
        <v>33</v>
      </c>
      <c r="G2884" s="24">
        <v>474.0</v>
      </c>
      <c r="H2884" s="24">
        <v>701.0</v>
      </c>
      <c r="I2884" s="24">
        <v>1005.0</v>
      </c>
      <c r="J2884" s="24">
        <v>0.0</v>
      </c>
      <c r="K2884" s="23" t="s">
        <v>34</v>
      </c>
      <c r="L2884" s="25">
        <v>40227.9028587963</v>
      </c>
      <c r="M2884" s="26" t="s">
        <v>6874</v>
      </c>
      <c r="N2884" s="26" t="s">
        <v>6875</v>
      </c>
      <c r="O2884" s="22" t="str">
        <f>HYPERLINK("https://pbs.twimg.com/profile_images/896011938458509312/VcOj5ZE5_normal.jpg","View")</f>
        <v>View</v>
      </c>
      <c r="P2884" s="27"/>
    </row>
    <row r="2885">
      <c r="A2885" s="14">
        <v>43031.188680555555</v>
      </c>
      <c r="B2885" s="20" t="str">
        <f>HYPERLINK("https://twitter.com/nekrasov7pavel","@nekrasov7pavel")</f>
        <v>@nekrasov7pavel</v>
      </c>
      <c r="C2885" s="21" t="s">
        <v>6774</v>
      </c>
      <c r="D2885" s="21" t="s">
        <v>5451</v>
      </c>
      <c r="E2885" s="22" t="str">
        <f>HYPERLINK("https://twitter.com/nekrasov7pavel/status/922425291711975424","922425291711975424")</f>
        <v>922425291711975424</v>
      </c>
      <c r="F2885" s="23" t="s">
        <v>55</v>
      </c>
      <c r="G2885" s="24">
        <v>2.0</v>
      </c>
      <c r="H2885" s="24">
        <v>3.0</v>
      </c>
      <c r="I2885" s="24">
        <v>62.0</v>
      </c>
      <c r="J2885" s="24">
        <v>0.0</v>
      </c>
      <c r="K2885" s="23" t="s">
        <v>34</v>
      </c>
      <c r="L2885" s="25">
        <v>43015.647465277776</v>
      </c>
      <c r="M2885" s="28"/>
      <c r="N2885" s="28"/>
      <c r="O2885" s="22" t="str">
        <f>HYPERLINK("https://pbs.twimg.com/profile_images/919554173821100032/8lik4TSM_normal.jpg","View")</f>
        <v>View</v>
      </c>
      <c r="P2885" s="27"/>
    </row>
    <row r="2886">
      <c r="A2886" s="14">
        <v>43031.18876157407</v>
      </c>
      <c r="B2886" s="20" t="str">
        <f>HYPERLINK("https://twitter.com/ashokgogia123","@ashokgogia123")</f>
        <v>@ashokgogia123</v>
      </c>
      <c r="C2886" s="21" t="s">
        <v>6876</v>
      </c>
      <c r="D2886" s="21" t="s">
        <v>6877</v>
      </c>
      <c r="E2886" s="22" t="str">
        <f>HYPERLINK("https://twitter.com/ashokgogia123/status/922425322041237504","922425322041237504")</f>
        <v>922425322041237504</v>
      </c>
      <c r="F2886" s="23" t="s">
        <v>33</v>
      </c>
      <c r="G2886" s="24">
        <v>153.0</v>
      </c>
      <c r="H2886" s="24">
        <v>153.0</v>
      </c>
      <c r="I2886" s="24">
        <v>0.0</v>
      </c>
      <c r="J2886" s="24">
        <v>0.0</v>
      </c>
      <c r="K2886" s="23" t="s">
        <v>34</v>
      </c>
      <c r="L2886" s="25">
        <v>42814.32091435185</v>
      </c>
      <c r="M2886" s="28"/>
      <c r="N2886" s="26" t="s">
        <v>6878</v>
      </c>
      <c r="O2886" s="22" t="str">
        <f>HYPERLINK("https://pbs.twimg.com/profile_images/922425655882670080/mqE75qpA_normal.jpg","View")</f>
        <v>View</v>
      </c>
      <c r="P2886" s="27"/>
    </row>
    <row r="2887">
      <c r="A2887" s="14">
        <v>43031.18883101852</v>
      </c>
      <c r="B2887" s="20" t="str">
        <f>HYPERLINK("https://twitter.com/AlanLondonCity","@AlanLondonCity")</f>
        <v>@AlanLondonCity</v>
      </c>
      <c r="C2887" s="21" t="s">
        <v>5814</v>
      </c>
      <c r="D2887" s="21" t="s">
        <v>6403</v>
      </c>
      <c r="E2887" s="22" t="str">
        <f>HYPERLINK("https://twitter.com/AlanLondonCity/status/922425347660025856","922425347660025856")</f>
        <v>922425347660025856</v>
      </c>
      <c r="F2887" s="23" t="s">
        <v>39</v>
      </c>
      <c r="G2887" s="24">
        <v>59001.0</v>
      </c>
      <c r="H2887" s="24">
        <v>113.0</v>
      </c>
      <c r="I2887" s="24">
        <v>97.0</v>
      </c>
      <c r="J2887" s="24">
        <v>0.0</v>
      </c>
      <c r="K2887" s="23" t="s">
        <v>34</v>
      </c>
      <c r="L2887" s="25">
        <v>42990.50239583333</v>
      </c>
      <c r="M2887" s="26" t="s">
        <v>40</v>
      </c>
      <c r="N2887" s="26" t="s">
        <v>5815</v>
      </c>
      <c r="O2887" s="22" t="str">
        <f>HYPERLINK("https://pbs.twimg.com/profile_images/907681852466573312/c3GaQ5WR_normal.jpg","View")</f>
        <v>View</v>
      </c>
      <c r="P2887" s="27"/>
    </row>
    <row r="2888">
      <c r="A2888" s="14">
        <v>43031.18900462963</v>
      </c>
      <c r="B2888" s="20" t="str">
        <f>HYPERLINK("https://twitter.com/StaffordOmosa","@StaffordOmosa")</f>
        <v>@StaffordOmosa</v>
      </c>
      <c r="C2888" s="21" t="s">
        <v>6879</v>
      </c>
      <c r="D2888" s="21" t="s">
        <v>32</v>
      </c>
      <c r="E2888" s="22" t="str">
        <f>HYPERLINK("https://twitter.com/StaffordOmosa/status/922425411526713344","922425411526713344")</f>
        <v>922425411526713344</v>
      </c>
      <c r="F2888" s="23" t="s">
        <v>33</v>
      </c>
      <c r="G2888" s="24">
        <v>381.0</v>
      </c>
      <c r="H2888" s="24">
        <v>2779.0</v>
      </c>
      <c r="I2888" s="24">
        <v>471.0</v>
      </c>
      <c r="J2888" s="24">
        <v>0.0</v>
      </c>
      <c r="K2888" s="23" t="s">
        <v>34</v>
      </c>
      <c r="L2888" s="25">
        <v>41687.33351851852</v>
      </c>
      <c r="M2888" s="26" t="s">
        <v>282</v>
      </c>
      <c r="N2888" s="26" t="s">
        <v>6880</v>
      </c>
      <c r="O2888" s="22" t="str">
        <f>HYPERLINK("https://pbs.twimg.com/profile_images/749510008937844736/dYSn36_5_normal.jpg","View")</f>
        <v>View</v>
      </c>
      <c r="P2888" s="27"/>
    </row>
    <row r="2889">
      <c r="A2889" s="14">
        <v>43031.189039351855</v>
      </c>
      <c r="B2889" s="20" t="str">
        <f>HYPERLINK("https://twitter.com/mossari38","@mossari38")</f>
        <v>@mossari38</v>
      </c>
      <c r="C2889" s="21" t="s">
        <v>6881</v>
      </c>
      <c r="D2889" s="21" t="s">
        <v>126</v>
      </c>
      <c r="E2889" s="22" t="str">
        <f>HYPERLINK("https://twitter.com/mossari38/status/922425421798371328","922425421798371328")</f>
        <v>922425421798371328</v>
      </c>
      <c r="F2889" s="23" t="s">
        <v>33</v>
      </c>
      <c r="G2889" s="24">
        <v>3212.0</v>
      </c>
      <c r="H2889" s="24">
        <v>3271.0</v>
      </c>
      <c r="I2889" s="24">
        <v>62.0</v>
      </c>
      <c r="J2889" s="24">
        <v>0.0</v>
      </c>
      <c r="K2889" s="23" t="s">
        <v>34</v>
      </c>
      <c r="L2889" s="25">
        <v>40706.03521990741</v>
      </c>
      <c r="M2889" s="28"/>
      <c r="N2889" s="26" t="s">
        <v>6882</v>
      </c>
      <c r="O2889" s="22" t="str">
        <f>HYPERLINK("https://pbs.twimg.com/profile_images/378800000570708627/3be3ed25467984e0dc18fc70dd9a5eb7_normal.jpeg","View")</f>
        <v>View</v>
      </c>
      <c r="P2889" s="27"/>
    </row>
    <row r="2890">
      <c r="A2890" s="14">
        <v>43031.18914351852</v>
      </c>
      <c r="B2890" s="20" t="str">
        <f>HYPERLINK("https://twitter.com/Shah_IsKing","@Shah_IsKing")</f>
        <v>@Shah_IsKing</v>
      </c>
      <c r="C2890" s="21" t="s">
        <v>6883</v>
      </c>
      <c r="D2890" s="21" t="s">
        <v>42</v>
      </c>
      <c r="E2890" s="22" t="str">
        <f>HYPERLINK("https://twitter.com/Shah_IsKing/status/922425459824123904","922425459824123904")</f>
        <v>922425459824123904</v>
      </c>
      <c r="F2890" s="23" t="s">
        <v>39</v>
      </c>
      <c r="G2890" s="24">
        <v>100.0</v>
      </c>
      <c r="H2890" s="24">
        <v>236.0</v>
      </c>
      <c r="I2890" s="24">
        <v>8501.0</v>
      </c>
      <c r="J2890" s="24">
        <v>0.0</v>
      </c>
      <c r="K2890" s="23" t="s">
        <v>34</v>
      </c>
      <c r="L2890" s="25">
        <v>41152.345185185186</v>
      </c>
      <c r="M2890" s="26" t="s">
        <v>2170</v>
      </c>
      <c r="N2890" s="26" t="s">
        <v>6884</v>
      </c>
      <c r="O2890" s="22" t="str">
        <f>HYPERLINK("https://pbs.twimg.com/profile_images/753234589988954113/yTrW0n3g_normal.jpg","View")</f>
        <v>View</v>
      </c>
      <c r="P2890" s="27"/>
    </row>
    <row r="2891">
      <c r="A2891" s="14">
        <v>43031.18918981482</v>
      </c>
      <c r="B2891" s="20" t="str">
        <f>HYPERLINK("https://twitter.com/Vipulmadhukar","@Vipulmadhukar")</f>
        <v>@Vipulmadhukar</v>
      </c>
      <c r="C2891" s="21" t="s">
        <v>6885</v>
      </c>
      <c r="D2891" s="21" t="s">
        <v>42</v>
      </c>
      <c r="E2891" s="22" t="str">
        <f>HYPERLINK("https://twitter.com/Vipulmadhukar/status/922425479289749504","922425479289749504")</f>
        <v>922425479289749504</v>
      </c>
      <c r="F2891" s="23" t="s">
        <v>33</v>
      </c>
      <c r="G2891" s="24">
        <v>111.0</v>
      </c>
      <c r="H2891" s="24">
        <v>232.0</v>
      </c>
      <c r="I2891" s="24">
        <v>8501.0</v>
      </c>
      <c r="J2891" s="24">
        <v>0.0</v>
      </c>
      <c r="K2891" s="23" t="s">
        <v>34</v>
      </c>
      <c r="L2891" s="25">
        <v>42939.19143518519</v>
      </c>
      <c r="M2891" s="26" t="s">
        <v>6886</v>
      </c>
      <c r="N2891" s="26" t="s">
        <v>3395</v>
      </c>
      <c r="O2891" s="22" t="str">
        <f>HYPERLINK("https://pbs.twimg.com/profile_images/889390027230326784/XM3TKTw-_normal.jpg","View")</f>
        <v>View</v>
      </c>
      <c r="P2891" s="27"/>
    </row>
    <row r="2892">
      <c r="A2892" s="14">
        <v>43031.18920138889</v>
      </c>
      <c r="B2892" s="20" t="str">
        <f>HYPERLINK("https://twitter.com/hjparmar2015166","@hjparmar2015166")</f>
        <v>@hjparmar2015166</v>
      </c>
      <c r="C2892" s="21" t="s">
        <v>6887</v>
      </c>
      <c r="D2892" s="21" t="s">
        <v>42</v>
      </c>
      <c r="E2892" s="22" t="str">
        <f>HYPERLINK("https://twitter.com/hjparmar2015166/status/922425483425300480","922425483425300480")</f>
        <v>922425483425300480</v>
      </c>
      <c r="F2892" s="23" t="s">
        <v>33</v>
      </c>
      <c r="G2892" s="24">
        <v>28.0</v>
      </c>
      <c r="H2892" s="24">
        <v>43.0</v>
      </c>
      <c r="I2892" s="24">
        <v>8501.0</v>
      </c>
      <c r="J2892" s="24">
        <v>0.0</v>
      </c>
      <c r="K2892" s="23" t="s">
        <v>34</v>
      </c>
      <c r="L2892" s="25">
        <v>42322.034108796295</v>
      </c>
      <c r="M2892" s="26" t="s">
        <v>1354</v>
      </c>
      <c r="N2892" s="26" t="s">
        <v>6888</v>
      </c>
      <c r="O2892" s="22" t="str">
        <f>HYPERLINK("https://pbs.twimg.com/profile_images/854267453307854848/62hcbbtk_normal.jpg","View")</f>
        <v>View</v>
      </c>
      <c r="P2892" s="27"/>
    </row>
    <row r="2893">
      <c r="A2893" s="14">
        <v>43031.189247685186</v>
      </c>
      <c r="B2893" s="20" t="str">
        <f>HYPERLINK("https://twitter.com/pallavpriyank","@pallavpriyank")</f>
        <v>@pallavpriyank</v>
      </c>
      <c r="C2893" s="21" t="s">
        <v>6889</v>
      </c>
      <c r="D2893" s="21" t="s">
        <v>42</v>
      </c>
      <c r="E2893" s="22" t="str">
        <f>HYPERLINK("https://twitter.com/pallavpriyank/status/922425497929338880","922425497929338880")</f>
        <v>922425497929338880</v>
      </c>
      <c r="F2893" s="23" t="s">
        <v>33</v>
      </c>
      <c r="G2893" s="24">
        <v>3738.0</v>
      </c>
      <c r="H2893" s="24">
        <v>2357.0</v>
      </c>
      <c r="I2893" s="24">
        <v>8501.0</v>
      </c>
      <c r="J2893" s="24">
        <v>0.0</v>
      </c>
      <c r="K2893" s="23" t="s">
        <v>34</v>
      </c>
      <c r="L2893" s="25">
        <v>40407.41949074074</v>
      </c>
      <c r="M2893" s="26" t="s">
        <v>6890</v>
      </c>
      <c r="N2893" s="26" t="s">
        <v>6891</v>
      </c>
      <c r="O2893" s="22" t="str">
        <f>HYPERLINK("https://pbs.twimg.com/profile_images/906720830607912961/Li1xOlPe_normal.jpg","View")</f>
        <v>View</v>
      </c>
      <c r="P2893" s="27"/>
    </row>
    <row r="2894">
      <c r="A2894" s="14">
        <v>43031.189363425925</v>
      </c>
      <c r="B2894" s="20" t="str">
        <f>HYPERLINK("https://twitter.com/1980nikolaev1","@1980nikolaev1")</f>
        <v>@1980nikolaev1</v>
      </c>
      <c r="C2894" s="21" t="s">
        <v>6853</v>
      </c>
      <c r="D2894" s="21" t="s">
        <v>404</v>
      </c>
      <c r="E2894" s="22" t="str">
        <f>HYPERLINK("https://twitter.com/1980nikolaev1/status/922425540501422080","922425540501422080")</f>
        <v>922425540501422080</v>
      </c>
      <c r="F2894" s="23" t="s">
        <v>55</v>
      </c>
      <c r="G2894" s="24">
        <v>1.0</v>
      </c>
      <c r="H2894" s="24">
        <v>0.0</v>
      </c>
      <c r="I2894" s="24">
        <v>59.0</v>
      </c>
      <c r="J2894" s="24">
        <v>0.0</v>
      </c>
      <c r="K2894" s="23" t="s">
        <v>34</v>
      </c>
      <c r="L2894" s="25">
        <v>43015.563680555555</v>
      </c>
      <c r="M2894" s="28"/>
      <c r="N2894" s="28"/>
      <c r="O2894" s="22" t="str">
        <f>HYPERLINK("https://pbs.twimg.com/profile_images/921018802728443904/tSNJfa9F_normal.jpg","View")</f>
        <v>View</v>
      </c>
      <c r="P2894" s="27"/>
    </row>
    <row r="2895">
      <c r="A2895" s="14">
        <v>43031.189421296294</v>
      </c>
      <c r="B2895" s="20" t="str">
        <f>HYPERLINK("https://twitter.com/peterlafrance","@peterlafrance")</f>
        <v>@peterlafrance</v>
      </c>
      <c r="C2895" s="21" t="s">
        <v>6892</v>
      </c>
      <c r="D2895" s="21" t="s">
        <v>6236</v>
      </c>
      <c r="E2895" s="22" t="str">
        <f>HYPERLINK("https://twitter.com/peterlafrance/status/922425562332848129","922425562332848129")</f>
        <v>922425562332848129</v>
      </c>
      <c r="F2895" s="23" t="s">
        <v>39</v>
      </c>
      <c r="G2895" s="24">
        <v>622.0</v>
      </c>
      <c r="H2895" s="24">
        <v>640.0</v>
      </c>
      <c r="I2895" s="24">
        <v>26.0</v>
      </c>
      <c r="J2895" s="24">
        <v>0.0</v>
      </c>
      <c r="K2895" s="23" t="s">
        <v>34</v>
      </c>
      <c r="L2895" s="25">
        <v>39854.64418981482</v>
      </c>
      <c r="M2895" s="26" t="s">
        <v>6893</v>
      </c>
      <c r="N2895" s="26" t="s">
        <v>6894</v>
      </c>
      <c r="O2895" s="22" t="str">
        <f>HYPERLINK("https://pbs.twimg.com/profile_images/916653514167934976/AyQr3fhE_normal.jpg","View")</f>
        <v>View</v>
      </c>
      <c r="P2895" s="27"/>
    </row>
    <row r="2896">
      <c r="A2896" s="14">
        <v>43031.18947916667</v>
      </c>
      <c r="B2896" s="20" t="str">
        <f>HYPERLINK("https://twitter.com/saaxenanurag","@saaxenanurag")</f>
        <v>@saaxenanurag</v>
      </c>
      <c r="C2896" s="21" t="s">
        <v>6895</v>
      </c>
      <c r="D2896" s="21" t="s">
        <v>42</v>
      </c>
      <c r="E2896" s="22" t="str">
        <f>HYPERLINK("https://twitter.com/saaxenanurag/status/922425585028042752","922425585028042752")</f>
        <v>922425585028042752</v>
      </c>
      <c r="F2896" s="23" t="s">
        <v>55</v>
      </c>
      <c r="G2896" s="24">
        <v>6830.0</v>
      </c>
      <c r="H2896" s="24">
        <v>271.0</v>
      </c>
      <c r="I2896" s="24">
        <v>8501.0</v>
      </c>
      <c r="J2896" s="24">
        <v>0.0</v>
      </c>
      <c r="K2896" s="23" t="s">
        <v>34</v>
      </c>
      <c r="L2896" s="25">
        <v>41068.351168981484</v>
      </c>
      <c r="M2896" s="26" t="s">
        <v>96</v>
      </c>
      <c r="N2896" s="28"/>
      <c r="O2896" s="22" t="str">
        <f>HYPERLINK("https://pbs.twimg.com/profile_images/817162279938650112/wnqZNb22_normal.jpg","View")</f>
        <v>View</v>
      </c>
      <c r="P2896" s="27"/>
    </row>
    <row r="2897">
      <c r="A2897" s="14">
        <v>43031.18949074074</v>
      </c>
      <c r="B2897" s="20" t="str">
        <f>HYPERLINK("https://twitter.com/VonyaGlobal","@VonyaGlobal")</f>
        <v>@VonyaGlobal</v>
      </c>
      <c r="C2897" s="21" t="s">
        <v>6896</v>
      </c>
      <c r="D2897" s="21" t="s">
        <v>6897</v>
      </c>
      <c r="E2897" s="22" t="str">
        <f>HYPERLINK("https://twitter.com/VonyaGlobal/status/922425586798043136","922425586798043136")</f>
        <v>922425586798043136</v>
      </c>
      <c r="F2897" s="30" t="s">
        <v>411</v>
      </c>
      <c r="G2897" s="24">
        <v>1948.0</v>
      </c>
      <c r="H2897" s="24">
        <v>1688.0</v>
      </c>
      <c r="I2897" s="24">
        <v>1.0</v>
      </c>
      <c r="J2897" s="24">
        <v>0.0</v>
      </c>
      <c r="K2897" s="23" t="s">
        <v>34</v>
      </c>
      <c r="L2897" s="25">
        <v>40078.48587962963</v>
      </c>
      <c r="M2897" s="26" t="s">
        <v>6898</v>
      </c>
      <c r="N2897" s="26" t="s">
        <v>6899</v>
      </c>
      <c r="O2897" s="22" t="str">
        <f>HYPERLINK("https://pbs.twimg.com/profile_images/479997238647590912/hdDHDxdv_normal.jpeg","View")</f>
        <v>View</v>
      </c>
      <c r="P2897" s="27"/>
    </row>
    <row r="2898">
      <c r="A2898" s="14">
        <v>43031.189513888894</v>
      </c>
      <c r="B2898" s="20" t="str">
        <f>HYPERLINK("https://twitter.com/Bishal72709537","@Bishal72709537")</f>
        <v>@Bishal72709537</v>
      </c>
      <c r="C2898" s="21" t="s">
        <v>6900</v>
      </c>
      <c r="D2898" s="21" t="s">
        <v>42</v>
      </c>
      <c r="E2898" s="22" t="str">
        <f>HYPERLINK("https://twitter.com/Bishal72709537/status/922425596482699264","922425596482699264")</f>
        <v>922425596482699264</v>
      </c>
      <c r="F2898" s="23" t="s">
        <v>33</v>
      </c>
      <c r="G2898" s="24">
        <v>287.0</v>
      </c>
      <c r="H2898" s="24">
        <v>29.0</v>
      </c>
      <c r="I2898" s="24">
        <v>8501.0</v>
      </c>
      <c r="J2898" s="24">
        <v>0.0</v>
      </c>
      <c r="K2898" s="23" t="s">
        <v>34</v>
      </c>
      <c r="L2898" s="25">
        <v>42701.79709490741</v>
      </c>
      <c r="M2898" s="26" t="s">
        <v>1137</v>
      </c>
      <c r="N2898" s="26" t="s">
        <v>6901</v>
      </c>
      <c r="O2898" s="22" t="str">
        <f>HYPERLINK("https://pbs.twimg.com/profile_images/897169336384667648/SgyLn2wM_normal.jpg","View")</f>
        <v>View</v>
      </c>
      <c r="P2898" s="27"/>
    </row>
    <row r="2899">
      <c r="A2899" s="14">
        <v>43031.189571759256</v>
      </c>
      <c r="B2899" s="20" t="str">
        <f>HYPERLINK("https://twitter.com/AlanLondonCity","@AlanLondonCity")</f>
        <v>@AlanLondonCity</v>
      </c>
      <c r="C2899" s="21" t="s">
        <v>5814</v>
      </c>
      <c r="D2899" s="21" t="s">
        <v>5601</v>
      </c>
      <c r="E2899" s="22" t="str">
        <f>HYPERLINK("https://twitter.com/AlanLondonCity/status/922425614677798917","922425614677798917")</f>
        <v>922425614677798917</v>
      </c>
      <c r="F2899" s="23" t="s">
        <v>39</v>
      </c>
      <c r="G2899" s="24">
        <v>59001.0</v>
      </c>
      <c r="H2899" s="24">
        <v>113.0</v>
      </c>
      <c r="I2899" s="24">
        <v>15.0</v>
      </c>
      <c r="J2899" s="24">
        <v>0.0</v>
      </c>
      <c r="K2899" s="23" t="s">
        <v>34</v>
      </c>
      <c r="L2899" s="25">
        <v>42990.50239583333</v>
      </c>
      <c r="M2899" s="26" t="s">
        <v>40</v>
      </c>
      <c r="N2899" s="26" t="s">
        <v>5815</v>
      </c>
      <c r="O2899" s="22" t="str">
        <f>HYPERLINK("https://pbs.twimg.com/profile_images/907681852466573312/c3GaQ5WR_normal.jpg","View")</f>
        <v>View</v>
      </c>
      <c r="P2899" s="27"/>
    </row>
    <row r="2900">
      <c r="A2900" s="14">
        <v>43031.189675925925</v>
      </c>
      <c r="B2900" s="20" t="str">
        <f>HYPERLINK("https://twitter.com/rajeshrv77189","@rajeshrv77189")</f>
        <v>@rajeshrv77189</v>
      </c>
      <c r="C2900" s="21" t="s">
        <v>6902</v>
      </c>
      <c r="D2900" s="21" t="s">
        <v>42</v>
      </c>
      <c r="E2900" s="22" t="str">
        <f>HYPERLINK("https://twitter.com/rajeshrv77189/status/922425652870918145","922425652870918145")</f>
        <v>922425652870918145</v>
      </c>
      <c r="F2900" s="23" t="s">
        <v>33</v>
      </c>
      <c r="G2900" s="24">
        <v>3.0</v>
      </c>
      <c r="H2900" s="24">
        <v>137.0</v>
      </c>
      <c r="I2900" s="24">
        <v>8501.0</v>
      </c>
      <c r="J2900" s="24">
        <v>0.0</v>
      </c>
      <c r="K2900" s="23" t="s">
        <v>34</v>
      </c>
      <c r="L2900" s="25">
        <v>43004.352384259255</v>
      </c>
      <c r="M2900" s="28"/>
      <c r="N2900" s="28"/>
      <c r="O2900" s="22" t="str">
        <f>HYPERLINK("https://abs.twimg.com/sticky/default_profile_images/default_profile_normal.png","View")</f>
        <v>View</v>
      </c>
      <c r="P2900" s="27"/>
    </row>
    <row r="2901">
      <c r="A2901" s="14">
        <v>43031.18971064815</v>
      </c>
      <c r="B2901" s="20" t="str">
        <f>HYPERLINK("https://twitter.com/NAR","@NAR")</f>
        <v>@NAR</v>
      </c>
      <c r="C2901" s="21" t="s">
        <v>4255</v>
      </c>
      <c r="D2901" s="21" t="s">
        <v>6903</v>
      </c>
      <c r="E2901" s="22" t="str">
        <f>HYPERLINK("https://twitter.com/NAR/status/922425665449627649","922425665449627649")</f>
        <v>922425665449627649</v>
      </c>
      <c r="F2901" s="23" t="s">
        <v>4257</v>
      </c>
      <c r="G2901" s="24">
        <v>56998.0</v>
      </c>
      <c r="H2901" s="24">
        <v>23.0</v>
      </c>
      <c r="I2901" s="24">
        <v>8.0</v>
      </c>
      <c r="J2901" s="24">
        <v>5.0</v>
      </c>
      <c r="K2901" s="23" t="s">
        <v>34</v>
      </c>
      <c r="L2901" s="25">
        <v>40890.88686342593</v>
      </c>
      <c r="M2901" s="26" t="s">
        <v>923</v>
      </c>
      <c r="N2901" s="26" t="s">
        <v>4258</v>
      </c>
      <c r="O2901" s="22" t="str">
        <f>HYPERLINK("https://pbs.twimg.com/profile_images/669688096879841280/kyJYc3j-_normal.png","View")</f>
        <v>View</v>
      </c>
      <c r="P2901" s="27"/>
    </row>
    <row r="2902">
      <c r="A2902" s="14">
        <v>43031.18976851852</v>
      </c>
      <c r="B2902" s="20" t="str">
        <f>HYPERLINK("https://twitter.com/MchariInstitute","@MchariInstitute")</f>
        <v>@MchariInstitute</v>
      </c>
      <c r="C2902" s="21" t="s">
        <v>6904</v>
      </c>
      <c r="D2902" s="21" t="s">
        <v>6905</v>
      </c>
      <c r="E2902" s="22" t="str">
        <f>HYPERLINK("https://twitter.com/MchariInstitute/status/922425688057090048","922425688057090048")</f>
        <v>922425688057090048</v>
      </c>
      <c r="F2902" s="23" t="s">
        <v>6906</v>
      </c>
      <c r="G2902" s="24">
        <v>129.0</v>
      </c>
      <c r="H2902" s="24">
        <v>2.0</v>
      </c>
      <c r="I2902" s="24">
        <v>0.0</v>
      </c>
      <c r="J2902" s="24">
        <v>0.0</v>
      </c>
      <c r="K2902" s="23" t="s">
        <v>34</v>
      </c>
      <c r="L2902" s="25">
        <v>40544.61702546296</v>
      </c>
      <c r="M2902" s="26" t="s">
        <v>2068</v>
      </c>
      <c r="N2902" s="26" t="s">
        <v>6907</v>
      </c>
      <c r="O2902" s="22" t="str">
        <f>HYPERLINK("https://pbs.twimg.com/profile_images/1204286355/College_graduate_students_normal.jpg","View")</f>
        <v>View</v>
      </c>
      <c r="P2902" s="27"/>
    </row>
    <row r="2903">
      <c r="A2903" s="14">
        <v>43031.189837962964</v>
      </c>
      <c r="B2903" s="20" t="str">
        <f>HYPERLINK("https://twitter.com/trendr","@trendr")</f>
        <v>@trendr</v>
      </c>
      <c r="C2903" s="21" t="s">
        <v>6908</v>
      </c>
      <c r="D2903" s="21" t="s">
        <v>6909</v>
      </c>
      <c r="E2903" s="22" t="str">
        <f>HYPERLINK("https://twitter.com/trendr/status/922425711746482178","922425711746482178")</f>
        <v>922425711746482178</v>
      </c>
      <c r="F2903" s="23" t="s">
        <v>187</v>
      </c>
      <c r="G2903" s="24">
        <v>86.0</v>
      </c>
      <c r="H2903" s="24">
        <v>232.0</v>
      </c>
      <c r="I2903" s="24">
        <v>0.0</v>
      </c>
      <c r="J2903" s="24">
        <v>0.0</v>
      </c>
      <c r="K2903" s="23" t="s">
        <v>34</v>
      </c>
      <c r="L2903" s="25">
        <v>39989.58944444444</v>
      </c>
      <c r="M2903" s="28"/>
      <c r="N2903" s="26" t="s">
        <v>6910</v>
      </c>
      <c r="O2903" s="22" t="str">
        <f>HYPERLINK("https://pbs.twimg.com/profile_images/818973177460178945/npoPG_m0_normal.jpg","View")</f>
        <v>View</v>
      </c>
      <c r="P2903" s="27"/>
    </row>
    <row r="2904">
      <c r="A2904" s="14">
        <v>43031.18989583333</v>
      </c>
      <c r="B2904" s="20" t="str">
        <f>HYPERLINK("https://twitter.com/NGDPLT_no28","@NGDPLT_no28")</f>
        <v>@NGDPLT_no28</v>
      </c>
      <c r="C2904" s="21" t="s">
        <v>6911</v>
      </c>
      <c r="D2904" s="21" t="s">
        <v>6670</v>
      </c>
      <c r="E2904" s="22" t="str">
        <f>HYPERLINK("https://twitter.com/NGDPLT_no28/status/922425735842734081","922425735842734081")</f>
        <v>922425735842734081</v>
      </c>
      <c r="F2904" s="23" t="s">
        <v>3884</v>
      </c>
      <c r="G2904" s="24">
        <v>54.0</v>
      </c>
      <c r="H2904" s="24">
        <v>73.0</v>
      </c>
      <c r="I2904" s="24">
        <v>18.0</v>
      </c>
      <c r="J2904" s="24">
        <v>0.0</v>
      </c>
      <c r="K2904" s="23" t="s">
        <v>34</v>
      </c>
      <c r="L2904" s="25">
        <v>42260.03891203704</v>
      </c>
      <c r="M2904" s="26" t="s">
        <v>271</v>
      </c>
      <c r="N2904" s="26" t="s">
        <v>6912</v>
      </c>
      <c r="O2904" s="22" t="str">
        <f>HYPERLINK("https://pbs.twimg.com/profile_images/862325348314132480/oH-INEpl_normal.jpg","View")</f>
        <v>View</v>
      </c>
      <c r="P2904" s="27"/>
    </row>
    <row r="2905">
      <c r="A2905" s="14">
        <v>43031.189930555556</v>
      </c>
      <c r="B2905" s="20" t="str">
        <f>HYPERLINK("https://twitter.com/yyyu775","@yyyu775")</f>
        <v>@yyyu775</v>
      </c>
      <c r="C2905" s="21" t="s">
        <v>6913</v>
      </c>
      <c r="D2905" s="21" t="s">
        <v>42</v>
      </c>
      <c r="E2905" s="22" t="str">
        <f>HYPERLINK("https://twitter.com/yyyu775/status/922425748450787328","922425748450787328")</f>
        <v>922425748450787328</v>
      </c>
      <c r="F2905" s="23" t="s">
        <v>33</v>
      </c>
      <c r="G2905" s="24">
        <v>15.0</v>
      </c>
      <c r="H2905" s="24">
        <v>91.0</v>
      </c>
      <c r="I2905" s="24">
        <v>8501.0</v>
      </c>
      <c r="J2905" s="24">
        <v>0.0</v>
      </c>
      <c r="K2905" s="23" t="s">
        <v>34</v>
      </c>
      <c r="L2905" s="25">
        <v>42436.668437500004</v>
      </c>
      <c r="M2905" s="28"/>
      <c r="N2905" s="28"/>
      <c r="O2905" s="22" t="str">
        <f>HYPERLINK("https://pbs.twimg.com/profile_images/867242808788365312/vjtUf-K1_normal.jpg","View")</f>
        <v>View</v>
      </c>
      <c r="P2905" s="27"/>
    </row>
    <row r="2906">
      <c r="A2906" s="14">
        <v>43031.189942129626</v>
      </c>
      <c r="B2906" s="20" t="str">
        <f>HYPERLINK("https://twitter.com/1980nikolaev1","@1980nikolaev1")</f>
        <v>@1980nikolaev1</v>
      </c>
      <c r="C2906" s="21" t="s">
        <v>6853</v>
      </c>
      <c r="D2906" s="21" t="s">
        <v>5451</v>
      </c>
      <c r="E2906" s="22" t="str">
        <f>HYPERLINK("https://twitter.com/1980nikolaev1/status/922425751902732288","922425751902732288")</f>
        <v>922425751902732288</v>
      </c>
      <c r="F2906" s="23" t="s">
        <v>55</v>
      </c>
      <c r="G2906" s="24">
        <v>1.0</v>
      </c>
      <c r="H2906" s="24">
        <v>0.0</v>
      </c>
      <c r="I2906" s="24">
        <v>62.0</v>
      </c>
      <c r="J2906" s="24">
        <v>0.0</v>
      </c>
      <c r="K2906" s="23" t="s">
        <v>34</v>
      </c>
      <c r="L2906" s="25">
        <v>43015.563680555555</v>
      </c>
      <c r="M2906" s="28"/>
      <c r="N2906" s="28"/>
      <c r="O2906" s="22" t="str">
        <f>HYPERLINK("https://pbs.twimg.com/profile_images/921018802728443904/tSNJfa9F_normal.jpg","View")</f>
        <v>View</v>
      </c>
      <c r="P2906" s="27"/>
    </row>
    <row r="2907">
      <c r="A2907" s="14">
        <v>43031.1899537037</v>
      </c>
      <c r="B2907" s="20" t="str">
        <f>HYPERLINK("https://twitter.com/Jarpum","@Jarpum")</f>
        <v>@Jarpum</v>
      </c>
      <c r="C2907" s="21" t="s">
        <v>6914</v>
      </c>
      <c r="D2907" s="21" t="s">
        <v>6915</v>
      </c>
      <c r="E2907" s="22" t="str">
        <f>HYPERLINK("https://twitter.com/Jarpum/status/922425756252172289","922425756252172289")</f>
        <v>922425756252172289</v>
      </c>
      <c r="F2907" s="23" t="s">
        <v>33</v>
      </c>
      <c r="G2907" s="24">
        <v>952.0</v>
      </c>
      <c r="H2907" s="24">
        <v>529.0</v>
      </c>
      <c r="I2907" s="24">
        <v>2.0</v>
      </c>
      <c r="J2907" s="24">
        <v>0.0</v>
      </c>
      <c r="K2907" s="23" t="s">
        <v>34</v>
      </c>
      <c r="L2907" s="25">
        <v>41012.71265046296</v>
      </c>
      <c r="M2907" s="28"/>
      <c r="N2907" s="26" t="s">
        <v>6916</v>
      </c>
      <c r="O2907" s="22" t="str">
        <f>HYPERLINK("https://pbs.twimg.com/profile_images/648900978746376192/HX4VPJN-_normal.jpg","View")</f>
        <v>View</v>
      </c>
      <c r="P2907" s="27"/>
    </row>
    <row r="2908">
      <c r="A2908" s="14">
        <v>43031.18996527778</v>
      </c>
      <c r="B2908" s="20" t="str">
        <f>HYPERLINK("https://twitter.com/NaomiMo16023848","@NaomiMo16023848")</f>
        <v>@NaomiMo16023848</v>
      </c>
      <c r="C2908" s="21" t="s">
        <v>6424</v>
      </c>
      <c r="D2908" s="21" t="s">
        <v>6917</v>
      </c>
      <c r="E2908" s="22" t="str">
        <f>HYPERLINK("https://twitter.com/NaomiMo16023848/status/922425760769499137","922425760769499137")</f>
        <v>922425760769499137</v>
      </c>
      <c r="F2908" s="23" t="s">
        <v>33</v>
      </c>
      <c r="G2908" s="24">
        <v>260.0</v>
      </c>
      <c r="H2908" s="24">
        <v>239.0</v>
      </c>
      <c r="I2908" s="24">
        <v>8.0</v>
      </c>
      <c r="J2908" s="24">
        <v>0.0</v>
      </c>
      <c r="K2908" s="23" t="s">
        <v>34</v>
      </c>
      <c r="L2908" s="25">
        <v>42683.03061342593</v>
      </c>
      <c r="M2908" s="26" t="s">
        <v>6425</v>
      </c>
      <c r="N2908" s="26" t="s">
        <v>6426</v>
      </c>
      <c r="O2908" s="22" t="str">
        <f>HYPERLINK("https://pbs.twimg.com/profile_images/906016201637191681/AE0I14XS_normal.jpg","View")</f>
        <v>View</v>
      </c>
      <c r="P2908" s="27"/>
    </row>
    <row r="2909">
      <c r="A2909" s="14">
        <v>43031.19019675926</v>
      </c>
      <c r="B2909" s="20" t="str">
        <f>HYPERLINK("https://twitter.com/christinayiotis","@christinayiotis")</f>
        <v>@christinayiotis</v>
      </c>
      <c r="C2909" s="21" t="s">
        <v>6323</v>
      </c>
      <c r="D2909" s="21" t="s">
        <v>6918</v>
      </c>
      <c r="E2909" s="22" t="str">
        <f>HYPERLINK("https://twitter.com/christinayiotis/status/922425841157591040","922425841157591040")</f>
        <v>922425841157591040</v>
      </c>
      <c r="F2909" s="23" t="s">
        <v>39</v>
      </c>
      <c r="G2909" s="24">
        <v>2446.0</v>
      </c>
      <c r="H2909" s="24">
        <v>3497.0</v>
      </c>
      <c r="I2909" s="24">
        <v>0.0</v>
      </c>
      <c r="J2909" s="24">
        <v>0.0</v>
      </c>
      <c r="K2909" s="23" t="s">
        <v>34</v>
      </c>
      <c r="L2909" s="25">
        <v>41334.17853009259</v>
      </c>
      <c r="M2909" s="26" t="s">
        <v>6324</v>
      </c>
      <c r="N2909" s="26" t="s">
        <v>6325</v>
      </c>
      <c r="O2909" s="22" t="str">
        <f>HYPERLINK("https://pbs.twimg.com/profile_images/629648567829987328/p1GlOuR5_normal.jpg","View")</f>
        <v>View</v>
      </c>
      <c r="P2909" s="27"/>
    </row>
    <row r="2910">
      <c r="A2910" s="14">
        <v>43031.19023148148</v>
      </c>
      <c r="B2910" s="20" t="str">
        <f>HYPERLINK("https://twitter.com/IndiainBhutanCG","@IndiainBhutanCG")</f>
        <v>@IndiainBhutanCG</v>
      </c>
      <c r="C2910" s="21" t="s">
        <v>6919</v>
      </c>
      <c r="D2910" s="21" t="s">
        <v>42</v>
      </c>
      <c r="E2910" s="22" t="str">
        <f>HYPERLINK("https://twitter.com/IndiainBhutanCG/status/922425855481020416","922425855481020416")</f>
        <v>922425855481020416</v>
      </c>
      <c r="F2910" s="23" t="s">
        <v>55</v>
      </c>
      <c r="G2910" s="24">
        <v>119.0</v>
      </c>
      <c r="H2910" s="24">
        <v>22.0</v>
      </c>
      <c r="I2910" s="24">
        <v>8501.0</v>
      </c>
      <c r="J2910" s="24">
        <v>0.0</v>
      </c>
      <c r="K2910" s="23" t="s">
        <v>34</v>
      </c>
      <c r="L2910" s="25">
        <v>42759.117013888885</v>
      </c>
      <c r="M2910" s="26" t="s">
        <v>6920</v>
      </c>
      <c r="N2910" s="26" t="s">
        <v>6921</v>
      </c>
      <c r="O2910" s="22" t="str">
        <f>HYPERLINK("https://pbs.twimg.com/profile_images/824204226884608001/3zSy2JaN_normal.jpg","View")</f>
        <v>View</v>
      </c>
      <c r="P2910" s="27"/>
    </row>
    <row r="2911">
      <c r="A2911" s="14">
        <v>43031.190312499995</v>
      </c>
      <c r="B2911" s="20" t="str">
        <f>HYPERLINK("https://twitter.com/EvertVisser4","@EvertVisser4")</f>
        <v>@EvertVisser4</v>
      </c>
      <c r="C2911" s="21" t="s">
        <v>6922</v>
      </c>
      <c r="D2911" s="21" t="s">
        <v>6923</v>
      </c>
      <c r="E2911" s="22" t="str">
        <f>HYPERLINK("https://twitter.com/EvertVisser4/status/922425883595628544","922425883595628544")</f>
        <v>922425883595628544</v>
      </c>
      <c r="F2911" s="23" t="s">
        <v>33</v>
      </c>
      <c r="G2911" s="24">
        <v>13.0</v>
      </c>
      <c r="H2911" s="24">
        <v>185.0</v>
      </c>
      <c r="I2911" s="24">
        <v>44.0</v>
      </c>
      <c r="J2911" s="24">
        <v>0.0</v>
      </c>
      <c r="K2911" s="23" t="s">
        <v>34</v>
      </c>
      <c r="L2911" s="25">
        <v>42745.04961805556</v>
      </c>
      <c r="M2911" s="28"/>
      <c r="N2911" s="28"/>
      <c r="O2911" s="22" t="str">
        <f>HYPERLINK("https://pbs.twimg.com/profile_images/832340608714944512/-zpaopws_normal.jpg","View")</f>
        <v>View</v>
      </c>
      <c r="P2911" s="27"/>
    </row>
    <row r="2912">
      <c r="A2912" s="14">
        <v>43031.190312499995</v>
      </c>
      <c r="B2912" s="20" t="str">
        <f>HYPERLINK("https://twitter.com/zorro6409","@zorro6409")</f>
        <v>@zorro6409</v>
      </c>
      <c r="C2912" s="21" t="s">
        <v>6924</v>
      </c>
      <c r="D2912" s="21" t="s">
        <v>6925</v>
      </c>
      <c r="E2912" s="22" t="str">
        <f>HYPERLINK("https://twitter.com/zorro6409/status/922425885378035713","922425885378035713")</f>
        <v>922425885378035713</v>
      </c>
      <c r="F2912" s="23" t="s">
        <v>39</v>
      </c>
      <c r="G2912" s="24">
        <v>99.0</v>
      </c>
      <c r="H2912" s="24">
        <v>117.0</v>
      </c>
      <c r="I2912" s="24">
        <v>3.0</v>
      </c>
      <c r="J2912" s="24">
        <v>0.0</v>
      </c>
      <c r="K2912" s="23" t="s">
        <v>34</v>
      </c>
      <c r="L2912" s="25">
        <v>40127.76263888889</v>
      </c>
      <c r="M2912" s="26" t="s">
        <v>295</v>
      </c>
      <c r="N2912" s="28"/>
      <c r="O2912" s="22" t="str">
        <f>HYPERLINK("https://abs.twimg.com/sticky/default_profile_images/default_profile_normal.png","View")</f>
        <v>View</v>
      </c>
      <c r="P2912" s="27"/>
    </row>
    <row r="2913">
      <c r="A2913" s="14">
        <v>43031.190358796295</v>
      </c>
      <c r="B2913" s="20" t="str">
        <f>HYPERLINK("https://twitter.com/nekrasov7pavel","@nekrasov7pavel")</f>
        <v>@nekrasov7pavel</v>
      </c>
      <c r="C2913" s="21" t="s">
        <v>6774</v>
      </c>
      <c r="D2913" s="21" t="s">
        <v>3227</v>
      </c>
      <c r="E2913" s="22" t="str">
        <f>HYPERLINK("https://twitter.com/nekrasov7pavel/status/922425902234877952","922425902234877952")</f>
        <v>922425902234877952</v>
      </c>
      <c r="F2913" s="23" t="s">
        <v>55</v>
      </c>
      <c r="G2913" s="24">
        <v>2.0</v>
      </c>
      <c r="H2913" s="24">
        <v>3.0</v>
      </c>
      <c r="I2913" s="24">
        <v>61.0</v>
      </c>
      <c r="J2913" s="24">
        <v>0.0</v>
      </c>
      <c r="K2913" s="23" t="s">
        <v>34</v>
      </c>
      <c r="L2913" s="25">
        <v>43015.647465277776</v>
      </c>
      <c r="M2913" s="28"/>
      <c r="N2913" s="28"/>
      <c r="O2913" s="22" t="str">
        <f>HYPERLINK("https://pbs.twimg.com/profile_images/919554173821100032/8lik4TSM_normal.jpg","View")</f>
        <v>View</v>
      </c>
      <c r="P2913" s="27"/>
    </row>
    <row r="2914">
      <c r="A2914" s="14">
        <v>43031.19037037037</v>
      </c>
      <c r="B2914" s="20" t="str">
        <f>HYPERLINK("https://twitter.com/manasbillore","@manasbillore")</f>
        <v>@manasbillore</v>
      </c>
      <c r="C2914" s="21" t="s">
        <v>6926</v>
      </c>
      <c r="D2914" s="21" t="s">
        <v>42</v>
      </c>
      <c r="E2914" s="22" t="str">
        <f>HYPERLINK("https://twitter.com/manasbillore/status/922425906370510850","922425906370510850")</f>
        <v>922425906370510850</v>
      </c>
      <c r="F2914" s="23" t="s">
        <v>33</v>
      </c>
      <c r="G2914" s="24">
        <v>321.0</v>
      </c>
      <c r="H2914" s="24">
        <v>1316.0</v>
      </c>
      <c r="I2914" s="24">
        <v>8501.0</v>
      </c>
      <c r="J2914" s="24">
        <v>0.0</v>
      </c>
      <c r="K2914" s="23" t="s">
        <v>34</v>
      </c>
      <c r="L2914" s="25">
        <v>39930.506840277776</v>
      </c>
      <c r="M2914" s="26" t="s">
        <v>6927</v>
      </c>
      <c r="N2914" s="26" t="s">
        <v>6928</v>
      </c>
      <c r="O2914" s="22" t="str">
        <f>HYPERLINK("https://pbs.twimg.com/profile_images/818016243449901056/mRHrZxOH_normal.jpg","View")</f>
        <v>View</v>
      </c>
      <c r="P2914" s="27"/>
    </row>
    <row r="2915">
      <c r="A2915" s="14">
        <v>43031.19039351852</v>
      </c>
      <c r="B2915" s="20" t="str">
        <f>HYPERLINK("https://twitter.com/imankianand88","@imankianand88")</f>
        <v>@imankianand88</v>
      </c>
      <c r="C2915" s="21" t="s">
        <v>6929</v>
      </c>
      <c r="D2915" s="21" t="s">
        <v>42</v>
      </c>
      <c r="E2915" s="22" t="str">
        <f>HYPERLINK("https://twitter.com/imankianand88/status/922425914004140032","922425914004140032")</f>
        <v>922425914004140032</v>
      </c>
      <c r="F2915" s="23" t="s">
        <v>33</v>
      </c>
      <c r="G2915" s="24">
        <v>25.0</v>
      </c>
      <c r="H2915" s="24">
        <v>315.0</v>
      </c>
      <c r="I2915" s="24">
        <v>8501.0</v>
      </c>
      <c r="J2915" s="24">
        <v>0.0</v>
      </c>
      <c r="K2915" s="23" t="s">
        <v>34</v>
      </c>
      <c r="L2915" s="25">
        <v>42600.12972222222</v>
      </c>
      <c r="M2915" s="26" t="s">
        <v>6930</v>
      </c>
      <c r="N2915" s="26" t="s">
        <v>6931</v>
      </c>
      <c r="O2915" s="22" t="str">
        <f>HYPERLINK("https://pbs.twimg.com/profile_images/911620483992264704/eEcf3cQ3_normal.jpg","View")</f>
        <v>View</v>
      </c>
      <c r="P2915" s="27"/>
    </row>
    <row r="2916">
      <c r="A2916" s="14">
        <v>43031.190405092595</v>
      </c>
      <c r="B2916" s="20" t="str">
        <f>HYPERLINK("https://twitter.com/adimanava","@adimanava")</f>
        <v>@adimanava</v>
      </c>
      <c r="C2916" s="21" t="s">
        <v>6932</v>
      </c>
      <c r="D2916" s="21" t="s">
        <v>42</v>
      </c>
      <c r="E2916" s="22" t="str">
        <f>HYPERLINK("https://twitter.com/adimanava/status/922425917028233216","922425917028233216")</f>
        <v>922425917028233216</v>
      </c>
      <c r="F2916" s="23" t="s">
        <v>33</v>
      </c>
      <c r="G2916" s="24">
        <v>24.0</v>
      </c>
      <c r="H2916" s="24">
        <v>34.0</v>
      </c>
      <c r="I2916" s="24">
        <v>8501.0</v>
      </c>
      <c r="J2916" s="24">
        <v>0.0</v>
      </c>
      <c r="K2916" s="23" t="s">
        <v>34</v>
      </c>
      <c r="L2916" s="25">
        <v>40321.16212962963</v>
      </c>
      <c r="M2916" s="28"/>
      <c r="N2916" s="28"/>
      <c r="O2916" s="22" t="str">
        <f>HYPERLINK("https://abs.twimg.com/sticky/default_profile_images/default_profile_normal.png","View")</f>
        <v>View</v>
      </c>
      <c r="P2916" s="27"/>
    </row>
    <row r="2917">
      <c r="A2917" s="14">
        <v>43031.19042824074</v>
      </c>
      <c r="B2917" s="20" t="str">
        <f>HYPERLINK("https://twitter.com/bjp_warrior","@bjp_warrior")</f>
        <v>@bjp_warrior</v>
      </c>
      <c r="C2917" s="21" t="s">
        <v>6933</v>
      </c>
      <c r="D2917" s="21" t="s">
        <v>42</v>
      </c>
      <c r="E2917" s="22" t="str">
        <f>HYPERLINK("https://twitter.com/bjp_warrior/status/922425925580439553","922425925580439553")</f>
        <v>922425925580439553</v>
      </c>
      <c r="F2917" s="23" t="s">
        <v>33</v>
      </c>
      <c r="G2917" s="24">
        <v>53.0</v>
      </c>
      <c r="H2917" s="24">
        <v>114.0</v>
      </c>
      <c r="I2917" s="24">
        <v>8501.0</v>
      </c>
      <c r="J2917" s="24">
        <v>0.0</v>
      </c>
      <c r="K2917" s="23" t="s">
        <v>34</v>
      </c>
      <c r="L2917" s="25">
        <v>42844.4859375</v>
      </c>
      <c r="M2917" s="26" t="s">
        <v>6934</v>
      </c>
      <c r="N2917" s="26" t="s">
        <v>6935</v>
      </c>
      <c r="O2917" s="22" t="str">
        <f>HYPERLINK("https://pbs.twimg.com/profile_images/854770425536053248/pwDvLY1r_normal.jpg","View")</f>
        <v>View</v>
      </c>
      <c r="P2917" s="27"/>
    </row>
    <row r="2918">
      <c r="A2918" s="14">
        <v>43031.190520833334</v>
      </c>
      <c r="B2918" s="20" t="str">
        <f>HYPERLINK("https://twitter.com/kunzang_palden","@kunzang_palden")</f>
        <v>@kunzang_palden</v>
      </c>
      <c r="C2918" s="21" t="s">
        <v>6936</v>
      </c>
      <c r="D2918" s="21" t="s">
        <v>4857</v>
      </c>
      <c r="E2918" s="22" t="str">
        <f>HYPERLINK("https://twitter.com/kunzang_palden/status/922425962121256960","922425962121256960")</f>
        <v>922425962121256960</v>
      </c>
      <c r="F2918" s="23" t="s">
        <v>33</v>
      </c>
      <c r="G2918" s="24">
        <v>216.0</v>
      </c>
      <c r="H2918" s="24">
        <v>319.0</v>
      </c>
      <c r="I2918" s="24">
        <v>55.0</v>
      </c>
      <c r="J2918" s="24">
        <v>0.0</v>
      </c>
      <c r="K2918" s="23" t="s">
        <v>34</v>
      </c>
      <c r="L2918" s="25">
        <v>41894.68712962963</v>
      </c>
      <c r="M2918" s="28"/>
      <c r="N2918" s="26" t="s">
        <v>6937</v>
      </c>
      <c r="O2918" s="22" t="str">
        <f>HYPERLINK("https://pbs.twimg.com/profile_images/893250594411958272/hxHcR8qo_normal.jpg","View")</f>
        <v>View</v>
      </c>
      <c r="P2918" s="27"/>
    </row>
    <row r="2919">
      <c r="A2919" s="14">
        <v>43031.19055555556</v>
      </c>
      <c r="B2919" s="20" t="str">
        <f>HYPERLINK("https://twitter.com/Trifee_Life","@Trifee_Life")</f>
        <v>@Trifee_Life</v>
      </c>
      <c r="C2919" s="21" t="s">
        <v>6938</v>
      </c>
      <c r="D2919" s="21" t="s">
        <v>2595</v>
      </c>
      <c r="E2919" s="22" t="str">
        <f>HYPERLINK("https://twitter.com/Trifee_Life/status/922425973102075904","922425973102075904")</f>
        <v>922425973102075904</v>
      </c>
      <c r="F2919" s="23" t="s">
        <v>39</v>
      </c>
      <c r="G2919" s="24">
        <v>1743.0</v>
      </c>
      <c r="H2919" s="24">
        <v>822.0</v>
      </c>
      <c r="I2919" s="24">
        <v>170.0</v>
      </c>
      <c r="J2919" s="24">
        <v>0.0</v>
      </c>
      <c r="K2919" s="23" t="s">
        <v>34</v>
      </c>
      <c r="L2919" s="25">
        <v>40661.83474537037</v>
      </c>
      <c r="M2919" s="26" t="s">
        <v>6939</v>
      </c>
      <c r="N2919" s="26" t="s">
        <v>6940</v>
      </c>
      <c r="O2919" s="22" t="str">
        <f>HYPERLINK("https://pbs.twimg.com/profile_images/784135186640363520/Rxs2BS-k_normal.jpg","View")</f>
        <v>View</v>
      </c>
      <c r="P2919" s="27"/>
    </row>
    <row r="2920">
      <c r="A2920" s="14">
        <v>43031.19060185185</v>
      </c>
      <c r="B2920" s="20" t="str">
        <f>HYPERLINK("https://twitter.com/yakky_poem","@yakky_poem")</f>
        <v>@yakky_poem</v>
      </c>
      <c r="C2920" s="21" t="s">
        <v>6941</v>
      </c>
      <c r="D2920" s="21" t="s">
        <v>42</v>
      </c>
      <c r="E2920" s="22" t="str">
        <f>HYPERLINK("https://twitter.com/yakky_poem/status/922425988427874305","922425988427874305")</f>
        <v>922425988427874305</v>
      </c>
      <c r="F2920" s="23" t="s">
        <v>43</v>
      </c>
      <c r="G2920" s="24">
        <v>13.0</v>
      </c>
      <c r="H2920" s="24">
        <v>44.0</v>
      </c>
      <c r="I2920" s="24">
        <v>8501.0</v>
      </c>
      <c r="J2920" s="24">
        <v>0.0</v>
      </c>
      <c r="K2920" s="23" t="s">
        <v>34</v>
      </c>
      <c r="L2920" s="25">
        <v>42270.28934027778</v>
      </c>
      <c r="M2920" s="28"/>
      <c r="N2920" s="28"/>
      <c r="O2920" s="22" t="str">
        <f>HYPERLINK("https://pbs.twimg.com/profile_images/698267328107012096/ARMClmOd_normal.jpg","View")</f>
        <v>View</v>
      </c>
      <c r="P2920" s="27"/>
    </row>
    <row r="2921">
      <c r="A2921" s="14">
        <v>43031.190625</v>
      </c>
      <c r="B2921" s="20" t="str">
        <f>HYPERLINK("https://twitter.com/tayhweepeng","@tayhweepeng")</f>
        <v>@tayhweepeng</v>
      </c>
      <c r="C2921" s="21" t="s">
        <v>6942</v>
      </c>
      <c r="D2921" s="21" t="s">
        <v>6917</v>
      </c>
      <c r="E2921" s="22" t="str">
        <f>HYPERLINK("https://twitter.com/tayhweepeng/status/922425997214957573","922425997214957573")</f>
        <v>922425997214957573</v>
      </c>
      <c r="F2921" s="23" t="s">
        <v>39</v>
      </c>
      <c r="G2921" s="24">
        <v>97.0</v>
      </c>
      <c r="H2921" s="24">
        <v>619.0</v>
      </c>
      <c r="I2921" s="24">
        <v>8.0</v>
      </c>
      <c r="J2921" s="24">
        <v>0.0</v>
      </c>
      <c r="K2921" s="23" t="s">
        <v>34</v>
      </c>
      <c r="L2921" s="25">
        <v>39968.00958333333</v>
      </c>
      <c r="M2921" s="28"/>
      <c r="N2921" s="26" t="s">
        <v>6943</v>
      </c>
      <c r="O2921" s="22" t="str">
        <f>HYPERLINK("https://pbs.twimg.com/profile_images/724112560169963520/8DMrgCPU_normal.jpg","View")</f>
        <v>View</v>
      </c>
      <c r="P2921" s="27"/>
    </row>
    <row r="2922">
      <c r="A2922" s="14">
        <v>43031.19072916667</v>
      </c>
      <c r="B2922" s="20" t="str">
        <f>HYPERLINK("https://twitter.com/karbonpaper","@karbonpaper")</f>
        <v>@karbonpaper</v>
      </c>
      <c r="C2922" s="21" t="s">
        <v>6944</v>
      </c>
      <c r="D2922" s="21" t="s">
        <v>42</v>
      </c>
      <c r="E2922" s="22" t="str">
        <f>HYPERLINK("https://twitter.com/karbonpaper/status/922426035114721280","922426035114721280")</f>
        <v>922426035114721280</v>
      </c>
      <c r="F2922" s="23" t="s">
        <v>39</v>
      </c>
      <c r="G2922" s="24">
        <v>221.0</v>
      </c>
      <c r="H2922" s="24">
        <v>688.0</v>
      </c>
      <c r="I2922" s="24">
        <v>8501.0</v>
      </c>
      <c r="J2922" s="24">
        <v>0.0</v>
      </c>
      <c r="K2922" s="23" t="s">
        <v>34</v>
      </c>
      <c r="L2922" s="25">
        <v>39772.94773148148</v>
      </c>
      <c r="M2922" s="26" t="s">
        <v>6945</v>
      </c>
      <c r="N2922" s="26" t="s">
        <v>6946</v>
      </c>
      <c r="O2922" s="22" t="str">
        <f>HYPERLINK("https://pbs.twimg.com/profile_images/2428251414/5su4laaekqmuunm7hcyi_normal.jpeg","View")</f>
        <v>View</v>
      </c>
      <c r="P2922" s="27"/>
    </row>
    <row r="2923">
      <c r="A2923" s="14">
        <v>43031.19072916667</v>
      </c>
      <c r="B2923" s="20" t="str">
        <f>HYPERLINK("https://twitter.com/Involution88","@Involution88")</f>
        <v>@Involution88</v>
      </c>
      <c r="C2923" s="21" t="s">
        <v>6287</v>
      </c>
      <c r="D2923" s="21" t="s">
        <v>179</v>
      </c>
      <c r="E2923" s="22" t="str">
        <f>HYPERLINK("https://twitter.com/Involution88/status/922426035295092736","922426035295092736")</f>
        <v>922426035295092736</v>
      </c>
      <c r="F2923" s="23" t="s">
        <v>33</v>
      </c>
      <c r="G2923" s="24">
        <v>367.0</v>
      </c>
      <c r="H2923" s="24">
        <v>578.0</v>
      </c>
      <c r="I2923" s="24">
        <v>30.0</v>
      </c>
      <c r="J2923" s="24">
        <v>0.0</v>
      </c>
      <c r="K2923" s="23" t="s">
        <v>34</v>
      </c>
      <c r="L2923" s="25">
        <v>40120.70594907407</v>
      </c>
      <c r="M2923" s="28"/>
      <c r="N2923" s="28"/>
      <c r="O2923" s="22" t="str">
        <f>HYPERLINK("https://pbs.twimg.com/profile_images/507775445/ATT00013_normal.jpg","View")</f>
        <v>View</v>
      </c>
      <c r="P2923" s="27"/>
    </row>
    <row r="2924">
      <c r="A2924" s="14">
        <v>43031.19075231481</v>
      </c>
      <c r="B2924" s="20" t="str">
        <f>HYPERLINK("https://twitter.com/theglobalpov","@theglobalpov")</f>
        <v>@theglobalpov</v>
      </c>
      <c r="C2924" s="21" t="s">
        <v>6947</v>
      </c>
      <c r="D2924" s="21" t="s">
        <v>6948</v>
      </c>
      <c r="E2924" s="22" t="str">
        <f>HYPERLINK("https://twitter.com/theglobalpov/status/922426044140924928","922426044140924928")</f>
        <v>922426044140924928</v>
      </c>
      <c r="F2924" s="23" t="s">
        <v>230</v>
      </c>
      <c r="G2924" s="24">
        <v>197.0</v>
      </c>
      <c r="H2924" s="24">
        <v>234.0</v>
      </c>
      <c r="I2924" s="24">
        <v>0.0</v>
      </c>
      <c r="J2924" s="24">
        <v>0.0</v>
      </c>
      <c r="K2924" s="23" t="s">
        <v>34</v>
      </c>
      <c r="L2924" s="25">
        <v>42705.30674768519</v>
      </c>
      <c r="M2924" s="28"/>
      <c r="N2924" s="26" t="s">
        <v>6949</v>
      </c>
      <c r="O2924" s="22" t="str">
        <f>HYPERLINK("https://pbs.twimg.com/profile_images/806611955603689475/MSJC7Rhw_normal.jpg","View")</f>
        <v>View</v>
      </c>
      <c r="P2924" s="27"/>
    </row>
    <row r="2925">
      <c r="A2925" s="14">
        <v>43031.190833333334</v>
      </c>
      <c r="B2925" s="20" t="str">
        <f>HYPERLINK("https://twitter.com/Best4Britain1","@Best4Britain1")</f>
        <v>@Best4Britain1</v>
      </c>
      <c r="C2925" s="21" t="s">
        <v>6950</v>
      </c>
      <c r="D2925" s="21" t="s">
        <v>6403</v>
      </c>
      <c r="E2925" s="22" t="str">
        <f>HYPERLINK("https://twitter.com/Best4Britain1/status/922426074968887296","922426074968887296")</f>
        <v>922426074968887296</v>
      </c>
      <c r="F2925" s="23" t="s">
        <v>33</v>
      </c>
      <c r="G2925" s="24">
        <v>526.0</v>
      </c>
      <c r="H2925" s="24">
        <v>1964.0</v>
      </c>
      <c r="I2925" s="24">
        <v>97.0</v>
      </c>
      <c r="J2925" s="24">
        <v>0.0</v>
      </c>
      <c r="K2925" s="23" t="s">
        <v>34</v>
      </c>
      <c r="L2925" s="25">
        <v>42752.74930555555</v>
      </c>
      <c r="M2925" s="26" t="s">
        <v>6951</v>
      </c>
      <c r="N2925" s="26" t="s">
        <v>6952</v>
      </c>
      <c r="O2925" s="22" t="str">
        <f>HYPERLINK("https://pbs.twimg.com/profile_images/921339986464485376/8qfeFd5N_normal.jpg","View")</f>
        <v>View</v>
      </c>
      <c r="P2925" s="27"/>
    </row>
    <row r="2926">
      <c r="A2926" s="14">
        <v>43031.19091435186</v>
      </c>
      <c r="B2926" s="20" t="str">
        <f>HYPERLINK("https://twitter.com/BipinKumarsing","@BipinKumarsing")</f>
        <v>@BipinKumarsing</v>
      </c>
      <c r="C2926" s="21" t="s">
        <v>2914</v>
      </c>
      <c r="D2926" s="21" t="s">
        <v>42</v>
      </c>
      <c r="E2926" s="22" t="str">
        <f>HYPERLINK("https://twitter.com/BipinKumarsing/status/922426101481140224","922426101481140224")</f>
        <v>922426101481140224</v>
      </c>
      <c r="F2926" s="23" t="s">
        <v>33</v>
      </c>
      <c r="G2926" s="24">
        <v>2.0</v>
      </c>
      <c r="H2926" s="24">
        <v>27.0</v>
      </c>
      <c r="I2926" s="24">
        <v>8501.0</v>
      </c>
      <c r="J2926" s="24">
        <v>0.0</v>
      </c>
      <c r="K2926" s="23" t="s">
        <v>34</v>
      </c>
      <c r="L2926" s="25">
        <v>42983.12920138889</v>
      </c>
      <c r="M2926" s="28"/>
      <c r="N2926" s="28"/>
      <c r="O2926" s="22" t="str">
        <f>HYPERLINK("https://abs.twimg.com/sticky/default_profile_images/default_profile_normal.png","View")</f>
        <v>View</v>
      </c>
      <c r="P2926" s="27"/>
    </row>
    <row r="2927">
      <c r="A2927" s="14">
        <v>43031.19092592593</v>
      </c>
      <c r="B2927" s="20" t="str">
        <f>HYPERLINK("https://twitter.com/smilinglion71","@smilinglion71")</f>
        <v>@smilinglion71</v>
      </c>
      <c r="C2927" s="21" t="s">
        <v>6953</v>
      </c>
      <c r="D2927" s="21" t="s">
        <v>6954</v>
      </c>
      <c r="E2927" s="22" t="str">
        <f>HYPERLINK("https://twitter.com/smilinglion71/status/922426105277108224","922426105277108224")</f>
        <v>922426105277108224</v>
      </c>
      <c r="F2927" s="23" t="s">
        <v>39</v>
      </c>
      <c r="G2927" s="24">
        <v>281.0</v>
      </c>
      <c r="H2927" s="24">
        <v>1568.0</v>
      </c>
      <c r="I2927" s="24">
        <v>0.0</v>
      </c>
      <c r="J2927" s="24">
        <v>0.0</v>
      </c>
      <c r="K2927" s="23" t="s">
        <v>34</v>
      </c>
      <c r="L2927" s="25">
        <v>42844.73540509259</v>
      </c>
      <c r="M2927" s="26" t="s">
        <v>6955</v>
      </c>
      <c r="N2927" s="26" t="s">
        <v>6956</v>
      </c>
      <c r="O2927" s="22" t="str">
        <f>HYPERLINK("https://pbs.twimg.com/profile_images/856681215319040007/OQ10gI_H_normal.jpg","View")</f>
        <v>View</v>
      </c>
      <c r="P2927" s="27"/>
    </row>
    <row r="2928">
      <c r="A2928" s="14">
        <v>43031.191030092596</v>
      </c>
      <c r="B2928" s="20" t="str">
        <f>HYPERLINK("https://twitter.com/nekrasov7pavel","@nekrasov7pavel")</f>
        <v>@nekrasov7pavel</v>
      </c>
      <c r="C2928" s="21" t="s">
        <v>6774</v>
      </c>
      <c r="D2928" s="21" t="s">
        <v>5544</v>
      </c>
      <c r="E2928" s="22" t="str">
        <f>HYPERLINK("https://twitter.com/nekrasov7pavel/status/922426143227052032","922426143227052032")</f>
        <v>922426143227052032</v>
      </c>
      <c r="F2928" s="23" t="s">
        <v>55</v>
      </c>
      <c r="G2928" s="24">
        <v>2.0</v>
      </c>
      <c r="H2928" s="24">
        <v>3.0</v>
      </c>
      <c r="I2928" s="24">
        <v>77.0</v>
      </c>
      <c r="J2928" s="24">
        <v>0.0</v>
      </c>
      <c r="K2928" s="23" t="s">
        <v>34</v>
      </c>
      <c r="L2928" s="25">
        <v>43015.647465277776</v>
      </c>
      <c r="M2928" s="28"/>
      <c r="N2928" s="28"/>
      <c r="O2928" s="22" t="str">
        <f>HYPERLINK("https://pbs.twimg.com/profile_images/919554173821100032/8lik4TSM_normal.jpg","View")</f>
        <v>View</v>
      </c>
      <c r="P2928" s="27"/>
    </row>
    <row r="2929">
      <c r="A2929" s="14">
        <v>43031.191041666665</v>
      </c>
      <c r="B2929" s="20" t="str">
        <f>HYPERLINK("https://twitter.com/jostarchanneltv","@jostarchanneltv")</f>
        <v>@jostarchanneltv</v>
      </c>
      <c r="C2929" s="21" t="s">
        <v>5119</v>
      </c>
      <c r="D2929" s="21" t="s">
        <v>6957</v>
      </c>
      <c r="E2929" s="22" t="str">
        <f>HYPERLINK("https://twitter.com/jostarchanneltv/status/922426148016943104","922426148016943104")</f>
        <v>922426148016943104</v>
      </c>
      <c r="F2929" s="30" t="s">
        <v>659</v>
      </c>
      <c r="G2929" s="24">
        <v>164.0</v>
      </c>
      <c r="H2929" s="24">
        <v>128.0</v>
      </c>
      <c r="I2929" s="24">
        <v>0.0</v>
      </c>
      <c r="J2929" s="24">
        <v>0.0</v>
      </c>
      <c r="K2929" s="23" t="s">
        <v>34</v>
      </c>
      <c r="L2929" s="25">
        <v>42387.39848379629</v>
      </c>
      <c r="M2929" s="28"/>
      <c r="N2929" s="26" t="s">
        <v>5121</v>
      </c>
      <c r="O2929" s="22" t="str">
        <f>HYPERLINK("https://pbs.twimg.com/profile_images/689138985231241216/dzlt2bFg_normal.jpg","View")</f>
        <v>View</v>
      </c>
      <c r="P2929" s="27"/>
    </row>
    <row r="2930">
      <c r="A2930" s="14">
        <v>43031.19112268518</v>
      </c>
      <c r="B2930" s="20" t="str">
        <f>HYPERLINK("https://twitter.com/sanjeev61494014","@sanjeev61494014")</f>
        <v>@sanjeev61494014</v>
      </c>
      <c r="C2930" s="21" t="s">
        <v>6958</v>
      </c>
      <c r="D2930" s="21" t="s">
        <v>42</v>
      </c>
      <c r="E2930" s="22" t="str">
        <f>HYPERLINK("https://twitter.com/sanjeev61494014/status/922426180271161349","922426180271161349")</f>
        <v>922426180271161349</v>
      </c>
      <c r="F2930" s="23" t="s">
        <v>33</v>
      </c>
      <c r="G2930" s="24">
        <v>15.0</v>
      </c>
      <c r="H2930" s="24">
        <v>133.0</v>
      </c>
      <c r="I2930" s="24">
        <v>8501.0</v>
      </c>
      <c r="J2930" s="24">
        <v>0.0</v>
      </c>
      <c r="K2930" s="23" t="s">
        <v>34</v>
      </c>
      <c r="L2930" s="25">
        <v>42071.22671296296</v>
      </c>
      <c r="M2930" s="26" t="s">
        <v>1707</v>
      </c>
      <c r="N2930" s="28"/>
      <c r="O2930" s="22" t="str">
        <f>HYPERLINK("https://pbs.twimg.com/profile_images/625201579465969665/wjDoA2wb_normal.jpg","View")</f>
        <v>View</v>
      </c>
      <c r="P2930" s="27"/>
    </row>
    <row r="2931">
      <c r="A2931" s="14">
        <v>43031.19116898148</v>
      </c>
      <c r="B2931" s="20" t="str">
        <f>HYPERLINK("https://twitter.com/pdatt123","@pdatt123")</f>
        <v>@pdatt123</v>
      </c>
      <c r="C2931" s="21" t="s">
        <v>6959</v>
      </c>
      <c r="D2931" s="21" t="s">
        <v>42</v>
      </c>
      <c r="E2931" s="22" t="str">
        <f>HYPERLINK("https://twitter.com/pdatt123/status/922426196310204416","922426196310204416")</f>
        <v>922426196310204416</v>
      </c>
      <c r="F2931" s="23" t="s">
        <v>33</v>
      </c>
      <c r="G2931" s="24">
        <v>161.0</v>
      </c>
      <c r="H2931" s="24">
        <v>231.0</v>
      </c>
      <c r="I2931" s="24">
        <v>8501.0</v>
      </c>
      <c r="J2931" s="24">
        <v>0.0</v>
      </c>
      <c r="K2931" s="23" t="s">
        <v>34</v>
      </c>
      <c r="L2931" s="25">
        <v>41904.20793981481</v>
      </c>
      <c r="M2931" s="26" t="s">
        <v>3771</v>
      </c>
      <c r="N2931" s="26" t="s">
        <v>6960</v>
      </c>
      <c r="O2931" s="22" t="str">
        <f>HYPERLINK("https://pbs.twimg.com/profile_images/565742374635048961/Qp1WXWGx_normal.jpeg","View")</f>
        <v>View</v>
      </c>
      <c r="P2931" s="27"/>
    </row>
    <row r="2932">
      <c r="A2932" s="14">
        <v>43031.191203703704</v>
      </c>
      <c r="B2932" s="20" t="str">
        <f>HYPERLINK("https://twitter.com/Vaishalizz","@Vaishalizz")</f>
        <v>@Vaishalizz</v>
      </c>
      <c r="C2932" s="21" t="s">
        <v>6961</v>
      </c>
      <c r="D2932" s="21" t="s">
        <v>42</v>
      </c>
      <c r="E2932" s="22" t="str">
        <f>HYPERLINK("https://twitter.com/Vaishalizz/status/922426208112975872","922426208112975872")</f>
        <v>922426208112975872</v>
      </c>
      <c r="F2932" s="23" t="s">
        <v>33</v>
      </c>
      <c r="G2932" s="24">
        <v>37.0</v>
      </c>
      <c r="H2932" s="24">
        <v>47.0</v>
      </c>
      <c r="I2932" s="24">
        <v>8501.0</v>
      </c>
      <c r="J2932" s="24">
        <v>0.0</v>
      </c>
      <c r="K2932" s="23" t="s">
        <v>34</v>
      </c>
      <c r="L2932" s="25">
        <v>42626.39025462963</v>
      </c>
      <c r="M2932" s="26" t="s">
        <v>2177</v>
      </c>
      <c r="N2932" s="28"/>
      <c r="O2932" s="22" t="str">
        <f>HYPERLINK("https://pbs.twimg.com/profile_images/826719222738931713/S_hFEp4p_normal.jpg","View")</f>
        <v>View</v>
      </c>
      <c r="P2932" s="27"/>
    </row>
    <row r="2933">
      <c r="A2933" s="14">
        <v>43031.19121527778</v>
      </c>
      <c r="B2933" s="20" t="str">
        <f>HYPERLINK("https://twitter.com/Steam48924755","@Steam48924755")</f>
        <v>@Steam48924755</v>
      </c>
      <c r="C2933" s="21" t="s">
        <v>6962</v>
      </c>
      <c r="D2933" s="21" t="s">
        <v>6236</v>
      </c>
      <c r="E2933" s="22" t="str">
        <f>HYPERLINK("https://twitter.com/Steam48924755/status/922426212252901379","922426212252901379")</f>
        <v>922426212252901379</v>
      </c>
      <c r="F2933" s="23" t="s">
        <v>6963</v>
      </c>
      <c r="G2933" s="24">
        <v>148.0</v>
      </c>
      <c r="H2933" s="24">
        <v>1587.0</v>
      </c>
      <c r="I2933" s="24">
        <v>26.0</v>
      </c>
      <c r="J2933" s="24">
        <v>0.0</v>
      </c>
      <c r="K2933" s="23" t="s">
        <v>34</v>
      </c>
      <c r="L2933" s="25">
        <v>42906.49146990741</v>
      </c>
      <c r="M2933" s="26" t="s">
        <v>68</v>
      </c>
      <c r="N2933" s="26" t="s">
        <v>6964</v>
      </c>
      <c r="O2933" s="22" t="str">
        <f>HYPERLINK("https://pbs.twimg.com/profile_images/877236807808765953/2-FrYyqx_normal.jpg","View")</f>
        <v>View</v>
      </c>
      <c r="P2933" s="27"/>
    </row>
    <row r="2934">
      <c r="A2934" s="14">
        <v>43031.19123842593</v>
      </c>
      <c r="B2934" s="20" t="str">
        <f>HYPERLINK("https://twitter.com/imvijaypalnain","@imvijaypalnain")</f>
        <v>@imvijaypalnain</v>
      </c>
      <c r="C2934" s="21" t="s">
        <v>6965</v>
      </c>
      <c r="D2934" s="21" t="s">
        <v>42</v>
      </c>
      <c r="E2934" s="22" t="str">
        <f>HYPERLINK("https://twitter.com/imvijaypalnain/status/922426222453207040","922426222453207040")</f>
        <v>922426222453207040</v>
      </c>
      <c r="F2934" s="23" t="s">
        <v>33</v>
      </c>
      <c r="G2934" s="24">
        <v>25.0</v>
      </c>
      <c r="H2934" s="24">
        <v>131.0</v>
      </c>
      <c r="I2934" s="24">
        <v>8501.0</v>
      </c>
      <c r="J2934" s="24">
        <v>0.0</v>
      </c>
      <c r="K2934" s="23" t="s">
        <v>34</v>
      </c>
      <c r="L2934" s="25">
        <v>42993.264131944445</v>
      </c>
      <c r="M2934" s="26" t="s">
        <v>6966</v>
      </c>
      <c r="N2934" s="26" t="s">
        <v>6967</v>
      </c>
      <c r="O2934" s="22" t="str">
        <f>HYPERLINK("https://pbs.twimg.com/profile_images/920946306658344960/4dbaerYQ_normal.jpg","View")</f>
        <v>View</v>
      </c>
      <c r="P2934" s="27"/>
    </row>
    <row r="2935">
      <c r="A2935" s="14">
        <v>43031.19127314815</v>
      </c>
      <c r="B2935" s="20" t="str">
        <f>HYPERLINK("https://twitter.com/BikashC1998","@BikashC1998")</f>
        <v>@BikashC1998</v>
      </c>
      <c r="C2935" s="21" t="s">
        <v>6968</v>
      </c>
      <c r="D2935" s="21" t="s">
        <v>42</v>
      </c>
      <c r="E2935" s="22" t="str">
        <f>HYPERLINK("https://twitter.com/BikashC1998/status/922426232033091584","922426232033091584")</f>
        <v>922426232033091584</v>
      </c>
      <c r="F2935" s="23" t="s">
        <v>33</v>
      </c>
      <c r="G2935" s="24">
        <v>2.0</v>
      </c>
      <c r="H2935" s="24">
        <v>73.0</v>
      </c>
      <c r="I2935" s="24">
        <v>8501.0</v>
      </c>
      <c r="J2935" s="24">
        <v>0.0</v>
      </c>
      <c r="K2935" s="23" t="s">
        <v>34</v>
      </c>
      <c r="L2935" s="25">
        <v>43029.10395833333</v>
      </c>
      <c r="M2935" s="26" t="s">
        <v>1137</v>
      </c>
      <c r="N2935" s="26" t="s">
        <v>6969</v>
      </c>
      <c r="O2935" s="22" t="str">
        <f>HYPERLINK("https://pbs.twimg.com/profile_images/921674529759309824/19zvGE0z_normal.jpg","View")</f>
        <v>View</v>
      </c>
      <c r="P2935" s="27"/>
    </row>
    <row r="2936">
      <c r="A2936" s="14">
        <v>43031.19128472223</v>
      </c>
      <c r="B2936" s="20" t="str">
        <f>HYPERLINK("https://twitter.com/98189","@98189")</f>
        <v>@98189</v>
      </c>
      <c r="C2936" s="21" t="s">
        <v>6970</v>
      </c>
      <c r="D2936" s="21" t="s">
        <v>42</v>
      </c>
      <c r="E2936" s="22" t="str">
        <f>HYPERLINK("https://twitter.com/98189/status/922426238240567296","922426238240567296")</f>
        <v>922426238240567296</v>
      </c>
      <c r="F2936" s="23" t="s">
        <v>33</v>
      </c>
      <c r="G2936" s="24">
        <v>74.0</v>
      </c>
      <c r="H2936" s="24">
        <v>108.0</v>
      </c>
      <c r="I2936" s="24">
        <v>8501.0</v>
      </c>
      <c r="J2936" s="24">
        <v>0.0</v>
      </c>
      <c r="K2936" s="23" t="s">
        <v>34</v>
      </c>
      <c r="L2936" s="25">
        <v>40090.8308912037</v>
      </c>
      <c r="M2936" s="28"/>
      <c r="N2936" s="26" t="s">
        <v>6971</v>
      </c>
      <c r="O2936" s="22" t="str">
        <f>HYPERLINK("https://pbs.twimg.com/profile_images/870415096/Lover_normal.jpg","View")</f>
        <v>View</v>
      </c>
      <c r="P2936" s="27"/>
    </row>
    <row r="2937">
      <c r="A2937" s="14">
        <v>43031.191307870366</v>
      </c>
      <c r="B2937" s="20" t="str">
        <f>HYPERLINK("https://twitter.com/Dave29788264","@Dave29788264")</f>
        <v>@Dave29788264</v>
      </c>
      <c r="C2937" s="21" t="s">
        <v>6972</v>
      </c>
      <c r="D2937" s="21" t="s">
        <v>6973</v>
      </c>
      <c r="E2937" s="22" t="str">
        <f>HYPERLINK("https://twitter.com/Dave29788264/status/922426247170334723","922426247170334723")</f>
        <v>922426247170334723</v>
      </c>
      <c r="F2937" s="23" t="s">
        <v>39</v>
      </c>
      <c r="G2937" s="24">
        <v>107.0</v>
      </c>
      <c r="H2937" s="24">
        <v>386.0</v>
      </c>
      <c r="I2937" s="24">
        <v>10.0</v>
      </c>
      <c r="J2937" s="24">
        <v>0.0</v>
      </c>
      <c r="K2937" s="23" t="s">
        <v>34</v>
      </c>
      <c r="L2937" s="25">
        <v>42977.919328703705</v>
      </c>
      <c r="M2937" s="28"/>
      <c r="N2937" s="28"/>
      <c r="O2937" s="22" t="str">
        <f>HYPERLINK("https://pbs.twimg.com/profile_images/921249884212117505/rTyhc-GW_normal.jpg","View")</f>
        <v>View</v>
      </c>
      <c r="P2937" s="27"/>
    </row>
    <row r="2938">
      <c r="A2938" s="14">
        <v>43031.19131944445</v>
      </c>
      <c r="B2938" s="20" t="str">
        <f>HYPERLINK("https://twitter.com/Guven_Yalcintas","@Guven_Yalcintas")</f>
        <v>@Guven_Yalcintas</v>
      </c>
      <c r="C2938" s="21" t="s">
        <v>6974</v>
      </c>
      <c r="D2938" s="21" t="s">
        <v>6975</v>
      </c>
      <c r="E2938" s="22" t="str">
        <f>HYPERLINK("https://twitter.com/Guven_Yalcintas/status/922426248843886592","922426248843886592")</f>
        <v>922426248843886592</v>
      </c>
      <c r="F2938" s="23" t="s">
        <v>33</v>
      </c>
      <c r="G2938" s="24">
        <v>194.0</v>
      </c>
      <c r="H2938" s="24">
        <v>145.0</v>
      </c>
      <c r="I2938" s="24">
        <v>6.0</v>
      </c>
      <c r="J2938" s="24">
        <v>0.0</v>
      </c>
      <c r="K2938" s="23" t="s">
        <v>34</v>
      </c>
      <c r="L2938" s="25">
        <v>40358.22460648148</v>
      </c>
      <c r="M2938" s="26" t="s">
        <v>389</v>
      </c>
      <c r="N2938" s="26" t="s">
        <v>6976</v>
      </c>
      <c r="O2938" s="22" t="str">
        <f>HYPERLINK("https://pbs.twimg.com/profile_images/1706724883/russia2_normal.JPG","View")</f>
        <v>View</v>
      </c>
      <c r="P2938" s="27"/>
    </row>
    <row r="2939">
      <c r="A2939" s="14">
        <v>43031.19146990741</v>
      </c>
      <c r="B2939" s="20" t="str">
        <f>HYPERLINK("https://twitter.com/chetanbhakkad","@chetanbhakkad")</f>
        <v>@chetanbhakkad</v>
      </c>
      <c r="C2939" s="21" t="s">
        <v>6977</v>
      </c>
      <c r="D2939" s="21" t="s">
        <v>42</v>
      </c>
      <c r="E2939" s="22" t="str">
        <f>HYPERLINK("https://twitter.com/chetanbhakkad/status/922426306410831872","922426306410831872")</f>
        <v>922426306410831872</v>
      </c>
      <c r="F2939" s="23" t="s">
        <v>39</v>
      </c>
      <c r="G2939" s="24">
        <v>145.0</v>
      </c>
      <c r="H2939" s="24">
        <v>121.0</v>
      </c>
      <c r="I2939" s="24">
        <v>8501.0</v>
      </c>
      <c r="J2939" s="24">
        <v>0.0</v>
      </c>
      <c r="K2939" s="23" t="s">
        <v>34</v>
      </c>
      <c r="L2939" s="25">
        <v>40017.13940972222</v>
      </c>
      <c r="M2939" s="26" t="s">
        <v>6978</v>
      </c>
      <c r="N2939" s="26" t="s">
        <v>6979</v>
      </c>
      <c r="O2939" s="22" t="str">
        <f>HYPERLINK("https://pbs.twimg.com/profile_images/506362499130605568/8fNwskva_normal.jpeg","View")</f>
        <v>View</v>
      </c>
      <c r="P2939" s="27"/>
    </row>
    <row r="2940">
      <c r="A2940" s="14">
        <v>43031.19159722222</v>
      </c>
      <c r="B2940" s="20" t="str">
        <f>HYPERLINK("https://twitter.com/vivaaryan","@vivaaryan")</f>
        <v>@vivaaryan</v>
      </c>
      <c r="C2940" s="21" t="s">
        <v>6980</v>
      </c>
      <c r="D2940" s="21" t="s">
        <v>42</v>
      </c>
      <c r="E2940" s="22" t="str">
        <f>HYPERLINK("https://twitter.com/vivaaryan/status/922426348903194624","922426348903194624")</f>
        <v>922426348903194624</v>
      </c>
      <c r="F2940" s="23" t="s">
        <v>39</v>
      </c>
      <c r="G2940" s="24">
        <v>18.0</v>
      </c>
      <c r="H2940" s="24">
        <v>76.0</v>
      </c>
      <c r="I2940" s="24">
        <v>8501.0</v>
      </c>
      <c r="J2940" s="24">
        <v>0.0</v>
      </c>
      <c r="K2940" s="23" t="s">
        <v>34</v>
      </c>
      <c r="L2940" s="25">
        <v>41786.185636574075</v>
      </c>
      <c r="M2940" s="28"/>
      <c r="N2940" s="28"/>
      <c r="O2940" s="22" t="str">
        <f>HYPERLINK("https://pbs.twimg.com/profile_images/471251405567557632/NOJ-nNuX_normal.jpeg","View")</f>
        <v>View</v>
      </c>
      <c r="P2940" s="27"/>
    </row>
    <row r="2941">
      <c r="A2941" s="14">
        <v>43031.191608796296</v>
      </c>
      <c r="B2941" s="20" t="str">
        <f>HYPERLINK("https://twitter.com/HuffPost","@HuffPost")</f>
        <v>@HuffPost</v>
      </c>
      <c r="C2941" s="21" t="s">
        <v>6981</v>
      </c>
      <c r="D2941" s="21" t="s">
        <v>6982</v>
      </c>
      <c r="E2941" s="22" t="str">
        <f>HYPERLINK("https://twitter.com/HuffPost/status/922426354863308800","922426354863308800")</f>
        <v>922426354863308800</v>
      </c>
      <c r="F2941" s="23" t="s">
        <v>1103</v>
      </c>
      <c r="G2941" s="24">
        <v>1.0994393E7</v>
      </c>
      <c r="H2941" s="24">
        <v>5706.0</v>
      </c>
      <c r="I2941" s="24">
        <v>22.0</v>
      </c>
      <c r="J2941" s="24">
        <v>37.0</v>
      </c>
      <c r="K2941" s="23" t="s">
        <v>34</v>
      </c>
      <c r="L2941" s="25">
        <v>39562.296851851854</v>
      </c>
      <c r="M2941" s="28"/>
      <c r="N2941" s="26" t="s">
        <v>6983</v>
      </c>
      <c r="O2941" s="22" t="str">
        <f>HYPERLINK("https://pbs.twimg.com/profile_images/875366648093577217/DPjc49xK_normal.jpg","View")</f>
        <v>View</v>
      </c>
      <c r="P2941" s="27"/>
    </row>
    <row r="2942">
      <c r="A2942" s="14">
        <v>43031.19164351852</v>
      </c>
      <c r="B2942" s="20" t="str">
        <f>HYPERLINK("https://twitter.com/Ravijhorarymca","@Ravijhorarymca")</f>
        <v>@Ravijhorarymca</v>
      </c>
      <c r="C2942" s="21" t="s">
        <v>6984</v>
      </c>
      <c r="D2942" s="21" t="s">
        <v>42</v>
      </c>
      <c r="E2942" s="22" t="str">
        <f>HYPERLINK("https://twitter.com/Ravijhorarymca/status/922426369438445568","922426369438445568")</f>
        <v>922426369438445568</v>
      </c>
      <c r="F2942" s="23" t="s">
        <v>33</v>
      </c>
      <c r="G2942" s="24">
        <v>16.0</v>
      </c>
      <c r="H2942" s="24">
        <v>26.0</v>
      </c>
      <c r="I2942" s="24">
        <v>8501.0</v>
      </c>
      <c r="J2942" s="24">
        <v>0.0</v>
      </c>
      <c r="K2942" s="23" t="s">
        <v>34</v>
      </c>
      <c r="L2942" s="25">
        <v>42569.86510416667</v>
      </c>
      <c r="M2942" s="28"/>
      <c r="N2942" s="28"/>
      <c r="O2942" s="22" t="str">
        <f>HYPERLINK("https://pbs.twimg.com/profile_images/821340901284999169/gAadsuDp_normal.jpg","View")</f>
        <v>View</v>
      </c>
      <c r="P2942" s="27"/>
    </row>
    <row r="2943">
      <c r="A2943" s="14">
        <v>43031.19168981482</v>
      </c>
      <c r="B2943" s="20" t="str">
        <f>HYPERLINK("https://twitter.com/ashishmpbjp","@ashishmpbjp")</f>
        <v>@ashishmpbjp</v>
      </c>
      <c r="C2943" s="21" t="s">
        <v>6985</v>
      </c>
      <c r="D2943" s="21" t="s">
        <v>42</v>
      </c>
      <c r="E2943" s="22" t="str">
        <f>HYPERLINK("https://twitter.com/ashishmpbjp/status/922426383720071169","922426383720071169")</f>
        <v>922426383720071169</v>
      </c>
      <c r="F2943" s="23" t="s">
        <v>33</v>
      </c>
      <c r="G2943" s="24">
        <v>10649.0</v>
      </c>
      <c r="H2943" s="24">
        <v>1196.0</v>
      </c>
      <c r="I2943" s="24">
        <v>8501.0</v>
      </c>
      <c r="J2943" s="24">
        <v>0.0</v>
      </c>
      <c r="K2943" s="23" t="s">
        <v>34</v>
      </c>
      <c r="L2943" s="25">
        <v>42057.29341435185</v>
      </c>
      <c r="M2943" s="26" t="s">
        <v>6986</v>
      </c>
      <c r="N2943" s="26" t="s">
        <v>6987</v>
      </c>
      <c r="O2943" s="22" t="str">
        <f>HYPERLINK("https://pbs.twimg.com/profile_images/887362392103026689/vC6GB16s_normal.jpg","View")</f>
        <v>View</v>
      </c>
      <c r="P2943" s="27"/>
    </row>
    <row r="2944">
      <c r="A2944" s="14">
        <v>43031.19185185185</v>
      </c>
      <c r="B2944" s="20" t="str">
        <f>HYPERLINK("https://twitter.com/molester66","@molester66")</f>
        <v>@molester66</v>
      </c>
      <c r="C2944" s="21" t="s">
        <v>6988</v>
      </c>
      <c r="D2944" s="21" t="s">
        <v>6917</v>
      </c>
      <c r="E2944" s="22" t="str">
        <f>HYPERLINK("https://twitter.com/molester66/status/922426444852224001","922426444852224001")</f>
        <v>922426444852224001</v>
      </c>
      <c r="F2944" s="23" t="s">
        <v>769</v>
      </c>
      <c r="G2944" s="24">
        <v>958.0</v>
      </c>
      <c r="H2944" s="24">
        <v>4589.0</v>
      </c>
      <c r="I2944" s="24">
        <v>8.0</v>
      </c>
      <c r="J2944" s="24">
        <v>0.0</v>
      </c>
      <c r="K2944" s="23" t="s">
        <v>34</v>
      </c>
      <c r="L2944" s="25">
        <v>40907.000868055555</v>
      </c>
      <c r="M2944" s="26" t="s">
        <v>4198</v>
      </c>
      <c r="N2944" s="26" t="s">
        <v>6989</v>
      </c>
      <c r="O2944" s="22" t="str">
        <f>HYPERLINK("https://pbs.twimg.com/profile_images/3336447398/71528605320e9dc3a0db438af26bac4f_normal.jpeg","View")</f>
        <v>View</v>
      </c>
      <c r="P2944" s="27"/>
    </row>
    <row r="2945">
      <c r="A2945" s="14">
        <v>43031.191875000004</v>
      </c>
      <c r="B2945" s="20" t="str">
        <f>HYPERLINK("https://twitter.com/ElleninAnger","@ElleninAnger")</f>
        <v>@ElleninAnger</v>
      </c>
      <c r="C2945" s="21" t="s">
        <v>6990</v>
      </c>
      <c r="D2945" s="21" t="s">
        <v>6991</v>
      </c>
      <c r="E2945" s="22" t="str">
        <f>HYPERLINK("https://twitter.com/ElleninAnger/status/922426449495289860","922426449495289860")</f>
        <v>922426449495289860</v>
      </c>
      <c r="F2945" s="23" t="s">
        <v>769</v>
      </c>
      <c r="G2945" s="24">
        <v>2096.0</v>
      </c>
      <c r="H2945" s="24">
        <v>1702.0</v>
      </c>
      <c r="I2945" s="24">
        <v>22.0</v>
      </c>
      <c r="J2945" s="24">
        <v>0.0</v>
      </c>
      <c r="K2945" s="23" t="s">
        <v>34</v>
      </c>
      <c r="L2945" s="25">
        <v>40162.564930555556</v>
      </c>
      <c r="M2945" s="28"/>
      <c r="N2945" s="26" t="s">
        <v>6992</v>
      </c>
      <c r="O2945" s="22" t="str">
        <f>HYPERLINK("https://pbs.twimg.com/profile_images/916828660732219392/YIzpLWGM_normal.jpg","View")</f>
        <v>View</v>
      </c>
      <c r="P2945" s="27"/>
    </row>
    <row r="2946">
      <c r="A2946" s="14">
        <v>43031.19190972223</v>
      </c>
      <c r="B2946" s="20" t="str">
        <f>HYPERLINK("https://twitter.com/2mstephane","@2mstephane")</f>
        <v>@2mstephane</v>
      </c>
      <c r="C2946" s="21" t="s">
        <v>6993</v>
      </c>
      <c r="D2946" s="21" t="s">
        <v>6670</v>
      </c>
      <c r="E2946" s="22" t="str">
        <f>HYPERLINK("https://twitter.com/2mstephane/status/922426464452202496","922426464452202496")</f>
        <v>922426464452202496</v>
      </c>
      <c r="F2946" s="23" t="s">
        <v>33</v>
      </c>
      <c r="G2946" s="24">
        <v>5361.0</v>
      </c>
      <c r="H2946" s="24">
        <v>878.0</v>
      </c>
      <c r="I2946" s="24">
        <v>18.0</v>
      </c>
      <c r="J2946" s="24">
        <v>0.0</v>
      </c>
      <c r="K2946" s="23" t="s">
        <v>34</v>
      </c>
      <c r="L2946" s="25">
        <v>41598.24133101852</v>
      </c>
      <c r="M2946" s="26" t="s">
        <v>6994</v>
      </c>
      <c r="N2946" s="26" t="s">
        <v>6995</v>
      </c>
      <c r="O2946" s="22" t="str">
        <f>HYPERLINK("https://pbs.twimg.com/profile_images/856682876074696704/IQiE5wpB_normal.jpg","View")</f>
        <v>View</v>
      </c>
      <c r="P2946" s="27"/>
    </row>
    <row r="2947">
      <c r="A2947" s="14">
        <v>43031.19199074074</v>
      </c>
      <c r="B2947" s="20" t="str">
        <f>HYPERLINK("https://twitter.com/DasSufal","@DasSufal")</f>
        <v>@DasSufal</v>
      </c>
      <c r="C2947" s="21" t="s">
        <v>6996</v>
      </c>
      <c r="D2947" s="21" t="s">
        <v>42</v>
      </c>
      <c r="E2947" s="22" t="str">
        <f>HYPERLINK("https://twitter.com/DasSufal/status/922426492302139392","922426492302139392")</f>
        <v>922426492302139392</v>
      </c>
      <c r="F2947" s="23" t="s">
        <v>33</v>
      </c>
      <c r="G2947" s="24">
        <v>1342.0</v>
      </c>
      <c r="H2947" s="24">
        <v>1271.0</v>
      </c>
      <c r="I2947" s="24">
        <v>8501.0</v>
      </c>
      <c r="J2947" s="24">
        <v>0.0</v>
      </c>
      <c r="K2947" s="23" t="s">
        <v>34</v>
      </c>
      <c r="L2947" s="25">
        <v>41036.430497685185</v>
      </c>
      <c r="M2947" s="26" t="s">
        <v>575</v>
      </c>
      <c r="N2947" s="26" t="s">
        <v>6997</v>
      </c>
      <c r="O2947" s="22" t="str">
        <f>HYPERLINK("https://pbs.twimg.com/profile_images/921096983225315328/0kBv-bIQ_normal.jpg","View")</f>
        <v>View</v>
      </c>
      <c r="P2947" s="27"/>
    </row>
    <row r="2948">
      <c r="A2948" s="14">
        <v>43031.19199074074</v>
      </c>
      <c r="B2948" s="20" t="str">
        <f>HYPERLINK("https://twitter.com/MukeshKN","@MukeshKN")</f>
        <v>@MukeshKN</v>
      </c>
      <c r="C2948" s="21" t="s">
        <v>6998</v>
      </c>
      <c r="D2948" s="21" t="s">
        <v>42</v>
      </c>
      <c r="E2948" s="22" t="str">
        <f>HYPERLINK("https://twitter.com/MukeshKN/status/922426493589970944","922426493589970944")</f>
        <v>922426493589970944</v>
      </c>
      <c r="F2948" s="23" t="s">
        <v>33</v>
      </c>
      <c r="G2948" s="24">
        <v>283.0</v>
      </c>
      <c r="H2948" s="24">
        <v>346.0</v>
      </c>
      <c r="I2948" s="24">
        <v>8501.0</v>
      </c>
      <c r="J2948" s="24">
        <v>0.0</v>
      </c>
      <c r="K2948" s="23" t="s">
        <v>34</v>
      </c>
      <c r="L2948" s="25">
        <v>39921.342939814815</v>
      </c>
      <c r="M2948" s="26" t="s">
        <v>6999</v>
      </c>
      <c r="N2948" s="26" t="s">
        <v>7000</v>
      </c>
      <c r="O2948" s="22" t="str">
        <f>HYPERLINK("https://pbs.twimg.com/profile_images/500888254921457666/gCMajP7d_normal.jpeg","View")</f>
        <v>View</v>
      </c>
      <c r="P2948" s="27"/>
    </row>
    <row r="2949">
      <c r="A2949" s="14">
        <v>43031.19206018519</v>
      </c>
      <c r="B2949" s="20" t="str">
        <f>HYPERLINK("https://twitter.com/iam_dodiya","@iam_dodiya")</f>
        <v>@iam_dodiya</v>
      </c>
      <c r="C2949" s="21" t="s">
        <v>7001</v>
      </c>
      <c r="D2949" s="21" t="s">
        <v>42</v>
      </c>
      <c r="E2949" s="22" t="str">
        <f>HYPERLINK("https://twitter.com/iam_dodiya/status/922426516759126016","922426516759126016")</f>
        <v>922426516759126016</v>
      </c>
      <c r="F2949" s="23" t="s">
        <v>33</v>
      </c>
      <c r="G2949" s="24">
        <v>157.0</v>
      </c>
      <c r="H2949" s="24">
        <v>1162.0</v>
      </c>
      <c r="I2949" s="24">
        <v>8501.0</v>
      </c>
      <c r="J2949" s="24">
        <v>0.0</v>
      </c>
      <c r="K2949" s="23" t="s">
        <v>34</v>
      </c>
      <c r="L2949" s="25">
        <v>42253.237708333334</v>
      </c>
      <c r="M2949" s="26" t="s">
        <v>2739</v>
      </c>
      <c r="N2949" s="26" t="s">
        <v>7002</v>
      </c>
      <c r="O2949" s="22" t="str">
        <f>HYPERLINK("https://pbs.twimg.com/profile_images/910906707357794304/vgf7Jwl6_normal.jpg","View")</f>
        <v>View</v>
      </c>
      <c r="P2949" s="27"/>
    </row>
    <row r="2950">
      <c r="A2950" s="14">
        <v>43031.19208333333</v>
      </c>
      <c r="B2950" s="20" t="str">
        <f>HYPERLINK("https://twitter.com/Cindy_52s","@Cindy_52s")</f>
        <v>@Cindy_52s</v>
      </c>
      <c r="C2950" s="21" t="s">
        <v>7003</v>
      </c>
      <c r="D2950" s="21" t="s">
        <v>7004</v>
      </c>
      <c r="E2950" s="22" t="str">
        <f>HYPERLINK("https://twitter.com/Cindy_52s/status/922426527748378625","922426527748378625")</f>
        <v>922426527748378625</v>
      </c>
      <c r="F2950" s="23" t="s">
        <v>39</v>
      </c>
      <c r="G2950" s="24">
        <v>762.0</v>
      </c>
      <c r="H2950" s="24">
        <v>595.0</v>
      </c>
      <c r="I2950" s="24">
        <v>1.0</v>
      </c>
      <c r="J2950" s="24">
        <v>0.0</v>
      </c>
      <c r="K2950" s="23" t="s">
        <v>34</v>
      </c>
      <c r="L2950" s="25">
        <v>42596.64016203704</v>
      </c>
      <c r="M2950" s="26" t="s">
        <v>68</v>
      </c>
      <c r="N2950" s="28"/>
      <c r="O2950" s="22" t="str">
        <f>HYPERLINK("https://abs.twimg.com/sticky/default_profile_images/default_profile_normal.png","View")</f>
        <v>View</v>
      </c>
      <c r="P2950" s="27"/>
    </row>
    <row r="2951">
      <c r="A2951" s="14">
        <v>43031.19208333333</v>
      </c>
      <c r="B2951" s="20" t="str">
        <f>HYPERLINK("https://twitter.com/YourAnonRevolt","@YourAnonRevolt")</f>
        <v>@YourAnonRevolt</v>
      </c>
      <c r="C2951" s="21" t="s">
        <v>7005</v>
      </c>
      <c r="D2951" s="21" t="s">
        <v>7006</v>
      </c>
      <c r="E2951" s="22" t="str">
        <f>HYPERLINK("https://twitter.com/YourAnonRevolt/status/922426527932809217","922426527932809217")</f>
        <v>922426527932809217</v>
      </c>
      <c r="F2951" s="23" t="s">
        <v>55</v>
      </c>
      <c r="G2951" s="24">
        <v>11008.0</v>
      </c>
      <c r="H2951" s="24">
        <v>4104.0</v>
      </c>
      <c r="I2951" s="24">
        <v>1.0</v>
      </c>
      <c r="J2951" s="24">
        <v>0.0</v>
      </c>
      <c r="K2951" s="23" t="s">
        <v>34</v>
      </c>
      <c r="L2951" s="25">
        <v>42478.10021990741</v>
      </c>
      <c r="M2951" s="26" t="s">
        <v>7007</v>
      </c>
      <c r="N2951" s="26" t="s">
        <v>7008</v>
      </c>
      <c r="O2951" s="22" t="str">
        <f>HYPERLINK("https://pbs.twimg.com/profile_images/881398153030713344/FN9uhI_M_normal.jpg","View")</f>
        <v>View</v>
      </c>
      <c r="P2951" s="27"/>
    </row>
    <row r="2952">
      <c r="A2952" s="14">
        <v>43031.192129629635</v>
      </c>
      <c r="B2952" s="20" t="str">
        <f>HYPERLINK("https://twitter.com/GudduDubey16","@GudduDubey16")</f>
        <v>@GudduDubey16</v>
      </c>
      <c r="C2952" s="21" t="s">
        <v>7009</v>
      </c>
      <c r="D2952" s="21" t="s">
        <v>42</v>
      </c>
      <c r="E2952" s="22" t="str">
        <f>HYPERLINK("https://twitter.com/GudduDubey16/status/922426545280393216","922426545280393216")</f>
        <v>922426545280393216</v>
      </c>
      <c r="F2952" s="23" t="s">
        <v>33</v>
      </c>
      <c r="G2952" s="24">
        <v>69.0</v>
      </c>
      <c r="H2952" s="24">
        <v>144.0</v>
      </c>
      <c r="I2952" s="24">
        <v>8501.0</v>
      </c>
      <c r="J2952" s="24">
        <v>0.0</v>
      </c>
      <c r="K2952" s="23" t="s">
        <v>34</v>
      </c>
      <c r="L2952" s="25">
        <v>42726.26300925926</v>
      </c>
      <c r="M2952" s="26" t="s">
        <v>2335</v>
      </c>
      <c r="N2952" s="26" t="s">
        <v>7010</v>
      </c>
      <c r="O2952" s="22" t="str">
        <f>HYPERLINK("https://pbs.twimg.com/profile_images/884953476052156416/-4OzoLL2_normal.jpg","View")</f>
        <v>View</v>
      </c>
      <c r="P2952" s="27"/>
    </row>
    <row r="2953">
      <c r="A2953" s="14">
        <v>43031.192141203705</v>
      </c>
      <c r="B2953" s="20" t="str">
        <f>HYPERLINK("https://twitter.com/BajiraoWarrior","@BajiraoWarrior")</f>
        <v>@BajiraoWarrior</v>
      </c>
      <c r="C2953" s="21" t="s">
        <v>815</v>
      </c>
      <c r="D2953" s="21" t="s">
        <v>42</v>
      </c>
      <c r="E2953" s="22" t="str">
        <f>HYPERLINK("https://twitter.com/BajiraoWarrior/status/922426547859886080","922426547859886080")</f>
        <v>922426547859886080</v>
      </c>
      <c r="F2953" s="23" t="s">
        <v>33</v>
      </c>
      <c r="G2953" s="24">
        <v>58.0</v>
      </c>
      <c r="H2953" s="24">
        <v>92.0</v>
      </c>
      <c r="I2953" s="24">
        <v>8501.0</v>
      </c>
      <c r="J2953" s="24">
        <v>0.0</v>
      </c>
      <c r="K2953" s="23" t="s">
        <v>34</v>
      </c>
      <c r="L2953" s="25">
        <v>42372.46612268519</v>
      </c>
      <c r="M2953" s="26" t="s">
        <v>68</v>
      </c>
      <c r="N2953" s="26" t="s">
        <v>7011</v>
      </c>
      <c r="O2953" s="22" t="str">
        <f>HYPERLINK("https://pbs.twimg.com/profile_images/685377727063396352/fuj-ImDr_normal.jpg","View")</f>
        <v>View</v>
      </c>
      <c r="P2953" s="27"/>
    </row>
    <row r="2954">
      <c r="A2954" s="14">
        <v>43031.19226851852</v>
      </c>
      <c r="B2954" s="20" t="str">
        <f>HYPERLINK("https://twitter.com/shrikant_padhy","@shrikant_padhy")</f>
        <v>@shrikant_padhy</v>
      </c>
      <c r="C2954" s="21" t="s">
        <v>7012</v>
      </c>
      <c r="D2954" s="21" t="s">
        <v>42</v>
      </c>
      <c r="E2954" s="22" t="str">
        <f>HYPERLINK("https://twitter.com/shrikant_padhy/status/922426595649863680","922426595649863680")</f>
        <v>922426595649863680</v>
      </c>
      <c r="F2954" s="23" t="s">
        <v>33</v>
      </c>
      <c r="G2954" s="24">
        <v>175.0</v>
      </c>
      <c r="H2954" s="24">
        <v>207.0</v>
      </c>
      <c r="I2954" s="24">
        <v>8501.0</v>
      </c>
      <c r="J2954" s="24">
        <v>0.0</v>
      </c>
      <c r="K2954" s="23" t="s">
        <v>34</v>
      </c>
      <c r="L2954" s="25">
        <v>42186.96476851852</v>
      </c>
      <c r="M2954" s="28"/>
      <c r="N2954" s="26" t="s">
        <v>7013</v>
      </c>
      <c r="O2954" s="22" t="str">
        <f>HYPERLINK("https://pbs.twimg.com/profile_images/719966237611073537/99Jl6sUE_normal.jpg","View")</f>
        <v>View</v>
      </c>
      <c r="P2954" s="27"/>
    </row>
    <row r="2955">
      <c r="A2955" s="14">
        <v>43031.19231481482</v>
      </c>
      <c r="B2955" s="20" t="str">
        <f>HYPERLINK("https://twitter.com/BenC981","@BenC981")</f>
        <v>@BenC981</v>
      </c>
      <c r="C2955" s="21" t="s">
        <v>7014</v>
      </c>
      <c r="D2955" s="21" t="s">
        <v>6403</v>
      </c>
      <c r="E2955" s="22" t="str">
        <f>HYPERLINK("https://twitter.com/BenC981/status/922426612674592768","922426612674592768")</f>
        <v>922426612674592768</v>
      </c>
      <c r="F2955" s="23" t="s">
        <v>55</v>
      </c>
      <c r="G2955" s="24">
        <v>32.0</v>
      </c>
      <c r="H2955" s="24">
        <v>237.0</v>
      </c>
      <c r="I2955" s="24">
        <v>97.0</v>
      </c>
      <c r="J2955" s="24">
        <v>0.0</v>
      </c>
      <c r="K2955" s="23" t="s">
        <v>34</v>
      </c>
      <c r="L2955" s="25">
        <v>42724.012337962966</v>
      </c>
      <c r="M2955" s="26" t="s">
        <v>40</v>
      </c>
      <c r="N2955" s="26" t="s">
        <v>7015</v>
      </c>
      <c r="O2955" s="22" t="str">
        <f>HYPERLINK("https://pbs.twimg.com/profile_images/879393724551266304/lo-HM1jr_normal.jpg","View")</f>
        <v>View</v>
      </c>
      <c r="P2955" s="27"/>
    </row>
    <row r="2956">
      <c r="A2956" s="14">
        <v>43031.19232638889</v>
      </c>
      <c r="B2956" s="20" t="str">
        <f>HYPERLINK("https://twitter.com/Sandeep97658427","@Sandeep97658427")</f>
        <v>@Sandeep97658427</v>
      </c>
      <c r="C2956" s="21" t="s">
        <v>7016</v>
      </c>
      <c r="D2956" s="21" t="s">
        <v>42</v>
      </c>
      <c r="E2956" s="22" t="str">
        <f>HYPERLINK("https://twitter.com/Sandeep97658427/status/922426616206180353","922426616206180353")</f>
        <v>922426616206180353</v>
      </c>
      <c r="F2956" s="23" t="s">
        <v>33</v>
      </c>
      <c r="G2956" s="24">
        <v>14.0</v>
      </c>
      <c r="H2956" s="24">
        <v>94.0</v>
      </c>
      <c r="I2956" s="24">
        <v>8501.0</v>
      </c>
      <c r="J2956" s="24">
        <v>0.0</v>
      </c>
      <c r="K2956" s="23" t="s">
        <v>34</v>
      </c>
      <c r="L2956" s="25">
        <v>43011.84594907408</v>
      </c>
      <c r="M2956" s="26" t="s">
        <v>2189</v>
      </c>
      <c r="N2956" s="26" t="s">
        <v>7017</v>
      </c>
      <c r="O2956" s="22" t="str">
        <f>HYPERLINK("https://pbs.twimg.com/profile_images/919906254327136258/c8kGWHVa_normal.jpg","View")</f>
        <v>View</v>
      </c>
      <c r="P2956" s="27"/>
    </row>
    <row r="2957">
      <c r="A2957" s="14">
        <v>43031.192407407405</v>
      </c>
      <c r="B2957" s="20" t="str">
        <f>HYPERLINK("https://twitter.com/billm9","@billm9")</f>
        <v>@billm9</v>
      </c>
      <c r="C2957" s="21" t="s">
        <v>7018</v>
      </c>
      <c r="D2957" s="21" t="s">
        <v>7019</v>
      </c>
      <c r="E2957" s="22" t="str">
        <f>HYPERLINK("https://twitter.com/billm9/status/922426642223501312","922426642223501312")</f>
        <v>922426642223501312</v>
      </c>
      <c r="F2957" s="23" t="s">
        <v>39</v>
      </c>
      <c r="G2957" s="24">
        <v>2478.0</v>
      </c>
      <c r="H2957" s="24">
        <v>4950.0</v>
      </c>
      <c r="I2957" s="24">
        <v>0.0</v>
      </c>
      <c r="J2957" s="24">
        <v>0.0</v>
      </c>
      <c r="K2957" s="23" t="s">
        <v>34</v>
      </c>
      <c r="L2957" s="25">
        <v>39894.764872685184</v>
      </c>
      <c r="M2957" s="26" t="s">
        <v>3238</v>
      </c>
      <c r="N2957" s="26" t="s">
        <v>7020</v>
      </c>
      <c r="O2957" s="22" t="str">
        <f>HYPERLINK("https://pbs.twimg.com/profile_images/873885401517314048/aVmJMqhf_normal.jpg","View")</f>
        <v>View</v>
      </c>
      <c r="P2957" s="27"/>
    </row>
    <row r="2958">
      <c r="A2958" s="14">
        <v>43031.19243055556</v>
      </c>
      <c r="B2958" s="20" t="str">
        <f t="shared" ref="B2958:B2959" si="49">HYPERLINK("https://twitter.com/OHANA_MARU_GO","@OHANA_MARU_GO")</f>
        <v>@OHANA_MARU_GO</v>
      </c>
      <c r="C2958" s="21" t="s">
        <v>7021</v>
      </c>
      <c r="D2958" s="21" t="s">
        <v>7022</v>
      </c>
      <c r="E2958" s="22" t="str">
        <f>HYPERLINK("https://twitter.com/OHANA_MARU_GO/status/922426651388002305","922426651388002305")</f>
        <v>922426651388002305</v>
      </c>
      <c r="F2958" s="23" t="s">
        <v>39</v>
      </c>
      <c r="G2958" s="24">
        <v>3866.0</v>
      </c>
      <c r="H2958" s="24">
        <v>4942.0</v>
      </c>
      <c r="I2958" s="24">
        <v>37.0</v>
      </c>
      <c r="J2958" s="24">
        <v>0.0</v>
      </c>
      <c r="K2958" s="23" t="s">
        <v>34</v>
      </c>
      <c r="L2958" s="25">
        <v>40857.25702546296</v>
      </c>
      <c r="M2958" s="28"/>
      <c r="N2958" s="26" t="s">
        <v>7023</v>
      </c>
      <c r="O2958" s="22" t="str">
        <f t="shared" ref="O2958:O2959" si="50">HYPERLINK("https://pbs.twimg.com/profile_images/864299325421109248/Wo8l6hS2_normal.jpg","View")</f>
        <v>View</v>
      </c>
      <c r="P2958" s="27"/>
    </row>
    <row r="2959">
      <c r="A2959" s="14">
        <v>43031.192453703705</v>
      </c>
      <c r="B2959" s="20" t="str">
        <f t="shared" si="49"/>
        <v>@OHANA_MARU_GO</v>
      </c>
      <c r="C2959" s="21" t="s">
        <v>7021</v>
      </c>
      <c r="D2959" s="21" t="s">
        <v>740</v>
      </c>
      <c r="E2959" s="22" t="str">
        <f>HYPERLINK("https://twitter.com/OHANA_MARU_GO/status/922426662800596992","922426662800596992")</f>
        <v>922426662800596992</v>
      </c>
      <c r="F2959" s="23" t="s">
        <v>39</v>
      </c>
      <c r="G2959" s="24">
        <v>3866.0</v>
      </c>
      <c r="H2959" s="24">
        <v>4942.0</v>
      </c>
      <c r="I2959" s="24">
        <v>87.0</v>
      </c>
      <c r="J2959" s="24">
        <v>0.0</v>
      </c>
      <c r="K2959" s="23" t="s">
        <v>34</v>
      </c>
      <c r="L2959" s="25">
        <v>40857.25702546296</v>
      </c>
      <c r="M2959" s="28"/>
      <c r="N2959" s="26" t="s">
        <v>7023</v>
      </c>
      <c r="O2959" s="22" t="str">
        <f t="shared" si="50"/>
        <v>View</v>
      </c>
      <c r="P2959" s="27"/>
    </row>
    <row r="2960">
      <c r="A2960" s="14">
        <v>43031.19246527778</v>
      </c>
      <c r="B2960" s="20" t="str">
        <f>HYPERLINK("https://twitter.com/New_Narrative","@New_Narrative")</f>
        <v>@New_Narrative</v>
      </c>
      <c r="C2960" s="21" t="s">
        <v>6409</v>
      </c>
      <c r="D2960" s="21" t="s">
        <v>7024</v>
      </c>
      <c r="E2960" s="22" t="str">
        <f>HYPERLINK("https://twitter.com/New_Narrative/status/922426666906824704","922426666906824704")</f>
        <v>922426666906824704</v>
      </c>
      <c r="F2960" s="23" t="s">
        <v>39</v>
      </c>
      <c r="G2960" s="24">
        <v>6536.0</v>
      </c>
      <c r="H2960" s="24">
        <v>27.0</v>
      </c>
      <c r="I2960" s="24">
        <v>0.0</v>
      </c>
      <c r="J2960" s="24">
        <v>0.0</v>
      </c>
      <c r="K2960" s="23" t="s">
        <v>34</v>
      </c>
      <c r="L2960" s="25">
        <v>40566.38041666667</v>
      </c>
      <c r="M2960" s="26" t="s">
        <v>6411</v>
      </c>
      <c r="N2960" s="26" t="s">
        <v>6412</v>
      </c>
      <c r="O2960" s="22" t="str">
        <f>HYPERLINK("https://pbs.twimg.com/profile_images/1548673665/megaphone-kid-cropped_normal.jpg","View")</f>
        <v>View</v>
      </c>
      <c r="P2960" s="27"/>
    </row>
    <row r="2961">
      <c r="A2961" s="14">
        <v>43031.19248842592</v>
      </c>
      <c r="B2961" s="20" t="str">
        <f>HYPERLINK("https://twitter.com/ChampsGK","@ChampsGK")</f>
        <v>@ChampsGK</v>
      </c>
      <c r="C2961" s="21" t="s">
        <v>7025</v>
      </c>
      <c r="D2961" s="21" t="s">
        <v>7026</v>
      </c>
      <c r="E2961" s="22" t="str">
        <f>HYPERLINK("https://twitter.com/ChampsGK/status/922426672032468992","922426672032468992")</f>
        <v>922426672032468992</v>
      </c>
      <c r="F2961" s="23" t="s">
        <v>187</v>
      </c>
      <c r="G2961" s="24">
        <v>59.0</v>
      </c>
      <c r="H2961" s="24">
        <v>16.0</v>
      </c>
      <c r="I2961" s="24">
        <v>0.0</v>
      </c>
      <c r="J2961" s="24">
        <v>0.0</v>
      </c>
      <c r="K2961" s="23" t="s">
        <v>34</v>
      </c>
      <c r="L2961" s="25">
        <v>42535.503379629634</v>
      </c>
      <c r="M2961" s="28"/>
      <c r="N2961" s="28"/>
      <c r="O2961" s="22" t="str">
        <f>HYPERLINK("https://pbs.twimg.com/profile_images/742819206996107264/iI-yjJ6O_normal.jpg","View")</f>
        <v>View</v>
      </c>
      <c r="P2961" s="27"/>
    </row>
    <row r="2962">
      <c r="A2962" s="14">
        <v>43031.19248842592</v>
      </c>
      <c r="B2962" s="20" t="str">
        <f>HYPERLINK("https://twitter.com/fortunelondonUK","@fortunelondonUK")</f>
        <v>@fortunelondonUK</v>
      </c>
      <c r="C2962" s="21" t="s">
        <v>7027</v>
      </c>
      <c r="D2962" s="21" t="s">
        <v>6403</v>
      </c>
      <c r="E2962" s="22" t="str">
        <f>HYPERLINK("https://twitter.com/fortunelondonUK/status/922426672569356289","922426672569356289")</f>
        <v>922426672569356289</v>
      </c>
      <c r="F2962" s="23" t="s">
        <v>55</v>
      </c>
      <c r="G2962" s="24">
        <v>18.0</v>
      </c>
      <c r="H2962" s="24">
        <v>146.0</v>
      </c>
      <c r="I2962" s="24">
        <v>97.0</v>
      </c>
      <c r="J2962" s="24">
        <v>0.0</v>
      </c>
      <c r="K2962" s="23" t="s">
        <v>34</v>
      </c>
      <c r="L2962" s="25">
        <v>41543.37684027778</v>
      </c>
      <c r="M2962" s="26" t="s">
        <v>40</v>
      </c>
      <c r="N2962" s="26" t="s">
        <v>7028</v>
      </c>
      <c r="O2962" s="22" t="str">
        <f>HYPERLINK("https://pbs.twimg.com/profile_images/922308280629780480/UsLO_2GB_normal.jpg","View")</f>
        <v>View</v>
      </c>
      <c r="P2962" s="27"/>
    </row>
    <row r="2963">
      <c r="A2963" s="14">
        <v>43031.192511574074</v>
      </c>
      <c r="B2963" s="20" t="str">
        <f>HYPERLINK("https://twitter.com/DoyleGlobal","@DoyleGlobal")</f>
        <v>@DoyleGlobal</v>
      </c>
      <c r="C2963" s="21" t="s">
        <v>7029</v>
      </c>
      <c r="D2963" s="21" t="s">
        <v>7030</v>
      </c>
      <c r="E2963" s="22" t="str">
        <f>HYPERLINK("https://twitter.com/DoyleGlobal/status/922426681788207104","922426681788207104")</f>
        <v>922426681788207104</v>
      </c>
      <c r="F2963" s="30" t="s">
        <v>411</v>
      </c>
      <c r="G2963" s="24">
        <v>1218.0</v>
      </c>
      <c r="H2963" s="24">
        <v>1178.0</v>
      </c>
      <c r="I2963" s="24">
        <v>0.0</v>
      </c>
      <c r="J2963" s="24">
        <v>0.0</v>
      </c>
      <c r="K2963" s="23" t="s">
        <v>34</v>
      </c>
      <c r="L2963" s="25">
        <v>41181.17196759259</v>
      </c>
      <c r="M2963" s="26" t="s">
        <v>7031</v>
      </c>
      <c r="N2963" s="26" t="s">
        <v>7032</v>
      </c>
      <c r="O2963" s="22" t="str">
        <f>HYPERLINK("https://pbs.twimg.com/profile_images/920593704863260672/e1CYlHnn_normal.jpg","View")</f>
        <v>View</v>
      </c>
      <c r="P2963" s="27"/>
    </row>
    <row r="2964">
      <c r="A2964" s="14">
        <v>43031.19253472222</v>
      </c>
      <c r="B2964" s="20" t="str">
        <f>HYPERLINK("https://twitter.com/3NovicesJapan","@3NovicesJapan")</f>
        <v>@3NovicesJapan</v>
      </c>
      <c r="C2964" s="21" t="s">
        <v>3518</v>
      </c>
      <c r="D2964" s="21" t="s">
        <v>7033</v>
      </c>
      <c r="E2964" s="22" t="str">
        <f>HYPERLINK("https://twitter.com/3NovicesJapan/status/922426691628265472","922426691628265472")</f>
        <v>922426691628265472</v>
      </c>
      <c r="F2964" s="23" t="s">
        <v>187</v>
      </c>
      <c r="G2964" s="24">
        <v>322.0</v>
      </c>
      <c r="H2964" s="24">
        <v>424.0</v>
      </c>
      <c r="I2964" s="24">
        <v>0.0</v>
      </c>
      <c r="J2964" s="24">
        <v>0.0</v>
      </c>
      <c r="K2964" s="23" t="s">
        <v>34</v>
      </c>
      <c r="L2964" s="25">
        <v>42040.90976851852</v>
      </c>
      <c r="M2964" s="26" t="s">
        <v>3520</v>
      </c>
      <c r="N2964" s="26" t="s">
        <v>3521</v>
      </c>
      <c r="O2964" s="22" t="str">
        <f>HYPERLINK("https://pbs.twimg.com/profile_images/563575884653682688/aSGn7bqz_normal.jpeg","View")</f>
        <v>View</v>
      </c>
      <c r="P2964" s="27"/>
    </row>
    <row r="2965">
      <c r="A2965" s="14">
        <v>43031.19256944444</v>
      </c>
      <c r="B2965" s="20" t="str">
        <f>HYPERLINK("https://twitter.com/unseen_wall","@unseen_wall")</f>
        <v>@unseen_wall</v>
      </c>
      <c r="C2965" s="21" t="s">
        <v>1088</v>
      </c>
      <c r="D2965" s="21" t="s">
        <v>5786</v>
      </c>
      <c r="E2965" s="22" t="str">
        <f>HYPERLINK("https://twitter.com/unseen_wall/status/922426702160003072","922426702160003072")</f>
        <v>922426702160003072</v>
      </c>
      <c r="F2965" s="23" t="s">
        <v>55</v>
      </c>
      <c r="G2965" s="24">
        <v>255.0</v>
      </c>
      <c r="H2965" s="24">
        <v>285.0</v>
      </c>
      <c r="I2965" s="24">
        <v>59.0</v>
      </c>
      <c r="J2965" s="24">
        <v>0.0</v>
      </c>
      <c r="K2965" s="23" t="s">
        <v>34</v>
      </c>
      <c r="L2965" s="25">
        <v>40403.773935185185</v>
      </c>
      <c r="M2965" s="26" t="s">
        <v>1089</v>
      </c>
      <c r="N2965" s="26" t="s">
        <v>1090</v>
      </c>
      <c r="O2965" s="22" t="str">
        <f>HYPERLINK("https://pbs.twimg.com/profile_images/1215883961/______normal.jpg","View")</f>
        <v>View</v>
      </c>
      <c r="P2965" s="27"/>
    </row>
    <row r="2966">
      <c r="A2966" s="14">
        <v>43031.19259259259</v>
      </c>
      <c r="B2966" s="20" t="str">
        <f>HYPERLINK("https://twitter.com/TheBFRoom","@TheBFRoom")</f>
        <v>@TheBFRoom</v>
      </c>
      <c r="C2966" s="21" t="s">
        <v>943</v>
      </c>
      <c r="D2966" s="21" t="s">
        <v>7034</v>
      </c>
      <c r="E2966" s="22" t="str">
        <f>HYPERLINK("https://twitter.com/TheBFRoom/status/922426710192205829","922426710192205829")</f>
        <v>922426710192205829</v>
      </c>
      <c r="F2966" s="23" t="s">
        <v>187</v>
      </c>
      <c r="G2966" s="24">
        <v>3193.0</v>
      </c>
      <c r="H2966" s="24">
        <v>3873.0</v>
      </c>
      <c r="I2966" s="24">
        <v>0.0</v>
      </c>
      <c r="J2966" s="24">
        <v>0.0</v>
      </c>
      <c r="K2966" s="23" t="s">
        <v>34</v>
      </c>
      <c r="L2966" s="25">
        <v>42761.325162037036</v>
      </c>
      <c r="M2966" s="26" t="s">
        <v>68</v>
      </c>
      <c r="N2966" s="26" t="s">
        <v>945</v>
      </c>
      <c r="O2966" s="22" t="str">
        <f>HYPERLINK("https://pbs.twimg.com/profile_images/898379268778020864/0u1zlj_B_normal.jpg","View")</f>
        <v>View</v>
      </c>
      <c r="P2966" s="27"/>
    </row>
    <row r="2967">
      <c r="A2967" s="14">
        <v>43031.19269675926</v>
      </c>
      <c r="B2967" s="20" t="str">
        <f>HYPERLINK("https://twitter.com/dinesh_vaishanv","@dinesh_vaishanv")</f>
        <v>@dinesh_vaishanv</v>
      </c>
      <c r="C2967" s="21" t="s">
        <v>7035</v>
      </c>
      <c r="D2967" s="21" t="s">
        <v>42</v>
      </c>
      <c r="E2967" s="22" t="str">
        <f>HYPERLINK("https://twitter.com/dinesh_vaishanv/status/922426747924103169","922426747924103169")</f>
        <v>922426747924103169</v>
      </c>
      <c r="F2967" s="23" t="s">
        <v>33</v>
      </c>
      <c r="G2967" s="24">
        <v>1010.0</v>
      </c>
      <c r="H2967" s="24">
        <v>142.0</v>
      </c>
      <c r="I2967" s="24">
        <v>8501.0</v>
      </c>
      <c r="J2967" s="24">
        <v>0.0</v>
      </c>
      <c r="K2967" s="23" t="s">
        <v>34</v>
      </c>
      <c r="L2967" s="25">
        <v>41467.9541087963</v>
      </c>
      <c r="M2967" s="26" t="s">
        <v>7036</v>
      </c>
      <c r="N2967" s="26" t="s">
        <v>7037</v>
      </c>
      <c r="O2967" s="22" t="str">
        <f>HYPERLINK("https://pbs.twimg.com/profile_images/911868941873455105/h5WgewkR_normal.jpg","View")</f>
        <v>View</v>
      </c>
      <c r="P2967" s="27"/>
    </row>
    <row r="2968">
      <c r="A2968" s="14">
        <v>43031.19278935185</v>
      </c>
      <c r="B2968" s="20" t="str">
        <f>HYPERLINK("https://twitter.com/SAMUELALBERTO36","@SAMUELALBERTO36")</f>
        <v>@SAMUELALBERTO36</v>
      </c>
      <c r="C2968" s="21" t="s">
        <v>7038</v>
      </c>
      <c r="D2968" s="21" t="s">
        <v>6991</v>
      </c>
      <c r="E2968" s="22" t="str">
        <f>HYPERLINK("https://twitter.com/SAMUELALBERTO36/status/922426781361197057","922426781361197057")</f>
        <v>922426781361197057</v>
      </c>
      <c r="F2968" s="23" t="s">
        <v>33</v>
      </c>
      <c r="G2968" s="24">
        <v>5.0</v>
      </c>
      <c r="H2968" s="24">
        <v>68.0</v>
      </c>
      <c r="I2968" s="24">
        <v>22.0</v>
      </c>
      <c r="J2968" s="24">
        <v>0.0</v>
      </c>
      <c r="K2968" s="23" t="s">
        <v>34</v>
      </c>
      <c r="L2968" s="25">
        <v>42846.56358796296</v>
      </c>
      <c r="M2968" s="26" t="s">
        <v>7039</v>
      </c>
      <c r="N2968" s="26" t="s">
        <v>7040</v>
      </c>
      <c r="O2968" s="22" t="str">
        <f>HYPERLINK("https://pbs.twimg.com/profile_images/905691872798154752/jMiN7La6_normal.jpg","View")</f>
        <v>View</v>
      </c>
      <c r="P2968" s="27"/>
    </row>
    <row r="2969">
      <c r="A2969" s="14">
        <v>43031.19283564815</v>
      </c>
      <c r="B2969" s="20" t="str">
        <f>HYPERLINK("https://twitter.com/tammytabby","@tammytabby")</f>
        <v>@tammytabby</v>
      </c>
      <c r="C2969" s="21" t="s">
        <v>7041</v>
      </c>
      <c r="D2969" s="21" t="s">
        <v>7042</v>
      </c>
      <c r="E2969" s="22" t="str">
        <f>HYPERLINK("https://twitter.com/tammytabby/status/922426799312826370","922426799312826370")</f>
        <v>922426799312826370</v>
      </c>
      <c r="F2969" s="23" t="s">
        <v>55</v>
      </c>
      <c r="G2969" s="24">
        <v>7322.0</v>
      </c>
      <c r="H2969" s="24">
        <v>6862.0</v>
      </c>
      <c r="I2969" s="24">
        <v>0.0</v>
      </c>
      <c r="J2969" s="24">
        <v>0.0</v>
      </c>
      <c r="K2969" s="23" t="s">
        <v>34</v>
      </c>
      <c r="L2969" s="25">
        <v>40353.56984953704</v>
      </c>
      <c r="M2969" s="26" t="s">
        <v>7043</v>
      </c>
      <c r="N2969" s="26" t="s">
        <v>7044</v>
      </c>
      <c r="O2969" s="22" t="str">
        <f>HYPERLINK("https://pbs.twimg.com/profile_images/1643777408/dove2_normal.jpg","View")</f>
        <v>View</v>
      </c>
      <c r="P2969" s="27"/>
    </row>
    <row r="2970">
      <c r="A2970" s="14">
        <v>43031.192870370374</v>
      </c>
      <c r="B2970" s="20" t="str">
        <f>HYPERLINK("https://twitter.com/mranonymous1945","@mranonymous1945")</f>
        <v>@mranonymous1945</v>
      </c>
      <c r="C2970" s="21" t="s">
        <v>7045</v>
      </c>
      <c r="D2970" s="21" t="s">
        <v>6991</v>
      </c>
      <c r="E2970" s="22" t="str">
        <f>HYPERLINK("https://twitter.com/mranonymous1945/status/922426812197515269","922426812197515269")</f>
        <v>922426812197515269</v>
      </c>
      <c r="F2970" s="23" t="s">
        <v>39</v>
      </c>
      <c r="G2970" s="24">
        <v>50.0</v>
      </c>
      <c r="H2970" s="24">
        <v>208.0</v>
      </c>
      <c r="I2970" s="24">
        <v>22.0</v>
      </c>
      <c r="J2970" s="24">
        <v>0.0</v>
      </c>
      <c r="K2970" s="23" t="s">
        <v>34</v>
      </c>
      <c r="L2970" s="25">
        <v>41623.94331018518</v>
      </c>
      <c r="M2970" s="26" t="s">
        <v>71</v>
      </c>
      <c r="N2970" s="26" t="s">
        <v>7046</v>
      </c>
      <c r="O2970" s="22" t="str">
        <f>HYPERLINK("https://pbs.twimg.com/profile_images/922993180521390080/xUvsvPjE_normal.jpg","View")</f>
        <v>View</v>
      </c>
      <c r="P2970" s="27"/>
    </row>
    <row r="2971">
      <c r="A2971" s="14">
        <v>43031.19292824074</v>
      </c>
      <c r="B2971" s="20" t="str">
        <f>HYPERLINK("https://twitter.com/SindhalN","@SindhalN")</f>
        <v>@SindhalN</v>
      </c>
      <c r="C2971" s="21" t="s">
        <v>7047</v>
      </c>
      <c r="D2971" s="21" t="s">
        <v>42</v>
      </c>
      <c r="E2971" s="22" t="str">
        <f>HYPERLINK("https://twitter.com/SindhalN/status/922426831973830657","922426831973830657")</f>
        <v>922426831973830657</v>
      </c>
      <c r="F2971" s="23" t="s">
        <v>33</v>
      </c>
      <c r="G2971" s="24">
        <v>6.0</v>
      </c>
      <c r="H2971" s="24">
        <v>115.0</v>
      </c>
      <c r="I2971" s="24">
        <v>8501.0</v>
      </c>
      <c r="J2971" s="24">
        <v>0.0</v>
      </c>
      <c r="K2971" s="23" t="s">
        <v>34</v>
      </c>
      <c r="L2971" s="25">
        <v>43024.24601851852</v>
      </c>
      <c r="M2971" s="26" t="s">
        <v>7048</v>
      </c>
      <c r="N2971" s="26" t="s">
        <v>7049</v>
      </c>
      <c r="O2971" s="22" t="str">
        <f>HYPERLINK("https://pbs.twimg.com/profile_images/920941562531545088/-K2kAluY_normal.jpg","View")</f>
        <v>View</v>
      </c>
      <c r="P2971" s="27"/>
    </row>
    <row r="2972">
      <c r="A2972" s="14">
        <v>43031.192974537036</v>
      </c>
      <c r="B2972" s="20" t="str">
        <f>HYPERLINK("https://twitter.com/sugarvilleguita","@sugarvilleguita")</f>
        <v>@sugarvilleguita</v>
      </c>
      <c r="C2972" s="21" t="s">
        <v>7050</v>
      </c>
      <c r="D2972" s="21" t="s">
        <v>6991</v>
      </c>
      <c r="E2972" s="22" t="str">
        <f>HYPERLINK("https://twitter.com/sugarvilleguita/status/922426848084201472","922426848084201472")</f>
        <v>922426848084201472</v>
      </c>
      <c r="F2972" s="23" t="s">
        <v>33</v>
      </c>
      <c r="G2972" s="24">
        <v>54.0</v>
      </c>
      <c r="H2972" s="24">
        <v>628.0</v>
      </c>
      <c r="I2972" s="24">
        <v>22.0</v>
      </c>
      <c r="J2972" s="24">
        <v>0.0</v>
      </c>
      <c r="K2972" s="23" t="s">
        <v>34</v>
      </c>
      <c r="L2972" s="25">
        <v>42965.180613425924</v>
      </c>
      <c r="M2972" s="28"/>
      <c r="N2972" s="26" t="s">
        <v>7051</v>
      </c>
      <c r="O2972" s="22" t="str">
        <f>HYPERLINK("https://pbs.twimg.com/profile_images/919527905172090881/XFplAFin_normal.jpg","View")</f>
        <v>View</v>
      </c>
      <c r="P2972" s="27"/>
    </row>
    <row r="2973">
      <c r="A2973" s="14">
        <v>43031.19306712963</v>
      </c>
      <c r="B2973" s="20" t="str">
        <f>HYPERLINK("https://twitter.com/VotingNews","@VotingNews")</f>
        <v>@VotingNews</v>
      </c>
      <c r="C2973" s="21" t="s">
        <v>7052</v>
      </c>
      <c r="D2973" s="21" t="s">
        <v>7053</v>
      </c>
      <c r="E2973" s="22" t="str">
        <f>HYPERLINK("https://twitter.com/VotingNews/status/922426885174210560","922426885174210560")</f>
        <v>922426885174210560</v>
      </c>
      <c r="F2973" s="23" t="s">
        <v>7054</v>
      </c>
      <c r="G2973" s="24">
        <v>4461.0</v>
      </c>
      <c r="H2973" s="24">
        <v>2085.0</v>
      </c>
      <c r="I2973" s="24">
        <v>0.0</v>
      </c>
      <c r="J2973" s="24">
        <v>0.0</v>
      </c>
      <c r="K2973" s="23" t="s">
        <v>34</v>
      </c>
      <c r="L2973" s="25">
        <v>40078.52195601852</v>
      </c>
      <c r="M2973" s="26" t="s">
        <v>68</v>
      </c>
      <c r="N2973" s="26" t="s">
        <v>7055</v>
      </c>
      <c r="O2973" s="22" t="str">
        <f>HYPERLINK("https://pbs.twimg.com/profile_images/1333998665/tvn_logo4_200_normal.jpg","View")</f>
        <v>View</v>
      </c>
      <c r="P2973" s="27"/>
    </row>
    <row r="2974">
      <c r="A2974" s="14">
        <v>43031.193078703705</v>
      </c>
      <c r="B2974" s="20" t="str">
        <f>HYPERLINK("https://twitter.com/00t1","@00t1")</f>
        <v>@00t1</v>
      </c>
      <c r="C2974" s="21" t="s">
        <v>7056</v>
      </c>
      <c r="D2974" s="21" t="s">
        <v>42</v>
      </c>
      <c r="E2974" s="22" t="str">
        <f>HYPERLINK("https://twitter.com/00t1/status/922426886025756672","922426886025756672")</f>
        <v>922426886025756672</v>
      </c>
      <c r="F2974" s="23" t="s">
        <v>39</v>
      </c>
      <c r="G2974" s="24">
        <v>1443.0</v>
      </c>
      <c r="H2974" s="24">
        <v>1418.0</v>
      </c>
      <c r="I2974" s="24">
        <v>8501.0</v>
      </c>
      <c r="J2974" s="24">
        <v>0.0</v>
      </c>
      <c r="K2974" s="23" t="s">
        <v>34</v>
      </c>
      <c r="L2974" s="25">
        <v>40976.178622685184</v>
      </c>
      <c r="M2974" s="28"/>
      <c r="N2974" s="28"/>
      <c r="O2974" s="22" t="str">
        <f>HYPERLINK("https://pbs.twimg.com/profile_images/621821442565341184/-oGbUjcA_normal.jpg","View")</f>
        <v>View</v>
      </c>
      <c r="P2974" s="27"/>
    </row>
    <row r="2975">
      <c r="A2975" s="14">
        <v>43031.19309027778</v>
      </c>
      <c r="B2975" s="20" t="str">
        <f>HYPERLINK("https://twitter.com/Hikariuru","@Hikariuru")</f>
        <v>@Hikariuru</v>
      </c>
      <c r="C2975" s="21" t="s">
        <v>7057</v>
      </c>
      <c r="D2975" s="21" t="s">
        <v>6991</v>
      </c>
      <c r="E2975" s="22" t="str">
        <f>HYPERLINK("https://twitter.com/Hikariuru/status/922426890152943616","922426890152943616")</f>
        <v>922426890152943616</v>
      </c>
      <c r="F2975" s="23" t="s">
        <v>39</v>
      </c>
      <c r="G2975" s="24">
        <v>728.0</v>
      </c>
      <c r="H2975" s="24">
        <v>437.0</v>
      </c>
      <c r="I2975" s="24">
        <v>22.0</v>
      </c>
      <c r="J2975" s="24">
        <v>0.0</v>
      </c>
      <c r="K2975" s="23" t="s">
        <v>34</v>
      </c>
      <c r="L2975" s="25">
        <v>42697.33399305555</v>
      </c>
      <c r="M2975" s="26" t="s">
        <v>660</v>
      </c>
      <c r="N2975" s="26" t="s">
        <v>7058</v>
      </c>
      <c r="O2975" s="22" t="str">
        <f>HYPERLINK("https://pbs.twimg.com/profile_images/907545195830329345/fXxpWO5l_normal.jpg","View")</f>
        <v>View</v>
      </c>
      <c r="P2975" s="27"/>
    </row>
    <row r="2976">
      <c r="A2976" s="14">
        <v>43031.19315972222</v>
      </c>
      <c r="B2976" s="20" t="str">
        <f>HYPERLINK("https://twitter.com/CollectedN","@CollectedN")</f>
        <v>@CollectedN</v>
      </c>
      <c r="C2976" s="21" t="s">
        <v>3553</v>
      </c>
      <c r="D2976" s="21" t="s">
        <v>7059</v>
      </c>
      <c r="E2976" s="22" t="str">
        <f>HYPERLINK("https://twitter.com/CollectedN/status/922426916304572417","922426916304572417")</f>
        <v>922426916304572417</v>
      </c>
      <c r="F2976" s="23" t="s">
        <v>187</v>
      </c>
      <c r="G2976" s="24">
        <v>21993.0</v>
      </c>
      <c r="H2976" s="24">
        <v>16541.0</v>
      </c>
      <c r="I2976" s="24">
        <v>0.0</v>
      </c>
      <c r="J2976" s="24">
        <v>0.0</v>
      </c>
      <c r="K2976" s="23" t="s">
        <v>34</v>
      </c>
      <c r="L2976" s="25">
        <v>41333.76840277778</v>
      </c>
      <c r="M2976" s="28"/>
      <c r="N2976" s="26" t="s">
        <v>3555</v>
      </c>
      <c r="O2976" s="22" t="str">
        <f>HYPERLINK("https://pbs.twimg.com/profile_images/705925817277108224/nGS1Ko7F_normal.jpg","View")</f>
        <v>View</v>
      </c>
      <c r="P2976" s="27"/>
    </row>
    <row r="2977">
      <c r="A2977" s="14">
        <v>43031.1931712963</v>
      </c>
      <c r="B2977" s="20" t="str">
        <f>HYPERLINK("https://twitter.com/826Maureen","@826Maureen")</f>
        <v>@826Maureen</v>
      </c>
      <c r="C2977" s="21" t="s">
        <v>7060</v>
      </c>
      <c r="D2977" s="21" t="s">
        <v>5170</v>
      </c>
      <c r="E2977" s="22" t="str">
        <f>HYPERLINK("https://twitter.com/826Maureen/status/922426922012782592","922426922012782592")</f>
        <v>922426922012782592</v>
      </c>
      <c r="F2977" s="23" t="s">
        <v>39</v>
      </c>
      <c r="G2977" s="24">
        <v>2854.0</v>
      </c>
      <c r="H2977" s="24">
        <v>2146.0</v>
      </c>
      <c r="I2977" s="24">
        <v>3.0</v>
      </c>
      <c r="J2977" s="24">
        <v>0.0</v>
      </c>
      <c r="K2977" s="23" t="s">
        <v>34</v>
      </c>
      <c r="L2977" s="25">
        <v>41839.259722222225</v>
      </c>
      <c r="M2977" s="26" t="s">
        <v>7061</v>
      </c>
      <c r="N2977" s="26" t="s">
        <v>7062</v>
      </c>
      <c r="O2977" s="22" t="str">
        <f>HYPERLINK("https://pbs.twimg.com/profile_images/895973501248561152/j8zXeEpo_normal.jpg","View")</f>
        <v>View</v>
      </c>
      <c r="P2977" s="27"/>
    </row>
    <row r="2978">
      <c r="A2978" s="14">
        <v>43031.19321759259</v>
      </c>
      <c r="B2978" s="20" t="str">
        <f>HYPERLINK("https://twitter.com/MsTradingCoach","@MsTradingCoach")</f>
        <v>@MsTradingCoach</v>
      </c>
      <c r="C2978" s="21" t="s">
        <v>7063</v>
      </c>
      <c r="D2978" s="21" t="s">
        <v>7064</v>
      </c>
      <c r="E2978" s="22" t="str">
        <f>HYPERLINK("https://twitter.com/MsTradingCoach/status/922426936156094464","922426936156094464")</f>
        <v>922426936156094464</v>
      </c>
      <c r="F2978" s="23" t="s">
        <v>55</v>
      </c>
      <c r="G2978" s="24">
        <v>23850.0</v>
      </c>
      <c r="H2978" s="24">
        <v>11430.0</v>
      </c>
      <c r="I2978" s="24">
        <v>2.0</v>
      </c>
      <c r="J2978" s="24">
        <v>0.0</v>
      </c>
      <c r="K2978" s="23" t="s">
        <v>34</v>
      </c>
      <c r="L2978" s="25">
        <v>42397.21984953704</v>
      </c>
      <c r="M2978" s="26" t="s">
        <v>7065</v>
      </c>
      <c r="N2978" s="26" t="s">
        <v>7066</v>
      </c>
      <c r="O2978" s="22" t="str">
        <f>HYPERLINK("https://pbs.twimg.com/profile_images/917232902773116928/gMI9jKn7_normal.jpg","View")</f>
        <v>View</v>
      </c>
      <c r="P2978" s="27"/>
    </row>
    <row r="2979">
      <c r="A2979" s="14">
        <v>43031.19326388889</v>
      </c>
      <c r="B2979" s="20" t="str">
        <f t="shared" ref="B2979:B2980" si="51">HYPERLINK("https://twitter.com/liquidskydesign","@liquidskydesign")</f>
        <v>@liquidskydesign</v>
      </c>
      <c r="C2979" s="21" t="s">
        <v>3377</v>
      </c>
      <c r="D2979" s="21" t="s">
        <v>7067</v>
      </c>
      <c r="E2979" s="22" t="str">
        <f>HYPERLINK("https://twitter.com/liquidskydesign/status/922426953235357696","922426953235357696")</f>
        <v>922426953235357696</v>
      </c>
      <c r="F2979" s="23" t="s">
        <v>187</v>
      </c>
      <c r="G2979" s="24">
        <v>1634.0</v>
      </c>
      <c r="H2979" s="24">
        <v>796.0</v>
      </c>
      <c r="I2979" s="24">
        <v>0.0</v>
      </c>
      <c r="J2979" s="24">
        <v>0.0</v>
      </c>
      <c r="K2979" s="23" t="s">
        <v>34</v>
      </c>
      <c r="L2979" s="25">
        <v>39900.46163194445</v>
      </c>
      <c r="M2979" s="26" t="s">
        <v>3379</v>
      </c>
      <c r="N2979" s="26" t="s">
        <v>3380</v>
      </c>
      <c r="O2979" s="22" t="str">
        <f t="shared" ref="O2979:O2980" si="52">HYPERLINK("https://pbs.twimg.com/profile_images/791418013107032064/bXRIcy4-_normal.jpg","View")</f>
        <v>View</v>
      </c>
      <c r="P2979" s="27"/>
    </row>
    <row r="2980">
      <c r="A2980" s="14">
        <v>43031.19326388889</v>
      </c>
      <c r="B2980" s="20" t="str">
        <f t="shared" si="51"/>
        <v>@liquidskydesign</v>
      </c>
      <c r="C2980" s="21" t="s">
        <v>3377</v>
      </c>
      <c r="D2980" s="21" t="s">
        <v>7068</v>
      </c>
      <c r="E2980" s="22" t="str">
        <f>HYPERLINK("https://twitter.com/liquidskydesign/status/922426956158775298","922426956158775298")</f>
        <v>922426956158775298</v>
      </c>
      <c r="F2980" s="23" t="s">
        <v>187</v>
      </c>
      <c r="G2980" s="24">
        <v>1634.0</v>
      </c>
      <c r="H2980" s="24">
        <v>796.0</v>
      </c>
      <c r="I2980" s="24">
        <v>0.0</v>
      </c>
      <c r="J2980" s="24">
        <v>0.0</v>
      </c>
      <c r="K2980" s="23" t="s">
        <v>34</v>
      </c>
      <c r="L2980" s="25">
        <v>39900.46163194445</v>
      </c>
      <c r="M2980" s="26" t="s">
        <v>3379</v>
      </c>
      <c r="N2980" s="26" t="s">
        <v>3380</v>
      </c>
      <c r="O2980" s="22" t="str">
        <f t="shared" si="52"/>
        <v>View</v>
      </c>
      <c r="P2980" s="27"/>
    </row>
    <row r="2981">
      <c r="A2981" s="14">
        <v>43031.19331018519</v>
      </c>
      <c r="B2981" s="20" t="str">
        <f>HYPERLINK("https://twitter.com/SirSunnydeol5","@SirSunnydeol5")</f>
        <v>@SirSunnydeol5</v>
      </c>
      <c r="C2981" s="21" t="s">
        <v>7069</v>
      </c>
      <c r="D2981" s="21" t="s">
        <v>42</v>
      </c>
      <c r="E2981" s="22" t="str">
        <f>HYPERLINK("https://twitter.com/SirSunnydeol5/status/922426970905776128","922426970905776128")</f>
        <v>922426970905776128</v>
      </c>
      <c r="F2981" s="23" t="s">
        <v>33</v>
      </c>
      <c r="G2981" s="24">
        <v>4979.0</v>
      </c>
      <c r="H2981" s="24">
        <v>69.0</v>
      </c>
      <c r="I2981" s="24">
        <v>8501.0</v>
      </c>
      <c r="J2981" s="24">
        <v>0.0</v>
      </c>
      <c r="K2981" s="23" t="s">
        <v>34</v>
      </c>
      <c r="L2981" s="25">
        <v>42016.89804398148</v>
      </c>
      <c r="M2981" s="26" t="s">
        <v>7070</v>
      </c>
      <c r="N2981" s="26" t="s">
        <v>7071</v>
      </c>
      <c r="O2981" s="22" t="str">
        <f>HYPERLINK("https://pbs.twimg.com/profile_images/922474735673339904/YLUtcGoq_normal.jpg","View")</f>
        <v>View</v>
      </c>
      <c r="P2981" s="27"/>
    </row>
    <row r="2982">
      <c r="A2982" s="14">
        <v>43031.19332175926</v>
      </c>
      <c r="B2982" s="20" t="str">
        <f>HYPERLINK("https://twitter.com/Sandeepsingh960","@Sandeepsingh960")</f>
        <v>@Sandeepsingh960</v>
      </c>
      <c r="C2982" s="21" t="s">
        <v>7072</v>
      </c>
      <c r="D2982" s="21" t="s">
        <v>42</v>
      </c>
      <c r="E2982" s="22" t="str">
        <f>HYPERLINK("https://twitter.com/Sandeepsingh960/status/922426973669900290","922426973669900290")</f>
        <v>922426973669900290</v>
      </c>
      <c r="F2982" s="23" t="s">
        <v>33</v>
      </c>
      <c r="G2982" s="24">
        <v>49.0</v>
      </c>
      <c r="H2982" s="24">
        <v>103.0</v>
      </c>
      <c r="I2982" s="24">
        <v>8501.0</v>
      </c>
      <c r="J2982" s="24">
        <v>0.0</v>
      </c>
      <c r="K2982" s="23" t="s">
        <v>34</v>
      </c>
      <c r="L2982" s="25">
        <v>42712.081284722226</v>
      </c>
      <c r="M2982" s="26" t="s">
        <v>7073</v>
      </c>
      <c r="N2982" s="26" t="s">
        <v>7074</v>
      </c>
      <c r="O2982" s="22" t="str">
        <f>HYPERLINK("https://pbs.twimg.com/profile_images/908279086325174272/57DmoMrK_normal.jpg","View")</f>
        <v>View</v>
      </c>
      <c r="P2982" s="27"/>
    </row>
    <row r="2983">
      <c r="A2983" s="14">
        <v>43031.193391203706</v>
      </c>
      <c r="B2983" s="20" t="str">
        <f>HYPERLINK("https://twitter.com/Upstairs2dRight","@Upstairs2dRight")</f>
        <v>@Upstairs2dRight</v>
      </c>
      <c r="C2983" s="21" t="s">
        <v>7075</v>
      </c>
      <c r="D2983" s="21" t="s">
        <v>6991</v>
      </c>
      <c r="E2983" s="22" t="str">
        <f>HYPERLINK("https://twitter.com/Upstairs2dRight/status/922427001251794944","922427001251794944")</f>
        <v>922427001251794944</v>
      </c>
      <c r="F2983" s="23" t="s">
        <v>33</v>
      </c>
      <c r="G2983" s="24">
        <v>3856.0</v>
      </c>
      <c r="H2983" s="24">
        <v>4318.0</v>
      </c>
      <c r="I2983" s="24">
        <v>22.0</v>
      </c>
      <c r="J2983" s="24">
        <v>0.0</v>
      </c>
      <c r="K2983" s="23" t="s">
        <v>34</v>
      </c>
      <c r="L2983" s="25">
        <v>42777.85724537037</v>
      </c>
      <c r="M2983" s="28"/>
      <c r="N2983" s="26" t="s">
        <v>7076</v>
      </c>
      <c r="O2983" s="22" t="str">
        <f>HYPERLINK("https://pbs.twimg.com/profile_images/830649765369114624/yjRd5c9j_normal.jpg","View")</f>
        <v>View</v>
      </c>
      <c r="P2983" s="27"/>
    </row>
    <row r="2984">
      <c r="A2984" s="14">
        <v>43031.193391203706</v>
      </c>
      <c r="B2984" s="20" t="str">
        <f>HYPERLINK("https://twitter.com/DogFarley32","@DogFarley32")</f>
        <v>@DogFarley32</v>
      </c>
      <c r="C2984" s="21" t="s">
        <v>7077</v>
      </c>
      <c r="D2984" s="21" t="s">
        <v>6991</v>
      </c>
      <c r="E2984" s="22" t="str">
        <f>HYPERLINK("https://twitter.com/DogFarley32/status/922427001704562688","922427001704562688")</f>
        <v>922427001704562688</v>
      </c>
      <c r="F2984" s="23" t="s">
        <v>33</v>
      </c>
      <c r="G2984" s="24">
        <v>298.0</v>
      </c>
      <c r="H2984" s="24">
        <v>1963.0</v>
      </c>
      <c r="I2984" s="24">
        <v>22.0</v>
      </c>
      <c r="J2984" s="24">
        <v>0.0</v>
      </c>
      <c r="K2984" s="23" t="s">
        <v>34</v>
      </c>
      <c r="L2984" s="25">
        <v>41733.41511574074</v>
      </c>
      <c r="M2984" s="26" t="s">
        <v>68</v>
      </c>
      <c r="N2984" s="26" t="s">
        <v>7078</v>
      </c>
      <c r="O2984" s="22" t="str">
        <f>HYPERLINK("https://pbs.twimg.com/profile_images/759020646852546561/xrDOZASQ_normal.jpg","View")</f>
        <v>View</v>
      </c>
      <c r="P2984" s="27"/>
    </row>
    <row r="2985">
      <c r="A2985" s="14">
        <v>43031.19341435185</v>
      </c>
      <c r="B2985" s="20" t="str">
        <f>HYPERLINK("https://twitter.com/realrobotnews","@realrobotnews")</f>
        <v>@realrobotnews</v>
      </c>
      <c r="C2985" s="21" t="s">
        <v>7079</v>
      </c>
      <c r="D2985" s="21" t="s">
        <v>7080</v>
      </c>
      <c r="E2985" s="22" t="str">
        <f>HYPERLINK("https://twitter.com/realrobotnews/status/922427007828463617","922427007828463617")</f>
        <v>922427007828463617</v>
      </c>
      <c r="F2985" s="23" t="s">
        <v>187</v>
      </c>
      <c r="G2985" s="24">
        <v>5.0</v>
      </c>
      <c r="H2985" s="24">
        <v>0.0</v>
      </c>
      <c r="I2985" s="24">
        <v>0.0</v>
      </c>
      <c r="J2985" s="24">
        <v>0.0</v>
      </c>
      <c r="K2985" s="23" t="s">
        <v>34</v>
      </c>
      <c r="L2985" s="25">
        <v>42994.35488425926</v>
      </c>
      <c r="M2985" s="28"/>
      <c r="N2985" s="26" t="s">
        <v>7081</v>
      </c>
      <c r="O2985" s="22" t="str">
        <f>HYPERLINK("https://pbs.twimg.com/profile_images/909080561938964480/9DGgVL-6_normal.jpg","View")</f>
        <v>View</v>
      </c>
      <c r="P2985" s="27"/>
    </row>
    <row r="2986">
      <c r="A2986" s="14">
        <v>43031.193449074075</v>
      </c>
      <c r="B2986" s="20" t="str">
        <f>HYPERLINK("https://twitter.com/jdesignz","@jdesignz")</f>
        <v>@jdesignz</v>
      </c>
      <c r="C2986" s="21" t="s">
        <v>337</v>
      </c>
      <c r="D2986" s="21" t="s">
        <v>7082</v>
      </c>
      <c r="E2986" s="22" t="str">
        <f>HYPERLINK("https://twitter.com/jdesignz/status/922427019836706816","922427019836706816")</f>
        <v>922427019836706816</v>
      </c>
      <c r="F2986" s="23" t="s">
        <v>187</v>
      </c>
      <c r="G2986" s="24">
        <v>2097.0</v>
      </c>
      <c r="H2986" s="24">
        <v>2062.0</v>
      </c>
      <c r="I2986" s="24">
        <v>0.0</v>
      </c>
      <c r="J2986" s="24">
        <v>0.0</v>
      </c>
      <c r="K2986" s="23" t="s">
        <v>34</v>
      </c>
      <c r="L2986" s="25">
        <v>39722.75944444444</v>
      </c>
      <c r="M2986" s="26" t="s">
        <v>339</v>
      </c>
      <c r="N2986" s="26" t="s">
        <v>340</v>
      </c>
      <c r="O2986" s="22" t="str">
        <f>HYPERLINK("https://pbs.twimg.com/profile_images/904365241349193729/G1uZr9Cq_normal.jpg","View")</f>
        <v>View</v>
      </c>
      <c r="P2986" s="27"/>
    </row>
    <row r="2987">
      <c r="A2987" s="14">
        <v>43031.193449074075</v>
      </c>
      <c r="B2987" s="20" t="str">
        <f>HYPERLINK("https://twitter.com/Info_Dirigentes","@Info_Dirigentes")</f>
        <v>@Info_Dirigentes</v>
      </c>
      <c r="C2987" s="21" t="s">
        <v>7083</v>
      </c>
      <c r="D2987" s="21" t="s">
        <v>7084</v>
      </c>
      <c r="E2987" s="22" t="str">
        <f>HYPERLINK("https://twitter.com/Info_Dirigentes/status/922427022139379714","922427022139379714")</f>
        <v>922427022139379714</v>
      </c>
      <c r="F2987" s="23" t="s">
        <v>187</v>
      </c>
      <c r="G2987" s="24">
        <v>3634.0</v>
      </c>
      <c r="H2987" s="24">
        <v>3425.0</v>
      </c>
      <c r="I2987" s="24">
        <v>0.0</v>
      </c>
      <c r="J2987" s="24">
        <v>0.0</v>
      </c>
      <c r="K2987" s="23" t="s">
        <v>34</v>
      </c>
      <c r="L2987" s="25">
        <v>42476.040879629625</v>
      </c>
      <c r="M2987" s="26" t="s">
        <v>2569</v>
      </c>
      <c r="N2987" s="26" t="s">
        <v>7085</v>
      </c>
      <c r="O2987" s="22" t="str">
        <f>HYPERLINK("https://pbs.twimg.com/profile_images/727023965307330561/XMWW4rmJ_normal.jpg","View")</f>
        <v>View</v>
      </c>
      <c r="P2987" s="27"/>
    </row>
    <row r="2988">
      <c r="A2988" s="14">
        <v>43031.193518518514</v>
      </c>
      <c r="B2988" s="20" t="str">
        <f>HYPERLINK("https://twitter.com/DogFarley32","@DogFarley32")</f>
        <v>@DogFarley32</v>
      </c>
      <c r="C2988" s="21" t="s">
        <v>7077</v>
      </c>
      <c r="D2988" s="21" t="s">
        <v>7086</v>
      </c>
      <c r="E2988" s="22" t="str">
        <f>HYPERLINK("https://twitter.com/DogFarley32/status/922427048659791873","922427048659791873")</f>
        <v>922427048659791873</v>
      </c>
      <c r="F2988" s="23" t="s">
        <v>48</v>
      </c>
      <c r="G2988" s="24">
        <v>298.0</v>
      </c>
      <c r="H2988" s="24">
        <v>1963.0</v>
      </c>
      <c r="I2988" s="24">
        <v>0.0</v>
      </c>
      <c r="J2988" s="24">
        <v>0.0</v>
      </c>
      <c r="K2988" s="23" t="s">
        <v>34</v>
      </c>
      <c r="L2988" s="25">
        <v>41733.41511574074</v>
      </c>
      <c r="M2988" s="26" t="s">
        <v>68</v>
      </c>
      <c r="N2988" s="26" t="s">
        <v>7078</v>
      </c>
      <c r="O2988" s="22" t="str">
        <f>HYPERLINK("https://pbs.twimg.com/profile_images/759020646852546561/xrDOZASQ_normal.jpg","View")</f>
        <v>View</v>
      </c>
      <c r="P2988" s="27"/>
    </row>
    <row r="2989">
      <c r="A2989" s="14">
        <v>43031.19355324074</v>
      </c>
      <c r="B2989" s="20" t="str">
        <f>HYPERLINK("https://twitter.com/tammytabby","@tammytabby")</f>
        <v>@tammytabby</v>
      </c>
      <c r="C2989" s="21" t="s">
        <v>7041</v>
      </c>
      <c r="D2989" s="21" t="s">
        <v>7087</v>
      </c>
      <c r="E2989" s="22" t="str">
        <f>HYPERLINK("https://twitter.com/tammytabby/status/922427059019886593","922427059019886593")</f>
        <v>922427059019886593</v>
      </c>
      <c r="F2989" s="23" t="s">
        <v>55</v>
      </c>
      <c r="G2989" s="24">
        <v>7322.0</v>
      </c>
      <c r="H2989" s="24">
        <v>6862.0</v>
      </c>
      <c r="I2989" s="24">
        <v>0.0</v>
      </c>
      <c r="J2989" s="24">
        <v>0.0</v>
      </c>
      <c r="K2989" s="23" t="s">
        <v>34</v>
      </c>
      <c r="L2989" s="25">
        <v>40353.56984953704</v>
      </c>
      <c r="M2989" s="26" t="s">
        <v>7043</v>
      </c>
      <c r="N2989" s="26" t="s">
        <v>7044</v>
      </c>
      <c r="O2989" s="22" t="str">
        <f>HYPERLINK("https://pbs.twimg.com/profile_images/1643777408/dove2_normal.jpg","View")</f>
        <v>View</v>
      </c>
      <c r="P2989" s="27"/>
    </row>
    <row r="2990">
      <c r="A2990" s="14">
        <v>43031.19355324074</v>
      </c>
      <c r="B2990" s="20" t="str">
        <f>HYPERLINK("https://twitter.com/im_ayush01","@im_ayush01")</f>
        <v>@im_ayush01</v>
      </c>
      <c r="C2990" s="21" t="s">
        <v>7088</v>
      </c>
      <c r="D2990" s="21" t="s">
        <v>42</v>
      </c>
      <c r="E2990" s="22" t="str">
        <f>HYPERLINK("https://twitter.com/im_ayush01/status/922427061230231552","922427061230231552")</f>
        <v>922427061230231552</v>
      </c>
      <c r="F2990" s="23" t="s">
        <v>33</v>
      </c>
      <c r="G2990" s="24">
        <v>843.0</v>
      </c>
      <c r="H2990" s="24">
        <v>430.0</v>
      </c>
      <c r="I2990" s="24">
        <v>8501.0</v>
      </c>
      <c r="J2990" s="24">
        <v>0.0</v>
      </c>
      <c r="K2990" s="23" t="s">
        <v>34</v>
      </c>
      <c r="L2990" s="25">
        <v>41496.58797453703</v>
      </c>
      <c r="M2990" s="26" t="s">
        <v>7089</v>
      </c>
      <c r="N2990" s="26" t="s">
        <v>2891</v>
      </c>
      <c r="O2990" s="22" t="str">
        <f>HYPERLINK("https://pbs.twimg.com/profile_images/919823977681338368/NrbeLGJO_normal.jpg","View")</f>
        <v>View</v>
      </c>
      <c r="P2990" s="27"/>
    </row>
    <row r="2991">
      <c r="A2991" s="14">
        <v>43031.19368055556</v>
      </c>
      <c r="B2991" s="20" t="str">
        <f>HYPERLINK("https://twitter.com/abosife2010","@abosife2010")</f>
        <v>@abosife2010</v>
      </c>
      <c r="C2991" s="21" t="s">
        <v>1585</v>
      </c>
      <c r="D2991" s="21" t="s">
        <v>6991</v>
      </c>
      <c r="E2991" s="22" t="str">
        <f>HYPERLINK("https://twitter.com/abosife2010/status/922427104289050626","922427104289050626")</f>
        <v>922427104289050626</v>
      </c>
      <c r="F2991" s="23" t="s">
        <v>43</v>
      </c>
      <c r="G2991" s="24">
        <v>1145.0</v>
      </c>
      <c r="H2991" s="24">
        <v>3102.0</v>
      </c>
      <c r="I2991" s="24">
        <v>22.0</v>
      </c>
      <c r="J2991" s="24">
        <v>0.0</v>
      </c>
      <c r="K2991" s="23" t="s">
        <v>34</v>
      </c>
      <c r="L2991" s="25">
        <v>40712.519224537034</v>
      </c>
      <c r="M2991" s="32" t="s">
        <v>1586</v>
      </c>
      <c r="N2991" s="26" t="s">
        <v>1587</v>
      </c>
      <c r="O2991" s="22" t="str">
        <f>HYPERLINK("https://pbs.twimg.com/profile_images/869146010953682944/tD96CxJ8_normal.jpg","View")</f>
        <v>View</v>
      </c>
      <c r="P2991" s="27"/>
    </row>
    <row r="2992">
      <c r="A2992" s="14">
        <v>43031.19371527778</v>
      </c>
      <c r="B2992" s="20" t="str">
        <f>HYPERLINK("https://twitter.com/therkut1","@therkut1")</f>
        <v>@therkut1</v>
      </c>
      <c r="C2992" s="21" t="s">
        <v>7090</v>
      </c>
      <c r="D2992" s="21" t="s">
        <v>7091</v>
      </c>
      <c r="E2992" s="22" t="str">
        <f>HYPERLINK("https://twitter.com/therkut1/status/922427116892884992","922427116892884992")</f>
        <v>922427116892884992</v>
      </c>
      <c r="F2992" s="23" t="s">
        <v>91</v>
      </c>
      <c r="G2992" s="24">
        <v>904.0</v>
      </c>
      <c r="H2992" s="24">
        <v>156.0</v>
      </c>
      <c r="I2992" s="24">
        <v>0.0</v>
      </c>
      <c r="J2992" s="24">
        <v>0.0</v>
      </c>
      <c r="K2992" s="23" t="s">
        <v>34</v>
      </c>
      <c r="L2992" s="25">
        <v>42664.57976851852</v>
      </c>
      <c r="M2992" s="28"/>
      <c r="N2992" s="26" t="s">
        <v>7092</v>
      </c>
      <c r="O2992" s="22" t="str">
        <f>HYPERLINK("https://pbs.twimg.com/profile_images/789575379619020800/BkSaBJms_normal.jpg","View")</f>
        <v>View</v>
      </c>
      <c r="P2992" s="27"/>
    </row>
    <row r="2993">
      <c r="A2993" s="14">
        <v>43031.193773148145</v>
      </c>
      <c r="B2993" s="20" t="str">
        <f>HYPERLINK("https://twitter.com/MailOnline","@MailOnline")</f>
        <v>@MailOnline</v>
      </c>
      <c r="C2993" s="21" t="s">
        <v>7093</v>
      </c>
      <c r="D2993" s="21" t="s">
        <v>7094</v>
      </c>
      <c r="E2993" s="22" t="str">
        <f>HYPERLINK("https://twitter.com/MailOnline/status/922427137277288448","922427137277288448")</f>
        <v>922427137277288448</v>
      </c>
      <c r="F2993" s="23" t="s">
        <v>1103</v>
      </c>
      <c r="G2993" s="24">
        <v>2123889.0</v>
      </c>
      <c r="H2993" s="24">
        <v>2408.0</v>
      </c>
      <c r="I2993" s="24">
        <v>16.0</v>
      </c>
      <c r="J2993" s="24">
        <v>20.0</v>
      </c>
      <c r="K2993" s="23" t="s">
        <v>34</v>
      </c>
      <c r="L2993" s="25">
        <v>39644.137337962966</v>
      </c>
      <c r="M2993" s="28"/>
      <c r="N2993" s="26" t="s">
        <v>7095</v>
      </c>
      <c r="O2993" s="22" t="str">
        <f>HYPERLINK("https://pbs.twimg.com/profile_images/907912182523981824/3vkEVuHh_normal.jpg","View")</f>
        <v>View</v>
      </c>
      <c r="P2993" s="27"/>
    </row>
    <row r="2994">
      <c r="A2994" s="14">
        <v>43031.19380787037</v>
      </c>
      <c r="B2994" s="20" t="str">
        <f>HYPERLINK("https://twitter.com/momo_ni","@momo_ni")</f>
        <v>@momo_ni</v>
      </c>
      <c r="C2994" s="21" t="s">
        <v>7096</v>
      </c>
      <c r="D2994" s="21" t="s">
        <v>67</v>
      </c>
      <c r="E2994" s="22" t="str">
        <f>HYPERLINK("https://twitter.com/momo_ni/status/922427150602526720","922427150602526720")</f>
        <v>922427150602526720</v>
      </c>
      <c r="F2994" s="23" t="s">
        <v>43</v>
      </c>
      <c r="G2994" s="24">
        <v>1600.0</v>
      </c>
      <c r="H2994" s="24">
        <v>2261.0</v>
      </c>
      <c r="I2994" s="24">
        <v>169.0</v>
      </c>
      <c r="J2994" s="24">
        <v>0.0</v>
      </c>
      <c r="K2994" s="23" t="s">
        <v>34</v>
      </c>
      <c r="L2994" s="25">
        <v>40233.350266203706</v>
      </c>
      <c r="M2994" s="28"/>
      <c r="N2994" s="26" t="s">
        <v>7097</v>
      </c>
      <c r="O2994" s="22" t="str">
        <f>HYPERLINK("https://pbs.twimg.com/profile_images/1650170796/maccha_normal.jpg","View")</f>
        <v>View</v>
      </c>
      <c r="P2994" s="27"/>
    </row>
    <row r="2995">
      <c r="A2995" s="14">
        <v>43031.19395833333</v>
      </c>
      <c r="B2995" s="20" t="str">
        <f>HYPERLINK("https://twitter.com/PennyTindall","@PennyTindall")</f>
        <v>@PennyTindall</v>
      </c>
      <c r="C2995" s="21" t="s">
        <v>7098</v>
      </c>
      <c r="D2995" s="21" t="s">
        <v>6991</v>
      </c>
      <c r="E2995" s="22" t="str">
        <f>HYPERLINK("https://twitter.com/PennyTindall/status/922427207535943680","922427207535943680")</f>
        <v>922427207535943680</v>
      </c>
      <c r="F2995" s="23" t="s">
        <v>33</v>
      </c>
      <c r="G2995" s="24">
        <v>943.0</v>
      </c>
      <c r="H2995" s="24">
        <v>437.0</v>
      </c>
      <c r="I2995" s="24">
        <v>22.0</v>
      </c>
      <c r="J2995" s="24">
        <v>0.0</v>
      </c>
      <c r="K2995" s="23" t="s">
        <v>34</v>
      </c>
      <c r="L2995" s="25">
        <v>40224.494837962964</v>
      </c>
      <c r="M2995" s="26" t="s">
        <v>7099</v>
      </c>
      <c r="N2995" s="26" t="s">
        <v>7100</v>
      </c>
      <c r="O2995" s="22" t="str">
        <f>HYPERLINK("https://pbs.twimg.com/profile_images/742433671945166848/fD6dlm-B_normal.jpg","View")</f>
        <v>View</v>
      </c>
      <c r="P2995" s="27"/>
    </row>
    <row r="2996">
      <c r="A2996" s="14">
        <v>43031.194027777776</v>
      </c>
      <c r="B2996" s="20" t="str">
        <f>HYPERLINK("https://twitter.com/MarcSchinzel","@MarcSchinzel")</f>
        <v>@MarcSchinzel</v>
      </c>
      <c r="C2996" s="21" t="s">
        <v>7101</v>
      </c>
      <c r="D2996" s="21" t="s">
        <v>5501</v>
      </c>
      <c r="E2996" s="22" t="str">
        <f>HYPERLINK("https://twitter.com/MarcSchinzel/status/922427231590408192","922427231590408192")</f>
        <v>922427231590408192</v>
      </c>
      <c r="F2996" s="23" t="s">
        <v>39</v>
      </c>
      <c r="G2996" s="24">
        <v>377.0</v>
      </c>
      <c r="H2996" s="24">
        <v>384.0</v>
      </c>
      <c r="I2996" s="24">
        <v>4.0</v>
      </c>
      <c r="J2996" s="24">
        <v>0.0</v>
      </c>
      <c r="K2996" s="23" t="s">
        <v>34</v>
      </c>
      <c r="L2996" s="25">
        <v>42536.183842592596</v>
      </c>
      <c r="M2996" s="26" t="s">
        <v>7102</v>
      </c>
      <c r="N2996" s="26" t="s">
        <v>7103</v>
      </c>
      <c r="O2996" s="22" t="str">
        <f>HYPERLINK("https://pbs.twimg.com/profile_images/863807537342275584/dbQ1GSpB_normal.jpg","View")</f>
        <v>View</v>
      </c>
      <c r="P2996" s="27"/>
    </row>
    <row r="2997">
      <c r="A2997" s="14">
        <v>43031.194131944445</v>
      </c>
      <c r="B2997" s="20" t="str">
        <f>HYPERLINK("https://twitter.com/arihantjain704","@arihantjain704")</f>
        <v>@arihantjain704</v>
      </c>
      <c r="C2997" s="21" t="s">
        <v>7104</v>
      </c>
      <c r="D2997" s="21" t="s">
        <v>42</v>
      </c>
      <c r="E2997" s="22" t="str">
        <f>HYPERLINK("https://twitter.com/arihantjain704/status/922427268143767553","922427268143767553")</f>
        <v>922427268143767553</v>
      </c>
      <c r="F2997" s="23" t="s">
        <v>33</v>
      </c>
      <c r="G2997" s="24">
        <v>175.0</v>
      </c>
      <c r="H2997" s="24">
        <v>196.0</v>
      </c>
      <c r="I2997" s="24">
        <v>8501.0</v>
      </c>
      <c r="J2997" s="24">
        <v>0.0</v>
      </c>
      <c r="K2997" s="23" t="s">
        <v>34</v>
      </c>
      <c r="L2997" s="25">
        <v>42699.407060185185</v>
      </c>
      <c r="M2997" s="28"/>
      <c r="N2997" s="28"/>
      <c r="O2997" s="22" t="str">
        <f>HYPERLINK("https://abs.twimg.com/sticky/default_profile_images/default_profile_normal.png","View")</f>
        <v>View</v>
      </c>
      <c r="P2997" s="27"/>
    </row>
    <row r="2998">
      <c r="A2998" s="14">
        <v>43031.194189814814</v>
      </c>
      <c r="B2998" s="20" t="str">
        <f>HYPERLINK("https://twitter.com/LionofYork","@LionofYork")</f>
        <v>@LionofYork</v>
      </c>
      <c r="C2998" s="21" t="s">
        <v>7105</v>
      </c>
      <c r="D2998" s="21" t="s">
        <v>7106</v>
      </c>
      <c r="E2998" s="22" t="str">
        <f>HYPERLINK("https://twitter.com/LionofYork/status/922427290809782273","922427290809782273")</f>
        <v>922427290809782273</v>
      </c>
      <c r="F2998" s="23" t="s">
        <v>55</v>
      </c>
      <c r="G2998" s="24">
        <v>113.0</v>
      </c>
      <c r="H2998" s="24">
        <v>161.0</v>
      </c>
      <c r="I2998" s="24">
        <v>16.0</v>
      </c>
      <c r="J2998" s="24">
        <v>0.0</v>
      </c>
      <c r="K2998" s="23" t="s">
        <v>34</v>
      </c>
      <c r="L2998" s="25">
        <v>42958.40504629629</v>
      </c>
      <c r="M2998" s="26" t="s">
        <v>7107</v>
      </c>
      <c r="N2998" s="26" t="s">
        <v>7108</v>
      </c>
      <c r="O2998" s="22" t="str">
        <f>HYPERLINK("https://pbs.twimg.com/profile_images/912055117419073536/TfHt_jX2_normal.jpg","View")</f>
        <v>View</v>
      </c>
      <c r="P2998" s="27"/>
    </row>
    <row r="2999">
      <c r="A2999" s="14">
        <v>43031.19425925926</v>
      </c>
      <c r="B2999" s="20" t="str">
        <f>HYPERLINK("https://twitter.com/leonsfree","@leonsfree")</f>
        <v>@leonsfree</v>
      </c>
      <c r="C2999" s="21" t="s">
        <v>7109</v>
      </c>
      <c r="D2999" s="21" t="s">
        <v>7110</v>
      </c>
      <c r="E2999" s="22" t="str">
        <f>HYPERLINK("https://twitter.com/leonsfree/status/922427316545896448","922427316545896448")</f>
        <v>922427316545896448</v>
      </c>
      <c r="F2999" s="23" t="s">
        <v>55</v>
      </c>
      <c r="G2999" s="24">
        <v>13.0</v>
      </c>
      <c r="H2999" s="24">
        <v>69.0</v>
      </c>
      <c r="I2999" s="24">
        <v>0.0</v>
      </c>
      <c r="J2999" s="24">
        <v>0.0</v>
      </c>
      <c r="K2999" s="23" t="s">
        <v>34</v>
      </c>
      <c r="L2999" s="25">
        <v>42250.30525462963</v>
      </c>
      <c r="M2999" s="28"/>
      <c r="N2999" s="28"/>
      <c r="O2999" s="22" t="str">
        <f>HYPERLINK("https://pbs.twimg.com/profile_images/919235258033119232/bLQ20_0B_normal.jpg","View")</f>
        <v>View</v>
      </c>
      <c r="P2999" s="27"/>
    </row>
    <row r="3000">
      <c r="A3000" s="14">
        <v>43031.19427083334</v>
      </c>
      <c r="B3000" s="20" t="str">
        <f>HYPERLINK("https://twitter.com/shashankme101","@shashankme101")</f>
        <v>@shashankme101</v>
      </c>
      <c r="C3000" s="21" t="s">
        <v>7111</v>
      </c>
      <c r="D3000" s="21" t="s">
        <v>6403</v>
      </c>
      <c r="E3000" s="22" t="str">
        <f>HYPERLINK("https://twitter.com/shashankme101/status/922427320211820545","922427320211820545")</f>
        <v>922427320211820545</v>
      </c>
      <c r="F3000" s="23" t="s">
        <v>43</v>
      </c>
      <c r="G3000" s="24">
        <v>49.0</v>
      </c>
      <c r="H3000" s="24">
        <v>13.0</v>
      </c>
      <c r="I3000" s="24">
        <v>97.0</v>
      </c>
      <c r="J3000" s="24">
        <v>0.0</v>
      </c>
      <c r="K3000" s="23" t="s">
        <v>34</v>
      </c>
      <c r="L3000" s="25">
        <v>41748.8296412037</v>
      </c>
      <c r="M3000" s="26" t="s">
        <v>204</v>
      </c>
      <c r="N3000" s="28"/>
      <c r="O3000" s="22" t="str">
        <f>HYPERLINK("https://pbs.twimg.com/profile_images/738672250128207872/p28S7Lv7_normal.jpg","View")</f>
        <v>View</v>
      </c>
      <c r="P3000" s="27"/>
    </row>
    <row r="3001">
      <c r="A3001" s="14">
        <v>43031.194386574076</v>
      </c>
      <c r="B3001" s="20" t="str">
        <f>HYPERLINK("https://twitter.com/shubham70284393","@shubham70284393")</f>
        <v>@shubham70284393</v>
      </c>
      <c r="C3001" s="21" t="s">
        <v>7112</v>
      </c>
      <c r="D3001" s="21" t="s">
        <v>42</v>
      </c>
      <c r="E3001" s="22" t="str">
        <f>HYPERLINK("https://twitter.com/shubham70284393/status/922427361387200514","922427361387200514")</f>
        <v>922427361387200514</v>
      </c>
      <c r="F3001" s="23" t="s">
        <v>33</v>
      </c>
      <c r="G3001" s="24">
        <v>111.0</v>
      </c>
      <c r="H3001" s="24">
        <v>430.0</v>
      </c>
      <c r="I3001" s="24">
        <v>8501.0</v>
      </c>
      <c r="J3001" s="24">
        <v>0.0</v>
      </c>
      <c r="K3001" s="23" t="s">
        <v>34</v>
      </c>
      <c r="L3001" s="25">
        <v>42675.14913194445</v>
      </c>
      <c r="M3001" s="26" t="s">
        <v>7113</v>
      </c>
      <c r="N3001" s="26" t="s">
        <v>7114</v>
      </c>
      <c r="O3001" s="22" t="str">
        <f>HYPERLINK("https://pbs.twimg.com/profile_images/918503635130056704/gIGBZfxc_normal.jpg","View")</f>
        <v>View</v>
      </c>
      <c r="P3001" s="27"/>
    </row>
    <row r="3002">
      <c r="A3002" s="14">
        <v>43031.194490740745</v>
      </c>
      <c r="B3002" s="20" t="str">
        <f>HYPERLINK("https://twitter.com/Shatrohanrajpo1","@Shatrohanrajpo1")</f>
        <v>@Shatrohanrajpo1</v>
      </c>
      <c r="C3002" s="21" t="s">
        <v>7115</v>
      </c>
      <c r="D3002" s="21" t="s">
        <v>42</v>
      </c>
      <c r="E3002" s="22" t="str">
        <f>HYPERLINK("https://twitter.com/Shatrohanrajpo1/status/922427400402505728","922427400402505728")</f>
        <v>922427400402505728</v>
      </c>
      <c r="F3002" s="23" t="s">
        <v>33</v>
      </c>
      <c r="G3002" s="24">
        <v>131.0</v>
      </c>
      <c r="H3002" s="24">
        <v>505.0</v>
      </c>
      <c r="I3002" s="24">
        <v>8501.0</v>
      </c>
      <c r="J3002" s="24">
        <v>0.0</v>
      </c>
      <c r="K3002" s="23" t="s">
        <v>34</v>
      </c>
      <c r="L3002" s="25">
        <v>42816.02998842593</v>
      </c>
      <c r="M3002" s="26" t="s">
        <v>195</v>
      </c>
      <c r="N3002" s="26" t="s">
        <v>7116</v>
      </c>
      <c r="O3002" s="22" t="str">
        <f>HYPERLINK("https://pbs.twimg.com/profile_images/878907491396050947/DswkC-rb_normal.jpg","View")</f>
        <v>View</v>
      </c>
      <c r="P3002" s="27"/>
    </row>
    <row r="3003">
      <c r="A3003" s="14">
        <v>43031.194513888884</v>
      </c>
      <c r="B3003" s="20" t="str">
        <f>HYPERLINK("https://twitter.com/mrigendra87","@mrigendra87")</f>
        <v>@mrigendra87</v>
      </c>
      <c r="C3003" s="21" t="s">
        <v>7117</v>
      </c>
      <c r="D3003" s="21" t="s">
        <v>42</v>
      </c>
      <c r="E3003" s="22" t="str">
        <f>HYPERLINK("https://twitter.com/mrigendra87/status/922427405821796354","922427405821796354")</f>
        <v>922427405821796354</v>
      </c>
      <c r="F3003" s="23" t="s">
        <v>33</v>
      </c>
      <c r="G3003" s="24">
        <v>392.0</v>
      </c>
      <c r="H3003" s="24">
        <v>770.0</v>
      </c>
      <c r="I3003" s="24">
        <v>8501.0</v>
      </c>
      <c r="J3003" s="24">
        <v>0.0</v>
      </c>
      <c r="K3003" s="23" t="s">
        <v>34</v>
      </c>
      <c r="L3003" s="25">
        <v>40642.26924768518</v>
      </c>
      <c r="M3003" s="26" t="s">
        <v>7118</v>
      </c>
      <c r="N3003" s="26" t="s">
        <v>7119</v>
      </c>
      <c r="O3003" s="22" t="str">
        <f>HYPERLINK("https://pbs.twimg.com/profile_images/764345453899083776/v3h2PXnb_normal.jpg","View")</f>
        <v>View</v>
      </c>
      <c r="P3003" s="27"/>
    </row>
    <row r="3004">
      <c r="A3004" s="14">
        <v>43031.194560185184</v>
      </c>
      <c r="B3004" s="20" t="str">
        <f>HYPERLINK("https://twitter.com/ScienceTopNews","@ScienceTopNews")</f>
        <v>@ScienceTopNews</v>
      </c>
      <c r="C3004" s="21" t="s">
        <v>7120</v>
      </c>
      <c r="D3004" s="21" t="s">
        <v>7121</v>
      </c>
      <c r="E3004" s="22" t="str">
        <f>HYPERLINK("https://twitter.com/ScienceTopNews/status/922427423517544448","922427423517544448")</f>
        <v>922427423517544448</v>
      </c>
      <c r="F3004" s="23" t="s">
        <v>7122</v>
      </c>
      <c r="G3004" s="24">
        <v>84.0</v>
      </c>
      <c r="H3004" s="24">
        <v>14.0</v>
      </c>
      <c r="I3004" s="24">
        <v>0.0</v>
      </c>
      <c r="J3004" s="24">
        <v>0.0</v>
      </c>
      <c r="K3004" s="23" t="s">
        <v>34</v>
      </c>
      <c r="L3004" s="25">
        <v>42449.4112962963</v>
      </c>
      <c r="M3004" s="28"/>
      <c r="N3004" s="28"/>
      <c r="O3004" s="22" t="str">
        <f>HYPERLINK("https://abs.twimg.com/sticky/default_profile_images/default_profile_normal.png","View")</f>
        <v>View</v>
      </c>
      <c r="P3004" s="27"/>
    </row>
    <row r="3005">
      <c r="A3005" s="14">
        <v>43031.19462962963</v>
      </c>
      <c r="B3005" s="20" t="str">
        <f>HYPERLINK("https://twitter.com/Angelus1701","@Angelus1701")</f>
        <v>@Angelus1701</v>
      </c>
      <c r="C3005" s="21" t="s">
        <v>6027</v>
      </c>
      <c r="D3005" s="21" t="s">
        <v>7123</v>
      </c>
      <c r="E3005" s="22" t="str">
        <f>HYPERLINK("https://twitter.com/Angelus1701/status/922427450109374464","922427450109374464")</f>
        <v>922427450109374464</v>
      </c>
      <c r="F3005" s="23" t="s">
        <v>91</v>
      </c>
      <c r="G3005" s="24">
        <v>849.0</v>
      </c>
      <c r="H3005" s="24">
        <v>1561.0</v>
      </c>
      <c r="I3005" s="24">
        <v>0.0</v>
      </c>
      <c r="J3005" s="24">
        <v>0.0</v>
      </c>
      <c r="K3005" s="23" t="s">
        <v>34</v>
      </c>
      <c r="L3005" s="25">
        <v>40288.10142361111</v>
      </c>
      <c r="M3005" s="26" t="s">
        <v>6029</v>
      </c>
      <c r="N3005" s="26" t="s">
        <v>6030</v>
      </c>
      <c r="O3005" s="22" t="str">
        <f>HYPERLINK("https://pbs.twimg.com/profile_images/730414344303939586/FLFk57Fb_normal.jpg","View")</f>
        <v>View</v>
      </c>
      <c r="P3005" s="27"/>
    </row>
    <row r="3006">
      <c r="A3006" s="14">
        <v>43031.19464120371</v>
      </c>
      <c r="B3006" s="20" t="str">
        <f>HYPERLINK("https://twitter.com/Hvemerdu","@Hvemerdu")</f>
        <v>@Hvemerdu</v>
      </c>
      <c r="C3006" s="21" t="s">
        <v>4087</v>
      </c>
      <c r="D3006" s="21" t="s">
        <v>5786</v>
      </c>
      <c r="E3006" s="22" t="str">
        <f>HYPERLINK("https://twitter.com/Hvemerdu/status/922427452126724096","922427452126724096")</f>
        <v>922427452126724096</v>
      </c>
      <c r="F3006" s="23" t="s">
        <v>2119</v>
      </c>
      <c r="G3006" s="24">
        <v>555.0</v>
      </c>
      <c r="H3006" s="24">
        <v>673.0</v>
      </c>
      <c r="I3006" s="24">
        <v>59.0</v>
      </c>
      <c r="J3006" s="24">
        <v>0.0</v>
      </c>
      <c r="K3006" s="23" t="s">
        <v>34</v>
      </c>
      <c r="L3006" s="25">
        <v>40129.13637731482</v>
      </c>
      <c r="M3006" s="26" t="s">
        <v>4088</v>
      </c>
      <c r="N3006" s="26" t="s">
        <v>4089</v>
      </c>
      <c r="O3006" s="22" t="str">
        <f>HYPERLINK("https://pbs.twimg.com/profile_images/1879003714/_____2________________something-like-hikonyan-is-arrested_normal.jpg","View")</f>
        <v>View</v>
      </c>
      <c r="P3006" s="27"/>
    </row>
    <row r="3007">
      <c r="A3007" s="14">
        <v>43031.19466435185</v>
      </c>
      <c r="B3007" s="20" t="str">
        <f>HYPERLINK("https://twitter.com/DaphneMugambwa","@DaphneMugambwa")</f>
        <v>@DaphneMugambwa</v>
      </c>
      <c r="C3007" s="21" t="s">
        <v>7124</v>
      </c>
      <c r="D3007" s="21" t="s">
        <v>7106</v>
      </c>
      <c r="E3007" s="22" t="str">
        <f>HYPERLINK("https://twitter.com/DaphneMugambwa/status/922427462323195905","922427462323195905")</f>
        <v>922427462323195905</v>
      </c>
      <c r="F3007" s="23" t="s">
        <v>39</v>
      </c>
      <c r="G3007" s="24">
        <v>984.0</v>
      </c>
      <c r="H3007" s="24">
        <v>843.0</v>
      </c>
      <c r="I3007" s="24">
        <v>16.0</v>
      </c>
      <c r="J3007" s="24">
        <v>0.0</v>
      </c>
      <c r="K3007" s="23" t="s">
        <v>34</v>
      </c>
      <c r="L3007" s="25">
        <v>42196.45135416667</v>
      </c>
      <c r="M3007" s="26" t="s">
        <v>7125</v>
      </c>
      <c r="N3007" s="26" t="s">
        <v>7126</v>
      </c>
      <c r="O3007" s="22" t="str">
        <f>HYPERLINK("https://pbs.twimg.com/profile_images/833632603542523904/98-J85zf_normal.jpg","View")</f>
        <v>View</v>
      </c>
      <c r="P3007" s="27"/>
    </row>
    <row r="3008">
      <c r="A3008" s="14">
        <v>43031.19467592593</v>
      </c>
      <c r="B3008" s="20" t="str">
        <f>HYPERLINK("https://twitter.com/Echohum","@Echohum")</f>
        <v>@Echohum</v>
      </c>
      <c r="C3008" s="21" t="s">
        <v>7127</v>
      </c>
      <c r="D3008" s="21" t="s">
        <v>42</v>
      </c>
      <c r="E3008" s="22" t="str">
        <f>HYPERLINK("https://twitter.com/Echohum/status/922427466131693568","922427466131693568")</f>
        <v>922427466131693568</v>
      </c>
      <c r="F3008" s="23" t="s">
        <v>39</v>
      </c>
      <c r="G3008" s="24">
        <v>227.0</v>
      </c>
      <c r="H3008" s="24">
        <v>97.0</v>
      </c>
      <c r="I3008" s="24">
        <v>8501.0</v>
      </c>
      <c r="J3008" s="24">
        <v>0.0</v>
      </c>
      <c r="K3008" s="23" t="s">
        <v>34</v>
      </c>
      <c r="L3008" s="25">
        <v>40075.01162037037</v>
      </c>
      <c r="M3008" s="26" t="s">
        <v>7128</v>
      </c>
      <c r="N3008" s="26" t="s">
        <v>7129</v>
      </c>
      <c r="O3008" s="22" t="str">
        <f>HYPERLINK("https://pbs.twimg.com/profile_images/920821379821338624/5ElAlGRa_normal.jpg","View")</f>
        <v>View</v>
      </c>
      <c r="P3008" s="27"/>
    </row>
    <row r="3009">
      <c r="A3009" s="14">
        <v>43031.194756944446</v>
      </c>
      <c r="B3009" s="20" t="str">
        <f>HYPERLINK("https://twitter.com/PoliticsNewz","@PoliticsNewz")</f>
        <v>@PoliticsNewz</v>
      </c>
      <c r="C3009" s="21" t="s">
        <v>3160</v>
      </c>
      <c r="D3009" s="21" t="s">
        <v>7130</v>
      </c>
      <c r="E3009" s="22" t="str">
        <f>HYPERLINK("https://twitter.com/PoliticsNewz/status/922427496250912768","922427496250912768")</f>
        <v>922427496250912768</v>
      </c>
      <c r="F3009" s="23" t="s">
        <v>3162</v>
      </c>
      <c r="G3009" s="24">
        <v>56447.0</v>
      </c>
      <c r="H3009" s="24">
        <v>48933.0</v>
      </c>
      <c r="I3009" s="24">
        <v>0.0</v>
      </c>
      <c r="J3009" s="24">
        <v>2.0</v>
      </c>
      <c r="K3009" s="23" t="s">
        <v>34</v>
      </c>
      <c r="L3009" s="25">
        <v>40980.540497685186</v>
      </c>
      <c r="M3009" s="26" t="s">
        <v>68</v>
      </c>
      <c r="N3009" s="26" t="s">
        <v>3074</v>
      </c>
      <c r="O3009" s="22" t="str">
        <f>HYPERLINK("https://pbs.twimg.com/profile_images/1892022292/logo-politicnewz_normal.jpg","View")</f>
        <v>View</v>
      </c>
      <c r="P3009" s="27"/>
    </row>
    <row r="3010">
      <c r="A3010" s="14">
        <v>43031.19480324074</v>
      </c>
      <c r="B3010" s="20" t="str">
        <f>HYPERLINK("https://twitter.com/YourAnonRevolt","@YourAnonRevolt")</f>
        <v>@YourAnonRevolt</v>
      </c>
      <c r="C3010" s="21" t="s">
        <v>7005</v>
      </c>
      <c r="D3010" s="21" t="s">
        <v>7131</v>
      </c>
      <c r="E3010" s="22" t="str">
        <f>HYPERLINK("https://twitter.com/YourAnonRevolt/status/922427512184901632","922427512184901632")</f>
        <v>922427512184901632</v>
      </c>
      <c r="F3010" s="23" t="s">
        <v>55</v>
      </c>
      <c r="G3010" s="24">
        <v>11008.0</v>
      </c>
      <c r="H3010" s="24">
        <v>4104.0</v>
      </c>
      <c r="I3010" s="24">
        <v>1.0</v>
      </c>
      <c r="J3010" s="24">
        <v>2.0</v>
      </c>
      <c r="K3010" s="23" t="s">
        <v>34</v>
      </c>
      <c r="L3010" s="25">
        <v>42478.10021990741</v>
      </c>
      <c r="M3010" s="26" t="s">
        <v>7007</v>
      </c>
      <c r="N3010" s="26" t="s">
        <v>7008</v>
      </c>
      <c r="O3010" s="22" t="str">
        <f>HYPERLINK("https://pbs.twimg.com/profile_images/881398153030713344/FN9uhI_M_normal.jpg","View")</f>
        <v>View</v>
      </c>
      <c r="P3010" s="27"/>
    </row>
    <row r="3011">
      <c r="A3011" s="14">
        <v>43031.19490740741</v>
      </c>
      <c r="B3011" s="20" t="str">
        <f>HYPERLINK("https://twitter.com/Just_Whitey","@Just_Whitey")</f>
        <v>@Just_Whitey</v>
      </c>
      <c r="C3011" s="21" t="s">
        <v>7132</v>
      </c>
      <c r="D3011" s="21" t="s">
        <v>7133</v>
      </c>
      <c r="E3011" s="22" t="str">
        <f>HYPERLINK("https://twitter.com/Just_Whitey/status/922427552081350657","922427552081350657")</f>
        <v>922427552081350657</v>
      </c>
      <c r="F3011" s="23" t="s">
        <v>43</v>
      </c>
      <c r="G3011" s="24">
        <v>723.0</v>
      </c>
      <c r="H3011" s="24">
        <v>1310.0</v>
      </c>
      <c r="I3011" s="24">
        <v>1.0</v>
      </c>
      <c r="J3011" s="24">
        <v>0.0</v>
      </c>
      <c r="K3011" s="23" t="s">
        <v>34</v>
      </c>
      <c r="L3011" s="25">
        <v>42326.260995370365</v>
      </c>
      <c r="M3011" s="28"/>
      <c r="N3011" s="26" t="s">
        <v>7134</v>
      </c>
      <c r="O3011" s="22" t="str">
        <f>HYPERLINK("https://pbs.twimg.com/profile_images/667017462307807232/0Gb_nCJ6_normal.jpg","View")</f>
        <v>View</v>
      </c>
      <c r="P3011" s="27"/>
    </row>
    <row r="3012">
      <c r="A3012" s="14">
        <v>43031.19496527778</v>
      </c>
      <c r="B3012" s="20" t="str">
        <f>HYPERLINK("https://twitter.com/S_Mrisho","@S_Mrisho")</f>
        <v>@S_Mrisho</v>
      </c>
      <c r="C3012" s="21" t="s">
        <v>7135</v>
      </c>
      <c r="D3012" s="21" t="s">
        <v>7106</v>
      </c>
      <c r="E3012" s="22" t="str">
        <f>HYPERLINK("https://twitter.com/S_Mrisho/status/922427570053898240","922427570053898240")</f>
        <v>922427570053898240</v>
      </c>
      <c r="F3012" s="23" t="s">
        <v>33</v>
      </c>
      <c r="G3012" s="24">
        <v>11073.0</v>
      </c>
      <c r="H3012" s="24">
        <v>792.0</v>
      </c>
      <c r="I3012" s="24">
        <v>16.0</v>
      </c>
      <c r="J3012" s="24">
        <v>0.0</v>
      </c>
      <c r="K3012" s="23" t="s">
        <v>34</v>
      </c>
      <c r="L3012" s="25">
        <v>41099.34570601852</v>
      </c>
      <c r="M3012" s="26" t="s">
        <v>7136</v>
      </c>
      <c r="N3012" s="26" t="s">
        <v>7137</v>
      </c>
      <c r="O3012" s="22" t="str">
        <f>HYPERLINK("https://pbs.twimg.com/profile_images/900641779548127232/0KkBZOgy_normal.jpg","View")</f>
        <v>View</v>
      </c>
      <c r="P3012" s="27"/>
    </row>
    <row r="3013">
      <c r="A3013" s="14">
        <v>43031.19501157408</v>
      </c>
      <c r="B3013" s="20" t="str">
        <f>HYPERLINK("https://twitter.com/AIDIndia3","@AIDIndia3")</f>
        <v>@AIDIndia3</v>
      </c>
      <c r="C3013" s="21" t="s">
        <v>3477</v>
      </c>
      <c r="D3013" s="21" t="s">
        <v>7138</v>
      </c>
      <c r="E3013" s="22" t="str">
        <f>HYPERLINK("https://twitter.com/AIDIndia3/status/922427588005412864","922427588005412864")</f>
        <v>922427588005412864</v>
      </c>
      <c r="F3013" s="23" t="s">
        <v>3479</v>
      </c>
      <c r="G3013" s="24">
        <v>289.0</v>
      </c>
      <c r="H3013" s="24">
        <v>152.0</v>
      </c>
      <c r="I3013" s="24">
        <v>1.0</v>
      </c>
      <c r="J3013" s="24">
        <v>0.0</v>
      </c>
      <c r="K3013" s="23" t="s">
        <v>34</v>
      </c>
      <c r="L3013" s="25">
        <v>42625.206296296295</v>
      </c>
      <c r="M3013" s="26" t="s">
        <v>575</v>
      </c>
      <c r="N3013" s="26" t="s">
        <v>3480</v>
      </c>
      <c r="O3013" s="22" t="str">
        <f>HYPERLINK("https://pbs.twimg.com/profile_images/775305592504217600/Ea7UL5A7_normal.jpg","View")</f>
        <v>View</v>
      </c>
      <c r="P3013" s="27"/>
    </row>
    <row r="3014">
      <c r="A3014" s="14">
        <v>43031.19501157408</v>
      </c>
      <c r="B3014" s="20" t="str">
        <f>HYPERLINK("https://twitter.com/Lillaleyo","@Lillaleyo")</f>
        <v>@Lillaleyo</v>
      </c>
      <c r="C3014" s="21" t="s">
        <v>7139</v>
      </c>
      <c r="D3014" s="21" t="s">
        <v>32</v>
      </c>
      <c r="E3014" s="22" t="str">
        <f>HYPERLINK("https://twitter.com/Lillaleyo/status/922427589511168000","922427589511168000")</f>
        <v>922427589511168000</v>
      </c>
      <c r="F3014" s="23" t="s">
        <v>33</v>
      </c>
      <c r="G3014" s="24">
        <v>112.0</v>
      </c>
      <c r="H3014" s="24">
        <v>384.0</v>
      </c>
      <c r="I3014" s="24">
        <v>471.0</v>
      </c>
      <c r="J3014" s="24">
        <v>0.0</v>
      </c>
      <c r="K3014" s="23" t="s">
        <v>34</v>
      </c>
      <c r="L3014" s="25">
        <v>40490.05829861111</v>
      </c>
      <c r="M3014" s="26" t="s">
        <v>114</v>
      </c>
      <c r="N3014" s="28"/>
      <c r="O3014" s="22" t="str">
        <f>HYPERLINK("https://pbs.twimg.com/profile_images/794636259935260673/s5uzemDf_normal.jpg","View")</f>
        <v>View</v>
      </c>
      <c r="P3014" s="27"/>
    </row>
    <row r="3015">
      <c r="A3015" s="14">
        <v>43031.19510416666</v>
      </c>
      <c r="B3015" s="20" t="str">
        <f>HYPERLINK("https://twitter.com/finstrikeMaxim","@finstrikeMaxim")</f>
        <v>@finstrikeMaxim</v>
      </c>
      <c r="C3015" s="21" t="s">
        <v>7140</v>
      </c>
      <c r="D3015" s="21" t="s">
        <v>7141</v>
      </c>
      <c r="E3015" s="22" t="str">
        <f>HYPERLINK("https://twitter.com/finstrikeMaxim/status/922427620586868736","922427620586868736")</f>
        <v>922427620586868736</v>
      </c>
      <c r="F3015" s="23" t="s">
        <v>39</v>
      </c>
      <c r="G3015" s="24">
        <v>139.0</v>
      </c>
      <c r="H3015" s="24">
        <v>1020.0</v>
      </c>
      <c r="I3015" s="24">
        <v>1.0</v>
      </c>
      <c r="J3015" s="24">
        <v>0.0</v>
      </c>
      <c r="K3015" s="23" t="s">
        <v>34</v>
      </c>
      <c r="L3015" s="25">
        <v>41921.68653935185</v>
      </c>
      <c r="M3015" s="26" t="s">
        <v>7142</v>
      </c>
      <c r="N3015" s="28"/>
      <c r="O3015" s="22" t="str">
        <f>HYPERLINK("https://pbs.twimg.com/profile_images/520360893775761408/wHDreZPv_normal.jpeg","View")</f>
        <v>View</v>
      </c>
      <c r="P3015" s="27"/>
    </row>
    <row r="3016">
      <c r="A3016" s="14">
        <v>43031.195115740746</v>
      </c>
      <c r="B3016" s="20" t="str">
        <f>HYPERLINK("https://twitter.com/ceciletamura","@ceciletamura")</f>
        <v>@ceciletamura</v>
      </c>
      <c r="C3016" s="21" t="s">
        <v>7143</v>
      </c>
      <c r="D3016" s="21" t="s">
        <v>7106</v>
      </c>
      <c r="E3016" s="22" t="str">
        <f>HYPERLINK("https://twitter.com/ceciletamura/status/922427624164548609","922427624164548609")</f>
        <v>922427624164548609</v>
      </c>
      <c r="F3016" s="23" t="s">
        <v>55</v>
      </c>
      <c r="G3016" s="24">
        <v>1266.0</v>
      </c>
      <c r="H3016" s="24">
        <v>3242.0</v>
      </c>
      <c r="I3016" s="24">
        <v>16.0</v>
      </c>
      <c r="J3016" s="24">
        <v>0.0</v>
      </c>
      <c r="K3016" s="23" t="s">
        <v>34</v>
      </c>
      <c r="L3016" s="25">
        <v>41738.88763888889</v>
      </c>
      <c r="M3016" s="28"/>
      <c r="N3016" s="26" t="s">
        <v>7144</v>
      </c>
      <c r="O3016" s="22" t="str">
        <f>HYPERLINK("https://pbs.twimg.com/profile_images/534270182034665473/uwHxaxSt_normal.jpeg","View")</f>
        <v>View</v>
      </c>
      <c r="P3016" s="27"/>
    </row>
    <row r="3017">
      <c r="A3017" s="14">
        <v>43031.195127314815</v>
      </c>
      <c r="B3017" s="20" t="str">
        <f>HYPERLINK("https://twitter.com/abhishek44822","@abhishek44822")</f>
        <v>@abhishek44822</v>
      </c>
      <c r="C3017" s="21" t="s">
        <v>7145</v>
      </c>
      <c r="D3017" s="21" t="s">
        <v>42</v>
      </c>
      <c r="E3017" s="22" t="str">
        <f>HYPERLINK("https://twitter.com/abhishek44822/status/922427631521341440","922427631521341440")</f>
        <v>922427631521341440</v>
      </c>
      <c r="F3017" s="23" t="s">
        <v>43</v>
      </c>
      <c r="G3017" s="24">
        <v>210.0</v>
      </c>
      <c r="H3017" s="24">
        <v>738.0</v>
      </c>
      <c r="I3017" s="24">
        <v>8501.0</v>
      </c>
      <c r="J3017" s="24">
        <v>0.0</v>
      </c>
      <c r="K3017" s="23" t="s">
        <v>34</v>
      </c>
      <c r="L3017" s="25">
        <v>40314.55736111111</v>
      </c>
      <c r="M3017" s="26" t="s">
        <v>334</v>
      </c>
      <c r="N3017" s="26" t="s">
        <v>7146</v>
      </c>
      <c r="O3017" s="22" t="str">
        <f>HYPERLINK("https://pbs.twimg.com/profile_images/876683274701164544/137qlrHn_normal.jpg","View")</f>
        <v>View</v>
      </c>
      <c r="P3017" s="27"/>
    </row>
    <row r="3018">
      <c r="A3018" s="14">
        <v>43031.195127314815</v>
      </c>
      <c r="B3018" s="20" t="str">
        <f>HYPERLINK("https://twitter.com/cjnoyes","@cjnoyes")</f>
        <v>@cjnoyes</v>
      </c>
      <c r="C3018" s="21" t="s">
        <v>7147</v>
      </c>
      <c r="D3018" s="21" t="s">
        <v>6991</v>
      </c>
      <c r="E3018" s="22" t="str">
        <f>HYPERLINK("https://twitter.com/cjnoyes/status/922427631672406017","922427631672406017")</f>
        <v>922427631672406017</v>
      </c>
      <c r="F3018" s="23" t="s">
        <v>39</v>
      </c>
      <c r="G3018" s="24">
        <v>423.0</v>
      </c>
      <c r="H3018" s="24">
        <v>515.0</v>
      </c>
      <c r="I3018" s="24">
        <v>22.0</v>
      </c>
      <c r="J3018" s="24">
        <v>0.0</v>
      </c>
      <c r="K3018" s="23" t="s">
        <v>34</v>
      </c>
      <c r="L3018" s="25">
        <v>39888.845925925925</v>
      </c>
      <c r="M3018" s="26" t="s">
        <v>120</v>
      </c>
      <c r="N3018" s="26" t="s">
        <v>7148</v>
      </c>
      <c r="O3018" s="22" t="str">
        <f>HYPERLINK("https://pbs.twimg.com/profile_images/2337649834/fn17vtu90cn0fr1l99o3_normal.png","View")</f>
        <v>View</v>
      </c>
      <c r="P3018" s="27"/>
    </row>
    <row r="3019">
      <c r="A3019" s="14">
        <v>43031.19525462963</v>
      </c>
      <c r="B3019" s="20" t="str">
        <f>HYPERLINK("https://twitter.com/konstantinaBel3","@konstantinaBel3")</f>
        <v>@konstantinaBel3</v>
      </c>
      <c r="C3019" s="21" t="s">
        <v>6619</v>
      </c>
      <c r="D3019" s="21" t="s">
        <v>6991</v>
      </c>
      <c r="E3019" s="22" t="str">
        <f>HYPERLINK("https://twitter.com/konstantinaBel3/status/922427674659905536","922427674659905536")</f>
        <v>922427674659905536</v>
      </c>
      <c r="F3019" s="23" t="s">
        <v>43</v>
      </c>
      <c r="G3019" s="24">
        <v>498.0</v>
      </c>
      <c r="H3019" s="24">
        <v>1007.0</v>
      </c>
      <c r="I3019" s="24">
        <v>22.0</v>
      </c>
      <c r="J3019" s="24">
        <v>0.0</v>
      </c>
      <c r="K3019" s="23" t="s">
        <v>34</v>
      </c>
      <c r="L3019" s="25">
        <v>42240.24513888889</v>
      </c>
      <c r="M3019" s="26" t="s">
        <v>6620</v>
      </c>
      <c r="N3019" s="26" t="s">
        <v>6621</v>
      </c>
      <c r="O3019" s="22" t="str">
        <f>HYPERLINK("https://pbs.twimg.com/profile_images/909814956161413121/FC--YmLH_normal.jpg","View")</f>
        <v>View</v>
      </c>
      <c r="P3019" s="27"/>
    </row>
    <row r="3020">
      <c r="A3020" s="14">
        <v>43031.1953125</v>
      </c>
      <c r="B3020" s="20" t="str">
        <f>HYPERLINK("https://twitter.com/kmtsudhir06","@kmtsudhir06")</f>
        <v>@kmtsudhir06</v>
      </c>
      <c r="C3020" s="21" t="s">
        <v>7149</v>
      </c>
      <c r="D3020" s="21" t="s">
        <v>42</v>
      </c>
      <c r="E3020" s="22" t="str">
        <f>HYPERLINK("https://twitter.com/kmtsudhir06/status/922427697589972993","922427697589972993")</f>
        <v>922427697589972993</v>
      </c>
      <c r="F3020" s="23" t="s">
        <v>33</v>
      </c>
      <c r="G3020" s="24">
        <v>37.0</v>
      </c>
      <c r="H3020" s="24">
        <v>95.0</v>
      </c>
      <c r="I3020" s="24">
        <v>8501.0</v>
      </c>
      <c r="J3020" s="24">
        <v>0.0</v>
      </c>
      <c r="K3020" s="23" t="s">
        <v>34</v>
      </c>
      <c r="L3020" s="25">
        <v>41986.928449074076</v>
      </c>
      <c r="M3020" s="26" t="s">
        <v>246</v>
      </c>
      <c r="N3020" s="28"/>
      <c r="O3020" s="22" t="str">
        <f>HYPERLINK("https://pbs.twimg.com/profile_images/832615303766872064/kYHDppif_normal.jpg","View")</f>
        <v>View</v>
      </c>
      <c r="P3020" s="27"/>
    </row>
    <row r="3021">
      <c r="A3021" s="14">
        <v>43031.19532407407</v>
      </c>
      <c r="B3021" s="20" t="str">
        <f>HYPERLINK("https://twitter.com/AR_Tweet_INews","@AR_Tweet_INews")</f>
        <v>@AR_Tweet_INews</v>
      </c>
      <c r="C3021" s="21" t="s">
        <v>7150</v>
      </c>
      <c r="D3021" s="21" t="s">
        <v>3748</v>
      </c>
      <c r="E3021" s="22" t="str">
        <f>HYPERLINK("https://twitter.com/AR_Tweet_INews/status/922427700119293952","922427700119293952")</f>
        <v>922427700119293952</v>
      </c>
      <c r="F3021" s="23" t="s">
        <v>55</v>
      </c>
      <c r="G3021" s="24">
        <v>1855.0</v>
      </c>
      <c r="H3021" s="24">
        <v>1273.0</v>
      </c>
      <c r="I3021" s="24">
        <v>10.0</v>
      </c>
      <c r="J3021" s="24">
        <v>0.0</v>
      </c>
      <c r="K3021" s="23" t="s">
        <v>34</v>
      </c>
      <c r="L3021" s="25">
        <v>42860.36642361111</v>
      </c>
      <c r="M3021" s="26" t="s">
        <v>7151</v>
      </c>
      <c r="N3021" s="32" t="s">
        <v>7152</v>
      </c>
      <c r="O3021" s="22" t="str">
        <f>HYPERLINK("https://pbs.twimg.com/profile_images/914229978375639041/5JNEUCDK_normal.jpg","View")</f>
        <v>View</v>
      </c>
      <c r="P3021" s="27"/>
    </row>
    <row r="3022">
      <c r="A3022" s="14">
        <v>43031.19533564815</v>
      </c>
      <c r="B3022" s="20" t="str">
        <f>HYPERLINK("https://twitter.com/hors4glors","@hors4glors")</f>
        <v>@hors4glors</v>
      </c>
      <c r="C3022" s="21" t="s">
        <v>7153</v>
      </c>
      <c r="D3022" s="21" t="s">
        <v>2456</v>
      </c>
      <c r="E3022" s="22" t="str">
        <f>HYPERLINK("https://twitter.com/hors4glors/status/922427704913399809","922427704913399809")</f>
        <v>922427704913399809</v>
      </c>
      <c r="F3022" s="23" t="s">
        <v>33</v>
      </c>
      <c r="G3022" s="24">
        <v>90.0</v>
      </c>
      <c r="H3022" s="24">
        <v>613.0</v>
      </c>
      <c r="I3022" s="24">
        <v>49.0</v>
      </c>
      <c r="J3022" s="24">
        <v>0.0</v>
      </c>
      <c r="K3022" s="23" t="s">
        <v>34</v>
      </c>
      <c r="L3022" s="25">
        <v>42008.623819444445</v>
      </c>
      <c r="M3022" s="28"/>
      <c r="N3022" s="28"/>
      <c r="O3022" s="22" t="str">
        <f>HYPERLINK("https://pbs.twimg.com/profile_images/703729868014428160/jceISsIj_normal.jpg","View")</f>
        <v>View</v>
      </c>
      <c r="P3022" s="27"/>
    </row>
    <row r="3023">
      <c r="A3023" s="14">
        <v>43031.19540509259</v>
      </c>
      <c r="B3023" s="20" t="str">
        <f>HYPERLINK("https://twitter.com/suryasinghBJP","@suryasinghBJP")</f>
        <v>@suryasinghBJP</v>
      </c>
      <c r="C3023" s="21" t="s">
        <v>7154</v>
      </c>
      <c r="D3023" s="21" t="s">
        <v>42</v>
      </c>
      <c r="E3023" s="22" t="str">
        <f>HYPERLINK("https://twitter.com/suryasinghBJP/status/922427729382924291","922427729382924291")</f>
        <v>922427729382924291</v>
      </c>
      <c r="F3023" s="23" t="s">
        <v>43</v>
      </c>
      <c r="G3023" s="24">
        <v>1515.0</v>
      </c>
      <c r="H3023" s="24">
        <v>768.0</v>
      </c>
      <c r="I3023" s="24">
        <v>8501.0</v>
      </c>
      <c r="J3023" s="24">
        <v>0.0</v>
      </c>
      <c r="K3023" s="23" t="s">
        <v>34</v>
      </c>
      <c r="L3023" s="25">
        <v>42689.075578703705</v>
      </c>
      <c r="M3023" s="26" t="s">
        <v>7155</v>
      </c>
      <c r="N3023" s="26" t="s">
        <v>7156</v>
      </c>
      <c r="O3023" s="22" t="str">
        <f>HYPERLINK("https://pbs.twimg.com/profile_images/922424602495733764/vT1yy_L__normal.jpg","View")</f>
        <v>View</v>
      </c>
      <c r="P3023" s="27"/>
    </row>
    <row r="3024">
      <c r="A3024" s="14">
        <v>43031.195486111115</v>
      </c>
      <c r="B3024" s="20" t="str">
        <f>HYPERLINK("https://twitter.com/lucchaoui","@lucchaoui")</f>
        <v>@lucchaoui</v>
      </c>
      <c r="C3024" s="21" t="s">
        <v>1405</v>
      </c>
      <c r="D3024" s="21" t="s">
        <v>7157</v>
      </c>
      <c r="E3024" s="22" t="str">
        <f>HYPERLINK("https://twitter.com/lucchaoui/status/922427759347097601","922427759347097601")</f>
        <v>922427759347097601</v>
      </c>
      <c r="F3024" s="23" t="s">
        <v>187</v>
      </c>
      <c r="G3024" s="24">
        <v>397521.0</v>
      </c>
      <c r="H3024" s="24">
        <v>390.0</v>
      </c>
      <c r="I3024" s="24">
        <v>0.0</v>
      </c>
      <c r="J3024" s="24">
        <v>0.0</v>
      </c>
      <c r="K3024" s="23" t="s">
        <v>34</v>
      </c>
      <c r="L3024" s="25">
        <v>39932.40519675926</v>
      </c>
      <c r="M3024" s="26" t="s">
        <v>1407</v>
      </c>
      <c r="N3024" s="26" t="s">
        <v>1408</v>
      </c>
      <c r="O3024" s="22" t="str">
        <f>HYPERLINK("https://pbs.twimg.com/profile_images/845679875734196224/DS22r1ae_normal.jpg","View")</f>
        <v>View</v>
      </c>
      <c r="P3024" s="27"/>
    </row>
    <row r="3025">
      <c r="A3025" s="14">
        <v>43031.19552083334</v>
      </c>
      <c r="B3025" s="20" t="str">
        <f>HYPERLINK("https://twitter.com/fujisiro","@fujisiro")</f>
        <v>@fujisiro</v>
      </c>
      <c r="C3025" s="21" t="s">
        <v>7158</v>
      </c>
      <c r="D3025" s="21" t="s">
        <v>5126</v>
      </c>
      <c r="E3025" s="22" t="str">
        <f>HYPERLINK("https://twitter.com/fujisiro/status/922427771032256512","922427771032256512")</f>
        <v>922427771032256512</v>
      </c>
      <c r="F3025" s="23" t="s">
        <v>39</v>
      </c>
      <c r="G3025" s="24">
        <v>12004.0</v>
      </c>
      <c r="H3025" s="24">
        <v>487.0</v>
      </c>
      <c r="I3025" s="24">
        <v>7.0</v>
      </c>
      <c r="J3025" s="24">
        <v>0.0</v>
      </c>
      <c r="K3025" s="23" t="s">
        <v>34</v>
      </c>
      <c r="L3025" s="25">
        <v>39198.01631944445</v>
      </c>
      <c r="M3025" s="28"/>
      <c r="N3025" s="26" t="s">
        <v>7159</v>
      </c>
      <c r="O3025" s="22" t="str">
        <f>HYPERLINK("https://pbs.twimg.com/profile_images/811816940779937792/zO247TME_normal.jpg","View")</f>
        <v>View</v>
      </c>
      <c r="P3025" s="27"/>
    </row>
    <row r="3026">
      <c r="A3026" s="14">
        <v>43031.19553240741</v>
      </c>
      <c r="B3026" s="20" t="str">
        <f>HYPERLINK("https://twitter.com/yy13430","@yy13430")</f>
        <v>@yy13430</v>
      </c>
      <c r="C3026" s="21">
        <v>13430.0</v>
      </c>
      <c r="D3026" s="21" t="s">
        <v>105</v>
      </c>
      <c r="E3026" s="22" t="str">
        <f>HYPERLINK("https://twitter.com/yy13430/status/922427776497364993","922427776497364993")</f>
        <v>922427776497364993</v>
      </c>
      <c r="F3026" s="23" t="s">
        <v>39</v>
      </c>
      <c r="G3026" s="24">
        <v>1038.0</v>
      </c>
      <c r="H3026" s="24">
        <v>1223.0</v>
      </c>
      <c r="I3026" s="24">
        <v>69.0</v>
      </c>
      <c r="J3026" s="24">
        <v>0.0</v>
      </c>
      <c r="K3026" s="23" t="s">
        <v>34</v>
      </c>
      <c r="L3026" s="25">
        <v>41162.65510416667</v>
      </c>
      <c r="M3026" s="28"/>
      <c r="N3026" s="26" t="s">
        <v>7160</v>
      </c>
      <c r="O3026" s="22" t="str">
        <f>HYPERLINK("https://pbs.twimg.com/profile_images/732029287583211520/aWn_3YCR_normal.jpg","View")</f>
        <v>View</v>
      </c>
      <c r="P3026" s="27"/>
    </row>
    <row r="3027">
      <c r="A3027" s="14">
        <v>43031.19556712963</v>
      </c>
      <c r="B3027" s="20" t="str">
        <f>HYPERLINK("https://twitter.com/Abhi_D_","@Abhi_D_")</f>
        <v>@Abhi_D_</v>
      </c>
      <c r="C3027" s="21" t="s">
        <v>6840</v>
      </c>
      <c r="D3027" s="21" t="s">
        <v>4507</v>
      </c>
      <c r="E3027" s="22" t="str">
        <f>HYPERLINK("https://twitter.com/Abhi_D_/status/922427788254052352","922427788254052352")</f>
        <v>922427788254052352</v>
      </c>
      <c r="F3027" s="23" t="s">
        <v>33</v>
      </c>
      <c r="G3027" s="24">
        <v>908.0</v>
      </c>
      <c r="H3027" s="24">
        <v>1502.0</v>
      </c>
      <c r="I3027" s="24">
        <v>139.0</v>
      </c>
      <c r="J3027" s="24">
        <v>0.0</v>
      </c>
      <c r="K3027" s="23" t="s">
        <v>34</v>
      </c>
      <c r="L3027" s="25">
        <v>40535.808483796296</v>
      </c>
      <c r="M3027" s="26" t="s">
        <v>6841</v>
      </c>
      <c r="N3027" s="26" t="s">
        <v>6842</v>
      </c>
      <c r="O3027" s="22" t="str">
        <f>HYPERLINK("https://pbs.twimg.com/profile_images/885864311914188800/antUim-N_normal.jpg","View")</f>
        <v>View</v>
      </c>
      <c r="P3027" s="27"/>
    </row>
    <row r="3028">
      <c r="A3028" s="14">
        <v>43031.19556712963</v>
      </c>
      <c r="B3028" s="20" t="str">
        <f>HYPERLINK("https://twitter.com/yy13430","@yy13430")</f>
        <v>@yy13430</v>
      </c>
      <c r="C3028" s="21">
        <v>13430.0</v>
      </c>
      <c r="D3028" s="21" t="s">
        <v>1426</v>
      </c>
      <c r="E3028" s="22" t="str">
        <f>HYPERLINK("https://twitter.com/yy13430/status/922427789650796544","922427789650796544")</f>
        <v>922427789650796544</v>
      </c>
      <c r="F3028" s="23" t="s">
        <v>39</v>
      </c>
      <c r="G3028" s="24">
        <v>1038.0</v>
      </c>
      <c r="H3028" s="24">
        <v>1223.0</v>
      </c>
      <c r="I3028" s="24">
        <v>29.0</v>
      </c>
      <c r="J3028" s="24">
        <v>0.0</v>
      </c>
      <c r="K3028" s="23" t="s">
        <v>34</v>
      </c>
      <c r="L3028" s="25">
        <v>41162.65510416667</v>
      </c>
      <c r="M3028" s="28"/>
      <c r="N3028" s="26" t="s">
        <v>7160</v>
      </c>
      <c r="O3028" s="22" t="str">
        <f>HYPERLINK("https://pbs.twimg.com/profile_images/732029287583211520/aWn_3YCR_normal.jpg","View")</f>
        <v>View</v>
      </c>
      <c r="P3028" s="27"/>
    </row>
    <row r="3029">
      <c r="A3029" s="14">
        <v>43031.1955787037</v>
      </c>
      <c r="B3029" s="20" t="str">
        <f>HYPERLINK("https://twitter.com/ironsightforge","@ironsightforge")</f>
        <v>@ironsightforge</v>
      </c>
      <c r="C3029" s="21" t="s">
        <v>7161</v>
      </c>
      <c r="D3029" s="21" t="s">
        <v>7106</v>
      </c>
      <c r="E3029" s="22" t="str">
        <f>HYPERLINK("https://twitter.com/ironsightforge/status/922427792448479233","922427792448479233")</f>
        <v>922427792448479233</v>
      </c>
      <c r="F3029" s="23" t="s">
        <v>33</v>
      </c>
      <c r="G3029" s="24">
        <v>392.0</v>
      </c>
      <c r="H3029" s="24">
        <v>379.0</v>
      </c>
      <c r="I3029" s="24">
        <v>16.0</v>
      </c>
      <c r="J3029" s="24">
        <v>0.0</v>
      </c>
      <c r="K3029" s="23" t="s">
        <v>34</v>
      </c>
      <c r="L3029" s="25">
        <v>42192.77121527778</v>
      </c>
      <c r="M3029" s="26" t="s">
        <v>7162</v>
      </c>
      <c r="N3029" s="26" t="s">
        <v>7163</v>
      </c>
      <c r="O3029" s="22" t="str">
        <f>HYPERLINK("https://pbs.twimg.com/profile_images/664735847695056896/IXzjdknt_normal.jpg","View")</f>
        <v>View</v>
      </c>
      <c r="P3029" s="27"/>
    </row>
    <row r="3030">
      <c r="A3030" s="14">
        <v>43031.19571759259</v>
      </c>
      <c r="B3030" s="20" t="str">
        <f>HYPERLINK("https://twitter.com/Rishikumar2017","@Rishikumar2017")</f>
        <v>@Rishikumar2017</v>
      </c>
      <c r="C3030" s="21" t="s">
        <v>7164</v>
      </c>
      <c r="D3030" s="21" t="s">
        <v>42</v>
      </c>
      <c r="E3030" s="22" t="str">
        <f>HYPERLINK("https://twitter.com/Rishikumar2017/status/922427845049118720","922427845049118720")</f>
        <v>922427845049118720</v>
      </c>
      <c r="F3030" s="23" t="s">
        <v>43</v>
      </c>
      <c r="G3030" s="24">
        <v>69.0</v>
      </c>
      <c r="H3030" s="24">
        <v>83.0</v>
      </c>
      <c r="I3030" s="24">
        <v>8501.0</v>
      </c>
      <c r="J3030" s="24">
        <v>0.0</v>
      </c>
      <c r="K3030" s="23" t="s">
        <v>34</v>
      </c>
      <c r="L3030" s="25">
        <v>42852.911203703705</v>
      </c>
      <c r="M3030" s="26" t="s">
        <v>204</v>
      </c>
      <c r="N3030" s="28"/>
      <c r="O3030" s="22" t="str">
        <f>HYPERLINK("https://pbs.twimg.com/profile_images/892542336315514880/XdbrqGuV_normal.jpg","View")</f>
        <v>View</v>
      </c>
      <c r="P3030" s="27"/>
    </row>
    <row r="3031">
      <c r="A3031" s="14">
        <v>43031.19572916666</v>
      </c>
      <c r="B3031" s="20" t="str">
        <f>HYPERLINK("https://twitter.com/YourAnonRevolt","@YourAnonRevolt")</f>
        <v>@YourAnonRevolt</v>
      </c>
      <c r="C3031" s="21" t="s">
        <v>7005</v>
      </c>
      <c r="D3031" s="21" t="s">
        <v>7165</v>
      </c>
      <c r="E3031" s="22" t="str">
        <f>HYPERLINK("https://twitter.com/YourAnonRevolt/status/922427849570639873","922427849570639873")</f>
        <v>922427849570639873</v>
      </c>
      <c r="F3031" s="23" t="s">
        <v>55</v>
      </c>
      <c r="G3031" s="24">
        <v>11008.0</v>
      </c>
      <c r="H3031" s="24">
        <v>4104.0</v>
      </c>
      <c r="I3031" s="24">
        <v>2.0</v>
      </c>
      <c r="J3031" s="24">
        <v>0.0</v>
      </c>
      <c r="K3031" s="23" t="s">
        <v>34</v>
      </c>
      <c r="L3031" s="25">
        <v>42478.10021990741</v>
      </c>
      <c r="M3031" s="26" t="s">
        <v>7007</v>
      </c>
      <c r="N3031" s="26" t="s">
        <v>7008</v>
      </c>
      <c r="O3031" s="22" t="str">
        <f>HYPERLINK("https://pbs.twimg.com/profile_images/881398153030713344/FN9uhI_M_normal.jpg","View")</f>
        <v>View</v>
      </c>
      <c r="P3031" s="27"/>
    </row>
    <row r="3032">
      <c r="A3032" s="14">
        <v>43031.195752314816</v>
      </c>
      <c r="B3032" s="20" t="str">
        <f>HYPERLINK("https://twitter.com/Anuj33044","@Anuj33044")</f>
        <v>@Anuj33044</v>
      </c>
      <c r="C3032" s="21" t="s">
        <v>7166</v>
      </c>
      <c r="D3032" s="21" t="s">
        <v>42</v>
      </c>
      <c r="E3032" s="22" t="str">
        <f>HYPERLINK("https://twitter.com/Anuj33044/status/922427855467769856","922427855467769856")</f>
        <v>922427855467769856</v>
      </c>
      <c r="F3032" s="23" t="s">
        <v>33</v>
      </c>
      <c r="G3032" s="24">
        <v>2.0</v>
      </c>
      <c r="H3032" s="24">
        <v>62.0</v>
      </c>
      <c r="I3032" s="24">
        <v>8501.0</v>
      </c>
      <c r="J3032" s="24">
        <v>0.0</v>
      </c>
      <c r="K3032" s="23" t="s">
        <v>34</v>
      </c>
      <c r="L3032" s="25">
        <v>43006.94258101852</v>
      </c>
      <c r="M3032" s="28"/>
      <c r="N3032" s="28"/>
      <c r="O3032" s="22" t="str">
        <f>HYPERLINK("https://abs.twimg.com/sticky/default_profile_images/default_profile_normal.png","View")</f>
        <v>View</v>
      </c>
      <c r="P3032" s="27"/>
    </row>
    <row r="3033">
      <c r="A3033" s="14">
        <v>43031.195763888885</v>
      </c>
      <c r="B3033" s="20" t="str">
        <f>HYPERLINK("https://twitter.com/kappamantojo","@kappamantojo")</f>
        <v>@kappamantojo</v>
      </c>
      <c r="C3033" s="21" t="s">
        <v>7167</v>
      </c>
      <c r="D3033" s="21" t="s">
        <v>42</v>
      </c>
      <c r="E3033" s="22" t="str">
        <f>HYPERLINK("https://twitter.com/kappamantojo/status/922427859540381703","922427859540381703")</f>
        <v>922427859540381703</v>
      </c>
      <c r="F3033" s="23" t="s">
        <v>55</v>
      </c>
      <c r="G3033" s="24">
        <v>1195.0</v>
      </c>
      <c r="H3033" s="24">
        <v>1279.0</v>
      </c>
      <c r="I3033" s="24">
        <v>8501.0</v>
      </c>
      <c r="J3033" s="24">
        <v>0.0</v>
      </c>
      <c r="K3033" s="23" t="s">
        <v>34</v>
      </c>
      <c r="L3033" s="25">
        <v>41360.86277777778</v>
      </c>
      <c r="M3033" s="28"/>
      <c r="N3033" s="26" t="s">
        <v>7168</v>
      </c>
      <c r="O3033" s="22" t="str">
        <f>HYPERLINK("https://pbs.twimg.com/profile_images/3711190165/aa4d013e52960351c92654f034736beb_normal.png","View")</f>
        <v>View</v>
      </c>
      <c r="P3033" s="27"/>
    </row>
    <row r="3034">
      <c r="A3034" s="14">
        <v>43031.19578703704</v>
      </c>
      <c r="B3034" s="20" t="str">
        <f>HYPERLINK("https://twitter.com/SupriyaSehgal_3","@SupriyaSehgal_3")</f>
        <v>@SupriyaSehgal_3</v>
      </c>
      <c r="C3034" s="21" t="s">
        <v>6553</v>
      </c>
      <c r="D3034" s="21" t="s">
        <v>42</v>
      </c>
      <c r="E3034" s="22" t="str">
        <f>HYPERLINK("https://twitter.com/SupriyaSehgal_3/status/922427868591919104","922427868591919104")</f>
        <v>922427868591919104</v>
      </c>
      <c r="F3034" s="23" t="s">
        <v>33</v>
      </c>
      <c r="G3034" s="24">
        <v>694.0</v>
      </c>
      <c r="H3034" s="24">
        <v>273.0</v>
      </c>
      <c r="I3034" s="24">
        <v>8501.0</v>
      </c>
      <c r="J3034" s="24">
        <v>0.0</v>
      </c>
      <c r="K3034" s="23" t="s">
        <v>34</v>
      </c>
      <c r="L3034" s="25">
        <v>42372.9314699074</v>
      </c>
      <c r="M3034" s="26" t="s">
        <v>204</v>
      </c>
      <c r="N3034" s="26" t="s">
        <v>6554</v>
      </c>
      <c r="O3034" s="22" t="str">
        <f>HYPERLINK("https://pbs.twimg.com/profile_images/894577005441593344/Y-qiGFSu_normal.jpg","View")</f>
        <v>View</v>
      </c>
      <c r="P3034" s="27"/>
    </row>
    <row r="3035">
      <c r="A3035" s="14">
        <v>43031.19579861111</v>
      </c>
      <c r="B3035" s="20" t="str">
        <f>HYPERLINK("https://twitter.com/QxNews","@QxNews")</f>
        <v>@QxNews</v>
      </c>
      <c r="C3035" s="21" t="s">
        <v>3818</v>
      </c>
      <c r="D3035" s="21" t="s">
        <v>7106</v>
      </c>
      <c r="E3035" s="22" t="str">
        <f>HYPERLINK("https://twitter.com/QxNews/status/922427871632678913","922427871632678913")</f>
        <v>922427871632678913</v>
      </c>
      <c r="F3035" s="23" t="s">
        <v>3819</v>
      </c>
      <c r="G3035" s="24">
        <v>3220.0</v>
      </c>
      <c r="H3035" s="24">
        <v>271.0</v>
      </c>
      <c r="I3035" s="24">
        <v>16.0</v>
      </c>
      <c r="J3035" s="24">
        <v>0.0</v>
      </c>
      <c r="K3035" s="23" t="s">
        <v>34</v>
      </c>
      <c r="L3035" s="25">
        <v>41497.85806712963</v>
      </c>
      <c r="M3035" s="26" t="s">
        <v>905</v>
      </c>
      <c r="N3035" s="26" t="s">
        <v>3820</v>
      </c>
      <c r="O3035" s="22" t="str">
        <f>HYPERLINK("https://pbs.twimg.com/profile_images/597288578092240896/ePlmSYCH_normal.png","View")</f>
        <v>View</v>
      </c>
      <c r="P3035" s="27"/>
    </row>
    <row r="3036">
      <c r="A3036" s="14">
        <v>43031.19583333333</v>
      </c>
      <c r="B3036" s="20" t="str">
        <f>HYPERLINK("https://twitter.com/HarshilBhuria","@HarshilBhuria")</f>
        <v>@HarshilBhuria</v>
      </c>
      <c r="C3036" s="21" t="s">
        <v>7169</v>
      </c>
      <c r="D3036" s="21" t="s">
        <v>42</v>
      </c>
      <c r="E3036" s="22" t="str">
        <f>HYPERLINK("https://twitter.com/HarshilBhuria/status/922427885951922177","922427885951922177")</f>
        <v>922427885951922177</v>
      </c>
      <c r="F3036" s="23" t="s">
        <v>33</v>
      </c>
      <c r="G3036" s="24">
        <v>9181.0</v>
      </c>
      <c r="H3036" s="24">
        <v>843.0</v>
      </c>
      <c r="I3036" s="24">
        <v>8501.0</v>
      </c>
      <c r="J3036" s="24">
        <v>0.0</v>
      </c>
      <c r="K3036" s="23" t="s">
        <v>34</v>
      </c>
      <c r="L3036" s="25">
        <v>41058.84806712963</v>
      </c>
      <c r="M3036" s="26" t="s">
        <v>7170</v>
      </c>
      <c r="N3036" s="26" t="s">
        <v>7171</v>
      </c>
      <c r="O3036" s="22" t="str">
        <f>HYPERLINK("https://pbs.twimg.com/profile_images/919569721430745090/eTchF_pN_normal.jpg","View")</f>
        <v>View</v>
      </c>
      <c r="P3036" s="27"/>
    </row>
    <row r="3037">
      <c r="A3037" s="14">
        <v>43031.195856481485</v>
      </c>
      <c r="B3037" s="20" t="str">
        <f>HYPERLINK("https://twitter.com/rbxyq1","@rbxyq1")</f>
        <v>@rbxyq1</v>
      </c>
      <c r="C3037" s="21" t="s">
        <v>7172</v>
      </c>
      <c r="D3037" s="21" t="s">
        <v>1474</v>
      </c>
      <c r="E3037" s="22" t="str">
        <f>HYPERLINK("https://twitter.com/rbxyq1/status/922427894126731264","922427894126731264")</f>
        <v>922427894126731264</v>
      </c>
      <c r="F3037" s="23" t="s">
        <v>39</v>
      </c>
      <c r="G3037" s="24">
        <v>3234.0</v>
      </c>
      <c r="H3037" s="24">
        <v>5001.0</v>
      </c>
      <c r="I3037" s="24">
        <v>29.0</v>
      </c>
      <c r="J3037" s="24">
        <v>0.0</v>
      </c>
      <c r="K3037" s="23" t="s">
        <v>34</v>
      </c>
      <c r="L3037" s="25">
        <v>42379.18056712963</v>
      </c>
      <c r="M3037" s="26" t="s">
        <v>7173</v>
      </c>
      <c r="N3037" s="26" t="s">
        <v>7174</v>
      </c>
      <c r="O3037" s="22" t="str">
        <f>HYPERLINK("https://pbs.twimg.com/profile_images/751998429002248192/MZAiYGtq_normal.jpg","View")</f>
        <v>View</v>
      </c>
      <c r="P3037" s="27"/>
    </row>
    <row r="3038">
      <c r="A3038" s="14">
        <v>43031.19587962963</v>
      </c>
      <c r="B3038" s="20" t="str">
        <f>HYPERLINK("https://twitter.com/mrsmagmag090125","@mrsmagmag090125")</f>
        <v>@mrsmagmag090125</v>
      </c>
      <c r="C3038" s="21" t="s">
        <v>1476</v>
      </c>
      <c r="D3038" s="21" t="s">
        <v>6403</v>
      </c>
      <c r="E3038" s="22" t="str">
        <f>HYPERLINK("https://twitter.com/mrsmagmag090125/status/922427900757815296","922427900757815296")</f>
        <v>922427900757815296</v>
      </c>
      <c r="F3038" s="23" t="s">
        <v>39</v>
      </c>
      <c r="G3038" s="24">
        <v>179.0</v>
      </c>
      <c r="H3038" s="24">
        <v>287.0</v>
      </c>
      <c r="I3038" s="24">
        <v>97.0</v>
      </c>
      <c r="J3038" s="24">
        <v>0.0</v>
      </c>
      <c r="K3038" s="23" t="s">
        <v>34</v>
      </c>
      <c r="L3038" s="25">
        <v>40751.29109953703</v>
      </c>
      <c r="M3038" s="28"/>
      <c r="N3038" s="26" t="s">
        <v>1477</v>
      </c>
      <c r="O3038" s="22" t="str">
        <f>HYPERLINK("https://pbs.twimg.com/profile_images/877148399300091905/-4yOimja_normal.jpg","View")</f>
        <v>View</v>
      </c>
      <c r="P3038" s="27"/>
    </row>
    <row r="3039">
      <c r="A3039" s="14">
        <v>43031.19604166667</v>
      </c>
      <c r="B3039" s="20" t="str">
        <f>HYPERLINK("https://twitter.com/sollyez","@sollyez")</f>
        <v>@sollyez</v>
      </c>
      <c r="C3039" s="21" t="s">
        <v>7175</v>
      </c>
      <c r="D3039" s="21" t="s">
        <v>7176</v>
      </c>
      <c r="E3039" s="22" t="str">
        <f>HYPERLINK("https://twitter.com/sollyez/status/922427959318859776","922427959318859776")</f>
        <v>922427959318859776</v>
      </c>
      <c r="F3039" s="23" t="s">
        <v>91</v>
      </c>
      <c r="G3039" s="24">
        <v>448.0</v>
      </c>
      <c r="H3039" s="24">
        <v>362.0</v>
      </c>
      <c r="I3039" s="24">
        <v>0.0</v>
      </c>
      <c r="J3039" s="24">
        <v>0.0</v>
      </c>
      <c r="K3039" s="23" t="s">
        <v>34</v>
      </c>
      <c r="L3039" s="25">
        <v>40109.33578703704</v>
      </c>
      <c r="M3039" s="26" t="s">
        <v>305</v>
      </c>
      <c r="N3039" s="26" t="s">
        <v>7177</v>
      </c>
      <c r="O3039" s="22" t="str">
        <f>HYPERLINK("https://pbs.twimg.com/profile_images/795196547684106241/L2dBL9e7_normal.jpg","View")</f>
        <v>View</v>
      </c>
      <c r="P3039" s="27"/>
    </row>
    <row r="3040">
      <c r="A3040" s="14">
        <v>43031.196064814816</v>
      </c>
      <c r="B3040" s="20" t="str">
        <f>HYPERLINK("https://twitter.com/dak2zeke","@dak2zeke")</f>
        <v>@dak2zeke</v>
      </c>
      <c r="C3040" s="21" t="s">
        <v>7178</v>
      </c>
      <c r="D3040" s="21" t="s">
        <v>7179</v>
      </c>
      <c r="E3040" s="22" t="str">
        <f>HYPERLINK("https://twitter.com/dak2zeke/status/922427968139513860","922427968139513860")</f>
        <v>922427968139513860</v>
      </c>
      <c r="F3040" s="23" t="s">
        <v>187</v>
      </c>
      <c r="G3040" s="24">
        <v>387.0</v>
      </c>
      <c r="H3040" s="24">
        <v>146.0</v>
      </c>
      <c r="I3040" s="24">
        <v>0.0</v>
      </c>
      <c r="J3040" s="24">
        <v>0.0</v>
      </c>
      <c r="K3040" s="23" t="s">
        <v>34</v>
      </c>
      <c r="L3040" s="25">
        <v>42751.74565972222</v>
      </c>
      <c r="M3040" s="28"/>
      <c r="N3040" s="28"/>
      <c r="O3040" s="22" t="str">
        <f>HYPERLINK("https://pbs.twimg.com/profile_images/853682775433543680/cfCd1QYN_normal.jpg","View")</f>
        <v>View</v>
      </c>
      <c r="P3040" s="27"/>
    </row>
    <row r="3041">
      <c r="A3041" s="14">
        <v>43031.19607638889</v>
      </c>
      <c r="B3041" s="20" t="str">
        <f>HYPERLINK("https://twitter.com/81ILoveJapan","@81ILoveJapan")</f>
        <v>@81ILoveJapan</v>
      </c>
      <c r="C3041" s="21" t="s">
        <v>7180</v>
      </c>
      <c r="D3041" s="21" t="s">
        <v>7181</v>
      </c>
      <c r="E3041" s="22" t="str">
        <f>HYPERLINK("https://twitter.com/81ILoveJapan/status/922427971813683200","922427971813683200")</f>
        <v>922427971813683200</v>
      </c>
      <c r="F3041" s="23" t="s">
        <v>7182</v>
      </c>
      <c r="G3041" s="24">
        <v>73.0</v>
      </c>
      <c r="H3041" s="24">
        <v>325.0</v>
      </c>
      <c r="I3041" s="24">
        <v>2.0</v>
      </c>
      <c r="J3041" s="24">
        <v>0.0</v>
      </c>
      <c r="K3041" s="23" t="s">
        <v>34</v>
      </c>
      <c r="L3041" s="25">
        <v>43017.014756944445</v>
      </c>
      <c r="M3041" s="28"/>
      <c r="N3041" s="28"/>
      <c r="O3041" s="22" t="str">
        <f>HYPERLINK("https://pbs.twimg.com/profile_images/917294754252996614/2lWRChsz_normal.jpg","View")</f>
        <v>View</v>
      </c>
      <c r="P3041" s="27"/>
    </row>
    <row r="3042">
      <c r="A3042" s="14">
        <v>43031.196134259255</v>
      </c>
      <c r="B3042" s="20" t="str">
        <f>HYPERLINK("https://twitter.com/ichigo_opanchu","@ichigo_opanchu")</f>
        <v>@ichigo_opanchu</v>
      </c>
      <c r="C3042" s="21" t="s">
        <v>7183</v>
      </c>
      <c r="D3042" s="21" t="s">
        <v>7184</v>
      </c>
      <c r="E3042" s="22" t="str">
        <f>HYPERLINK("https://twitter.com/ichigo_opanchu/status/922427994919944192","922427994919944192")</f>
        <v>922427994919944192</v>
      </c>
      <c r="F3042" s="30" t="s">
        <v>659</v>
      </c>
      <c r="G3042" s="24">
        <v>1174.0</v>
      </c>
      <c r="H3042" s="24">
        <v>1629.0</v>
      </c>
      <c r="I3042" s="24">
        <v>0.0</v>
      </c>
      <c r="J3042" s="24">
        <v>0.0</v>
      </c>
      <c r="K3042" s="23" t="s">
        <v>34</v>
      </c>
      <c r="L3042" s="25">
        <v>41584.51578703704</v>
      </c>
      <c r="M3042" s="28"/>
      <c r="N3042" s="28"/>
      <c r="O3042" s="22" t="str">
        <f>HYPERLINK("https://pbs.twimg.com/profile_images/378800000706122038/8717500dd70ef1765108669059e3f9b0_normal.jpeg","View")</f>
        <v>View</v>
      </c>
      <c r="P3042" s="27"/>
    </row>
    <row r="3043">
      <c r="A3043" s="14">
        <v>43031.19615740741</v>
      </c>
      <c r="B3043" s="20" t="str">
        <f>HYPERLINK("https://twitter.com/lady_lykke","@lady_lykke")</f>
        <v>@lady_lykke</v>
      </c>
      <c r="C3043" s="21" t="s">
        <v>7185</v>
      </c>
      <c r="D3043" s="21" t="s">
        <v>42</v>
      </c>
      <c r="E3043" s="22" t="str">
        <f>HYPERLINK("https://twitter.com/lady_lykke/status/922428001433763842","922428001433763842")</f>
        <v>922428001433763842</v>
      </c>
      <c r="F3043" s="23" t="s">
        <v>39</v>
      </c>
      <c r="G3043" s="24">
        <v>14.0</v>
      </c>
      <c r="H3043" s="24">
        <v>79.0</v>
      </c>
      <c r="I3043" s="24">
        <v>8501.0</v>
      </c>
      <c r="J3043" s="24">
        <v>0.0</v>
      </c>
      <c r="K3043" s="23" t="s">
        <v>34</v>
      </c>
      <c r="L3043" s="25">
        <v>42973.92539351852</v>
      </c>
      <c r="M3043" s="28"/>
      <c r="N3043" s="28"/>
      <c r="O3043" s="22" t="str">
        <f>HYPERLINK("https://pbs.twimg.com/profile_images/901687145919725570/MX2keflU_normal.jpg","View")</f>
        <v>View</v>
      </c>
      <c r="P3043" s="27"/>
    </row>
    <row r="3044">
      <c r="A3044" s="14">
        <v>43031.19615740741</v>
      </c>
      <c r="B3044" s="20" t="str">
        <f>HYPERLINK("https://twitter.com/LMadzen","@LMadzen")</f>
        <v>@LMadzen</v>
      </c>
      <c r="C3044" s="21" t="s">
        <v>7186</v>
      </c>
      <c r="D3044" s="21" t="s">
        <v>6991</v>
      </c>
      <c r="E3044" s="22" t="str">
        <f>HYPERLINK("https://twitter.com/LMadzen/status/922428002608304129","922428002608304129")</f>
        <v>922428002608304129</v>
      </c>
      <c r="F3044" s="23" t="s">
        <v>230</v>
      </c>
      <c r="G3044" s="24">
        <v>65.0</v>
      </c>
      <c r="H3044" s="24">
        <v>648.0</v>
      </c>
      <c r="I3044" s="24">
        <v>22.0</v>
      </c>
      <c r="J3044" s="24">
        <v>0.0</v>
      </c>
      <c r="K3044" s="23" t="s">
        <v>34</v>
      </c>
      <c r="L3044" s="25">
        <v>42089.39104166666</v>
      </c>
      <c r="M3044" s="28"/>
      <c r="N3044" s="28"/>
      <c r="O3044" s="22" t="str">
        <f>HYPERLINK("https://abs.twimg.com/sticky/default_profile_images/default_profile_normal.png","View")</f>
        <v>View</v>
      </c>
      <c r="P3044" s="27"/>
    </row>
    <row r="3045">
      <c r="A3045" s="14">
        <v>43031.19615740741</v>
      </c>
      <c r="B3045" s="20" t="str">
        <f>HYPERLINK("https://twitter.com/abcnews","@abcnews")</f>
        <v>@abcnews</v>
      </c>
      <c r="C3045" s="21" t="s">
        <v>7187</v>
      </c>
      <c r="D3045" s="21" t="s">
        <v>7188</v>
      </c>
      <c r="E3045" s="22" t="str">
        <f>HYPERLINK("https://twitter.com/abcnews/status/922428004092977152","922428004092977152")</f>
        <v>922428004092977152</v>
      </c>
      <c r="F3045" s="30" t="s">
        <v>2744</v>
      </c>
      <c r="G3045" s="24">
        <v>1398323.0</v>
      </c>
      <c r="H3045" s="24">
        <v>1228.0</v>
      </c>
      <c r="I3045" s="24">
        <v>11.0</v>
      </c>
      <c r="J3045" s="24">
        <v>8.0</v>
      </c>
      <c r="K3045" s="23" t="s">
        <v>34</v>
      </c>
      <c r="L3045" s="25">
        <v>39169.8025</v>
      </c>
      <c r="M3045" s="26" t="s">
        <v>3011</v>
      </c>
      <c r="N3045" s="26" t="s">
        <v>7189</v>
      </c>
      <c r="O3045" s="22" t="str">
        <f>HYPERLINK("https://pbs.twimg.com/profile_images/851166911245107200/4xsqBmY5_normal.jpg","View")</f>
        <v>View</v>
      </c>
      <c r="P3045" s="27"/>
    </row>
    <row r="3046">
      <c r="A3046" s="14">
        <v>43031.19615740741</v>
      </c>
      <c r="B3046" s="20" t="str">
        <f>HYPERLINK("https://twitter.com/PrincessBibiRF_","@PrincessBibiRF_")</f>
        <v>@PrincessBibiRF_</v>
      </c>
      <c r="C3046" s="21" t="s">
        <v>7190</v>
      </c>
      <c r="D3046" s="21" t="s">
        <v>7191</v>
      </c>
      <c r="E3046" s="22" t="str">
        <f>HYPERLINK("https://twitter.com/PrincessBibiRF_/status/922428005045227521","922428005045227521")</f>
        <v>922428005045227521</v>
      </c>
      <c r="F3046" s="23" t="s">
        <v>39</v>
      </c>
      <c r="G3046" s="24">
        <v>11535.0</v>
      </c>
      <c r="H3046" s="24">
        <v>12686.0</v>
      </c>
      <c r="I3046" s="24">
        <v>8.0</v>
      </c>
      <c r="J3046" s="24">
        <v>0.0</v>
      </c>
      <c r="K3046" s="23" t="s">
        <v>34</v>
      </c>
      <c r="L3046" s="25">
        <v>42296.673067129625</v>
      </c>
      <c r="M3046" s="28"/>
      <c r="N3046" s="26" t="s">
        <v>7192</v>
      </c>
      <c r="O3046" s="22" t="str">
        <f>HYPERLINK("https://pbs.twimg.com/profile_images/656246801327091712/gMPweeMv_normal.jpg","View")</f>
        <v>View</v>
      </c>
      <c r="P3046" s="27"/>
    </row>
    <row r="3047">
      <c r="A3047" s="14">
        <v>43031.19631944444</v>
      </c>
      <c r="B3047" s="20" t="str">
        <f>HYPERLINK("https://twitter.com/rajputbhoopsin1","@rajputbhoopsin1")</f>
        <v>@rajputbhoopsin1</v>
      </c>
      <c r="C3047" s="21" t="s">
        <v>7193</v>
      </c>
      <c r="D3047" s="21" t="s">
        <v>42</v>
      </c>
      <c r="E3047" s="22" t="str">
        <f>HYPERLINK("https://twitter.com/rajputbhoopsin1/status/922428061496127488","922428061496127488")</f>
        <v>922428061496127488</v>
      </c>
      <c r="F3047" s="23" t="s">
        <v>33</v>
      </c>
      <c r="G3047" s="24">
        <v>49.0</v>
      </c>
      <c r="H3047" s="24">
        <v>214.0</v>
      </c>
      <c r="I3047" s="24">
        <v>8501.0</v>
      </c>
      <c r="J3047" s="24">
        <v>0.0</v>
      </c>
      <c r="K3047" s="23" t="s">
        <v>34</v>
      </c>
      <c r="L3047" s="25">
        <v>41822.22174768519</v>
      </c>
      <c r="M3047" s="26" t="s">
        <v>3066</v>
      </c>
      <c r="N3047" s="26" t="s">
        <v>7194</v>
      </c>
      <c r="O3047" s="22" t="str">
        <f>HYPERLINK("https://pbs.twimg.com/profile_images/866372069906419714/emEkKtSP_normal.jpg","View")</f>
        <v>View</v>
      </c>
      <c r="P3047" s="27"/>
    </row>
    <row r="3048">
      <c r="A3048" s="14">
        <v>43031.19631944444</v>
      </c>
      <c r="B3048" s="20" t="str">
        <f>HYPERLINK("https://twitter.com/aninda_d","@aninda_d")</f>
        <v>@aninda_d</v>
      </c>
      <c r="C3048" s="21" t="s">
        <v>7195</v>
      </c>
      <c r="D3048" s="21" t="s">
        <v>42</v>
      </c>
      <c r="E3048" s="22" t="str">
        <f>HYPERLINK("https://twitter.com/aninda_d/status/922428062767071232","922428062767071232")</f>
        <v>922428062767071232</v>
      </c>
      <c r="F3048" s="23" t="s">
        <v>33</v>
      </c>
      <c r="G3048" s="24">
        <v>13.0</v>
      </c>
      <c r="H3048" s="24">
        <v>72.0</v>
      </c>
      <c r="I3048" s="24">
        <v>8501.0</v>
      </c>
      <c r="J3048" s="24">
        <v>0.0</v>
      </c>
      <c r="K3048" s="23" t="s">
        <v>34</v>
      </c>
      <c r="L3048" s="25">
        <v>39868.76685185185</v>
      </c>
      <c r="M3048" s="28"/>
      <c r="N3048" s="26" t="s">
        <v>7196</v>
      </c>
      <c r="O3048" s="22" t="str">
        <f>HYPERLINK("https://pbs.twimg.com/profile_images/557741683/apu_002_filter_normal.jpg","View")</f>
        <v>View</v>
      </c>
      <c r="P3048" s="27"/>
    </row>
    <row r="3049">
      <c r="A3049" s="14">
        <v>43031.196331018524</v>
      </c>
      <c r="B3049" s="20" t="str">
        <f>HYPERLINK("https://twitter.com/nagystephen1","@nagystephen1")</f>
        <v>@nagystephen1</v>
      </c>
      <c r="C3049" s="21" t="s">
        <v>7197</v>
      </c>
      <c r="D3049" s="21" t="s">
        <v>7198</v>
      </c>
      <c r="E3049" s="22" t="str">
        <f>HYPERLINK("https://twitter.com/nagystephen1/status/922428068009930752","922428068009930752")</f>
        <v>922428068009930752</v>
      </c>
      <c r="F3049" s="23" t="s">
        <v>39</v>
      </c>
      <c r="G3049" s="24">
        <v>213.0</v>
      </c>
      <c r="H3049" s="24">
        <v>328.0</v>
      </c>
      <c r="I3049" s="24">
        <v>11.0</v>
      </c>
      <c r="J3049" s="24">
        <v>0.0</v>
      </c>
      <c r="K3049" s="23" t="s">
        <v>34</v>
      </c>
      <c r="L3049" s="25">
        <v>41987.76671296296</v>
      </c>
      <c r="M3049" s="26" t="s">
        <v>923</v>
      </c>
      <c r="N3049" s="26" t="s">
        <v>7199</v>
      </c>
      <c r="O3049" s="22" t="str">
        <f>HYPERLINK("https://pbs.twimg.com/profile_images/678484608560705536/xgJS_xuX_normal.jpg","View")</f>
        <v>View</v>
      </c>
      <c r="P3049" s="27"/>
    </row>
    <row r="3050">
      <c r="A3050" s="14">
        <v>43031.19636574074</v>
      </c>
      <c r="B3050" s="20" t="str">
        <f>HYPERLINK("https://twitter.com/ajay_khattri","@ajay_khattri")</f>
        <v>@ajay_khattri</v>
      </c>
      <c r="C3050" s="21" t="s">
        <v>7200</v>
      </c>
      <c r="D3050" s="21" t="s">
        <v>42</v>
      </c>
      <c r="E3050" s="22" t="str">
        <f>HYPERLINK("https://twitter.com/ajay_khattri/status/922428077992325120","922428077992325120")</f>
        <v>922428077992325120</v>
      </c>
      <c r="F3050" s="23" t="s">
        <v>39</v>
      </c>
      <c r="G3050" s="24">
        <v>97.0</v>
      </c>
      <c r="H3050" s="24">
        <v>23.0</v>
      </c>
      <c r="I3050" s="24">
        <v>8501.0</v>
      </c>
      <c r="J3050" s="24">
        <v>0.0</v>
      </c>
      <c r="K3050" s="23" t="s">
        <v>34</v>
      </c>
      <c r="L3050" s="25">
        <v>42003.16421296296</v>
      </c>
      <c r="M3050" s="28"/>
      <c r="N3050" s="28"/>
      <c r="O3050" s="22" t="str">
        <f>HYPERLINK("https://pbs.twimg.com/profile_images/915798565905080320/LBsnSR8u_normal.jpg","View")</f>
        <v>View</v>
      </c>
      <c r="P3050" s="27"/>
    </row>
    <row r="3051">
      <c r="A3051" s="14">
        <v>43031.19640046296</v>
      </c>
      <c r="B3051" s="20" t="str">
        <f>HYPERLINK("https://twitter.com/KRatnu","@KRatnu")</f>
        <v>@KRatnu</v>
      </c>
      <c r="C3051" s="21" t="s">
        <v>7201</v>
      </c>
      <c r="D3051" s="21" t="s">
        <v>42</v>
      </c>
      <c r="E3051" s="22" t="str">
        <f>HYPERLINK("https://twitter.com/KRatnu/status/922428092898975745","922428092898975745")</f>
        <v>922428092898975745</v>
      </c>
      <c r="F3051" s="23" t="s">
        <v>33</v>
      </c>
      <c r="G3051" s="24">
        <v>2360.0</v>
      </c>
      <c r="H3051" s="24">
        <v>1771.0</v>
      </c>
      <c r="I3051" s="24">
        <v>8501.0</v>
      </c>
      <c r="J3051" s="24">
        <v>0.0</v>
      </c>
      <c r="K3051" s="23" t="s">
        <v>34</v>
      </c>
      <c r="L3051" s="25">
        <v>41116.896886574075</v>
      </c>
      <c r="M3051" s="26" t="s">
        <v>7202</v>
      </c>
      <c r="N3051" s="26" t="s">
        <v>7203</v>
      </c>
      <c r="O3051" s="22" t="str">
        <f>HYPERLINK("https://pbs.twimg.com/profile_images/870950506343972864/g0Kz7I-Y_normal.jpg","View")</f>
        <v>View</v>
      </c>
      <c r="P3051" s="27"/>
    </row>
    <row r="3052">
      <c r="A3052" s="14">
        <v>43031.19641203704</v>
      </c>
      <c r="B3052" s="20" t="str">
        <f>HYPERLINK("https://twitter.com/ShrikantCG","@ShrikantCG")</f>
        <v>@ShrikantCG</v>
      </c>
      <c r="C3052" s="21" t="s">
        <v>7204</v>
      </c>
      <c r="D3052" s="21" t="s">
        <v>42</v>
      </c>
      <c r="E3052" s="22" t="str">
        <f>HYPERLINK("https://twitter.com/ShrikantCG/status/922428094681571328","922428094681571328")</f>
        <v>922428094681571328</v>
      </c>
      <c r="F3052" s="23" t="s">
        <v>33</v>
      </c>
      <c r="G3052" s="24">
        <v>47.0</v>
      </c>
      <c r="H3052" s="24">
        <v>232.0</v>
      </c>
      <c r="I3052" s="24">
        <v>8501.0</v>
      </c>
      <c r="J3052" s="24">
        <v>0.0</v>
      </c>
      <c r="K3052" s="23" t="s">
        <v>34</v>
      </c>
      <c r="L3052" s="25">
        <v>40388.35765046296</v>
      </c>
      <c r="M3052" s="26" t="s">
        <v>531</v>
      </c>
      <c r="N3052" s="26" t="s">
        <v>2826</v>
      </c>
      <c r="O3052" s="22" t="str">
        <f>HYPERLINK("https://pbs.twimg.com/profile_images/911903707054276608/kK6qYzbc_normal.jpg","View")</f>
        <v>View</v>
      </c>
      <c r="P3052" s="27"/>
    </row>
    <row r="3053">
      <c r="A3053" s="14">
        <v>43031.19645833333</v>
      </c>
      <c r="B3053" s="20" t="str">
        <f>HYPERLINK("https://twitter.com/luiskingbey","@luiskingbey")</f>
        <v>@luiskingbey</v>
      </c>
      <c r="C3053" s="21" t="s">
        <v>7205</v>
      </c>
      <c r="D3053" s="21" t="s">
        <v>2595</v>
      </c>
      <c r="E3053" s="22" t="str">
        <f>HYPERLINK("https://twitter.com/luiskingbey/status/922428112465305601","922428112465305601")</f>
        <v>922428112465305601</v>
      </c>
      <c r="F3053" s="23" t="s">
        <v>33</v>
      </c>
      <c r="G3053" s="24">
        <v>295.0</v>
      </c>
      <c r="H3053" s="24">
        <v>131.0</v>
      </c>
      <c r="I3053" s="24">
        <v>170.0</v>
      </c>
      <c r="J3053" s="24">
        <v>0.0</v>
      </c>
      <c r="K3053" s="23" t="s">
        <v>34</v>
      </c>
      <c r="L3053" s="25">
        <v>39972.72813657408</v>
      </c>
      <c r="M3053" s="26" t="s">
        <v>7206</v>
      </c>
      <c r="N3053" s="26" t="s">
        <v>7207</v>
      </c>
      <c r="O3053" s="22" t="str">
        <f>HYPERLINK("https://pbs.twimg.com/profile_images/898768164514709505/yFhdwLEc_normal.jpg","View")</f>
        <v>View</v>
      </c>
      <c r="P3053" s="27"/>
    </row>
    <row r="3054">
      <c r="A3054" s="14">
        <v>43031.1965625</v>
      </c>
      <c r="B3054" s="20" t="str">
        <f>HYPERLINK("https://twitter.com/mhh_heron","@mhh_heron")</f>
        <v>@mhh_heron</v>
      </c>
      <c r="C3054" s="21" t="s">
        <v>7208</v>
      </c>
      <c r="D3054" s="21" t="s">
        <v>7209</v>
      </c>
      <c r="E3054" s="22" t="str">
        <f>HYPERLINK("https://twitter.com/mhh_heron/status/922428151996743680","922428151996743680")</f>
        <v>922428151996743680</v>
      </c>
      <c r="F3054" s="23" t="s">
        <v>187</v>
      </c>
      <c r="G3054" s="24">
        <v>608.0</v>
      </c>
      <c r="H3054" s="24">
        <v>3849.0</v>
      </c>
      <c r="I3054" s="24">
        <v>0.0</v>
      </c>
      <c r="J3054" s="24">
        <v>0.0</v>
      </c>
      <c r="K3054" s="23" t="s">
        <v>34</v>
      </c>
      <c r="L3054" s="25">
        <v>42271.48909722222</v>
      </c>
      <c r="M3054" s="26" t="s">
        <v>7210</v>
      </c>
      <c r="N3054" s="28"/>
      <c r="O3054" s="22" t="str">
        <f>HYPERLINK("https://pbs.twimg.com/profile_images/818156761811030016/8oKzGChx_normal.jpg","View")</f>
        <v>View</v>
      </c>
      <c r="P3054" s="27"/>
    </row>
    <row r="3055">
      <c r="A3055" s="14">
        <v>43031.19664351852</v>
      </c>
      <c r="B3055" s="20" t="str">
        <f>HYPERLINK("https://twitter.com/BlogJoseph","@BlogJoseph")</f>
        <v>@BlogJoseph</v>
      </c>
      <c r="C3055" s="21" t="s">
        <v>7211</v>
      </c>
      <c r="D3055" s="21" t="s">
        <v>5262</v>
      </c>
      <c r="E3055" s="22" t="str">
        <f>HYPERLINK("https://twitter.com/BlogJoseph/status/922428177774927873","922428177774927873")</f>
        <v>922428177774927873</v>
      </c>
      <c r="F3055" s="23" t="s">
        <v>55</v>
      </c>
      <c r="G3055" s="24">
        <v>1026.0</v>
      </c>
      <c r="H3055" s="24">
        <v>1064.0</v>
      </c>
      <c r="I3055" s="24">
        <v>22.0</v>
      </c>
      <c r="J3055" s="24">
        <v>0.0</v>
      </c>
      <c r="K3055" s="23" t="s">
        <v>34</v>
      </c>
      <c r="L3055" s="25">
        <v>40808.78982638889</v>
      </c>
      <c r="M3055" s="28"/>
      <c r="N3055" s="26" t="s">
        <v>7212</v>
      </c>
      <c r="O3055" s="22" t="str">
        <f>HYPERLINK("https://pbs.twimg.com/profile_images/1711304218/PA0_0000_normal.JPG","View")</f>
        <v>View</v>
      </c>
      <c r="P3055" s="27"/>
    </row>
    <row r="3056">
      <c r="A3056" s="14">
        <v>43031.19670138889</v>
      </c>
      <c r="B3056" s="20" t="str">
        <f>HYPERLINK("https://twitter.com/PolticsNewz","@PolticsNewz")</f>
        <v>@PolticsNewz</v>
      </c>
      <c r="C3056" s="21" t="s">
        <v>3071</v>
      </c>
      <c r="D3056" s="21" t="s">
        <v>7213</v>
      </c>
      <c r="E3056" s="22" t="str">
        <f>HYPERLINK("https://twitter.com/PolticsNewz/status/922428201653194752","922428201653194752")</f>
        <v>922428201653194752</v>
      </c>
      <c r="F3056" s="23" t="s">
        <v>3073</v>
      </c>
      <c r="G3056" s="24">
        <v>26181.0</v>
      </c>
      <c r="H3056" s="24">
        <v>24183.0</v>
      </c>
      <c r="I3056" s="24">
        <v>1.0</v>
      </c>
      <c r="J3056" s="24">
        <v>1.0</v>
      </c>
      <c r="K3056" s="23" t="s">
        <v>34</v>
      </c>
      <c r="L3056" s="25">
        <v>42509.154756944445</v>
      </c>
      <c r="M3056" s="26" t="s">
        <v>68</v>
      </c>
      <c r="N3056" s="26" t="s">
        <v>3074</v>
      </c>
      <c r="O3056" s="22" t="str">
        <f>HYPERLINK("https://pbs.twimg.com/profile_images/733247246314131456/M6u2U4GO_normal.jpg","View")</f>
        <v>View</v>
      </c>
      <c r="P3056" s="27"/>
    </row>
    <row r="3057">
      <c r="A3057" s="14">
        <v>43031.19673611112</v>
      </c>
      <c r="B3057" s="20" t="str">
        <f>HYPERLINK("https://twitter.com/newshourbd","@newshourbd")</f>
        <v>@newshourbd</v>
      </c>
      <c r="C3057" s="21" t="s">
        <v>7214</v>
      </c>
      <c r="D3057" s="21" t="s">
        <v>7215</v>
      </c>
      <c r="E3057" s="22" t="str">
        <f>HYPERLINK("https://twitter.com/newshourbd/status/922428212453535744","922428212453535744")</f>
        <v>922428212453535744</v>
      </c>
      <c r="F3057" s="30" t="s">
        <v>191</v>
      </c>
      <c r="G3057" s="24">
        <v>1988.0</v>
      </c>
      <c r="H3057" s="24">
        <v>682.0</v>
      </c>
      <c r="I3057" s="24">
        <v>0.0</v>
      </c>
      <c r="J3057" s="24">
        <v>0.0</v>
      </c>
      <c r="K3057" s="23" t="s">
        <v>34</v>
      </c>
      <c r="L3057" s="25">
        <v>41739.46670138889</v>
      </c>
      <c r="M3057" s="26" t="s">
        <v>7210</v>
      </c>
      <c r="N3057" s="26" t="s">
        <v>7216</v>
      </c>
      <c r="O3057" s="22" t="str">
        <f>HYPERLINK("https://pbs.twimg.com/profile_images/460160722207395840/ubdkPUQ0_normal.png","View")</f>
        <v>View</v>
      </c>
      <c r="P3057" s="27"/>
    </row>
    <row r="3058">
      <c r="A3058" s="14">
        <v>43031.19673611112</v>
      </c>
      <c r="B3058" s="20" t="str">
        <f>HYPERLINK("https://twitter.com/NSUThOnvLtRSp0R","@NSUThOnvLtRSp0R")</f>
        <v>@NSUThOnvLtRSp0R</v>
      </c>
      <c r="C3058" s="21" t="s">
        <v>7217</v>
      </c>
      <c r="D3058" s="21" t="s">
        <v>213</v>
      </c>
      <c r="E3058" s="22" t="str">
        <f>HYPERLINK("https://twitter.com/NSUThOnvLtRSp0R/status/922428214785404929","922428214785404929")</f>
        <v>922428214785404929</v>
      </c>
      <c r="F3058" s="23" t="s">
        <v>635</v>
      </c>
      <c r="G3058" s="24">
        <v>3.0</v>
      </c>
      <c r="H3058" s="24">
        <v>47.0</v>
      </c>
      <c r="I3058" s="24">
        <v>94.0</v>
      </c>
      <c r="J3058" s="24">
        <v>0.0</v>
      </c>
      <c r="K3058" s="23" t="s">
        <v>34</v>
      </c>
      <c r="L3058" s="25">
        <v>43002.16143518519</v>
      </c>
      <c r="M3058" s="28"/>
      <c r="N3058" s="28"/>
      <c r="O3058" s="22" t="str">
        <f>HYPERLINK("https://pbs.twimg.com/profile_images/922648338935066624/_0W_AJdb_normal.jpg","View")</f>
        <v>View</v>
      </c>
      <c r="P3058" s="27"/>
    </row>
    <row r="3059">
      <c r="A3059" s="14">
        <v>43031.1968287037</v>
      </c>
      <c r="B3059" s="20" t="str">
        <f>HYPERLINK("https://twitter.com/kadiyachiraag","@kadiyachiraag")</f>
        <v>@kadiyachiraag</v>
      </c>
      <c r="C3059" s="21" t="s">
        <v>7218</v>
      </c>
      <c r="D3059" s="21" t="s">
        <v>42</v>
      </c>
      <c r="E3059" s="22" t="str">
        <f>HYPERLINK("https://twitter.com/kadiyachiraag/status/922428245252833280","922428245252833280")</f>
        <v>922428245252833280</v>
      </c>
      <c r="F3059" s="23" t="s">
        <v>33</v>
      </c>
      <c r="G3059" s="24">
        <v>11.0</v>
      </c>
      <c r="H3059" s="24">
        <v>109.0</v>
      </c>
      <c r="I3059" s="24">
        <v>8501.0</v>
      </c>
      <c r="J3059" s="24">
        <v>0.0</v>
      </c>
      <c r="K3059" s="23" t="s">
        <v>34</v>
      </c>
      <c r="L3059" s="25">
        <v>42674.878333333334</v>
      </c>
      <c r="M3059" s="28"/>
      <c r="N3059" s="28"/>
      <c r="O3059" s="22" t="str">
        <f>HYPERLINK("https://pbs.twimg.com/profile_images/793305126349967360/InO-XnFw_normal.jpg","View")</f>
        <v>View</v>
      </c>
      <c r="P3059" s="27"/>
    </row>
    <row r="3060">
      <c r="A3060" s="14">
        <v>43031.1969212963</v>
      </c>
      <c r="B3060" s="20" t="str">
        <f>HYPERLINK("https://twitter.com/shawkawamura111","@shawkawamura111")</f>
        <v>@shawkawamura111</v>
      </c>
      <c r="C3060" s="21" t="s">
        <v>7219</v>
      </c>
      <c r="D3060" s="21" t="s">
        <v>7220</v>
      </c>
      <c r="E3060" s="22" t="str">
        <f>HYPERLINK("https://twitter.com/shawkawamura111/status/922428278429777921","922428278429777921")</f>
        <v>922428278429777921</v>
      </c>
      <c r="F3060" s="23" t="s">
        <v>48</v>
      </c>
      <c r="G3060" s="24">
        <v>10551.0</v>
      </c>
      <c r="H3060" s="24">
        <v>11241.0</v>
      </c>
      <c r="I3060" s="24">
        <v>0.0</v>
      </c>
      <c r="J3060" s="24">
        <v>0.0</v>
      </c>
      <c r="K3060" s="23" t="s">
        <v>34</v>
      </c>
      <c r="L3060" s="25">
        <v>42229.21229166667</v>
      </c>
      <c r="M3060" s="26" t="s">
        <v>7221</v>
      </c>
      <c r="N3060" s="26" t="s">
        <v>7222</v>
      </c>
      <c r="O3060" s="22" t="str">
        <f>HYPERLINK("https://pbs.twimg.com/profile_images/641498594176995334/xw2JnsD2_normal.png","View")</f>
        <v>View</v>
      </c>
      <c r="P3060" s="27"/>
    </row>
    <row r="3061">
      <c r="A3061" s="14">
        <v>43031.196967592594</v>
      </c>
      <c r="B3061" s="20" t="str">
        <f>HYPERLINK("https://twitter.com/bernardjchevall","@bernardjchevall")</f>
        <v>@bernardjchevall</v>
      </c>
      <c r="C3061" s="21" t="s">
        <v>7223</v>
      </c>
      <c r="D3061" s="21" t="s">
        <v>6991</v>
      </c>
      <c r="E3061" s="22" t="str">
        <f>HYPERLINK("https://twitter.com/bernardjchevall/status/922428296876515328","922428296876515328")</f>
        <v>922428296876515328</v>
      </c>
      <c r="F3061" s="23" t="s">
        <v>55</v>
      </c>
      <c r="G3061" s="24">
        <v>174.0</v>
      </c>
      <c r="H3061" s="24">
        <v>297.0</v>
      </c>
      <c r="I3061" s="24">
        <v>22.0</v>
      </c>
      <c r="J3061" s="24">
        <v>0.0</v>
      </c>
      <c r="K3061" s="23" t="s">
        <v>34</v>
      </c>
      <c r="L3061" s="25">
        <v>41704.409363425926</v>
      </c>
      <c r="M3061" s="28"/>
      <c r="N3061" s="26" t="s">
        <v>7224</v>
      </c>
      <c r="O3061" s="22" t="str">
        <f>HYPERLINK("https://pbs.twimg.com/profile_images/714532279201226752/_L4Jb2TT_normal.jpg","View")</f>
        <v>View</v>
      </c>
      <c r="P3061" s="27"/>
    </row>
    <row r="3062">
      <c r="A3062" s="14">
        <v>43031.19699074074</v>
      </c>
      <c r="B3062" s="20" t="str">
        <f>HYPERLINK("https://twitter.com/domiruiz02","@domiruiz02")</f>
        <v>@domiruiz02</v>
      </c>
      <c r="C3062" s="21" t="s">
        <v>7225</v>
      </c>
      <c r="D3062" s="21" t="s">
        <v>7106</v>
      </c>
      <c r="E3062" s="22" t="str">
        <f>HYPERLINK("https://twitter.com/domiruiz02/status/922428303188914176","922428303188914176")</f>
        <v>922428303188914176</v>
      </c>
      <c r="F3062" s="23" t="s">
        <v>55</v>
      </c>
      <c r="G3062" s="24">
        <v>186.0</v>
      </c>
      <c r="H3062" s="24">
        <v>242.0</v>
      </c>
      <c r="I3062" s="24">
        <v>16.0</v>
      </c>
      <c r="J3062" s="24">
        <v>0.0</v>
      </c>
      <c r="K3062" s="23" t="s">
        <v>34</v>
      </c>
      <c r="L3062" s="25">
        <v>42811.7924537037</v>
      </c>
      <c r="M3062" s="28"/>
      <c r="N3062" s="28"/>
      <c r="O3062" s="22" t="str">
        <f>HYPERLINK("https://pbs.twimg.com/profile_images/850371871170334720/FzLjpkI-_normal.jpg","View")</f>
        <v>View</v>
      </c>
      <c r="P3062" s="27"/>
    </row>
    <row r="3063">
      <c r="A3063" s="14">
        <v>43031.19700231482</v>
      </c>
      <c r="B3063" s="20" t="str">
        <f>HYPERLINK("https://twitter.com/prakash40982807","@prakash40982807")</f>
        <v>@prakash40982807</v>
      </c>
      <c r="C3063" s="21" t="s">
        <v>7226</v>
      </c>
      <c r="D3063" s="21" t="s">
        <v>42</v>
      </c>
      <c r="E3063" s="22" t="str">
        <f>HYPERLINK("https://twitter.com/prakash40982807/status/922428309635416065","922428309635416065")</f>
        <v>922428309635416065</v>
      </c>
      <c r="F3063" s="23" t="s">
        <v>33</v>
      </c>
      <c r="G3063" s="24">
        <v>957.0</v>
      </c>
      <c r="H3063" s="24">
        <v>4120.0</v>
      </c>
      <c r="I3063" s="24">
        <v>8501.0</v>
      </c>
      <c r="J3063" s="24">
        <v>0.0</v>
      </c>
      <c r="K3063" s="23" t="s">
        <v>34</v>
      </c>
      <c r="L3063" s="25">
        <v>42052.33660879629</v>
      </c>
      <c r="M3063" s="26" t="s">
        <v>7227</v>
      </c>
      <c r="N3063" s="26" t="s">
        <v>7228</v>
      </c>
      <c r="O3063" s="22" t="str">
        <f>HYPERLINK("https://pbs.twimg.com/profile_images/921428225112252416/F3GttGiP_normal.jpg","View")</f>
        <v>View</v>
      </c>
      <c r="P3063" s="27"/>
    </row>
    <row r="3064">
      <c r="A3064" s="14">
        <v>43031.19704861111</v>
      </c>
      <c r="B3064" s="20" t="str">
        <f>HYPERLINK("https://twitter.com/yespee74","@yespee74")</f>
        <v>@yespee74</v>
      </c>
      <c r="C3064" s="21" t="s">
        <v>7229</v>
      </c>
      <c r="D3064" s="21" t="s">
        <v>163</v>
      </c>
      <c r="E3064" s="22" t="str">
        <f>HYPERLINK("https://twitter.com/yespee74/status/922428327343702017","922428327343702017")</f>
        <v>922428327343702017</v>
      </c>
      <c r="F3064" s="23" t="s">
        <v>780</v>
      </c>
      <c r="G3064" s="24">
        <v>82.0</v>
      </c>
      <c r="H3064" s="24">
        <v>147.0</v>
      </c>
      <c r="I3064" s="24">
        <v>1005.0</v>
      </c>
      <c r="J3064" s="24">
        <v>0.0</v>
      </c>
      <c r="K3064" s="23" t="s">
        <v>34</v>
      </c>
      <c r="L3064" s="25">
        <v>39944.41457175926</v>
      </c>
      <c r="M3064" s="26" t="s">
        <v>156</v>
      </c>
      <c r="N3064" s="26" t="s">
        <v>7230</v>
      </c>
      <c r="O3064" s="22" t="str">
        <f>HYPERLINK("https://abs.twimg.com/sticky/default_profile_images/default_profile_normal.png","View")</f>
        <v>View</v>
      </c>
      <c r="P3064" s="27"/>
    </row>
    <row r="3065">
      <c r="A3065" s="14">
        <v>43031.197233796294</v>
      </c>
      <c r="B3065" s="20" t="str">
        <f>HYPERLINK("https://twitter.com/TetsuakiMiyachi","@TetsuakiMiyachi")</f>
        <v>@TetsuakiMiyachi</v>
      </c>
      <c r="C3065" s="21" t="s">
        <v>7231</v>
      </c>
      <c r="D3065" s="21" t="s">
        <v>7232</v>
      </c>
      <c r="E3065" s="22" t="str">
        <f>HYPERLINK("https://twitter.com/TetsuakiMiyachi/status/922428391613014016","922428391613014016")</f>
        <v>922428391613014016</v>
      </c>
      <c r="F3065" s="23" t="s">
        <v>39</v>
      </c>
      <c r="G3065" s="24">
        <v>125.0</v>
      </c>
      <c r="H3065" s="24">
        <v>122.0</v>
      </c>
      <c r="I3065" s="24">
        <v>0.0</v>
      </c>
      <c r="J3065" s="24">
        <v>0.0</v>
      </c>
      <c r="K3065" s="23" t="s">
        <v>34</v>
      </c>
      <c r="L3065" s="25">
        <v>40675.278819444444</v>
      </c>
      <c r="M3065" s="26" t="s">
        <v>7233</v>
      </c>
      <c r="N3065" s="26" t="s">
        <v>7234</v>
      </c>
      <c r="O3065" s="22" t="str">
        <f>HYPERLINK("https://pbs.twimg.com/profile_images/413322250595475456/EA-SDZ86_normal.jpeg","View")</f>
        <v>View</v>
      </c>
      <c r="P3065" s="27"/>
    </row>
    <row r="3066">
      <c r="A3066" s="14">
        <v>43031.19729166667</v>
      </c>
      <c r="B3066" s="20" t="str">
        <f>HYPERLINK("https://twitter.com/BrdCloudNews","@BrdCloudNews")</f>
        <v>@BrdCloudNews</v>
      </c>
      <c r="C3066" s="21" t="s">
        <v>7235</v>
      </c>
      <c r="D3066" s="21" t="s">
        <v>7236</v>
      </c>
      <c r="E3066" s="22" t="str">
        <f>HYPERLINK("https://twitter.com/BrdCloudNews/status/922428414753214464","922428414753214464")</f>
        <v>922428414753214464</v>
      </c>
      <c r="F3066" s="23" t="s">
        <v>7237</v>
      </c>
      <c r="G3066" s="24">
        <v>21.0</v>
      </c>
      <c r="H3066" s="24">
        <v>56.0</v>
      </c>
      <c r="I3066" s="24">
        <v>0.0</v>
      </c>
      <c r="J3066" s="24">
        <v>0.0</v>
      </c>
      <c r="K3066" s="23" t="s">
        <v>34</v>
      </c>
      <c r="L3066" s="25">
        <v>41979.50940972222</v>
      </c>
      <c r="M3066" s="28"/>
      <c r="N3066" s="28"/>
      <c r="O3066" s="22" t="str">
        <f>HYPERLINK("https://pbs.twimg.com/profile_images/541325260172165120/YUcH1ZKl_normal.png","View")</f>
        <v>View</v>
      </c>
      <c r="P3066" s="27"/>
    </row>
    <row r="3067">
      <c r="A3067" s="14">
        <v>43031.197326388894</v>
      </c>
      <c r="B3067" s="20" t="str">
        <f>HYPERLINK("https://twitter.com/Patriot84032974","@Patriot84032974")</f>
        <v>@Patriot84032974</v>
      </c>
      <c r="C3067" s="21" t="s">
        <v>7238</v>
      </c>
      <c r="D3067" s="21" t="s">
        <v>42</v>
      </c>
      <c r="E3067" s="22" t="str">
        <f>HYPERLINK("https://twitter.com/Patriot84032974/status/922428426207793152","922428426207793152")</f>
        <v>922428426207793152</v>
      </c>
      <c r="F3067" s="23" t="s">
        <v>33</v>
      </c>
      <c r="G3067" s="24">
        <v>272.0</v>
      </c>
      <c r="H3067" s="24">
        <v>274.0</v>
      </c>
      <c r="I3067" s="24">
        <v>8501.0</v>
      </c>
      <c r="J3067" s="24">
        <v>0.0</v>
      </c>
      <c r="K3067" s="23" t="s">
        <v>34</v>
      </c>
      <c r="L3067" s="25">
        <v>40935.55119212963</v>
      </c>
      <c r="M3067" s="28"/>
      <c r="N3067" s="26" t="s">
        <v>7239</v>
      </c>
      <c r="O3067" s="22" t="str">
        <f>HYPERLINK("https://pbs.twimg.com/profile_images/497878524053565440/x2JH6isG_normal.jpeg","View")</f>
        <v>View</v>
      </c>
      <c r="P3067" s="27"/>
    </row>
    <row r="3068">
      <c r="A3068" s="14">
        <v>43031.19733796296</v>
      </c>
      <c r="B3068" s="20" t="str">
        <f>HYPERLINK("https://twitter.com/justbento","@justbento")</f>
        <v>@justbento</v>
      </c>
      <c r="C3068" s="21" t="s">
        <v>7240</v>
      </c>
      <c r="D3068" s="21" t="s">
        <v>7241</v>
      </c>
      <c r="E3068" s="22" t="str">
        <f>HYPERLINK("https://twitter.com/justbento/status/922428432897728513","922428432897728513")</f>
        <v>922428432897728513</v>
      </c>
      <c r="F3068" s="23" t="s">
        <v>48</v>
      </c>
      <c r="G3068" s="24">
        <v>3862.0</v>
      </c>
      <c r="H3068" s="24">
        <v>6.0</v>
      </c>
      <c r="I3068" s="24">
        <v>0.0</v>
      </c>
      <c r="J3068" s="24">
        <v>0.0</v>
      </c>
      <c r="K3068" s="23" t="s">
        <v>34</v>
      </c>
      <c r="L3068" s="25">
        <v>39832.36267361111</v>
      </c>
      <c r="M3068" s="26" t="s">
        <v>7242</v>
      </c>
      <c r="N3068" s="26" t="s">
        <v>7243</v>
      </c>
      <c r="O3068" s="22" t="str">
        <f>HYPERLINK("https://pbs.twimg.com/profile_images/3735744257/939a9728317fb3bf53b178082ffbdadb_normal.png","View")</f>
        <v>View</v>
      </c>
      <c r="P3068" s="27"/>
    </row>
    <row r="3069">
      <c r="A3069" s="14">
        <v>43031.19736111111</v>
      </c>
      <c r="B3069" s="20" t="str">
        <f>HYPERLINK("https://twitter.com/stevgole","@stevgole")</f>
        <v>@stevgole</v>
      </c>
      <c r="C3069" s="21" t="s">
        <v>7244</v>
      </c>
      <c r="D3069" s="21" t="s">
        <v>7245</v>
      </c>
      <c r="E3069" s="22" t="str">
        <f>HYPERLINK("https://twitter.com/stevgole/status/922428441026277376","922428441026277376")</f>
        <v>922428441026277376</v>
      </c>
      <c r="F3069" s="23" t="s">
        <v>33</v>
      </c>
      <c r="G3069" s="24">
        <v>2804.0</v>
      </c>
      <c r="H3069" s="24">
        <v>4923.0</v>
      </c>
      <c r="I3069" s="24">
        <v>1.0</v>
      </c>
      <c r="J3069" s="24">
        <v>0.0</v>
      </c>
      <c r="K3069" s="23" t="s">
        <v>34</v>
      </c>
      <c r="L3069" s="25">
        <v>41128.78773148148</v>
      </c>
      <c r="M3069" s="26" t="s">
        <v>7246</v>
      </c>
      <c r="N3069" s="26" t="s">
        <v>7247</v>
      </c>
      <c r="O3069" s="22" t="str">
        <f>HYPERLINK("https://pbs.twimg.com/profile_images/378800000303924187/f11b18b16d31b53972cb0e9c61eb2edc_normal.jpeg","View")</f>
        <v>View</v>
      </c>
      <c r="P3069" s="27"/>
    </row>
    <row r="3070">
      <c r="A3070" s="14">
        <v>43031.19740740741</v>
      </c>
      <c r="B3070" s="20" t="str">
        <f>HYPERLINK("https://twitter.com/YourAnonRevolt","@YourAnonRevolt")</f>
        <v>@YourAnonRevolt</v>
      </c>
      <c r="C3070" s="21" t="s">
        <v>7005</v>
      </c>
      <c r="D3070" s="21" t="s">
        <v>7248</v>
      </c>
      <c r="E3070" s="22" t="str">
        <f>HYPERLINK("https://twitter.com/YourAnonRevolt/status/922428454808588288","922428454808588288")</f>
        <v>922428454808588288</v>
      </c>
      <c r="F3070" s="23" t="s">
        <v>55</v>
      </c>
      <c r="G3070" s="24">
        <v>11008.0</v>
      </c>
      <c r="H3070" s="24">
        <v>4104.0</v>
      </c>
      <c r="I3070" s="24">
        <v>1.0</v>
      </c>
      <c r="J3070" s="24">
        <v>1.0</v>
      </c>
      <c r="K3070" s="23" t="s">
        <v>34</v>
      </c>
      <c r="L3070" s="25">
        <v>42478.10021990741</v>
      </c>
      <c r="M3070" s="26" t="s">
        <v>7007</v>
      </c>
      <c r="N3070" s="26" t="s">
        <v>7008</v>
      </c>
      <c r="O3070" s="22" t="str">
        <f>HYPERLINK("https://pbs.twimg.com/profile_images/881398153030713344/FN9uhI_M_normal.jpg","View")</f>
        <v>View</v>
      </c>
      <c r="P3070" s="27"/>
    </row>
    <row r="3071">
      <c r="A3071" s="14">
        <v>43031.19741898148</v>
      </c>
      <c r="B3071" s="20" t="str">
        <f>HYPERLINK("https://twitter.com/Kallen130vt","@Kallen130vt")</f>
        <v>@Kallen130vt</v>
      </c>
      <c r="C3071" s="21" t="s">
        <v>7249</v>
      </c>
      <c r="D3071" s="21" t="s">
        <v>5786</v>
      </c>
      <c r="E3071" s="22" t="str">
        <f>HYPERLINK("https://twitter.com/Kallen130vt/status/922428459867164672","922428459867164672")</f>
        <v>922428459867164672</v>
      </c>
      <c r="F3071" s="23" t="s">
        <v>39</v>
      </c>
      <c r="G3071" s="24">
        <v>101.0</v>
      </c>
      <c r="H3071" s="24">
        <v>339.0</v>
      </c>
      <c r="I3071" s="24">
        <v>59.0</v>
      </c>
      <c r="J3071" s="24">
        <v>0.0</v>
      </c>
      <c r="K3071" s="23" t="s">
        <v>34</v>
      </c>
      <c r="L3071" s="25">
        <v>42197.226388888885</v>
      </c>
      <c r="M3071" s="28"/>
      <c r="N3071" s="28"/>
      <c r="O3071" s="22" t="str">
        <f>HYPERLINK("https://abs.twimg.com/sticky/default_profile_images/default_profile_normal.png","View")</f>
        <v>View</v>
      </c>
      <c r="P3071" s="27"/>
    </row>
    <row r="3072">
      <c r="A3072" s="14">
        <v>43031.19744212963</v>
      </c>
      <c r="B3072" s="20" t="str">
        <f>HYPERLINK("https://twitter.com/feelhappy","@feelhappy")</f>
        <v>@feelhappy</v>
      </c>
      <c r="C3072" s="21" t="s">
        <v>7250</v>
      </c>
      <c r="D3072" s="21" t="s">
        <v>42</v>
      </c>
      <c r="E3072" s="22" t="str">
        <f>HYPERLINK("https://twitter.com/feelhappy/status/922428468968562688","922428468968562688")</f>
        <v>922428468968562688</v>
      </c>
      <c r="F3072" s="23" t="s">
        <v>39</v>
      </c>
      <c r="G3072" s="24">
        <v>3545.0</v>
      </c>
      <c r="H3072" s="24">
        <v>3353.0</v>
      </c>
      <c r="I3072" s="24">
        <v>8501.0</v>
      </c>
      <c r="J3072" s="24">
        <v>0.0</v>
      </c>
      <c r="K3072" s="23" t="s">
        <v>34</v>
      </c>
      <c r="L3072" s="25">
        <v>39390.24034722222</v>
      </c>
      <c r="M3072" s="28"/>
      <c r="N3072" s="35" t="s">
        <v>7251</v>
      </c>
      <c r="O3072" s="22" t="str">
        <f>HYPERLINK("https://pbs.twimg.com/profile_images/923003286625513473/ea1Y0s5p_normal.jpg","View")</f>
        <v>View</v>
      </c>
      <c r="P3072" s="27"/>
    </row>
    <row r="3073">
      <c r="A3073" s="14">
        <v>43031.19758101852</v>
      </c>
      <c r="B3073" s="20" t="str">
        <f>HYPERLINK("https://twitter.com/muhammadjuno007","@muhammadjuno007")</f>
        <v>@muhammadjuno007</v>
      </c>
      <c r="C3073" s="21" t="s">
        <v>7252</v>
      </c>
      <c r="D3073" s="21" t="s">
        <v>6991</v>
      </c>
      <c r="E3073" s="22" t="str">
        <f>HYPERLINK("https://twitter.com/muhammadjuno007/status/922428521087225856","922428521087225856")</f>
        <v>922428521087225856</v>
      </c>
      <c r="F3073" s="23" t="s">
        <v>33</v>
      </c>
      <c r="G3073" s="24">
        <v>41.0</v>
      </c>
      <c r="H3073" s="24">
        <v>718.0</v>
      </c>
      <c r="I3073" s="24">
        <v>22.0</v>
      </c>
      <c r="J3073" s="24">
        <v>0.0</v>
      </c>
      <c r="K3073" s="23" t="s">
        <v>34</v>
      </c>
      <c r="L3073" s="25">
        <v>43029.28418981482</v>
      </c>
      <c r="M3073" s="28"/>
      <c r="N3073" s="26" t="s">
        <v>7253</v>
      </c>
      <c r="O3073" s="22" t="str">
        <f>HYPERLINK("https://pbs.twimg.com/profile_images/921739286701117441/k9XfYgUy_normal.jpg","View")</f>
        <v>View</v>
      </c>
      <c r="P3073" s="27"/>
    </row>
    <row r="3074">
      <c r="A3074" s="14">
        <v>43031.197650462964</v>
      </c>
      <c r="B3074" s="20" t="str">
        <f>HYPERLINK("https://twitter.com/AndrewRalphPC","@AndrewRalphPC")</f>
        <v>@AndrewRalphPC</v>
      </c>
      <c r="C3074" s="21" t="s">
        <v>3459</v>
      </c>
      <c r="D3074" s="21" t="s">
        <v>7254</v>
      </c>
      <c r="E3074" s="22" t="str">
        <f>HYPERLINK("https://twitter.com/AndrewRalphPC/status/922428543509979136","922428543509979136")</f>
        <v>922428543509979136</v>
      </c>
      <c r="F3074" s="23" t="s">
        <v>230</v>
      </c>
      <c r="G3074" s="24">
        <v>1669.0</v>
      </c>
      <c r="H3074" s="24">
        <v>2944.0</v>
      </c>
      <c r="I3074" s="24">
        <v>0.0</v>
      </c>
      <c r="J3074" s="24">
        <v>0.0</v>
      </c>
      <c r="K3074" s="23" t="s">
        <v>34</v>
      </c>
      <c r="L3074" s="25">
        <v>41900.50212962963</v>
      </c>
      <c r="M3074" s="26" t="s">
        <v>3461</v>
      </c>
      <c r="N3074" s="26" t="s">
        <v>3462</v>
      </c>
      <c r="O3074" s="22" t="str">
        <f>HYPERLINK("https://pbs.twimg.com/profile_images/920241607613566977/B5tVOAcl_normal.jpg","View")</f>
        <v>View</v>
      </c>
      <c r="P3074" s="27"/>
    </row>
    <row r="3075">
      <c r="A3075" s="14">
        <v>43031.19767361111</v>
      </c>
      <c r="B3075" s="20" t="str">
        <f>HYPERLINK("https://twitter.com/Vinodku74276290","@Vinodku74276290")</f>
        <v>@Vinodku74276290</v>
      </c>
      <c r="C3075" s="21" t="s">
        <v>7255</v>
      </c>
      <c r="D3075" s="21" t="s">
        <v>42</v>
      </c>
      <c r="E3075" s="22" t="str">
        <f>HYPERLINK("https://twitter.com/Vinodku74276290/status/922428551155949568","922428551155949568")</f>
        <v>922428551155949568</v>
      </c>
      <c r="F3075" s="23" t="s">
        <v>33</v>
      </c>
      <c r="G3075" s="24">
        <v>564.0</v>
      </c>
      <c r="H3075" s="24">
        <v>473.0</v>
      </c>
      <c r="I3075" s="24">
        <v>8501.0</v>
      </c>
      <c r="J3075" s="24">
        <v>0.0</v>
      </c>
      <c r="K3075" s="23" t="s">
        <v>34</v>
      </c>
      <c r="L3075" s="25">
        <v>42794.992638888885</v>
      </c>
      <c r="M3075" s="26" t="s">
        <v>7256</v>
      </c>
      <c r="N3075" s="26" t="s">
        <v>7257</v>
      </c>
      <c r="O3075" s="22" t="str">
        <f>HYPERLINK("https://pbs.twimg.com/profile_images/873906850722324481/JPJHfj5i_normal.jpg","View")</f>
        <v>View</v>
      </c>
      <c r="P3075" s="27"/>
    </row>
    <row r="3076">
      <c r="A3076" s="14">
        <v>43031.19767361111</v>
      </c>
      <c r="B3076" s="20" t="str">
        <f>HYPERLINK("https://twitter.com/stonemountainuk","@stonemountainuk")</f>
        <v>@stonemountainuk</v>
      </c>
      <c r="C3076" s="21" t="s">
        <v>7258</v>
      </c>
      <c r="D3076" s="21" t="s">
        <v>7259</v>
      </c>
      <c r="E3076" s="22" t="str">
        <f>HYPERLINK("https://twitter.com/stonemountainuk/status/922428553685340160","922428553685340160")</f>
        <v>922428553685340160</v>
      </c>
      <c r="F3076" s="23" t="s">
        <v>55</v>
      </c>
      <c r="G3076" s="24">
        <v>298.0</v>
      </c>
      <c r="H3076" s="24">
        <v>634.0</v>
      </c>
      <c r="I3076" s="24">
        <v>0.0</v>
      </c>
      <c r="J3076" s="24">
        <v>0.0</v>
      </c>
      <c r="K3076" s="23" t="s">
        <v>34</v>
      </c>
      <c r="L3076" s="25">
        <v>41474.31927083334</v>
      </c>
      <c r="M3076" s="26" t="s">
        <v>590</v>
      </c>
      <c r="N3076" s="26" t="s">
        <v>7260</v>
      </c>
      <c r="O3076" s="22" t="str">
        <f>HYPERLINK("https://pbs.twimg.com/profile_images/473818068691341312/PPyVMYlD_normal.png","View")</f>
        <v>View</v>
      </c>
      <c r="P3076" s="27"/>
    </row>
    <row r="3077">
      <c r="A3077" s="14">
        <v>43031.19769675926</v>
      </c>
      <c r="B3077" s="20" t="str">
        <f>HYPERLINK("https://twitter.com/YourAnonRevolt","@YourAnonRevolt")</f>
        <v>@YourAnonRevolt</v>
      </c>
      <c r="C3077" s="21" t="s">
        <v>7005</v>
      </c>
      <c r="D3077" s="21" t="s">
        <v>7261</v>
      </c>
      <c r="E3077" s="22" t="str">
        <f>HYPERLINK("https://twitter.com/YourAnonRevolt/status/922428561700433920","922428561700433920")</f>
        <v>922428561700433920</v>
      </c>
      <c r="F3077" s="23" t="s">
        <v>55</v>
      </c>
      <c r="G3077" s="24">
        <v>11008.0</v>
      </c>
      <c r="H3077" s="24">
        <v>4104.0</v>
      </c>
      <c r="I3077" s="24">
        <v>1.0</v>
      </c>
      <c r="J3077" s="24">
        <v>0.0</v>
      </c>
      <c r="K3077" s="23" t="s">
        <v>34</v>
      </c>
      <c r="L3077" s="25">
        <v>42478.10021990741</v>
      </c>
      <c r="M3077" s="26" t="s">
        <v>7007</v>
      </c>
      <c r="N3077" s="26" t="s">
        <v>7008</v>
      </c>
      <c r="O3077" s="22" t="str">
        <f>HYPERLINK("https://pbs.twimg.com/profile_images/881398153030713344/FN9uhI_M_normal.jpg","View")</f>
        <v>View</v>
      </c>
      <c r="P3077" s="27"/>
    </row>
    <row r="3078">
      <c r="A3078" s="14">
        <v>43031.19789351852</v>
      </c>
      <c r="B3078" s="20" t="str">
        <f>HYPERLINK("https://twitter.com/anandvisen1","@anandvisen1")</f>
        <v>@anandvisen1</v>
      </c>
      <c r="C3078" s="21" t="s">
        <v>7262</v>
      </c>
      <c r="D3078" s="21" t="s">
        <v>42</v>
      </c>
      <c r="E3078" s="22" t="str">
        <f>HYPERLINK("https://twitter.com/anandvisen1/status/922428630554120192","922428630554120192")</f>
        <v>922428630554120192</v>
      </c>
      <c r="F3078" s="23" t="s">
        <v>33</v>
      </c>
      <c r="G3078" s="24">
        <v>1328.0</v>
      </c>
      <c r="H3078" s="24">
        <v>2665.0</v>
      </c>
      <c r="I3078" s="24">
        <v>8501.0</v>
      </c>
      <c r="J3078" s="24">
        <v>0.0</v>
      </c>
      <c r="K3078" s="23" t="s">
        <v>34</v>
      </c>
      <c r="L3078" s="25">
        <v>41367.27395833333</v>
      </c>
      <c r="M3078" s="26" t="s">
        <v>96</v>
      </c>
      <c r="N3078" s="26" t="s">
        <v>7263</v>
      </c>
      <c r="O3078" s="22" t="str">
        <f>HYPERLINK("https://pbs.twimg.com/profile_images/922736911596208128/ihGISPY__normal.jpg","View")</f>
        <v>View</v>
      </c>
      <c r="P3078" s="27"/>
    </row>
    <row r="3079">
      <c r="A3079" s="14">
        <v>43031.19793981481</v>
      </c>
      <c r="B3079" s="20" t="str">
        <f>HYPERLINK("https://twitter.com/amroli10","@amroli10")</f>
        <v>@amroli10</v>
      </c>
      <c r="C3079" s="21" t="s">
        <v>7264</v>
      </c>
      <c r="D3079" s="21" t="s">
        <v>42</v>
      </c>
      <c r="E3079" s="22" t="str">
        <f>HYPERLINK("https://twitter.com/amroli10/status/922428649462214656","922428649462214656")</f>
        <v>922428649462214656</v>
      </c>
      <c r="F3079" s="23" t="s">
        <v>39</v>
      </c>
      <c r="G3079" s="24">
        <v>1101.0</v>
      </c>
      <c r="H3079" s="24">
        <v>2529.0</v>
      </c>
      <c r="I3079" s="24">
        <v>8501.0</v>
      </c>
      <c r="J3079" s="24">
        <v>0.0</v>
      </c>
      <c r="K3079" s="23" t="s">
        <v>34</v>
      </c>
      <c r="L3079" s="25">
        <v>41004.12923611111</v>
      </c>
      <c r="M3079" s="26" t="s">
        <v>7265</v>
      </c>
      <c r="N3079" s="26" t="s">
        <v>7266</v>
      </c>
      <c r="O3079" s="22" t="str">
        <f>HYPERLINK("https://pbs.twimg.com/profile_images/466803946451779585/TMdOmJGr_normal.jpeg","View")</f>
        <v>View</v>
      </c>
      <c r="P3079" s="27"/>
    </row>
    <row r="3080">
      <c r="A3080" s="14">
        <v>43031.19797453703</v>
      </c>
      <c r="B3080" s="20" t="str">
        <f>HYPERLINK("https://twitter.com/seoservicec","@seoservicec")</f>
        <v>@seoservicec</v>
      </c>
      <c r="C3080" s="21" t="s">
        <v>7267</v>
      </c>
      <c r="D3080" s="21" t="s">
        <v>7268</v>
      </c>
      <c r="E3080" s="22" t="str">
        <f>HYPERLINK("https://twitter.com/seoservicec/status/922428663768977408","922428663768977408")</f>
        <v>922428663768977408</v>
      </c>
      <c r="F3080" s="23" t="s">
        <v>91</v>
      </c>
      <c r="G3080" s="24">
        <v>2510.0</v>
      </c>
      <c r="H3080" s="24">
        <v>1809.0</v>
      </c>
      <c r="I3080" s="24">
        <v>0.0</v>
      </c>
      <c r="J3080" s="24">
        <v>0.0</v>
      </c>
      <c r="K3080" s="23" t="s">
        <v>34</v>
      </c>
      <c r="L3080" s="25">
        <v>40628.35826388889</v>
      </c>
      <c r="M3080" s="26" t="s">
        <v>204</v>
      </c>
      <c r="N3080" s="26" t="s">
        <v>7269</v>
      </c>
      <c r="O3080" s="22" t="str">
        <f>HYPERLINK("https://pbs.twimg.com/profile_images/3503665052/7dbff869302c9184660533c524c0daaa_normal.png","View")</f>
        <v>View</v>
      </c>
      <c r="P3080" s="27"/>
    </row>
    <row r="3081">
      <c r="A3081" s="14">
        <v>43031.198124999995</v>
      </c>
      <c r="B3081" s="20" t="str">
        <f>HYPERLINK("https://twitter.com/vaibhav_feels","@vaibhav_feels")</f>
        <v>@vaibhav_feels</v>
      </c>
      <c r="C3081" s="21" t="s">
        <v>7270</v>
      </c>
      <c r="D3081" s="21" t="s">
        <v>42</v>
      </c>
      <c r="E3081" s="22" t="str">
        <f>HYPERLINK("https://twitter.com/vaibhav_feels/status/922428714146717696","922428714146717696")</f>
        <v>922428714146717696</v>
      </c>
      <c r="F3081" s="23" t="s">
        <v>33</v>
      </c>
      <c r="G3081" s="24">
        <v>7144.0</v>
      </c>
      <c r="H3081" s="24">
        <v>1850.0</v>
      </c>
      <c r="I3081" s="24">
        <v>8501.0</v>
      </c>
      <c r="J3081" s="24">
        <v>0.0</v>
      </c>
      <c r="K3081" s="23" t="s">
        <v>34</v>
      </c>
      <c r="L3081" s="25">
        <v>42189.993472222224</v>
      </c>
      <c r="M3081" s="26" t="s">
        <v>4398</v>
      </c>
      <c r="N3081" s="26" t="s">
        <v>7271</v>
      </c>
      <c r="O3081" s="22" t="str">
        <f>HYPERLINK("https://pbs.twimg.com/profile_images/617595604529627136/sSKOZel3_normal.jpg","View")</f>
        <v>View</v>
      </c>
      <c r="P3081" s="27"/>
    </row>
    <row r="3082">
      <c r="A3082" s="14">
        <v>43031.19815972222</v>
      </c>
      <c r="B3082" s="20" t="str">
        <f>HYPERLINK("https://twitter.com/NaomiMo16023848","@NaomiMo16023848")</f>
        <v>@NaomiMo16023848</v>
      </c>
      <c r="C3082" s="21" t="s">
        <v>6424</v>
      </c>
      <c r="D3082" s="21" t="s">
        <v>7198</v>
      </c>
      <c r="E3082" s="22" t="str">
        <f>HYPERLINK("https://twitter.com/NaomiMo16023848/status/922428729145507840","922428729145507840")</f>
        <v>922428729145507840</v>
      </c>
      <c r="F3082" s="23" t="s">
        <v>33</v>
      </c>
      <c r="G3082" s="24">
        <v>260.0</v>
      </c>
      <c r="H3082" s="24">
        <v>239.0</v>
      </c>
      <c r="I3082" s="24">
        <v>11.0</v>
      </c>
      <c r="J3082" s="24">
        <v>0.0</v>
      </c>
      <c r="K3082" s="23" t="s">
        <v>34</v>
      </c>
      <c r="L3082" s="25">
        <v>42683.03061342593</v>
      </c>
      <c r="M3082" s="26" t="s">
        <v>6425</v>
      </c>
      <c r="N3082" s="26" t="s">
        <v>6426</v>
      </c>
      <c r="O3082" s="22" t="str">
        <f>HYPERLINK("https://pbs.twimg.com/profile_images/906016201637191681/AE0I14XS_normal.jpg","View")</f>
        <v>View</v>
      </c>
      <c r="P3082" s="27"/>
    </row>
    <row r="3083">
      <c r="A3083" s="14">
        <v>43031.198171296295</v>
      </c>
      <c r="B3083" s="20" t="str">
        <f>HYPERLINK("https://twitter.com/jpnyctky","@jpnyctky")</f>
        <v>@jpnyctky</v>
      </c>
      <c r="C3083" s="21" t="s">
        <v>3441</v>
      </c>
      <c r="D3083" s="21" t="s">
        <v>7272</v>
      </c>
      <c r="E3083" s="22" t="str">
        <f>HYPERLINK("https://twitter.com/jpnyctky/status/922428732203307015","922428732203307015")</f>
        <v>922428732203307015</v>
      </c>
      <c r="F3083" s="23" t="s">
        <v>187</v>
      </c>
      <c r="G3083" s="24">
        <v>915.0</v>
      </c>
      <c r="H3083" s="24">
        <v>1762.0</v>
      </c>
      <c r="I3083" s="24">
        <v>0.0</v>
      </c>
      <c r="J3083" s="24">
        <v>0.0</v>
      </c>
      <c r="K3083" s="23" t="s">
        <v>34</v>
      </c>
      <c r="L3083" s="25">
        <v>41417.86788194445</v>
      </c>
      <c r="M3083" s="26" t="s">
        <v>3443</v>
      </c>
      <c r="N3083" s="26" t="s">
        <v>3444</v>
      </c>
      <c r="O3083" s="22" t="str">
        <f>HYPERLINK("https://pbs.twimg.com/profile_images/461384483053113344/1ewDovGJ_normal.jpeg","View")</f>
        <v>View</v>
      </c>
      <c r="P3083" s="27"/>
    </row>
    <row r="3084">
      <c r="A3084" s="14">
        <v>43031.198229166665</v>
      </c>
      <c r="B3084" s="20" t="str">
        <f>HYPERLINK("https://twitter.com/abosife2010","@abosife2010")</f>
        <v>@abosife2010</v>
      </c>
      <c r="C3084" s="21" t="s">
        <v>1585</v>
      </c>
      <c r="D3084" s="21" t="s">
        <v>7106</v>
      </c>
      <c r="E3084" s="22" t="str">
        <f>HYPERLINK("https://twitter.com/abosife2010/status/922428753753591813","922428753753591813")</f>
        <v>922428753753591813</v>
      </c>
      <c r="F3084" s="23" t="s">
        <v>43</v>
      </c>
      <c r="G3084" s="24">
        <v>1145.0</v>
      </c>
      <c r="H3084" s="24">
        <v>3102.0</v>
      </c>
      <c r="I3084" s="24">
        <v>16.0</v>
      </c>
      <c r="J3084" s="24">
        <v>0.0</v>
      </c>
      <c r="K3084" s="23" t="s">
        <v>34</v>
      </c>
      <c r="L3084" s="25">
        <v>40712.519224537034</v>
      </c>
      <c r="M3084" s="32" t="s">
        <v>1586</v>
      </c>
      <c r="N3084" s="26" t="s">
        <v>1587</v>
      </c>
      <c r="O3084" s="22" t="str">
        <f>HYPERLINK("https://pbs.twimg.com/profile_images/869146010953682944/tD96CxJ8_normal.jpg","View")</f>
        <v>View</v>
      </c>
      <c r="P3084" s="27"/>
    </row>
    <row r="3085">
      <c r="A3085" s="14">
        <v>43031.19824074074</v>
      </c>
      <c r="B3085" s="20" t="str">
        <f>HYPERLINK("https://twitter.com/chinavigator","@chinavigator")</f>
        <v>@chinavigator</v>
      </c>
      <c r="C3085" s="21" t="s">
        <v>7273</v>
      </c>
      <c r="D3085" s="21" t="s">
        <v>7274</v>
      </c>
      <c r="E3085" s="22" t="str">
        <f>HYPERLINK("https://twitter.com/chinavigator/status/922428757595557888","922428757595557888")</f>
        <v>922428757595557888</v>
      </c>
      <c r="F3085" s="23" t="s">
        <v>187</v>
      </c>
      <c r="G3085" s="24">
        <v>14.0</v>
      </c>
      <c r="H3085" s="24">
        <v>0.0</v>
      </c>
      <c r="I3085" s="24">
        <v>0.0</v>
      </c>
      <c r="J3085" s="24">
        <v>0.0</v>
      </c>
      <c r="K3085" s="23" t="s">
        <v>34</v>
      </c>
      <c r="L3085" s="25">
        <v>42974.5574537037</v>
      </c>
      <c r="M3085" s="26" t="s">
        <v>3604</v>
      </c>
      <c r="N3085" s="26" t="s">
        <v>7275</v>
      </c>
      <c r="O3085" s="22" t="str">
        <f>HYPERLINK("https://pbs.twimg.com/profile_images/901916161134211078/YyUVQohf_normal.jpg","View")</f>
        <v>View</v>
      </c>
      <c r="P3085" s="27"/>
    </row>
    <row r="3086">
      <c r="A3086" s="14">
        <v>43031.198275462964</v>
      </c>
      <c r="B3086" s="20" t="str">
        <f>HYPERLINK("https://twitter.com/Monitor_sur","@Monitor_sur")</f>
        <v>@Monitor_sur</v>
      </c>
      <c r="C3086" s="21" t="s">
        <v>7276</v>
      </c>
      <c r="D3086" s="21" t="s">
        <v>7277</v>
      </c>
      <c r="E3086" s="22" t="str">
        <f>HYPERLINK("https://twitter.com/Monitor_sur/status/922428769012461568","922428769012461568")</f>
        <v>922428769012461568</v>
      </c>
      <c r="F3086" s="23" t="s">
        <v>427</v>
      </c>
      <c r="G3086" s="24">
        <v>8336.0</v>
      </c>
      <c r="H3086" s="24">
        <v>668.0</v>
      </c>
      <c r="I3086" s="24">
        <v>0.0</v>
      </c>
      <c r="J3086" s="24">
        <v>0.0</v>
      </c>
      <c r="K3086" s="23" t="s">
        <v>34</v>
      </c>
      <c r="L3086" s="25">
        <v>41680.35775462963</v>
      </c>
      <c r="M3086" s="26" t="s">
        <v>1563</v>
      </c>
      <c r="N3086" s="26" t="s">
        <v>7278</v>
      </c>
      <c r="O3086" s="22" t="str">
        <f>HYPERLINK("https://pbs.twimg.com/profile_images/845323060584468481/Uy2FSm_h_normal.jpg","View")</f>
        <v>View</v>
      </c>
      <c r="P3086" s="27"/>
    </row>
    <row r="3087">
      <c r="A3087" s="14">
        <v>43031.19831018518</v>
      </c>
      <c r="B3087" s="20" t="str">
        <f>HYPERLINK("https://twitter.com/MAHIPALSHEKHA11","@MAHIPALSHEKHA11")</f>
        <v>@MAHIPALSHEKHA11</v>
      </c>
      <c r="C3087" s="21" t="s">
        <v>7279</v>
      </c>
      <c r="D3087" s="21" t="s">
        <v>42</v>
      </c>
      <c r="E3087" s="22" t="str">
        <f>HYPERLINK("https://twitter.com/MAHIPALSHEKHA11/status/922428784732545025","922428784732545025")</f>
        <v>922428784732545025</v>
      </c>
      <c r="F3087" s="23" t="s">
        <v>33</v>
      </c>
      <c r="G3087" s="24">
        <v>656.0</v>
      </c>
      <c r="H3087" s="24">
        <v>953.0</v>
      </c>
      <c r="I3087" s="24">
        <v>8501.0</v>
      </c>
      <c r="J3087" s="24">
        <v>0.0</v>
      </c>
      <c r="K3087" s="23" t="s">
        <v>34</v>
      </c>
      <c r="L3087" s="25">
        <v>42321.925208333334</v>
      </c>
      <c r="M3087" s="28"/>
      <c r="N3087" s="28"/>
      <c r="O3087" s="22" t="str">
        <f>HYPERLINK("https://pbs.twimg.com/profile_images/915480487941914626/3RAdsWLw_normal.jpg","View")</f>
        <v>View</v>
      </c>
      <c r="P3087" s="27"/>
    </row>
    <row r="3088">
      <c r="A3088" s="14">
        <v>43031.198321759264</v>
      </c>
      <c r="B3088" s="20" t="str">
        <f>HYPERLINK("https://twitter.com/emet_news_press","@emet_news_press")</f>
        <v>@emet_news_press</v>
      </c>
      <c r="C3088" s="21" t="s">
        <v>3650</v>
      </c>
      <c r="D3088" s="21" t="s">
        <v>7280</v>
      </c>
      <c r="E3088" s="22" t="str">
        <f>HYPERLINK("https://twitter.com/emet_news_press/status/922428785802317824","922428785802317824")</f>
        <v>922428785802317824</v>
      </c>
      <c r="F3088" s="23" t="s">
        <v>427</v>
      </c>
      <c r="G3088" s="24">
        <v>14273.0</v>
      </c>
      <c r="H3088" s="24">
        <v>3070.0</v>
      </c>
      <c r="I3088" s="24">
        <v>0.0</v>
      </c>
      <c r="J3088" s="24">
        <v>0.0</v>
      </c>
      <c r="K3088" s="23" t="s">
        <v>34</v>
      </c>
      <c r="L3088" s="25">
        <v>42457.10976851852</v>
      </c>
      <c r="M3088" s="26" t="s">
        <v>2068</v>
      </c>
      <c r="N3088" s="26" t="s">
        <v>3652</v>
      </c>
      <c r="O3088" s="22" t="str">
        <f>HYPERLINK("https://pbs.twimg.com/profile_images/867494379308687362/en57rgx2_normal.jpg","View")</f>
        <v>View</v>
      </c>
      <c r="P3088" s="27"/>
    </row>
    <row r="3089">
      <c r="A3089" s="14">
        <v>43031.19836805556</v>
      </c>
      <c r="B3089" s="20" t="str">
        <f>HYPERLINK("https://twitter.com/ChungOstrander","@ChungOstrander")</f>
        <v>@ChungOstrander</v>
      </c>
      <c r="C3089" s="21" t="s">
        <v>7281</v>
      </c>
      <c r="D3089" s="21" t="s">
        <v>7282</v>
      </c>
      <c r="E3089" s="22" t="str">
        <f>HYPERLINK("https://twitter.com/ChungOstrander/status/922428805989523456","922428805989523456")</f>
        <v>922428805989523456</v>
      </c>
      <c r="F3089" s="23" t="s">
        <v>39</v>
      </c>
      <c r="G3089" s="24">
        <v>137.0</v>
      </c>
      <c r="H3089" s="24">
        <v>583.0</v>
      </c>
      <c r="I3089" s="24">
        <v>0.0</v>
      </c>
      <c r="J3089" s="24">
        <v>0.0</v>
      </c>
      <c r="K3089" s="23" t="s">
        <v>34</v>
      </c>
      <c r="L3089" s="25">
        <v>39927.88920138889</v>
      </c>
      <c r="M3089" s="26" t="s">
        <v>7283</v>
      </c>
      <c r="N3089" s="26" t="s">
        <v>7284</v>
      </c>
      <c r="O3089" s="22" t="str">
        <f>HYPERLINK("https://pbs.twimg.com/profile_images/823645625749270528/rSYQqIim_normal.jpg","View")</f>
        <v>View</v>
      </c>
      <c r="P3089" s="27"/>
    </row>
    <row r="3090">
      <c r="A3090" s="14">
        <v>43031.19841435185</v>
      </c>
      <c r="B3090" s="20" t="str">
        <f>HYPERLINK("https://twitter.com/arvind_dhaker","@arvind_dhaker")</f>
        <v>@arvind_dhaker</v>
      </c>
      <c r="C3090" s="21" t="s">
        <v>7285</v>
      </c>
      <c r="D3090" s="21" t="s">
        <v>42</v>
      </c>
      <c r="E3090" s="22" t="str">
        <f>HYPERLINK("https://twitter.com/arvind_dhaker/status/922428819201552385","922428819201552385")</f>
        <v>922428819201552385</v>
      </c>
      <c r="F3090" s="23" t="s">
        <v>33</v>
      </c>
      <c r="G3090" s="24">
        <v>129.0</v>
      </c>
      <c r="H3090" s="24">
        <v>279.0</v>
      </c>
      <c r="I3090" s="24">
        <v>8501.0</v>
      </c>
      <c r="J3090" s="24">
        <v>0.0</v>
      </c>
      <c r="K3090" s="23" t="s">
        <v>34</v>
      </c>
      <c r="L3090" s="25">
        <v>40130.22849537037</v>
      </c>
      <c r="M3090" s="26" t="s">
        <v>2177</v>
      </c>
      <c r="N3090" s="26" t="s">
        <v>7286</v>
      </c>
      <c r="O3090" s="22" t="str">
        <f>HYPERLINK("https://pbs.twimg.com/profile_images/818068518931496960/6hENEzV1_normal.jpg","View")</f>
        <v>View</v>
      </c>
      <c r="P3090" s="27"/>
    </row>
    <row r="3091">
      <c r="A3091" s="14">
        <v>43031.19841435185</v>
      </c>
      <c r="B3091" s="20" t="str">
        <f>HYPERLINK("https://twitter.com/julianknight15","@julianknight15")</f>
        <v>@julianknight15</v>
      </c>
      <c r="C3091" s="21" t="s">
        <v>581</v>
      </c>
      <c r="D3091" s="21" t="s">
        <v>6403</v>
      </c>
      <c r="E3091" s="22" t="str">
        <f>HYPERLINK("https://twitter.com/julianknight15/status/922428821521027073","922428821521027073")</f>
        <v>922428821521027073</v>
      </c>
      <c r="F3091" s="23" t="s">
        <v>230</v>
      </c>
      <c r="G3091" s="24">
        <v>4442.0</v>
      </c>
      <c r="H3091" s="24">
        <v>650.0</v>
      </c>
      <c r="I3091" s="24">
        <v>97.0</v>
      </c>
      <c r="J3091" s="24">
        <v>0.0</v>
      </c>
      <c r="K3091" s="23" t="s">
        <v>34</v>
      </c>
      <c r="L3091" s="25">
        <v>41349.03251157407</v>
      </c>
      <c r="M3091" s="26" t="s">
        <v>583</v>
      </c>
      <c r="N3091" s="26" t="s">
        <v>584</v>
      </c>
      <c r="O3091" s="22" t="str">
        <f>HYPERLINK("https://pbs.twimg.com/profile_images/801412483177181184/upFR1u9H_normal.jpg","View")</f>
        <v>View</v>
      </c>
      <c r="P3091" s="27"/>
    </row>
    <row r="3092">
      <c r="A3092" s="14">
        <v>43031.19846064815</v>
      </c>
      <c r="B3092" s="20" t="str">
        <f>HYPERLINK("https://twitter.com/noshityann","@noshityann")</f>
        <v>@noshityann</v>
      </c>
      <c r="C3092" s="21" t="s">
        <v>7287</v>
      </c>
      <c r="D3092" s="21" t="s">
        <v>126</v>
      </c>
      <c r="E3092" s="22" t="str">
        <f>HYPERLINK("https://twitter.com/noshityann/status/922428836863545344","922428836863545344")</f>
        <v>922428836863545344</v>
      </c>
      <c r="F3092" s="23" t="s">
        <v>33</v>
      </c>
      <c r="G3092" s="24">
        <v>711.0</v>
      </c>
      <c r="H3092" s="24">
        <v>637.0</v>
      </c>
      <c r="I3092" s="24">
        <v>62.0</v>
      </c>
      <c r="J3092" s="24">
        <v>0.0</v>
      </c>
      <c r="K3092" s="23" t="s">
        <v>34</v>
      </c>
      <c r="L3092" s="25">
        <v>40755.70818287037</v>
      </c>
      <c r="M3092" s="26" t="s">
        <v>7288</v>
      </c>
      <c r="N3092" s="26" t="s">
        <v>7289</v>
      </c>
      <c r="O3092" s="22" t="str">
        <f>HYPERLINK("https://pbs.twimg.com/profile_images/3572203760/7949b3684586f0354a695b04159f4d0a_normal.jpeg","View")</f>
        <v>View</v>
      </c>
      <c r="P3092" s="27"/>
    </row>
    <row r="3093">
      <c r="A3093" s="14">
        <v>43031.19853009259</v>
      </c>
      <c r="B3093" s="20" t="str">
        <f>HYPERLINK("https://twitter.com/jiei_yushi","@jiei_yushi")</f>
        <v>@jiei_yushi</v>
      </c>
      <c r="C3093" s="21" t="s">
        <v>7290</v>
      </c>
      <c r="D3093" s="21" t="s">
        <v>7106</v>
      </c>
      <c r="E3093" s="22" t="str">
        <f>HYPERLINK("https://twitter.com/jiei_yushi/status/922428862822305792","922428862822305792")</f>
        <v>922428862822305792</v>
      </c>
      <c r="F3093" s="23" t="s">
        <v>43</v>
      </c>
      <c r="G3093" s="24">
        <v>2618.0</v>
      </c>
      <c r="H3093" s="24">
        <v>98.0</v>
      </c>
      <c r="I3093" s="24">
        <v>16.0</v>
      </c>
      <c r="J3093" s="24">
        <v>0.0</v>
      </c>
      <c r="K3093" s="23" t="s">
        <v>34</v>
      </c>
      <c r="L3093" s="25">
        <v>40734.06383101852</v>
      </c>
      <c r="M3093" s="26" t="s">
        <v>7291</v>
      </c>
      <c r="N3093" s="26" t="s">
        <v>7292</v>
      </c>
      <c r="O3093" s="22" t="str">
        <f>HYPERLINK("https://pbs.twimg.com/profile_images/1434984865/HNI_0024_normal.JPG","View")</f>
        <v>View</v>
      </c>
      <c r="P3093" s="27"/>
    </row>
    <row r="3094">
      <c r="A3094" s="14">
        <v>43031.19856481481</v>
      </c>
      <c r="B3094" s="20" t="str">
        <f>HYPERLINK("https://twitter.com/mathe260","@mathe260")</f>
        <v>@mathe260</v>
      </c>
      <c r="C3094" s="21" t="s">
        <v>7293</v>
      </c>
      <c r="D3094" s="21" t="s">
        <v>5786</v>
      </c>
      <c r="E3094" s="22" t="str">
        <f>HYPERLINK("https://twitter.com/mathe260/status/922428875057061888","922428875057061888")</f>
        <v>922428875057061888</v>
      </c>
      <c r="F3094" s="23" t="s">
        <v>55</v>
      </c>
      <c r="G3094" s="24">
        <v>1553.0</v>
      </c>
      <c r="H3094" s="24">
        <v>2448.0</v>
      </c>
      <c r="I3094" s="24">
        <v>59.0</v>
      </c>
      <c r="J3094" s="24">
        <v>0.0</v>
      </c>
      <c r="K3094" s="23" t="s">
        <v>34</v>
      </c>
      <c r="L3094" s="25">
        <v>41268.42518518519</v>
      </c>
      <c r="M3094" s="26" t="s">
        <v>7294</v>
      </c>
      <c r="N3094" s="26" t="s">
        <v>7295</v>
      </c>
      <c r="O3094" s="22" t="str">
        <f>HYPERLINK("https://pbs.twimg.com/profile_images/848928464514289665/i0HXEfOe_normal.jpg","View")</f>
        <v>View</v>
      </c>
      <c r="P3094" s="27"/>
    </row>
    <row r="3095">
      <c r="A3095" s="14">
        <v>43031.198587962965</v>
      </c>
      <c r="B3095" s="20" t="str">
        <f>HYPERLINK("https://twitter.com/BaliramPandey10","@BaliramPandey10")</f>
        <v>@BaliramPandey10</v>
      </c>
      <c r="C3095" s="21" t="s">
        <v>7296</v>
      </c>
      <c r="D3095" s="21" t="s">
        <v>42</v>
      </c>
      <c r="E3095" s="22" t="str">
        <f>HYPERLINK("https://twitter.com/BaliramPandey10/status/922428883277774849","922428883277774849")</f>
        <v>922428883277774849</v>
      </c>
      <c r="F3095" s="23" t="s">
        <v>33</v>
      </c>
      <c r="G3095" s="24">
        <v>6.0</v>
      </c>
      <c r="H3095" s="24">
        <v>86.0</v>
      </c>
      <c r="I3095" s="24">
        <v>8501.0</v>
      </c>
      <c r="J3095" s="24">
        <v>0.0</v>
      </c>
      <c r="K3095" s="23" t="s">
        <v>34</v>
      </c>
      <c r="L3095" s="25">
        <v>43010.666493055556</v>
      </c>
      <c r="M3095" s="28"/>
      <c r="N3095" s="28"/>
      <c r="O3095" s="22" t="str">
        <f>HYPERLINK("https://abs.twimg.com/sticky/default_profile_images/default_profile_normal.png","View")</f>
        <v>View</v>
      </c>
      <c r="P3095" s="27"/>
    </row>
    <row r="3096">
      <c r="A3096" s="14">
        <v>43031.19866898148</v>
      </c>
      <c r="B3096" s="20" t="str">
        <f>HYPERLINK("https://twitter.com/ImranKh63614260","@ImranKh63614260")</f>
        <v>@ImranKh63614260</v>
      </c>
      <c r="C3096" s="21" t="s">
        <v>7297</v>
      </c>
      <c r="D3096" s="21" t="s">
        <v>42</v>
      </c>
      <c r="E3096" s="22" t="str">
        <f>HYPERLINK("https://twitter.com/ImranKh63614260/status/922428911366967297","922428911366967297")</f>
        <v>922428911366967297</v>
      </c>
      <c r="F3096" s="23" t="s">
        <v>33</v>
      </c>
      <c r="G3096" s="24">
        <v>14.0</v>
      </c>
      <c r="H3096" s="24">
        <v>291.0</v>
      </c>
      <c r="I3096" s="24">
        <v>8501.0</v>
      </c>
      <c r="J3096" s="24">
        <v>0.0</v>
      </c>
      <c r="K3096" s="23" t="s">
        <v>34</v>
      </c>
      <c r="L3096" s="25">
        <v>43030.21097222222</v>
      </c>
      <c r="M3096" s="26" t="s">
        <v>7210</v>
      </c>
      <c r="N3096" s="28"/>
      <c r="O3096" s="22" t="str">
        <f>HYPERLINK("https://pbs.twimg.com/profile_images/922111296648048645/2aRJfboG_normal.jpg","View")</f>
        <v>View</v>
      </c>
      <c r="P3096" s="27"/>
    </row>
    <row r="3097">
      <c r="A3097" s="14">
        <v>43031.198692129634</v>
      </c>
      <c r="B3097" s="20" t="str">
        <f>HYPERLINK("https://twitter.com/Himanishhh","@Himanishhh")</f>
        <v>@Himanishhh</v>
      </c>
      <c r="C3097" s="21" t="s">
        <v>7298</v>
      </c>
      <c r="D3097" s="21" t="s">
        <v>42</v>
      </c>
      <c r="E3097" s="22" t="str">
        <f>HYPERLINK("https://twitter.com/Himanishhh/status/922428922553294848","922428922553294848")</f>
        <v>922428922553294848</v>
      </c>
      <c r="F3097" s="23" t="s">
        <v>39</v>
      </c>
      <c r="G3097" s="24">
        <v>76.0</v>
      </c>
      <c r="H3097" s="24">
        <v>205.0</v>
      </c>
      <c r="I3097" s="24">
        <v>8501.0</v>
      </c>
      <c r="J3097" s="24">
        <v>0.0</v>
      </c>
      <c r="K3097" s="23" t="s">
        <v>34</v>
      </c>
      <c r="L3097" s="25">
        <v>40395.19701388889</v>
      </c>
      <c r="M3097" s="26" t="s">
        <v>1162</v>
      </c>
      <c r="N3097" s="26" t="s">
        <v>7299</v>
      </c>
      <c r="O3097" s="22" t="str">
        <f>HYPERLINK("https://pbs.twimg.com/profile_images/552318291675344896/kjPj0xOH_normal.jpeg","View")</f>
        <v>View</v>
      </c>
      <c r="P3097" s="27"/>
    </row>
    <row r="3098">
      <c r="A3098" s="14">
        <v>43031.198692129634</v>
      </c>
      <c r="B3098" s="20" t="str">
        <f>HYPERLINK("https://twitter.com/ShakilAhmed_2","@ShakilAhmed_2")</f>
        <v>@ShakilAhmed_2</v>
      </c>
      <c r="C3098" s="21" t="s">
        <v>4477</v>
      </c>
      <c r="D3098" s="21" t="s">
        <v>6236</v>
      </c>
      <c r="E3098" s="22" t="str">
        <f>HYPERLINK("https://twitter.com/ShakilAhmed_2/status/922428923044155392","922428923044155392")</f>
        <v>922428923044155392</v>
      </c>
      <c r="F3098" s="23" t="s">
        <v>55</v>
      </c>
      <c r="G3098" s="24">
        <v>37.0</v>
      </c>
      <c r="H3098" s="24">
        <v>111.0</v>
      </c>
      <c r="I3098" s="24">
        <v>26.0</v>
      </c>
      <c r="J3098" s="24">
        <v>0.0</v>
      </c>
      <c r="K3098" s="23" t="s">
        <v>34</v>
      </c>
      <c r="L3098" s="25">
        <v>43024.77232638889</v>
      </c>
      <c r="M3098" s="26" t="s">
        <v>4111</v>
      </c>
      <c r="N3098" s="26" t="s">
        <v>4478</v>
      </c>
      <c r="O3098" s="22" t="str">
        <f>HYPERLINK("https://pbs.twimg.com/profile_images/921580212516806656/Xi1EqSeV_normal.jpg","View")</f>
        <v>View</v>
      </c>
      <c r="P3098" s="27"/>
    </row>
    <row r="3099">
      <c r="A3099" s="14">
        <v>43031.19878472222</v>
      </c>
      <c r="B3099" s="20" t="str">
        <f>HYPERLINK("https://twitter.com/Afternoon_Voice","@Afternoon_Voice")</f>
        <v>@Afternoon_Voice</v>
      </c>
      <c r="C3099" s="21" t="s">
        <v>7300</v>
      </c>
      <c r="D3099" s="21" t="s">
        <v>7301</v>
      </c>
      <c r="E3099" s="22" t="str">
        <f>HYPERLINK("https://twitter.com/Afternoon_Voice/status/922428955692556288","922428955692556288")</f>
        <v>922428955692556288</v>
      </c>
      <c r="F3099" s="23" t="s">
        <v>187</v>
      </c>
      <c r="G3099" s="24">
        <v>1072.0</v>
      </c>
      <c r="H3099" s="24">
        <v>36.0</v>
      </c>
      <c r="I3099" s="24">
        <v>0.0</v>
      </c>
      <c r="J3099" s="24">
        <v>0.0</v>
      </c>
      <c r="K3099" s="23" t="s">
        <v>34</v>
      </c>
      <c r="L3099" s="25">
        <v>40828.30084490741</v>
      </c>
      <c r="M3099" s="26" t="s">
        <v>204</v>
      </c>
      <c r="N3099" s="26" t="s">
        <v>7302</v>
      </c>
      <c r="O3099" s="22" t="str">
        <f>HYPERLINK("https://pbs.twimg.com/profile_images/837180354486124544/8fhZKh8E_normal.jpg","View")</f>
        <v>View</v>
      </c>
      <c r="P3099" s="27"/>
    </row>
    <row r="3100">
      <c r="A3100" s="14">
        <v>43031.198854166665</v>
      </c>
      <c r="B3100" s="20" t="str">
        <f>HYPERLINK("https://twitter.com/shankercbe","@shankercbe")</f>
        <v>@shankercbe</v>
      </c>
      <c r="C3100" s="21" t="s">
        <v>7303</v>
      </c>
      <c r="D3100" s="21" t="s">
        <v>163</v>
      </c>
      <c r="E3100" s="22" t="str">
        <f>HYPERLINK("https://twitter.com/shankercbe/status/922428980984029184","922428980984029184")</f>
        <v>922428980984029184</v>
      </c>
      <c r="F3100" s="23" t="s">
        <v>33</v>
      </c>
      <c r="G3100" s="24">
        <v>330.0</v>
      </c>
      <c r="H3100" s="24">
        <v>1570.0</v>
      </c>
      <c r="I3100" s="24">
        <v>1005.0</v>
      </c>
      <c r="J3100" s="24">
        <v>0.0</v>
      </c>
      <c r="K3100" s="23" t="s">
        <v>34</v>
      </c>
      <c r="L3100" s="25">
        <v>40180.630532407406</v>
      </c>
      <c r="M3100" s="28"/>
      <c r="N3100" s="26" t="s">
        <v>7304</v>
      </c>
      <c r="O3100" s="22" t="str">
        <f>HYPERLINK("https://pbs.twimg.com/profile_images/553580409309503488/svXshJlz_normal.jpeg","View")</f>
        <v>View</v>
      </c>
      <c r="P3100" s="27"/>
    </row>
    <row r="3101">
      <c r="A3101" s="14">
        <v>43031.198958333334</v>
      </c>
      <c r="B3101" s="20" t="str">
        <f>HYPERLINK("https://twitter.com/fillonafrique","@fillonafrique")</f>
        <v>@fillonafrique</v>
      </c>
      <c r="C3101" s="21" t="s">
        <v>7305</v>
      </c>
      <c r="D3101" s="21" t="s">
        <v>6403</v>
      </c>
      <c r="E3101" s="22" t="str">
        <f>HYPERLINK("https://twitter.com/fillonafrique/status/922429019454402560","922429019454402560")</f>
        <v>922429019454402560</v>
      </c>
      <c r="F3101" s="23" t="s">
        <v>55</v>
      </c>
      <c r="G3101" s="24">
        <v>1585.0</v>
      </c>
      <c r="H3101" s="24">
        <v>1346.0</v>
      </c>
      <c r="I3101" s="24">
        <v>97.0</v>
      </c>
      <c r="J3101" s="24">
        <v>0.0</v>
      </c>
      <c r="K3101" s="23" t="s">
        <v>34</v>
      </c>
      <c r="L3101" s="25">
        <v>42834.67506944445</v>
      </c>
      <c r="M3101" s="26" t="s">
        <v>7306</v>
      </c>
      <c r="N3101" s="26" t="s">
        <v>7307</v>
      </c>
      <c r="O3101" s="22" t="str">
        <f>HYPERLINK("https://pbs.twimg.com/profile_images/856877904772427776/z96cFxqa_normal.jpg","View")</f>
        <v>View</v>
      </c>
      <c r="P3101" s="27"/>
    </row>
    <row r="3102">
      <c r="A3102" s="14">
        <v>43031.199016203704</v>
      </c>
      <c r="B3102" s="20" t="str">
        <f>HYPERLINK("https://twitter.com/ctochalu","@ctochalu")</f>
        <v>@ctochalu</v>
      </c>
      <c r="C3102" s="21" t="s">
        <v>7308</v>
      </c>
      <c r="D3102" s="21" t="s">
        <v>42</v>
      </c>
      <c r="E3102" s="22" t="str">
        <f>HYPERLINK("https://twitter.com/ctochalu/status/922429040794861569","922429040794861569")</f>
        <v>922429040794861569</v>
      </c>
      <c r="F3102" s="23" t="s">
        <v>33</v>
      </c>
      <c r="G3102" s="24">
        <v>11.0</v>
      </c>
      <c r="H3102" s="24">
        <v>28.0</v>
      </c>
      <c r="I3102" s="24">
        <v>8501.0</v>
      </c>
      <c r="J3102" s="24">
        <v>0.0</v>
      </c>
      <c r="K3102" s="23" t="s">
        <v>34</v>
      </c>
      <c r="L3102" s="25">
        <v>42968.6040162037</v>
      </c>
      <c r="M3102" s="28"/>
      <c r="N3102" s="28"/>
      <c r="O3102" s="22" t="str">
        <f>HYPERLINK("https://pbs.twimg.com/profile_images/921086040206491648/pdbjoC7h_normal.jpg","View")</f>
        <v>View</v>
      </c>
      <c r="P3102" s="27"/>
    </row>
    <row r="3103">
      <c r="A3103" s="14">
        <v>43031.19905092593</v>
      </c>
      <c r="B3103" s="20" t="str">
        <f>HYPERLINK("https://twitter.com/lpscivil","@lpscivil")</f>
        <v>@lpscivil</v>
      </c>
      <c r="C3103" s="21" t="s">
        <v>7309</v>
      </c>
      <c r="D3103" s="21" t="s">
        <v>42</v>
      </c>
      <c r="E3103" s="22" t="str">
        <f>HYPERLINK("https://twitter.com/lpscivil/status/922429053352554497","922429053352554497")</f>
        <v>922429053352554497</v>
      </c>
      <c r="F3103" s="23" t="s">
        <v>33</v>
      </c>
      <c r="G3103" s="24">
        <v>534.0</v>
      </c>
      <c r="H3103" s="24">
        <v>519.0</v>
      </c>
      <c r="I3103" s="24">
        <v>8501.0</v>
      </c>
      <c r="J3103" s="24">
        <v>0.0</v>
      </c>
      <c r="K3103" s="23" t="s">
        <v>34</v>
      </c>
      <c r="L3103" s="25">
        <v>41173.26157407407</v>
      </c>
      <c r="M3103" s="26" t="s">
        <v>136</v>
      </c>
      <c r="N3103" s="26" t="s">
        <v>7310</v>
      </c>
      <c r="O3103" s="22" t="str">
        <f>HYPERLINK("https://pbs.twimg.com/profile_images/907893777037017088/IJUAwlc9_normal.jpg","View")</f>
        <v>View</v>
      </c>
      <c r="P3103" s="27"/>
    </row>
    <row r="3104">
      <c r="A3104" s="14">
        <v>43031.199120370366</v>
      </c>
      <c r="B3104" s="20" t="str">
        <f>HYPERLINK("https://twitter.com/GourabMondalSun","@GourabMondalSun")</f>
        <v>@GourabMondalSun</v>
      </c>
      <c r="C3104" s="21" t="s">
        <v>7311</v>
      </c>
      <c r="D3104" s="21" t="s">
        <v>42</v>
      </c>
      <c r="E3104" s="22" t="str">
        <f>HYPERLINK("https://twitter.com/GourabMondalSun/status/922429077813739521","922429077813739521")</f>
        <v>922429077813739521</v>
      </c>
      <c r="F3104" s="23" t="s">
        <v>33</v>
      </c>
      <c r="G3104" s="24">
        <v>992.0</v>
      </c>
      <c r="H3104" s="24">
        <v>1584.0</v>
      </c>
      <c r="I3104" s="24">
        <v>8501.0</v>
      </c>
      <c r="J3104" s="24">
        <v>0.0</v>
      </c>
      <c r="K3104" s="23" t="s">
        <v>34</v>
      </c>
      <c r="L3104" s="25">
        <v>42335.6665162037</v>
      </c>
      <c r="M3104" s="26" t="s">
        <v>7312</v>
      </c>
      <c r="N3104" s="26" t="s">
        <v>7313</v>
      </c>
      <c r="O3104" s="22" t="str">
        <f>HYPERLINK("https://pbs.twimg.com/profile_images/836710334018818048/qrdk2__t_normal.jpg","View")</f>
        <v>View</v>
      </c>
      <c r="P3104" s="27"/>
    </row>
    <row r="3105">
      <c r="A3105" s="14">
        <v>43031.19913194445</v>
      </c>
      <c r="B3105" s="20" t="str">
        <f>HYPERLINK("https://twitter.com/JoanSala412","@JoanSala412")</f>
        <v>@JoanSala412</v>
      </c>
      <c r="C3105" s="21" t="s">
        <v>7314</v>
      </c>
      <c r="D3105" s="21" t="s">
        <v>7315</v>
      </c>
      <c r="E3105" s="22" t="str">
        <f>HYPERLINK("https://twitter.com/JoanSala412/status/922429082712854528","922429082712854528")</f>
        <v>922429082712854528</v>
      </c>
      <c r="F3105" s="23" t="s">
        <v>33</v>
      </c>
      <c r="G3105" s="24">
        <v>20.0</v>
      </c>
      <c r="H3105" s="24">
        <v>95.0</v>
      </c>
      <c r="I3105" s="24">
        <v>1.0</v>
      </c>
      <c r="J3105" s="24">
        <v>0.0</v>
      </c>
      <c r="K3105" s="23" t="s">
        <v>34</v>
      </c>
      <c r="L3105" s="25">
        <v>43008.682962962965</v>
      </c>
      <c r="M3105" s="28"/>
      <c r="N3105" s="28"/>
      <c r="O3105" s="22" t="str">
        <f>HYPERLINK("https://pbs.twimg.com/profile_images/922477441079234562/VaFtJ6_1_normal.jpg","View")</f>
        <v>View</v>
      </c>
      <c r="P3105" s="27"/>
    </row>
    <row r="3106">
      <c r="A3106" s="14">
        <v>43031.19914351852</v>
      </c>
      <c r="B3106" s="20" t="str">
        <f>HYPERLINK("https://twitter.com/yaremchuk_v","@yaremchuk_v")</f>
        <v>@yaremchuk_v</v>
      </c>
      <c r="C3106" s="21" t="s">
        <v>7316</v>
      </c>
      <c r="D3106" s="21" t="s">
        <v>6236</v>
      </c>
      <c r="E3106" s="22" t="str">
        <f>HYPERLINK("https://twitter.com/yaremchuk_v/status/922429083446923264","922429083446923264")</f>
        <v>922429083446923264</v>
      </c>
      <c r="F3106" s="23" t="s">
        <v>55</v>
      </c>
      <c r="G3106" s="24">
        <v>2246.0</v>
      </c>
      <c r="H3106" s="24">
        <v>1647.0</v>
      </c>
      <c r="I3106" s="24">
        <v>26.0</v>
      </c>
      <c r="J3106" s="24">
        <v>0.0</v>
      </c>
      <c r="K3106" s="23" t="s">
        <v>34</v>
      </c>
      <c r="L3106" s="25">
        <v>40898.227476851855</v>
      </c>
      <c r="M3106" s="26" t="s">
        <v>7317</v>
      </c>
      <c r="N3106" s="26" t="s">
        <v>7318</v>
      </c>
      <c r="O3106" s="22" t="str">
        <f>HYPERLINK("https://pbs.twimg.com/profile_images/681440036525608962/nR_YxdbH_normal.jpg","View")</f>
        <v>View</v>
      </c>
      <c r="P3106" s="27"/>
    </row>
    <row r="3107">
      <c r="A3107" s="14">
        <v>43031.19914351852</v>
      </c>
      <c r="B3107" s="20" t="str">
        <f>HYPERLINK("https://twitter.com/the__himanish","@the__himanish")</f>
        <v>@the__himanish</v>
      </c>
      <c r="C3107" s="21" t="s">
        <v>2612</v>
      </c>
      <c r="D3107" s="21" t="s">
        <v>7319</v>
      </c>
      <c r="E3107" s="22" t="str">
        <f>HYPERLINK("https://twitter.com/the__himanish/status/922429083799212032","922429083799212032")</f>
        <v>922429083799212032</v>
      </c>
      <c r="F3107" s="23" t="s">
        <v>187</v>
      </c>
      <c r="G3107" s="24">
        <v>1822.0</v>
      </c>
      <c r="H3107" s="24">
        <v>1621.0</v>
      </c>
      <c r="I3107" s="24">
        <v>0.0</v>
      </c>
      <c r="J3107" s="24">
        <v>0.0</v>
      </c>
      <c r="K3107" s="23" t="s">
        <v>34</v>
      </c>
      <c r="L3107" s="25">
        <v>40222.15178240741</v>
      </c>
      <c r="M3107" s="26" t="s">
        <v>96</v>
      </c>
      <c r="N3107" s="26" t="s">
        <v>2614</v>
      </c>
      <c r="O3107" s="22" t="str">
        <f>HYPERLINK("https://pbs.twimg.com/profile_images/914165533918015489/A6iR_gz2_normal.jpg","View")</f>
        <v>View</v>
      </c>
      <c r="P3107" s="27"/>
    </row>
    <row r="3108">
      <c r="A3108" s="14">
        <v>43031.199317129634</v>
      </c>
      <c r="B3108" s="20" t="str">
        <f>HYPERLINK("https://twitter.com/SoulharpEddie","@SoulharpEddie")</f>
        <v>@SoulharpEddie</v>
      </c>
      <c r="C3108" s="21" t="s">
        <v>7320</v>
      </c>
      <c r="D3108" s="21" t="s">
        <v>42</v>
      </c>
      <c r="E3108" s="22" t="str">
        <f>HYPERLINK("https://twitter.com/SoulharpEddie/status/922429148382969856","922429148382969856")</f>
        <v>922429148382969856</v>
      </c>
      <c r="F3108" s="23" t="s">
        <v>39</v>
      </c>
      <c r="G3108" s="24">
        <v>1706.0</v>
      </c>
      <c r="H3108" s="24">
        <v>2115.0</v>
      </c>
      <c r="I3108" s="24">
        <v>8501.0</v>
      </c>
      <c r="J3108" s="24">
        <v>0.0</v>
      </c>
      <c r="K3108" s="23" t="s">
        <v>34</v>
      </c>
      <c r="L3108" s="25">
        <v>40386.87981481481</v>
      </c>
      <c r="M3108" s="26" t="s">
        <v>5401</v>
      </c>
      <c r="N3108" s="26" t="s">
        <v>7321</v>
      </c>
      <c r="O3108" s="22" t="str">
        <f>HYPERLINK("https://pbs.twimg.com/profile_images/1210176401/image_normal.jpg","View")</f>
        <v>View</v>
      </c>
      <c r="P3108" s="27"/>
    </row>
    <row r="3109">
      <c r="A3109" s="14">
        <v>43031.19939814815</v>
      </c>
      <c r="B3109" s="20" t="str">
        <f>HYPERLINK("https://twitter.com/vikas0049","@vikas0049")</f>
        <v>@vikas0049</v>
      </c>
      <c r="C3109" s="21" t="s">
        <v>7322</v>
      </c>
      <c r="D3109" s="21" t="s">
        <v>42</v>
      </c>
      <c r="E3109" s="22" t="str">
        <f>HYPERLINK("https://twitter.com/vikas0049/status/922429176304377861","922429176304377861")</f>
        <v>922429176304377861</v>
      </c>
      <c r="F3109" s="23" t="s">
        <v>33</v>
      </c>
      <c r="G3109" s="24">
        <v>25.0</v>
      </c>
      <c r="H3109" s="24">
        <v>87.0</v>
      </c>
      <c r="I3109" s="24">
        <v>8501.0</v>
      </c>
      <c r="J3109" s="24">
        <v>0.0</v>
      </c>
      <c r="K3109" s="23" t="s">
        <v>34</v>
      </c>
      <c r="L3109" s="25">
        <v>40330.319490740745</v>
      </c>
      <c r="M3109" s="26" t="s">
        <v>6173</v>
      </c>
      <c r="N3109" s="26" t="s">
        <v>7323</v>
      </c>
      <c r="O3109" s="22" t="str">
        <f>HYPERLINK("https://pbs.twimg.com/profile_images/836620657051987968/qoI9e4FU_normal.jpg","View")</f>
        <v>View</v>
      </c>
      <c r="P3109" s="27"/>
    </row>
    <row r="3110">
      <c r="A3110" s="14">
        <v>43031.199467592596</v>
      </c>
      <c r="B3110" s="20" t="str">
        <f>HYPERLINK("https://twitter.com/ginnyb3","@ginnyb3")</f>
        <v>@ginnyb3</v>
      </c>
      <c r="C3110" s="21" t="s">
        <v>7324</v>
      </c>
      <c r="D3110" s="21" t="s">
        <v>7198</v>
      </c>
      <c r="E3110" s="22" t="str">
        <f>HYPERLINK("https://twitter.com/ginnyb3/status/922429204138024960","922429204138024960")</f>
        <v>922429204138024960</v>
      </c>
      <c r="F3110" s="23" t="s">
        <v>33</v>
      </c>
      <c r="G3110" s="24">
        <v>1196.0</v>
      </c>
      <c r="H3110" s="24">
        <v>3131.0</v>
      </c>
      <c r="I3110" s="24">
        <v>11.0</v>
      </c>
      <c r="J3110" s="24">
        <v>0.0</v>
      </c>
      <c r="K3110" s="23" t="s">
        <v>34</v>
      </c>
      <c r="L3110" s="25">
        <v>40608.35391203704</v>
      </c>
      <c r="M3110" s="26" t="s">
        <v>2932</v>
      </c>
      <c r="N3110" s="26" t="s">
        <v>7325</v>
      </c>
      <c r="O3110" s="22" t="str">
        <f>HYPERLINK("https://pbs.twimg.com/profile_images/873042539569217536/OHCJSxXm_normal.jpg","View")</f>
        <v>View</v>
      </c>
      <c r="P3110" s="27"/>
    </row>
    <row r="3111">
      <c r="A3111" s="14">
        <v>43031.19953703704</v>
      </c>
      <c r="B3111" s="20" t="str">
        <f>HYPERLINK("https://twitter.com/jagdeepssidhu","@jagdeepssidhu")</f>
        <v>@jagdeepssidhu</v>
      </c>
      <c r="C3111" s="21" t="s">
        <v>7326</v>
      </c>
      <c r="D3111" s="21" t="s">
        <v>42</v>
      </c>
      <c r="E3111" s="22" t="str">
        <f>HYPERLINK("https://twitter.com/jagdeepssidhu/status/922429227382685697","922429227382685697")</f>
        <v>922429227382685697</v>
      </c>
      <c r="F3111" s="23" t="s">
        <v>33</v>
      </c>
      <c r="G3111" s="24">
        <v>517.0</v>
      </c>
      <c r="H3111" s="24">
        <v>1512.0</v>
      </c>
      <c r="I3111" s="24">
        <v>8501.0</v>
      </c>
      <c r="J3111" s="24">
        <v>0.0</v>
      </c>
      <c r="K3111" s="23" t="s">
        <v>34</v>
      </c>
      <c r="L3111" s="25">
        <v>41209.84506944445</v>
      </c>
      <c r="M3111" s="26" t="s">
        <v>7327</v>
      </c>
      <c r="N3111" s="26" t="s">
        <v>7328</v>
      </c>
      <c r="O3111" s="22" t="str">
        <f>HYPERLINK("https://pbs.twimg.com/profile_images/878834206499110913/mYkc0bUY_normal.jpg","View")</f>
        <v>View</v>
      </c>
      <c r="P3111" s="27"/>
    </row>
    <row r="3112">
      <c r="A3112" s="14">
        <v>43031.19961805556</v>
      </c>
      <c r="B3112" s="20" t="str">
        <f>HYPERLINK("https://twitter.com/abhi_dove","@abhi_dove")</f>
        <v>@abhi_dove</v>
      </c>
      <c r="C3112" s="21" t="s">
        <v>7329</v>
      </c>
      <c r="D3112" s="21" t="s">
        <v>42</v>
      </c>
      <c r="E3112" s="22" t="str">
        <f>HYPERLINK("https://twitter.com/abhi_dove/status/922429257745403904","922429257745403904")</f>
        <v>922429257745403904</v>
      </c>
      <c r="F3112" s="23" t="s">
        <v>43</v>
      </c>
      <c r="G3112" s="24">
        <v>112.0</v>
      </c>
      <c r="H3112" s="24">
        <v>393.0</v>
      </c>
      <c r="I3112" s="24">
        <v>8501.0</v>
      </c>
      <c r="J3112" s="24">
        <v>0.0</v>
      </c>
      <c r="K3112" s="23" t="s">
        <v>34</v>
      </c>
      <c r="L3112" s="25">
        <v>40043.223645833335</v>
      </c>
      <c r="M3112" s="26" t="s">
        <v>1545</v>
      </c>
      <c r="N3112" s="26" t="s">
        <v>7330</v>
      </c>
      <c r="O3112" s="22" t="str">
        <f t="shared" ref="O3112:O3113" si="53">HYPERLINK("https://abs.twimg.com/sticky/default_profile_images/default_profile_normal.png","View")</f>
        <v>View</v>
      </c>
      <c r="P3112" s="27"/>
    </row>
    <row r="3113">
      <c r="A3113" s="14">
        <v>43031.19962962963</v>
      </c>
      <c r="B3113" s="20" t="str">
        <f>HYPERLINK("https://twitter.com/DBirich","@DBirich")</f>
        <v>@DBirich</v>
      </c>
      <c r="C3113" s="21" t="s">
        <v>7331</v>
      </c>
      <c r="D3113" s="21" t="s">
        <v>7332</v>
      </c>
      <c r="E3113" s="22" t="str">
        <f>HYPERLINK("https://twitter.com/DBirich/status/922429262094786560","922429262094786560")</f>
        <v>922429262094786560</v>
      </c>
      <c r="F3113" s="23" t="s">
        <v>39</v>
      </c>
      <c r="G3113" s="24">
        <v>9.0</v>
      </c>
      <c r="H3113" s="24">
        <v>67.0</v>
      </c>
      <c r="I3113" s="24">
        <v>7.0</v>
      </c>
      <c r="J3113" s="24">
        <v>0.0</v>
      </c>
      <c r="K3113" s="23" t="s">
        <v>34</v>
      </c>
      <c r="L3113" s="25">
        <v>40951.50546296296</v>
      </c>
      <c r="M3113" s="26" t="s">
        <v>7333</v>
      </c>
      <c r="N3113" s="26" t="s">
        <v>7334</v>
      </c>
      <c r="O3113" s="22" t="str">
        <f t="shared" si="53"/>
        <v>View</v>
      </c>
      <c r="P3113" s="27"/>
    </row>
    <row r="3114">
      <c r="A3114" s="14">
        <v>43031.19967592593</v>
      </c>
      <c r="B3114" s="20" t="str">
        <f>HYPERLINK("https://twitter.com/RoyGhiraw","@RoyGhiraw")</f>
        <v>@RoyGhiraw</v>
      </c>
      <c r="C3114" s="21" t="s">
        <v>7335</v>
      </c>
      <c r="D3114" s="21" t="s">
        <v>825</v>
      </c>
      <c r="E3114" s="22" t="str">
        <f>HYPERLINK("https://twitter.com/RoyGhiraw/status/922429280239448064","922429280239448064")</f>
        <v>922429280239448064</v>
      </c>
      <c r="F3114" s="23" t="s">
        <v>39</v>
      </c>
      <c r="G3114" s="24">
        <v>111.0</v>
      </c>
      <c r="H3114" s="24">
        <v>30.0</v>
      </c>
      <c r="I3114" s="24">
        <v>109.0</v>
      </c>
      <c r="J3114" s="24">
        <v>0.0</v>
      </c>
      <c r="K3114" s="23" t="s">
        <v>34</v>
      </c>
      <c r="L3114" s="25">
        <v>40594.04761574074</v>
      </c>
      <c r="M3114" s="28"/>
      <c r="N3114" s="26" t="s">
        <v>7336</v>
      </c>
      <c r="O3114" s="22" t="str">
        <f>HYPERLINK("https://pbs.twimg.com/profile_images/778500666520109056/vaztW6Pa_normal.jpg","View")</f>
        <v>View</v>
      </c>
      <c r="P3114" s="27"/>
    </row>
    <row r="3115">
      <c r="A3115" s="14">
        <v>43031.199687500004</v>
      </c>
      <c r="B3115" s="20" t="str">
        <f>HYPERLINK("https://twitter.com/KumaraVaani","@KumaraVaani")</f>
        <v>@KumaraVaani</v>
      </c>
      <c r="C3115" s="21" t="s">
        <v>7337</v>
      </c>
      <c r="D3115" s="21" t="s">
        <v>42</v>
      </c>
      <c r="E3115" s="22" t="str">
        <f>HYPERLINK("https://twitter.com/KumaraVaani/status/922429283028443136","922429283028443136")</f>
        <v>922429283028443136</v>
      </c>
      <c r="F3115" s="23" t="s">
        <v>33</v>
      </c>
      <c r="G3115" s="24">
        <v>229.0</v>
      </c>
      <c r="H3115" s="24">
        <v>8.0</v>
      </c>
      <c r="I3115" s="24">
        <v>8501.0</v>
      </c>
      <c r="J3115" s="24">
        <v>0.0</v>
      </c>
      <c r="K3115" s="23" t="s">
        <v>34</v>
      </c>
      <c r="L3115" s="25">
        <v>40132.33152777778</v>
      </c>
      <c r="M3115" s="28"/>
      <c r="N3115" s="26" t="s">
        <v>7338</v>
      </c>
      <c r="O3115" s="22" t="str">
        <f>HYPERLINK("https://pbs.twimg.com/profile_images/706812897737834496/KBxFvRhr_normal.jpg","View")</f>
        <v>View</v>
      </c>
      <c r="P3115" s="27"/>
    </row>
    <row r="3116">
      <c r="A3116" s="14">
        <v>43031.19991898148</v>
      </c>
      <c r="B3116" s="20" t="str">
        <f>HYPERLINK("https://twitter.com/butatosukaru","@butatosukaru")</f>
        <v>@butatosukaru</v>
      </c>
      <c r="C3116" s="21" t="s">
        <v>7339</v>
      </c>
      <c r="D3116" s="21" t="s">
        <v>42</v>
      </c>
      <c r="E3116" s="22" t="str">
        <f>HYPERLINK("https://twitter.com/butatosukaru/status/922429365949939712","922429365949939712")</f>
        <v>922429365949939712</v>
      </c>
      <c r="F3116" s="23" t="s">
        <v>33</v>
      </c>
      <c r="G3116" s="24">
        <v>284.0</v>
      </c>
      <c r="H3116" s="24">
        <v>689.0</v>
      </c>
      <c r="I3116" s="24">
        <v>8501.0</v>
      </c>
      <c r="J3116" s="24">
        <v>0.0</v>
      </c>
      <c r="K3116" s="23" t="s">
        <v>34</v>
      </c>
      <c r="L3116" s="25">
        <v>39968.12486111111</v>
      </c>
      <c r="M3116" s="28"/>
      <c r="N3116" s="26" t="s">
        <v>7340</v>
      </c>
      <c r="O3116" s="22" t="str">
        <f>HYPERLINK("https://pbs.twimg.com/profile_images/728305359505367040/XtXYauUg_normal.jpg","View")</f>
        <v>View</v>
      </c>
      <c r="P3116" s="27"/>
    </row>
    <row r="3117">
      <c r="A3117" s="14">
        <v>43031.199942129635</v>
      </c>
      <c r="B3117" s="20" t="str">
        <f>HYPERLINK("https://twitter.com/SikandarRajpu10","@SikandarRajpu10")</f>
        <v>@SikandarRajpu10</v>
      </c>
      <c r="C3117" s="21" t="s">
        <v>7341</v>
      </c>
      <c r="D3117" s="21" t="s">
        <v>42</v>
      </c>
      <c r="E3117" s="22" t="str">
        <f>HYPERLINK("https://twitter.com/SikandarRajpu10/status/922429373990494209","922429373990494209")</f>
        <v>922429373990494209</v>
      </c>
      <c r="F3117" s="23" t="s">
        <v>33</v>
      </c>
      <c r="G3117" s="24">
        <v>83.0</v>
      </c>
      <c r="H3117" s="24">
        <v>431.0</v>
      </c>
      <c r="I3117" s="24">
        <v>8501.0</v>
      </c>
      <c r="J3117" s="24">
        <v>0.0</v>
      </c>
      <c r="K3117" s="23" t="s">
        <v>34</v>
      </c>
      <c r="L3117" s="25">
        <v>42650.93239583333</v>
      </c>
      <c r="M3117" s="26" t="s">
        <v>3066</v>
      </c>
      <c r="N3117" s="26" t="s">
        <v>7342</v>
      </c>
      <c r="O3117" s="22" t="str">
        <f>HYPERLINK("https://pbs.twimg.com/profile_images/899246555101888513/s_ZJwpHj_normal.jpg","View")</f>
        <v>View</v>
      </c>
      <c r="P3117" s="27"/>
    </row>
    <row r="3118">
      <c r="A3118" s="14">
        <v>43031.2000462963</v>
      </c>
      <c r="B3118" s="20" t="str">
        <f>HYPERLINK("https://twitter.com/freddiethekat","@freddiethekat")</f>
        <v>@freddiethekat</v>
      </c>
      <c r="C3118" s="21" t="s">
        <v>7343</v>
      </c>
      <c r="D3118" s="21" t="s">
        <v>7344</v>
      </c>
      <c r="E3118" s="22" t="str">
        <f>HYPERLINK("https://twitter.com/freddiethekat/status/922429410522918913","922429410522918913")</f>
        <v>922429410522918913</v>
      </c>
      <c r="F3118" s="23" t="s">
        <v>55</v>
      </c>
      <c r="G3118" s="24">
        <v>2172.0</v>
      </c>
      <c r="H3118" s="24">
        <v>555.0</v>
      </c>
      <c r="I3118" s="24">
        <v>0.0</v>
      </c>
      <c r="J3118" s="24">
        <v>1.0</v>
      </c>
      <c r="K3118" s="23" t="s">
        <v>34</v>
      </c>
      <c r="L3118" s="25">
        <v>39864.85358796296</v>
      </c>
      <c r="M3118" s="26" t="s">
        <v>120</v>
      </c>
      <c r="N3118" s="26" t="s">
        <v>7345</v>
      </c>
      <c r="O3118" s="22" t="str">
        <f>HYPERLINK("https://pbs.twimg.com/profile_images/1134831480/Reuters_PR_shot_normal.JPG","View")</f>
        <v>View</v>
      </c>
      <c r="P3118" s="27"/>
    </row>
    <row r="3119">
      <c r="A3119" s="14">
        <v>43031.20006944444</v>
      </c>
      <c r="B3119" s="20" t="str">
        <f>HYPERLINK("https://twitter.com/domiruiz02","@domiruiz02")</f>
        <v>@domiruiz02</v>
      </c>
      <c r="C3119" s="21" t="s">
        <v>7225</v>
      </c>
      <c r="D3119" s="21" t="s">
        <v>6991</v>
      </c>
      <c r="E3119" s="22" t="str">
        <f>HYPERLINK("https://twitter.com/domiruiz02/status/922429422313107456","922429422313107456")</f>
        <v>922429422313107456</v>
      </c>
      <c r="F3119" s="23" t="s">
        <v>55</v>
      </c>
      <c r="G3119" s="24">
        <v>186.0</v>
      </c>
      <c r="H3119" s="24">
        <v>242.0</v>
      </c>
      <c r="I3119" s="24">
        <v>22.0</v>
      </c>
      <c r="J3119" s="24">
        <v>0.0</v>
      </c>
      <c r="K3119" s="23" t="s">
        <v>34</v>
      </c>
      <c r="L3119" s="25">
        <v>42811.7924537037</v>
      </c>
      <c r="M3119" s="28"/>
      <c r="N3119" s="28"/>
      <c r="O3119" s="22" t="str">
        <f>HYPERLINK("https://pbs.twimg.com/profile_images/850371871170334720/FzLjpkI-_normal.jpg","View")</f>
        <v>View</v>
      </c>
      <c r="P3119" s="27"/>
    </row>
    <row r="3120">
      <c r="A3120" s="14">
        <v>43031.200115740736</v>
      </c>
      <c r="B3120" s="20" t="str">
        <f>HYPERLINK("https://twitter.com/chogunwook","@chogunwook")</f>
        <v>@chogunwook</v>
      </c>
      <c r="C3120" s="21" t="s">
        <v>7346</v>
      </c>
      <c r="D3120" s="21" t="s">
        <v>5262</v>
      </c>
      <c r="E3120" s="22" t="str">
        <f>HYPERLINK("https://twitter.com/chogunwook/status/922429437190090752","922429437190090752")</f>
        <v>922429437190090752</v>
      </c>
      <c r="F3120" s="23" t="s">
        <v>33</v>
      </c>
      <c r="G3120" s="24">
        <v>1325.0</v>
      </c>
      <c r="H3120" s="24">
        <v>1321.0</v>
      </c>
      <c r="I3120" s="24">
        <v>22.0</v>
      </c>
      <c r="J3120" s="24">
        <v>0.0</v>
      </c>
      <c r="K3120" s="23" t="s">
        <v>34</v>
      </c>
      <c r="L3120" s="25">
        <v>40221.88284722222</v>
      </c>
      <c r="M3120" s="26" t="s">
        <v>7347</v>
      </c>
      <c r="N3120" s="26" t="s">
        <v>7348</v>
      </c>
      <c r="O3120" s="22" t="str">
        <f>HYPERLINK("https://pbs.twimg.com/profile_images/3119454199/1cfd2123d92c1e72fd2748f55e75b208_normal.jpeg","View")</f>
        <v>View</v>
      </c>
      <c r="P3120" s="27"/>
    </row>
    <row r="3121">
      <c r="A3121" s="14">
        <v>43031.20017361111</v>
      </c>
      <c r="B3121" s="20" t="str">
        <f>HYPERLINK("https://twitter.com/_urjp","@_urjp")</f>
        <v>@_urjp</v>
      </c>
      <c r="C3121" s="21" t="s">
        <v>7349</v>
      </c>
      <c r="D3121" s="21" t="s">
        <v>42</v>
      </c>
      <c r="E3121" s="22" t="str">
        <f>HYPERLINK("https://twitter.com/_urjp/status/922429460120346624","922429460120346624")</f>
        <v>922429460120346624</v>
      </c>
      <c r="F3121" s="23" t="s">
        <v>33</v>
      </c>
      <c r="G3121" s="24">
        <v>2294.0</v>
      </c>
      <c r="H3121" s="24">
        <v>2132.0</v>
      </c>
      <c r="I3121" s="24">
        <v>8501.0</v>
      </c>
      <c r="J3121" s="24">
        <v>0.0</v>
      </c>
      <c r="K3121" s="23" t="s">
        <v>34</v>
      </c>
      <c r="L3121" s="25">
        <v>40626.3884375</v>
      </c>
      <c r="M3121" s="26" t="s">
        <v>7350</v>
      </c>
      <c r="N3121" s="26" t="s">
        <v>7351</v>
      </c>
      <c r="O3121" s="22" t="str">
        <f>HYPERLINK("https://pbs.twimg.com/profile_images/2198693014/20120507URJP______normal.jpg","View")</f>
        <v>View</v>
      </c>
      <c r="P3121" s="27"/>
    </row>
    <row r="3122">
      <c r="A3122" s="14">
        <v>43031.200208333335</v>
      </c>
      <c r="B3122" s="20" t="str">
        <f>HYPERLINK("https://twitter.com/alchetect","@alchetect")</f>
        <v>@alchetect</v>
      </c>
      <c r="C3122" s="21" t="s">
        <v>7352</v>
      </c>
      <c r="D3122" s="21" t="s">
        <v>7353</v>
      </c>
      <c r="E3122" s="22" t="str">
        <f>HYPERLINK("https://twitter.com/alchetect/status/922429470618787840","922429470618787840")</f>
        <v>922429470618787840</v>
      </c>
      <c r="F3122" s="23" t="s">
        <v>43</v>
      </c>
      <c r="G3122" s="24">
        <v>91.0</v>
      </c>
      <c r="H3122" s="24">
        <v>310.0</v>
      </c>
      <c r="I3122" s="24">
        <v>0.0</v>
      </c>
      <c r="J3122" s="24">
        <v>2.0</v>
      </c>
      <c r="K3122" s="23" t="s">
        <v>34</v>
      </c>
      <c r="L3122" s="25">
        <v>40377.073483796295</v>
      </c>
      <c r="M3122" s="26" t="s">
        <v>7354</v>
      </c>
      <c r="N3122" s="26" t="s">
        <v>7355</v>
      </c>
      <c r="O3122" s="22" t="str">
        <f>HYPERLINK("https://pbs.twimg.com/profile_images/803211072232558592/DsC4i4wZ_normal.jpg","View")</f>
        <v>View</v>
      </c>
      <c r="P3122" s="27"/>
    </row>
    <row r="3123">
      <c r="A3123" s="14">
        <v>43031.20025462963</v>
      </c>
      <c r="B3123" s="20" t="str">
        <f>HYPERLINK("https://twitter.com/2000thor","@2000thor")</f>
        <v>@2000thor</v>
      </c>
      <c r="C3123" s="21" t="s">
        <v>7356</v>
      </c>
      <c r="D3123" s="21" t="s">
        <v>7357</v>
      </c>
      <c r="E3123" s="22" t="str">
        <f>HYPERLINK("https://twitter.com/2000thor/status/922429489472331776","922429489472331776")</f>
        <v>922429489472331776</v>
      </c>
      <c r="F3123" s="23" t="s">
        <v>55</v>
      </c>
      <c r="G3123" s="24">
        <v>1759.0</v>
      </c>
      <c r="H3123" s="24">
        <v>2074.0</v>
      </c>
      <c r="I3123" s="24">
        <v>0.0</v>
      </c>
      <c r="J3123" s="24">
        <v>0.0</v>
      </c>
      <c r="K3123" s="23" t="s">
        <v>34</v>
      </c>
      <c r="L3123" s="25">
        <v>39950.92289351852</v>
      </c>
      <c r="M3123" s="26" t="s">
        <v>7358</v>
      </c>
      <c r="N3123" s="26" t="s">
        <v>7359</v>
      </c>
      <c r="O3123" s="22" t="str">
        <f>HYPERLINK("https://pbs.twimg.com/profile_images/401989955/ombportrait_normal.jpg","View")</f>
        <v>View</v>
      </c>
      <c r="P3123" s="27"/>
    </row>
    <row r="3124">
      <c r="A3124" s="14">
        <v>43031.200312500005</v>
      </c>
      <c r="B3124" s="20" t="str">
        <f>HYPERLINK("https://twitter.com/NeelamG04002414","@NeelamG04002414")</f>
        <v>@NeelamG04002414</v>
      </c>
      <c r="C3124" s="21" t="s">
        <v>7360</v>
      </c>
      <c r="D3124" s="21" t="s">
        <v>42</v>
      </c>
      <c r="E3124" s="22" t="str">
        <f>HYPERLINK("https://twitter.com/NeelamG04002414/status/922429509126590465","922429509126590465")</f>
        <v>922429509126590465</v>
      </c>
      <c r="F3124" s="23" t="s">
        <v>33</v>
      </c>
      <c r="G3124" s="24">
        <v>1025.0</v>
      </c>
      <c r="H3124" s="24">
        <v>104.0</v>
      </c>
      <c r="I3124" s="24">
        <v>8501.0</v>
      </c>
      <c r="J3124" s="24">
        <v>0.0</v>
      </c>
      <c r="K3124" s="23" t="s">
        <v>34</v>
      </c>
      <c r="L3124" s="25">
        <v>42680.94804398148</v>
      </c>
      <c r="M3124" s="26" t="s">
        <v>575</v>
      </c>
      <c r="N3124" s="26" t="s">
        <v>7361</v>
      </c>
      <c r="O3124" s="22" t="str">
        <f>HYPERLINK("https://pbs.twimg.com/profile_images/797918603920154628/EJN-cIT9_normal.jpg","View")</f>
        <v>View</v>
      </c>
      <c r="P3124" s="27"/>
    </row>
    <row r="3125">
      <c r="A3125" s="14">
        <v>43031.200335648144</v>
      </c>
      <c r="B3125" s="20" t="str">
        <f>HYPERLINK("https://twitter.com/WPPnZ47OabnF0KO","@WPPnZ47OabnF0KO")</f>
        <v>@WPPnZ47OabnF0KO</v>
      </c>
      <c r="C3125" s="21" t="s">
        <v>7362</v>
      </c>
      <c r="D3125" s="21" t="s">
        <v>42</v>
      </c>
      <c r="E3125" s="22" t="str">
        <f>HYPERLINK("https://twitter.com/WPPnZ47OabnF0KO/status/922429516764536832","922429516764536832")</f>
        <v>922429516764536832</v>
      </c>
      <c r="F3125" s="23" t="s">
        <v>33</v>
      </c>
      <c r="G3125" s="24">
        <v>1496.0</v>
      </c>
      <c r="H3125" s="24">
        <v>4287.0</v>
      </c>
      <c r="I3125" s="24">
        <v>8501.0</v>
      </c>
      <c r="J3125" s="24">
        <v>0.0</v>
      </c>
      <c r="K3125" s="23" t="s">
        <v>34</v>
      </c>
      <c r="L3125" s="25">
        <v>42755.49078703704</v>
      </c>
      <c r="M3125" s="26" t="s">
        <v>7363</v>
      </c>
      <c r="N3125" s="26" t="s">
        <v>7364</v>
      </c>
      <c r="O3125" s="22" t="str">
        <f>HYPERLINK("https://pbs.twimg.com/profile_images/917370651844919297/DHQLZ53J_normal.jpg","View")</f>
        <v>View</v>
      </c>
      <c r="P3125" s="27"/>
    </row>
    <row r="3126">
      <c r="A3126" s="14">
        <v>43031.20034722222</v>
      </c>
      <c r="B3126" s="20" t="str">
        <f>HYPERLINK("https://twitter.com/piroshiking1126","@piroshiking1126")</f>
        <v>@piroshiking1126</v>
      </c>
      <c r="C3126" s="21" t="s">
        <v>7365</v>
      </c>
      <c r="D3126" s="21" t="s">
        <v>42</v>
      </c>
      <c r="E3126" s="22" t="str">
        <f>HYPERLINK("https://twitter.com/piroshiking1126/status/922429520447016961","922429520447016961")</f>
        <v>922429520447016961</v>
      </c>
      <c r="F3126" s="23" t="s">
        <v>39</v>
      </c>
      <c r="G3126" s="24">
        <v>277.0</v>
      </c>
      <c r="H3126" s="24">
        <v>355.0</v>
      </c>
      <c r="I3126" s="24">
        <v>8501.0</v>
      </c>
      <c r="J3126" s="24">
        <v>0.0</v>
      </c>
      <c r="K3126" s="23" t="s">
        <v>34</v>
      </c>
      <c r="L3126" s="25">
        <v>41990.71778935185</v>
      </c>
      <c r="M3126" s="28"/>
      <c r="N3126" s="26" t="s">
        <v>7366</v>
      </c>
      <c r="O3126" s="22" t="str">
        <f>HYPERLINK("https://pbs.twimg.com/profile_images/891768169244762113/o-MjNlVT_normal.jpg","View")</f>
        <v>View</v>
      </c>
      <c r="P3126" s="27"/>
    </row>
    <row r="3127">
      <c r="A3127" s="14">
        <v>43031.2003587963</v>
      </c>
      <c r="B3127" s="20" t="str">
        <f>HYPERLINK("https://twitter.com/ManikantKant","@ManikantKant")</f>
        <v>@ManikantKant</v>
      </c>
      <c r="C3127" s="21" t="s">
        <v>7367</v>
      </c>
      <c r="D3127" s="21" t="s">
        <v>42</v>
      </c>
      <c r="E3127" s="22" t="str">
        <f>HYPERLINK("https://twitter.com/ManikantKant/status/922429525845188609","922429525845188609")</f>
        <v>922429525845188609</v>
      </c>
      <c r="F3127" s="23" t="s">
        <v>55</v>
      </c>
      <c r="G3127" s="24">
        <v>1112.0</v>
      </c>
      <c r="H3127" s="24">
        <v>2518.0</v>
      </c>
      <c r="I3127" s="24">
        <v>8501.0</v>
      </c>
      <c r="J3127" s="24">
        <v>0.0</v>
      </c>
      <c r="K3127" s="23" t="s">
        <v>34</v>
      </c>
      <c r="L3127" s="25">
        <v>41135.91721064815</v>
      </c>
      <c r="M3127" s="26" t="s">
        <v>204</v>
      </c>
      <c r="N3127" s="26" t="s">
        <v>7368</v>
      </c>
      <c r="O3127" s="22" t="str">
        <f>HYPERLINK("https://pbs.twimg.com/profile_images/378800000107673037/fab5de3ef8a0287447cb48cd433b8d11_normal.jpeg","View")</f>
        <v>View</v>
      </c>
      <c r="P3127" s="27"/>
    </row>
    <row r="3128">
      <c r="A3128" s="14">
        <v>43031.20037037037</v>
      </c>
      <c r="B3128" s="20" t="str">
        <f>HYPERLINK("https://twitter.com/AmolTikam","@AmolTikam")</f>
        <v>@AmolTikam</v>
      </c>
      <c r="C3128" s="21" t="s">
        <v>7369</v>
      </c>
      <c r="D3128" s="21" t="s">
        <v>7370</v>
      </c>
      <c r="E3128" s="22" t="str">
        <f>HYPERLINK("https://twitter.com/AmolTikam/status/922429529007693824","922429529007693824")</f>
        <v>922429529007693824</v>
      </c>
      <c r="F3128" s="23" t="s">
        <v>33</v>
      </c>
      <c r="G3128" s="24">
        <v>1464.0</v>
      </c>
      <c r="H3128" s="24">
        <v>2166.0</v>
      </c>
      <c r="I3128" s="24">
        <v>4.0</v>
      </c>
      <c r="J3128" s="24">
        <v>0.0</v>
      </c>
      <c r="K3128" s="23" t="s">
        <v>34</v>
      </c>
      <c r="L3128" s="25">
        <v>40054.29721064815</v>
      </c>
      <c r="M3128" s="28"/>
      <c r="N3128" s="28"/>
      <c r="O3128" s="22" t="str">
        <f>HYPERLINK("https://pbs.twimg.com/profile_images/686524658582032385/VXtfVs-f_normal.jpg","View")</f>
        <v>View</v>
      </c>
      <c r="P3128" s="27"/>
    </row>
    <row r="3129">
      <c r="A3129" s="14">
        <v>43031.20040509259</v>
      </c>
      <c r="B3129" s="20" t="str">
        <f>HYPERLINK("https://twitter.com/humisdeshke","@humisdeshke")</f>
        <v>@humisdeshke</v>
      </c>
      <c r="C3129" s="21" t="s">
        <v>7371</v>
      </c>
      <c r="D3129" s="21" t="s">
        <v>42</v>
      </c>
      <c r="E3129" s="22" t="str">
        <f>HYPERLINK("https://twitter.com/humisdeshke/status/922429541015883776","922429541015883776")</f>
        <v>922429541015883776</v>
      </c>
      <c r="F3129" s="23" t="s">
        <v>33</v>
      </c>
      <c r="G3129" s="24">
        <v>32.0</v>
      </c>
      <c r="H3129" s="24">
        <v>46.0</v>
      </c>
      <c r="I3129" s="24">
        <v>8501.0</v>
      </c>
      <c r="J3129" s="24">
        <v>0.0</v>
      </c>
      <c r="K3129" s="23" t="s">
        <v>34</v>
      </c>
      <c r="L3129" s="25">
        <v>42777.805879629625</v>
      </c>
      <c r="M3129" s="28"/>
      <c r="N3129" s="28"/>
      <c r="O3129" s="22" t="str">
        <f>HYPERLINK("https://abs.twimg.com/sticky/default_profile_images/default_profile_normal.png","View")</f>
        <v>View</v>
      </c>
      <c r="P3129" s="27"/>
    </row>
    <row r="3130">
      <c r="A3130" s="14">
        <v>43031.20048611111</v>
      </c>
      <c r="B3130" s="20" t="str">
        <f>HYPERLINK("https://twitter.com/harshkkapoor","@harshkkapoor")</f>
        <v>@harshkkapoor</v>
      </c>
      <c r="C3130" s="21" t="s">
        <v>7372</v>
      </c>
      <c r="D3130" s="21" t="s">
        <v>42</v>
      </c>
      <c r="E3130" s="22" t="str">
        <f>HYPERLINK("https://twitter.com/harshkkapoor/status/922429572347392001","922429572347392001")</f>
        <v>922429572347392001</v>
      </c>
      <c r="F3130" s="23" t="s">
        <v>33</v>
      </c>
      <c r="G3130" s="24">
        <v>5365.0</v>
      </c>
      <c r="H3130" s="24">
        <v>329.0</v>
      </c>
      <c r="I3130" s="24">
        <v>8501.0</v>
      </c>
      <c r="J3130" s="24">
        <v>0.0</v>
      </c>
      <c r="K3130" s="23" t="s">
        <v>34</v>
      </c>
      <c r="L3130" s="25">
        <v>40363.43929398148</v>
      </c>
      <c r="M3130" s="26" t="s">
        <v>204</v>
      </c>
      <c r="N3130" s="26" t="s">
        <v>7373</v>
      </c>
      <c r="O3130" s="22" t="str">
        <f>HYPERLINK("https://pbs.twimg.com/profile_images/772815189016207360/J9pbxzXK_normal.jpg","View")</f>
        <v>View</v>
      </c>
      <c r="P3130" s="27"/>
    </row>
    <row r="3131">
      <c r="A3131" s="14">
        <v>43031.20050925926</v>
      </c>
      <c r="B3131" s="20" t="str">
        <f t="shared" ref="B3131:B3132" si="54">HYPERLINK("https://twitter.com/SohailYounas22","@SohailYounas22")</f>
        <v>@SohailYounas22</v>
      </c>
      <c r="C3131" s="21" t="s">
        <v>4546</v>
      </c>
      <c r="D3131" s="21" t="s">
        <v>7374</v>
      </c>
      <c r="E3131" s="22" t="str">
        <f>HYPERLINK("https://twitter.com/SohailYounas22/status/922429579410599936","922429579410599936")</f>
        <v>922429579410599936</v>
      </c>
      <c r="F3131" s="23" t="s">
        <v>4548</v>
      </c>
      <c r="G3131" s="24">
        <v>197.0</v>
      </c>
      <c r="H3131" s="24">
        <v>339.0</v>
      </c>
      <c r="I3131" s="24">
        <v>0.0</v>
      </c>
      <c r="J3131" s="24">
        <v>0.0</v>
      </c>
      <c r="K3131" s="23" t="s">
        <v>34</v>
      </c>
      <c r="L3131" s="25">
        <v>42193.66047453704</v>
      </c>
      <c r="M3131" s="26" t="s">
        <v>4549</v>
      </c>
      <c r="N3131" s="26" t="s">
        <v>4550</v>
      </c>
      <c r="O3131" s="22" t="str">
        <f t="shared" ref="O3131:O3132" si="55">HYPERLINK("https://pbs.twimg.com/profile_images/887552129338138624/w_OXsOJb_normal.jpg","View")</f>
        <v>View</v>
      </c>
      <c r="P3131" s="27"/>
    </row>
    <row r="3132">
      <c r="A3132" s="14">
        <v>43031.20050925926</v>
      </c>
      <c r="B3132" s="20" t="str">
        <f t="shared" si="54"/>
        <v>@SohailYounas22</v>
      </c>
      <c r="C3132" s="21" t="s">
        <v>4546</v>
      </c>
      <c r="D3132" s="21" t="s">
        <v>7375</v>
      </c>
      <c r="E3132" s="22" t="str">
        <f>HYPERLINK("https://twitter.com/SohailYounas22/status/922429580719276033","922429580719276033")</f>
        <v>922429580719276033</v>
      </c>
      <c r="F3132" s="23" t="s">
        <v>4548</v>
      </c>
      <c r="G3132" s="24">
        <v>197.0</v>
      </c>
      <c r="H3132" s="24">
        <v>339.0</v>
      </c>
      <c r="I3132" s="24">
        <v>0.0</v>
      </c>
      <c r="J3132" s="24">
        <v>0.0</v>
      </c>
      <c r="K3132" s="23" t="s">
        <v>34</v>
      </c>
      <c r="L3132" s="25">
        <v>42193.66047453704</v>
      </c>
      <c r="M3132" s="26" t="s">
        <v>4549</v>
      </c>
      <c r="N3132" s="26" t="s">
        <v>4550</v>
      </c>
      <c r="O3132" s="22" t="str">
        <f t="shared" si="55"/>
        <v>View</v>
      </c>
      <c r="P3132" s="27"/>
    </row>
    <row r="3133">
      <c r="A3133" s="14">
        <v>43031.2007175926</v>
      </c>
      <c r="B3133" s="20" t="str">
        <f>HYPERLINK("https://twitter.com/sapansahani","@sapansahani")</f>
        <v>@sapansahani</v>
      </c>
      <c r="C3133" s="21" t="s">
        <v>7376</v>
      </c>
      <c r="D3133" s="21" t="s">
        <v>42</v>
      </c>
      <c r="E3133" s="22" t="str">
        <f>HYPERLINK("https://twitter.com/sapansahani/status/922429655373586432","922429655373586432")</f>
        <v>922429655373586432</v>
      </c>
      <c r="F3133" s="23" t="s">
        <v>33</v>
      </c>
      <c r="G3133" s="24">
        <v>448.0</v>
      </c>
      <c r="H3133" s="24">
        <v>2585.0</v>
      </c>
      <c r="I3133" s="24">
        <v>8501.0</v>
      </c>
      <c r="J3133" s="24">
        <v>0.0</v>
      </c>
      <c r="K3133" s="23" t="s">
        <v>34</v>
      </c>
      <c r="L3133" s="25">
        <v>41720.255949074075</v>
      </c>
      <c r="M3133" s="26" t="s">
        <v>7377</v>
      </c>
      <c r="N3133" s="26" t="s">
        <v>7378</v>
      </c>
      <c r="O3133" s="22" t="str">
        <f>HYPERLINK("https://pbs.twimg.com/profile_images/891288481577807873/EqTRAMoR_normal.jpg","View")</f>
        <v>View</v>
      </c>
      <c r="P3133" s="27"/>
    </row>
    <row r="3134">
      <c r="A3134" s="14">
        <v>43031.20074074074</v>
      </c>
      <c r="B3134" s="20" t="str">
        <f>HYPERLINK("https://twitter.com/NathanielHoov","@NathanielHoov")</f>
        <v>@NathanielHoov</v>
      </c>
      <c r="C3134" s="21" t="s">
        <v>7379</v>
      </c>
      <c r="D3134" s="21" t="s">
        <v>2456</v>
      </c>
      <c r="E3134" s="22" t="str">
        <f>HYPERLINK("https://twitter.com/NathanielHoov/status/922429662462083077","922429662462083077")</f>
        <v>922429662462083077</v>
      </c>
      <c r="F3134" s="23" t="s">
        <v>43</v>
      </c>
      <c r="G3134" s="24">
        <v>2.0</v>
      </c>
      <c r="H3134" s="24">
        <v>36.0</v>
      </c>
      <c r="I3134" s="24">
        <v>49.0</v>
      </c>
      <c r="J3134" s="24">
        <v>0.0</v>
      </c>
      <c r="K3134" s="23" t="s">
        <v>34</v>
      </c>
      <c r="L3134" s="25">
        <v>43004.89122685185</v>
      </c>
      <c r="M3134" s="28"/>
      <c r="N3134" s="28"/>
      <c r="O3134" s="22" t="str">
        <f>HYPERLINK("https://abs.twimg.com/sticky/default_profile_images/default_profile_normal.png","View")</f>
        <v>View</v>
      </c>
      <c r="P3134" s="27"/>
    </row>
    <row r="3135">
      <c r="A3135" s="14">
        <v>43031.20076388889</v>
      </c>
      <c r="B3135" s="20" t="str">
        <f>HYPERLINK("https://twitter.com/happydreams22","@happydreams22")</f>
        <v>@happydreams22</v>
      </c>
      <c r="C3135" s="21" t="s">
        <v>7380</v>
      </c>
      <c r="D3135" s="21" t="s">
        <v>7381</v>
      </c>
      <c r="E3135" s="22" t="str">
        <f>HYPERLINK("https://twitter.com/happydreams22/status/922429672293588992","922429672293588992")</f>
        <v>922429672293588992</v>
      </c>
      <c r="F3135" s="23" t="s">
        <v>187</v>
      </c>
      <c r="G3135" s="24">
        <v>1190.0</v>
      </c>
      <c r="H3135" s="24">
        <v>4566.0</v>
      </c>
      <c r="I3135" s="24">
        <v>0.0</v>
      </c>
      <c r="J3135" s="24">
        <v>0.0</v>
      </c>
      <c r="K3135" s="23" t="s">
        <v>34</v>
      </c>
      <c r="L3135" s="25">
        <v>39897.34275462963</v>
      </c>
      <c r="M3135" s="26" t="s">
        <v>7382</v>
      </c>
      <c r="N3135" s="26" t="s">
        <v>7383</v>
      </c>
      <c r="O3135" s="22" t="str">
        <f>HYPERLINK("https://pbs.twimg.com/profile_images/887081321536868353/GHkn9eAW_normal.jpg","View")</f>
        <v>View</v>
      </c>
      <c r="P3135" s="27"/>
    </row>
    <row r="3136">
      <c r="A3136" s="14">
        <v>43031.20077546296</v>
      </c>
      <c r="B3136" s="20" t="str">
        <f>HYPERLINK("https://twitter.com/TKCTL","@TKCTL")</f>
        <v>@TKCTL</v>
      </c>
      <c r="C3136" s="21" t="s">
        <v>4464</v>
      </c>
      <c r="D3136" s="21" t="s">
        <v>7384</v>
      </c>
      <c r="E3136" s="22" t="str">
        <f>HYPERLINK("https://twitter.com/TKCTL/status/922429677200752640","922429677200752640")</f>
        <v>922429677200752640</v>
      </c>
      <c r="F3136" s="30" t="s">
        <v>411</v>
      </c>
      <c r="G3136" s="24">
        <v>307.0</v>
      </c>
      <c r="H3136" s="24">
        <v>635.0</v>
      </c>
      <c r="I3136" s="24">
        <v>0.0</v>
      </c>
      <c r="J3136" s="24">
        <v>0.0</v>
      </c>
      <c r="K3136" s="23" t="s">
        <v>34</v>
      </c>
      <c r="L3136" s="25">
        <v>42221.81671296296</v>
      </c>
      <c r="M3136" s="28"/>
      <c r="N3136" s="28"/>
      <c r="O3136" s="22" t="str">
        <f>HYPERLINK("https://abs.twimg.com/sticky/default_profile_images/default_profile_normal.png","View")</f>
        <v>View</v>
      </c>
      <c r="P3136" s="27"/>
    </row>
    <row r="3137">
      <c r="A3137" s="14">
        <v>43031.200787037036</v>
      </c>
      <c r="B3137" s="20" t="str">
        <f>HYPERLINK("https://twitter.com/R0H1TS","@R0H1TS")</f>
        <v>@R0H1TS</v>
      </c>
      <c r="C3137" s="21" t="s">
        <v>7385</v>
      </c>
      <c r="D3137" s="21" t="s">
        <v>42</v>
      </c>
      <c r="E3137" s="22" t="str">
        <f>HYPERLINK("https://twitter.com/R0H1TS/status/922429681940307969","922429681940307969")</f>
        <v>922429681940307969</v>
      </c>
      <c r="F3137" s="23" t="s">
        <v>55</v>
      </c>
      <c r="G3137" s="24">
        <v>993.0</v>
      </c>
      <c r="H3137" s="24">
        <v>2328.0</v>
      </c>
      <c r="I3137" s="24">
        <v>8501.0</v>
      </c>
      <c r="J3137" s="24">
        <v>0.0</v>
      </c>
      <c r="K3137" s="23" t="s">
        <v>34</v>
      </c>
      <c r="L3137" s="25">
        <v>40062.91707175926</v>
      </c>
      <c r="M3137" s="26" t="s">
        <v>7386</v>
      </c>
      <c r="N3137" s="26" t="s">
        <v>7387</v>
      </c>
      <c r="O3137" s="22" t="str">
        <f>HYPERLINK("https://pbs.twimg.com/profile_images/865072575172329472/T4d9HpqM_normal.jpg","View")</f>
        <v>View</v>
      </c>
      <c r="P3137" s="27"/>
    </row>
    <row r="3138">
      <c r="A3138" s="14">
        <v>43031.20081018518</v>
      </c>
      <c r="B3138" s="20" t="str">
        <f>HYPERLINK("https://twitter.com/genkicool473","@genkicool473")</f>
        <v>@genkicool473</v>
      </c>
      <c r="C3138" s="21" t="s">
        <v>7388</v>
      </c>
      <c r="D3138" s="21" t="s">
        <v>42</v>
      </c>
      <c r="E3138" s="22" t="str">
        <f>HYPERLINK("https://twitter.com/genkicool473/status/922429687258783744","922429687258783744")</f>
        <v>922429687258783744</v>
      </c>
      <c r="F3138" s="23" t="s">
        <v>39</v>
      </c>
      <c r="G3138" s="24">
        <v>14.0</v>
      </c>
      <c r="H3138" s="24">
        <v>36.0</v>
      </c>
      <c r="I3138" s="24">
        <v>8501.0</v>
      </c>
      <c r="J3138" s="24">
        <v>0.0</v>
      </c>
      <c r="K3138" s="23" t="s">
        <v>34</v>
      </c>
      <c r="L3138" s="25">
        <v>41934.04976851852</v>
      </c>
      <c r="M3138" s="28"/>
      <c r="N3138" s="26" t="s">
        <v>7389</v>
      </c>
      <c r="O3138" s="22" t="str">
        <f>HYPERLINK("https://pbs.twimg.com/profile_images/526587609678487552/vJUfXEKq_normal.jpeg","View")</f>
        <v>View</v>
      </c>
      <c r="P3138" s="27"/>
    </row>
    <row r="3139">
      <c r="A3139" s="14">
        <v>43031.200833333336</v>
      </c>
      <c r="B3139" s="20" t="str">
        <f>HYPERLINK("https://twitter.com/kobo7s8","@kobo7s8")</f>
        <v>@kobo7s8</v>
      </c>
      <c r="C3139" s="21" t="s">
        <v>7390</v>
      </c>
      <c r="D3139" s="21" t="s">
        <v>42</v>
      </c>
      <c r="E3139" s="22" t="str">
        <f>HYPERLINK("https://twitter.com/kobo7s8/status/922429698520399872","922429698520399872")</f>
        <v>922429698520399872</v>
      </c>
      <c r="F3139" s="23" t="s">
        <v>39</v>
      </c>
      <c r="G3139" s="24">
        <v>9.0</v>
      </c>
      <c r="H3139" s="24">
        <v>22.0</v>
      </c>
      <c r="I3139" s="24">
        <v>8501.0</v>
      </c>
      <c r="J3139" s="24">
        <v>0.0</v>
      </c>
      <c r="K3139" s="23" t="s">
        <v>34</v>
      </c>
      <c r="L3139" s="25">
        <v>42372.042604166665</v>
      </c>
      <c r="M3139" s="26" t="s">
        <v>3693</v>
      </c>
      <c r="N3139" s="28"/>
      <c r="O3139" s="22" t="str">
        <f>HYPERLINK("https://pbs.twimg.com/profile_images/703075287509000193/qEf5W53s_normal.jpg","View")</f>
        <v>View</v>
      </c>
      <c r="P3139" s="27"/>
    </row>
    <row r="3140">
      <c r="A3140" s="14">
        <v>43031.200844907406</v>
      </c>
      <c r="B3140" s="20" t="str">
        <f>HYPERLINK("https://twitter.com/AdLeahy1","@AdLeahy1")</f>
        <v>@AdLeahy1</v>
      </c>
      <c r="C3140" s="21" t="s">
        <v>7391</v>
      </c>
      <c r="D3140" s="21" t="s">
        <v>513</v>
      </c>
      <c r="E3140" s="22" t="str">
        <f>HYPERLINK("https://twitter.com/AdLeahy1/status/922429700143767553","922429700143767553")</f>
        <v>922429700143767553</v>
      </c>
      <c r="F3140" s="23" t="s">
        <v>39</v>
      </c>
      <c r="G3140" s="24">
        <v>144.0</v>
      </c>
      <c r="H3140" s="24">
        <v>429.0</v>
      </c>
      <c r="I3140" s="24">
        <v>101.0</v>
      </c>
      <c r="J3140" s="24">
        <v>0.0</v>
      </c>
      <c r="K3140" s="23" t="s">
        <v>34</v>
      </c>
      <c r="L3140" s="25">
        <v>41324.09642361111</v>
      </c>
      <c r="M3140" s="26" t="s">
        <v>7392</v>
      </c>
      <c r="N3140" s="26" t="s">
        <v>7393</v>
      </c>
      <c r="O3140" s="22" t="str">
        <f>HYPERLINK("https://pbs.twimg.com/profile_images/846001014020997120/Z4-Ziozi_normal.jpg","View")</f>
        <v>View</v>
      </c>
      <c r="P3140" s="27"/>
    </row>
    <row r="3141">
      <c r="A3141" s="14">
        <v>43031.20085648148</v>
      </c>
      <c r="B3141" s="20" t="str">
        <f>HYPERLINK("https://twitter.com/WSJ","@WSJ")</f>
        <v>@WSJ</v>
      </c>
      <c r="C3141" s="21" t="s">
        <v>2532</v>
      </c>
      <c r="D3141" s="21" t="s">
        <v>7394</v>
      </c>
      <c r="E3141" s="22" t="str">
        <f>HYPERLINK("https://twitter.com/WSJ/status/922429707966087168","922429707966087168")</f>
        <v>922429707966087168</v>
      </c>
      <c r="F3141" s="23" t="s">
        <v>1103</v>
      </c>
      <c r="G3141" s="24">
        <v>1.5019584E7</v>
      </c>
      <c r="H3141" s="24">
        <v>1091.0</v>
      </c>
      <c r="I3141" s="24">
        <v>29.0</v>
      </c>
      <c r="J3141" s="24">
        <v>42.0</v>
      </c>
      <c r="K3141" s="23" t="s">
        <v>34</v>
      </c>
      <c r="L3141" s="25">
        <v>39172.973761574074</v>
      </c>
      <c r="M3141" s="26" t="s">
        <v>2534</v>
      </c>
      <c r="N3141" s="26" t="s">
        <v>2535</v>
      </c>
      <c r="O3141" s="22" t="str">
        <f>HYPERLINK("https://pbs.twimg.com/profile_images/685113343204585473/jV72Zljq_normal.jpg","View")</f>
        <v>View</v>
      </c>
      <c r="P3141" s="27"/>
    </row>
    <row r="3142">
      <c r="A3142" s="14">
        <v>43031.200937500005</v>
      </c>
      <c r="B3142" s="20" t="str">
        <f>HYPERLINK("https://twitter.com/dranandk2015","@dranandk2015")</f>
        <v>@dranandk2015</v>
      </c>
      <c r="C3142" s="21" t="s">
        <v>7395</v>
      </c>
      <c r="D3142" s="21" t="s">
        <v>42</v>
      </c>
      <c r="E3142" s="22" t="str">
        <f>HYPERLINK("https://twitter.com/dranandk2015/status/922429735497482241","922429735497482241")</f>
        <v>922429735497482241</v>
      </c>
      <c r="F3142" s="23" t="s">
        <v>33</v>
      </c>
      <c r="G3142" s="24">
        <v>17.0</v>
      </c>
      <c r="H3142" s="24">
        <v>31.0</v>
      </c>
      <c r="I3142" s="24">
        <v>8501.0</v>
      </c>
      <c r="J3142" s="24">
        <v>0.0</v>
      </c>
      <c r="K3142" s="23" t="s">
        <v>34</v>
      </c>
      <c r="L3142" s="25">
        <v>42228.26421296297</v>
      </c>
      <c r="M3142" s="28"/>
      <c r="N3142" s="26" t="s">
        <v>7396</v>
      </c>
      <c r="O3142" s="22" t="str">
        <f>HYPERLINK("https://pbs.twimg.com/profile_images/886453500917325824/Sq5D6h7Q_normal.jpg","View")</f>
        <v>View</v>
      </c>
      <c r="P3142" s="27"/>
    </row>
    <row r="3143">
      <c r="A3143" s="14">
        <v>43031.20109953704</v>
      </c>
      <c r="B3143" s="20" t="str">
        <f>HYPERLINK("https://twitter.com/Nunet4Kush","@Nunet4Kush")</f>
        <v>@Nunet4Kush</v>
      </c>
      <c r="C3143" s="21" t="s">
        <v>7397</v>
      </c>
      <c r="D3143" s="21" t="s">
        <v>7398</v>
      </c>
      <c r="E3143" s="22" t="str">
        <f>HYPERLINK("https://twitter.com/Nunet4Kush/status/922429793718751232","922429793718751232")</f>
        <v>922429793718751232</v>
      </c>
      <c r="F3143" s="23" t="s">
        <v>55</v>
      </c>
      <c r="G3143" s="24">
        <v>153.0</v>
      </c>
      <c r="H3143" s="24">
        <v>337.0</v>
      </c>
      <c r="I3143" s="24">
        <v>0.0</v>
      </c>
      <c r="J3143" s="24">
        <v>0.0</v>
      </c>
      <c r="K3143" s="23" t="s">
        <v>34</v>
      </c>
      <c r="L3143" s="25">
        <v>42815.269108796296</v>
      </c>
      <c r="M3143" s="26" t="s">
        <v>7399</v>
      </c>
      <c r="N3143" s="26" t="s">
        <v>7400</v>
      </c>
      <c r="O3143" s="22" t="str">
        <f>HYPERLINK("https://pbs.twimg.com/profile_images/914604086221328385/KmpOpDyk_normal.jpg","View")</f>
        <v>View</v>
      </c>
      <c r="P3143" s="27"/>
    </row>
    <row r="3144">
      <c r="A3144" s="14">
        <v>43031.201111111106</v>
      </c>
      <c r="B3144" s="20" t="str">
        <f>HYPERLINK("https://twitter.com/SocialLifeLA","@SocialLifeLA")</f>
        <v>@SocialLifeLA</v>
      </c>
      <c r="C3144" s="21" t="s">
        <v>1561</v>
      </c>
      <c r="D3144" s="21" t="s">
        <v>7401</v>
      </c>
      <c r="E3144" s="22" t="str">
        <f>HYPERLINK("https://twitter.com/SocialLifeLA/status/922429799380987925","922429799380987925")</f>
        <v>922429799380987925</v>
      </c>
      <c r="F3144" s="23" t="s">
        <v>187</v>
      </c>
      <c r="G3144" s="24">
        <v>193.0</v>
      </c>
      <c r="H3144" s="24">
        <v>60.0</v>
      </c>
      <c r="I3144" s="24">
        <v>0.0</v>
      </c>
      <c r="J3144" s="24">
        <v>0.0</v>
      </c>
      <c r="K3144" s="23" t="s">
        <v>34</v>
      </c>
      <c r="L3144" s="25">
        <v>42604.753807870366</v>
      </c>
      <c r="M3144" s="26" t="s">
        <v>1563</v>
      </c>
      <c r="N3144" s="26" t="s">
        <v>1564</v>
      </c>
      <c r="O3144" s="22" t="str">
        <f>HYPERLINK("https://pbs.twimg.com/profile_images/767891928948023296/dUdnMBLO_normal.jpg","View")</f>
        <v>View</v>
      </c>
      <c r="P3144" s="27"/>
    </row>
    <row r="3145">
      <c r="A3145" s="14">
        <v>43031.20114583333</v>
      </c>
      <c r="B3145" s="20" t="str">
        <f>HYPERLINK("https://twitter.com/worldnews_net","@worldnews_net")</f>
        <v>@worldnews_net</v>
      </c>
      <c r="C3145" s="21" t="s">
        <v>3637</v>
      </c>
      <c r="D3145" s="21" t="s">
        <v>7402</v>
      </c>
      <c r="E3145" s="22" t="str">
        <f>HYPERLINK("https://twitter.com/worldnews_net/status/922429811124924416","922429811124924416")</f>
        <v>922429811124924416</v>
      </c>
      <c r="F3145" s="23" t="s">
        <v>187</v>
      </c>
      <c r="G3145" s="24">
        <v>6452.0</v>
      </c>
      <c r="H3145" s="24">
        <v>1320.0</v>
      </c>
      <c r="I3145" s="24">
        <v>0.0</v>
      </c>
      <c r="J3145" s="24">
        <v>0.0</v>
      </c>
      <c r="K3145" s="23" t="s">
        <v>34</v>
      </c>
      <c r="L3145" s="25">
        <v>42056.08016203703</v>
      </c>
      <c r="M3145" s="28"/>
      <c r="N3145" s="26" t="s">
        <v>3639</v>
      </c>
      <c r="O3145" s="22" t="str">
        <f>HYPERLINK("https://pbs.twimg.com/profile_images/570163852034076672/nbok5qlW_normal.jpeg","View")</f>
        <v>View</v>
      </c>
      <c r="P3145" s="27"/>
    </row>
    <row r="3146">
      <c r="A3146" s="14">
        <v>43031.20118055555</v>
      </c>
      <c r="B3146" s="20" t="str">
        <f>HYPERLINK("https://twitter.com/RunRrai74","@RunRrai74")</f>
        <v>@RunRrai74</v>
      </c>
      <c r="C3146" s="21" t="s">
        <v>6379</v>
      </c>
      <c r="D3146" s="21" t="s">
        <v>7403</v>
      </c>
      <c r="E3146" s="22" t="str">
        <f>HYPERLINK("https://twitter.com/RunRrai74/status/922429822944665600","922429822944665600")</f>
        <v>922429822944665600</v>
      </c>
      <c r="F3146" s="23" t="s">
        <v>33</v>
      </c>
      <c r="G3146" s="24">
        <v>63.0</v>
      </c>
      <c r="H3146" s="24">
        <v>266.0</v>
      </c>
      <c r="I3146" s="24">
        <v>29.0</v>
      </c>
      <c r="J3146" s="24">
        <v>0.0</v>
      </c>
      <c r="K3146" s="23" t="s">
        <v>34</v>
      </c>
      <c r="L3146" s="25">
        <v>41800.536886574075</v>
      </c>
      <c r="M3146" s="28"/>
      <c r="N3146" s="28"/>
      <c r="O3146" s="22" t="str">
        <f>HYPERLINK("https://pbs.twimg.com/profile_images/919585790447022080/C-_Upv-w_normal.jpg","View")</f>
        <v>View</v>
      </c>
      <c r="P3146" s="27"/>
    </row>
    <row r="3147">
      <c r="A3147" s="14">
        <v>43031.201215277775</v>
      </c>
      <c r="B3147" s="20" t="str">
        <f>HYPERLINK("https://twitter.com/AshokNeteMP","@AshokNeteMP")</f>
        <v>@AshokNeteMP</v>
      </c>
      <c r="C3147" s="21" t="s">
        <v>7404</v>
      </c>
      <c r="D3147" s="21" t="s">
        <v>42</v>
      </c>
      <c r="E3147" s="22" t="str">
        <f>HYPERLINK("https://twitter.com/AshokNeteMP/status/922429835175256067","922429835175256067")</f>
        <v>922429835175256067</v>
      </c>
      <c r="F3147" s="23" t="s">
        <v>33</v>
      </c>
      <c r="G3147" s="24">
        <v>413.0</v>
      </c>
      <c r="H3147" s="24">
        <v>113.0</v>
      </c>
      <c r="I3147" s="24">
        <v>8501.0</v>
      </c>
      <c r="J3147" s="24">
        <v>0.0</v>
      </c>
      <c r="K3147" s="23" t="s">
        <v>34</v>
      </c>
      <c r="L3147" s="25">
        <v>42800.01550925926</v>
      </c>
      <c r="M3147" s="26" t="s">
        <v>7405</v>
      </c>
      <c r="N3147" s="26" t="s">
        <v>7406</v>
      </c>
      <c r="O3147" s="22" t="str">
        <f>HYPERLINK("https://pbs.twimg.com/profile_images/838670239701303296/hLk2gNMN_normal.jpg","View")</f>
        <v>View</v>
      </c>
      <c r="P3147" s="27"/>
    </row>
    <row r="3148">
      <c r="A3148" s="14">
        <v>43031.2012962963</v>
      </c>
      <c r="B3148" s="20" t="str">
        <f>HYPERLINK("https://twitter.com/JRHJ97","@JRHJ97")</f>
        <v>@JRHJ97</v>
      </c>
      <c r="C3148" s="21" t="s">
        <v>7407</v>
      </c>
      <c r="D3148" s="21" t="s">
        <v>7403</v>
      </c>
      <c r="E3148" s="22" t="str">
        <f>HYPERLINK("https://twitter.com/JRHJ97/status/922429863897829376","922429863897829376")</f>
        <v>922429863897829376</v>
      </c>
      <c r="F3148" s="23" t="s">
        <v>39</v>
      </c>
      <c r="G3148" s="24">
        <v>44.0</v>
      </c>
      <c r="H3148" s="24">
        <v>908.0</v>
      </c>
      <c r="I3148" s="24">
        <v>29.0</v>
      </c>
      <c r="J3148" s="24">
        <v>0.0</v>
      </c>
      <c r="K3148" s="23" t="s">
        <v>34</v>
      </c>
      <c r="L3148" s="25">
        <v>42915.66347222222</v>
      </c>
      <c r="M3148" s="26" t="s">
        <v>3685</v>
      </c>
      <c r="N3148" s="26" t="s">
        <v>7408</v>
      </c>
      <c r="O3148" s="22" t="str">
        <f>HYPERLINK("https://pbs.twimg.com/profile_images/892455122424516612/2aJQA7PH_normal.jpg","View")</f>
        <v>View</v>
      </c>
      <c r="P3148" s="27"/>
    </row>
    <row r="3149">
      <c r="A3149" s="14">
        <v>43031.20143518518</v>
      </c>
      <c r="B3149" s="20" t="str">
        <f>HYPERLINK("https://twitter.com/spkinz","@spkinz")</f>
        <v>@spkinz</v>
      </c>
      <c r="C3149" s="21" t="s">
        <v>7409</v>
      </c>
      <c r="D3149" s="21" t="s">
        <v>42</v>
      </c>
      <c r="E3149" s="22" t="str">
        <f>HYPERLINK("https://twitter.com/spkinz/status/922429915684782081","922429915684782081")</f>
        <v>922429915684782081</v>
      </c>
      <c r="F3149" s="23" t="s">
        <v>33</v>
      </c>
      <c r="G3149" s="24">
        <v>36.0</v>
      </c>
      <c r="H3149" s="24">
        <v>316.0</v>
      </c>
      <c r="I3149" s="24">
        <v>8501.0</v>
      </c>
      <c r="J3149" s="24">
        <v>0.0</v>
      </c>
      <c r="K3149" s="23" t="s">
        <v>34</v>
      </c>
      <c r="L3149" s="25">
        <v>40170.22222222222</v>
      </c>
      <c r="M3149" s="26" t="s">
        <v>204</v>
      </c>
      <c r="N3149" s="26" t="s">
        <v>7410</v>
      </c>
      <c r="O3149" s="22" t="str">
        <f>HYPERLINK("https://pbs.twimg.com/profile_images/884782864646012928/-wWQ5vMj_normal.jpg","View")</f>
        <v>View</v>
      </c>
      <c r="P3149" s="27"/>
    </row>
    <row r="3150">
      <c r="A3150" s="14">
        <v>43031.20143518518</v>
      </c>
      <c r="B3150" s="20" t="str">
        <f>HYPERLINK("https://twitter.com/norma_maririn","@norma_maririn")</f>
        <v>@norma_maririn</v>
      </c>
      <c r="C3150" s="21" t="s">
        <v>7411</v>
      </c>
      <c r="D3150" s="21" t="s">
        <v>126</v>
      </c>
      <c r="E3150" s="22" t="str">
        <f>HYPERLINK("https://twitter.com/norma_maririn/status/922429916104114176","922429916104114176")</f>
        <v>922429916104114176</v>
      </c>
      <c r="F3150" s="23" t="s">
        <v>39</v>
      </c>
      <c r="G3150" s="24">
        <v>1961.0</v>
      </c>
      <c r="H3150" s="24">
        <v>1989.0</v>
      </c>
      <c r="I3150" s="24">
        <v>62.0</v>
      </c>
      <c r="J3150" s="24">
        <v>0.0</v>
      </c>
      <c r="K3150" s="23" t="s">
        <v>34</v>
      </c>
      <c r="L3150" s="25">
        <v>41743.09217592592</v>
      </c>
      <c r="M3150" s="26" t="s">
        <v>7412</v>
      </c>
      <c r="N3150" s="26" t="s">
        <v>7413</v>
      </c>
      <c r="O3150" s="22" t="str">
        <f>HYPERLINK("https://pbs.twimg.com/profile_images/576443493536514048/fMZPquCi_normal.jpeg","View")</f>
        <v>View</v>
      </c>
      <c r="P3150" s="27"/>
    </row>
    <row r="3151">
      <c r="A3151" s="14">
        <v>43031.20152777778</v>
      </c>
      <c r="B3151" s="20" t="str">
        <f>HYPERLINK("https://twitter.com/SanFranciscoNws","@SanFranciscoNws")</f>
        <v>@SanFranciscoNws</v>
      </c>
      <c r="C3151" s="21" t="s">
        <v>7414</v>
      </c>
      <c r="D3151" s="21" t="s">
        <v>7415</v>
      </c>
      <c r="E3151" s="22" t="str">
        <f>HYPERLINK("https://twitter.com/SanFranciscoNws/status/922429949176434691","922429949176434691")</f>
        <v>922429949176434691</v>
      </c>
      <c r="F3151" s="23" t="s">
        <v>1020</v>
      </c>
      <c r="G3151" s="24">
        <v>1059.0</v>
      </c>
      <c r="H3151" s="24">
        <v>1053.0</v>
      </c>
      <c r="I3151" s="24">
        <v>0.0</v>
      </c>
      <c r="J3151" s="24">
        <v>0.0</v>
      </c>
      <c r="K3151" s="23" t="s">
        <v>34</v>
      </c>
      <c r="L3151" s="25">
        <v>41841.5021412037</v>
      </c>
      <c r="M3151" s="28"/>
      <c r="N3151" s="26" t="s">
        <v>7416</v>
      </c>
      <c r="O3151" s="22" t="str">
        <f>HYPERLINK("https://pbs.twimg.com/profile_images/491297595646828544/Mk9HyODb_normal.png","View")</f>
        <v>View</v>
      </c>
      <c r="P3151" s="27"/>
    </row>
    <row r="3152">
      <c r="A3152" s="14">
        <v>43031.201574074075</v>
      </c>
      <c r="B3152" s="20" t="str">
        <f>HYPERLINK("https://twitter.com/Ketul1Indian","@Ketul1Indian")</f>
        <v>@Ketul1Indian</v>
      </c>
      <c r="C3152" s="21" t="s">
        <v>7417</v>
      </c>
      <c r="D3152" s="21" t="s">
        <v>7403</v>
      </c>
      <c r="E3152" s="22" t="str">
        <f>HYPERLINK("https://twitter.com/Ketul1Indian/status/922429966452629507","922429966452629507")</f>
        <v>922429966452629507</v>
      </c>
      <c r="F3152" s="23" t="s">
        <v>33</v>
      </c>
      <c r="G3152" s="24">
        <v>435.0</v>
      </c>
      <c r="H3152" s="24">
        <v>739.0</v>
      </c>
      <c r="I3152" s="24">
        <v>29.0</v>
      </c>
      <c r="J3152" s="24">
        <v>0.0</v>
      </c>
      <c r="K3152" s="23" t="s">
        <v>34</v>
      </c>
      <c r="L3152" s="25">
        <v>42572.28503472223</v>
      </c>
      <c r="M3152" s="28"/>
      <c r="N3152" s="26" t="s">
        <v>7418</v>
      </c>
      <c r="O3152" s="22" t="str">
        <f>HYPERLINK("https://pbs.twimg.com/profile_images/864159255225610240/_A7uwK2n_normal.jpg","View")</f>
        <v>View</v>
      </c>
      <c r="P3152" s="27"/>
    </row>
    <row r="3153">
      <c r="A3153" s="14">
        <v>43031.201585648145</v>
      </c>
      <c r="B3153" s="20" t="str">
        <f>HYPERLINK("https://twitter.com/tat_z","@tat_z")</f>
        <v>@tat_z</v>
      </c>
      <c r="C3153" s="21" t="s">
        <v>7419</v>
      </c>
      <c r="D3153" s="21" t="s">
        <v>42</v>
      </c>
      <c r="E3153" s="22" t="str">
        <f>HYPERLINK("https://twitter.com/tat_z/status/922429970688774146","922429970688774146")</f>
        <v>922429970688774146</v>
      </c>
      <c r="F3153" s="23" t="s">
        <v>33</v>
      </c>
      <c r="G3153" s="24">
        <v>534.0</v>
      </c>
      <c r="H3153" s="24">
        <v>372.0</v>
      </c>
      <c r="I3153" s="24">
        <v>8501.0</v>
      </c>
      <c r="J3153" s="24">
        <v>0.0</v>
      </c>
      <c r="K3153" s="23" t="s">
        <v>34</v>
      </c>
      <c r="L3153" s="25">
        <v>40288.458078703705</v>
      </c>
      <c r="M3153" s="26" t="s">
        <v>7420</v>
      </c>
      <c r="N3153" s="26" t="s">
        <v>7421</v>
      </c>
      <c r="O3153" s="22" t="str">
        <f>HYPERLINK("https://pbs.twimg.com/profile_images/555711229465878529/y5XxAvJj_normal.jpeg","View")</f>
        <v>View</v>
      </c>
      <c r="P3153" s="27"/>
    </row>
    <row r="3154">
      <c r="A3154" s="14">
        <v>43031.2016087963</v>
      </c>
      <c r="B3154" s="20" t="str">
        <f>HYPERLINK("https://twitter.com/HarshSh22136075","@HarshSh22136075")</f>
        <v>@HarshSh22136075</v>
      </c>
      <c r="C3154" s="21" t="s">
        <v>7422</v>
      </c>
      <c r="D3154" s="21" t="s">
        <v>42</v>
      </c>
      <c r="E3154" s="22" t="str">
        <f>HYPERLINK("https://twitter.com/HarshSh22136075/status/922429976888074240","922429976888074240")</f>
        <v>922429976888074240</v>
      </c>
      <c r="F3154" s="23" t="s">
        <v>33</v>
      </c>
      <c r="G3154" s="24">
        <v>1749.0</v>
      </c>
      <c r="H3154" s="24">
        <v>1700.0</v>
      </c>
      <c r="I3154" s="24">
        <v>8501.0</v>
      </c>
      <c r="J3154" s="24">
        <v>0.0</v>
      </c>
      <c r="K3154" s="23" t="s">
        <v>34</v>
      </c>
      <c r="L3154" s="25">
        <v>42719.21744212963</v>
      </c>
      <c r="M3154" s="26" t="s">
        <v>7423</v>
      </c>
      <c r="N3154" s="26" t="s">
        <v>7424</v>
      </c>
      <c r="O3154" s="22" t="str">
        <f>HYPERLINK("https://pbs.twimg.com/profile_images/857065169150783490/xQebYESg_normal.jpg","View")</f>
        <v>View</v>
      </c>
      <c r="P3154" s="27"/>
    </row>
    <row r="3155">
      <c r="A3155" s="14">
        <v>43031.2016087963</v>
      </c>
      <c r="B3155" s="20" t="str">
        <f>HYPERLINK("https://twitter.com/BillTurcke","@BillTurcke")</f>
        <v>@BillTurcke</v>
      </c>
      <c r="C3155" s="21" t="s">
        <v>2629</v>
      </c>
      <c r="D3155" s="21" t="s">
        <v>7425</v>
      </c>
      <c r="E3155" s="22" t="str">
        <f>HYPERLINK("https://twitter.com/BillTurcke/status/922429979325095936","922429979325095936")</f>
        <v>922429979325095936</v>
      </c>
      <c r="F3155" s="23" t="s">
        <v>187</v>
      </c>
      <c r="G3155" s="24">
        <v>327.0</v>
      </c>
      <c r="H3155" s="24">
        <v>472.0</v>
      </c>
      <c r="I3155" s="24">
        <v>0.0</v>
      </c>
      <c r="J3155" s="24">
        <v>0.0</v>
      </c>
      <c r="K3155" s="23" t="s">
        <v>34</v>
      </c>
      <c r="L3155" s="25">
        <v>42882.62079861111</v>
      </c>
      <c r="M3155" s="26" t="s">
        <v>905</v>
      </c>
      <c r="N3155" s="26" t="s">
        <v>2631</v>
      </c>
      <c r="O3155" s="22" t="str">
        <f>HYPERLINK("https://pbs.twimg.com/profile_images/907594368969822208/1W8ugjw6_normal.jpg","View")</f>
        <v>View</v>
      </c>
      <c r="P3155" s="27"/>
    </row>
    <row r="3156">
      <c r="A3156" s="14">
        <v>43031.20164351852</v>
      </c>
      <c r="B3156" s="20" t="str">
        <f>HYPERLINK("https://twitter.com/PRAN371271","@PRAN371271")</f>
        <v>@PRAN371271</v>
      </c>
      <c r="C3156" s="21" t="s">
        <v>7426</v>
      </c>
      <c r="D3156" s="21" t="s">
        <v>42</v>
      </c>
      <c r="E3156" s="22" t="str">
        <f>HYPERLINK("https://twitter.com/PRAN371271/status/922429990762721280","922429990762721280")</f>
        <v>922429990762721280</v>
      </c>
      <c r="F3156" s="23" t="s">
        <v>33</v>
      </c>
      <c r="G3156" s="24">
        <v>766.0</v>
      </c>
      <c r="H3156" s="24">
        <v>40.0</v>
      </c>
      <c r="I3156" s="24">
        <v>8501.0</v>
      </c>
      <c r="J3156" s="24">
        <v>0.0</v>
      </c>
      <c r="K3156" s="23" t="s">
        <v>34</v>
      </c>
      <c r="L3156" s="25">
        <v>42705.66232638889</v>
      </c>
      <c r="M3156" s="26" t="s">
        <v>7427</v>
      </c>
      <c r="N3156" s="26" t="s">
        <v>7428</v>
      </c>
      <c r="O3156" s="22" t="str">
        <f>HYPERLINK("https://pbs.twimg.com/profile_images/921693654753820672/0Si0WKLi_normal.jpg","View")</f>
        <v>View</v>
      </c>
      <c r="P3156" s="27"/>
    </row>
    <row r="3157">
      <c r="A3157" s="14">
        <v>43031.201678240745</v>
      </c>
      <c r="B3157" s="20" t="str">
        <f>HYPERLINK("https://twitter.com/VivekSBanaras","@VivekSBanaras")</f>
        <v>@VivekSBanaras</v>
      </c>
      <c r="C3157" s="21" t="s">
        <v>7429</v>
      </c>
      <c r="D3157" s="21" t="s">
        <v>42</v>
      </c>
      <c r="E3157" s="22" t="str">
        <f>HYPERLINK("https://twitter.com/VivekSBanaras/status/922430004578758656","922430004578758656")</f>
        <v>922430004578758656</v>
      </c>
      <c r="F3157" s="23" t="s">
        <v>33</v>
      </c>
      <c r="G3157" s="24">
        <v>168.0</v>
      </c>
      <c r="H3157" s="24">
        <v>78.0</v>
      </c>
      <c r="I3157" s="24">
        <v>8501.0</v>
      </c>
      <c r="J3157" s="24">
        <v>0.0</v>
      </c>
      <c r="K3157" s="23" t="s">
        <v>34</v>
      </c>
      <c r="L3157" s="25">
        <v>42502.15636574074</v>
      </c>
      <c r="M3157" s="26" t="s">
        <v>2020</v>
      </c>
      <c r="N3157" s="26" t="s">
        <v>7430</v>
      </c>
      <c r="O3157" s="22" t="str">
        <f>HYPERLINK("https://pbs.twimg.com/profile_images/921112447372496897/jU1pf9a9_normal.jpg","View")</f>
        <v>View</v>
      </c>
      <c r="P3157" s="27"/>
    </row>
    <row r="3158">
      <c r="A3158" s="14">
        <v>43031.201689814814</v>
      </c>
      <c r="B3158" s="20" t="str">
        <f>HYPERLINK("https://twitter.com/PrincessBibiRF_","@PrincessBibiRF_")</f>
        <v>@PrincessBibiRF_</v>
      </c>
      <c r="C3158" s="21" t="s">
        <v>7190</v>
      </c>
      <c r="D3158" s="21" t="s">
        <v>7431</v>
      </c>
      <c r="E3158" s="22" t="str">
        <f>HYPERLINK("https://twitter.com/PrincessBibiRF_/status/922430009486307328","922430009486307328")</f>
        <v>922430009486307328</v>
      </c>
      <c r="F3158" s="23" t="s">
        <v>39</v>
      </c>
      <c r="G3158" s="24">
        <v>11535.0</v>
      </c>
      <c r="H3158" s="24">
        <v>12686.0</v>
      </c>
      <c r="I3158" s="24">
        <v>4.0</v>
      </c>
      <c r="J3158" s="24">
        <v>0.0</v>
      </c>
      <c r="K3158" s="23" t="s">
        <v>34</v>
      </c>
      <c r="L3158" s="25">
        <v>42296.673067129625</v>
      </c>
      <c r="M3158" s="28"/>
      <c r="N3158" s="26" t="s">
        <v>7192</v>
      </c>
      <c r="O3158" s="22" t="str">
        <f>HYPERLINK("https://pbs.twimg.com/profile_images/656246801327091712/gMPweeMv_normal.jpg","View")</f>
        <v>View</v>
      </c>
      <c r="P3158" s="27"/>
    </row>
    <row r="3159">
      <c r="A3159" s="14">
        <v>43031.20171296297</v>
      </c>
      <c r="B3159" s="20" t="str">
        <f>HYPERLINK("https://twitter.com/the__himanish","@the__himanish")</f>
        <v>@the__himanish</v>
      </c>
      <c r="C3159" s="21" t="s">
        <v>2612</v>
      </c>
      <c r="D3159" s="21" t="s">
        <v>7432</v>
      </c>
      <c r="E3159" s="22" t="str">
        <f>HYPERLINK("https://twitter.com/the__himanish/status/922430018277527555","922430018277527555")</f>
        <v>922430018277527555</v>
      </c>
      <c r="F3159" s="23" t="s">
        <v>187</v>
      </c>
      <c r="G3159" s="24">
        <v>1822.0</v>
      </c>
      <c r="H3159" s="24">
        <v>1621.0</v>
      </c>
      <c r="I3159" s="24">
        <v>0.0</v>
      </c>
      <c r="J3159" s="24">
        <v>0.0</v>
      </c>
      <c r="K3159" s="23" t="s">
        <v>34</v>
      </c>
      <c r="L3159" s="25">
        <v>40222.15178240741</v>
      </c>
      <c r="M3159" s="26" t="s">
        <v>96</v>
      </c>
      <c r="N3159" s="26" t="s">
        <v>2614</v>
      </c>
      <c r="O3159" s="22" t="str">
        <f>HYPERLINK("https://pbs.twimg.com/profile_images/914165533918015489/A6iR_gz2_normal.jpg","View")</f>
        <v>View</v>
      </c>
      <c r="P3159" s="27"/>
    </row>
    <row r="3160">
      <c r="A3160" s="14">
        <v>43031.20174768519</v>
      </c>
      <c r="B3160" s="20" t="str">
        <f>HYPERLINK("https://twitter.com/bdnews24","@bdnews24")</f>
        <v>@bdnews24</v>
      </c>
      <c r="C3160" s="21" t="s">
        <v>831</v>
      </c>
      <c r="D3160" s="21" t="s">
        <v>7433</v>
      </c>
      <c r="E3160" s="22" t="str">
        <f>HYPERLINK("https://twitter.com/bdnews24/status/922430027211386880","922430027211386880")</f>
        <v>922430027211386880</v>
      </c>
      <c r="F3160" s="23" t="s">
        <v>187</v>
      </c>
      <c r="G3160" s="24">
        <v>215301.0</v>
      </c>
      <c r="H3160" s="24">
        <v>67843.0</v>
      </c>
      <c r="I3160" s="24">
        <v>0.0</v>
      </c>
      <c r="J3160" s="24">
        <v>0.0</v>
      </c>
      <c r="K3160" s="23" t="s">
        <v>34</v>
      </c>
      <c r="L3160" s="25">
        <v>39844.468043981484</v>
      </c>
      <c r="M3160" s="26" t="s">
        <v>833</v>
      </c>
      <c r="N3160" s="26" t="s">
        <v>834</v>
      </c>
      <c r="O3160" s="22" t="str">
        <f>HYPERLINK("https://pbs.twimg.com/profile_images/718433521509994497/4iW9RC_r_normal.jpg","View")</f>
        <v>View</v>
      </c>
      <c r="P3160" s="27"/>
    </row>
    <row r="3161">
      <c r="A3161" s="14">
        <v>43031.20175925926</v>
      </c>
      <c r="B3161" s="20" t="str">
        <f>HYPERLINK("https://twitter.com/TirtaNews","@TirtaNews")</f>
        <v>@TirtaNews</v>
      </c>
      <c r="C3161" s="21" t="s">
        <v>2624</v>
      </c>
      <c r="D3161" s="21" t="s">
        <v>7434</v>
      </c>
      <c r="E3161" s="22" t="str">
        <f>HYPERLINK("https://twitter.com/TirtaNews/status/922430031980388352","922430031980388352")</f>
        <v>922430031980388352</v>
      </c>
      <c r="F3161" s="23" t="s">
        <v>187</v>
      </c>
      <c r="G3161" s="24">
        <v>183.0</v>
      </c>
      <c r="H3161" s="24">
        <v>66.0</v>
      </c>
      <c r="I3161" s="24">
        <v>0.0</v>
      </c>
      <c r="J3161" s="24">
        <v>0.0</v>
      </c>
      <c r="K3161" s="23" t="s">
        <v>34</v>
      </c>
      <c r="L3161" s="25">
        <v>41894.34030092593</v>
      </c>
      <c r="M3161" s="28"/>
      <c r="N3161" s="28"/>
      <c r="O3161" s="22" t="str">
        <f>HYPERLINK("https://pbs.twimg.com/profile_images/510469173214846976/ZLGHsEM0_normal.png","View")</f>
        <v>View</v>
      </c>
      <c r="P3161" s="27"/>
    </row>
    <row r="3162">
      <c r="A3162" s="14">
        <v>43031.20178240741</v>
      </c>
      <c r="B3162" s="20" t="str">
        <f>HYPERLINK("https://twitter.com/ListenTwiwter","@ListenTwiwter")</f>
        <v>@ListenTwiwter</v>
      </c>
      <c r="C3162" s="21" t="s">
        <v>7435</v>
      </c>
      <c r="D3162" s="21" t="s">
        <v>7403</v>
      </c>
      <c r="E3162" s="22" t="str">
        <f>HYPERLINK("https://twitter.com/ListenTwiwter/status/922430043527168000","922430043527168000")</f>
        <v>922430043527168000</v>
      </c>
      <c r="F3162" s="23" t="s">
        <v>55</v>
      </c>
      <c r="G3162" s="24">
        <v>54.0</v>
      </c>
      <c r="H3162" s="24">
        <v>181.0</v>
      </c>
      <c r="I3162" s="24">
        <v>29.0</v>
      </c>
      <c r="J3162" s="24">
        <v>0.0</v>
      </c>
      <c r="K3162" s="23" t="s">
        <v>34</v>
      </c>
      <c r="L3162" s="25">
        <v>40219.15373842593</v>
      </c>
      <c r="M3162" s="26" t="s">
        <v>7436</v>
      </c>
      <c r="N3162" s="26" t="s">
        <v>7437</v>
      </c>
      <c r="O3162" s="22" t="str">
        <f>HYPERLINK("https://pbs.twimg.com/profile_images/910485855864623105/ICqj8G2o_normal.jpg","View")</f>
        <v>View</v>
      </c>
      <c r="P3162" s="27"/>
    </row>
    <row r="3163">
      <c r="A3163" s="14">
        <v>43031.20180555555</v>
      </c>
      <c r="B3163" s="20" t="str">
        <f>HYPERLINK("https://twitter.com/TirtaNews","@TirtaNews")</f>
        <v>@TirtaNews</v>
      </c>
      <c r="C3163" s="21" t="s">
        <v>2624</v>
      </c>
      <c r="D3163" s="21" t="s">
        <v>7434</v>
      </c>
      <c r="E3163" s="22" t="str">
        <f>HYPERLINK("https://twitter.com/TirtaNews/status/922430052075270144","922430052075270144")</f>
        <v>922430052075270144</v>
      </c>
      <c r="F3163" s="23" t="s">
        <v>187</v>
      </c>
      <c r="G3163" s="24">
        <v>183.0</v>
      </c>
      <c r="H3163" s="24">
        <v>66.0</v>
      </c>
      <c r="I3163" s="24">
        <v>0.0</v>
      </c>
      <c r="J3163" s="24">
        <v>0.0</v>
      </c>
      <c r="K3163" s="23" t="s">
        <v>34</v>
      </c>
      <c r="L3163" s="25">
        <v>41894.34030092593</v>
      </c>
      <c r="M3163" s="28"/>
      <c r="N3163" s="28"/>
      <c r="O3163" s="22" t="str">
        <f>HYPERLINK("https://pbs.twimg.com/profile_images/510469173214846976/ZLGHsEM0_normal.png","View")</f>
        <v>View</v>
      </c>
      <c r="P3163" s="27"/>
    </row>
    <row r="3164">
      <c r="A3164" s="14">
        <v>43031.20181712963</v>
      </c>
      <c r="B3164" s="20" t="str">
        <f>HYPERLINK("https://twitter.com/360BizInfo","@360BizInfo")</f>
        <v>@360BizInfo</v>
      </c>
      <c r="C3164" s="21" t="s">
        <v>2626</v>
      </c>
      <c r="D3164" s="21" t="s">
        <v>7438</v>
      </c>
      <c r="E3164" s="22" t="str">
        <f>HYPERLINK("https://twitter.com/360BizInfo/status/922430052503040001","922430052503040001")</f>
        <v>922430052503040001</v>
      </c>
      <c r="F3164" s="23" t="s">
        <v>187</v>
      </c>
      <c r="G3164" s="24">
        <v>417.0</v>
      </c>
      <c r="H3164" s="24">
        <v>369.0</v>
      </c>
      <c r="I3164" s="24">
        <v>0.0</v>
      </c>
      <c r="J3164" s="24">
        <v>0.0</v>
      </c>
      <c r="K3164" s="23" t="s">
        <v>34</v>
      </c>
      <c r="L3164" s="25">
        <v>42378.719548611116</v>
      </c>
      <c r="M3164" s="28"/>
      <c r="N3164" s="26" t="s">
        <v>2628</v>
      </c>
      <c r="O3164" s="22" t="str">
        <f>HYPERLINK("https://pbs.twimg.com/profile_images/867458762877095936/iANdaTlX_normal.jpg","View")</f>
        <v>View</v>
      </c>
      <c r="P3164" s="27"/>
    </row>
    <row r="3165">
      <c r="A3165" s="14">
        <v>43031.20199074074</v>
      </c>
      <c r="B3165" s="20" t="str">
        <f>HYPERLINK("https://twitter.com/U_Switch1","@U_Switch1")</f>
        <v>@U_Switch1</v>
      </c>
      <c r="C3165" s="21" t="s">
        <v>7439</v>
      </c>
      <c r="D3165" s="21" t="s">
        <v>7106</v>
      </c>
      <c r="E3165" s="22" t="str">
        <f>HYPERLINK("https://twitter.com/U_Switch1/status/922430117699350528","922430117699350528")</f>
        <v>922430117699350528</v>
      </c>
      <c r="F3165" s="23" t="s">
        <v>33</v>
      </c>
      <c r="G3165" s="24">
        <v>6289.0</v>
      </c>
      <c r="H3165" s="24">
        <v>0.0</v>
      </c>
      <c r="I3165" s="24">
        <v>16.0</v>
      </c>
      <c r="J3165" s="24">
        <v>0.0</v>
      </c>
      <c r="K3165" s="23" t="s">
        <v>34</v>
      </c>
      <c r="L3165" s="25">
        <v>41149.467152777775</v>
      </c>
      <c r="M3165" s="26" t="s">
        <v>7440</v>
      </c>
      <c r="N3165" s="26" t="s">
        <v>7441</v>
      </c>
      <c r="O3165" s="22" t="str">
        <f>HYPERLINK("https://pbs.twimg.com/profile_images/911330590045204482/5ylDJzI2_normal.jpg","View")</f>
        <v>View</v>
      </c>
      <c r="P3165" s="27"/>
    </row>
    <row r="3166">
      <c r="A3166" s="14">
        <v>43031.20207175926</v>
      </c>
      <c r="B3166" s="20" t="str">
        <f>HYPERLINK("https://twitter.com/TheNPalSingh","@TheNPalSingh")</f>
        <v>@TheNPalSingh</v>
      </c>
      <c r="C3166" s="21" t="s">
        <v>7442</v>
      </c>
      <c r="D3166" s="21" t="s">
        <v>7106</v>
      </c>
      <c r="E3166" s="22" t="str">
        <f>HYPERLINK("https://twitter.com/TheNPalSingh/status/922430146417758208","922430146417758208")</f>
        <v>922430146417758208</v>
      </c>
      <c r="F3166" s="23" t="s">
        <v>39</v>
      </c>
      <c r="G3166" s="24">
        <v>322.0</v>
      </c>
      <c r="H3166" s="24">
        <v>753.0</v>
      </c>
      <c r="I3166" s="24">
        <v>16.0</v>
      </c>
      <c r="J3166" s="24">
        <v>0.0</v>
      </c>
      <c r="K3166" s="23" t="s">
        <v>34</v>
      </c>
      <c r="L3166" s="25">
        <v>40301.963530092595</v>
      </c>
      <c r="M3166" s="26" t="s">
        <v>7443</v>
      </c>
      <c r="N3166" s="26" t="s">
        <v>7444</v>
      </c>
      <c r="O3166" s="22" t="str">
        <f>HYPERLINK("https://pbs.twimg.com/profile_images/789707813203218432/3hkViK1R_normal.jpg","View")</f>
        <v>View</v>
      </c>
      <c r="P3166" s="27"/>
    </row>
    <row r="3167">
      <c r="A3167" s="14">
        <v>43031.202152777776</v>
      </c>
      <c r="B3167" s="20" t="str">
        <f>HYPERLINK("https://twitter.com/r_apple_","@r_apple_")</f>
        <v>@r_apple_</v>
      </c>
      <c r="C3167" s="21" t="s">
        <v>7445</v>
      </c>
      <c r="D3167" s="21" t="s">
        <v>42</v>
      </c>
      <c r="E3167" s="22" t="str">
        <f>HYPERLINK("https://twitter.com/r_apple_/status/922430173907058689","922430173907058689")</f>
        <v>922430173907058689</v>
      </c>
      <c r="F3167" s="23" t="s">
        <v>33</v>
      </c>
      <c r="G3167" s="24">
        <v>2054.0</v>
      </c>
      <c r="H3167" s="24">
        <v>1913.0</v>
      </c>
      <c r="I3167" s="24">
        <v>8501.0</v>
      </c>
      <c r="J3167" s="24">
        <v>0.0</v>
      </c>
      <c r="K3167" s="23" t="s">
        <v>34</v>
      </c>
      <c r="L3167" s="25">
        <v>40290.30783564815</v>
      </c>
      <c r="M3167" s="28"/>
      <c r="N3167" s="26" t="s">
        <v>7446</v>
      </c>
      <c r="O3167" s="22" t="str">
        <f>HYPERLINK("https://pbs.twimg.com/profile_images/721012770133528576/W7f-JeGz_normal.jpg","View")</f>
        <v>View</v>
      </c>
      <c r="P3167" s="27"/>
    </row>
    <row r="3168">
      <c r="A3168" s="14">
        <v>43031.20216435185</v>
      </c>
      <c r="B3168" s="20" t="str">
        <f>HYPERLINK("https://twitter.com/blacksprout1","@blacksprout1")</f>
        <v>@blacksprout1</v>
      </c>
      <c r="C3168" s="21" t="s">
        <v>7447</v>
      </c>
      <c r="D3168" s="21" t="s">
        <v>7448</v>
      </c>
      <c r="E3168" s="22" t="str">
        <f>HYPERLINK("https://twitter.com/blacksprout1/status/922430178218749952","922430178218749952")</f>
        <v>922430178218749952</v>
      </c>
      <c r="F3168" s="30" t="s">
        <v>411</v>
      </c>
      <c r="G3168" s="24">
        <v>62.0</v>
      </c>
      <c r="H3168" s="24">
        <v>70.0</v>
      </c>
      <c r="I3168" s="24">
        <v>0.0</v>
      </c>
      <c r="J3168" s="24">
        <v>0.0</v>
      </c>
      <c r="K3168" s="23" t="s">
        <v>34</v>
      </c>
      <c r="L3168" s="25">
        <v>42195.04800925926</v>
      </c>
      <c r="M3168" s="28"/>
      <c r="N3168" s="26" t="s">
        <v>7449</v>
      </c>
      <c r="O3168" s="22" t="str">
        <f>HYPERLINK("https://pbs.twimg.com/profile_images/619419044333027328/OrxbCF2V_normal.jpg","View")</f>
        <v>View</v>
      </c>
      <c r="P3168" s="27"/>
    </row>
    <row r="3169">
      <c r="A3169" s="14">
        <v>43031.202199074076</v>
      </c>
      <c r="B3169" s="20" t="str">
        <f>HYPERLINK("https://twitter.com/jackfpaylor","@jackfpaylor")</f>
        <v>@jackfpaylor</v>
      </c>
      <c r="C3169" s="21" t="s">
        <v>2899</v>
      </c>
      <c r="D3169" s="21" t="s">
        <v>7450</v>
      </c>
      <c r="E3169" s="22" t="str">
        <f>HYPERLINK("https://twitter.com/jackfpaylor/status/922430192244621314","922430192244621314")</f>
        <v>922430192244621314</v>
      </c>
      <c r="F3169" s="23" t="s">
        <v>187</v>
      </c>
      <c r="G3169" s="24">
        <v>4556.0</v>
      </c>
      <c r="H3169" s="24">
        <v>5001.0</v>
      </c>
      <c r="I3169" s="24">
        <v>0.0</v>
      </c>
      <c r="J3169" s="24">
        <v>0.0</v>
      </c>
      <c r="K3169" s="23" t="s">
        <v>34</v>
      </c>
      <c r="L3169" s="25">
        <v>42880.774618055555</v>
      </c>
      <c r="M3169" s="26" t="s">
        <v>2901</v>
      </c>
      <c r="N3169" s="26" t="s">
        <v>2902</v>
      </c>
      <c r="O3169" s="22" t="str">
        <f>HYPERLINK("https://pbs.twimg.com/profile_images/911761399902334976/emBMaAAb_normal.jpg","View")</f>
        <v>View</v>
      </c>
      <c r="P3169" s="27"/>
    </row>
    <row r="3170">
      <c r="A3170" s="14">
        <v>43031.20224537037</v>
      </c>
      <c r="B3170" s="20" t="str">
        <f>HYPERLINK("https://twitter.com/navneet_barot","@navneet_barot")</f>
        <v>@navneet_barot</v>
      </c>
      <c r="C3170" s="21" t="s">
        <v>7451</v>
      </c>
      <c r="D3170" s="21" t="s">
        <v>42</v>
      </c>
      <c r="E3170" s="22" t="str">
        <f>HYPERLINK("https://twitter.com/navneet_barot/status/922430209055272960","922430209055272960")</f>
        <v>922430209055272960</v>
      </c>
      <c r="F3170" s="23" t="s">
        <v>43</v>
      </c>
      <c r="G3170" s="24">
        <v>8.0</v>
      </c>
      <c r="H3170" s="24">
        <v>34.0</v>
      </c>
      <c r="I3170" s="24">
        <v>8501.0</v>
      </c>
      <c r="J3170" s="24">
        <v>0.0</v>
      </c>
      <c r="K3170" s="23" t="s">
        <v>34</v>
      </c>
      <c r="L3170" s="25">
        <v>42409.132743055554</v>
      </c>
      <c r="M3170" s="26" t="s">
        <v>7452</v>
      </c>
      <c r="N3170" s="28"/>
      <c r="O3170" s="22" t="str">
        <f>HYPERLINK("https://pbs.twimg.com/profile_images/890611763607220224/LorICzXC_normal.jpg","View")</f>
        <v>View</v>
      </c>
      <c r="P3170" s="27"/>
    </row>
    <row r="3171">
      <c r="A3171" s="14">
        <v>43031.202256944445</v>
      </c>
      <c r="B3171" s="20" t="str">
        <f>HYPERLINK("https://twitter.com/SUNILCHAITHRAM","@SUNILCHAITHRAM")</f>
        <v>@SUNILCHAITHRAM</v>
      </c>
      <c r="C3171" s="21" t="s">
        <v>7453</v>
      </c>
      <c r="D3171" s="21" t="s">
        <v>42</v>
      </c>
      <c r="E3171" s="22" t="str">
        <f>HYPERLINK("https://twitter.com/SUNILCHAITHRAM/status/922430213891547141","922430213891547141")</f>
        <v>922430213891547141</v>
      </c>
      <c r="F3171" s="23" t="s">
        <v>39</v>
      </c>
      <c r="G3171" s="24">
        <v>511.0</v>
      </c>
      <c r="H3171" s="24">
        <v>310.0</v>
      </c>
      <c r="I3171" s="24">
        <v>8501.0</v>
      </c>
      <c r="J3171" s="24">
        <v>0.0</v>
      </c>
      <c r="K3171" s="23" t="s">
        <v>34</v>
      </c>
      <c r="L3171" s="25">
        <v>40083.56309027778</v>
      </c>
      <c r="M3171" s="28"/>
      <c r="N3171" s="26" t="s">
        <v>7454</v>
      </c>
      <c r="O3171" s="22" t="str">
        <f>HYPERLINK("https://pbs.twimg.com/profile_images/921114412840349701/-YBkqYbS_normal.jpg","View")</f>
        <v>View</v>
      </c>
      <c r="P3171" s="27"/>
    </row>
    <row r="3172">
      <c r="A3172" s="14">
        <v>43031.20226851852</v>
      </c>
      <c r="B3172" s="20" t="str">
        <f>HYPERLINK("https://twitter.com/scparikh2015","@scparikh2015")</f>
        <v>@scparikh2015</v>
      </c>
      <c r="C3172" s="21" t="s">
        <v>7455</v>
      </c>
      <c r="D3172" s="21" t="s">
        <v>42</v>
      </c>
      <c r="E3172" s="22" t="str">
        <f>HYPERLINK("https://twitter.com/scparikh2015/status/922430216471023616","922430216471023616")</f>
        <v>922430216471023616</v>
      </c>
      <c r="F3172" s="23" t="s">
        <v>33</v>
      </c>
      <c r="G3172" s="24">
        <v>17.0</v>
      </c>
      <c r="H3172" s="24">
        <v>363.0</v>
      </c>
      <c r="I3172" s="24">
        <v>8501.0</v>
      </c>
      <c r="J3172" s="24">
        <v>0.0</v>
      </c>
      <c r="K3172" s="23" t="s">
        <v>34</v>
      </c>
      <c r="L3172" s="25">
        <v>41469.93203703704</v>
      </c>
      <c r="M3172" s="26" t="s">
        <v>7456</v>
      </c>
      <c r="N3172" s="28"/>
      <c r="O3172" s="22" t="str">
        <f>HYPERLINK("https://abs.twimg.com/sticky/default_profile_images/default_profile_normal.png","View")</f>
        <v>View</v>
      </c>
      <c r="P3172" s="27"/>
    </row>
    <row r="3173">
      <c r="A3173" s="14">
        <v>43031.20226851852</v>
      </c>
      <c r="B3173" s="20" t="str">
        <f>HYPERLINK("https://twitter.com/Jordan_FHT","@Jordan_FHT")</f>
        <v>@Jordan_FHT</v>
      </c>
      <c r="C3173" s="21" t="s">
        <v>2745</v>
      </c>
      <c r="D3173" s="21" t="s">
        <v>7403</v>
      </c>
      <c r="E3173" s="22" t="str">
        <f>HYPERLINK("https://twitter.com/Jordan_FHT/status/922430217603502081","922430217603502081")</f>
        <v>922430217603502081</v>
      </c>
      <c r="F3173" s="23" t="s">
        <v>1799</v>
      </c>
      <c r="G3173" s="24">
        <v>252.0</v>
      </c>
      <c r="H3173" s="24">
        <v>77.0</v>
      </c>
      <c r="I3173" s="24">
        <v>29.0</v>
      </c>
      <c r="J3173" s="24">
        <v>0.0</v>
      </c>
      <c r="K3173" s="23" t="s">
        <v>34</v>
      </c>
      <c r="L3173" s="25">
        <v>42419.27686342593</v>
      </c>
      <c r="M3173" s="26" t="s">
        <v>2746</v>
      </c>
      <c r="N3173" s="26" t="s">
        <v>2747</v>
      </c>
      <c r="O3173" s="22" t="str">
        <f>HYPERLINK("https://pbs.twimg.com/profile_images/703246800833089536/QK8e-yOG_normal.jpg","View")</f>
        <v>View</v>
      </c>
      <c r="P3173" s="27"/>
    </row>
    <row r="3174">
      <c r="A3174" s="14">
        <v>43031.202326388884</v>
      </c>
      <c r="B3174" s="20" t="str">
        <f>HYPERLINK("https://twitter.com/SocialLifeMiami","@SocialLifeMiami")</f>
        <v>@SocialLifeMiami</v>
      </c>
      <c r="C3174" s="21" t="s">
        <v>1981</v>
      </c>
      <c r="D3174" s="21" t="s">
        <v>7457</v>
      </c>
      <c r="E3174" s="22" t="str">
        <f>HYPERLINK("https://twitter.com/SocialLifeMiami/status/922430238998646784","922430238998646784")</f>
        <v>922430238998646784</v>
      </c>
      <c r="F3174" s="23" t="s">
        <v>187</v>
      </c>
      <c r="G3174" s="24">
        <v>560.0</v>
      </c>
      <c r="H3174" s="24">
        <v>792.0</v>
      </c>
      <c r="I3174" s="24">
        <v>0.0</v>
      </c>
      <c r="J3174" s="24">
        <v>0.0</v>
      </c>
      <c r="K3174" s="23" t="s">
        <v>34</v>
      </c>
      <c r="L3174" s="25">
        <v>42603.67471064815</v>
      </c>
      <c r="M3174" s="26" t="s">
        <v>1983</v>
      </c>
      <c r="N3174" s="26" t="s">
        <v>1564</v>
      </c>
      <c r="O3174" s="22" t="str">
        <f>HYPERLINK("https://pbs.twimg.com/profile_images/767547452878647296/oD-Hg_jO_normal.jpg","View")</f>
        <v>View</v>
      </c>
      <c r="P3174" s="27"/>
    </row>
    <row r="3175">
      <c r="A3175" s="14">
        <v>43031.20233796297</v>
      </c>
      <c r="B3175" s="20" t="str">
        <f>HYPERLINK("https://twitter.com/mahmutt681","@mahmutt681")</f>
        <v>@mahmutt681</v>
      </c>
      <c r="C3175" s="21" t="s">
        <v>7458</v>
      </c>
      <c r="D3175" s="21" t="s">
        <v>6991</v>
      </c>
      <c r="E3175" s="22" t="str">
        <f>HYPERLINK("https://twitter.com/mahmutt681/status/922430243750604800","922430243750604800")</f>
        <v>922430243750604800</v>
      </c>
      <c r="F3175" s="23" t="s">
        <v>39</v>
      </c>
      <c r="G3175" s="24">
        <v>142.0</v>
      </c>
      <c r="H3175" s="24">
        <v>89.0</v>
      </c>
      <c r="I3175" s="24">
        <v>22.0</v>
      </c>
      <c r="J3175" s="24">
        <v>0.0</v>
      </c>
      <c r="K3175" s="23" t="s">
        <v>34</v>
      </c>
      <c r="L3175" s="25">
        <v>41609.790509259255</v>
      </c>
      <c r="M3175" s="28"/>
      <c r="N3175" s="28"/>
      <c r="O3175" s="22" t="str">
        <f>HYPERLINK("https://pbs.twimg.com/profile_images/560611774290866177/517TNDWh_normal.jpeg","View")</f>
        <v>View</v>
      </c>
      <c r="P3175" s="27"/>
    </row>
    <row r="3176">
      <c r="A3176" s="14">
        <v>43031.20245370371</v>
      </c>
      <c r="B3176" s="20" t="str">
        <f>HYPERLINK("https://twitter.com/chinurisa","@chinurisa")</f>
        <v>@chinurisa</v>
      </c>
      <c r="C3176" s="21" t="s">
        <v>7459</v>
      </c>
      <c r="D3176" s="21" t="s">
        <v>42</v>
      </c>
      <c r="E3176" s="22" t="str">
        <f>HYPERLINK("https://twitter.com/chinurisa/status/922430284909252610","922430284909252610")</f>
        <v>922430284909252610</v>
      </c>
      <c r="F3176" s="23" t="s">
        <v>230</v>
      </c>
      <c r="G3176" s="24">
        <v>61.0</v>
      </c>
      <c r="H3176" s="24">
        <v>189.0</v>
      </c>
      <c r="I3176" s="24">
        <v>8501.0</v>
      </c>
      <c r="J3176" s="24">
        <v>0.0</v>
      </c>
      <c r="K3176" s="23" t="s">
        <v>34</v>
      </c>
      <c r="L3176" s="25">
        <v>40640.22949074074</v>
      </c>
      <c r="M3176" s="28"/>
      <c r="N3176" s="26" t="s">
        <v>7460</v>
      </c>
      <c r="O3176" s="22" t="str">
        <f>HYPERLINK("https://pbs.twimg.com/profile_images/861570025315999744/IdQNGl0q_normal.jpg","View")</f>
        <v>View</v>
      </c>
      <c r="P3176" s="27"/>
    </row>
    <row r="3177">
      <c r="A3177" s="14">
        <v>43031.202581018515</v>
      </c>
      <c r="B3177" s="20" t="str">
        <f>HYPERLINK("https://twitter.com/BanankoJanko","@BanankoJanko")</f>
        <v>@BanankoJanko</v>
      </c>
      <c r="C3177" s="21" t="s">
        <v>1629</v>
      </c>
      <c r="D3177" s="21" t="s">
        <v>7461</v>
      </c>
      <c r="E3177" s="22" t="str">
        <f>HYPERLINK("https://twitter.com/BanankoJanko/status/922430331650756610","922430331650756610")</f>
        <v>922430331650756610</v>
      </c>
      <c r="F3177" s="23" t="s">
        <v>187</v>
      </c>
      <c r="G3177" s="24">
        <v>73.0</v>
      </c>
      <c r="H3177" s="24">
        <v>53.0</v>
      </c>
      <c r="I3177" s="24">
        <v>0.0</v>
      </c>
      <c r="J3177" s="24">
        <v>0.0</v>
      </c>
      <c r="K3177" s="23" t="s">
        <v>34</v>
      </c>
      <c r="L3177" s="25">
        <v>42837.10114583334</v>
      </c>
      <c r="M3177" s="28"/>
      <c r="N3177" s="35" t="s">
        <v>1631</v>
      </c>
      <c r="O3177" s="22" t="str">
        <f>HYPERLINK("https://pbs.twimg.com/profile_images/852669910123675651/CVUt6bXC_normal.jpg","View")</f>
        <v>View</v>
      </c>
      <c r="P3177" s="27"/>
    </row>
    <row r="3178">
      <c r="A3178" s="14">
        <v>43031.20269675926</v>
      </c>
      <c r="B3178" s="20" t="str">
        <f>HYPERLINK("https://twitter.com/maharathikarn20","@maharathikarn20")</f>
        <v>@maharathikarn20</v>
      </c>
      <c r="C3178" s="21" t="s">
        <v>7462</v>
      </c>
      <c r="D3178" s="21" t="s">
        <v>42</v>
      </c>
      <c r="E3178" s="22" t="str">
        <f>HYPERLINK("https://twitter.com/maharathikarn20/status/922430373878837248","922430373878837248")</f>
        <v>922430373878837248</v>
      </c>
      <c r="F3178" s="23" t="s">
        <v>33</v>
      </c>
      <c r="G3178" s="24">
        <v>37.0</v>
      </c>
      <c r="H3178" s="24">
        <v>38.0</v>
      </c>
      <c r="I3178" s="24">
        <v>8501.0</v>
      </c>
      <c r="J3178" s="24">
        <v>0.0</v>
      </c>
      <c r="K3178" s="23" t="s">
        <v>34</v>
      </c>
      <c r="L3178" s="25">
        <v>42814.98568287037</v>
      </c>
      <c r="M3178" s="28"/>
      <c r="N3178" s="28"/>
      <c r="O3178" s="22" t="str">
        <f>HYPERLINK("https://pbs.twimg.com/profile_images/844077204116045824/Gbr5L5LJ_normal.jpg","View")</f>
        <v>View</v>
      </c>
      <c r="P3178" s="27"/>
    </row>
    <row r="3179">
      <c r="A3179" s="14">
        <v>43031.20284722222</v>
      </c>
      <c r="B3179" s="20" t="str">
        <f>HYPERLINK("https://twitter.com/janey97kimiti","@janey97kimiti")</f>
        <v>@janey97kimiti</v>
      </c>
      <c r="C3179" s="21" t="s">
        <v>7463</v>
      </c>
      <c r="D3179" s="21" t="s">
        <v>7403</v>
      </c>
      <c r="E3179" s="22" t="str">
        <f>HYPERLINK("https://twitter.com/janey97kimiti/status/922430426311950338","922430426311950338")</f>
        <v>922430426311950338</v>
      </c>
      <c r="F3179" s="23" t="s">
        <v>33</v>
      </c>
      <c r="G3179" s="24">
        <v>46.0</v>
      </c>
      <c r="H3179" s="24">
        <v>45.0</v>
      </c>
      <c r="I3179" s="24">
        <v>29.0</v>
      </c>
      <c r="J3179" s="24">
        <v>0.0</v>
      </c>
      <c r="K3179" s="23" t="s">
        <v>34</v>
      </c>
      <c r="L3179" s="25">
        <v>43004.10791666667</v>
      </c>
      <c r="M3179" s="28"/>
      <c r="N3179" s="28"/>
      <c r="O3179" s="22" t="str">
        <f>HYPERLINK("https://pbs.twimg.com/profile_images/912682799592767489/qxCoAYuR_normal.jpg","View")</f>
        <v>View</v>
      </c>
      <c r="P3179" s="27"/>
    </row>
    <row r="3180">
      <c r="A3180" s="14">
        <v>43031.2028587963</v>
      </c>
      <c r="B3180" s="20" t="str">
        <f>HYPERLINK("https://twitter.com/margomcd","@margomcd")</f>
        <v>@margomcd</v>
      </c>
      <c r="C3180" s="21" t="s">
        <v>7464</v>
      </c>
      <c r="D3180" s="21" t="s">
        <v>2595</v>
      </c>
      <c r="E3180" s="22" t="str">
        <f>HYPERLINK("https://twitter.com/margomcd/status/922430430112043009","922430430112043009")</f>
        <v>922430430112043009</v>
      </c>
      <c r="F3180" s="23" t="s">
        <v>39</v>
      </c>
      <c r="G3180" s="24">
        <v>1255.0</v>
      </c>
      <c r="H3180" s="24">
        <v>926.0</v>
      </c>
      <c r="I3180" s="24">
        <v>170.0</v>
      </c>
      <c r="J3180" s="24">
        <v>0.0</v>
      </c>
      <c r="K3180" s="23" t="s">
        <v>34</v>
      </c>
      <c r="L3180" s="25">
        <v>39672.34888888889</v>
      </c>
      <c r="M3180" s="26" t="s">
        <v>7465</v>
      </c>
      <c r="N3180" s="26" t="s">
        <v>7466</v>
      </c>
      <c r="O3180" s="22" t="str">
        <f>HYPERLINK("https://pbs.twimg.com/profile_images/809926894707732488/PlA5cfOz_normal.jpg","View")</f>
        <v>View</v>
      </c>
      <c r="P3180" s="27"/>
    </row>
    <row r="3181">
      <c r="A3181" s="14">
        <v>43031.202951388885</v>
      </c>
      <c r="B3181" s="20" t="str">
        <f>HYPERLINK("https://twitter.com/SalmanAlmighty","@SalmanAlmighty")</f>
        <v>@SalmanAlmighty</v>
      </c>
      <c r="C3181" s="21" t="s">
        <v>7467</v>
      </c>
      <c r="D3181" s="21" t="s">
        <v>42</v>
      </c>
      <c r="E3181" s="22" t="str">
        <f>HYPERLINK("https://twitter.com/SalmanAlmighty/status/922430463796563973","922430463796563973")</f>
        <v>922430463796563973</v>
      </c>
      <c r="F3181" s="23" t="s">
        <v>39</v>
      </c>
      <c r="G3181" s="24">
        <v>416.0</v>
      </c>
      <c r="H3181" s="24">
        <v>28.0</v>
      </c>
      <c r="I3181" s="24">
        <v>8501.0</v>
      </c>
      <c r="J3181" s="24">
        <v>0.0</v>
      </c>
      <c r="K3181" s="23" t="s">
        <v>34</v>
      </c>
      <c r="L3181" s="25">
        <v>41890.18914351852</v>
      </c>
      <c r="M3181" s="26" t="s">
        <v>246</v>
      </c>
      <c r="N3181" s="26" t="s">
        <v>7468</v>
      </c>
      <c r="O3181" s="22" t="str">
        <f>HYPERLINK("https://pbs.twimg.com/profile_images/871827067414827009/xytF7U52_normal.jpg","View")</f>
        <v>View</v>
      </c>
      <c r="P3181" s="27"/>
    </row>
    <row r="3182">
      <c r="A3182" s="14">
        <v>43031.202951388885</v>
      </c>
      <c r="B3182" s="20" t="str">
        <f>HYPERLINK("https://twitter.com/dhavalgandhi007","@dhavalgandhi007")</f>
        <v>@dhavalgandhi007</v>
      </c>
      <c r="C3182" s="21" t="s">
        <v>7469</v>
      </c>
      <c r="D3182" s="21" t="s">
        <v>163</v>
      </c>
      <c r="E3182" s="22" t="str">
        <f>HYPERLINK("https://twitter.com/dhavalgandhi007/status/922430465478479872","922430465478479872")</f>
        <v>922430465478479872</v>
      </c>
      <c r="F3182" s="23" t="s">
        <v>39</v>
      </c>
      <c r="G3182" s="24">
        <v>481.0</v>
      </c>
      <c r="H3182" s="24">
        <v>343.0</v>
      </c>
      <c r="I3182" s="24">
        <v>1005.0</v>
      </c>
      <c r="J3182" s="24">
        <v>0.0</v>
      </c>
      <c r="K3182" s="23" t="s">
        <v>34</v>
      </c>
      <c r="L3182" s="25">
        <v>40771.96</v>
      </c>
      <c r="M3182" s="26" t="s">
        <v>7470</v>
      </c>
      <c r="N3182" s="26" t="s">
        <v>7471</v>
      </c>
      <c r="O3182" s="22" t="str">
        <f>HYPERLINK("https://pbs.twimg.com/profile_images/897319775721840640/LPjoSlnT_normal.jpg","View")</f>
        <v>View</v>
      </c>
      <c r="P3182" s="27"/>
    </row>
    <row r="3183">
      <c r="A3183" s="14">
        <v>43031.20296296296</v>
      </c>
      <c r="B3183" s="20" t="str">
        <f>HYPERLINK("https://twitter.com/arunrathi9","@arunrathi9")</f>
        <v>@arunrathi9</v>
      </c>
      <c r="C3183" s="21" t="s">
        <v>7472</v>
      </c>
      <c r="D3183" s="21" t="s">
        <v>42</v>
      </c>
      <c r="E3183" s="22" t="str">
        <f>HYPERLINK("https://twitter.com/arunrathi9/status/922430468485763073","922430468485763073")</f>
        <v>922430468485763073</v>
      </c>
      <c r="F3183" s="23" t="s">
        <v>39</v>
      </c>
      <c r="G3183" s="24">
        <v>624.0</v>
      </c>
      <c r="H3183" s="24">
        <v>2058.0</v>
      </c>
      <c r="I3183" s="24">
        <v>8501.0</v>
      </c>
      <c r="J3183" s="24">
        <v>0.0</v>
      </c>
      <c r="K3183" s="23" t="s">
        <v>34</v>
      </c>
      <c r="L3183" s="25">
        <v>40939.02300925926</v>
      </c>
      <c r="M3183" s="28"/>
      <c r="N3183" s="26" t="s">
        <v>7473</v>
      </c>
      <c r="O3183" s="22" t="str">
        <f>HYPERLINK("https://pbs.twimg.com/profile_images/783301356274745344/pOoKv7Nr_normal.jpg","View")</f>
        <v>View</v>
      </c>
      <c r="P3183" s="27"/>
    </row>
    <row r="3184">
      <c r="A3184" s="14">
        <v>43031.202997685185</v>
      </c>
      <c r="B3184" s="20" t="str">
        <f>HYPERLINK("https://twitter.com/10021gov","@10021gov")</f>
        <v>@10021gov</v>
      </c>
      <c r="C3184" s="21" t="s">
        <v>7474</v>
      </c>
      <c r="D3184" s="21" t="s">
        <v>7475</v>
      </c>
      <c r="E3184" s="22" t="str">
        <f>HYPERLINK("https://twitter.com/10021gov/status/922430480452026368","922430480452026368")</f>
        <v>922430480452026368</v>
      </c>
      <c r="F3184" s="23" t="s">
        <v>187</v>
      </c>
      <c r="G3184" s="24">
        <v>213.0</v>
      </c>
      <c r="H3184" s="24">
        <v>915.0</v>
      </c>
      <c r="I3184" s="24">
        <v>0.0</v>
      </c>
      <c r="J3184" s="24">
        <v>0.0</v>
      </c>
      <c r="K3184" s="23" t="s">
        <v>34</v>
      </c>
      <c r="L3184" s="25">
        <v>42816.07736111111</v>
      </c>
      <c r="M3184" s="28"/>
      <c r="N3184" s="26" t="s">
        <v>7476</v>
      </c>
      <c r="O3184" s="22" t="str">
        <f>HYPERLINK("https://pbs.twimg.com/profile_images/844474501094146048/uzUHZfMJ_normal.jpg","View")</f>
        <v>View</v>
      </c>
      <c r="P3184" s="27"/>
    </row>
    <row r="3185">
      <c r="A3185" s="14">
        <v>43031.20306712963</v>
      </c>
      <c r="B3185" s="20" t="str">
        <f>HYPERLINK("https://twitter.com/rahulkasare1","@rahulkasare1")</f>
        <v>@rahulkasare1</v>
      </c>
      <c r="C3185" s="21" t="s">
        <v>7477</v>
      </c>
      <c r="D3185" s="21" t="s">
        <v>42</v>
      </c>
      <c r="E3185" s="22" t="str">
        <f>HYPERLINK("https://twitter.com/rahulkasare1/status/922430506326663168","922430506326663168")</f>
        <v>922430506326663168</v>
      </c>
      <c r="F3185" s="23" t="s">
        <v>33</v>
      </c>
      <c r="G3185" s="24">
        <v>546.0</v>
      </c>
      <c r="H3185" s="24">
        <v>831.0</v>
      </c>
      <c r="I3185" s="24">
        <v>8501.0</v>
      </c>
      <c r="J3185" s="24">
        <v>0.0</v>
      </c>
      <c r="K3185" s="23" t="s">
        <v>34</v>
      </c>
      <c r="L3185" s="25">
        <v>41027.322592592594</v>
      </c>
      <c r="M3185" s="26" t="s">
        <v>1279</v>
      </c>
      <c r="N3185" s="26" t="s">
        <v>7478</v>
      </c>
      <c r="O3185" s="22" t="str">
        <f>HYPERLINK("https://pbs.twimg.com/profile_images/920332863979081728/qj8QKuFF_normal.jpg","View")</f>
        <v>View</v>
      </c>
      <c r="P3185" s="27"/>
    </row>
    <row r="3186">
      <c r="A3186" s="14">
        <v>43031.20307870371</v>
      </c>
      <c r="B3186" s="20" t="str">
        <f>HYPERLINK("https://twitter.com/ichigo_opanchu","@ichigo_opanchu")</f>
        <v>@ichigo_opanchu</v>
      </c>
      <c r="C3186" s="21" t="s">
        <v>7183</v>
      </c>
      <c r="D3186" s="21" t="s">
        <v>7479</v>
      </c>
      <c r="E3186" s="22" t="str">
        <f>HYPERLINK("https://twitter.com/ichigo_opanchu/status/922430511590420481","922430511590420481")</f>
        <v>922430511590420481</v>
      </c>
      <c r="F3186" s="30" t="s">
        <v>659</v>
      </c>
      <c r="G3186" s="24">
        <v>1174.0</v>
      </c>
      <c r="H3186" s="24">
        <v>1629.0</v>
      </c>
      <c r="I3186" s="24">
        <v>0.0</v>
      </c>
      <c r="J3186" s="24">
        <v>0.0</v>
      </c>
      <c r="K3186" s="23" t="s">
        <v>34</v>
      </c>
      <c r="L3186" s="25">
        <v>41584.51578703704</v>
      </c>
      <c r="M3186" s="28"/>
      <c r="N3186" s="28"/>
      <c r="O3186" s="22" t="str">
        <f>HYPERLINK("https://pbs.twimg.com/profile_images/378800000706122038/8717500dd70ef1765108669059e3f9b0_normal.jpeg","View")</f>
        <v>View</v>
      </c>
      <c r="P3186" s="27"/>
    </row>
    <row r="3187">
      <c r="A3187" s="14">
        <v>43031.20313657407</v>
      </c>
      <c r="B3187" s="20" t="str">
        <f>HYPERLINK("https://twitter.com/Bullish","@Bullish")</f>
        <v>@Bullish</v>
      </c>
      <c r="C3187" s="21" t="s">
        <v>2943</v>
      </c>
      <c r="D3187" s="21" t="s">
        <v>7480</v>
      </c>
      <c r="E3187" s="22" t="str">
        <f>HYPERLINK("https://twitter.com/Bullish/status/922430530536304640","922430530536304640")</f>
        <v>922430530536304640</v>
      </c>
      <c r="F3187" s="23" t="s">
        <v>187</v>
      </c>
      <c r="G3187" s="24">
        <v>184.0</v>
      </c>
      <c r="H3187" s="24">
        <v>87.0</v>
      </c>
      <c r="I3187" s="24">
        <v>0.0</v>
      </c>
      <c r="J3187" s="24">
        <v>0.0</v>
      </c>
      <c r="K3187" s="23" t="s">
        <v>34</v>
      </c>
      <c r="L3187" s="25">
        <v>42618.75304398148</v>
      </c>
      <c r="M3187" s="28"/>
      <c r="N3187" s="28"/>
      <c r="O3187" s="22" t="str">
        <f>HYPERLINK("https://pbs.twimg.com/profile_images/798692093736599552/UikI9dNE_normal.jpg","View")</f>
        <v>View</v>
      </c>
      <c r="P3187" s="27"/>
    </row>
    <row r="3188">
      <c r="A3188" s="14">
        <v>43031.20317129629</v>
      </c>
      <c r="B3188" s="20" t="str">
        <f>HYPERLINK("https://twitter.com/adiblesmarket","@adiblesmarket")</f>
        <v>@adiblesmarket</v>
      </c>
      <c r="C3188" s="21" t="s">
        <v>7481</v>
      </c>
      <c r="D3188" s="21" t="s">
        <v>7482</v>
      </c>
      <c r="E3188" s="22" t="str">
        <f>HYPERLINK("https://twitter.com/adiblesmarket/status/922430544591200256","922430544591200256")</f>
        <v>922430544591200256</v>
      </c>
      <c r="F3188" s="23" t="s">
        <v>55</v>
      </c>
      <c r="G3188" s="24">
        <v>178.0</v>
      </c>
      <c r="H3188" s="24">
        <v>199.0</v>
      </c>
      <c r="I3188" s="24">
        <v>0.0</v>
      </c>
      <c r="J3188" s="24">
        <v>0.0</v>
      </c>
      <c r="K3188" s="23" t="s">
        <v>34</v>
      </c>
      <c r="L3188" s="25">
        <v>41925.118101851855</v>
      </c>
      <c r="M3188" s="28"/>
      <c r="N3188" s="26" t="s">
        <v>7483</v>
      </c>
      <c r="O3188" s="22" t="str">
        <f>HYPERLINK("https://pbs.twimg.com/profile_images/521618017562546176/ibFkz5IQ_normal.jpeg","View")</f>
        <v>View</v>
      </c>
      <c r="P3188" s="27"/>
    </row>
    <row r="3189">
      <c r="A3189" s="14">
        <v>43031.20317129629</v>
      </c>
      <c r="B3189" s="20" t="str">
        <f>HYPERLINK("https://twitter.com/NAMO_NARAYAN80","@NAMO_NARAYAN80")</f>
        <v>@NAMO_NARAYAN80</v>
      </c>
      <c r="C3189" s="21" t="s">
        <v>7484</v>
      </c>
      <c r="D3189" s="21" t="s">
        <v>42</v>
      </c>
      <c r="E3189" s="22" t="str">
        <f>HYPERLINK("https://twitter.com/NAMO_NARAYAN80/status/922430545258102785","922430545258102785")</f>
        <v>922430545258102785</v>
      </c>
      <c r="F3189" s="23" t="s">
        <v>55</v>
      </c>
      <c r="G3189" s="24">
        <v>173.0</v>
      </c>
      <c r="H3189" s="24">
        <v>216.0</v>
      </c>
      <c r="I3189" s="24">
        <v>8501.0</v>
      </c>
      <c r="J3189" s="24">
        <v>0.0</v>
      </c>
      <c r="K3189" s="23" t="s">
        <v>34</v>
      </c>
      <c r="L3189" s="25">
        <v>40596.17659722222</v>
      </c>
      <c r="M3189" s="26" t="s">
        <v>2020</v>
      </c>
      <c r="N3189" s="26" t="s">
        <v>7484</v>
      </c>
      <c r="O3189" s="22" t="str">
        <f>HYPERLINK("https://pbs.twimg.com/profile_images/783932623995473920/fvQlW3kc_normal.jpg","View")</f>
        <v>View</v>
      </c>
      <c r="P3189" s="27"/>
    </row>
    <row r="3190">
      <c r="A3190" s="14">
        <v>43031.203194444446</v>
      </c>
      <c r="B3190" s="20" t="str">
        <f>HYPERLINK("https://twitter.com/Arpit2311","@Arpit2311")</f>
        <v>@Arpit2311</v>
      </c>
      <c r="C3190" s="21" t="s">
        <v>7485</v>
      </c>
      <c r="D3190" s="21" t="s">
        <v>42</v>
      </c>
      <c r="E3190" s="22" t="str">
        <f>HYPERLINK("https://twitter.com/Arpit2311/status/922430553248342016","922430553248342016")</f>
        <v>922430553248342016</v>
      </c>
      <c r="F3190" s="23" t="s">
        <v>55</v>
      </c>
      <c r="G3190" s="24">
        <v>262.0</v>
      </c>
      <c r="H3190" s="24">
        <v>798.0</v>
      </c>
      <c r="I3190" s="24">
        <v>8501.0</v>
      </c>
      <c r="J3190" s="24">
        <v>0.0</v>
      </c>
      <c r="K3190" s="23" t="s">
        <v>34</v>
      </c>
      <c r="L3190" s="25">
        <v>40771.45789351852</v>
      </c>
      <c r="M3190" s="26" t="s">
        <v>246</v>
      </c>
      <c r="N3190" s="26" t="s">
        <v>7486</v>
      </c>
      <c r="O3190" s="22" t="str">
        <f>HYPERLINK("https://pbs.twimg.com/profile_images/885383642402443267/pcUmFaQ9_normal.jpg","View")</f>
        <v>View</v>
      </c>
      <c r="P3190" s="27"/>
    </row>
    <row r="3191">
      <c r="A3191" s="14">
        <v>43031.20324074074</v>
      </c>
      <c r="B3191" s="20" t="str">
        <f>HYPERLINK("https://twitter.com/RajeevShankar17","@RajeevShankar17")</f>
        <v>@RajeevShankar17</v>
      </c>
      <c r="C3191" s="21" t="s">
        <v>7487</v>
      </c>
      <c r="D3191" s="21" t="s">
        <v>42</v>
      </c>
      <c r="E3191" s="22" t="str">
        <f>HYPERLINK("https://twitter.com/RajeevShankar17/status/922430570247753728","922430570247753728")</f>
        <v>922430570247753728</v>
      </c>
      <c r="F3191" s="23" t="s">
        <v>33</v>
      </c>
      <c r="G3191" s="24">
        <v>18.0</v>
      </c>
      <c r="H3191" s="24">
        <v>44.0</v>
      </c>
      <c r="I3191" s="24">
        <v>8501.0</v>
      </c>
      <c r="J3191" s="24">
        <v>0.0</v>
      </c>
      <c r="K3191" s="23" t="s">
        <v>34</v>
      </c>
      <c r="L3191" s="25">
        <v>42974.67533564815</v>
      </c>
      <c r="M3191" s="26" t="s">
        <v>7488</v>
      </c>
      <c r="N3191" s="26" t="s">
        <v>7489</v>
      </c>
      <c r="O3191" s="22" t="str">
        <f>HYPERLINK("https://pbs.twimg.com/profile_images/907466622058692608/VmQ0WnjX_normal.jpg","View")</f>
        <v>View</v>
      </c>
      <c r="P3191" s="27"/>
    </row>
    <row r="3192">
      <c r="A3192" s="14">
        <v>43031.20340277778</v>
      </c>
      <c r="B3192" s="20" t="str">
        <f>HYPERLINK("https://twitter.com/minimerc4","@minimerc4")</f>
        <v>@minimerc4</v>
      </c>
      <c r="C3192" s="21" t="s">
        <v>7490</v>
      </c>
      <c r="D3192" s="21" t="s">
        <v>5309</v>
      </c>
      <c r="E3192" s="22" t="str">
        <f>HYPERLINK("https://twitter.com/minimerc4/status/922430630671126528","922430630671126528")</f>
        <v>922430630671126528</v>
      </c>
      <c r="F3192" s="23" t="s">
        <v>39</v>
      </c>
      <c r="G3192" s="24">
        <v>82.0</v>
      </c>
      <c r="H3192" s="24">
        <v>170.0</v>
      </c>
      <c r="I3192" s="24">
        <v>22.0</v>
      </c>
      <c r="J3192" s="24">
        <v>0.0</v>
      </c>
      <c r="K3192" s="23" t="s">
        <v>34</v>
      </c>
      <c r="L3192" s="25">
        <v>41980.60065972222</v>
      </c>
      <c r="M3192" s="26" t="s">
        <v>7491</v>
      </c>
      <c r="N3192" s="26" t="s">
        <v>7492</v>
      </c>
      <c r="O3192" s="22" t="str">
        <f>HYPERLINK("https://pbs.twimg.com/profile_images/822307757562859520/jM0MaKx9_normal.jpg","View")</f>
        <v>View</v>
      </c>
      <c r="P3192" s="27"/>
    </row>
    <row r="3193">
      <c r="A3193" s="14">
        <v>43031.20347222222</v>
      </c>
      <c r="B3193" s="20" t="str">
        <f>HYPERLINK("https://twitter.com/MetaphorMirror","@MetaphorMirror")</f>
        <v>@MetaphorMirror</v>
      </c>
      <c r="C3193" s="21" t="s">
        <v>7493</v>
      </c>
      <c r="D3193" s="21" t="s">
        <v>7494</v>
      </c>
      <c r="E3193" s="22" t="str">
        <f>HYPERLINK("https://twitter.com/MetaphorMirror/status/922430655023210496","922430655023210496")</f>
        <v>922430655023210496</v>
      </c>
      <c r="F3193" s="23" t="s">
        <v>7493</v>
      </c>
      <c r="G3193" s="24">
        <v>261.0</v>
      </c>
      <c r="H3193" s="24">
        <v>1.0</v>
      </c>
      <c r="I3193" s="24">
        <v>0.0</v>
      </c>
      <c r="J3193" s="24">
        <v>0.0</v>
      </c>
      <c r="K3193" s="23" t="s">
        <v>34</v>
      </c>
      <c r="L3193" s="25">
        <v>42093.67842592593</v>
      </c>
      <c r="M3193" s="26" t="s">
        <v>7495</v>
      </c>
      <c r="N3193" s="26" t="s">
        <v>7496</v>
      </c>
      <c r="O3193" s="22" t="str">
        <f>HYPERLINK("https://pbs.twimg.com/profile_images/583931010838061056/eF2rTuwa_normal.jpg","View")</f>
        <v>View</v>
      </c>
      <c r="P3193" s="27"/>
    </row>
    <row r="3194">
      <c r="A3194" s="14">
        <v>43031.20350694444</v>
      </c>
      <c r="B3194" s="20" t="str">
        <f>HYPERLINK("https://twitter.com/AshaGomez_","@AshaGomez_")</f>
        <v>@AshaGomez_</v>
      </c>
      <c r="C3194" s="21" t="s">
        <v>7497</v>
      </c>
      <c r="D3194" s="21" t="s">
        <v>7403</v>
      </c>
      <c r="E3194" s="22" t="str">
        <f>HYPERLINK("https://twitter.com/AshaGomez_/status/922430664514908160","922430664514908160")</f>
        <v>922430664514908160</v>
      </c>
      <c r="F3194" s="23" t="s">
        <v>43</v>
      </c>
      <c r="G3194" s="24">
        <v>293.0</v>
      </c>
      <c r="H3194" s="24">
        <v>1400.0</v>
      </c>
      <c r="I3194" s="24">
        <v>29.0</v>
      </c>
      <c r="J3194" s="24">
        <v>0.0</v>
      </c>
      <c r="K3194" s="23" t="s">
        <v>34</v>
      </c>
      <c r="L3194" s="25">
        <v>42878.51638888889</v>
      </c>
      <c r="M3194" s="28"/>
      <c r="N3194" s="26" t="s">
        <v>7498</v>
      </c>
      <c r="O3194" s="22" t="str">
        <f>HYPERLINK("https://pbs.twimg.com/profile_images/904418035250974721/dgFnJxyX_normal.jpg","View")</f>
        <v>View</v>
      </c>
      <c r="P3194" s="27"/>
    </row>
    <row r="3195">
      <c r="A3195" s="14">
        <v>43031.20365740741</v>
      </c>
      <c r="B3195" s="20" t="str">
        <f>HYPERLINK("https://twitter.com/W3LiveNews","@W3LiveNews")</f>
        <v>@W3LiveNews</v>
      </c>
      <c r="C3195" s="21" t="s">
        <v>7499</v>
      </c>
      <c r="D3195" s="21" t="s">
        <v>7500</v>
      </c>
      <c r="E3195" s="22" t="str">
        <f>HYPERLINK("https://twitter.com/W3LiveNews/status/922430720760414208","922430720760414208")</f>
        <v>922430720760414208</v>
      </c>
      <c r="F3195" s="23" t="s">
        <v>7501</v>
      </c>
      <c r="G3195" s="24">
        <v>400.0</v>
      </c>
      <c r="H3195" s="24">
        <v>173.0</v>
      </c>
      <c r="I3195" s="24">
        <v>0.0</v>
      </c>
      <c r="J3195" s="24">
        <v>0.0</v>
      </c>
      <c r="K3195" s="23" t="s">
        <v>34</v>
      </c>
      <c r="L3195" s="25">
        <v>42229.76611111111</v>
      </c>
      <c r="M3195" s="26" t="s">
        <v>7502</v>
      </c>
      <c r="N3195" s="26" t="s">
        <v>7503</v>
      </c>
      <c r="O3195" s="22" t="str">
        <f>HYPERLINK("https://pbs.twimg.com/profile_images/631999952630059008/z2wOjMsV_normal.png","View")</f>
        <v>View</v>
      </c>
      <c r="P3195" s="27"/>
    </row>
    <row r="3196">
      <c r="A3196" s="14">
        <v>43031.203680555554</v>
      </c>
      <c r="B3196" s="20" t="str">
        <f>HYPERLINK("https://twitter.com/Sorgitzak","@Sorgitzak")</f>
        <v>@Sorgitzak</v>
      </c>
      <c r="C3196" s="21" t="s">
        <v>1122</v>
      </c>
      <c r="D3196" s="21" t="s">
        <v>7504</v>
      </c>
      <c r="E3196" s="22" t="str">
        <f>HYPERLINK("https://twitter.com/Sorgitzak/status/922430729660895232","922430729660895232")</f>
        <v>922430729660895232</v>
      </c>
      <c r="F3196" s="23" t="s">
        <v>187</v>
      </c>
      <c r="G3196" s="24">
        <v>723.0</v>
      </c>
      <c r="H3196" s="24">
        <v>1309.0</v>
      </c>
      <c r="I3196" s="24">
        <v>0.0</v>
      </c>
      <c r="J3196" s="24">
        <v>0.0</v>
      </c>
      <c r="K3196" s="23" t="s">
        <v>34</v>
      </c>
      <c r="L3196" s="25">
        <v>39990.552152777775</v>
      </c>
      <c r="M3196" s="26" t="s">
        <v>1124</v>
      </c>
      <c r="N3196" s="28"/>
      <c r="O3196" s="22" t="str">
        <f>HYPERLINK("https://pbs.twimg.com/profile_images/284404970/sorgitzak_normal.JPG","View")</f>
        <v>View</v>
      </c>
      <c r="P3196" s="27"/>
    </row>
    <row r="3197">
      <c r="A3197" s="14">
        <v>43031.203680555554</v>
      </c>
      <c r="B3197" s="20" t="str">
        <f>HYPERLINK("https://twitter.com/serge_poznanski","@serge_poznanski")</f>
        <v>@serge_poznanski</v>
      </c>
      <c r="C3197" s="21" t="s">
        <v>2763</v>
      </c>
      <c r="D3197" s="21" t="s">
        <v>7505</v>
      </c>
      <c r="E3197" s="22" t="str">
        <f>HYPERLINK("https://twitter.com/serge_poznanski/status/922430730684260352","922430730684260352")</f>
        <v>922430730684260352</v>
      </c>
      <c r="F3197" s="23" t="s">
        <v>187</v>
      </c>
      <c r="G3197" s="24">
        <v>1438.0</v>
      </c>
      <c r="H3197" s="24">
        <v>2138.0</v>
      </c>
      <c r="I3197" s="24">
        <v>0.0</v>
      </c>
      <c r="J3197" s="24">
        <v>0.0</v>
      </c>
      <c r="K3197" s="23" t="s">
        <v>34</v>
      </c>
      <c r="L3197" s="25">
        <v>42271.47445601852</v>
      </c>
      <c r="M3197" s="28"/>
      <c r="N3197" s="28"/>
      <c r="O3197" s="22" t="str">
        <f>HYPERLINK("https://pbs.twimg.com/profile_images/647277253240291328/3GezjFCJ_normal.jpg","View")</f>
        <v>View</v>
      </c>
      <c r="P3197" s="27"/>
    </row>
    <row r="3198">
      <c r="A3198" s="14">
        <v>43031.203877314816</v>
      </c>
      <c r="B3198" s="20" t="str">
        <f>HYPERLINK("https://twitter.com/YuheiSakakibara","@YuheiSakakibara")</f>
        <v>@YuheiSakakibara</v>
      </c>
      <c r="C3198" s="21" t="s">
        <v>7506</v>
      </c>
      <c r="D3198" s="21" t="s">
        <v>7403</v>
      </c>
      <c r="E3198" s="22" t="str">
        <f>HYPERLINK("https://twitter.com/YuheiSakakibara/status/922430800972324864","922430800972324864")</f>
        <v>922430800972324864</v>
      </c>
      <c r="F3198" s="23" t="s">
        <v>39</v>
      </c>
      <c r="G3198" s="24">
        <v>80.0</v>
      </c>
      <c r="H3198" s="24">
        <v>280.0</v>
      </c>
      <c r="I3198" s="24">
        <v>29.0</v>
      </c>
      <c r="J3198" s="24">
        <v>0.0</v>
      </c>
      <c r="K3198" s="23" t="s">
        <v>34</v>
      </c>
      <c r="L3198" s="25">
        <v>42563.92209490741</v>
      </c>
      <c r="M3198" s="26" t="s">
        <v>7507</v>
      </c>
      <c r="N3198" s="26" t="s">
        <v>7508</v>
      </c>
      <c r="O3198" s="22" t="str">
        <f>HYPERLINK("https://pbs.twimg.com/profile_images/920931352698019840/ctq-Sc1x_normal.jpg","View")</f>
        <v>View</v>
      </c>
      <c r="P3198" s="27"/>
    </row>
    <row r="3199">
      <c r="A3199" s="14">
        <v>43031.20388888889</v>
      </c>
      <c r="B3199" s="20" t="str">
        <f>HYPERLINK("https://twitter.com/OccuWorld","@OccuWorld")</f>
        <v>@OccuWorld</v>
      </c>
      <c r="C3199" s="21" t="s">
        <v>929</v>
      </c>
      <c r="D3199" s="21" t="s">
        <v>7509</v>
      </c>
      <c r="E3199" s="22" t="str">
        <f>HYPERLINK("https://twitter.com/OccuWorld/status/922430803702841344","922430803702841344")</f>
        <v>922430803702841344</v>
      </c>
      <c r="F3199" s="23" t="s">
        <v>931</v>
      </c>
      <c r="G3199" s="24">
        <v>7744.0</v>
      </c>
      <c r="H3199" s="24">
        <v>981.0</v>
      </c>
      <c r="I3199" s="24">
        <v>1.0</v>
      </c>
      <c r="J3199" s="24">
        <v>1.0</v>
      </c>
      <c r="K3199" s="23" t="s">
        <v>34</v>
      </c>
      <c r="L3199" s="25">
        <v>41319.360625</v>
      </c>
      <c r="M3199" s="26" t="s">
        <v>92</v>
      </c>
      <c r="N3199" s="26" t="s">
        <v>932</v>
      </c>
      <c r="O3199" s="22" t="str">
        <f>HYPERLINK("https://pbs.twimg.com/profile_images/563724232287211520/sEoE-N6j_normal.jpeg","View")</f>
        <v>View</v>
      </c>
      <c r="P3199" s="27"/>
    </row>
    <row r="3200">
      <c r="A3200" s="14">
        <v>43031.20398148148</v>
      </c>
      <c r="B3200" s="20" t="str">
        <f>HYPERLINK("https://twitter.com/USPressWorld","@USPressWorld")</f>
        <v>@USPressWorld</v>
      </c>
      <c r="C3200" s="21" t="s">
        <v>6586</v>
      </c>
      <c r="D3200" s="21" t="s">
        <v>7510</v>
      </c>
      <c r="E3200" s="22" t="str">
        <f>HYPERLINK("https://twitter.com/USPressWorld/status/922430836980494336","922430836980494336")</f>
        <v>922430836980494336</v>
      </c>
      <c r="F3200" s="23" t="s">
        <v>6588</v>
      </c>
      <c r="G3200" s="24">
        <v>12280.0</v>
      </c>
      <c r="H3200" s="24">
        <v>12373.0</v>
      </c>
      <c r="I3200" s="24">
        <v>0.0</v>
      </c>
      <c r="J3200" s="24">
        <v>0.0</v>
      </c>
      <c r="K3200" s="23" t="s">
        <v>34</v>
      </c>
      <c r="L3200" s="25">
        <v>41218.808217592596</v>
      </c>
      <c r="M3200" s="26" t="s">
        <v>6589</v>
      </c>
      <c r="N3200" s="26" t="s">
        <v>6590</v>
      </c>
      <c r="O3200" s="22" t="str">
        <f>HYPERLINK("https://pbs.twimg.com/profile_images/692071485813440512/MxuoxAoC_normal.png","View")</f>
        <v>View</v>
      </c>
      <c r="P3200" s="27"/>
    </row>
    <row r="3201">
      <c r="A3201" s="14">
        <v>43031.203993055555</v>
      </c>
      <c r="B3201" s="20" t="str">
        <f>HYPERLINK("https://twitter.com/salqahtani1111","@salqahtani1111")</f>
        <v>@salqahtani1111</v>
      </c>
      <c r="C3201" s="21" t="s">
        <v>2985</v>
      </c>
      <c r="D3201" s="21" t="s">
        <v>7511</v>
      </c>
      <c r="E3201" s="22" t="str">
        <f>HYPERLINK("https://twitter.com/salqahtani1111/status/922430843255128066","922430843255128066")</f>
        <v>922430843255128066</v>
      </c>
      <c r="F3201" s="23" t="s">
        <v>187</v>
      </c>
      <c r="G3201" s="24">
        <v>78.0</v>
      </c>
      <c r="H3201" s="24">
        <v>350.0</v>
      </c>
      <c r="I3201" s="24">
        <v>0.0</v>
      </c>
      <c r="J3201" s="24">
        <v>0.0</v>
      </c>
      <c r="K3201" s="23" t="s">
        <v>34</v>
      </c>
      <c r="L3201" s="25">
        <v>42389.41868055555</v>
      </c>
      <c r="M3201" s="26" t="s">
        <v>2987</v>
      </c>
      <c r="N3201" s="32" t="s">
        <v>2988</v>
      </c>
      <c r="O3201" s="22" t="str">
        <f>HYPERLINK("https://pbs.twimg.com/profile_images/862802411659952129/c6waLNgv_normal.jpg","View")</f>
        <v>View</v>
      </c>
      <c r="P3201" s="27"/>
    </row>
    <row r="3202">
      <c r="A3202" s="14">
        <v>43031.203993055555</v>
      </c>
      <c r="B3202" s="20" t="str">
        <f>HYPERLINK("https://twitter.com/okadascape","@okadascape")</f>
        <v>@okadascape</v>
      </c>
      <c r="C3202" s="21" t="s">
        <v>7512</v>
      </c>
      <c r="D3202" s="21" t="s">
        <v>42</v>
      </c>
      <c r="E3202" s="22" t="str">
        <f>HYPERLINK("https://twitter.com/okadascape/status/922430844790194178","922430844790194178")</f>
        <v>922430844790194178</v>
      </c>
      <c r="F3202" s="23" t="s">
        <v>55</v>
      </c>
      <c r="G3202" s="24">
        <v>1751.0</v>
      </c>
      <c r="H3202" s="24">
        <v>123.0</v>
      </c>
      <c r="I3202" s="24">
        <v>8501.0</v>
      </c>
      <c r="J3202" s="24">
        <v>0.0</v>
      </c>
      <c r="K3202" s="23" t="s">
        <v>34</v>
      </c>
      <c r="L3202" s="25">
        <v>40135.186435185184</v>
      </c>
      <c r="M3202" s="26" t="s">
        <v>7513</v>
      </c>
      <c r="N3202" s="26" t="s">
        <v>7514</v>
      </c>
      <c r="O3202" s="22" t="str">
        <f>HYPERLINK("https://pbs.twimg.com/profile_images/769311561458384896/szRKT5Yb_normal.jpg","View")</f>
        <v>View</v>
      </c>
      <c r="P3202" s="27"/>
    </row>
    <row r="3203">
      <c r="A3203" s="14">
        <v>43031.2040162037</v>
      </c>
      <c r="B3203" s="20" t="str">
        <f>HYPERLINK("https://twitter.com/cally_priest","@cally_priest")</f>
        <v>@cally_priest</v>
      </c>
      <c r="C3203" s="21" t="s">
        <v>7515</v>
      </c>
      <c r="D3203" s="21" t="s">
        <v>7181</v>
      </c>
      <c r="E3203" s="22" t="str">
        <f>HYPERLINK("https://twitter.com/cally_priest/status/922430852105228289","922430852105228289")</f>
        <v>922430852105228289</v>
      </c>
      <c r="F3203" s="23" t="s">
        <v>33</v>
      </c>
      <c r="G3203" s="24">
        <v>2588.0</v>
      </c>
      <c r="H3203" s="24">
        <v>5000.0</v>
      </c>
      <c r="I3203" s="24">
        <v>2.0</v>
      </c>
      <c r="J3203" s="24">
        <v>0.0</v>
      </c>
      <c r="K3203" s="23" t="s">
        <v>34</v>
      </c>
      <c r="L3203" s="25">
        <v>41932.85644675926</v>
      </c>
      <c r="M3203" s="26" t="s">
        <v>7516</v>
      </c>
      <c r="N3203" s="26" t="s">
        <v>7517</v>
      </c>
      <c r="O3203" s="22" t="str">
        <f>HYPERLINK("https://pbs.twimg.com/profile_images/913428092621869056/NtFXhGmA_normal.jpg","View")</f>
        <v>View</v>
      </c>
      <c r="P3203" s="27"/>
    </row>
    <row r="3204">
      <c r="A3204" s="14">
        <v>43031.204050925924</v>
      </c>
      <c r="B3204" s="20" t="str">
        <f>HYPERLINK("https://twitter.com/okadascape","@okadascape")</f>
        <v>@okadascape</v>
      </c>
      <c r="C3204" s="21" t="s">
        <v>7512</v>
      </c>
      <c r="D3204" s="21" t="s">
        <v>6403</v>
      </c>
      <c r="E3204" s="22" t="str">
        <f>HYPERLINK("https://twitter.com/okadascape/status/922430864612397057","922430864612397057")</f>
        <v>922430864612397057</v>
      </c>
      <c r="F3204" s="23" t="s">
        <v>55</v>
      </c>
      <c r="G3204" s="24">
        <v>1751.0</v>
      </c>
      <c r="H3204" s="24">
        <v>123.0</v>
      </c>
      <c r="I3204" s="24">
        <v>97.0</v>
      </c>
      <c r="J3204" s="24">
        <v>0.0</v>
      </c>
      <c r="K3204" s="23" t="s">
        <v>34</v>
      </c>
      <c r="L3204" s="25">
        <v>40135.186435185184</v>
      </c>
      <c r="M3204" s="26" t="s">
        <v>7513</v>
      </c>
      <c r="N3204" s="26" t="s">
        <v>7514</v>
      </c>
      <c r="O3204" s="22" t="str">
        <f>HYPERLINK("https://pbs.twimg.com/profile_images/769311561458384896/szRKT5Yb_normal.jpg","View")</f>
        <v>View</v>
      </c>
      <c r="P3204" s="27"/>
    </row>
    <row r="3205">
      <c r="A3205" s="14">
        <v>43031.20408564815</v>
      </c>
      <c r="B3205" s="20" t="str">
        <f>HYPERLINK("https://twitter.com/softwarehype","@softwarehype")</f>
        <v>@softwarehype</v>
      </c>
      <c r="C3205" s="21" t="s">
        <v>7518</v>
      </c>
      <c r="D3205" s="21" t="s">
        <v>7519</v>
      </c>
      <c r="E3205" s="22" t="str">
        <f>HYPERLINK("https://twitter.com/softwarehype/status/922430874833915904","922430874833915904")</f>
        <v>922430874833915904</v>
      </c>
      <c r="F3205" s="23" t="s">
        <v>48</v>
      </c>
      <c r="G3205" s="24">
        <v>448.0</v>
      </c>
      <c r="H3205" s="24">
        <v>590.0</v>
      </c>
      <c r="I3205" s="24">
        <v>0.0</v>
      </c>
      <c r="J3205" s="24">
        <v>0.0</v>
      </c>
      <c r="K3205" s="23" t="s">
        <v>34</v>
      </c>
      <c r="L3205" s="25">
        <v>40156.45649305556</v>
      </c>
      <c r="M3205" s="26" t="s">
        <v>905</v>
      </c>
      <c r="N3205" s="26" t="s">
        <v>7520</v>
      </c>
      <c r="O3205" s="22" t="str">
        <f>HYPERLINK("https://pbs.twimg.com/profile_images/580036188712669184/3dRpUijw_normal.png","View")</f>
        <v>View</v>
      </c>
      <c r="P3205" s="27"/>
    </row>
    <row r="3206">
      <c r="A3206" s="14">
        <v>43031.204097222224</v>
      </c>
      <c r="B3206" s="20" t="str">
        <f>HYPERLINK("https://twitter.com/awesome_spark","@awesome_spark")</f>
        <v>@awesome_spark</v>
      </c>
      <c r="C3206" s="21" t="s">
        <v>7521</v>
      </c>
      <c r="D3206" s="21" t="s">
        <v>7522</v>
      </c>
      <c r="E3206" s="22" t="str">
        <f>HYPERLINK("https://twitter.com/awesome_spark/status/922430878701248513","922430878701248513")</f>
        <v>922430878701248513</v>
      </c>
      <c r="F3206" s="23" t="s">
        <v>7523</v>
      </c>
      <c r="G3206" s="24">
        <v>1096.0</v>
      </c>
      <c r="H3206" s="24">
        <v>851.0</v>
      </c>
      <c r="I3206" s="24">
        <v>0.0</v>
      </c>
      <c r="J3206" s="24">
        <v>0.0</v>
      </c>
      <c r="K3206" s="23" t="s">
        <v>34</v>
      </c>
      <c r="L3206" s="25">
        <v>41076.38034722222</v>
      </c>
      <c r="M3206" s="26" t="s">
        <v>7524</v>
      </c>
      <c r="N3206" s="26" t="s">
        <v>7525</v>
      </c>
      <c r="O3206" s="22" t="str">
        <f>HYPERLINK("https://pbs.twimg.com/profile_images/886646754812284930/UjBJFZwX_normal.jpg","View")</f>
        <v>View</v>
      </c>
      <c r="P3206" s="27"/>
    </row>
    <row r="3207">
      <c r="A3207" s="14">
        <v>43031.204189814816</v>
      </c>
      <c r="B3207" s="20" t="str">
        <f>HYPERLINK("https://twitter.com/loaninontario","@loaninontario")</f>
        <v>@loaninontario</v>
      </c>
      <c r="C3207" s="21" t="s">
        <v>7526</v>
      </c>
      <c r="D3207" s="21" t="s">
        <v>7403</v>
      </c>
      <c r="E3207" s="22" t="str">
        <f>HYPERLINK("https://twitter.com/loaninontario/status/922430911966101504","922430911966101504")</f>
        <v>922430911966101504</v>
      </c>
      <c r="F3207" s="23" t="s">
        <v>55</v>
      </c>
      <c r="G3207" s="24">
        <v>111.0</v>
      </c>
      <c r="H3207" s="24">
        <v>173.0</v>
      </c>
      <c r="I3207" s="24">
        <v>29.0</v>
      </c>
      <c r="J3207" s="24">
        <v>0.0</v>
      </c>
      <c r="K3207" s="23" t="s">
        <v>34</v>
      </c>
      <c r="L3207" s="25">
        <v>41372.11241898148</v>
      </c>
      <c r="M3207" s="26" t="s">
        <v>7527</v>
      </c>
      <c r="N3207" s="26" t="s">
        <v>7528</v>
      </c>
      <c r="O3207" s="22" t="str">
        <f>HYPERLINK("https://pbs.twimg.com/profile_images/672373108330786816/4kox8ZFw_normal.jpg","View")</f>
        <v>View</v>
      </c>
      <c r="P3207" s="27"/>
    </row>
    <row r="3208">
      <c r="A3208" s="14">
        <v>43031.204293981486</v>
      </c>
      <c r="B3208" s="20" t="str">
        <f t="shared" ref="B3208:B3209" si="56">HYPERLINK("https://twitter.com/tomwoods55","@tomwoods55")</f>
        <v>@tomwoods55</v>
      </c>
      <c r="C3208" s="21" t="s">
        <v>7529</v>
      </c>
      <c r="D3208" s="21" t="s">
        <v>7530</v>
      </c>
      <c r="E3208" s="22" t="str">
        <f>HYPERLINK("https://twitter.com/tomwoods55/status/922430952516804609","922430952516804609")</f>
        <v>922430952516804609</v>
      </c>
      <c r="F3208" s="23" t="s">
        <v>33</v>
      </c>
      <c r="G3208" s="24">
        <v>16603.0</v>
      </c>
      <c r="H3208" s="24">
        <v>16493.0</v>
      </c>
      <c r="I3208" s="24">
        <v>1.0</v>
      </c>
      <c r="J3208" s="24">
        <v>0.0</v>
      </c>
      <c r="K3208" s="23" t="s">
        <v>34</v>
      </c>
      <c r="L3208" s="25">
        <v>40242.34008101852</v>
      </c>
      <c r="M3208" s="26" t="s">
        <v>7531</v>
      </c>
      <c r="N3208" s="26" t="s">
        <v>7532</v>
      </c>
      <c r="O3208" s="22" t="str">
        <f t="shared" ref="O3208:O3209" si="57">HYPERLINK("https://pbs.twimg.com/profile_images/836899893423779840/3G5NXW6j_normal.jpg","View")</f>
        <v>View</v>
      </c>
      <c r="P3208" s="27"/>
    </row>
    <row r="3209">
      <c r="A3209" s="14">
        <v>43031.20443287037</v>
      </c>
      <c r="B3209" s="20" t="str">
        <f t="shared" si="56"/>
        <v>@tomwoods55</v>
      </c>
      <c r="C3209" s="21" t="s">
        <v>7529</v>
      </c>
      <c r="D3209" s="21" t="s">
        <v>7533</v>
      </c>
      <c r="E3209" s="22" t="str">
        <f>HYPERLINK("https://twitter.com/tomwoods55/status/922431000206028801","922431000206028801")</f>
        <v>922431000206028801</v>
      </c>
      <c r="F3209" s="23" t="s">
        <v>7534</v>
      </c>
      <c r="G3209" s="24">
        <v>16603.0</v>
      </c>
      <c r="H3209" s="24">
        <v>16493.0</v>
      </c>
      <c r="I3209" s="24">
        <v>0.0</v>
      </c>
      <c r="J3209" s="24">
        <v>0.0</v>
      </c>
      <c r="K3209" s="23" t="s">
        <v>34</v>
      </c>
      <c r="L3209" s="25">
        <v>40242.34008101852</v>
      </c>
      <c r="M3209" s="26" t="s">
        <v>7531</v>
      </c>
      <c r="N3209" s="26" t="s">
        <v>7532</v>
      </c>
      <c r="O3209" s="22" t="str">
        <f t="shared" si="57"/>
        <v>View</v>
      </c>
      <c r="P3209" s="27"/>
    </row>
    <row r="3210">
      <c r="A3210" s="14">
        <v>43031.20443287037</v>
      </c>
      <c r="B3210" s="20" t="str">
        <f>HYPERLINK("https://twitter.com/laserhaas01","@laserhaas01")</f>
        <v>@laserhaas01</v>
      </c>
      <c r="C3210" s="21" t="s">
        <v>7535</v>
      </c>
      <c r="D3210" s="21" t="s">
        <v>7536</v>
      </c>
      <c r="E3210" s="22" t="str">
        <f>HYPERLINK("https://twitter.com/laserhaas01/status/922431002957328384","922431002957328384")</f>
        <v>922431002957328384</v>
      </c>
      <c r="F3210" s="23" t="s">
        <v>33</v>
      </c>
      <c r="G3210" s="24">
        <v>13247.0</v>
      </c>
      <c r="H3210" s="24">
        <v>13984.0</v>
      </c>
      <c r="I3210" s="24">
        <v>1.0</v>
      </c>
      <c r="J3210" s="24">
        <v>0.0</v>
      </c>
      <c r="K3210" s="23" t="s">
        <v>34</v>
      </c>
      <c r="L3210" s="25">
        <v>39624.506215277775</v>
      </c>
      <c r="M3210" s="26" t="s">
        <v>7537</v>
      </c>
      <c r="N3210" s="26" t="s">
        <v>7538</v>
      </c>
      <c r="O3210" s="22" t="str">
        <f>HYPERLINK("https://pbs.twimg.com/profile_images/921835899981217792/i_oAX8CF_normal.jpg","View")</f>
        <v>View</v>
      </c>
      <c r="P3210" s="27"/>
    </row>
    <row r="3211">
      <c r="A3211" s="14">
        <v>43031.20444444445</v>
      </c>
      <c r="B3211" s="20" t="str">
        <f>HYPERLINK("https://twitter.com/lemanege1","@lemanege1")</f>
        <v>@lemanege1</v>
      </c>
      <c r="C3211" s="21" t="s">
        <v>7539</v>
      </c>
      <c r="D3211" s="21" t="s">
        <v>42</v>
      </c>
      <c r="E3211" s="22" t="str">
        <f>HYPERLINK("https://twitter.com/lemanege1/status/922431007344570368","922431007344570368")</f>
        <v>922431007344570368</v>
      </c>
      <c r="F3211" s="23" t="s">
        <v>33</v>
      </c>
      <c r="G3211" s="24">
        <v>487.0</v>
      </c>
      <c r="H3211" s="24">
        <v>489.0</v>
      </c>
      <c r="I3211" s="24">
        <v>8501.0</v>
      </c>
      <c r="J3211" s="24">
        <v>0.0</v>
      </c>
      <c r="K3211" s="23" t="s">
        <v>34</v>
      </c>
      <c r="L3211" s="25">
        <v>42130.07570601851</v>
      </c>
      <c r="M3211" s="28"/>
      <c r="N3211" s="26" t="s">
        <v>7540</v>
      </c>
      <c r="O3211" s="22" t="str">
        <f>HYPERLINK("https://pbs.twimg.com/profile_images/842908648116387840/6aRoz97V_normal.jpg","View")</f>
        <v>View</v>
      </c>
      <c r="P3211" s="27"/>
    </row>
    <row r="3212">
      <c r="A3212" s="14">
        <v>43031.20459490741</v>
      </c>
      <c r="B3212" s="20" t="str">
        <f>HYPERLINK("https://twitter.com/MrRao_RB","@MrRao_RB")</f>
        <v>@MrRao_RB</v>
      </c>
      <c r="C3212" s="21" t="s">
        <v>7541</v>
      </c>
      <c r="D3212" s="21" t="s">
        <v>42</v>
      </c>
      <c r="E3212" s="22" t="str">
        <f>HYPERLINK("https://twitter.com/MrRao_RB/status/922431062344548354","922431062344548354")</f>
        <v>922431062344548354</v>
      </c>
      <c r="F3212" s="23" t="s">
        <v>39</v>
      </c>
      <c r="G3212" s="24">
        <v>1136.0</v>
      </c>
      <c r="H3212" s="24">
        <v>159.0</v>
      </c>
      <c r="I3212" s="24">
        <v>8501.0</v>
      </c>
      <c r="J3212" s="24">
        <v>0.0</v>
      </c>
      <c r="K3212" s="23" t="s">
        <v>34</v>
      </c>
      <c r="L3212" s="25">
        <v>40430.291851851856</v>
      </c>
      <c r="M3212" s="26" t="s">
        <v>1224</v>
      </c>
      <c r="N3212" s="26" t="s">
        <v>7542</v>
      </c>
      <c r="O3212" s="22" t="str">
        <f>HYPERLINK("https://pbs.twimg.com/profile_images/867375998815305729/ANVYxO6g_normal.jpg","View")</f>
        <v>View</v>
      </c>
      <c r="P3212" s="27"/>
    </row>
    <row r="3213">
      <c r="A3213" s="14">
        <v>43031.2046412037</v>
      </c>
      <c r="B3213" s="20" t="str">
        <f>HYPERLINK("https://twitter.com/Rakesh25182","@Rakesh25182")</f>
        <v>@Rakesh25182</v>
      </c>
      <c r="C3213" s="21" t="s">
        <v>7543</v>
      </c>
      <c r="D3213" s="21" t="s">
        <v>42</v>
      </c>
      <c r="E3213" s="22" t="str">
        <f>HYPERLINK("https://twitter.com/Rakesh25182/status/922431076760477696","922431076760477696")</f>
        <v>922431076760477696</v>
      </c>
      <c r="F3213" s="23" t="s">
        <v>33</v>
      </c>
      <c r="G3213" s="24">
        <v>4045.0</v>
      </c>
      <c r="H3213" s="24">
        <v>3621.0</v>
      </c>
      <c r="I3213" s="24">
        <v>8501.0</v>
      </c>
      <c r="J3213" s="24">
        <v>0.0</v>
      </c>
      <c r="K3213" s="23" t="s">
        <v>34</v>
      </c>
      <c r="L3213" s="25">
        <v>42419.13763888889</v>
      </c>
      <c r="M3213" s="26" t="s">
        <v>7544</v>
      </c>
      <c r="N3213" s="26" t="s">
        <v>7545</v>
      </c>
      <c r="O3213" s="22" t="str">
        <f>HYPERLINK("https://pbs.twimg.com/profile_images/885484125985153026/9_nCWhfA_normal.jpg","View")</f>
        <v>View</v>
      </c>
      <c r="P3213" s="27"/>
    </row>
    <row r="3214">
      <c r="A3214" s="14">
        <v>43031.20480324074</v>
      </c>
      <c r="B3214" s="20" t="str">
        <f>HYPERLINK("https://twitter.com/JiteshJalan","@JiteshJalan")</f>
        <v>@JiteshJalan</v>
      </c>
      <c r="C3214" s="21" t="s">
        <v>7546</v>
      </c>
      <c r="D3214" s="21" t="s">
        <v>42</v>
      </c>
      <c r="E3214" s="22" t="str">
        <f>HYPERLINK("https://twitter.com/JiteshJalan/status/922431136436862976","922431136436862976")</f>
        <v>922431136436862976</v>
      </c>
      <c r="F3214" s="23" t="s">
        <v>33</v>
      </c>
      <c r="G3214" s="24">
        <v>308.0</v>
      </c>
      <c r="H3214" s="24">
        <v>759.0</v>
      </c>
      <c r="I3214" s="24">
        <v>8501.0</v>
      </c>
      <c r="J3214" s="24">
        <v>0.0</v>
      </c>
      <c r="K3214" s="23" t="s">
        <v>34</v>
      </c>
      <c r="L3214" s="25">
        <v>41057.889189814814</v>
      </c>
      <c r="M3214" s="26" t="s">
        <v>1465</v>
      </c>
      <c r="N3214" s="28"/>
      <c r="O3214" s="22" t="str">
        <f>HYPERLINK("https://pbs.twimg.com/profile_images/789303198838362112/Bd-ZMpfQ_normal.jpg","View")</f>
        <v>View</v>
      </c>
      <c r="P3214" s="27"/>
    </row>
    <row r="3215">
      <c r="A3215" s="14">
        <v>43031.20484953704</v>
      </c>
      <c r="B3215" s="20" t="str">
        <f>HYPERLINK("https://twitter.com/Schakerin","@Schakerin")</f>
        <v>@Schakerin</v>
      </c>
      <c r="C3215" s="21" t="s">
        <v>7547</v>
      </c>
      <c r="D3215" s="21" t="s">
        <v>2595</v>
      </c>
      <c r="E3215" s="22" t="str">
        <f>HYPERLINK("https://twitter.com/Schakerin/status/922431154359341056","922431154359341056")</f>
        <v>922431154359341056</v>
      </c>
      <c r="F3215" s="23" t="s">
        <v>33</v>
      </c>
      <c r="G3215" s="24">
        <v>85.0</v>
      </c>
      <c r="H3215" s="24">
        <v>179.0</v>
      </c>
      <c r="I3215" s="24">
        <v>170.0</v>
      </c>
      <c r="J3215" s="24">
        <v>0.0</v>
      </c>
      <c r="K3215" s="23" t="s">
        <v>34</v>
      </c>
      <c r="L3215" s="25">
        <v>40880.92150462963</v>
      </c>
      <c r="M3215" s="26" t="s">
        <v>7548</v>
      </c>
      <c r="N3215" s="26" t="s">
        <v>7549</v>
      </c>
      <c r="O3215" s="22" t="str">
        <f>HYPERLINK("https://pbs.twimg.com/profile_images/908971632479391744/g6avVNrf_normal.jpg","View")</f>
        <v>View</v>
      </c>
      <c r="P3215" s="27"/>
    </row>
    <row r="3216">
      <c r="A3216" s="14">
        <v>43031.20486111111</v>
      </c>
      <c r="B3216" s="20" t="str">
        <f>HYPERLINK("https://twitter.com/SueLeugers","@SueLeugers")</f>
        <v>@SueLeugers</v>
      </c>
      <c r="C3216" s="21" t="s">
        <v>7550</v>
      </c>
      <c r="D3216" s="21" t="s">
        <v>6403</v>
      </c>
      <c r="E3216" s="22" t="str">
        <f>HYPERLINK("https://twitter.com/SueLeugers/status/922431158343913472","922431158343913472")</f>
        <v>922431158343913472</v>
      </c>
      <c r="F3216" s="23" t="s">
        <v>39</v>
      </c>
      <c r="G3216" s="24">
        <v>620.0</v>
      </c>
      <c r="H3216" s="24">
        <v>610.0</v>
      </c>
      <c r="I3216" s="24">
        <v>97.0</v>
      </c>
      <c r="J3216" s="24">
        <v>0.0</v>
      </c>
      <c r="K3216" s="23" t="s">
        <v>34</v>
      </c>
      <c r="L3216" s="25">
        <v>42705.88315972222</v>
      </c>
      <c r="M3216" s="26" t="s">
        <v>7551</v>
      </c>
      <c r="N3216" s="26" t="s">
        <v>7552</v>
      </c>
      <c r="O3216" s="22" t="str">
        <f>HYPERLINK("https://pbs.twimg.com/profile_images/826187524938878979/KjKVXHcE_normal.jpg","View")</f>
        <v>View</v>
      </c>
      <c r="P3216" s="27"/>
    </row>
    <row r="3217">
      <c r="A3217" s="14">
        <v>43031.204942129625</v>
      </c>
      <c r="B3217" s="20" t="str">
        <f>HYPERLINK("https://twitter.com/Obrah","@Obrah")</f>
        <v>@Obrah</v>
      </c>
      <c r="C3217" s="21" t="s">
        <v>7553</v>
      </c>
      <c r="D3217" s="21" t="s">
        <v>32</v>
      </c>
      <c r="E3217" s="22" t="str">
        <f>HYPERLINK("https://twitter.com/Obrah/status/922431186781302789","922431186781302789")</f>
        <v>922431186781302789</v>
      </c>
      <c r="F3217" s="23" t="s">
        <v>33</v>
      </c>
      <c r="G3217" s="24">
        <v>2578.0</v>
      </c>
      <c r="H3217" s="24">
        <v>1946.0</v>
      </c>
      <c r="I3217" s="24">
        <v>471.0</v>
      </c>
      <c r="J3217" s="24">
        <v>0.0</v>
      </c>
      <c r="K3217" s="23" t="s">
        <v>34</v>
      </c>
      <c r="L3217" s="25">
        <v>39922.03221064815</v>
      </c>
      <c r="M3217" s="26" t="s">
        <v>114</v>
      </c>
      <c r="N3217" s="26" t="s">
        <v>7554</v>
      </c>
      <c r="O3217" s="22" t="str">
        <f>HYPERLINK("https://pbs.twimg.com/profile_images/896299831534260224/oQBTkf9a_normal.jpg","View")</f>
        <v>View</v>
      </c>
      <c r="P3217" s="27"/>
    </row>
    <row r="3218">
      <c r="A3218" s="14">
        <v>43031.204942129625</v>
      </c>
      <c r="B3218" s="20" t="str">
        <f>HYPERLINK("https://twitter.com/tokyopotato120","@tokyopotato120")</f>
        <v>@tokyopotato120</v>
      </c>
      <c r="C3218" s="21" t="s">
        <v>7555</v>
      </c>
      <c r="D3218" s="21" t="s">
        <v>7556</v>
      </c>
      <c r="E3218" s="22" t="str">
        <f>HYPERLINK("https://twitter.com/tokyopotato120/status/922431186890194944","922431186890194944")</f>
        <v>922431186890194944</v>
      </c>
      <c r="F3218" s="23" t="s">
        <v>55</v>
      </c>
      <c r="G3218" s="24">
        <v>428.0</v>
      </c>
      <c r="H3218" s="24">
        <v>342.0</v>
      </c>
      <c r="I3218" s="24">
        <v>0.0</v>
      </c>
      <c r="J3218" s="24">
        <v>1.0</v>
      </c>
      <c r="K3218" s="23" t="s">
        <v>34</v>
      </c>
      <c r="L3218" s="25">
        <v>42270.05467592593</v>
      </c>
      <c r="M3218" s="26" t="s">
        <v>853</v>
      </c>
      <c r="N3218" s="26" t="s">
        <v>7557</v>
      </c>
      <c r="O3218" s="22" t="str">
        <f>HYPERLINK("https://pbs.twimg.com/profile_images/783913059349692416/nL3qGucI_normal.jpg","View")</f>
        <v>View</v>
      </c>
      <c r="P3218" s="27"/>
    </row>
    <row r="3219">
      <c r="A3219" s="14">
        <v>43031.20496527778</v>
      </c>
      <c r="B3219" s="20" t="str">
        <f>HYPERLINK("https://twitter.com/chahal_jora","@chahal_jora")</f>
        <v>@chahal_jora</v>
      </c>
      <c r="C3219" s="21" t="s">
        <v>7558</v>
      </c>
      <c r="D3219" s="21" t="s">
        <v>42</v>
      </c>
      <c r="E3219" s="22" t="str">
        <f>HYPERLINK("https://twitter.com/chahal_jora/status/922431193349439488","922431193349439488")</f>
        <v>922431193349439488</v>
      </c>
      <c r="F3219" s="23" t="s">
        <v>33</v>
      </c>
      <c r="G3219" s="24">
        <v>638.0</v>
      </c>
      <c r="H3219" s="24">
        <v>458.0</v>
      </c>
      <c r="I3219" s="24">
        <v>8501.0</v>
      </c>
      <c r="J3219" s="24">
        <v>0.0</v>
      </c>
      <c r="K3219" s="23" t="s">
        <v>34</v>
      </c>
      <c r="L3219" s="25">
        <v>42862.14304398149</v>
      </c>
      <c r="M3219" s="28"/>
      <c r="N3219" s="26" t="s">
        <v>7559</v>
      </c>
      <c r="O3219" s="22" t="str">
        <f>HYPERLINK("https://pbs.twimg.com/profile_images/863658543391617026/Vsg83BWR_normal.jpg","View")</f>
        <v>View</v>
      </c>
      <c r="P3219" s="27"/>
    </row>
    <row r="3220">
      <c r="A3220" s="14">
        <v>43031.20518518519</v>
      </c>
      <c r="B3220" s="20" t="str">
        <f>HYPERLINK("https://twitter.com/jinesh_rawal","@jinesh_rawal")</f>
        <v>@jinesh_rawal</v>
      </c>
      <c r="C3220" s="21" t="s">
        <v>7560</v>
      </c>
      <c r="D3220" s="21" t="s">
        <v>42</v>
      </c>
      <c r="E3220" s="22" t="str">
        <f>HYPERLINK("https://twitter.com/jinesh_rawal/status/922431274152640512","922431274152640512")</f>
        <v>922431274152640512</v>
      </c>
      <c r="F3220" s="23" t="s">
        <v>33</v>
      </c>
      <c r="G3220" s="24">
        <v>10.0</v>
      </c>
      <c r="H3220" s="24">
        <v>6.0</v>
      </c>
      <c r="I3220" s="24">
        <v>8501.0</v>
      </c>
      <c r="J3220" s="24">
        <v>0.0</v>
      </c>
      <c r="K3220" s="23" t="s">
        <v>34</v>
      </c>
      <c r="L3220" s="25">
        <v>42657.962847222225</v>
      </c>
      <c r="M3220" s="26" t="s">
        <v>7561</v>
      </c>
      <c r="N3220" s="26" t="s">
        <v>7562</v>
      </c>
      <c r="O3220" s="22" t="str">
        <f>HYPERLINK("https://pbs.twimg.com/profile_images/874639179866624005/F3yNWY1o_normal.jpg","View")</f>
        <v>View</v>
      </c>
      <c r="P3220" s="27"/>
    </row>
    <row r="3221">
      <c r="A3221" s="14">
        <v>43031.20521990741</v>
      </c>
      <c r="B3221" s="20" t="str">
        <f>HYPERLINK("https://twitter.com/aldoalo38070297","@aldoalo38070297")</f>
        <v>@aldoalo38070297</v>
      </c>
      <c r="C3221" s="21" t="s">
        <v>7563</v>
      </c>
      <c r="D3221" s="21" t="s">
        <v>7403</v>
      </c>
      <c r="E3221" s="22" t="str">
        <f>HYPERLINK("https://twitter.com/aldoalo38070297/status/922431285305360385","922431285305360385")</f>
        <v>922431285305360385</v>
      </c>
      <c r="F3221" s="23" t="s">
        <v>33</v>
      </c>
      <c r="G3221" s="24">
        <v>169.0</v>
      </c>
      <c r="H3221" s="24">
        <v>1844.0</v>
      </c>
      <c r="I3221" s="24">
        <v>29.0</v>
      </c>
      <c r="J3221" s="24">
        <v>0.0</v>
      </c>
      <c r="K3221" s="23" t="s">
        <v>34</v>
      </c>
      <c r="L3221" s="25">
        <v>41808.49048611111</v>
      </c>
      <c r="M3221" s="28"/>
      <c r="N3221" s="28"/>
      <c r="O3221" s="22" t="str">
        <f>HYPERLINK("https://pbs.twimg.com/profile_images/587980944667119616/CRdtpIrO_normal.jpg","View")</f>
        <v>View</v>
      </c>
      <c r="P3221" s="27"/>
    </row>
    <row r="3222">
      <c r="A3222" s="14">
        <v>43031.20521990741</v>
      </c>
      <c r="B3222" s="20" t="str">
        <f>HYPERLINK("https://twitter.com/MyAlliesNews","@MyAlliesNews")</f>
        <v>@MyAlliesNews</v>
      </c>
      <c r="C3222" s="21" t="s">
        <v>253</v>
      </c>
      <c r="D3222" s="21" t="s">
        <v>7564</v>
      </c>
      <c r="E3222" s="22" t="str">
        <f>HYPERLINK("https://twitter.com/MyAlliesNews/status/922431289134895105","922431289134895105")</f>
        <v>922431289134895105</v>
      </c>
      <c r="F3222" s="23" t="s">
        <v>255</v>
      </c>
      <c r="G3222" s="24">
        <v>569.0</v>
      </c>
      <c r="H3222" s="24">
        <v>0.0</v>
      </c>
      <c r="I3222" s="24">
        <v>0.0</v>
      </c>
      <c r="J3222" s="24">
        <v>0.0</v>
      </c>
      <c r="K3222" s="23" t="s">
        <v>34</v>
      </c>
      <c r="L3222" s="25">
        <v>41717.317083333335</v>
      </c>
      <c r="M3222" s="28"/>
      <c r="N3222" s="26" t="s">
        <v>256</v>
      </c>
      <c r="O3222" s="22" t="str">
        <f>HYPERLINK("https://pbs.twimg.com/profile_images/577892873095401473/dP2JPlyp_normal.png","View")</f>
        <v>View</v>
      </c>
      <c r="P3222" s="27"/>
    </row>
    <row r="3223">
      <c r="A3223" s="14">
        <v>43031.20525462963</v>
      </c>
      <c r="B3223" s="20" t="str">
        <f>HYPERLINK("https://twitter.com/RealTimeHack","@RealTimeHack")</f>
        <v>@RealTimeHack</v>
      </c>
      <c r="C3223" s="21" t="s">
        <v>3773</v>
      </c>
      <c r="D3223" s="21" t="s">
        <v>7565</v>
      </c>
      <c r="E3223" s="22" t="str">
        <f>HYPERLINK("https://twitter.com/RealTimeHack/status/922431300782444545","922431300782444545")</f>
        <v>922431300782444545</v>
      </c>
      <c r="F3223" s="23" t="s">
        <v>187</v>
      </c>
      <c r="G3223" s="24">
        <v>2189.0</v>
      </c>
      <c r="H3223" s="24">
        <v>1282.0</v>
      </c>
      <c r="I3223" s="24">
        <v>0.0</v>
      </c>
      <c r="J3223" s="24">
        <v>0.0</v>
      </c>
      <c r="K3223" s="23" t="s">
        <v>34</v>
      </c>
      <c r="L3223" s="25">
        <v>40641.39920138889</v>
      </c>
      <c r="M3223" s="26" t="s">
        <v>3775</v>
      </c>
      <c r="N3223" s="26" t="s">
        <v>3776</v>
      </c>
      <c r="O3223" s="22" t="str">
        <f>HYPERLINK("https://pbs.twimg.com/profile_images/1304602852/Nuke_Egg_normal.gif","View")</f>
        <v>View</v>
      </c>
      <c r="P3223" s="27"/>
    </row>
    <row r="3224">
      <c r="A3224" s="14">
        <v>43031.205312499995</v>
      </c>
      <c r="B3224" s="20" t="str">
        <f>HYPERLINK("https://twitter.com/SamirGahlaut","@SamirGahlaut")</f>
        <v>@SamirGahlaut</v>
      </c>
      <c r="C3224" s="21" t="s">
        <v>7566</v>
      </c>
      <c r="D3224" s="21" t="s">
        <v>163</v>
      </c>
      <c r="E3224" s="22" t="str">
        <f>HYPERLINK("https://twitter.com/SamirGahlaut/status/922431321011392512","922431321011392512")</f>
        <v>922431321011392512</v>
      </c>
      <c r="F3224" s="23" t="s">
        <v>33</v>
      </c>
      <c r="G3224" s="24">
        <v>242.0</v>
      </c>
      <c r="H3224" s="24">
        <v>262.0</v>
      </c>
      <c r="I3224" s="24">
        <v>1005.0</v>
      </c>
      <c r="J3224" s="24">
        <v>0.0</v>
      </c>
      <c r="K3224" s="23" t="s">
        <v>34</v>
      </c>
      <c r="L3224" s="25">
        <v>41135.442974537036</v>
      </c>
      <c r="M3224" s="28"/>
      <c r="N3224" s="28"/>
      <c r="O3224" s="22" t="str">
        <f>HYPERLINK("https://pbs.twimg.com/profile_images/835006490654175232/qUC5L7DB_normal.jpg","View")</f>
        <v>View</v>
      </c>
      <c r="P3224" s="27"/>
    </row>
    <row r="3225">
      <c r="A3225" s="14">
        <v>43031.20532407408</v>
      </c>
      <c r="B3225" s="20" t="str">
        <f>HYPERLINK("https://twitter.com/rbxyq","@rbxyq")</f>
        <v>@rbxyq</v>
      </c>
      <c r="C3225" s="21" t="s">
        <v>7567</v>
      </c>
      <c r="D3225" s="21" t="s">
        <v>1474</v>
      </c>
      <c r="E3225" s="22" t="str">
        <f>HYPERLINK("https://twitter.com/rbxyq/status/922431326145277953","922431326145277953")</f>
        <v>922431326145277953</v>
      </c>
      <c r="F3225" s="23" t="s">
        <v>39</v>
      </c>
      <c r="G3225" s="24">
        <v>3835.0</v>
      </c>
      <c r="H3225" s="24">
        <v>5001.0</v>
      </c>
      <c r="I3225" s="24">
        <v>29.0</v>
      </c>
      <c r="J3225" s="24">
        <v>0.0</v>
      </c>
      <c r="K3225" s="23" t="s">
        <v>34</v>
      </c>
      <c r="L3225" s="25">
        <v>40339.21524305556</v>
      </c>
      <c r="M3225" s="26" t="s">
        <v>7173</v>
      </c>
      <c r="N3225" s="26" t="s">
        <v>7568</v>
      </c>
      <c r="O3225" s="22" t="str">
        <f>HYPERLINK("https://pbs.twimg.com/profile_images/709335845979889665/jd0PUgFJ_normal.jpg","View")</f>
        <v>View</v>
      </c>
      <c r="P3225" s="27"/>
    </row>
    <row r="3226">
      <c r="A3226" s="14">
        <v>43031.20538194444</v>
      </c>
      <c r="B3226" s="20" t="str">
        <f>HYPERLINK("https://twitter.com/aiammaia","@aiammaia")</f>
        <v>@aiammaia</v>
      </c>
      <c r="C3226" s="21" t="s">
        <v>6676</v>
      </c>
      <c r="D3226" s="21" t="s">
        <v>7569</v>
      </c>
      <c r="E3226" s="22" t="str">
        <f>HYPERLINK("https://twitter.com/aiammaia/status/922431346622033920","922431346622033920")</f>
        <v>922431346622033920</v>
      </c>
      <c r="F3226" s="23" t="s">
        <v>55</v>
      </c>
      <c r="G3226" s="24">
        <v>573.0</v>
      </c>
      <c r="H3226" s="24">
        <v>907.0</v>
      </c>
      <c r="I3226" s="24">
        <v>0.0</v>
      </c>
      <c r="J3226" s="24">
        <v>0.0</v>
      </c>
      <c r="K3226" s="23" t="s">
        <v>34</v>
      </c>
      <c r="L3226" s="25">
        <v>39646.75938657408</v>
      </c>
      <c r="M3226" s="26" t="s">
        <v>6678</v>
      </c>
      <c r="N3226" s="26" t="s">
        <v>6679</v>
      </c>
      <c r="O3226" s="22" t="str">
        <f>HYPERLINK("https://pbs.twimg.com/profile_images/3136519909/524e606c9de724d386a88b49f4cfa323_normal.png","View")</f>
        <v>View</v>
      </c>
      <c r="P3226" s="27"/>
    </row>
    <row r="3227">
      <c r="A3227" s="14">
        <v>43031.20539351852</v>
      </c>
      <c r="B3227" s="20" t="str">
        <f>HYPERLINK("https://twitter.com/rajnishkumar065","@rajnishkumar065")</f>
        <v>@rajnishkumar065</v>
      </c>
      <c r="C3227" s="21" t="s">
        <v>7570</v>
      </c>
      <c r="D3227" s="21" t="s">
        <v>2861</v>
      </c>
      <c r="E3227" s="22" t="str">
        <f>HYPERLINK("https://twitter.com/rajnishkumar065/status/922431349729894400","922431349729894400")</f>
        <v>922431349729894400</v>
      </c>
      <c r="F3227" s="23" t="s">
        <v>33</v>
      </c>
      <c r="G3227" s="24">
        <v>31.0</v>
      </c>
      <c r="H3227" s="24">
        <v>136.0</v>
      </c>
      <c r="I3227" s="24">
        <v>40.0</v>
      </c>
      <c r="J3227" s="24">
        <v>0.0</v>
      </c>
      <c r="K3227" s="23" t="s">
        <v>34</v>
      </c>
      <c r="L3227" s="25">
        <v>42473.49791666667</v>
      </c>
      <c r="M3227" s="28"/>
      <c r="N3227" s="28"/>
      <c r="O3227" s="22" t="str">
        <f>HYPERLINK("https://pbs.twimg.com/profile_images/720326124383768576/yfqJ0XMF_normal.jpg","View")</f>
        <v>View</v>
      </c>
      <c r="P3227" s="27"/>
    </row>
    <row r="3228">
      <c r="A3228" s="14">
        <v>43031.205613425926</v>
      </c>
      <c r="B3228" s="20" t="str">
        <f>HYPERLINK("https://twitter.com/mishak81","@mishak81")</f>
        <v>@mishak81</v>
      </c>
      <c r="C3228" s="21" t="s">
        <v>7571</v>
      </c>
      <c r="D3228" s="21" t="s">
        <v>42</v>
      </c>
      <c r="E3228" s="22" t="str">
        <f>HYPERLINK("https://twitter.com/mishak81/status/922431427995615232","922431427995615232")</f>
        <v>922431427995615232</v>
      </c>
      <c r="F3228" s="23" t="s">
        <v>39</v>
      </c>
      <c r="G3228" s="24">
        <v>277.0</v>
      </c>
      <c r="H3228" s="24">
        <v>559.0</v>
      </c>
      <c r="I3228" s="24">
        <v>8501.0</v>
      </c>
      <c r="J3228" s="24">
        <v>0.0</v>
      </c>
      <c r="K3228" s="23" t="s">
        <v>34</v>
      </c>
      <c r="L3228" s="25">
        <v>40646.03459490741</v>
      </c>
      <c r="M3228" s="26" t="s">
        <v>853</v>
      </c>
      <c r="N3228" s="28"/>
      <c r="O3228" s="22" t="str">
        <f>HYPERLINK("https://pbs.twimg.com/profile_images/863239366289768448/idpEV0Qt_normal.jpg","View")</f>
        <v>View</v>
      </c>
      <c r="P3228" s="27"/>
    </row>
    <row r="3229">
      <c r="A3229" s="14">
        <v>43031.20571759259</v>
      </c>
      <c r="B3229" s="20" t="str">
        <f>HYPERLINK("https://twitter.com/MGaundar","@MGaundar")</f>
        <v>@MGaundar</v>
      </c>
      <c r="C3229" s="21" t="s">
        <v>7572</v>
      </c>
      <c r="D3229" s="21" t="s">
        <v>42</v>
      </c>
      <c r="E3229" s="22" t="str">
        <f>HYPERLINK("https://twitter.com/MGaundar/status/922431469598924800","922431469598924800")</f>
        <v>922431469598924800</v>
      </c>
      <c r="F3229" s="23" t="s">
        <v>33</v>
      </c>
      <c r="G3229" s="24">
        <v>1.0</v>
      </c>
      <c r="H3229" s="24">
        <v>87.0</v>
      </c>
      <c r="I3229" s="24">
        <v>8501.0</v>
      </c>
      <c r="J3229" s="24">
        <v>0.0</v>
      </c>
      <c r="K3229" s="23" t="s">
        <v>34</v>
      </c>
      <c r="L3229" s="25">
        <v>42932.32302083333</v>
      </c>
      <c r="M3229" s="28"/>
      <c r="N3229" s="28"/>
      <c r="O3229" s="22" t="str">
        <f>HYPERLINK("https://pbs.twimg.com/profile_images/922783391052808192/LES_TGkq_normal.jpg","View")</f>
        <v>View</v>
      </c>
      <c r="P3229" s="27"/>
    </row>
    <row r="3230">
      <c r="A3230" s="14">
        <v>43031.20572916667</v>
      </c>
      <c r="B3230" s="20" t="str">
        <f>HYPERLINK("https://twitter.com/Sir_Captain_","@Sir_Captain_")</f>
        <v>@Sir_Captain_</v>
      </c>
      <c r="C3230" s="21" t="s">
        <v>7573</v>
      </c>
      <c r="D3230" s="21" t="s">
        <v>42</v>
      </c>
      <c r="E3230" s="22" t="str">
        <f>HYPERLINK("https://twitter.com/Sir_Captain_/status/922431471914139648","922431471914139648")</f>
        <v>922431471914139648</v>
      </c>
      <c r="F3230" s="23" t="s">
        <v>33</v>
      </c>
      <c r="G3230" s="24">
        <v>6.0</v>
      </c>
      <c r="H3230" s="24">
        <v>26.0</v>
      </c>
      <c r="I3230" s="24">
        <v>8501.0</v>
      </c>
      <c r="J3230" s="24">
        <v>0.0</v>
      </c>
      <c r="K3230" s="23" t="s">
        <v>34</v>
      </c>
      <c r="L3230" s="25">
        <v>42000.10854166667</v>
      </c>
      <c r="M3230" s="26" t="s">
        <v>7574</v>
      </c>
      <c r="N3230" s="26" t="s">
        <v>7575</v>
      </c>
      <c r="O3230" s="22" t="str">
        <f>HYPERLINK("https://pbs.twimg.com/profile_images/919471535680667648/lxed5snI_normal.jpg","View")</f>
        <v>View</v>
      </c>
      <c r="P3230" s="27"/>
    </row>
    <row r="3231">
      <c r="A3231" s="14">
        <v>43031.20576388889</v>
      </c>
      <c r="B3231" s="20" t="str">
        <f>HYPERLINK("https://twitter.com/TheMediaIgnores","@TheMediaIgnores")</f>
        <v>@TheMediaIgnores</v>
      </c>
      <c r="C3231" s="21" t="s">
        <v>1369</v>
      </c>
      <c r="D3231" s="21" t="s">
        <v>7576</v>
      </c>
      <c r="E3231" s="22" t="str">
        <f>HYPERLINK("https://twitter.com/TheMediaIgnores/status/922431485050785792","922431485050785792")</f>
        <v>922431485050785792</v>
      </c>
      <c r="F3231" s="23" t="s">
        <v>187</v>
      </c>
      <c r="G3231" s="24">
        <v>4167.0</v>
      </c>
      <c r="H3231" s="24">
        <v>3931.0</v>
      </c>
      <c r="I3231" s="24">
        <v>0.0</v>
      </c>
      <c r="J3231" s="24">
        <v>0.0</v>
      </c>
      <c r="K3231" s="23" t="s">
        <v>34</v>
      </c>
      <c r="L3231" s="25">
        <v>39989.104375</v>
      </c>
      <c r="M3231" s="28"/>
      <c r="N3231" s="28"/>
      <c r="O3231" s="22" t="str">
        <f>HYPERLINK("https://pbs.twimg.com/profile_images/580918345215688704/RY-H6QSt_normal.jpg","View")</f>
        <v>View</v>
      </c>
      <c r="P3231" s="27"/>
    </row>
    <row r="3232">
      <c r="A3232" s="14">
        <v>43031.20582175926</v>
      </c>
      <c r="B3232" s="20" t="str">
        <f>HYPERLINK("https://twitter.com/rahul_singh62","@rahul_singh62")</f>
        <v>@rahul_singh62</v>
      </c>
      <c r="C3232" s="21" t="s">
        <v>7577</v>
      </c>
      <c r="D3232" s="21" t="s">
        <v>42</v>
      </c>
      <c r="E3232" s="22" t="str">
        <f>HYPERLINK("https://twitter.com/rahul_singh62/status/922431503639777280","922431503639777280")</f>
        <v>922431503639777280</v>
      </c>
      <c r="F3232" s="23" t="s">
        <v>39</v>
      </c>
      <c r="G3232" s="24">
        <v>15.0</v>
      </c>
      <c r="H3232" s="24">
        <v>158.0</v>
      </c>
      <c r="I3232" s="24">
        <v>8501.0</v>
      </c>
      <c r="J3232" s="24">
        <v>0.0</v>
      </c>
      <c r="K3232" s="23" t="s">
        <v>34</v>
      </c>
      <c r="L3232" s="25">
        <v>42732.89059027778</v>
      </c>
      <c r="M3232" s="26" t="s">
        <v>2770</v>
      </c>
      <c r="N3232" s="26" t="s">
        <v>7578</v>
      </c>
      <c r="O3232" s="22" t="str">
        <f>HYPERLINK("https://pbs.twimg.com/profile_images/814350677618999296/OnkgQwoh_normal.jpg","View")</f>
        <v>View</v>
      </c>
      <c r="P3232" s="27"/>
    </row>
    <row r="3233">
      <c r="A3233" s="14">
        <v>43031.20586805556</v>
      </c>
      <c r="B3233" s="20" t="str">
        <f>HYPERLINK("https://twitter.com/NAR","@NAR")</f>
        <v>@NAR</v>
      </c>
      <c r="C3233" s="21" t="s">
        <v>4255</v>
      </c>
      <c r="D3233" s="21" t="s">
        <v>7579</v>
      </c>
      <c r="E3233" s="22" t="str">
        <f>HYPERLINK("https://twitter.com/NAR/status/922431522354774017","922431522354774017")</f>
        <v>922431522354774017</v>
      </c>
      <c r="F3233" s="23" t="s">
        <v>4257</v>
      </c>
      <c r="G3233" s="24">
        <v>56998.0</v>
      </c>
      <c r="H3233" s="24">
        <v>23.0</v>
      </c>
      <c r="I3233" s="24">
        <v>10.0</v>
      </c>
      <c r="J3233" s="24">
        <v>8.0</v>
      </c>
      <c r="K3233" s="23" t="s">
        <v>34</v>
      </c>
      <c r="L3233" s="25">
        <v>40890.88686342593</v>
      </c>
      <c r="M3233" s="26" t="s">
        <v>923</v>
      </c>
      <c r="N3233" s="26" t="s">
        <v>4258</v>
      </c>
      <c r="O3233" s="22" t="str">
        <f>HYPERLINK("https://pbs.twimg.com/profile_images/669688096879841280/kyJYc3j-_normal.png","View")</f>
        <v>View</v>
      </c>
      <c r="P3233" s="27"/>
    </row>
    <row r="3234">
      <c r="A3234" s="14">
        <v>43031.20596064815</v>
      </c>
      <c r="B3234" s="20" t="str">
        <f>HYPERLINK("https://twitter.com/OxfordEconomics","@OxfordEconomics")</f>
        <v>@OxfordEconomics</v>
      </c>
      <c r="C3234" s="21" t="s">
        <v>7580</v>
      </c>
      <c r="D3234" s="21" t="s">
        <v>7581</v>
      </c>
      <c r="E3234" s="22" t="str">
        <f>HYPERLINK("https://twitter.com/OxfordEconomics/status/922431555720622081","922431555720622081")</f>
        <v>922431555720622081</v>
      </c>
      <c r="F3234" s="23" t="s">
        <v>7582</v>
      </c>
      <c r="G3234" s="24">
        <v>8635.0</v>
      </c>
      <c r="H3234" s="24">
        <v>559.0</v>
      </c>
      <c r="I3234" s="24">
        <v>1.0</v>
      </c>
      <c r="J3234" s="24">
        <v>4.0</v>
      </c>
      <c r="K3234" s="23" t="s">
        <v>34</v>
      </c>
      <c r="L3234" s="25">
        <v>40394.06855324074</v>
      </c>
      <c r="M3234" s="26" t="s">
        <v>2068</v>
      </c>
      <c r="N3234" s="26" t="s">
        <v>7583</v>
      </c>
      <c r="O3234" s="22" t="str">
        <f>HYPERLINK("https://pbs.twimg.com/profile_images/920683697883541504/urT_-wn4_normal.jpg","View")</f>
        <v>View</v>
      </c>
      <c r="P3234" s="27"/>
    </row>
    <row r="3235">
      <c r="A3235" s="14">
        <v>43031.20596064815</v>
      </c>
      <c r="B3235" s="20" t="str">
        <f>HYPERLINK("https://twitter.com/AdrianCooperOE","@AdrianCooperOE")</f>
        <v>@AdrianCooperOE</v>
      </c>
      <c r="C3235" s="21" t="s">
        <v>7584</v>
      </c>
      <c r="D3235" s="21" t="s">
        <v>7585</v>
      </c>
      <c r="E3235" s="22" t="str">
        <f>HYPERLINK("https://twitter.com/AdrianCooperOE/status/922431557243162626","922431557243162626")</f>
        <v>922431557243162626</v>
      </c>
      <c r="F3235" s="23" t="s">
        <v>7582</v>
      </c>
      <c r="G3235" s="24">
        <v>272.0</v>
      </c>
      <c r="H3235" s="24">
        <v>37.0</v>
      </c>
      <c r="I3235" s="24">
        <v>0.0</v>
      </c>
      <c r="J3235" s="24">
        <v>0.0</v>
      </c>
      <c r="K3235" s="23" t="s">
        <v>34</v>
      </c>
      <c r="L3235" s="25">
        <v>41754.52799768519</v>
      </c>
      <c r="M3235" s="28"/>
      <c r="N3235" s="26" t="s">
        <v>7586</v>
      </c>
      <c r="O3235" s="22" t="str">
        <f>HYPERLINK("https://pbs.twimg.com/profile_images/459781542324080641/6TCaG24e_normal.jpeg","View")</f>
        <v>View</v>
      </c>
      <c r="P3235" s="27"/>
    </row>
    <row r="3236">
      <c r="A3236" s="14">
        <v>43031.20597222222</v>
      </c>
      <c r="B3236" s="20" t="str">
        <f>HYPERLINK("https://twitter.com/leland_sandfort","@leland_sandfort")</f>
        <v>@leland_sandfort</v>
      </c>
      <c r="C3236" s="21" t="s">
        <v>7587</v>
      </c>
      <c r="D3236" s="21" t="s">
        <v>7588</v>
      </c>
      <c r="E3236" s="22" t="str">
        <f>HYPERLINK("https://twitter.com/leland_sandfort/status/922431560644808704","922431560644808704")</f>
        <v>922431560644808704</v>
      </c>
      <c r="F3236" s="23" t="s">
        <v>39</v>
      </c>
      <c r="G3236" s="24">
        <v>229.0</v>
      </c>
      <c r="H3236" s="24">
        <v>188.0</v>
      </c>
      <c r="I3236" s="24">
        <v>5.0</v>
      </c>
      <c r="J3236" s="24">
        <v>0.0</v>
      </c>
      <c r="K3236" s="23" t="s">
        <v>34</v>
      </c>
      <c r="L3236" s="25">
        <v>42639.67989583334</v>
      </c>
      <c r="M3236" s="26" t="s">
        <v>7589</v>
      </c>
      <c r="N3236" s="26" t="s">
        <v>7590</v>
      </c>
      <c r="O3236" s="22" t="str">
        <f>HYPERLINK("https://pbs.twimg.com/profile_images/780569200553230336/17A9xmgj_normal.jpg","View")</f>
        <v>View</v>
      </c>
      <c r="P3236" s="27"/>
    </row>
    <row r="3237">
      <c r="A3237" s="14">
        <v>43031.20601851852</v>
      </c>
      <c r="B3237" s="20" t="str">
        <f>HYPERLINK("https://twitter.com/purada0412","@purada0412")</f>
        <v>@purada0412</v>
      </c>
      <c r="C3237" s="21" t="s">
        <v>7591</v>
      </c>
      <c r="D3237" s="21" t="s">
        <v>6403</v>
      </c>
      <c r="E3237" s="22" t="str">
        <f>HYPERLINK("https://twitter.com/purada0412/status/922431574703988742","922431574703988742")</f>
        <v>922431574703988742</v>
      </c>
      <c r="F3237" s="23" t="s">
        <v>33</v>
      </c>
      <c r="G3237" s="24">
        <v>2477.0</v>
      </c>
      <c r="H3237" s="24">
        <v>2765.0</v>
      </c>
      <c r="I3237" s="24">
        <v>97.0</v>
      </c>
      <c r="J3237" s="24">
        <v>0.0</v>
      </c>
      <c r="K3237" s="23" t="s">
        <v>34</v>
      </c>
      <c r="L3237" s="25">
        <v>42247.12362268519</v>
      </c>
      <c r="M3237" s="26" t="s">
        <v>660</v>
      </c>
      <c r="N3237" s="26" t="s">
        <v>7592</v>
      </c>
      <c r="O3237" s="22" t="str">
        <f>HYPERLINK("https://pbs.twimg.com/profile_images/920628829160222722/3PiS7_lp_normal.jpg","View")</f>
        <v>View</v>
      </c>
      <c r="P3237" s="27"/>
    </row>
    <row r="3238">
      <c r="A3238" s="14">
        <v>43031.206041666665</v>
      </c>
      <c r="B3238" s="20" t="str">
        <f>HYPERLINK("https://twitter.com/susanou1211","@susanou1211")</f>
        <v>@susanou1211</v>
      </c>
      <c r="C3238" s="21" t="s">
        <v>7593</v>
      </c>
      <c r="D3238" s="21" t="s">
        <v>7594</v>
      </c>
      <c r="E3238" s="22" t="str">
        <f>HYPERLINK("https://twitter.com/susanou1211/status/922431586204655617","922431586204655617")</f>
        <v>922431586204655617</v>
      </c>
      <c r="F3238" s="23" t="s">
        <v>39</v>
      </c>
      <c r="G3238" s="24">
        <v>86.0</v>
      </c>
      <c r="H3238" s="24">
        <v>528.0</v>
      </c>
      <c r="I3238" s="24">
        <v>10.0</v>
      </c>
      <c r="J3238" s="24">
        <v>0.0</v>
      </c>
      <c r="K3238" s="23" t="s">
        <v>34</v>
      </c>
      <c r="L3238" s="25">
        <v>42875.334768518514</v>
      </c>
      <c r="M3238" s="26" t="s">
        <v>1110</v>
      </c>
      <c r="N3238" s="26" t="s">
        <v>7595</v>
      </c>
      <c r="O3238" s="22" t="str">
        <f>HYPERLINK("https://pbs.twimg.com/profile_images/922987166426316800/3gGf5Ghs_normal.jpg","View")</f>
        <v>View</v>
      </c>
      <c r="P3238" s="27"/>
    </row>
    <row r="3239">
      <c r="A3239" s="14">
        <v>43031.20605324074</v>
      </c>
      <c r="B3239" s="20" t="str">
        <f>HYPERLINK("https://twitter.com/ParthPa07241800","@ParthPa07241800")</f>
        <v>@ParthPa07241800</v>
      </c>
      <c r="C3239" s="21" t="s">
        <v>7596</v>
      </c>
      <c r="D3239" s="21" t="s">
        <v>42</v>
      </c>
      <c r="E3239" s="22" t="str">
        <f>HYPERLINK("https://twitter.com/ParthPa07241800/status/922431590155931648","922431590155931648")</f>
        <v>922431590155931648</v>
      </c>
      <c r="F3239" s="23" t="s">
        <v>33</v>
      </c>
      <c r="G3239" s="24">
        <v>2235.0</v>
      </c>
      <c r="H3239" s="24">
        <v>4319.0</v>
      </c>
      <c r="I3239" s="24">
        <v>8501.0</v>
      </c>
      <c r="J3239" s="24">
        <v>0.0</v>
      </c>
      <c r="K3239" s="23" t="s">
        <v>34</v>
      </c>
      <c r="L3239" s="25">
        <v>42127.30385416667</v>
      </c>
      <c r="M3239" s="26" t="s">
        <v>7597</v>
      </c>
      <c r="N3239" s="26" t="s">
        <v>7598</v>
      </c>
      <c r="O3239" s="22" t="str">
        <f>HYPERLINK("https://pbs.twimg.com/profile_images/835507728923635714/YeeY3rAm_normal.jpg","View")</f>
        <v>View</v>
      </c>
      <c r="P3239" s="27"/>
    </row>
    <row r="3240">
      <c r="A3240" s="14">
        <v>43031.20606481482</v>
      </c>
      <c r="B3240" s="20" t="str">
        <f>HYPERLINK("https://twitter.com/Team_Brophy","@Team_Brophy")</f>
        <v>@Team_Brophy</v>
      </c>
      <c r="C3240" s="21" t="s">
        <v>7599</v>
      </c>
      <c r="D3240" s="21" t="s">
        <v>6670</v>
      </c>
      <c r="E3240" s="22" t="str">
        <f>HYPERLINK("https://twitter.com/Team_Brophy/status/922431591846240256","922431591846240256")</f>
        <v>922431591846240256</v>
      </c>
      <c r="F3240" s="23" t="s">
        <v>39</v>
      </c>
      <c r="G3240" s="24">
        <v>289.0</v>
      </c>
      <c r="H3240" s="24">
        <v>99.0</v>
      </c>
      <c r="I3240" s="24">
        <v>18.0</v>
      </c>
      <c r="J3240" s="24">
        <v>0.0</v>
      </c>
      <c r="K3240" s="23" t="s">
        <v>34</v>
      </c>
      <c r="L3240" s="25">
        <v>41109.323645833334</v>
      </c>
      <c r="M3240" s="28"/>
      <c r="N3240" s="26" t="s">
        <v>7600</v>
      </c>
      <c r="O3240" s="22" t="str">
        <f>HYPERLINK("https://pbs.twimg.com/profile_images/2412347633/DSC_0183_crop1_normal.jpg","View")</f>
        <v>View</v>
      </c>
      <c r="P3240" s="27"/>
    </row>
    <row r="3241">
      <c r="A3241" s="14">
        <v>43031.20611111111</v>
      </c>
      <c r="B3241" s="20" t="str">
        <f>HYPERLINK("https://twitter.com/ShruteeSarkar","@ShruteeSarkar")</f>
        <v>@ShruteeSarkar</v>
      </c>
      <c r="C3241" s="21" t="s">
        <v>7601</v>
      </c>
      <c r="D3241" s="21" t="s">
        <v>7602</v>
      </c>
      <c r="E3241" s="22" t="str">
        <f>HYPERLINK("https://twitter.com/ShruteeSarkar/status/922431611630530560","922431611630530560")</f>
        <v>922431611630530560</v>
      </c>
      <c r="F3241" s="23" t="s">
        <v>39</v>
      </c>
      <c r="G3241" s="24">
        <v>24.0</v>
      </c>
      <c r="H3241" s="24">
        <v>209.0</v>
      </c>
      <c r="I3241" s="24">
        <v>7.0</v>
      </c>
      <c r="J3241" s="24">
        <v>0.0</v>
      </c>
      <c r="K3241" s="23" t="s">
        <v>34</v>
      </c>
      <c r="L3241" s="25">
        <v>43012.165185185186</v>
      </c>
      <c r="M3241" s="26" t="s">
        <v>7603</v>
      </c>
      <c r="N3241" s="26" t="s">
        <v>7604</v>
      </c>
      <c r="O3241" s="22" t="str">
        <f>HYPERLINK("https://pbs.twimg.com/profile_images/915532510913732608/-tVwKCpU_normal.jpg","View")</f>
        <v>View</v>
      </c>
      <c r="P3241" s="27"/>
    </row>
    <row r="3242">
      <c r="A3242" s="14">
        <v>43031.20612268518</v>
      </c>
      <c r="B3242" s="20" t="str">
        <f>HYPERLINK("https://twitter.com/soniaerasmus","@soniaerasmus")</f>
        <v>@soniaerasmus</v>
      </c>
      <c r="C3242" s="21" t="s">
        <v>7605</v>
      </c>
      <c r="D3242" s="21" t="s">
        <v>900</v>
      </c>
      <c r="E3242" s="22" t="str">
        <f>HYPERLINK("https://twitter.com/soniaerasmus/status/922431614763913216","922431614763913216")</f>
        <v>922431614763913216</v>
      </c>
      <c r="F3242" s="23" t="s">
        <v>33</v>
      </c>
      <c r="G3242" s="24">
        <v>6494.0</v>
      </c>
      <c r="H3242" s="24">
        <v>7126.0</v>
      </c>
      <c r="I3242" s="24">
        <v>8.0</v>
      </c>
      <c r="J3242" s="24">
        <v>0.0</v>
      </c>
      <c r="K3242" s="23" t="s">
        <v>34</v>
      </c>
      <c r="L3242" s="25">
        <v>41757.13962962963</v>
      </c>
      <c r="M3242" s="28"/>
      <c r="N3242" s="26" t="s">
        <v>7606</v>
      </c>
      <c r="O3242" s="22" t="str">
        <f>HYPERLINK("https://pbs.twimg.com/profile_images/903522897041469441/hwN-z6bt_normal.jpg","View")</f>
        <v>View</v>
      </c>
      <c r="P3242" s="27"/>
    </row>
    <row r="3243">
      <c r="A3243" s="14">
        <v>43031.20612268518</v>
      </c>
      <c r="B3243" s="20" t="str">
        <f>HYPERLINK("https://twitter.com/tweetnewsfeeds","@tweetnewsfeeds")</f>
        <v>@tweetnewsfeeds</v>
      </c>
      <c r="C3243" s="21" t="s">
        <v>7607</v>
      </c>
      <c r="D3243" s="21" t="s">
        <v>7608</v>
      </c>
      <c r="E3243" s="22" t="str">
        <f>HYPERLINK("https://twitter.com/tweetnewsfeeds/status/922431616055697409","922431616055697409")</f>
        <v>922431616055697409</v>
      </c>
      <c r="F3243" s="23" t="s">
        <v>91</v>
      </c>
      <c r="G3243" s="24">
        <v>502.0</v>
      </c>
      <c r="H3243" s="24">
        <v>285.0</v>
      </c>
      <c r="I3243" s="24">
        <v>2.0</v>
      </c>
      <c r="J3243" s="24">
        <v>0.0</v>
      </c>
      <c r="K3243" s="23" t="s">
        <v>34</v>
      </c>
      <c r="L3243" s="25">
        <v>41344.28519675926</v>
      </c>
      <c r="M3243" s="28"/>
      <c r="N3243" s="26" t="s">
        <v>7609</v>
      </c>
      <c r="O3243" s="22" t="str">
        <f>HYPERLINK("https://pbs.twimg.com/profile_images/3366648794/d336fcda4d7e97889528c6aaf95e1866_normal.jpeg","View")</f>
        <v>View</v>
      </c>
      <c r="P3243" s="27"/>
    </row>
    <row r="3244">
      <c r="A3244" s="14">
        <v>43031.206145833334</v>
      </c>
      <c r="B3244" s="20" t="str">
        <f>HYPERLINK("https://twitter.com/kimokumu","@kimokumu")</f>
        <v>@kimokumu</v>
      </c>
      <c r="C3244" s="21" t="s">
        <v>7610</v>
      </c>
      <c r="D3244" s="21" t="s">
        <v>32</v>
      </c>
      <c r="E3244" s="22" t="str">
        <f>HYPERLINK("https://twitter.com/kimokumu/status/922431624188514305","922431624188514305")</f>
        <v>922431624188514305</v>
      </c>
      <c r="F3244" s="23" t="s">
        <v>55</v>
      </c>
      <c r="G3244" s="24">
        <v>156.0</v>
      </c>
      <c r="H3244" s="24">
        <v>778.0</v>
      </c>
      <c r="I3244" s="24">
        <v>471.0</v>
      </c>
      <c r="J3244" s="24">
        <v>0.0</v>
      </c>
      <c r="K3244" s="23" t="s">
        <v>34</v>
      </c>
      <c r="L3244" s="25">
        <v>40417.18709490741</v>
      </c>
      <c r="M3244" s="26" t="s">
        <v>1457</v>
      </c>
      <c r="N3244" s="26" t="s">
        <v>7611</v>
      </c>
      <c r="O3244" s="22" t="str">
        <f>HYPERLINK("https://pbs.twimg.com/profile_images/755606632298577921/8mZyFyPe_normal.jpg","View")</f>
        <v>View</v>
      </c>
      <c r="P3244" s="27"/>
    </row>
    <row r="3245">
      <c r="A3245" s="14">
        <v>43031.20627314815</v>
      </c>
      <c r="B3245" s="20" t="str">
        <f>HYPERLINK("https://twitter.com/AMelesky","@AMelesky")</f>
        <v>@AMelesky</v>
      </c>
      <c r="C3245" s="21" t="s">
        <v>7612</v>
      </c>
      <c r="D3245" s="21" t="s">
        <v>7403</v>
      </c>
      <c r="E3245" s="22" t="str">
        <f>HYPERLINK("https://twitter.com/AMelesky/status/922431667477864448","922431667477864448")</f>
        <v>922431667477864448</v>
      </c>
      <c r="F3245" s="23" t="s">
        <v>39</v>
      </c>
      <c r="G3245" s="24">
        <v>130.0</v>
      </c>
      <c r="H3245" s="24">
        <v>153.0</v>
      </c>
      <c r="I3245" s="24">
        <v>29.0</v>
      </c>
      <c r="J3245" s="24">
        <v>0.0</v>
      </c>
      <c r="K3245" s="23" t="s">
        <v>34</v>
      </c>
      <c r="L3245" s="25">
        <v>41425.6684837963</v>
      </c>
      <c r="M3245" s="28"/>
      <c r="N3245" s="26" t="s">
        <v>7613</v>
      </c>
      <c r="O3245" s="22" t="str">
        <f>HYPERLINK("https://pbs.twimg.com/profile_images/830652470699360256/CExogZ0M_normal.jpg","View")</f>
        <v>View</v>
      </c>
      <c r="P3245" s="27"/>
    </row>
    <row r="3246">
      <c r="A3246" s="14">
        <v>43031.20631944445</v>
      </c>
      <c r="B3246" s="20" t="str">
        <f>HYPERLINK("https://twitter.com/iVirajVachheta","@iVirajVachheta")</f>
        <v>@iVirajVachheta</v>
      </c>
      <c r="C3246" s="21" t="s">
        <v>7614</v>
      </c>
      <c r="D3246" s="21" t="s">
        <v>42</v>
      </c>
      <c r="E3246" s="22" t="str">
        <f>HYPERLINK("https://twitter.com/iVirajVachheta/status/922431687241252864","922431687241252864")</f>
        <v>922431687241252864</v>
      </c>
      <c r="F3246" s="23" t="s">
        <v>39</v>
      </c>
      <c r="G3246" s="24">
        <v>325.0</v>
      </c>
      <c r="H3246" s="24">
        <v>227.0</v>
      </c>
      <c r="I3246" s="24">
        <v>8501.0</v>
      </c>
      <c r="J3246" s="24">
        <v>0.0</v>
      </c>
      <c r="K3246" s="23" t="s">
        <v>34</v>
      </c>
      <c r="L3246" s="25">
        <v>42130.345497685186</v>
      </c>
      <c r="M3246" s="28"/>
      <c r="N3246" s="26" t="s">
        <v>7615</v>
      </c>
      <c r="O3246" s="22" t="str">
        <f>HYPERLINK("https://pbs.twimg.com/profile_images/859472915762434048/iRP9bcoT_normal.jpg","View")</f>
        <v>View</v>
      </c>
      <c r="P3246" s="27"/>
    </row>
    <row r="3247">
      <c r="A3247" s="14">
        <v>43031.206412037034</v>
      </c>
      <c r="B3247" s="20" t="str">
        <f>HYPERLINK("https://twitter.com/kotaknaren","@kotaknaren")</f>
        <v>@kotaknaren</v>
      </c>
      <c r="C3247" s="21" t="s">
        <v>2729</v>
      </c>
      <c r="D3247" s="21" t="s">
        <v>7616</v>
      </c>
      <c r="E3247" s="22" t="str">
        <f>HYPERLINK("https://twitter.com/kotaknaren/status/922431719235620865","922431719235620865")</f>
        <v>922431719235620865</v>
      </c>
      <c r="F3247" s="23" t="s">
        <v>187</v>
      </c>
      <c r="G3247" s="24">
        <v>995.0</v>
      </c>
      <c r="H3247" s="24">
        <v>2681.0</v>
      </c>
      <c r="I3247" s="24">
        <v>0.0</v>
      </c>
      <c r="J3247" s="24">
        <v>0.0</v>
      </c>
      <c r="K3247" s="23" t="s">
        <v>34</v>
      </c>
      <c r="L3247" s="25">
        <v>40248.48484953704</v>
      </c>
      <c r="M3247" s="26" t="s">
        <v>207</v>
      </c>
      <c r="N3247" s="26" t="s">
        <v>2731</v>
      </c>
      <c r="O3247" s="22" t="str">
        <f>HYPERLINK("https://pbs.twimg.com/profile_images/813794228098564096/IEzFNegT_normal.jpg","View")</f>
        <v>View</v>
      </c>
      <c r="P3247" s="27"/>
    </row>
    <row r="3248">
      <c r="A3248" s="14">
        <v>43031.20644675926</v>
      </c>
      <c r="B3248" s="20" t="str">
        <f>HYPERLINK("https://twitter.com/EmmaRichards85","@EmmaRichards85")</f>
        <v>@EmmaRichards85</v>
      </c>
      <c r="C3248" s="21" t="s">
        <v>7617</v>
      </c>
      <c r="D3248" s="21" t="s">
        <v>7618</v>
      </c>
      <c r="E3248" s="22" t="str">
        <f>HYPERLINK("https://twitter.com/EmmaRichards85/status/922431729985470464","922431729985470464")</f>
        <v>922431729985470464</v>
      </c>
      <c r="F3248" s="23" t="s">
        <v>55</v>
      </c>
      <c r="G3248" s="24">
        <v>134.0</v>
      </c>
      <c r="H3248" s="24">
        <v>177.0</v>
      </c>
      <c r="I3248" s="24">
        <v>1.0</v>
      </c>
      <c r="J3248" s="24">
        <v>0.0</v>
      </c>
      <c r="K3248" s="23" t="s">
        <v>34</v>
      </c>
      <c r="L3248" s="25">
        <v>40372.17256944445</v>
      </c>
      <c r="M3248" s="26" t="s">
        <v>5565</v>
      </c>
      <c r="N3248" s="26" t="s">
        <v>7619</v>
      </c>
      <c r="O3248" s="22" t="str">
        <f>HYPERLINK("https://pbs.twimg.com/profile_images/893324387507593217/XPKAZMol_normal.jpg","View")</f>
        <v>View</v>
      </c>
      <c r="P3248" s="27"/>
    </row>
    <row r="3249">
      <c r="A3249" s="14">
        <v>43031.20644675926</v>
      </c>
      <c r="B3249" s="20" t="str">
        <f>HYPERLINK("https://twitter.com/vmg2016","@vmg2016")</f>
        <v>@vmg2016</v>
      </c>
      <c r="C3249" s="21" t="s">
        <v>7620</v>
      </c>
      <c r="D3249" s="21" t="s">
        <v>163</v>
      </c>
      <c r="E3249" s="22" t="str">
        <f>HYPERLINK("https://twitter.com/vmg2016/status/922431731298222080","922431731298222080")</f>
        <v>922431731298222080</v>
      </c>
      <c r="F3249" s="23" t="s">
        <v>39</v>
      </c>
      <c r="G3249" s="24">
        <v>23.0</v>
      </c>
      <c r="H3249" s="24">
        <v>27.0</v>
      </c>
      <c r="I3249" s="24">
        <v>1005.0</v>
      </c>
      <c r="J3249" s="24">
        <v>0.0</v>
      </c>
      <c r="K3249" s="23" t="s">
        <v>34</v>
      </c>
      <c r="L3249" s="25">
        <v>42454.234930555554</v>
      </c>
      <c r="M3249" s="26" t="s">
        <v>7502</v>
      </c>
      <c r="N3249" s="26" t="s">
        <v>7621</v>
      </c>
      <c r="O3249" s="22" t="str">
        <f>HYPERLINK("https://pbs.twimg.com/profile_images/713345966326153218/ZdUybrEf_normal.jpg","View")</f>
        <v>View</v>
      </c>
      <c r="P3249" s="27"/>
    </row>
    <row r="3250">
      <c r="A3250" s="14">
        <v>43031.20644675926</v>
      </c>
      <c r="B3250" s="20" t="str">
        <f>HYPERLINK("https://twitter.com/monishatweets","@monishatweets")</f>
        <v>@monishatweets</v>
      </c>
      <c r="C3250" s="21" t="s">
        <v>7622</v>
      </c>
      <c r="D3250" s="21" t="s">
        <v>42</v>
      </c>
      <c r="E3250" s="22" t="str">
        <f>HYPERLINK("https://twitter.com/monishatweets/status/922431731344351232","922431731344351232")</f>
        <v>922431731344351232</v>
      </c>
      <c r="F3250" s="23" t="s">
        <v>33</v>
      </c>
      <c r="G3250" s="24">
        <v>80.0</v>
      </c>
      <c r="H3250" s="24">
        <v>52.0</v>
      </c>
      <c r="I3250" s="24">
        <v>8501.0</v>
      </c>
      <c r="J3250" s="24">
        <v>0.0</v>
      </c>
      <c r="K3250" s="23" t="s">
        <v>34</v>
      </c>
      <c r="L3250" s="25">
        <v>42878.99927083333</v>
      </c>
      <c r="M3250" s="28"/>
      <c r="N3250" s="26" t="s">
        <v>7623</v>
      </c>
      <c r="O3250" s="22" t="str">
        <f>HYPERLINK("https://pbs.twimg.com/profile_images/897074571433525248/1b5xUFdx_normal.jpg","View")</f>
        <v>View</v>
      </c>
      <c r="P3250" s="27"/>
    </row>
    <row r="3251">
      <c r="A3251" s="14">
        <v>43031.206562499996</v>
      </c>
      <c r="B3251" s="20" t="str">
        <f>HYPERLINK("https://twitter.com/NayakDeep","@NayakDeep")</f>
        <v>@NayakDeep</v>
      </c>
      <c r="C3251" s="21" t="s">
        <v>7624</v>
      </c>
      <c r="D3251" s="21" t="s">
        <v>42</v>
      </c>
      <c r="E3251" s="22" t="str">
        <f>HYPERLINK("https://twitter.com/NayakDeep/status/922431772822069248","922431772822069248")</f>
        <v>922431772822069248</v>
      </c>
      <c r="F3251" s="23" t="s">
        <v>39</v>
      </c>
      <c r="G3251" s="24">
        <v>8063.0</v>
      </c>
      <c r="H3251" s="24">
        <v>1364.0</v>
      </c>
      <c r="I3251" s="24">
        <v>8501.0</v>
      </c>
      <c r="J3251" s="24">
        <v>0.0</v>
      </c>
      <c r="K3251" s="23" t="s">
        <v>34</v>
      </c>
      <c r="L3251" s="25">
        <v>40334.15293981481</v>
      </c>
      <c r="M3251" s="26" t="s">
        <v>7625</v>
      </c>
      <c r="N3251" s="26" t="s">
        <v>7626</v>
      </c>
      <c r="O3251" s="22" t="str">
        <f>HYPERLINK("https://pbs.twimg.com/profile_images/844606199035252737/QgyD0Zk8_normal.jpg","View")</f>
        <v>View</v>
      </c>
      <c r="P3251" s="27"/>
    </row>
    <row r="3252">
      <c r="A3252" s="14">
        <v>43031.20659722222</v>
      </c>
      <c r="B3252" s="20" t="str">
        <f>HYPERLINK("https://twitter.com/jeepeg","@jeepeg")</f>
        <v>@jeepeg</v>
      </c>
      <c r="C3252" s="21" t="s">
        <v>7627</v>
      </c>
      <c r="D3252" s="21" t="s">
        <v>7628</v>
      </c>
      <c r="E3252" s="22" t="str">
        <f>HYPERLINK("https://twitter.com/jeepeg/status/922431786864594944","922431786864594944")</f>
        <v>922431786864594944</v>
      </c>
      <c r="F3252" s="30" t="s">
        <v>7629</v>
      </c>
      <c r="G3252" s="24">
        <v>803.0</v>
      </c>
      <c r="H3252" s="24">
        <v>30.0</v>
      </c>
      <c r="I3252" s="24">
        <v>0.0</v>
      </c>
      <c r="J3252" s="24">
        <v>0.0</v>
      </c>
      <c r="K3252" s="23" t="s">
        <v>34</v>
      </c>
      <c r="L3252" s="25">
        <v>39907.10636574074</v>
      </c>
      <c r="M3252" s="26" t="s">
        <v>7630</v>
      </c>
      <c r="N3252" s="28"/>
      <c r="O3252" s="22" t="str">
        <f>HYPERLINK("https://abs.twimg.com/sticky/default_profile_images/default_profile_normal.png","View")</f>
        <v>View</v>
      </c>
      <c r="P3252" s="27"/>
    </row>
    <row r="3253">
      <c r="A3253" s="14">
        <v>43031.206655092596</v>
      </c>
      <c r="B3253" s="20" t="str">
        <f>HYPERLINK("https://twitter.com/via_shahar","@via_shahar")</f>
        <v>@via_shahar</v>
      </c>
      <c r="C3253" s="21" t="s">
        <v>7631</v>
      </c>
      <c r="D3253" s="21" t="s">
        <v>42</v>
      </c>
      <c r="E3253" s="22" t="str">
        <f>HYPERLINK("https://twitter.com/via_shahar/status/922431807043256320","922431807043256320")</f>
        <v>922431807043256320</v>
      </c>
      <c r="F3253" s="23" t="s">
        <v>55</v>
      </c>
      <c r="G3253" s="24">
        <v>47.0</v>
      </c>
      <c r="H3253" s="24">
        <v>441.0</v>
      </c>
      <c r="I3253" s="24">
        <v>8501.0</v>
      </c>
      <c r="J3253" s="24">
        <v>0.0</v>
      </c>
      <c r="K3253" s="23" t="s">
        <v>34</v>
      </c>
      <c r="L3253" s="25">
        <v>40362.13175925926</v>
      </c>
      <c r="M3253" s="26" t="s">
        <v>204</v>
      </c>
      <c r="N3253" s="26" t="s">
        <v>7632</v>
      </c>
      <c r="O3253" s="22" t="str">
        <f>HYPERLINK("https://pbs.twimg.com/profile_images/1285292017/B..alpha_normal.jpg","View")</f>
        <v>View</v>
      </c>
      <c r="P3253" s="27"/>
    </row>
    <row r="3254">
      <c r="A3254" s="14">
        <v>43031.20671296296</v>
      </c>
      <c r="B3254" s="20" t="str">
        <f>HYPERLINK("https://twitter.com/SirBhavendra","@SirBhavendra")</f>
        <v>@SirBhavendra</v>
      </c>
      <c r="C3254" s="21" t="s">
        <v>7633</v>
      </c>
      <c r="D3254" s="21" t="s">
        <v>42</v>
      </c>
      <c r="E3254" s="22" t="str">
        <f>HYPERLINK("https://twitter.com/SirBhavendra/status/922431828845248513","922431828845248513")</f>
        <v>922431828845248513</v>
      </c>
      <c r="F3254" s="23" t="s">
        <v>33</v>
      </c>
      <c r="G3254" s="24">
        <v>188.0</v>
      </c>
      <c r="H3254" s="24">
        <v>111.0</v>
      </c>
      <c r="I3254" s="24">
        <v>8501.0</v>
      </c>
      <c r="J3254" s="24">
        <v>0.0</v>
      </c>
      <c r="K3254" s="23" t="s">
        <v>34</v>
      </c>
      <c r="L3254" s="25">
        <v>42483.12039351852</v>
      </c>
      <c r="M3254" s="26" t="s">
        <v>7634</v>
      </c>
      <c r="N3254" s="26" t="s">
        <v>7635</v>
      </c>
      <c r="O3254" s="22" t="str">
        <f>HYPERLINK("https://pbs.twimg.com/profile_images/922489760643297280/H8DsRX0A_normal.jpg","View")</f>
        <v>View</v>
      </c>
      <c r="P3254" s="27"/>
    </row>
    <row r="3255">
      <c r="A3255" s="14">
        <v>43031.20673611111</v>
      </c>
      <c r="B3255" s="20" t="str">
        <f>HYPERLINK("https://twitter.com/weiss001","@weiss001")</f>
        <v>@weiss001</v>
      </c>
      <c r="C3255" s="21" t="s">
        <v>7636</v>
      </c>
      <c r="D3255" s="21" t="s">
        <v>7637</v>
      </c>
      <c r="E3255" s="22" t="str">
        <f>HYPERLINK("https://twitter.com/weiss001/status/922431834851627008","922431834851627008")</f>
        <v>922431834851627008</v>
      </c>
      <c r="F3255" s="23" t="s">
        <v>33</v>
      </c>
      <c r="G3255" s="24">
        <v>991.0</v>
      </c>
      <c r="H3255" s="24">
        <v>892.0</v>
      </c>
      <c r="I3255" s="24">
        <v>7.0</v>
      </c>
      <c r="J3255" s="24">
        <v>0.0</v>
      </c>
      <c r="K3255" s="23" t="s">
        <v>34</v>
      </c>
      <c r="L3255" s="25">
        <v>39973.335763888885</v>
      </c>
      <c r="M3255" s="26" t="s">
        <v>1110</v>
      </c>
      <c r="N3255" s="28"/>
      <c r="O3255" s="22" t="str">
        <f>HYPERLINK("https://pbs.twimg.com/profile_images/1292495637/GW_normal.jpg","View")</f>
        <v>View</v>
      </c>
      <c r="P3255" s="27"/>
    </row>
    <row r="3256">
      <c r="A3256" s="14">
        <v>43031.206770833334</v>
      </c>
      <c r="B3256" s="20" t="str">
        <f>HYPERLINK("https://twitter.com/Punjabupdate","@Punjabupdate")</f>
        <v>@Punjabupdate</v>
      </c>
      <c r="C3256" s="21" t="s">
        <v>7638</v>
      </c>
      <c r="D3256" s="21" t="s">
        <v>7639</v>
      </c>
      <c r="E3256" s="22" t="str">
        <f>HYPERLINK("https://twitter.com/Punjabupdate/status/922431850370408448","922431850370408448")</f>
        <v>922431850370408448</v>
      </c>
      <c r="F3256" s="23" t="s">
        <v>7640</v>
      </c>
      <c r="G3256" s="24">
        <v>1489.0</v>
      </c>
      <c r="H3256" s="24">
        <v>68.0</v>
      </c>
      <c r="I3256" s="24">
        <v>0.0</v>
      </c>
      <c r="J3256" s="24">
        <v>0.0</v>
      </c>
      <c r="K3256" s="23" t="s">
        <v>34</v>
      </c>
      <c r="L3256" s="25">
        <v>41915.445497685185</v>
      </c>
      <c r="M3256" s="26" t="s">
        <v>2461</v>
      </c>
      <c r="N3256" s="26" t="s">
        <v>7641</v>
      </c>
      <c r="O3256" s="22" t="str">
        <f>HYPERLINK("https://pbs.twimg.com/profile_images/518096440346677249/vB0a6bsM_normal.png","View")</f>
        <v>View</v>
      </c>
      <c r="P3256" s="27"/>
    </row>
    <row r="3257">
      <c r="A3257" s="14">
        <v>43031.20681712963</v>
      </c>
      <c r="B3257" s="20" t="str">
        <f>HYPERLINK("https://twitter.com/geostation","@geostation")</f>
        <v>@geostation</v>
      </c>
      <c r="C3257" s="21" t="s">
        <v>7642</v>
      </c>
      <c r="D3257" s="21" t="s">
        <v>42</v>
      </c>
      <c r="E3257" s="22" t="str">
        <f>HYPERLINK("https://twitter.com/geostation/status/922431866765840385","922431866765840385")</f>
        <v>922431866765840385</v>
      </c>
      <c r="F3257" s="23" t="s">
        <v>55</v>
      </c>
      <c r="G3257" s="24">
        <v>58.0</v>
      </c>
      <c r="H3257" s="24">
        <v>277.0</v>
      </c>
      <c r="I3257" s="24">
        <v>8501.0</v>
      </c>
      <c r="J3257" s="24">
        <v>0.0</v>
      </c>
      <c r="K3257" s="23" t="s">
        <v>34</v>
      </c>
      <c r="L3257" s="25">
        <v>39555.27179398148</v>
      </c>
      <c r="M3257" s="28"/>
      <c r="N3257" s="26" t="s">
        <v>7643</v>
      </c>
      <c r="O3257" s="22" t="str">
        <f>HYPERLINK("https://abs.twimg.com/sticky/default_profile_images/default_profile_normal.png","View")</f>
        <v>View</v>
      </c>
      <c r="P3257" s="27"/>
    </row>
    <row r="3258">
      <c r="A3258" s="14">
        <v>43031.20689814815</v>
      </c>
      <c r="B3258" s="20" t="str">
        <f>HYPERLINK("https://twitter.com/despardestimes","@despardestimes")</f>
        <v>@despardestimes</v>
      </c>
      <c r="C3258" s="21" t="s">
        <v>7644</v>
      </c>
      <c r="D3258" s="21" t="s">
        <v>7645</v>
      </c>
      <c r="E3258" s="22" t="str">
        <f>HYPERLINK("https://twitter.com/despardestimes/status/922431895299940353","922431895299940353")</f>
        <v>922431895299940353</v>
      </c>
      <c r="F3258" s="23" t="s">
        <v>7644</v>
      </c>
      <c r="G3258" s="24">
        <v>56.0</v>
      </c>
      <c r="H3258" s="24">
        <v>0.0</v>
      </c>
      <c r="I3258" s="24">
        <v>0.0</v>
      </c>
      <c r="J3258" s="24">
        <v>0.0</v>
      </c>
      <c r="K3258" s="23" t="s">
        <v>34</v>
      </c>
      <c r="L3258" s="25">
        <v>40593.4375</v>
      </c>
      <c r="M3258" s="28"/>
      <c r="N3258" s="28"/>
      <c r="O3258" s="22" t="str">
        <f>HYPERLINK("https://pbs.twimg.com/profile_images/1249119555/logo_225_normal.jpg","View")</f>
        <v>View</v>
      </c>
      <c r="P3258" s="27"/>
    </row>
    <row r="3259">
      <c r="A3259" s="14">
        <v>43031.206921296296</v>
      </c>
      <c r="B3259" s="20" t="str">
        <f>HYPERLINK("https://twitter.com/saurabh2sel","@saurabh2sel")</f>
        <v>@saurabh2sel</v>
      </c>
      <c r="C3259" s="21" t="s">
        <v>7646</v>
      </c>
      <c r="D3259" s="21" t="s">
        <v>42</v>
      </c>
      <c r="E3259" s="22" t="str">
        <f>HYPERLINK("https://twitter.com/saurabh2sel/status/922431903461818368","922431903461818368")</f>
        <v>922431903461818368</v>
      </c>
      <c r="F3259" s="23" t="s">
        <v>33</v>
      </c>
      <c r="G3259" s="24">
        <v>987.0</v>
      </c>
      <c r="H3259" s="24">
        <v>1762.0</v>
      </c>
      <c r="I3259" s="24">
        <v>8501.0</v>
      </c>
      <c r="J3259" s="24">
        <v>0.0</v>
      </c>
      <c r="K3259" s="23" t="s">
        <v>34</v>
      </c>
      <c r="L3259" s="25">
        <v>41394.257268518515</v>
      </c>
      <c r="M3259" s="26" t="s">
        <v>3736</v>
      </c>
      <c r="N3259" s="26" t="s">
        <v>7647</v>
      </c>
      <c r="O3259" s="22" t="str">
        <f>HYPERLINK("https://pbs.twimg.com/profile_images/344513261577178036/6df730dfb0df947b126fb49160100f43_normal.jpeg","View")</f>
        <v>View</v>
      </c>
      <c r="P3259" s="27"/>
    </row>
    <row r="3260">
      <c r="A3260" s="14">
        <v>43031.206921296296</v>
      </c>
      <c r="B3260" s="20" t="str">
        <f>HYPERLINK("https://twitter.com/DeshNM","@DeshNM")</f>
        <v>@DeshNM</v>
      </c>
      <c r="C3260" s="21" t="s">
        <v>7648</v>
      </c>
      <c r="D3260" s="21" t="s">
        <v>42</v>
      </c>
      <c r="E3260" s="22" t="str">
        <f>HYPERLINK("https://twitter.com/DeshNM/status/922431905412169729","922431905412169729")</f>
        <v>922431905412169729</v>
      </c>
      <c r="F3260" s="23" t="s">
        <v>55</v>
      </c>
      <c r="G3260" s="24">
        <v>190.0</v>
      </c>
      <c r="H3260" s="24">
        <v>350.0</v>
      </c>
      <c r="I3260" s="24">
        <v>8501.0</v>
      </c>
      <c r="J3260" s="24">
        <v>0.0</v>
      </c>
      <c r="K3260" s="23" t="s">
        <v>34</v>
      </c>
      <c r="L3260" s="25">
        <v>41778.4116087963</v>
      </c>
      <c r="M3260" s="26" t="s">
        <v>204</v>
      </c>
      <c r="N3260" s="26" t="s">
        <v>7649</v>
      </c>
      <c r="O3260" s="22" t="str">
        <f>HYPERLINK("https://pbs.twimg.com/profile_images/777859681989427200/9jn8RvSe_normal.jpg","View")</f>
        <v>View</v>
      </c>
      <c r="P3260" s="27"/>
    </row>
    <row r="3261">
      <c r="A3261" s="14">
        <v>43031.20704861111</v>
      </c>
      <c r="B3261" s="20" t="str">
        <f>HYPERLINK("https://twitter.com/BhanuRaval8","@BhanuRaval8")</f>
        <v>@BhanuRaval8</v>
      </c>
      <c r="C3261" s="21" t="s">
        <v>7650</v>
      </c>
      <c r="D3261" s="21" t="s">
        <v>42</v>
      </c>
      <c r="E3261" s="22" t="str">
        <f>HYPERLINK("https://twitter.com/BhanuRaval8/status/922431951168004097","922431951168004097")</f>
        <v>922431951168004097</v>
      </c>
      <c r="F3261" s="23" t="s">
        <v>39</v>
      </c>
      <c r="G3261" s="24">
        <v>422.0</v>
      </c>
      <c r="H3261" s="24">
        <v>3307.0</v>
      </c>
      <c r="I3261" s="24">
        <v>8501.0</v>
      </c>
      <c r="J3261" s="24">
        <v>0.0</v>
      </c>
      <c r="K3261" s="23" t="s">
        <v>34</v>
      </c>
      <c r="L3261" s="25">
        <v>42912.24995370371</v>
      </c>
      <c r="M3261" s="26" t="s">
        <v>3604</v>
      </c>
      <c r="N3261" s="26" t="s">
        <v>7651</v>
      </c>
      <c r="O3261" s="22" t="str">
        <f>HYPERLINK("https://pbs.twimg.com/profile_images/899302937305985024/9ilWCTxJ_normal.jpg","View")</f>
        <v>View</v>
      </c>
      <c r="P3261" s="27"/>
    </row>
    <row r="3262">
      <c r="A3262" s="14">
        <v>43031.20725694444</v>
      </c>
      <c r="B3262" s="20" t="str">
        <f>HYPERLINK("https://twitter.com/ts_negi","@ts_negi")</f>
        <v>@ts_negi</v>
      </c>
      <c r="C3262" s="21" t="s">
        <v>7652</v>
      </c>
      <c r="D3262" s="21" t="s">
        <v>42</v>
      </c>
      <c r="E3262" s="22" t="str">
        <f>HYPERLINK("https://twitter.com/ts_negi/status/922432026233442304","922432026233442304")</f>
        <v>922432026233442304</v>
      </c>
      <c r="F3262" s="23" t="s">
        <v>33</v>
      </c>
      <c r="G3262" s="24">
        <v>294.0</v>
      </c>
      <c r="H3262" s="24">
        <v>313.0</v>
      </c>
      <c r="I3262" s="24">
        <v>8501.0</v>
      </c>
      <c r="J3262" s="24">
        <v>0.0</v>
      </c>
      <c r="K3262" s="23" t="s">
        <v>34</v>
      </c>
      <c r="L3262" s="25">
        <v>42544.27815972222</v>
      </c>
      <c r="M3262" s="26" t="s">
        <v>7653</v>
      </c>
      <c r="N3262" s="26" t="s">
        <v>7654</v>
      </c>
      <c r="O3262" s="22" t="str">
        <f>HYPERLINK("https://pbs.twimg.com/profile_images/908217007568453632/TdGN9b9g_normal.jpg","View")</f>
        <v>View</v>
      </c>
      <c r="P3262" s="27"/>
    </row>
    <row r="3263">
      <c r="A3263" s="14">
        <v>43031.20734953704</v>
      </c>
      <c r="B3263" s="20" t="str">
        <f>HYPERLINK("https://twitter.com/brianiswho","@brianiswho")</f>
        <v>@brianiswho</v>
      </c>
      <c r="C3263" s="21" t="s">
        <v>7655</v>
      </c>
      <c r="D3263" s="21" t="s">
        <v>7403</v>
      </c>
      <c r="E3263" s="22" t="str">
        <f>HYPERLINK("https://twitter.com/brianiswho/status/922432059703881728","922432059703881728")</f>
        <v>922432059703881728</v>
      </c>
      <c r="F3263" s="23" t="s">
        <v>33</v>
      </c>
      <c r="G3263" s="24">
        <v>251.0</v>
      </c>
      <c r="H3263" s="24">
        <v>284.0</v>
      </c>
      <c r="I3263" s="24">
        <v>29.0</v>
      </c>
      <c r="J3263" s="24">
        <v>0.0</v>
      </c>
      <c r="K3263" s="23" t="s">
        <v>34</v>
      </c>
      <c r="L3263" s="25">
        <v>41674.305983796294</v>
      </c>
      <c r="M3263" s="28"/>
      <c r="N3263" s="26" t="s">
        <v>7656</v>
      </c>
      <c r="O3263" s="22" t="str">
        <f>HYPERLINK("https://pbs.twimg.com/profile_images/921438382256930816/nZW9fcjS_normal.jpg","View")</f>
        <v>View</v>
      </c>
      <c r="P3263" s="27"/>
    </row>
    <row r="3264">
      <c r="A3264" s="14">
        <v>43031.20744212963</v>
      </c>
      <c r="B3264" s="20" t="str">
        <f>HYPERLINK("https://twitter.com/punjabstar","@punjabstar")</f>
        <v>@punjabstar</v>
      </c>
      <c r="C3264" s="21" t="s">
        <v>7657</v>
      </c>
      <c r="D3264" s="21" t="s">
        <v>7658</v>
      </c>
      <c r="E3264" s="22" t="str">
        <f>HYPERLINK("https://twitter.com/punjabstar/status/922432094009266177","922432094009266177")</f>
        <v>922432094009266177</v>
      </c>
      <c r="F3264" s="23" t="s">
        <v>48</v>
      </c>
      <c r="G3264" s="24">
        <v>94.0</v>
      </c>
      <c r="H3264" s="24">
        <v>11.0</v>
      </c>
      <c r="I3264" s="24">
        <v>0.0</v>
      </c>
      <c r="J3264" s="24">
        <v>0.0</v>
      </c>
      <c r="K3264" s="23" t="s">
        <v>34</v>
      </c>
      <c r="L3264" s="25">
        <v>40262.469409722224</v>
      </c>
      <c r="M3264" s="26" t="s">
        <v>7659</v>
      </c>
      <c r="N3264" s="28"/>
      <c r="O3264" s="22" t="str">
        <f>HYPERLINK("https://pbs.twimg.com/profile_images/797537238687027200/D60u028X_normal.jpg","View")</f>
        <v>View</v>
      </c>
      <c r="P3264" s="27"/>
    </row>
    <row r="3265">
      <c r="A3265" s="14">
        <v>43031.207500000004</v>
      </c>
      <c r="B3265" s="20" t="str">
        <f>HYPERLINK("https://twitter.com/SPS_RATHOD_07","@SPS_RATHOD_07")</f>
        <v>@SPS_RATHOD_07</v>
      </c>
      <c r="C3265" s="21" t="s">
        <v>7660</v>
      </c>
      <c r="D3265" s="21" t="s">
        <v>42</v>
      </c>
      <c r="E3265" s="22" t="str">
        <f>HYPERLINK("https://twitter.com/SPS_RATHOD_07/status/922432112698966023","922432112698966023")</f>
        <v>922432112698966023</v>
      </c>
      <c r="F3265" s="23" t="s">
        <v>33</v>
      </c>
      <c r="G3265" s="24">
        <v>128.0</v>
      </c>
      <c r="H3265" s="24">
        <v>464.0</v>
      </c>
      <c r="I3265" s="24">
        <v>8501.0</v>
      </c>
      <c r="J3265" s="24">
        <v>0.0</v>
      </c>
      <c r="K3265" s="23" t="s">
        <v>34</v>
      </c>
      <c r="L3265" s="25">
        <v>42502.61174768519</v>
      </c>
      <c r="M3265" s="26" t="s">
        <v>7661</v>
      </c>
      <c r="N3265" s="26" t="s">
        <v>7662</v>
      </c>
      <c r="O3265" s="22" t="str">
        <f>HYPERLINK("https://pbs.twimg.com/profile_images/882038477633855489/-RvTjAVc_normal.jpg","View")</f>
        <v>View</v>
      </c>
      <c r="P3265" s="27"/>
    </row>
    <row r="3266">
      <c r="A3266" s="14">
        <v>43031.20759259259</v>
      </c>
      <c r="B3266" s="20" t="str">
        <f>HYPERLINK("https://twitter.com/Padagotti","@Padagotti")</f>
        <v>@Padagotti</v>
      </c>
      <c r="C3266" s="21" t="s">
        <v>7663</v>
      </c>
      <c r="D3266" s="21" t="s">
        <v>163</v>
      </c>
      <c r="E3266" s="22" t="str">
        <f>HYPERLINK("https://twitter.com/Padagotti/status/922432146316279809","922432146316279809")</f>
        <v>922432146316279809</v>
      </c>
      <c r="F3266" s="23" t="s">
        <v>33</v>
      </c>
      <c r="G3266" s="24">
        <v>245.0</v>
      </c>
      <c r="H3266" s="24">
        <v>599.0</v>
      </c>
      <c r="I3266" s="24">
        <v>1005.0</v>
      </c>
      <c r="J3266" s="24">
        <v>0.0</v>
      </c>
      <c r="K3266" s="23" t="s">
        <v>34</v>
      </c>
      <c r="L3266" s="25">
        <v>41862.476631944446</v>
      </c>
      <c r="M3266" s="28"/>
      <c r="N3266" s="28"/>
      <c r="O3266" s="22" t="str">
        <f>HYPERLINK("https://pbs.twimg.com/profile_images/499208577735589889/ji67DLo2_normal.jpeg","View")</f>
        <v>View</v>
      </c>
      <c r="P3266" s="27"/>
    </row>
    <row r="3267">
      <c r="A3267" s="14">
        <v>43031.20762731481</v>
      </c>
      <c r="B3267" s="20" t="str">
        <f>HYPERLINK("https://twitter.com/SamirGahlaut","@SamirGahlaut")</f>
        <v>@SamirGahlaut</v>
      </c>
      <c r="C3267" s="21" t="s">
        <v>7566</v>
      </c>
      <c r="D3267" s="21" t="s">
        <v>42</v>
      </c>
      <c r="E3267" s="22" t="str">
        <f>HYPERLINK("https://twitter.com/SamirGahlaut/status/922432158207156225","922432158207156225")</f>
        <v>922432158207156225</v>
      </c>
      <c r="F3267" s="23" t="s">
        <v>33</v>
      </c>
      <c r="G3267" s="24">
        <v>242.0</v>
      </c>
      <c r="H3267" s="24">
        <v>262.0</v>
      </c>
      <c r="I3267" s="24">
        <v>8501.0</v>
      </c>
      <c r="J3267" s="24">
        <v>0.0</v>
      </c>
      <c r="K3267" s="23" t="s">
        <v>34</v>
      </c>
      <c r="L3267" s="25">
        <v>41135.442974537036</v>
      </c>
      <c r="M3267" s="28"/>
      <c r="N3267" s="28"/>
      <c r="O3267" s="22" t="str">
        <f>HYPERLINK("https://pbs.twimg.com/profile_images/835006490654175232/qUC5L7DB_normal.jpg","View")</f>
        <v>View</v>
      </c>
      <c r="P3267" s="27"/>
    </row>
    <row r="3268">
      <c r="A3268" s="14">
        <v>43031.20768518519</v>
      </c>
      <c r="B3268" s="20" t="str">
        <f>HYPERLINK("https://twitter.com/weiss001","@weiss001")</f>
        <v>@weiss001</v>
      </c>
      <c r="C3268" s="21" t="s">
        <v>7636</v>
      </c>
      <c r="D3268" s="21" t="s">
        <v>7664</v>
      </c>
      <c r="E3268" s="22" t="str">
        <f>HYPERLINK("https://twitter.com/weiss001/status/922432178818084864","922432178818084864")</f>
        <v>922432178818084864</v>
      </c>
      <c r="F3268" s="23" t="s">
        <v>33</v>
      </c>
      <c r="G3268" s="24">
        <v>991.0</v>
      </c>
      <c r="H3268" s="24">
        <v>892.0</v>
      </c>
      <c r="I3268" s="24">
        <v>1.0</v>
      </c>
      <c r="J3268" s="24">
        <v>0.0</v>
      </c>
      <c r="K3268" s="23" t="s">
        <v>34</v>
      </c>
      <c r="L3268" s="25">
        <v>39973.335763888885</v>
      </c>
      <c r="M3268" s="26" t="s">
        <v>1110</v>
      </c>
      <c r="N3268" s="28"/>
      <c r="O3268" s="22" t="str">
        <f>HYPERLINK("https://pbs.twimg.com/profile_images/1292495637/GW_normal.jpg","View")</f>
        <v>View</v>
      </c>
      <c r="P3268" s="27"/>
    </row>
    <row r="3269">
      <c r="A3269" s="14">
        <v>43031.20778935185</v>
      </c>
      <c r="B3269" s="20" t="str">
        <f>HYPERLINK("https://twitter.com/BiedexTrading","@BiedexTrading")</f>
        <v>@BiedexTrading</v>
      </c>
      <c r="C3269" s="21" t="s">
        <v>7665</v>
      </c>
      <c r="D3269" s="21" t="s">
        <v>7666</v>
      </c>
      <c r="E3269" s="22" t="str">
        <f>HYPERLINK("https://twitter.com/BiedexTrading/status/922432218605211649","922432218605211649")</f>
        <v>922432218605211649</v>
      </c>
      <c r="F3269" s="23" t="s">
        <v>7667</v>
      </c>
      <c r="G3269" s="24">
        <v>3326.0</v>
      </c>
      <c r="H3269" s="24">
        <v>4986.0</v>
      </c>
      <c r="I3269" s="24">
        <v>0.0</v>
      </c>
      <c r="J3269" s="24">
        <v>0.0</v>
      </c>
      <c r="K3269" s="23" t="s">
        <v>34</v>
      </c>
      <c r="L3269" s="25">
        <v>39857.33493055555</v>
      </c>
      <c r="M3269" s="26" t="s">
        <v>7668</v>
      </c>
      <c r="N3269" s="26" t="s">
        <v>7669</v>
      </c>
      <c r="O3269" s="22" t="str">
        <f>HYPERLINK("https://pbs.twimg.com/profile_images/440566971260604416/FG_EX0Zc_normal.png","View")</f>
        <v>View</v>
      </c>
      <c r="P3269" s="27"/>
    </row>
    <row r="3270">
      <c r="A3270" s="14">
        <v>43031.20780092593</v>
      </c>
      <c r="B3270" s="20" t="str">
        <f>HYPERLINK("https://twitter.com/Mokibur34067007","@Mokibur34067007")</f>
        <v>@Mokibur34067007</v>
      </c>
      <c r="C3270" s="21" t="s">
        <v>7670</v>
      </c>
      <c r="D3270" s="21" t="s">
        <v>42</v>
      </c>
      <c r="E3270" s="22" t="str">
        <f>HYPERLINK("https://twitter.com/Mokibur34067007/status/922432220991803393","922432220991803393")</f>
        <v>922432220991803393</v>
      </c>
      <c r="F3270" s="23" t="s">
        <v>33</v>
      </c>
      <c r="G3270" s="24">
        <v>3.0</v>
      </c>
      <c r="H3270" s="24">
        <v>78.0</v>
      </c>
      <c r="I3270" s="24">
        <v>8501.0</v>
      </c>
      <c r="J3270" s="24">
        <v>0.0</v>
      </c>
      <c r="K3270" s="23" t="s">
        <v>34</v>
      </c>
      <c r="L3270" s="25">
        <v>42927.95074074074</v>
      </c>
      <c r="M3270" s="26" t="s">
        <v>7671</v>
      </c>
      <c r="N3270" s="28"/>
      <c r="O3270" s="22" t="str">
        <f>HYPERLINK("https://pbs.twimg.com/profile_images/894444272379887616/klTm-wZO_normal.jpg","View")</f>
        <v>View</v>
      </c>
      <c r="P3270" s="27"/>
    </row>
    <row r="3271">
      <c r="A3271" s="14">
        <v>43031.20780092593</v>
      </c>
      <c r="B3271" s="20" t="str">
        <f>HYPERLINK("https://twitter.com/MilindPandey0","@MilindPandey0")</f>
        <v>@MilindPandey0</v>
      </c>
      <c r="C3271" s="21" t="s">
        <v>7672</v>
      </c>
      <c r="D3271" s="21" t="s">
        <v>42</v>
      </c>
      <c r="E3271" s="22" t="str">
        <f>HYPERLINK("https://twitter.com/MilindPandey0/status/922432221696294912","922432221696294912")</f>
        <v>922432221696294912</v>
      </c>
      <c r="F3271" s="23" t="s">
        <v>33</v>
      </c>
      <c r="G3271" s="24">
        <v>2.0</v>
      </c>
      <c r="H3271" s="24">
        <v>159.0</v>
      </c>
      <c r="I3271" s="24">
        <v>8501.0</v>
      </c>
      <c r="J3271" s="24">
        <v>0.0</v>
      </c>
      <c r="K3271" s="23" t="s">
        <v>34</v>
      </c>
      <c r="L3271" s="25">
        <v>43022.31328703703</v>
      </c>
      <c r="M3271" s="26" t="s">
        <v>7673</v>
      </c>
      <c r="N3271" s="26" t="s">
        <v>7674</v>
      </c>
      <c r="O3271" s="22" t="str">
        <f>HYPERLINK("https://pbs.twimg.com/profile_images/919217491980697600/NYxu6-zH_normal.jpg","View")</f>
        <v>View</v>
      </c>
      <c r="P3271" s="27"/>
    </row>
    <row r="3272">
      <c r="A3272" s="14">
        <v>43031.2078587963</v>
      </c>
      <c r="B3272" s="20" t="str">
        <f>HYPERLINK("https://twitter.com/despardestimes","@despardestimes")</f>
        <v>@despardestimes</v>
      </c>
      <c r="C3272" s="21" t="s">
        <v>7644</v>
      </c>
      <c r="D3272" s="21" t="s">
        <v>7675</v>
      </c>
      <c r="E3272" s="22" t="str">
        <f>HYPERLINK("https://twitter.com/despardestimes/status/922432243603312640","922432243603312640")</f>
        <v>922432243603312640</v>
      </c>
      <c r="F3272" s="23" t="s">
        <v>7644</v>
      </c>
      <c r="G3272" s="24">
        <v>56.0</v>
      </c>
      <c r="H3272" s="24">
        <v>0.0</v>
      </c>
      <c r="I3272" s="24">
        <v>0.0</v>
      </c>
      <c r="J3272" s="24">
        <v>0.0</v>
      </c>
      <c r="K3272" s="23" t="s">
        <v>34</v>
      </c>
      <c r="L3272" s="25">
        <v>40593.4375</v>
      </c>
      <c r="M3272" s="28"/>
      <c r="N3272" s="28"/>
      <c r="O3272" s="22" t="str">
        <f>HYPERLINK("https://pbs.twimg.com/profile_images/1249119555/logo_225_normal.jpg","View")</f>
        <v>View</v>
      </c>
      <c r="P3272" s="27"/>
    </row>
    <row r="3273">
      <c r="A3273" s="14">
        <v>43031.20788194444</v>
      </c>
      <c r="B3273" s="20" t="str">
        <f>HYPERLINK("https://twitter.com/tselvam_offl","@tselvam_offl")</f>
        <v>@tselvam_offl</v>
      </c>
      <c r="C3273" s="21" t="s">
        <v>7676</v>
      </c>
      <c r="D3273" s="21" t="s">
        <v>1444</v>
      </c>
      <c r="E3273" s="22" t="str">
        <f>HYPERLINK("https://twitter.com/tselvam_offl/status/922432250528006144","922432250528006144")</f>
        <v>922432250528006144</v>
      </c>
      <c r="F3273" s="23" t="s">
        <v>33</v>
      </c>
      <c r="G3273" s="24">
        <v>956.0</v>
      </c>
      <c r="H3273" s="24">
        <v>4994.0</v>
      </c>
      <c r="I3273" s="24">
        <v>50.0</v>
      </c>
      <c r="J3273" s="24">
        <v>0.0</v>
      </c>
      <c r="K3273" s="23" t="s">
        <v>34</v>
      </c>
      <c r="L3273" s="25">
        <v>42819.687743055554</v>
      </c>
      <c r="M3273" s="26" t="s">
        <v>7677</v>
      </c>
      <c r="N3273" s="26" t="s">
        <v>7678</v>
      </c>
      <c r="O3273" s="22" t="str">
        <f>HYPERLINK("https://pbs.twimg.com/profile_images/918449258273099777/JPUlk6EJ_normal.jpg","View")</f>
        <v>View</v>
      </c>
      <c r="P3273" s="27"/>
    </row>
    <row r="3274">
      <c r="A3274" s="14">
        <v>43031.20806712963</v>
      </c>
      <c r="B3274" s="20" t="str">
        <f>HYPERLINK("https://twitter.com/Sour1Avinash","@Sour1Avinash")</f>
        <v>@Sour1Avinash</v>
      </c>
      <c r="C3274" s="21" t="s">
        <v>7679</v>
      </c>
      <c r="D3274" s="21" t="s">
        <v>42</v>
      </c>
      <c r="E3274" s="22" t="str">
        <f>HYPERLINK("https://twitter.com/Sour1Avinash/status/922432317448101890","922432317448101890")</f>
        <v>922432317448101890</v>
      </c>
      <c r="F3274" s="23" t="s">
        <v>55</v>
      </c>
      <c r="G3274" s="24">
        <v>29.0</v>
      </c>
      <c r="H3274" s="24">
        <v>40.0</v>
      </c>
      <c r="I3274" s="24">
        <v>8501.0</v>
      </c>
      <c r="J3274" s="24">
        <v>0.0</v>
      </c>
      <c r="K3274" s="23" t="s">
        <v>34</v>
      </c>
      <c r="L3274" s="25">
        <v>42533.87416666667</v>
      </c>
      <c r="M3274" s="26" t="s">
        <v>3665</v>
      </c>
      <c r="N3274" s="26" t="s">
        <v>7680</v>
      </c>
      <c r="O3274" s="22" t="str">
        <f>HYPERLINK("https://pbs.twimg.com/profile_images/743140357920043008/Jt_T6yxW_normal.jpg","View")</f>
        <v>View</v>
      </c>
      <c r="P3274" s="27"/>
    </row>
    <row r="3275">
      <c r="A3275" s="14">
        <v>43031.20820601852</v>
      </c>
      <c r="B3275" s="20" t="str">
        <f>HYPERLINK("https://twitter.com/mishra223","@mishra223")</f>
        <v>@mishra223</v>
      </c>
      <c r="C3275" s="21" t="s">
        <v>7681</v>
      </c>
      <c r="D3275" s="21" t="s">
        <v>42</v>
      </c>
      <c r="E3275" s="22" t="str">
        <f>HYPERLINK("https://twitter.com/mishra223/status/922432369931329537","922432369931329537")</f>
        <v>922432369931329537</v>
      </c>
      <c r="F3275" s="23" t="s">
        <v>33</v>
      </c>
      <c r="G3275" s="24">
        <v>17.0</v>
      </c>
      <c r="H3275" s="24">
        <v>120.0</v>
      </c>
      <c r="I3275" s="24">
        <v>8501.0</v>
      </c>
      <c r="J3275" s="24">
        <v>0.0</v>
      </c>
      <c r="K3275" s="23" t="s">
        <v>34</v>
      </c>
      <c r="L3275" s="25">
        <v>41589.11150462963</v>
      </c>
      <c r="M3275" s="28"/>
      <c r="N3275" s="28"/>
      <c r="O3275" s="22" t="str">
        <f>HYPERLINK("https://abs.twimg.com/sticky/default_profile_images/default_profile_normal.png","View")</f>
        <v>View</v>
      </c>
      <c r="P3275" s="27"/>
    </row>
    <row r="3276">
      <c r="A3276" s="14">
        <v>43031.20829861111</v>
      </c>
      <c r="B3276" s="20" t="str">
        <f>HYPERLINK("https://twitter.com/SujanDa51437844","@SujanDa51437844")</f>
        <v>@SujanDa51437844</v>
      </c>
      <c r="C3276" s="21" t="s">
        <v>7682</v>
      </c>
      <c r="D3276" s="21" t="s">
        <v>42</v>
      </c>
      <c r="E3276" s="22" t="str">
        <f>HYPERLINK("https://twitter.com/SujanDa51437844/status/922432402164609025","922432402164609025")</f>
        <v>922432402164609025</v>
      </c>
      <c r="F3276" s="23" t="s">
        <v>33</v>
      </c>
      <c r="G3276" s="24">
        <v>46.0</v>
      </c>
      <c r="H3276" s="24">
        <v>341.0</v>
      </c>
      <c r="I3276" s="24">
        <v>8501.0</v>
      </c>
      <c r="J3276" s="24">
        <v>0.0</v>
      </c>
      <c r="K3276" s="23" t="s">
        <v>34</v>
      </c>
      <c r="L3276" s="25">
        <v>42973.91153935185</v>
      </c>
      <c r="M3276" s="26" t="s">
        <v>2376</v>
      </c>
      <c r="N3276" s="28"/>
      <c r="O3276" s="22" t="str">
        <f>HYPERLINK("https://pbs.twimg.com/profile_images/903884814758973442/7pfy0idm_normal.jpg","View")</f>
        <v>View</v>
      </c>
      <c r="P3276" s="27"/>
    </row>
    <row r="3277">
      <c r="A3277" s="14">
        <v>43031.208391203705</v>
      </c>
      <c r="B3277" s="20" t="str">
        <f>HYPERLINK("https://twitter.com/punjabstar","@punjabstar")</f>
        <v>@punjabstar</v>
      </c>
      <c r="C3277" s="21" t="s">
        <v>7657</v>
      </c>
      <c r="D3277" s="21" t="s">
        <v>7683</v>
      </c>
      <c r="E3277" s="22" t="str">
        <f>HYPERLINK("https://twitter.com/punjabstar/status/922432435899588608","922432435899588608")</f>
        <v>922432435899588608</v>
      </c>
      <c r="F3277" s="23" t="s">
        <v>48</v>
      </c>
      <c r="G3277" s="24">
        <v>94.0</v>
      </c>
      <c r="H3277" s="24">
        <v>11.0</v>
      </c>
      <c r="I3277" s="24">
        <v>0.0</v>
      </c>
      <c r="J3277" s="24">
        <v>0.0</v>
      </c>
      <c r="K3277" s="23" t="s">
        <v>34</v>
      </c>
      <c r="L3277" s="25">
        <v>40262.469409722224</v>
      </c>
      <c r="M3277" s="26" t="s">
        <v>7659</v>
      </c>
      <c r="N3277" s="28"/>
      <c r="O3277" s="22" t="str">
        <f>HYPERLINK("https://pbs.twimg.com/profile_images/797537238687027200/D60u028X_normal.jpg","View")</f>
        <v>View</v>
      </c>
      <c r="P3277" s="27"/>
    </row>
    <row r="3278">
      <c r="A3278" s="14">
        <v>43031.208506944444</v>
      </c>
      <c r="B3278" s="20" t="str">
        <f>HYPERLINK("https://twitter.com/shivoo_verma","@shivoo_verma")</f>
        <v>@shivoo_verma</v>
      </c>
      <c r="C3278" s="21" t="s">
        <v>7684</v>
      </c>
      <c r="D3278" s="21" t="s">
        <v>42</v>
      </c>
      <c r="E3278" s="22" t="str">
        <f>HYPERLINK("https://twitter.com/shivoo_verma/status/922432479151120384","922432479151120384")</f>
        <v>922432479151120384</v>
      </c>
      <c r="F3278" s="23" t="s">
        <v>33</v>
      </c>
      <c r="G3278" s="24">
        <v>1665.0</v>
      </c>
      <c r="H3278" s="24">
        <v>4949.0</v>
      </c>
      <c r="I3278" s="24">
        <v>8501.0</v>
      </c>
      <c r="J3278" s="24">
        <v>0.0</v>
      </c>
      <c r="K3278" s="23" t="s">
        <v>34</v>
      </c>
      <c r="L3278" s="25">
        <v>42315.35677083333</v>
      </c>
      <c r="M3278" s="26" t="s">
        <v>1545</v>
      </c>
      <c r="N3278" s="26" t="s">
        <v>7685</v>
      </c>
      <c r="O3278" s="22" t="str">
        <f>HYPERLINK("https://pbs.twimg.com/profile_images/921406021557293056/s9pGA2ti_normal.jpg","View")</f>
        <v>View</v>
      </c>
      <c r="P3278" s="27"/>
    </row>
    <row r="3279">
      <c r="A3279" s="14">
        <v>43031.20851851851</v>
      </c>
      <c r="B3279" s="20" t="str">
        <f>HYPERLINK("https://twitter.com/SCMP_News","@SCMP_News")</f>
        <v>@SCMP_News</v>
      </c>
      <c r="C3279" s="21" t="s">
        <v>5484</v>
      </c>
      <c r="D3279" s="21" t="s">
        <v>7686</v>
      </c>
      <c r="E3279" s="22" t="str">
        <f>HYPERLINK("https://twitter.com/SCMP_News/status/922432483345534976","922432483345534976")</f>
        <v>922432483345534976</v>
      </c>
      <c r="F3279" s="23" t="s">
        <v>4619</v>
      </c>
      <c r="G3279" s="24">
        <v>505566.0</v>
      </c>
      <c r="H3279" s="24">
        <v>345.0</v>
      </c>
      <c r="I3279" s="24">
        <v>4.0</v>
      </c>
      <c r="J3279" s="24">
        <v>5.0</v>
      </c>
      <c r="K3279" s="23" t="s">
        <v>34</v>
      </c>
      <c r="L3279" s="25">
        <v>39884.07766203704</v>
      </c>
      <c r="M3279" s="26" t="s">
        <v>2185</v>
      </c>
      <c r="N3279" s="26" t="s">
        <v>5486</v>
      </c>
      <c r="O3279" s="22" t="str">
        <f>HYPERLINK("https://pbs.twimg.com/profile_images/593315521707159552/nSAjByJO_normal.png","View")</f>
        <v>View</v>
      </c>
      <c r="P3279" s="27"/>
    </row>
    <row r="3280">
      <c r="A3280" s="14">
        <v>43031.20854166667</v>
      </c>
      <c r="B3280" s="20" t="str">
        <f>HYPERLINK("https://twitter.com/newslivenetwork","@newslivenetwork")</f>
        <v>@newslivenetwork</v>
      </c>
      <c r="C3280" s="21" t="s">
        <v>89</v>
      </c>
      <c r="D3280" s="21" t="s">
        <v>7687</v>
      </c>
      <c r="E3280" s="22" t="str">
        <f>HYPERLINK("https://twitter.com/newslivenetwork/status/922432491125866496","922432491125866496")</f>
        <v>922432491125866496</v>
      </c>
      <c r="F3280" s="23" t="s">
        <v>91</v>
      </c>
      <c r="G3280" s="24">
        <v>271.0</v>
      </c>
      <c r="H3280" s="24">
        <v>87.0</v>
      </c>
      <c r="I3280" s="24">
        <v>0.0</v>
      </c>
      <c r="J3280" s="24">
        <v>0.0</v>
      </c>
      <c r="K3280" s="23" t="s">
        <v>34</v>
      </c>
      <c r="L3280" s="25">
        <v>42741.47196759259</v>
      </c>
      <c r="M3280" s="26" t="s">
        <v>92</v>
      </c>
      <c r="N3280" s="26" t="s">
        <v>93</v>
      </c>
      <c r="O3280" s="22" t="str">
        <f>HYPERLINK("https://pbs.twimg.com/profile_images/877414144424660992/scfhocj3_normal.jpg","View")</f>
        <v>View</v>
      </c>
      <c r="P3280" s="27"/>
    </row>
    <row r="3281">
      <c r="A3281" s="14">
        <v>43031.20855324074</v>
      </c>
      <c r="B3281" s="20" t="str">
        <f>HYPERLINK("https://twitter.com/ashish_dagwar","@ashish_dagwar")</f>
        <v>@ashish_dagwar</v>
      </c>
      <c r="C3281" s="21" t="s">
        <v>7688</v>
      </c>
      <c r="D3281" s="21" t="s">
        <v>42</v>
      </c>
      <c r="E3281" s="22" t="str">
        <f>HYPERLINK("https://twitter.com/ashish_dagwar/status/922432493415907328","922432493415907328")</f>
        <v>922432493415907328</v>
      </c>
      <c r="F3281" s="23" t="s">
        <v>33</v>
      </c>
      <c r="G3281" s="24">
        <v>644.0</v>
      </c>
      <c r="H3281" s="24">
        <v>3811.0</v>
      </c>
      <c r="I3281" s="24">
        <v>8501.0</v>
      </c>
      <c r="J3281" s="24">
        <v>0.0</v>
      </c>
      <c r="K3281" s="23" t="s">
        <v>34</v>
      </c>
      <c r="L3281" s="25">
        <v>40082.325208333335</v>
      </c>
      <c r="M3281" s="26" t="s">
        <v>7689</v>
      </c>
      <c r="N3281" s="26" t="s">
        <v>7690</v>
      </c>
      <c r="O3281" s="22" t="str">
        <f>HYPERLINK("https://pbs.twimg.com/profile_images/568434762935586816/fvHi55PI_normal.jpeg","View")</f>
        <v>View</v>
      </c>
      <c r="P3281" s="27"/>
    </row>
    <row r="3282">
      <c r="A3282" s="14">
        <v>43031.20857638889</v>
      </c>
      <c r="B3282" s="20" t="str">
        <f>HYPERLINK("https://twitter.com/jzca1l","@jzca1l")</f>
        <v>@jzca1l</v>
      </c>
      <c r="C3282" s="21" t="s">
        <v>7691</v>
      </c>
      <c r="D3282" s="21" t="s">
        <v>7692</v>
      </c>
      <c r="E3282" s="22" t="str">
        <f>HYPERLINK("https://twitter.com/jzca1l/status/922432502693629953","922432502693629953")</f>
        <v>922432502693629953</v>
      </c>
      <c r="F3282" s="23" t="s">
        <v>55</v>
      </c>
      <c r="G3282" s="24">
        <v>6.0</v>
      </c>
      <c r="H3282" s="24">
        <v>45.0</v>
      </c>
      <c r="I3282" s="24">
        <v>4.0</v>
      </c>
      <c r="J3282" s="24">
        <v>0.0</v>
      </c>
      <c r="K3282" s="23" t="s">
        <v>34</v>
      </c>
      <c r="L3282" s="25">
        <v>43002.06971064815</v>
      </c>
      <c r="M3282" s="26" t="s">
        <v>7693</v>
      </c>
      <c r="N3282" s="26" t="s">
        <v>7694</v>
      </c>
      <c r="O3282" s="22" t="str">
        <f>HYPERLINK("https://pbs.twimg.com/profile_images/911873755105837056/GuymLny2_normal.jpg","View")</f>
        <v>View</v>
      </c>
      <c r="P3282" s="27"/>
    </row>
    <row r="3283">
      <c r="A3283" s="14">
        <v>43031.20861111111</v>
      </c>
      <c r="B3283" s="20" t="str">
        <f>HYPERLINK("https://twitter.com/jeffers75109741","@jeffers75109741")</f>
        <v>@jeffers75109741</v>
      </c>
      <c r="C3283" s="21" t="s">
        <v>7695</v>
      </c>
      <c r="D3283" s="21" t="s">
        <v>7692</v>
      </c>
      <c r="E3283" s="22" t="str">
        <f>HYPERLINK("https://twitter.com/jeffers75109741/status/922432514320351232","922432514320351232")</f>
        <v>922432514320351232</v>
      </c>
      <c r="F3283" s="23" t="s">
        <v>55</v>
      </c>
      <c r="G3283" s="24">
        <v>3.0</v>
      </c>
      <c r="H3283" s="24">
        <v>52.0</v>
      </c>
      <c r="I3283" s="24">
        <v>4.0</v>
      </c>
      <c r="J3283" s="24">
        <v>0.0</v>
      </c>
      <c r="K3283" s="23" t="s">
        <v>34</v>
      </c>
      <c r="L3283" s="25">
        <v>43020.28111111111</v>
      </c>
      <c r="M3283" s="28"/>
      <c r="N3283" s="28"/>
      <c r="O3283" s="22" t="str">
        <f>HYPERLINK("https://pbs.twimg.com/profile_images/920298934626426882/2opxO_ju_normal.jpg","View")</f>
        <v>View</v>
      </c>
      <c r="P3283" s="27"/>
    </row>
    <row r="3284">
      <c r="A3284" s="14">
        <v>43031.20868055556</v>
      </c>
      <c r="B3284" s="20" t="str">
        <f>HYPERLINK("https://twitter.com/CSCSarmiento","@CSCSarmiento")</f>
        <v>@CSCSarmiento</v>
      </c>
      <c r="C3284" s="21" t="s">
        <v>7696</v>
      </c>
      <c r="D3284" s="21" t="s">
        <v>7594</v>
      </c>
      <c r="E3284" s="22" t="str">
        <f>HYPERLINK("https://twitter.com/CSCSarmiento/status/922432541788839943","922432541788839943")</f>
        <v>922432541788839943</v>
      </c>
      <c r="F3284" s="23" t="s">
        <v>43</v>
      </c>
      <c r="G3284" s="24">
        <v>757.0</v>
      </c>
      <c r="H3284" s="24">
        <v>705.0</v>
      </c>
      <c r="I3284" s="24">
        <v>10.0</v>
      </c>
      <c r="J3284" s="24">
        <v>0.0</v>
      </c>
      <c r="K3284" s="23" t="s">
        <v>34</v>
      </c>
      <c r="L3284" s="25">
        <v>40302.2746875</v>
      </c>
      <c r="M3284" s="26" t="s">
        <v>7697</v>
      </c>
      <c r="N3284" s="26" t="s">
        <v>7698</v>
      </c>
      <c r="O3284" s="22" t="str">
        <f>HYPERLINK("https://pbs.twimg.com/profile_images/875199499697668096/j1Nzfd5z_normal.jpg","View")</f>
        <v>View</v>
      </c>
      <c r="P3284" s="27"/>
    </row>
    <row r="3285">
      <c r="A3285" s="14">
        <v>43031.20869212963</v>
      </c>
      <c r="B3285" s="20" t="str">
        <f>HYPERLINK("https://twitter.com/mlnangalama","@mlnangalama")</f>
        <v>@mlnangalama</v>
      </c>
      <c r="C3285" s="21" t="s">
        <v>925</v>
      </c>
      <c r="D3285" s="21" t="s">
        <v>7699</v>
      </c>
      <c r="E3285" s="22" t="str">
        <f>HYPERLINK("https://twitter.com/mlnangalama/status/922432546503319552","922432546503319552")</f>
        <v>922432546503319552</v>
      </c>
      <c r="F3285" s="23" t="s">
        <v>187</v>
      </c>
      <c r="G3285" s="24">
        <v>2366.0</v>
      </c>
      <c r="H3285" s="24">
        <v>1582.0</v>
      </c>
      <c r="I3285" s="24">
        <v>0.0</v>
      </c>
      <c r="J3285" s="24">
        <v>0.0</v>
      </c>
      <c r="K3285" s="23" t="s">
        <v>34</v>
      </c>
      <c r="L3285" s="25">
        <v>41041.54378472222</v>
      </c>
      <c r="M3285" s="26" t="s">
        <v>927</v>
      </c>
      <c r="N3285" s="26" t="s">
        <v>928</v>
      </c>
      <c r="O3285" s="22" t="str">
        <f>HYPERLINK("https://pbs.twimg.com/profile_images/900915882444173313/biUHzvpx_normal.jpg","View")</f>
        <v>View</v>
      </c>
      <c r="P3285" s="27"/>
    </row>
    <row r="3286">
      <c r="A3286" s="14">
        <v>43031.20872685185</v>
      </c>
      <c r="B3286" s="20" t="str">
        <f>HYPERLINK("https://twitter.com/GaneshNerkar5","@GaneshNerkar5")</f>
        <v>@GaneshNerkar5</v>
      </c>
      <c r="C3286" s="21" t="s">
        <v>7700</v>
      </c>
      <c r="D3286" s="21" t="s">
        <v>42</v>
      </c>
      <c r="E3286" s="22" t="str">
        <f>HYPERLINK("https://twitter.com/GaneshNerkar5/status/922432557135699968","922432557135699968")</f>
        <v>922432557135699968</v>
      </c>
      <c r="F3286" s="23" t="s">
        <v>33</v>
      </c>
      <c r="G3286" s="24">
        <v>27.0</v>
      </c>
      <c r="H3286" s="24">
        <v>247.0</v>
      </c>
      <c r="I3286" s="24">
        <v>8501.0</v>
      </c>
      <c r="J3286" s="24">
        <v>0.0</v>
      </c>
      <c r="K3286" s="23" t="s">
        <v>34</v>
      </c>
      <c r="L3286" s="25">
        <v>42996.240636574075</v>
      </c>
      <c r="M3286" s="26" t="s">
        <v>475</v>
      </c>
      <c r="N3286" s="26" t="s">
        <v>7701</v>
      </c>
      <c r="O3286" s="22" t="str">
        <f>HYPERLINK("https://pbs.twimg.com/profile_images/909768473764544514/ftldCWhq_normal.jpg","View")</f>
        <v>View</v>
      </c>
      <c r="P3286" s="27"/>
    </row>
    <row r="3287">
      <c r="A3287" s="14">
        <v>43031.2087962963</v>
      </c>
      <c r="B3287" s="20" t="str">
        <f>HYPERLINK("https://twitter.com/tynernews1","@tynernews1")</f>
        <v>@tynernews1</v>
      </c>
      <c r="C3287" s="21" t="s">
        <v>7702</v>
      </c>
      <c r="D3287" s="21" t="s">
        <v>7703</v>
      </c>
      <c r="E3287" s="22" t="str">
        <f>HYPERLINK("https://twitter.com/tynernews1/status/922432582444298240","922432582444298240")</f>
        <v>922432582444298240</v>
      </c>
      <c r="F3287" s="23" t="s">
        <v>1799</v>
      </c>
      <c r="G3287" s="24">
        <v>323.0</v>
      </c>
      <c r="H3287" s="24">
        <v>664.0</v>
      </c>
      <c r="I3287" s="24">
        <v>2.0</v>
      </c>
      <c r="J3287" s="24">
        <v>0.0</v>
      </c>
      <c r="K3287" s="23" t="s">
        <v>34</v>
      </c>
      <c r="L3287" s="25">
        <v>42345.68918981482</v>
      </c>
      <c r="M3287" s="28"/>
      <c r="N3287" s="26" t="s">
        <v>7704</v>
      </c>
      <c r="O3287" s="22" t="str">
        <f>HYPERLINK("https://pbs.twimg.com/profile_images/674024238865588224/oAM6pYow_normal.jpg","View")</f>
        <v>View</v>
      </c>
      <c r="P3287" s="27"/>
    </row>
    <row r="3288">
      <c r="A3288" s="14">
        <v>43031.20884259259</v>
      </c>
      <c r="B3288" s="20" t="str">
        <f>HYPERLINK("https://twitter.com/Aswinikumar98","@Aswinikumar98")</f>
        <v>@Aswinikumar98</v>
      </c>
      <c r="C3288" s="21" t="s">
        <v>7705</v>
      </c>
      <c r="D3288" s="21" t="s">
        <v>42</v>
      </c>
      <c r="E3288" s="22" t="str">
        <f>HYPERLINK("https://twitter.com/Aswinikumar98/status/922432601394110464","922432601394110464")</f>
        <v>922432601394110464</v>
      </c>
      <c r="F3288" s="23" t="s">
        <v>55</v>
      </c>
      <c r="G3288" s="24">
        <v>93.0</v>
      </c>
      <c r="H3288" s="24">
        <v>88.0</v>
      </c>
      <c r="I3288" s="24">
        <v>8501.0</v>
      </c>
      <c r="J3288" s="24">
        <v>0.0</v>
      </c>
      <c r="K3288" s="23" t="s">
        <v>34</v>
      </c>
      <c r="L3288" s="25">
        <v>42115.35996527778</v>
      </c>
      <c r="M3288" s="26" t="s">
        <v>7706</v>
      </c>
      <c r="N3288" s="28"/>
      <c r="O3288" s="22" t="str">
        <f>HYPERLINK("https://pbs.twimg.com/profile_images/596657600747339778/sTvg50_w_normal.jpg","View")</f>
        <v>View</v>
      </c>
      <c r="P3288" s="27"/>
    </row>
    <row r="3289">
      <c r="A3289" s="14">
        <v>43031.20887731481</v>
      </c>
      <c r="B3289" s="20" t="str">
        <f>HYPERLINK("https://twitter.com/MajumderAtreya6","@MajumderAtreya6")</f>
        <v>@MajumderAtreya6</v>
      </c>
      <c r="C3289" s="21" t="s">
        <v>7707</v>
      </c>
      <c r="D3289" s="21" t="s">
        <v>42</v>
      </c>
      <c r="E3289" s="22" t="str">
        <f>HYPERLINK("https://twitter.com/MajumderAtreya6/status/922432613112877057","922432613112877057")</f>
        <v>922432613112877057</v>
      </c>
      <c r="F3289" s="23" t="s">
        <v>43</v>
      </c>
      <c r="G3289" s="24">
        <v>69.0</v>
      </c>
      <c r="H3289" s="24">
        <v>98.0</v>
      </c>
      <c r="I3289" s="24">
        <v>8501.0</v>
      </c>
      <c r="J3289" s="24">
        <v>0.0</v>
      </c>
      <c r="K3289" s="23" t="s">
        <v>34</v>
      </c>
      <c r="L3289" s="25">
        <v>42473.424363425926</v>
      </c>
      <c r="M3289" s="26" t="s">
        <v>4398</v>
      </c>
      <c r="N3289" s="26" t="s">
        <v>7708</v>
      </c>
      <c r="O3289" s="22" t="str">
        <f>HYPERLINK("https://pbs.twimg.com/profile_images/771748384688443392/c86FJO1I_normal.jpg","View")</f>
        <v>View</v>
      </c>
      <c r="P3289" s="27"/>
    </row>
    <row r="3290">
      <c r="A3290" s="14">
        <v>43031.20891203704</v>
      </c>
      <c r="B3290" s="20" t="str">
        <f>HYPERLINK("https://twitter.com/baisjaya","@baisjaya")</f>
        <v>@baisjaya</v>
      </c>
      <c r="C3290" s="21" t="s">
        <v>7709</v>
      </c>
      <c r="D3290" s="21" t="s">
        <v>42</v>
      </c>
      <c r="E3290" s="22" t="str">
        <f>HYPERLINK("https://twitter.com/baisjaya/status/922432623892357122","922432623892357122")</f>
        <v>922432623892357122</v>
      </c>
      <c r="F3290" s="23" t="s">
        <v>33</v>
      </c>
      <c r="G3290" s="24">
        <v>98.0</v>
      </c>
      <c r="H3290" s="24">
        <v>209.0</v>
      </c>
      <c r="I3290" s="24">
        <v>8501.0</v>
      </c>
      <c r="J3290" s="24">
        <v>0.0</v>
      </c>
      <c r="K3290" s="23" t="s">
        <v>34</v>
      </c>
      <c r="L3290" s="25">
        <v>42720.433483796296</v>
      </c>
      <c r="M3290" s="28"/>
      <c r="N3290" s="28"/>
      <c r="O3290" s="22" t="str">
        <f>HYPERLINK("https://pbs.twimg.com/profile_images/829984460531761152/pfUiNMu1_normal.jpg","View")</f>
        <v>View</v>
      </c>
      <c r="P3290" s="27"/>
    </row>
    <row r="3291">
      <c r="A3291" s="14">
        <v>43031.208923611106</v>
      </c>
      <c r="B3291" s="20" t="str">
        <f>HYPERLINK("https://twitter.com/BeanJD","@BeanJD")</f>
        <v>@BeanJD</v>
      </c>
      <c r="C3291" s="21" t="s">
        <v>7710</v>
      </c>
      <c r="D3291" s="21" t="s">
        <v>7711</v>
      </c>
      <c r="E3291" s="22" t="str">
        <f>HYPERLINK("https://twitter.com/BeanJD/status/922432629999374336","922432629999374336")</f>
        <v>922432629999374336</v>
      </c>
      <c r="F3291" s="23" t="s">
        <v>55</v>
      </c>
      <c r="G3291" s="24">
        <v>1438.0</v>
      </c>
      <c r="H3291" s="24">
        <v>578.0</v>
      </c>
      <c r="I3291" s="24">
        <v>0.0</v>
      </c>
      <c r="J3291" s="24">
        <v>0.0</v>
      </c>
      <c r="K3291" s="23" t="s">
        <v>34</v>
      </c>
      <c r="L3291" s="25">
        <v>40660.802569444444</v>
      </c>
      <c r="M3291" s="26" t="s">
        <v>7712</v>
      </c>
      <c r="N3291" s="26" t="s">
        <v>7713</v>
      </c>
      <c r="O3291" s="22" t="str">
        <f>HYPERLINK("https://pbs.twimg.com/profile_images/1486906679/Mainland_Affairs__ECFA_Taipei_normal.JPG","View")</f>
        <v>View</v>
      </c>
      <c r="P3291" s="27"/>
    </row>
    <row r="3292">
      <c r="A3292" s="14">
        <v>43031.20900462963</v>
      </c>
      <c r="B3292" s="20" t="str">
        <f>HYPERLINK("https://twitter.com/DAlexBlumenthal","@DAlexBlumenthal")</f>
        <v>@DAlexBlumenthal</v>
      </c>
      <c r="C3292" s="21" t="s">
        <v>7714</v>
      </c>
      <c r="D3292" s="21" t="s">
        <v>7715</v>
      </c>
      <c r="E3292" s="22" t="str">
        <f>HYPERLINK("https://twitter.com/DAlexBlumenthal/status/922432657253859329","922432657253859329")</f>
        <v>922432657253859329</v>
      </c>
      <c r="F3292" s="23" t="s">
        <v>55</v>
      </c>
      <c r="G3292" s="24">
        <v>2701.0</v>
      </c>
      <c r="H3292" s="24">
        <v>1919.0</v>
      </c>
      <c r="I3292" s="24">
        <v>0.0</v>
      </c>
      <c r="J3292" s="24">
        <v>2.0</v>
      </c>
      <c r="K3292" s="23" t="s">
        <v>34</v>
      </c>
      <c r="L3292" s="25">
        <v>41571.36025462963</v>
      </c>
      <c r="M3292" s="35" t="s">
        <v>7716</v>
      </c>
      <c r="N3292" s="26" t="s">
        <v>7717</v>
      </c>
      <c r="O3292" s="22" t="str">
        <f>HYPERLINK("https://pbs.twimg.com/profile_images/378800000642710092/2d100b2a96e803da040b46da00e91738_normal.jpeg","View")</f>
        <v>View</v>
      </c>
      <c r="P3292" s="27"/>
    </row>
    <row r="3293">
      <c r="A3293" s="14">
        <v>43031.209016203706</v>
      </c>
      <c r="B3293" s="20" t="str">
        <f>HYPERLINK("https://twitter.com/Monu_Sanadya","@Monu_Sanadya")</f>
        <v>@Monu_Sanadya</v>
      </c>
      <c r="C3293" s="21" t="s">
        <v>7718</v>
      </c>
      <c r="D3293" s="21" t="s">
        <v>42</v>
      </c>
      <c r="E3293" s="22" t="str">
        <f>HYPERLINK("https://twitter.com/Monu_Sanadya/status/922432664006565889","922432664006565889")</f>
        <v>922432664006565889</v>
      </c>
      <c r="F3293" s="23" t="s">
        <v>33</v>
      </c>
      <c r="G3293" s="24">
        <v>127.0</v>
      </c>
      <c r="H3293" s="24">
        <v>243.0</v>
      </c>
      <c r="I3293" s="24">
        <v>8501.0</v>
      </c>
      <c r="J3293" s="24">
        <v>0.0</v>
      </c>
      <c r="K3293" s="23" t="s">
        <v>34</v>
      </c>
      <c r="L3293" s="25">
        <v>42631.5224537037</v>
      </c>
      <c r="M3293" s="26" t="s">
        <v>7719</v>
      </c>
      <c r="N3293" s="26" t="s">
        <v>7720</v>
      </c>
      <c r="O3293" s="22" t="str">
        <f>HYPERLINK("https://pbs.twimg.com/profile_images/805973919958175744/8_tb6izI_normal.jpg","View")</f>
        <v>View</v>
      </c>
      <c r="P3293" s="27"/>
    </row>
    <row r="3294">
      <c r="A3294" s="14">
        <v>43031.20903935185</v>
      </c>
      <c r="B3294" s="20" t="str">
        <f>HYPERLINK("https://twitter.com/DeepakS41873107","@DeepakS41873107")</f>
        <v>@DeepakS41873107</v>
      </c>
      <c r="C3294" s="21" t="s">
        <v>7721</v>
      </c>
      <c r="D3294" s="21" t="s">
        <v>42</v>
      </c>
      <c r="E3294" s="22" t="str">
        <f>HYPERLINK("https://twitter.com/DeepakS41873107/status/922432672147783680","922432672147783680")</f>
        <v>922432672147783680</v>
      </c>
      <c r="F3294" s="23" t="s">
        <v>33</v>
      </c>
      <c r="G3294" s="24">
        <v>16.0</v>
      </c>
      <c r="H3294" s="24">
        <v>152.0</v>
      </c>
      <c r="I3294" s="24">
        <v>8501.0</v>
      </c>
      <c r="J3294" s="24">
        <v>0.0</v>
      </c>
      <c r="K3294" s="23" t="s">
        <v>34</v>
      </c>
      <c r="L3294" s="25">
        <v>42963.976365740746</v>
      </c>
      <c r="M3294" s="28"/>
      <c r="N3294" s="28"/>
      <c r="O3294" s="22" t="str">
        <f>HYPERLINK("https://abs.twimg.com/sticky/default_profile_images/default_profile_normal.png","View")</f>
        <v>View</v>
      </c>
      <c r="P3294" s="27"/>
    </row>
    <row r="3295">
      <c r="A3295" s="14">
        <v>43031.20908564815</v>
      </c>
      <c r="B3295" s="20" t="str">
        <f>HYPERLINK("https://twitter.com/oilforbook","@oilforbook")</f>
        <v>@oilforbook</v>
      </c>
      <c r="C3295" s="21" t="s">
        <v>7722</v>
      </c>
      <c r="D3295" s="21" t="s">
        <v>7723</v>
      </c>
      <c r="E3295" s="22" t="str">
        <f>HYPERLINK("https://twitter.com/oilforbook/status/922432689084313600","922432689084313600")</f>
        <v>922432689084313600</v>
      </c>
      <c r="F3295" s="30" t="s">
        <v>411</v>
      </c>
      <c r="G3295" s="24">
        <v>1488.0</v>
      </c>
      <c r="H3295" s="24">
        <v>2244.0</v>
      </c>
      <c r="I3295" s="24">
        <v>0.0</v>
      </c>
      <c r="J3295" s="24">
        <v>0.0</v>
      </c>
      <c r="K3295" s="23" t="s">
        <v>34</v>
      </c>
      <c r="L3295" s="25">
        <v>40539.58273148148</v>
      </c>
      <c r="M3295" s="26" t="s">
        <v>7724</v>
      </c>
      <c r="N3295" s="26" t="s">
        <v>7725</v>
      </c>
      <c r="O3295" s="22" t="str">
        <f>HYPERLINK("https://pbs.twimg.com/profile_images/678488143675420672/1onr2SXH_normal.jpg","View")</f>
        <v>View</v>
      </c>
      <c r="P3295" s="27"/>
    </row>
    <row r="3296">
      <c r="A3296" s="14">
        <v>43031.209120370375</v>
      </c>
      <c r="B3296" s="20" t="str">
        <f>HYPERLINK("https://twitter.com/TokyoHappenings","@TokyoHappenings")</f>
        <v>@TokyoHappenings</v>
      </c>
      <c r="C3296" s="21" t="s">
        <v>7726</v>
      </c>
      <c r="D3296" s="21" t="s">
        <v>7727</v>
      </c>
      <c r="E3296" s="22" t="str">
        <f>HYPERLINK("https://twitter.com/TokyoHappenings/status/922432701831016448","922432701831016448")</f>
        <v>922432701831016448</v>
      </c>
      <c r="F3296" s="30" t="s">
        <v>7728</v>
      </c>
      <c r="G3296" s="24">
        <v>408.0</v>
      </c>
      <c r="H3296" s="24">
        <v>427.0</v>
      </c>
      <c r="I3296" s="24">
        <v>0.0</v>
      </c>
      <c r="J3296" s="24">
        <v>0.0</v>
      </c>
      <c r="K3296" s="23" t="s">
        <v>34</v>
      </c>
      <c r="L3296" s="25">
        <v>41270.61766203704</v>
      </c>
      <c r="M3296" s="28"/>
      <c r="N3296" s="26" t="s">
        <v>7729</v>
      </c>
      <c r="O3296" s="22" t="str">
        <f>HYPERLINK("https://pbs.twimg.com/profile_images/3030253852/fd4ab8443b77d643f9593a58172fc622_normal.png","View")</f>
        <v>View</v>
      </c>
      <c r="P3296" s="27"/>
    </row>
    <row r="3297">
      <c r="A3297" s="14">
        <v>43031.209120370375</v>
      </c>
      <c r="B3297" s="20" t="str">
        <f>HYPERLINK("https://twitter.com/JohnWRendon","@JohnWRendon")</f>
        <v>@JohnWRendon</v>
      </c>
      <c r="C3297" s="21" t="s">
        <v>7730</v>
      </c>
      <c r="D3297" s="21" t="s">
        <v>7731</v>
      </c>
      <c r="E3297" s="22" t="str">
        <f>HYPERLINK("https://twitter.com/JohnWRendon/status/922432701969371138","922432701969371138")</f>
        <v>922432701969371138</v>
      </c>
      <c r="F3297" s="23" t="s">
        <v>427</v>
      </c>
      <c r="G3297" s="24">
        <v>1765.0</v>
      </c>
      <c r="H3297" s="24">
        <v>124.0</v>
      </c>
      <c r="I3297" s="24">
        <v>0.0</v>
      </c>
      <c r="J3297" s="24">
        <v>1.0</v>
      </c>
      <c r="K3297" s="23" t="s">
        <v>34</v>
      </c>
      <c r="L3297" s="25">
        <v>40772.19920138889</v>
      </c>
      <c r="M3297" s="26" t="s">
        <v>7732</v>
      </c>
      <c r="N3297" s="26" t="s">
        <v>7733</v>
      </c>
      <c r="O3297" s="22" t="str">
        <f>HYPERLINK("https://pbs.twimg.com/profile_images/1499900492/JohnRendon_normal.jpg","View")</f>
        <v>View</v>
      </c>
      <c r="P3297" s="27"/>
    </row>
    <row r="3298">
      <c r="A3298" s="14">
        <v>43031.20917824074</v>
      </c>
      <c r="B3298" s="20" t="str">
        <f>HYPERLINK("https://twitter.com/bnzjpn","@bnzjpn")</f>
        <v>@bnzjpn</v>
      </c>
      <c r="C3298" s="21" t="s">
        <v>7734</v>
      </c>
      <c r="D3298" s="21" t="s">
        <v>7735</v>
      </c>
      <c r="E3298" s="22" t="str">
        <f>HYPERLINK("https://twitter.com/bnzjpn/status/922432721443540992","922432721443540992")</f>
        <v>922432721443540992</v>
      </c>
      <c r="F3298" s="23" t="s">
        <v>427</v>
      </c>
      <c r="G3298" s="24">
        <v>207.0</v>
      </c>
      <c r="H3298" s="24">
        <v>649.0</v>
      </c>
      <c r="I3298" s="24">
        <v>0.0</v>
      </c>
      <c r="J3298" s="24">
        <v>0.0</v>
      </c>
      <c r="K3298" s="23" t="s">
        <v>34</v>
      </c>
      <c r="L3298" s="25">
        <v>41932.007627314815</v>
      </c>
      <c r="M3298" s="28"/>
      <c r="N3298" s="28"/>
      <c r="O3298" s="22" t="str">
        <f>HYPERLINK("https://pbs.twimg.com/profile_images/524095630960889856/JgG6IzOp_normal.png","View")</f>
        <v>View</v>
      </c>
      <c r="P3298" s="27"/>
    </row>
    <row r="3299">
      <c r="A3299" s="14">
        <v>43031.209189814814</v>
      </c>
      <c r="B3299" s="20" t="str">
        <f>HYPERLINK("https://twitter.com/BusinessLiveSA","@BusinessLiveSA")</f>
        <v>@BusinessLiveSA</v>
      </c>
      <c r="C3299" s="21" t="s">
        <v>6478</v>
      </c>
      <c r="D3299" s="21" t="s">
        <v>7736</v>
      </c>
      <c r="E3299" s="22" t="str">
        <f>HYPERLINK("https://twitter.com/BusinessLiveSA/status/922432725688176640","922432725688176640")</f>
        <v>922432725688176640</v>
      </c>
      <c r="F3299" s="23" t="s">
        <v>427</v>
      </c>
      <c r="G3299" s="24">
        <v>7793.0</v>
      </c>
      <c r="H3299" s="24">
        <v>528.0</v>
      </c>
      <c r="I3299" s="24">
        <v>0.0</v>
      </c>
      <c r="J3299" s="24">
        <v>0.0</v>
      </c>
      <c r="K3299" s="23" t="s">
        <v>34</v>
      </c>
      <c r="L3299" s="25">
        <v>40429.0778125</v>
      </c>
      <c r="M3299" s="26" t="s">
        <v>6480</v>
      </c>
      <c r="N3299" s="26" t="s">
        <v>6481</v>
      </c>
      <c r="O3299" s="22" t="str">
        <f>HYPERLINK("https://pbs.twimg.com/profile_images/780662545300488192/KSPoUhC4_normal.jpg","View")</f>
        <v>View</v>
      </c>
      <c r="P3299" s="27"/>
    </row>
    <row r="3300">
      <c r="A3300" s="14">
        <v>43031.209189814814</v>
      </c>
      <c r="B3300" s="20" t="str">
        <f>HYPERLINK("https://twitter.com/vnghanekar","@vnghanekar")</f>
        <v>@vnghanekar</v>
      </c>
      <c r="C3300" s="21" t="s">
        <v>7737</v>
      </c>
      <c r="D3300" s="21" t="s">
        <v>42</v>
      </c>
      <c r="E3300" s="22" t="str">
        <f>HYPERLINK("https://twitter.com/vnghanekar/status/922432727814565888","922432727814565888")</f>
        <v>922432727814565888</v>
      </c>
      <c r="F3300" s="23" t="s">
        <v>39</v>
      </c>
      <c r="G3300" s="24">
        <v>36.0</v>
      </c>
      <c r="H3300" s="24">
        <v>320.0</v>
      </c>
      <c r="I3300" s="24">
        <v>8501.0</v>
      </c>
      <c r="J3300" s="24">
        <v>0.0</v>
      </c>
      <c r="K3300" s="23" t="s">
        <v>34</v>
      </c>
      <c r="L3300" s="25">
        <v>41994.24664351852</v>
      </c>
      <c r="M3300" s="26" t="s">
        <v>1162</v>
      </c>
      <c r="N3300" s="26" t="s">
        <v>7738</v>
      </c>
      <c r="O3300" s="22" t="str">
        <f>HYPERLINK("https://pbs.twimg.com/profile_images/546925448110678017/WHaXim6n_normal.jpeg","View")</f>
        <v>View</v>
      </c>
      <c r="P3300" s="27"/>
    </row>
    <row r="3301">
      <c r="A3301" s="14">
        <v>43031.20920138889</v>
      </c>
      <c r="B3301" s="20" t="str">
        <f>HYPERLINK("https://twitter.com/vitkur78","@vitkur78")</f>
        <v>@vitkur78</v>
      </c>
      <c r="C3301" s="21" t="s">
        <v>7739</v>
      </c>
      <c r="D3301" s="21" t="s">
        <v>7703</v>
      </c>
      <c r="E3301" s="22" t="str">
        <f>HYPERLINK("https://twitter.com/vitkur78/status/922432729416982528","922432729416982528")</f>
        <v>922432729416982528</v>
      </c>
      <c r="F3301" s="23" t="s">
        <v>7740</v>
      </c>
      <c r="G3301" s="24">
        <v>1491.0</v>
      </c>
      <c r="H3301" s="24">
        <v>791.0</v>
      </c>
      <c r="I3301" s="24">
        <v>2.0</v>
      </c>
      <c r="J3301" s="24">
        <v>0.0</v>
      </c>
      <c r="K3301" s="23" t="s">
        <v>34</v>
      </c>
      <c r="L3301" s="25">
        <v>42615.24172453704</v>
      </c>
      <c r="M3301" s="26" t="s">
        <v>7741</v>
      </c>
      <c r="N3301" s="26" t="s">
        <v>7742</v>
      </c>
      <c r="O3301" s="22" t="str">
        <f>HYPERLINK("https://pbs.twimg.com/profile_images/899014867688017920/XXT-98Ma_normal.jpg","View")</f>
        <v>View</v>
      </c>
      <c r="P3301" s="27"/>
    </row>
    <row r="3302">
      <c r="A3302" s="14">
        <v>43031.20924768518</v>
      </c>
      <c r="B3302" s="20" t="str">
        <f>HYPERLINK("https://twitter.com/RodBamberry","@RodBamberry")</f>
        <v>@RodBamberry</v>
      </c>
      <c r="C3302" s="21" t="s">
        <v>7743</v>
      </c>
      <c r="D3302" s="21" t="s">
        <v>7198</v>
      </c>
      <c r="E3302" s="22" t="str">
        <f>HYPERLINK("https://twitter.com/RodBamberry/status/922432745413869569","922432745413869569")</f>
        <v>922432745413869569</v>
      </c>
      <c r="F3302" s="23" t="s">
        <v>39</v>
      </c>
      <c r="G3302" s="24">
        <v>836.0</v>
      </c>
      <c r="H3302" s="24">
        <v>376.0</v>
      </c>
      <c r="I3302" s="24">
        <v>11.0</v>
      </c>
      <c r="J3302" s="24">
        <v>0.0</v>
      </c>
      <c r="K3302" s="23" t="s">
        <v>34</v>
      </c>
      <c r="L3302" s="25">
        <v>40794.911944444444</v>
      </c>
      <c r="M3302" s="26" t="s">
        <v>7744</v>
      </c>
      <c r="N3302" s="26" t="s">
        <v>7745</v>
      </c>
      <c r="O3302" s="22" t="str">
        <f>HYPERLINK("https://pbs.twimg.com/profile_images/563305201621168128/STaJrn2k_normal.jpeg","View")</f>
        <v>View</v>
      </c>
      <c r="P3302" s="27"/>
    </row>
    <row r="3303">
      <c r="A3303" s="14">
        <v>43031.20925925926</v>
      </c>
      <c r="B3303" s="20" t="str">
        <f>HYPERLINK("https://twitter.com/9arlos9","@9arlos9")</f>
        <v>@9arlos9</v>
      </c>
      <c r="C3303" s="21" t="s">
        <v>7746</v>
      </c>
      <c r="D3303" s="21" t="s">
        <v>5262</v>
      </c>
      <c r="E3303" s="22" t="str">
        <f>HYPERLINK("https://twitter.com/9arlos9/status/922432749767745536","922432749767745536")</f>
        <v>922432749767745536</v>
      </c>
      <c r="F3303" s="23" t="s">
        <v>39</v>
      </c>
      <c r="G3303" s="24">
        <v>30.0</v>
      </c>
      <c r="H3303" s="24">
        <v>479.0</v>
      </c>
      <c r="I3303" s="24">
        <v>22.0</v>
      </c>
      <c r="J3303" s="24">
        <v>0.0</v>
      </c>
      <c r="K3303" s="23" t="s">
        <v>34</v>
      </c>
      <c r="L3303" s="25">
        <v>41686.335694444446</v>
      </c>
      <c r="M3303" s="28"/>
      <c r="N3303" s="28"/>
      <c r="O3303" s="22" t="str">
        <f>HYPERLINK("https://pbs.twimg.com/profile_images/868203414966161408/582i8-_K_normal.jpg","View")</f>
        <v>View</v>
      </c>
      <c r="P3303" s="27"/>
    </row>
    <row r="3304">
      <c r="A3304" s="14">
        <v>43031.209282407406</v>
      </c>
      <c r="B3304" s="20" t="str">
        <f>HYPERLINK("https://twitter.com/NguyenBojami","@NguyenBojami")</f>
        <v>@NguyenBojami</v>
      </c>
      <c r="C3304" s="21" t="s">
        <v>7747</v>
      </c>
      <c r="D3304" s="21" t="s">
        <v>7748</v>
      </c>
      <c r="E3304" s="22" t="str">
        <f>HYPERLINK("https://twitter.com/NguyenBojami/status/922432757699108865","922432757699108865")</f>
        <v>922432757699108865</v>
      </c>
      <c r="F3304" s="23" t="s">
        <v>427</v>
      </c>
      <c r="G3304" s="24">
        <v>38.0</v>
      </c>
      <c r="H3304" s="24">
        <v>60.0</v>
      </c>
      <c r="I3304" s="24">
        <v>0.0</v>
      </c>
      <c r="J3304" s="24">
        <v>0.0</v>
      </c>
      <c r="K3304" s="23" t="s">
        <v>34</v>
      </c>
      <c r="L3304" s="25">
        <v>42350.5865625</v>
      </c>
      <c r="M3304" s="26" t="s">
        <v>7749</v>
      </c>
      <c r="N3304" s="28"/>
      <c r="O3304" s="22" t="str">
        <f>HYPERLINK("https://pbs.twimg.com/profile_images/675799364405616640/T2A5_ogp_normal.jpg","View")</f>
        <v>View</v>
      </c>
      <c r="P3304" s="27"/>
    </row>
    <row r="3305">
      <c r="A3305" s="14">
        <v>43031.20931712963</v>
      </c>
      <c r="B3305" s="20" t="str">
        <f>HYPERLINK("https://twitter.com/cureellen","@cureellen")</f>
        <v>@cureellen</v>
      </c>
      <c r="C3305" s="21" t="s">
        <v>7750</v>
      </c>
      <c r="D3305" s="21" t="s">
        <v>1220</v>
      </c>
      <c r="E3305" s="22" t="str">
        <f>HYPERLINK("https://twitter.com/cureellen/status/922432770369916929","922432770369916929")</f>
        <v>922432770369916929</v>
      </c>
      <c r="F3305" s="23" t="s">
        <v>7751</v>
      </c>
      <c r="G3305" s="24">
        <v>778.0</v>
      </c>
      <c r="H3305" s="24">
        <v>1023.0</v>
      </c>
      <c r="I3305" s="24">
        <v>26.0</v>
      </c>
      <c r="J3305" s="24">
        <v>0.0</v>
      </c>
      <c r="K3305" s="23" t="s">
        <v>34</v>
      </c>
      <c r="L3305" s="25">
        <v>41680.83771990741</v>
      </c>
      <c r="M3305" s="28"/>
      <c r="N3305" s="26" t="s">
        <v>7752</v>
      </c>
      <c r="O3305" s="22" t="str">
        <f>HYPERLINK("https://pbs.twimg.com/profile_images/481617519111712768/hMqpp5Ag_normal.jpeg","View")</f>
        <v>View</v>
      </c>
      <c r="P3305" s="27"/>
    </row>
    <row r="3306">
      <c r="A3306" s="14">
        <v>43031.209386574075</v>
      </c>
      <c r="B3306" s="20" t="str">
        <f>HYPERLINK("https://twitter.com/RajNathaniBJP","@RajNathaniBJP")</f>
        <v>@RajNathaniBJP</v>
      </c>
      <c r="C3306" s="21" t="s">
        <v>7753</v>
      </c>
      <c r="D3306" s="21" t="s">
        <v>42</v>
      </c>
      <c r="E3306" s="22" t="str">
        <f>HYPERLINK("https://twitter.com/RajNathaniBJP/status/922432797788266496","922432797788266496")</f>
        <v>922432797788266496</v>
      </c>
      <c r="F3306" s="23" t="s">
        <v>33</v>
      </c>
      <c r="G3306" s="24">
        <v>49029.0</v>
      </c>
      <c r="H3306" s="24">
        <v>211.0</v>
      </c>
      <c r="I3306" s="24">
        <v>8501.0</v>
      </c>
      <c r="J3306" s="24">
        <v>0.0</v>
      </c>
      <c r="K3306" s="23" t="s">
        <v>34</v>
      </c>
      <c r="L3306" s="25">
        <v>42977.31445601852</v>
      </c>
      <c r="M3306" s="26" t="s">
        <v>7754</v>
      </c>
      <c r="N3306" s="26" t="s">
        <v>7755</v>
      </c>
      <c r="O3306" s="22" t="str">
        <f>HYPERLINK("https://pbs.twimg.com/profile_images/906558565489315840/7but3T-x_normal.jpg","View")</f>
        <v>View</v>
      </c>
      <c r="P3306" s="27"/>
    </row>
    <row r="3307">
      <c r="A3307" s="14">
        <v>43031.20943287037</v>
      </c>
      <c r="B3307" s="20" t="str">
        <f>HYPERLINK("https://twitter.com/RimiBasuSinha","@RimiBasuSinha")</f>
        <v>@RimiBasuSinha</v>
      </c>
      <c r="C3307" s="21" t="s">
        <v>7756</v>
      </c>
      <c r="D3307" s="21" t="s">
        <v>42</v>
      </c>
      <c r="E3307" s="22" t="str">
        <f>HYPERLINK("https://twitter.com/RimiBasuSinha/status/922432813776949248","922432813776949248")</f>
        <v>922432813776949248</v>
      </c>
      <c r="F3307" s="23" t="s">
        <v>39</v>
      </c>
      <c r="G3307" s="24">
        <v>219.0</v>
      </c>
      <c r="H3307" s="24">
        <v>175.0</v>
      </c>
      <c r="I3307" s="24">
        <v>8501.0</v>
      </c>
      <c r="J3307" s="24">
        <v>0.0</v>
      </c>
      <c r="K3307" s="23" t="s">
        <v>34</v>
      </c>
      <c r="L3307" s="25">
        <v>40164.8830787037</v>
      </c>
      <c r="M3307" s="26" t="s">
        <v>7757</v>
      </c>
      <c r="N3307" s="26" t="s">
        <v>7758</v>
      </c>
      <c r="O3307" s="22" t="str">
        <f>HYPERLINK("https://pbs.twimg.com/profile_images/619574429723439104/-m_Da4Qr_normal.jpg","View")</f>
        <v>View</v>
      </c>
      <c r="P3307" s="27"/>
    </row>
    <row r="3308">
      <c r="A3308" s="14">
        <v>43031.20943287037</v>
      </c>
      <c r="B3308" s="20" t="str">
        <f>HYPERLINK("https://twitter.com/hiteshi_mani","@hiteshi_mani")</f>
        <v>@hiteshi_mani</v>
      </c>
      <c r="C3308" s="21" t="s">
        <v>7759</v>
      </c>
      <c r="D3308" s="21" t="s">
        <v>42</v>
      </c>
      <c r="E3308" s="22" t="str">
        <f>HYPERLINK("https://twitter.com/hiteshi_mani/status/922432814208843777","922432814208843777")</f>
        <v>922432814208843777</v>
      </c>
      <c r="F3308" s="23" t="s">
        <v>33</v>
      </c>
      <c r="G3308" s="24">
        <v>33.0</v>
      </c>
      <c r="H3308" s="24">
        <v>287.0</v>
      </c>
      <c r="I3308" s="24">
        <v>8501.0</v>
      </c>
      <c r="J3308" s="24">
        <v>0.0</v>
      </c>
      <c r="K3308" s="23" t="s">
        <v>34</v>
      </c>
      <c r="L3308" s="25">
        <v>43009.34641203703</v>
      </c>
      <c r="M3308" s="26" t="s">
        <v>7760</v>
      </c>
      <c r="N3308" s="26" t="s">
        <v>7761</v>
      </c>
      <c r="O3308" s="22" t="str">
        <f>HYPERLINK("https://pbs.twimg.com/profile_images/914820278747721728/GKmoIQa3_normal.jpg","View")</f>
        <v>View</v>
      </c>
      <c r="P3308" s="27"/>
    </row>
    <row r="3309">
      <c r="A3309" s="14">
        <v>43031.20957175926</v>
      </c>
      <c r="B3309" s="20" t="str">
        <f>HYPERLINK("https://twitter.com/shivkant63","@shivkant63")</f>
        <v>@shivkant63</v>
      </c>
      <c r="C3309" s="21" t="s">
        <v>7762</v>
      </c>
      <c r="D3309" s="21" t="s">
        <v>163</v>
      </c>
      <c r="E3309" s="22" t="str">
        <f>HYPERLINK("https://twitter.com/shivkant63/status/922432865291223040","922432865291223040")</f>
        <v>922432865291223040</v>
      </c>
      <c r="F3309" s="23" t="s">
        <v>39</v>
      </c>
      <c r="G3309" s="24">
        <v>401.0</v>
      </c>
      <c r="H3309" s="24">
        <v>503.0</v>
      </c>
      <c r="I3309" s="24">
        <v>1005.0</v>
      </c>
      <c r="J3309" s="24">
        <v>0.0</v>
      </c>
      <c r="K3309" s="23" t="s">
        <v>34</v>
      </c>
      <c r="L3309" s="25">
        <v>40432.528645833336</v>
      </c>
      <c r="M3309" s="26" t="s">
        <v>575</v>
      </c>
      <c r="N3309" s="26" t="s">
        <v>7763</v>
      </c>
      <c r="O3309" s="22" t="str">
        <f>HYPERLINK("https://pbs.twimg.com/profile_images/880136286194900992/CyJ8tkne_normal.jpg","View")</f>
        <v>View</v>
      </c>
      <c r="P3309" s="27"/>
    </row>
    <row r="3310">
      <c r="A3310" s="14">
        <v>43031.20960648148</v>
      </c>
      <c r="B3310" s="20" t="str">
        <f>HYPERLINK("https://twitter.com/VVPutin_","@VVPutin_")</f>
        <v>@VVPutin_</v>
      </c>
      <c r="C3310" s="21" t="s">
        <v>7764</v>
      </c>
      <c r="D3310" s="21" t="s">
        <v>7765</v>
      </c>
      <c r="E3310" s="22" t="str">
        <f>HYPERLINK("https://twitter.com/VVPutin_/status/922432875349397505","922432875349397505")</f>
        <v>922432875349397505</v>
      </c>
      <c r="F3310" s="23" t="s">
        <v>427</v>
      </c>
      <c r="G3310" s="24">
        <v>51.0</v>
      </c>
      <c r="H3310" s="24">
        <v>126.0</v>
      </c>
      <c r="I3310" s="24">
        <v>0.0</v>
      </c>
      <c r="J3310" s="24">
        <v>0.0</v>
      </c>
      <c r="K3310" s="23" t="s">
        <v>34</v>
      </c>
      <c r="L3310" s="25">
        <v>42968.31324074074</v>
      </c>
      <c r="M3310" s="26" t="s">
        <v>68</v>
      </c>
      <c r="N3310" s="26" t="s">
        <v>7766</v>
      </c>
      <c r="O3310" s="22" t="str">
        <f>HYPERLINK("https://pbs.twimg.com/profile_images/899640345792839685/RWSV6yPQ_normal.jpg","View")</f>
        <v>View</v>
      </c>
      <c r="P3310" s="27"/>
    </row>
    <row r="3311">
      <c r="A3311" s="14">
        <v>43031.20961805555</v>
      </c>
      <c r="B3311" s="20" t="str">
        <f>HYPERLINK("https://twitter.com/shchen","@shchen")</f>
        <v>@shchen</v>
      </c>
      <c r="C3311" s="21" t="s">
        <v>7767</v>
      </c>
      <c r="D3311" s="21" t="s">
        <v>7768</v>
      </c>
      <c r="E3311" s="22" t="str">
        <f>HYPERLINK("https://twitter.com/shchen/status/922432879656710144","922432879656710144")</f>
        <v>922432879656710144</v>
      </c>
      <c r="F3311" s="23" t="s">
        <v>33</v>
      </c>
      <c r="G3311" s="24">
        <v>897.0</v>
      </c>
      <c r="H3311" s="24">
        <v>1082.0</v>
      </c>
      <c r="I3311" s="24">
        <v>43.0</v>
      </c>
      <c r="J3311" s="24">
        <v>0.0</v>
      </c>
      <c r="K3311" s="23" t="s">
        <v>34</v>
      </c>
      <c r="L3311" s="25">
        <v>39765.47912037037</v>
      </c>
      <c r="M3311" s="26" t="s">
        <v>7769</v>
      </c>
      <c r="N3311" s="26" t="s">
        <v>7770</v>
      </c>
      <c r="O3311" s="22" t="str">
        <f>HYPERLINK("https://pbs.twimg.com/profile_images/816316179622948864/MY8RK4sA_normal.jpg","View")</f>
        <v>View</v>
      </c>
      <c r="P3311" s="27"/>
    </row>
    <row r="3312">
      <c r="A3312" s="14">
        <v>43031.20971064815</v>
      </c>
      <c r="B3312" s="20" t="str">
        <f>HYPERLINK("https://twitter.com/Monitor_sur","@Monitor_sur")</f>
        <v>@Monitor_sur</v>
      </c>
      <c r="C3312" s="21" t="s">
        <v>7276</v>
      </c>
      <c r="D3312" s="21" t="s">
        <v>7771</v>
      </c>
      <c r="E3312" s="22" t="str">
        <f>HYPERLINK("https://twitter.com/Monitor_sur/status/922432915388207105","922432915388207105")</f>
        <v>922432915388207105</v>
      </c>
      <c r="F3312" s="23" t="s">
        <v>427</v>
      </c>
      <c r="G3312" s="24">
        <v>8336.0</v>
      </c>
      <c r="H3312" s="24">
        <v>668.0</v>
      </c>
      <c r="I3312" s="24">
        <v>0.0</v>
      </c>
      <c r="J3312" s="24">
        <v>0.0</v>
      </c>
      <c r="K3312" s="23" t="s">
        <v>34</v>
      </c>
      <c r="L3312" s="25">
        <v>41680.35775462963</v>
      </c>
      <c r="M3312" s="26" t="s">
        <v>1563</v>
      </c>
      <c r="N3312" s="26" t="s">
        <v>7278</v>
      </c>
      <c r="O3312" s="22" t="str">
        <f>HYPERLINK("https://pbs.twimg.com/profile_images/845323060584468481/Uy2FSm_h_normal.jpg","View")</f>
        <v>View</v>
      </c>
      <c r="P3312" s="27"/>
    </row>
    <row r="3313">
      <c r="A3313" s="14">
        <v>43031.209756944445</v>
      </c>
      <c r="B3313" s="20" t="str">
        <f>HYPERLINK("https://twitter.com/publicpowerpost","@publicpowerpost")</f>
        <v>@publicpowerpost</v>
      </c>
      <c r="C3313" s="21" t="s">
        <v>7772</v>
      </c>
      <c r="D3313" s="21" t="s">
        <v>42</v>
      </c>
      <c r="E3313" s="22" t="str">
        <f>HYPERLINK("https://twitter.com/publicpowerpost/status/922432931813101569","922432931813101569")</f>
        <v>922432931813101569</v>
      </c>
      <c r="F3313" s="23" t="s">
        <v>33</v>
      </c>
      <c r="G3313" s="24">
        <v>117795.0</v>
      </c>
      <c r="H3313" s="24">
        <v>11227.0</v>
      </c>
      <c r="I3313" s="24">
        <v>8501.0</v>
      </c>
      <c r="J3313" s="24">
        <v>0.0</v>
      </c>
      <c r="K3313" s="23" t="s">
        <v>34</v>
      </c>
      <c r="L3313" s="25">
        <v>39901.88670138889</v>
      </c>
      <c r="M3313" s="26" t="s">
        <v>7773</v>
      </c>
      <c r="N3313" s="26" t="s">
        <v>7774</v>
      </c>
      <c r="O3313" s="22" t="str">
        <f>HYPERLINK("https://pbs.twimg.com/profile_images/878457427754176513/-rT5A5PK_normal.jpg","View")</f>
        <v>View</v>
      </c>
      <c r="P3313" s="27"/>
    </row>
    <row r="3314">
      <c r="A3314" s="14">
        <v>43031.209872685184</v>
      </c>
      <c r="B3314" s="20" t="str">
        <f>HYPERLINK("https://twitter.com/jagdishkmar","@jagdishkmar")</f>
        <v>@jagdishkmar</v>
      </c>
      <c r="C3314" s="21" t="s">
        <v>7775</v>
      </c>
      <c r="D3314" s="21" t="s">
        <v>42</v>
      </c>
      <c r="E3314" s="22" t="str">
        <f>HYPERLINK("https://twitter.com/jagdishkmar/status/922432974192230400","922432974192230400")</f>
        <v>922432974192230400</v>
      </c>
      <c r="F3314" s="23" t="s">
        <v>33</v>
      </c>
      <c r="G3314" s="24">
        <v>2.0</v>
      </c>
      <c r="H3314" s="24">
        <v>126.0</v>
      </c>
      <c r="I3314" s="24">
        <v>8501.0</v>
      </c>
      <c r="J3314" s="24">
        <v>0.0</v>
      </c>
      <c r="K3314" s="23" t="s">
        <v>34</v>
      </c>
      <c r="L3314" s="25">
        <v>43031.18413194444</v>
      </c>
      <c r="M3314" s="26" t="s">
        <v>7776</v>
      </c>
      <c r="N3314" s="26" t="s">
        <v>7777</v>
      </c>
      <c r="O3314" s="22" t="str">
        <f>HYPERLINK("https://pbs.twimg.com/profile_images/922425785339613184/36Ghy0r1_normal.jpg","View")</f>
        <v>View</v>
      </c>
      <c r="P3314" s="27"/>
    </row>
    <row r="3315">
      <c r="A3315" s="14">
        <v>43031.20994212963</v>
      </c>
      <c r="B3315" s="20" t="str">
        <f>HYPERLINK("https://twitter.com/aayu777verma","@aayu777verma")</f>
        <v>@aayu777verma</v>
      </c>
      <c r="C3315" s="21" t="s">
        <v>7778</v>
      </c>
      <c r="D3315" s="21" t="s">
        <v>42</v>
      </c>
      <c r="E3315" s="22" t="str">
        <f>HYPERLINK("https://twitter.com/aayu777verma/status/922433000322813952","922433000322813952")</f>
        <v>922433000322813952</v>
      </c>
      <c r="F3315" s="23" t="s">
        <v>33</v>
      </c>
      <c r="G3315" s="24">
        <v>113.0</v>
      </c>
      <c r="H3315" s="24">
        <v>340.0</v>
      </c>
      <c r="I3315" s="24">
        <v>8501.0</v>
      </c>
      <c r="J3315" s="24">
        <v>0.0</v>
      </c>
      <c r="K3315" s="23" t="s">
        <v>34</v>
      </c>
      <c r="L3315" s="25">
        <v>42700.24737268519</v>
      </c>
      <c r="M3315" s="26" t="s">
        <v>3557</v>
      </c>
      <c r="N3315" s="26" t="s">
        <v>7779</v>
      </c>
      <c r="O3315" s="22" t="str">
        <f>HYPERLINK("https://pbs.twimg.com/profile_images/922434444153245696/aY_k-Pev_normal.jpg","View")</f>
        <v>View</v>
      </c>
      <c r="P3315" s="27"/>
    </row>
    <row r="3316">
      <c r="A3316" s="14">
        <v>43031.2100462963</v>
      </c>
      <c r="B3316" s="20" t="str">
        <f>HYPERLINK("https://twitter.com/Iamvedpandey","@Iamvedpandey")</f>
        <v>@Iamvedpandey</v>
      </c>
      <c r="C3316" s="21" t="s">
        <v>7780</v>
      </c>
      <c r="D3316" s="21" t="s">
        <v>42</v>
      </c>
      <c r="E3316" s="22" t="str">
        <f>HYPERLINK("https://twitter.com/Iamvedpandey/status/922433037354393600","922433037354393600")</f>
        <v>922433037354393600</v>
      </c>
      <c r="F3316" s="23" t="s">
        <v>39</v>
      </c>
      <c r="G3316" s="24">
        <v>58.0</v>
      </c>
      <c r="H3316" s="24">
        <v>140.0</v>
      </c>
      <c r="I3316" s="24">
        <v>8501.0</v>
      </c>
      <c r="J3316" s="24">
        <v>0.0</v>
      </c>
      <c r="K3316" s="23" t="s">
        <v>34</v>
      </c>
      <c r="L3316" s="25">
        <v>42629.92542824074</v>
      </c>
      <c r="M3316" s="26" t="s">
        <v>575</v>
      </c>
      <c r="N3316" s="28"/>
      <c r="O3316" s="22" t="str">
        <f>HYPERLINK("https://pbs.twimg.com/profile_images/777014202569404416/MGbR2geo_normal.jpg","View")</f>
        <v>View</v>
      </c>
      <c r="P3316" s="27"/>
    </row>
    <row r="3317">
      <c r="A3317" s="14">
        <v>43031.210138888884</v>
      </c>
      <c r="B3317" s="20" t="str">
        <f>HYPERLINK("https://twitter.com/IndiaNewsEye","@IndiaNewsEye")</f>
        <v>@IndiaNewsEye</v>
      </c>
      <c r="C3317" s="21" t="s">
        <v>7781</v>
      </c>
      <c r="D3317" s="21" t="s">
        <v>7782</v>
      </c>
      <c r="E3317" s="22" t="str">
        <f>HYPERLINK("https://twitter.com/IndiaNewsEye/status/922433068195045376","922433068195045376")</f>
        <v>922433068195045376</v>
      </c>
      <c r="F3317" s="23" t="s">
        <v>7783</v>
      </c>
      <c r="G3317" s="24">
        <v>42.0</v>
      </c>
      <c r="H3317" s="24">
        <v>1.0</v>
      </c>
      <c r="I3317" s="24">
        <v>0.0</v>
      </c>
      <c r="J3317" s="24">
        <v>0.0</v>
      </c>
      <c r="K3317" s="23" t="s">
        <v>34</v>
      </c>
      <c r="L3317" s="25">
        <v>42580.54099537037</v>
      </c>
      <c r="M3317" s="28"/>
      <c r="N3317" s="28"/>
      <c r="O3317" s="22" t="str">
        <f>HYPERLINK("https://abs.twimg.com/sticky/default_profile_images/default_profile_normal.png","View")</f>
        <v>View</v>
      </c>
      <c r="P3317" s="27"/>
    </row>
    <row r="3318">
      <c r="A3318" s="14">
        <v>43031.21025462963</v>
      </c>
      <c r="B3318" s="20" t="str">
        <f>HYPERLINK("https://twitter.com/Video_Contagion","@Video_Contagion")</f>
        <v>@Video_Contagion</v>
      </c>
      <c r="C3318" s="21" t="s">
        <v>3713</v>
      </c>
      <c r="D3318" s="21" t="s">
        <v>7784</v>
      </c>
      <c r="E3318" s="22" t="str">
        <f>HYPERLINK("https://twitter.com/Video_Contagion/status/922433110373011458","922433110373011458")</f>
        <v>922433110373011458</v>
      </c>
      <c r="F3318" s="23" t="s">
        <v>187</v>
      </c>
      <c r="G3318" s="24">
        <v>28.0</v>
      </c>
      <c r="H3318" s="24">
        <v>16.0</v>
      </c>
      <c r="I3318" s="24">
        <v>0.0</v>
      </c>
      <c r="J3318" s="24">
        <v>0.0</v>
      </c>
      <c r="K3318" s="23" t="s">
        <v>34</v>
      </c>
      <c r="L3318" s="25">
        <v>42971.38864583333</v>
      </c>
      <c r="M3318" s="26" t="s">
        <v>3715</v>
      </c>
      <c r="N3318" s="26" t="s">
        <v>3716</v>
      </c>
      <c r="O3318" s="22" t="str">
        <f>HYPERLINK("https://pbs.twimg.com/profile_images/900781492011487232/Ki7ANhIV_normal.jpg","View")</f>
        <v>View</v>
      </c>
      <c r="P3318" s="27"/>
    </row>
    <row r="3319">
      <c r="A3319" s="14">
        <v>43031.21034722222</v>
      </c>
      <c r="B3319" s="20" t="str">
        <f>HYPERLINK("https://twitter.com/livechannelfeed","@livechannelfeed")</f>
        <v>@livechannelfeed</v>
      </c>
      <c r="C3319" s="21" t="s">
        <v>2715</v>
      </c>
      <c r="D3319" s="21" t="s">
        <v>7785</v>
      </c>
      <c r="E3319" s="22" t="str">
        <f>HYPERLINK("https://twitter.com/livechannelfeed/status/922433145789657088","922433145789657088")</f>
        <v>922433145789657088</v>
      </c>
      <c r="F3319" s="23" t="s">
        <v>187</v>
      </c>
      <c r="G3319" s="24">
        <v>3930.0</v>
      </c>
      <c r="H3319" s="24">
        <v>3269.0</v>
      </c>
      <c r="I3319" s="24">
        <v>0.0</v>
      </c>
      <c r="J3319" s="24">
        <v>0.0</v>
      </c>
      <c r="K3319" s="23" t="s">
        <v>34</v>
      </c>
      <c r="L3319" s="25">
        <v>42710.84563657407</v>
      </c>
      <c r="M3319" s="26" t="s">
        <v>1250</v>
      </c>
      <c r="N3319" s="26" t="s">
        <v>2717</v>
      </c>
      <c r="O3319" s="22" t="str">
        <f>HYPERLINK("https://pbs.twimg.com/profile_images/806606820504731649/rCR1WeBs_normal.jpg","View")</f>
        <v>View</v>
      </c>
      <c r="P3319" s="27"/>
    </row>
    <row r="3320">
      <c r="A3320" s="14">
        <v>43031.21040509259</v>
      </c>
      <c r="B3320" s="20" t="str">
        <f>HYPERLINK("https://twitter.com/kdleo1","@kdleo1")</f>
        <v>@kdleo1</v>
      </c>
      <c r="C3320" s="21" t="s">
        <v>7786</v>
      </c>
      <c r="D3320" s="21" t="s">
        <v>2861</v>
      </c>
      <c r="E3320" s="22" t="str">
        <f>HYPERLINK("https://twitter.com/kdleo1/status/922433165938921472","922433165938921472")</f>
        <v>922433165938921472</v>
      </c>
      <c r="F3320" s="23" t="s">
        <v>33</v>
      </c>
      <c r="G3320" s="24">
        <v>599.0</v>
      </c>
      <c r="H3320" s="24">
        <v>1394.0</v>
      </c>
      <c r="I3320" s="24">
        <v>40.0</v>
      </c>
      <c r="J3320" s="24">
        <v>0.0</v>
      </c>
      <c r="K3320" s="23" t="s">
        <v>34</v>
      </c>
      <c r="L3320" s="25">
        <v>41578.458773148144</v>
      </c>
      <c r="M3320" s="26" t="s">
        <v>7787</v>
      </c>
      <c r="N3320" s="26" t="s">
        <v>7788</v>
      </c>
      <c r="O3320" s="22" t="str">
        <f>HYPERLINK("https://pbs.twimg.com/profile_images/817366445336231936/A43gjw7y_normal.jpg","View")</f>
        <v>View</v>
      </c>
      <c r="P3320" s="27"/>
    </row>
    <row r="3321">
      <c r="A3321" s="14">
        <v>43031.21045138889</v>
      </c>
      <c r="B3321" s="20" t="str">
        <f>HYPERLINK("https://twitter.com/ImRightWinger","@ImRightWinger")</f>
        <v>@ImRightWinger</v>
      </c>
      <c r="C3321" s="21" t="s">
        <v>7789</v>
      </c>
      <c r="D3321" s="21" t="s">
        <v>42</v>
      </c>
      <c r="E3321" s="22" t="str">
        <f>HYPERLINK("https://twitter.com/ImRightWinger/status/922433182397542401","922433182397542401")</f>
        <v>922433182397542401</v>
      </c>
      <c r="F3321" s="23" t="s">
        <v>39</v>
      </c>
      <c r="G3321" s="24">
        <v>42.0</v>
      </c>
      <c r="H3321" s="24">
        <v>64.0</v>
      </c>
      <c r="I3321" s="24">
        <v>8501.0</v>
      </c>
      <c r="J3321" s="24">
        <v>0.0</v>
      </c>
      <c r="K3321" s="23" t="s">
        <v>34</v>
      </c>
      <c r="L3321" s="25">
        <v>42723.74650462963</v>
      </c>
      <c r="M3321" s="28"/>
      <c r="N3321" s="26" t="s">
        <v>7790</v>
      </c>
      <c r="O3321" s="22" t="str">
        <f>HYPERLINK("https://abs.twimg.com/sticky/default_profile_images/default_profile_normal.png","View")</f>
        <v>View</v>
      </c>
      <c r="P3321" s="27"/>
    </row>
    <row r="3322">
      <c r="A3322" s="14">
        <v>43031.21047453704</v>
      </c>
      <c r="B3322" s="20" t="str">
        <f>HYPERLINK("https://twitter.com/IntSetOfNews","@IntSetOfNews")</f>
        <v>@IntSetOfNews</v>
      </c>
      <c r="C3322" s="21" t="s">
        <v>7791</v>
      </c>
      <c r="D3322" s="21" t="s">
        <v>7792</v>
      </c>
      <c r="E3322" s="22" t="str">
        <f>HYPERLINK("https://twitter.com/IntSetOfNews/status/922433192858091520","922433192858091520")</f>
        <v>922433192858091520</v>
      </c>
      <c r="F3322" s="23" t="s">
        <v>7793</v>
      </c>
      <c r="G3322" s="24">
        <v>275.0</v>
      </c>
      <c r="H3322" s="24">
        <v>676.0</v>
      </c>
      <c r="I3322" s="24">
        <v>0.0</v>
      </c>
      <c r="J3322" s="24">
        <v>0.0</v>
      </c>
      <c r="K3322" s="23" t="s">
        <v>34</v>
      </c>
      <c r="L3322" s="25">
        <v>42538.757638888885</v>
      </c>
      <c r="M3322" s="26" t="s">
        <v>7794</v>
      </c>
      <c r="N3322" s="26" t="s">
        <v>7795</v>
      </c>
      <c r="O3322" s="22" t="str">
        <f>HYPERLINK("https://pbs.twimg.com/profile_images/758710921468473344/yWoRkRwy_normal.jpg","View")</f>
        <v>View</v>
      </c>
      <c r="P3322" s="27"/>
    </row>
    <row r="3323">
      <c r="A3323" s="14">
        <v>43031.21054398148</v>
      </c>
      <c r="B3323" s="20" t="str">
        <f>HYPERLINK("https://twitter.com/Akhgustavo","@Akhgustavo")</f>
        <v>@Akhgustavo</v>
      </c>
      <c r="C3323" s="21" t="s">
        <v>7796</v>
      </c>
      <c r="D3323" s="21" t="s">
        <v>32</v>
      </c>
      <c r="E3323" s="22" t="str">
        <f>HYPERLINK("https://twitter.com/Akhgustavo/status/922433215293468672","922433215293468672")</f>
        <v>922433215293468672</v>
      </c>
      <c r="F3323" s="23" t="s">
        <v>39</v>
      </c>
      <c r="G3323" s="24">
        <v>58.0</v>
      </c>
      <c r="H3323" s="24">
        <v>213.0</v>
      </c>
      <c r="I3323" s="24">
        <v>471.0</v>
      </c>
      <c r="J3323" s="24">
        <v>0.0</v>
      </c>
      <c r="K3323" s="23" t="s">
        <v>34</v>
      </c>
      <c r="L3323" s="25">
        <v>42646.0115625</v>
      </c>
      <c r="M3323" s="28"/>
      <c r="N3323" s="28"/>
      <c r="O3323" s="22" t="str">
        <f>HYPERLINK("https://pbs.twimg.com/profile_images/848198951006326788/JW3xVTtj_normal.jpg","View")</f>
        <v>View</v>
      </c>
      <c r="P3323" s="27"/>
    </row>
    <row r="3324">
      <c r="A3324" s="14">
        <v>43031.2106712963</v>
      </c>
      <c r="B3324" s="20" t="str">
        <f>HYPERLINK("https://twitter.com/ANJANIKUMARSI17","@ANJANIKUMARSI17")</f>
        <v>@ANJANIKUMARSI17</v>
      </c>
      <c r="C3324" s="21" t="s">
        <v>7797</v>
      </c>
      <c r="D3324" s="21" t="s">
        <v>42</v>
      </c>
      <c r="E3324" s="22" t="str">
        <f>HYPERLINK("https://twitter.com/ANJANIKUMARSI17/status/922433260931596288","922433260931596288")</f>
        <v>922433260931596288</v>
      </c>
      <c r="F3324" s="23" t="s">
        <v>33</v>
      </c>
      <c r="G3324" s="24">
        <v>11.0</v>
      </c>
      <c r="H3324" s="24">
        <v>79.0</v>
      </c>
      <c r="I3324" s="24">
        <v>8501.0</v>
      </c>
      <c r="J3324" s="24">
        <v>0.0</v>
      </c>
      <c r="K3324" s="23" t="s">
        <v>34</v>
      </c>
      <c r="L3324" s="25">
        <v>41192.90236111111</v>
      </c>
      <c r="M3324" s="26" t="s">
        <v>7798</v>
      </c>
      <c r="N3324" s="26" t="s">
        <v>7799</v>
      </c>
      <c r="O3324" s="22" t="str">
        <f>HYPERLINK("https://pbs.twimg.com/profile_images/854372846860193792/zIcdQihB_normal.jpg","View")</f>
        <v>View</v>
      </c>
      <c r="P3324" s="27"/>
    </row>
    <row r="3325">
      <c r="A3325" s="14">
        <v>43031.21070601852</v>
      </c>
      <c r="B3325" s="20" t="str">
        <f>HYPERLINK("https://twitter.com/UddhavJha","@UddhavJha")</f>
        <v>@UddhavJha</v>
      </c>
      <c r="C3325" s="21" t="s">
        <v>7800</v>
      </c>
      <c r="D3325" s="21" t="s">
        <v>42</v>
      </c>
      <c r="E3325" s="22" t="str">
        <f>HYPERLINK("https://twitter.com/UddhavJha/status/922433275708063744","922433275708063744")</f>
        <v>922433275708063744</v>
      </c>
      <c r="F3325" s="23" t="s">
        <v>55</v>
      </c>
      <c r="G3325" s="24">
        <v>82.0</v>
      </c>
      <c r="H3325" s="24">
        <v>149.0</v>
      </c>
      <c r="I3325" s="24">
        <v>8501.0</v>
      </c>
      <c r="J3325" s="24">
        <v>0.0</v>
      </c>
      <c r="K3325" s="23" t="s">
        <v>34</v>
      </c>
      <c r="L3325" s="25">
        <v>42381.311527777776</v>
      </c>
      <c r="M3325" s="26" t="s">
        <v>136</v>
      </c>
      <c r="N3325" s="26" t="s">
        <v>7801</v>
      </c>
      <c r="O3325" s="22" t="str">
        <f>HYPERLINK("https://pbs.twimg.com/profile_images/906496516113670149/E6rVpRuM_normal.jpg","View")</f>
        <v>View</v>
      </c>
      <c r="P3325" s="27"/>
    </row>
    <row r="3326">
      <c r="A3326" s="14">
        <v>43031.21082175926</v>
      </c>
      <c r="B3326" s="20" t="str">
        <f>HYPERLINK("https://twitter.com/Toxxic_pisces","@Toxxic_pisces")</f>
        <v>@Toxxic_pisces</v>
      </c>
      <c r="C3326" s="21" t="s">
        <v>7802</v>
      </c>
      <c r="D3326" s="21" t="s">
        <v>2595</v>
      </c>
      <c r="E3326" s="22" t="str">
        <f>HYPERLINK("https://twitter.com/Toxxic_pisces/status/922433315482648576","922433315482648576")</f>
        <v>922433315482648576</v>
      </c>
      <c r="F3326" s="23" t="s">
        <v>33</v>
      </c>
      <c r="G3326" s="24">
        <v>471.0</v>
      </c>
      <c r="H3326" s="24">
        <v>659.0</v>
      </c>
      <c r="I3326" s="24">
        <v>170.0</v>
      </c>
      <c r="J3326" s="24">
        <v>0.0</v>
      </c>
      <c r="K3326" s="23" t="s">
        <v>34</v>
      </c>
      <c r="L3326" s="25">
        <v>42853.85318287037</v>
      </c>
      <c r="M3326" s="26" t="s">
        <v>7803</v>
      </c>
      <c r="N3326" s="26" t="s">
        <v>7804</v>
      </c>
      <c r="O3326" s="22" t="str">
        <f>HYPERLINK("https://pbs.twimg.com/profile_images/916432403526066176/B6z-84Ji_normal.jpg","View")</f>
        <v>View</v>
      </c>
      <c r="P3326" s="27"/>
    </row>
    <row r="3327">
      <c r="A3327" s="14">
        <v>43031.21090277778</v>
      </c>
      <c r="B3327" s="20" t="str">
        <f>HYPERLINK("https://twitter.com/InvestingLatest","@InvestingLatest")</f>
        <v>@InvestingLatest</v>
      </c>
      <c r="C3327" s="21" t="s">
        <v>3758</v>
      </c>
      <c r="D3327" s="21" t="s">
        <v>7805</v>
      </c>
      <c r="E3327" s="22" t="str">
        <f>HYPERLINK("https://twitter.com/InvestingLatest/status/922433348622077952","922433348622077952")</f>
        <v>922433348622077952</v>
      </c>
      <c r="F3327" s="23" t="s">
        <v>187</v>
      </c>
      <c r="G3327" s="24">
        <v>1534.0</v>
      </c>
      <c r="H3327" s="24">
        <v>33.0</v>
      </c>
      <c r="I3327" s="24">
        <v>0.0</v>
      </c>
      <c r="J3327" s="24">
        <v>0.0</v>
      </c>
      <c r="K3327" s="23" t="s">
        <v>34</v>
      </c>
      <c r="L3327" s="25">
        <v>41946.3308912037</v>
      </c>
      <c r="M3327" s="28"/>
      <c r="N3327" s="26" t="s">
        <v>3760</v>
      </c>
      <c r="O3327" s="22" t="str">
        <f>HYPERLINK("https://pbs.twimg.com/profile_images/529461684297945089/uscUz0UO_normal.jpeg","View")</f>
        <v>View</v>
      </c>
      <c r="P3327" s="27"/>
    </row>
    <row r="3328">
      <c r="A3328" s="14">
        <v>43031.21091435185</v>
      </c>
      <c r="B3328" s="20" t="str">
        <f>HYPERLINK("https://twitter.com/alienobserver1","@alienobserver1")</f>
        <v>@alienobserver1</v>
      </c>
      <c r="C3328" s="21" t="s">
        <v>7806</v>
      </c>
      <c r="D3328" s="21" t="s">
        <v>4386</v>
      </c>
      <c r="E3328" s="22" t="str">
        <f>HYPERLINK("https://twitter.com/alienobserver1/status/922433349666222082","922433349666222082")</f>
        <v>922433349666222082</v>
      </c>
      <c r="F3328" s="23" t="s">
        <v>33</v>
      </c>
      <c r="G3328" s="24">
        <v>466.0</v>
      </c>
      <c r="H3328" s="24">
        <v>131.0</v>
      </c>
      <c r="I3328" s="24">
        <v>16.0</v>
      </c>
      <c r="J3328" s="24">
        <v>0.0</v>
      </c>
      <c r="K3328" s="23" t="s">
        <v>34</v>
      </c>
      <c r="L3328" s="25">
        <v>40613.23248842593</v>
      </c>
      <c r="M3328" s="26" t="s">
        <v>7807</v>
      </c>
      <c r="N3328" s="26" t="s">
        <v>7808</v>
      </c>
      <c r="O3328" s="22" t="str">
        <f>HYPERLINK("https://pbs.twimg.com/profile_images/1271582658/sun_normal.JPG","View")</f>
        <v>View</v>
      </c>
      <c r="P3328" s="27"/>
    </row>
    <row r="3329">
      <c r="A3329" s="14">
        <v>43031.21103009259</v>
      </c>
      <c r="B3329" s="20" t="str">
        <f>HYPERLINK("https://twitter.com/WingsofCrystal","@WingsofCrystal")</f>
        <v>@WingsofCrystal</v>
      </c>
      <c r="C3329" s="21" t="s">
        <v>7809</v>
      </c>
      <c r="D3329" s="21" t="s">
        <v>7810</v>
      </c>
      <c r="E3329" s="22" t="str">
        <f>HYPERLINK("https://twitter.com/WingsofCrystal/status/922433391420723200","922433391420723200")</f>
        <v>922433391420723200</v>
      </c>
      <c r="F3329" s="23" t="s">
        <v>55</v>
      </c>
      <c r="G3329" s="24">
        <v>6604.0</v>
      </c>
      <c r="H3329" s="24">
        <v>7256.0</v>
      </c>
      <c r="I3329" s="24">
        <v>0.0</v>
      </c>
      <c r="J3329" s="24">
        <v>0.0</v>
      </c>
      <c r="K3329" s="23" t="s">
        <v>34</v>
      </c>
      <c r="L3329" s="25">
        <v>39897.686840277776</v>
      </c>
      <c r="M3329" s="26" t="s">
        <v>7811</v>
      </c>
      <c r="N3329" s="26" t="s">
        <v>7812</v>
      </c>
      <c r="O3329" s="22" t="str">
        <f>HYPERLINK("https://pbs.twimg.com/profile_images/812335081939308544/hy8Ullog_normal.jpg","View")</f>
        <v>View</v>
      </c>
      <c r="P3329" s="27"/>
    </row>
    <row r="3330">
      <c r="A3330" s="14">
        <v>43031.21109953704</v>
      </c>
      <c r="B3330" s="20" t="str">
        <f>HYPERLINK("https://twitter.com/BOVtweets","@BOVtweets")</f>
        <v>@BOVtweets</v>
      </c>
      <c r="C3330" s="21" t="s">
        <v>7813</v>
      </c>
      <c r="D3330" s="21" t="s">
        <v>7814</v>
      </c>
      <c r="E3330" s="22" t="str">
        <f>HYPERLINK("https://twitter.com/BOVtweets/status/922433417526042625","922433417526042625")</f>
        <v>922433417526042625</v>
      </c>
      <c r="F3330" s="23" t="s">
        <v>55</v>
      </c>
      <c r="G3330" s="24">
        <v>3049.0</v>
      </c>
      <c r="H3330" s="24">
        <v>1378.0</v>
      </c>
      <c r="I3330" s="24">
        <v>0.0</v>
      </c>
      <c r="J3330" s="24">
        <v>1.0</v>
      </c>
      <c r="K3330" s="23" t="s">
        <v>34</v>
      </c>
      <c r="L3330" s="25">
        <v>41572.296898148146</v>
      </c>
      <c r="M3330" s="26" t="s">
        <v>1653</v>
      </c>
      <c r="N3330" s="28"/>
      <c r="O3330" s="22" t="str">
        <f>HYPERLINK("https://pbs.twimg.com/profile_images/458847068069437440/uNNR6Ayc_normal.jpeg","View")</f>
        <v>View</v>
      </c>
      <c r="P3330" s="27"/>
    </row>
    <row r="3331">
      <c r="A3331" s="14">
        <v>43031.211111111115</v>
      </c>
      <c r="B3331" s="20" t="str">
        <f>HYPERLINK("https://twitter.com/Rafael190000000","@Rafael190000000")</f>
        <v>@Rafael190000000</v>
      </c>
      <c r="C3331" s="21" t="s">
        <v>7815</v>
      </c>
      <c r="D3331" s="21" t="s">
        <v>7816</v>
      </c>
      <c r="E3331" s="22" t="str">
        <f>HYPERLINK("https://twitter.com/Rafael190000000/status/922433422328516609","922433422328516609")</f>
        <v>922433422328516609</v>
      </c>
      <c r="F3331" s="23" t="s">
        <v>55</v>
      </c>
      <c r="G3331" s="24">
        <v>618.0</v>
      </c>
      <c r="H3331" s="24">
        <v>820.0</v>
      </c>
      <c r="I3331" s="24">
        <v>41.0</v>
      </c>
      <c r="J3331" s="24">
        <v>0.0</v>
      </c>
      <c r="K3331" s="23" t="s">
        <v>34</v>
      </c>
      <c r="L3331" s="25">
        <v>42017.41782407407</v>
      </c>
      <c r="M3331" s="26" t="s">
        <v>7817</v>
      </c>
      <c r="N3331" s="26" t="s">
        <v>7818</v>
      </c>
      <c r="O3331" s="22" t="str">
        <f>HYPERLINK("https://pbs.twimg.com/profile_images/852732346881064960/it2gLBWt_normal.jpg","View")</f>
        <v>View</v>
      </c>
      <c r="P3331" s="27"/>
    </row>
    <row r="3332">
      <c r="A3332" s="14">
        <v>43031.21115740741</v>
      </c>
      <c r="B3332" s="20" t="str">
        <f>HYPERLINK("https://twitter.com/purada0412","@purada0412")</f>
        <v>@purada0412</v>
      </c>
      <c r="C3332" s="21" t="s">
        <v>7591</v>
      </c>
      <c r="D3332" s="21" t="s">
        <v>7594</v>
      </c>
      <c r="E3332" s="22" t="str">
        <f>HYPERLINK("https://twitter.com/purada0412/status/922433439835439104","922433439835439104")</f>
        <v>922433439835439104</v>
      </c>
      <c r="F3332" s="23" t="s">
        <v>33</v>
      </c>
      <c r="G3332" s="24">
        <v>2477.0</v>
      </c>
      <c r="H3332" s="24">
        <v>2765.0</v>
      </c>
      <c r="I3332" s="24">
        <v>10.0</v>
      </c>
      <c r="J3332" s="24">
        <v>0.0</v>
      </c>
      <c r="K3332" s="23" t="s">
        <v>34</v>
      </c>
      <c r="L3332" s="25">
        <v>42247.12362268519</v>
      </c>
      <c r="M3332" s="26" t="s">
        <v>660</v>
      </c>
      <c r="N3332" s="26" t="s">
        <v>7592</v>
      </c>
      <c r="O3332" s="22" t="str">
        <f>HYPERLINK("https://pbs.twimg.com/profile_images/920628829160222722/3PiS7_lp_normal.jpg","View")</f>
        <v>View</v>
      </c>
      <c r="P3332" s="27"/>
    </row>
    <row r="3333">
      <c r="A3333" s="14">
        <v>43031.21121527778</v>
      </c>
      <c r="B3333" s="20" t="str">
        <f>HYPERLINK("https://twitter.com/Ankit_Singhals","@Ankit_Singhals")</f>
        <v>@Ankit_Singhals</v>
      </c>
      <c r="C3333" s="21" t="s">
        <v>7819</v>
      </c>
      <c r="D3333" s="21" t="s">
        <v>42</v>
      </c>
      <c r="E3333" s="22" t="str">
        <f>HYPERLINK("https://twitter.com/Ankit_Singhals/status/922433458193891328","922433458193891328")</f>
        <v>922433458193891328</v>
      </c>
      <c r="F3333" s="23" t="s">
        <v>33</v>
      </c>
      <c r="G3333" s="24">
        <v>128.0</v>
      </c>
      <c r="H3333" s="24">
        <v>807.0</v>
      </c>
      <c r="I3333" s="24">
        <v>8501.0</v>
      </c>
      <c r="J3333" s="24">
        <v>0.0</v>
      </c>
      <c r="K3333" s="23" t="s">
        <v>34</v>
      </c>
      <c r="L3333" s="25">
        <v>41235.94752314815</v>
      </c>
      <c r="M3333" s="26" t="s">
        <v>3756</v>
      </c>
      <c r="N3333" s="26" t="s">
        <v>7820</v>
      </c>
      <c r="O3333" s="22" t="str">
        <f>HYPERLINK("https://pbs.twimg.com/profile_images/894607466389880832/FUGxzLv7_normal.jpg","View")</f>
        <v>View</v>
      </c>
      <c r="P3333" s="27"/>
    </row>
    <row r="3334">
      <c r="A3334" s="14">
        <v>43031.211388888885</v>
      </c>
      <c r="B3334" s="20" t="str">
        <f>HYPERLINK("https://twitter.com/SanjayD51368460","@SanjayD51368460")</f>
        <v>@SanjayD51368460</v>
      </c>
      <c r="C3334" s="21" t="s">
        <v>7821</v>
      </c>
      <c r="D3334" s="21" t="s">
        <v>42</v>
      </c>
      <c r="E3334" s="22" t="str">
        <f>HYPERLINK("https://twitter.com/SanjayD51368460/status/922433521943158786","922433521943158786")</f>
        <v>922433521943158786</v>
      </c>
      <c r="F3334" s="23" t="s">
        <v>33</v>
      </c>
      <c r="G3334" s="24">
        <v>1.0</v>
      </c>
      <c r="H3334" s="24">
        <v>39.0</v>
      </c>
      <c r="I3334" s="24">
        <v>8501.0</v>
      </c>
      <c r="J3334" s="24">
        <v>0.0</v>
      </c>
      <c r="K3334" s="23" t="s">
        <v>34</v>
      </c>
      <c r="L3334" s="25">
        <v>42849.03057870371</v>
      </c>
      <c r="M3334" s="28"/>
      <c r="N3334" s="26" t="s">
        <v>3577</v>
      </c>
      <c r="O3334" s="22" t="str">
        <f>HYPERLINK("https://pbs.twimg.com/profile_images/856413953248854016/-Tc1iroo_normal.jpg","View")</f>
        <v>View</v>
      </c>
      <c r="P3334" s="27"/>
    </row>
    <row r="3335">
      <c r="A3335" s="14">
        <v>43031.21141203704</v>
      </c>
      <c r="B3335" s="20" t="str">
        <f>HYPERLINK("https://twitter.com/Momosuke2017","@Momosuke2017")</f>
        <v>@Momosuke2017</v>
      </c>
      <c r="C3335" s="21" t="s">
        <v>7822</v>
      </c>
      <c r="D3335" s="21" t="s">
        <v>7403</v>
      </c>
      <c r="E3335" s="22" t="str">
        <f>HYPERLINK("https://twitter.com/Momosuke2017/status/922433531048898561","922433531048898561")</f>
        <v>922433531048898561</v>
      </c>
      <c r="F3335" s="23" t="s">
        <v>55</v>
      </c>
      <c r="G3335" s="24">
        <v>4345.0</v>
      </c>
      <c r="H3335" s="24">
        <v>5001.0</v>
      </c>
      <c r="I3335" s="24">
        <v>29.0</v>
      </c>
      <c r="J3335" s="24">
        <v>0.0</v>
      </c>
      <c r="K3335" s="23" t="s">
        <v>34</v>
      </c>
      <c r="L3335" s="25">
        <v>42776.17700231481</v>
      </c>
      <c r="M3335" s="26" t="s">
        <v>7823</v>
      </c>
      <c r="N3335" s="26" t="s">
        <v>7824</v>
      </c>
      <c r="O3335" s="22" t="str">
        <f>HYPERLINK("https://pbs.twimg.com/profile_images/834467475844587520/n38rJfcU_normal.jpg","View")</f>
        <v>View</v>
      </c>
      <c r="P3335" s="27"/>
    </row>
    <row r="3336">
      <c r="A3336" s="14">
        <v>43031.21142361111</v>
      </c>
      <c r="B3336" s="20" t="str">
        <f>HYPERLINK("https://twitter.com/tabbata","@tabbata")</f>
        <v>@tabbata</v>
      </c>
      <c r="C3336" s="21" t="s">
        <v>7825</v>
      </c>
      <c r="D3336" s="21" t="s">
        <v>42</v>
      </c>
      <c r="E3336" s="22" t="str">
        <f>HYPERLINK("https://twitter.com/tabbata/status/922433536975503362","922433536975503362")</f>
        <v>922433536975503362</v>
      </c>
      <c r="F3336" s="23" t="s">
        <v>39</v>
      </c>
      <c r="G3336" s="24">
        <v>118716.0</v>
      </c>
      <c r="H3336" s="24">
        <v>2128.0</v>
      </c>
      <c r="I3336" s="24">
        <v>8501.0</v>
      </c>
      <c r="J3336" s="24">
        <v>0.0</v>
      </c>
      <c r="K3336" s="23" t="s">
        <v>34</v>
      </c>
      <c r="L3336" s="25">
        <v>39806.94206018519</v>
      </c>
      <c r="M3336" s="26" t="s">
        <v>923</v>
      </c>
      <c r="N3336" s="26" t="s">
        <v>7826</v>
      </c>
      <c r="O3336" s="22" t="str">
        <f>HYPERLINK("https://pbs.twimg.com/profile_images/483910957605724161/EdnRcctA_normal.jpeg","View")</f>
        <v>View</v>
      </c>
      <c r="P3336" s="27"/>
    </row>
    <row r="3337">
      <c r="A3337" s="14">
        <v>43031.211493055554</v>
      </c>
      <c r="B3337" s="20" t="str">
        <f>HYPERLINK("https://twitter.com/inferiae4542","@inferiae4542")</f>
        <v>@inferiae4542</v>
      </c>
      <c r="C3337" s="21" t="s">
        <v>5410</v>
      </c>
      <c r="D3337" s="21" t="s">
        <v>7827</v>
      </c>
      <c r="E3337" s="22" t="str">
        <f>HYPERLINK("https://twitter.com/inferiae4542/status/922433560568463360","922433560568463360")</f>
        <v>922433560568463360</v>
      </c>
      <c r="F3337" s="23" t="s">
        <v>55</v>
      </c>
      <c r="G3337" s="24">
        <v>915.0</v>
      </c>
      <c r="H3337" s="24">
        <v>892.0</v>
      </c>
      <c r="I3337" s="24">
        <v>0.0</v>
      </c>
      <c r="J3337" s="24">
        <v>0.0</v>
      </c>
      <c r="K3337" s="23" t="s">
        <v>34</v>
      </c>
      <c r="L3337" s="25">
        <v>39672.19510416667</v>
      </c>
      <c r="M3337" s="26" t="s">
        <v>5412</v>
      </c>
      <c r="N3337" s="28"/>
      <c r="O3337" s="22" t="str">
        <f>HYPERLINK("https://pbs.twimg.com/profile_images/58111695/beavisphone_normal.jpg","View")</f>
        <v>View</v>
      </c>
      <c r="P3337" s="27"/>
    </row>
    <row r="3338">
      <c r="A3338" s="14">
        <v>43031.21158564815</v>
      </c>
      <c r="B3338" s="20" t="str">
        <f>HYPERLINK("https://twitter.com/cescasnest","@cescasnest")</f>
        <v>@cescasnest</v>
      </c>
      <c r="C3338" s="21" t="s">
        <v>7828</v>
      </c>
      <c r="D3338" s="21" t="s">
        <v>7829</v>
      </c>
      <c r="E3338" s="22" t="str">
        <f>HYPERLINK("https://twitter.com/cescasnest/status/922433592432758784","922433592432758784")</f>
        <v>922433592432758784</v>
      </c>
      <c r="F3338" s="23" t="s">
        <v>39</v>
      </c>
      <c r="G3338" s="24">
        <v>80.0</v>
      </c>
      <c r="H3338" s="24">
        <v>320.0</v>
      </c>
      <c r="I3338" s="24">
        <v>0.0</v>
      </c>
      <c r="J3338" s="24">
        <v>0.0</v>
      </c>
      <c r="K3338" s="23" t="s">
        <v>34</v>
      </c>
      <c r="L3338" s="25">
        <v>42227.467569444445</v>
      </c>
      <c r="M3338" s="28"/>
      <c r="N3338" s="28"/>
      <c r="O3338" s="22" t="str">
        <f>HYPERLINK("https://pbs.twimg.com/profile_images/678559616905568265/7iI-y-2S_normal.png","View")</f>
        <v>View</v>
      </c>
      <c r="P3338" s="27"/>
    </row>
    <row r="3339">
      <c r="A3339" s="14">
        <v>43031.21170138889</v>
      </c>
      <c r="B3339" s="20" t="str">
        <f>HYPERLINK("https://twitter.com/tvssarma","@tvssarma")</f>
        <v>@tvssarma</v>
      </c>
      <c r="C3339" s="21" t="s">
        <v>7830</v>
      </c>
      <c r="D3339" s="21" t="s">
        <v>42</v>
      </c>
      <c r="E3339" s="22" t="str">
        <f>HYPERLINK("https://twitter.com/tvssarma/status/922433636548231168","922433636548231168")</f>
        <v>922433636548231168</v>
      </c>
      <c r="F3339" s="23" t="s">
        <v>33</v>
      </c>
      <c r="G3339" s="24">
        <v>681.0</v>
      </c>
      <c r="H3339" s="24">
        <v>1077.0</v>
      </c>
      <c r="I3339" s="24">
        <v>8501.0</v>
      </c>
      <c r="J3339" s="24">
        <v>0.0</v>
      </c>
      <c r="K3339" s="23" t="s">
        <v>34</v>
      </c>
      <c r="L3339" s="25">
        <v>41691.75975694445</v>
      </c>
      <c r="M3339" s="28"/>
      <c r="N3339" s="26" t="s">
        <v>7831</v>
      </c>
      <c r="O3339" s="22" t="str">
        <f>HYPERLINK("https://pbs.twimg.com/profile_images/724953870754041858/MavjrNVX_normal.jpg","View")</f>
        <v>View</v>
      </c>
      <c r="P3339" s="27"/>
    </row>
    <row r="3340">
      <c r="A3340" s="14">
        <v>43031.21171296296</v>
      </c>
      <c r="B3340" s="20" t="str">
        <f>HYPERLINK("https://twitter.com/lalit74885","@lalit74885")</f>
        <v>@lalit74885</v>
      </c>
      <c r="C3340" s="21" t="s">
        <v>7832</v>
      </c>
      <c r="D3340" s="21" t="s">
        <v>42</v>
      </c>
      <c r="E3340" s="22" t="str">
        <f>HYPERLINK("https://twitter.com/lalit74885/status/922433639056412672","922433639056412672")</f>
        <v>922433639056412672</v>
      </c>
      <c r="F3340" s="23" t="s">
        <v>33</v>
      </c>
      <c r="G3340" s="24">
        <v>54.0</v>
      </c>
      <c r="H3340" s="24">
        <v>117.0</v>
      </c>
      <c r="I3340" s="24">
        <v>8501.0</v>
      </c>
      <c r="J3340" s="24">
        <v>0.0</v>
      </c>
      <c r="K3340" s="23" t="s">
        <v>34</v>
      </c>
      <c r="L3340" s="25">
        <v>41523.92356481482</v>
      </c>
      <c r="M3340" s="26" t="s">
        <v>7833</v>
      </c>
      <c r="N3340" s="28"/>
      <c r="O3340" s="22" t="str">
        <f>HYPERLINK("https://pbs.twimg.com/profile_images/915050385718493185/C98tNcPT_normal.jpg","View")</f>
        <v>View</v>
      </c>
      <c r="P3340" s="27"/>
    </row>
    <row r="3341">
      <c r="A3341" s="14">
        <v>43031.211805555555</v>
      </c>
      <c r="B3341" s="20" t="str">
        <f>HYPERLINK("https://twitter.com/nyazvoice","@nyazvoice")</f>
        <v>@nyazvoice</v>
      </c>
      <c r="C3341" s="21" t="s">
        <v>7834</v>
      </c>
      <c r="D3341" s="21" t="s">
        <v>2595</v>
      </c>
      <c r="E3341" s="22" t="str">
        <f>HYPERLINK("https://twitter.com/nyazvoice/status/922433672220893184","922433672220893184")</f>
        <v>922433672220893184</v>
      </c>
      <c r="F3341" s="23" t="s">
        <v>39</v>
      </c>
      <c r="G3341" s="24">
        <v>339.0</v>
      </c>
      <c r="H3341" s="24">
        <v>234.0</v>
      </c>
      <c r="I3341" s="24">
        <v>170.0</v>
      </c>
      <c r="J3341" s="24">
        <v>0.0</v>
      </c>
      <c r="K3341" s="23" t="s">
        <v>34</v>
      </c>
      <c r="L3341" s="25">
        <v>41242.91043981482</v>
      </c>
      <c r="M3341" s="26" t="s">
        <v>905</v>
      </c>
      <c r="N3341" s="26" t="s">
        <v>7835</v>
      </c>
      <c r="O3341" s="22" t="str">
        <f>HYPERLINK("https://pbs.twimg.com/profile_images/716177802026819585/O8u7gF9j_normal.jpg","View")</f>
        <v>View</v>
      </c>
      <c r="P3341" s="27"/>
    </row>
    <row r="3342">
      <c r="A3342" s="14">
        <v>43031.2118287037</v>
      </c>
      <c r="B3342" s="20" t="str">
        <f>HYPERLINK("https://twitter.com/SunitaG01593694","@SunitaG01593694")</f>
        <v>@SunitaG01593694</v>
      </c>
      <c r="C3342" s="21" t="s">
        <v>7836</v>
      </c>
      <c r="D3342" s="21" t="s">
        <v>42</v>
      </c>
      <c r="E3342" s="22" t="str">
        <f>HYPERLINK("https://twitter.com/SunitaG01593694/status/922433681540521985","922433681540521985")</f>
        <v>922433681540521985</v>
      </c>
      <c r="F3342" s="23" t="s">
        <v>33</v>
      </c>
      <c r="G3342" s="24">
        <v>78.0</v>
      </c>
      <c r="H3342" s="24">
        <v>229.0</v>
      </c>
      <c r="I3342" s="24">
        <v>8501.0</v>
      </c>
      <c r="J3342" s="24">
        <v>0.0</v>
      </c>
      <c r="K3342" s="23" t="s">
        <v>34</v>
      </c>
      <c r="L3342" s="25">
        <v>42688.90427083333</v>
      </c>
      <c r="M3342" s="28"/>
      <c r="N3342" s="26" t="s">
        <v>7837</v>
      </c>
      <c r="O3342" s="22" t="str">
        <f>HYPERLINK("https://pbs.twimg.com/profile_images/834456625364688897/xNnFXGhj_normal.jpg","View")</f>
        <v>View</v>
      </c>
      <c r="P3342" s="27"/>
    </row>
    <row r="3343">
      <c r="A3343" s="14">
        <v>43031.21184027778</v>
      </c>
      <c r="B3343" s="20" t="str">
        <f>HYPERLINK("https://twitter.com/sasuraukuma","@sasuraukuma")</f>
        <v>@sasuraukuma</v>
      </c>
      <c r="C3343" s="21" t="s">
        <v>7838</v>
      </c>
      <c r="D3343" s="21" t="s">
        <v>7594</v>
      </c>
      <c r="E3343" s="22" t="str">
        <f>HYPERLINK("https://twitter.com/sasuraukuma/status/922433686775087104","922433686775087104")</f>
        <v>922433686775087104</v>
      </c>
      <c r="F3343" s="23" t="s">
        <v>33</v>
      </c>
      <c r="G3343" s="24">
        <v>3068.0</v>
      </c>
      <c r="H3343" s="24">
        <v>4853.0</v>
      </c>
      <c r="I3343" s="24">
        <v>10.0</v>
      </c>
      <c r="J3343" s="24">
        <v>0.0</v>
      </c>
      <c r="K3343" s="23" t="s">
        <v>34</v>
      </c>
      <c r="L3343" s="25">
        <v>40061.73056712963</v>
      </c>
      <c r="M3343" s="26" t="s">
        <v>7839</v>
      </c>
      <c r="N3343" s="26" t="s">
        <v>7840</v>
      </c>
      <c r="O3343" s="22" t="str">
        <f>HYPERLINK("https://pbs.twimg.com/profile_images/378800000775476310/fb97a55776f49a152cf35c3bf3bac1aa_normal.jpeg","View")</f>
        <v>View</v>
      </c>
      <c r="P3343" s="27"/>
    </row>
    <row r="3344">
      <c r="A3344" s="14">
        <v>43031.21188657408</v>
      </c>
      <c r="B3344" s="20" t="str">
        <f>HYPERLINK("https://twitter.com/drashish119","@drashish119")</f>
        <v>@drashish119</v>
      </c>
      <c r="C3344" s="21" t="s">
        <v>7841</v>
      </c>
      <c r="D3344" s="21" t="s">
        <v>42</v>
      </c>
      <c r="E3344" s="22" t="str">
        <f>HYPERLINK("https://twitter.com/drashish119/status/922433703921385473","922433703921385473")</f>
        <v>922433703921385473</v>
      </c>
      <c r="F3344" s="23" t="s">
        <v>33</v>
      </c>
      <c r="G3344" s="24">
        <v>60.0</v>
      </c>
      <c r="H3344" s="24">
        <v>4.0</v>
      </c>
      <c r="I3344" s="24">
        <v>8501.0</v>
      </c>
      <c r="J3344" s="24">
        <v>0.0</v>
      </c>
      <c r="K3344" s="23" t="s">
        <v>34</v>
      </c>
      <c r="L3344" s="25">
        <v>42322.24046296296</v>
      </c>
      <c r="M3344" s="26" t="s">
        <v>204</v>
      </c>
      <c r="N3344" s="26" t="s">
        <v>7842</v>
      </c>
      <c r="O3344" s="22" t="str">
        <f>HYPERLINK("https://pbs.twimg.com/profile_images/891500860320108544/qXM8MBJ0_normal.jpg","View")</f>
        <v>View</v>
      </c>
      <c r="P3344" s="27"/>
    </row>
    <row r="3345">
      <c r="A3345" s="14">
        <v>43031.2119212963</v>
      </c>
      <c r="B3345" s="20" t="str">
        <f>HYPERLINK("https://twitter.com/Santosh52054096","@Santosh52054096")</f>
        <v>@Santosh52054096</v>
      </c>
      <c r="C3345" s="21" t="s">
        <v>7843</v>
      </c>
      <c r="D3345" s="21" t="s">
        <v>42</v>
      </c>
      <c r="E3345" s="22" t="str">
        <f>HYPERLINK("https://twitter.com/Santosh52054096/status/922433714340085760","922433714340085760")</f>
        <v>922433714340085760</v>
      </c>
      <c r="F3345" s="23" t="s">
        <v>33</v>
      </c>
      <c r="G3345" s="24">
        <v>20.0</v>
      </c>
      <c r="H3345" s="24">
        <v>22.0</v>
      </c>
      <c r="I3345" s="24">
        <v>8501.0</v>
      </c>
      <c r="J3345" s="24">
        <v>0.0</v>
      </c>
      <c r="K3345" s="23" t="s">
        <v>34</v>
      </c>
      <c r="L3345" s="25">
        <v>42307.85115740741</v>
      </c>
      <c r="M3345" s="28"/>
      <c r="N3345" s="28"/>
      <c r="O3345" s="22" t="str">
        <f>HYPERLINK("https://pbs.twimg.com/profile_images/674245330083274752/-nYDfoV9_normal.jpg","View")</f>
        <v>View</v>
      </c>
      <c r="P3345" s="27"/>
    </row>
    <row r="3346">
      <c r="A3346" s="14">
        <v>43031.21196759259</v>
      </c>
      <c r="B3346" s="20" t="str">
        <f>HYPERLINK("https://twitter.com/Rafael190000000","@Rafael190000000")</f>
        <v>@Rafael190000000</v>
      </c>
      <c r="C3346" s="21" t="s">
        <v>7815</v>
      </c>
      <c r="D3346" s="21" t="s">
        <v>7844</v>
      </c>
      <c r="E3346" s="22" t="str">
        <f>HYPERLINK("https://twitter.com/Rafael190000000/status/922433733843718144","922433733843718144")</f>
        <v>922433733843718144</v>
      </c>
      <c r="F3346" s="23" t="s">
        <v>55</v>
      </c>
      <c r="G3346" s="24">
        <v>618.0</v>
      </c>
      <c r="H3346" s="24">
        <v>820.0</v>
      </c>
      <c r="I3346" s="24">
        <v>60.0</v>
      </c>
      <c r="J3346" s="24">
        <v>0.0</v>
      </c>
      <c r="K3346" s="23" t="s">
        <v>34</v>
      </c>
      <c r="L3346" s="25">
        <v>42017.41782407407</v>
      </c>
      <c r="M3346" s="26" t="s">
        <v>7817</v>
      </c>
      <c r="N3346" s="26" t="s">
        <v>7818</v>
      </c>
      <c r="O3346" s="22" t="str">
        <f>HYPERLINK("https://pbs.twimg.com/profile_images/852732346881064960/it2gLBWt_normal.jpg","View")</f>
        <v>View</v>
      </c>
      <c r="P3346" s="27"/>
    </row>
    <row r="3347">
      <c r="A3347" s="14">
        <v>43031.21202546296</v>
      </c>
      <c r="B3347" s="20" t="str">
        <f>HYPERLINK("https://twitter.com/poo_date","@poo_date")</f>
        <v>@poo_date</v>
      </c>
      <c r="C3347" s="21" t="s">
        <v>7845</v>
      </c>
      <c r="D3347" s="21" t="s">
        <v>42</v>
      </c>
      <c r="E3347" s="22" t="str">
        <f>HYPERLINK("https://twitter.com/poo_date/status/922433753741324288","922433753741324288")</f>
        <v>922433753741324288</v>
      </c>
      <c r="F3347" s="23" t="s">
        <v>39</v>
      </c>
      <c r="G3347" s="24">
        <v>245.0</v>
      </c>
      <c r="H3347" s="24">
        <v>284.0</v>
      </c>
      <c r="I3347" s="24">
        <v>8501.0</v>
      </c>
      <c r="J3347" s="24">
        <v>0.0</v>
      </c>
      <c r="K3347" s="23" t="s">
        <v>34</v>
      </c>
      <c r="L3347" s="25">
        <v>42802.81769675926</v>
      </c>
      <c r="M3347" s="28"/>
      <c r="N3347" s="26" t="s">
        <v>7846</v>
      </c>
      <c r="O3347" s="22" t="str">
        <f>HYPERLINK("https://pbs.twimg.com/profile_images/850048049497784320/rGGRp2aa_normal.jpg","View")</f>
        <v>View</v>
      </c>
      <c r="P3347" s="27"/>
    </row>
    <row r="3348">
      <c r="A3348" s="14">
        <v>43031.21204861111</v>
      </c>
      <c r="B3348" s="20" t="str">
        <f>HYPERLINK("https://twitter.com/newsfromreddit","@newsfromreddit")</f>
        <v>@newsfromreddit</v>
      </c>
      <c r="C3348" s="21" t="s">
        <v>7847</v>
      </c>
      <c r="D3348" s="21" t="s">
        <v>7848</v>
      </c>
      <c r="E3348" s="22" t="str">
        <f>HYPERLINK("https://twitter.com/newsfromreddit/status/922433760641126400","922433760641126400")</f>
        <v>922433760641126400</v>
      </c>
      <c r="F3348" s="23" t="s">
        <v>187</v>
      </c>
      <c r="G3348" s="24">
        <v>865.0</v>
      </c>
      <c r="H3348" s="24">
        <v>22.0</v>
      </c>
      <c r="I3348" s="24">
        <v>0.0</v>
      </c>
      <c r="J3348" s="24">
        <v>0.0</v>
      </c>
      <c r="K3348" s="23" t="s">
        <v>34</v>
      </c>
      <c r="L3348" s="25">
        <v>42037.2049537037</v>
      </c>
      <c r="M3348" s="28"/>
      <c r="N3348" s="26" t="s">
        <v>7849</v>
      </c>
      <c r="O3348" s="22" t="str">
        <f>HYPERLINK("https://pbs.twimg.com/profile_images/562254099987447808/s35CGI6u_normal.png","View")</f>
        <v>View</v>
      </c>
      <c r="P3348" s="27"/>
    </row>
    <row r="3349">
      <c r="A3349" s="14">
        <v>43031.212118055555</v>
      </c>
      <c r="B3349" s="20" t="str">
        <f>HYPERLINK("https://twitter.com/4rj1111","@4rj1111")</f>
        <v>@4rj1111</v>
      </c>
      <c r="C3349" s="21" t="s">
        <v>7850</v>
      </c>
      <c r="D3349" s="21" t="s">
        <v>42</v>
      </c>
      <c r="E3349" s="22" t="str">
        <f>HYPERLINK("https://twitter.com/4rj1111/status/922433786956017665","922433786956017665")</f>
        <v>922433786956017665</v>
      </c>
      <c r="F3349" s="23" t="s">
        <v>55</v>
      </c>
      <c r="G3349" s="24">
        <v>531.0</v>
      </c>
      <c r="H3349" s="24">
        <v>1068.0</v>
      </c>
      <c r="I3349" s="24">
        <v>8501.0</v>
      </c>
      <c r="J3349" s="24">
        <v>0.0</v>
      </c>
      <c r="K3349" s="23" t="s">
        <v>34</v>
      </c>
      <c r="L3349" s="25">
        <v>41409.96859953704</v>
      </c>
      <c r="M3349" s="26" t="s">
        <v>204</v>
      </c>
      <c r="N3349" s="26" t="s">
        <v>7851</v>
      </c>
      <c r="O3349" s="22" t="str">
        <f>HYPERLINK("https://pbs.twimg.com/profile_images/812637660170817536/kXQ1_AUp_normal.jpg","View")</f>
        <v>View</v>
      </c>
      <c r="P3349" s="27"/>
    </row>
    <row r="3350">
      <c r="A3350" s="14">
        <v>43031.212384259255</v>
      </c>
      <c r="B3350" s="20" t="str">
        <f>HYPERLINK("https://twitter.com/VADAKKANTHARA","@VADAKKANTHARA")</f>
        <v>@VADAKKANTHARA</v>
      </c>
      <c r="C3350" s="21" t="s">
        <v>6657</v>
      </c>
      <c r="D3350" s="21" t="s">
        <v>67</v>
      </c>
      <c r="E3350" s="22" t="str">
        <f>HYPERLINK("https://twitter.com/VADAKKANTHARA/status/922433882254745600","922433882254745600")</f>
        <v>922433882254745600</v>
      </c>
      <c r="F3350" s="23" t="s">
        <v>39</v>
      </c>
      <c r="G3350" s="24">
        <v>500.0</v>
      </c>
      <c r="H3350" s="24">
        <v>531.0</v>
      </c>
      <c r="I3350" s="24">
        <v>169.0</v>
      </c>
      <c r="J3350" s="24">
        <v>0.0</v>
      </c>
      <c r="K3350" s="23" t="s">
        <v>34</v>
      </c>
      <c r="L3350" s="25">
        <v>40176.918078703704</v>
      </c>
      <c r="M3350" s="26" t="s">
        <v>164</v>
      </c>
      <c r="N3350" s="26" t="s">
        <v>6658</v>
      </c>
      <c r="O3350" s="22" t="str">
        <f>HYPERLINK("https://pbs.twimg.com/profile_images/922428069108789249/fPmB1qPG_normal.jpg","View")</f>
        <v>View</v>
      </c>
      <c r="P3350" s="27"/>
    </row>
    <row r="3351">
      <c r="A3351" s="14">
        <v>43031.21241898148</v>
      </c>
      <c r="B3351" s="20" t="str">
        <f>HYPERLINK("https://twitter.com/wuod_odongo","@wuod_odongo")</f>
        <v>@wuod_odongo</v>
      </c>
      <c r="C3351" s="21" t="s">
        <v>7852</v>
      </c>
      <c r="D3351" s="21" t="s">
        <v>32</v>
      </c>
      <c r="E3351" s="22" t="str">
        <f>HYPERLINK("https://twitter.com/wuod_odongo/status/922433897627086849","922433897627086849")</f>
        <v>922433897627086849</v>
      </c>
      <c r="F3351" s="23" t="s">
        <v>33</v>
      </c>
      <c r="G3351" s="24">
        <v>495.0</v>
      </c>
      <c r="H3351" s="24">
        <v>899.0</v>
      </c>
      <c r="I3351" s="24">
        <v>471.0</v>
      </c>
      <c r="J3351" s="24">
        <v>0.0</v>
      </c>
      <c r="K3351" s="23" t="s">
        <v>34</v>
      </c>
      <c r="L3351" s="25">
        <v>40964.13271990741</v>
      </c>
      <c r="M3351" s="26" t="s">
        <v>7853</v>
      </c>
      <c r="N3351" s="26" t="s">
        <v>7854</v>
      </c>
      <c r="O3351" s="22" t="str">
        <f>HYPERLINK("https://pbs.twimg.com/profile_images/915277382977802240/fc3DoasG_normal.jpg","View")</f>
        <v>View</v>
      </c>
      <c r="P3351" s="27"/>
    </row>
    <row r="3352">
      <c r="A3352" s="14">
        <v>43031.21246527778</v>
      </c>
      <c r="B3352" s="20" t="str">
        <f>HYPERLINK("https://twitter.com/sukhdevsinh258","@sukhdevsinh258")</f>
        <v>@sukhdevsinh258</v>
      </c>
      <c r="C3352" s="21" t="s">
        <v>7855</v>
      </c>
      <c r="D3352" s="21" t="s">
        <v>42</v>
      </c>
      <c r="E3352" s="22" t="str">
        <f>HYPERLINK("https://twitter.com/sukhdevsinh258/status/922433912944709632","922433912944709632")</f>
        <v>922433912944709632</v>
      </c>
      <c r="F3352" s="23" t="s">
        <v>33</v>
      </c>
      <c r="G3352" s="24">
        <v>1963.0</v>
      </c>
      <c r="H3352" s="24">
        <v>2691.0</v>
      </c>
      <c r="I3352" s="24">
        <v>8501.0</v>
      </c>
      <c r="J3352" s="24">
        <v>0.0</v>
      </c>
      <c r="K3352" s="23" t="s">
        <v>34</v>
      </c>
      <c r="L3352" s="25">
        <v>42079.33305555556</v>
      </c>
      <c r="M3352" s="28"/>
      <c r="N3352" s="26" t="s">
        <v>7856</v>
      </c>
      <c r="O3352" s="22" t="str">
        <f>HYPERLINK("https://pbs.twimg.com/profile_images/918692853345263617/mQ3T1r5P_normal.jpg","View")</f>
        <v>View</v>
      </c>
      <c r="P3352" s="27"/>
    </row>
    <row r="3353">
      <c r="A3353" s="14">
        <v>43031.212476851855</v>
      </c>
      <c r="B3353" s="20" t="str">
        <f>HYPERLINK("https://twitter.com/n9jcmTommy","@n9jcmTommy")</f>
        <v>@n9jcmTommy</v>
      </c>
      <c r="C3353" s="21" t="s">
        <v>7857</v>
      </c>
      <c r="D3353" s="21" t="s">
        <v>6973</v>
      </c>
      <c r="E3353" s="22" t="str">
        <f>HYPERLINK("https://twitter.com/n9jcmTommy/status/922433916333633538","922433916333633538")</f>
        <v>922433916333633538</v>
      </c>
      <c r="F3353" s="23" t="s">
        <v>55</v>
      </c>
      <c r="G3353" s="24">
        <v>217.0</v>
      </c>
      <c r="H3353" s="24">
        <v>20.0</v>
      </c>
      <c r="I3353" s="24">
        <v>10.0</v>
      </c>
      <c r="J3353" s="24">
        <v>0.0</v>
      </c>
      <c r="K3353" s="23" t="s">
        <v>34</v>
      </c>
      <c r="L3353" s="25">
        <v>42046.663148148145</v>
      </c>
      <c r="M3353" s="26" t="s">
        <v>7858</v>
      </c>
      <c r="N3353" s="26" t="s">
        <v>7859</v>
      </c>
      <c r="O3353" s="22" t="str">
        <f>HYPERLINK("https://pbs.twimg.com/profile_images/921583505099943937/jPdc9BYs_normal.jpg","View")</f>
        <v>View</v>
      </c>
      <c r="P3353" s="27"/>
    </row>
    <row r="3354">
      <c r="A3354" s="14">
        <v>43031.21251157408</v>
      </c>
      <c r="B3354" s="20" t="str">
        <f>HYPERLINK("https://twitter.com/anupblr","@anupblr")</f>
        <v>@anupblr</v>
      </c>
      <c r="C3354" s="21" t="s">
        <v>7860</v>
      </c>
      <c r="D3354" s="21" t="s">
        <v>42</v>
      </c>
      <c r="E3354" s="22" t="str">
        <f>HYPERLINK("https://twitter.com/anupblr/status/922433931118440449","922433931118440449")</f>
        <v>922433931118440449</v>
      </c>
      <c r="F3354" s="23" t="s">
        <v>33</v>
      </c>
      <c r="G3354" s="24">
        <v>3166.0</v>
      </c>
      <c r="H3354" s="24">
        <v>3009.0</v>
      </c>
      <c r="I3354" s="24">
        <v>8501.0</v>
      </c>
      <c r="J3354" s="24">
        <v>0.0</v>
      </c>
      <c r="K3354" s="23" t="s">
        <v>34</v>
      </c>
      <c r="L3354" s="25">
        <v>40064.896145833336</v>
      </c>
      <c r="M3354" s="26" t="s">
        <v>7861</v>
      </c>
      <c r="N3354" s="26" t="s">
        <v>7862</v>
      </c>
      <c r="O3354" s="22" t="str">
        <f>HYPERLINK("https://pbs.twimg.com/profile_images/893679730729263104/pb4NXGQs_normal.jpg","View")</f>
        <v>View</v>
      </c>
      <c r="P3354" s="27"/>
    </row>
    <row r="3355">
      <c r="A3355" s="14">
        <v>43031.21265046296</v>
      </c>
      <c r="B3355" s="20" t="str">
        <f>HYPERLINK("https://twitter.com/derrelldurrett","@derrelldurrett")</f>
        <v>@derrelldurrett</v>
      </c>
      <c r="C3355" s="21" t="s">
        <v>7863</v>
      </c>
      <c r="D3355" s="21" t="s">
        <v>2456</v>
      </c>
      <c r="E3355" s="22" t="str">
        <f>HYPERLINK("https://twitter.com/derrelldurrett/status/922433981244522497","922433981244522497")</f>
        <v>922433981244522497</v>
      </c>
      <c r="F3355" s="23" t="s">
        <v>33</v>
      </c>
      <c r="G3355" s="24">
        <v>460.0</v>
      </c>
      <c r="H3355" s="24">
        <v>504.0</v>
      </c>
      <c r="I3355" s="24">
        <v>49.0</v>
      </c>
      <c r="J3355" s="24">
        <v>0.0</v>
      </c>
      <c r="K3355" s="23" t="s">
        <v>34</v>
      </c>
      <c r="L3355" s="25">
        <v>40850.26980324074</v>
      </c>
      <c r="M3355" s="26" t="s">
        <v>7864</v>
      </c>
      <c r="N3355" s="26" t="s">
        <v>7865</v>
      </c>
      <c r="O3355" s="22" t="str">
        <f>HYPERLINK("https://pbs.twimg.com/profile_images/840312071053021190/a1OdqMsH_normal.jpg","View")</f>
        <v>View</v>
      </c>
      <c r="P3355" s="27"/>
    </row>
    <row r="3356">
      <c r="A3356" s="14">
        <v>43031.21266203704</v>
      </c>
      <c r="B3356" s="20" t="str">
        <f>HYPERLINK("https://twitter.com/sdintractclub","@sdintractclub")</f>
        <v>@sdintractclub</v>
      </c>
      <c r="C3356" s="21" t="s">
        <v>7866</v>
      </c>
      <c r="D3356" s="21" t="s">
        <v>42</v>
      </c>
      <c r="E3356" s="22" t="str">
        <f>HYPERLINK("https://twitter.com/sdintractclub/status/922433982792216577","922433982792216577")</f>
        <v>922433982792216577</v>
      </c>
      <c r="F3356" s="23" t="s">
        <v>33</v>
      </c>
      <c r="G3356" s="24">
        <v>50.0</v>
      </c>
      <c r="H3356" s="24">
        <v>72.0</v>
      </c>
      <c r="I3356" s="24">
        <v>8501.0</v>
      </c>
      <c r="J3356" s="24">
        <v>0.0</v>
      </c>
      <c r="K3356" s="23" t="s">
        <v>34</v>
      </c>
      <c r="L3356" s="25">
        <v>42705.01340277778</v>
      </c>
      <c r="M3356" s="26" t="s">
        <v>1532</v>
      </c>
      <c r="N3356" s="26" t="s">
        <v>7867</v>
      </c>
      <c r="O3356" s="22" t="str">
        <f>HYPERLINK("https://pbs.twimg.com/profile_images/922484350439981056/kueKKZDh_normal.jpg","View")</f>
        <v>View</v>
      </c>
      <c r="P3356" s="27"/>
    </row>
    <row r="3357">
      <c r="A3357" s="14">
        <v>43031.21267361111</v>
      </c>
      <c r="B3357" s="20" t="str">
        <f>HYPERLINK("https://twitter.com/jeffsleasman","@jeffsleasman")</f>
        <v>@jeffsleasman</v>
      </c>
      <c r="C3357" s="21" t="s">
        <v>7868</v>
      </c>
      <c r="D3357" s="21" t="s">
        <v>2456</v>
      </c>
      <c r="E3357" s="22" t="str">
        <f>HYPERLINK("https://twitter.com/jeffsleasman/status/922433986437287936","922433986437287936")</f>
        <v>922433986437287936</v>
      </c>
      <c r="F3357" s="23" t="s">
        <v>33</v>
      </c>
      <c r="G3357" s="24">
        <v>1346.0</v>
      </c>
      <c r="H3357" s="24">
        <v>2406.0</v>
      </c>
      <c r="I3357" s="24">
        <v>49.0</v>
      </c>
      <c r="J3357" s="24">
        <v>0.0</v>
      </c>
      <c r="K3357" s="23" t="s">
        <v>34</v>
      </c>
      <c r="L3357" s="25">
        <v>39666.48096064815</v>
      </c>
      <c r="M3357" s="26">
        <v>216.0</v>
      </c>
      <c r="N3357" s="26" t="s">
        <v>7869</v>
      </c>
      <c r="O3357" s="22" t="str">
        <f>HYPERLINK("https://pbs.twimg.com/profile_images/868195957485293568/0LwteagH_normal.jpg","View")</f>
        <v>View</v>
      </c>
      <c r="P3357" s="27"/>
    </row>
    <row r="3358">
      <c r="A3358" s="14">
        <v>43031.2128125</v>
      </c>
      <c r="B3358" s="20" t="str">
        <f>HYPERLINK("https://twitter.com/pelias01","@pelias01")</f>
        <v>@pelias01</v>
      </c>
      <c r="C3358" s="21" t="s">
        <v>7870</v>
      </c>
      <c r="D3358" s="21" t="s">
        <v>7871</v>
      </c>
      <c r="E3358" s="22" t="str">
        <f>HYPERLINK("https://twitter.com/pelias01/status/922434039339986944","922434039339986944")</f>
        <v>922434039339986944</v>
      </c>
      <c r="F3358" s="23" t="s">
        <v>55</v>
      </c>
      <c r="G3358" s="24">
        <v>3295.0</v>
      </c>
      <c r="H3358" s="24">
        <v>981.0</v>
      </c>
      <c r="I3358" s="24">
        <v>0.0</v>
      </c>
      <c r="J3358" s="24">
        <v>0.0</v>
      </c>
      <c r="K3358" s="23" t="s">
        <v>34</v>
      </c>
      <c r="L3358" s="25">
        <v>40716.35196759259</v>
      </c>
      <c r="M3358" s="26" t="s">
        <v>7872</v>
      </c>
      <c r="N3358" s="26" t="s">
        <v>7873</v>
      </c>
      <c r="O3358" s="22" t="str">
        <f>HYPERLINK("https://pbs.twimg.com/profile_images/1408052895/ale_normal.png","View")</f>
        <v>View</v>
      </c>
      <c r="P3358" s="27"/>
    </row>
    <row r="3359">
      <c r="A3359" s="14">
        <v>43031.212858796294</v>
      </c>
      <c r="B3359" s="20" t="str">
        <f>HYPERLINK("https://twitter.com/neco_pong","@neco_pong")</f>
        <v>@neco_pong</v>
      </c>
      <c r="C3359" s="21" t="s">
        <v>7874</v>
      </c>
      <c r="D3359" s="21" t="s">
        <v>42</v>
      </c>
      <c r="E3359" s="22" t="str">
        <f>HYPERLINK("https://twitter.com/neco_pong/status/922434057421578240","922434057421578240")</f>
        <v>922434057421578240</v>
      </c>
      <c r="F3359" s="23" t="s">
        <v>39</v>
      </c>
      <c r="G3359" s="24">
        <v>293.0</v>
      </c>
      <c r="H3359" s="24">
        <v>321.0</v>
      </c>
      <c r="I3359" s="24">
        <v>8501.0</v>
      </c>
      <c r="J3359" s="24">
        <v>0.0</v>
      </c>
      <c r="K3359" s="23" t="s">
        <v>34</v>
      </c>
      <c r="L3359" s="25">
        <v>41385.198530092595</v>
      </c>
      <c r="M3359" s="28"/>
      <c r="N3359" s="26" t="s">
        <v>7875</v>
      </c>
      <c r="O3359" s="22" t="str">
        <f>HYPERLINK("https://pbs.twimg.com/profile_images/789590314675601408/zjkTJGcw_normal.jpg","View")</f>
        <v>View</v>
      </c>
      <c r="P3359" s="27"/>
    </row>
    <row r="3360">
      <c r="A3360" s="14">
        <v>43031.21289351852</v>
      </c>
      <c r="B3360" s="20" t="str">
        <f>HYPERLINK("https://twitter.com/StateOfNetwork","@StateOfNetwork")</f>
        <v>@StateOfNetwork</v>
      </c>
      <c r="C3360" s="21" t="s">
        <v>720</v>
      </c>
      <c r="D3360" s="21" t="s">
        <v>7876</v>
      </c>
      <c r="E3360" s="22" t="str">
        <f>HYPERLINK("https://twitter.com/StateOfNetwork/status/922434067529953280","922434067529953280")</f>
        <v>922434067529953280</v>
      </c>
      <c r="F3360" s="23" t="s">
        <v>91</v>
      </c>
      <c r="G3360" s="24">
        <v>84.0</v>
      </c>
      <c r="H3360" s="24">
        <v>2.0</v>
      </c>
      <c r="I3360" s="24">
        <v>0.0</v>
      </c>
      <c r="J3360" s="24">
        <v>0.0</v>
      </c>
      <c r="K3360" s="23" t="s">
        <v>34</v>
      </c>
      <c r="L3360" s="25">
        <v>42591.626747685186</v>
      </c>
      <c r="M3360" s="26" t="s">
        <v>722</v>
      </c>
      <c r="N3360" s="26" t="s">
        <v>723</v>
      </c>
      <c r="O3360" s="22" t="str">
        <f>HYPERLINK("https://pbs.twimg.com/profile_images/857770319620263936/CpVum0Np_normal.jpg","View")</f>
        <v>View</v>
      </c>
      <c r="P3360" s="27"/>
    </row>
    <row r="3361">
      <c r="A3361" s="14">
        <v>43031.212905092594</v>
      </c>
      <c r="B3361" s="20" t="str">
        <f>HYPERLINK("https://twitter.com/HideakiHatta","@HideakiHatta")</f>
        <v>@HideakiHatta</v>
      </c>
      <c r="C3361" s="21" t="s">
        <v>7877</v>
      </c>
      <c r="D3361" s="21" t="s">
        <v>7878</v>
      </c>
      <c r="E3361" s="22" t="str">
        <f>HYPERLINK("https://twitter.com/HideakiHatta/status/922434073984876544","922434073984876544")</f>
        <v>922434073984876544</v>
      </c>
      <c r="F3361" s="23" t="s">
        <v>55</v>
      </c>
      <c r="G3361" s="24">
        <v>44.0</v>
      </c>
      <c r="H3361" s="24">
        <v>110.0</v>
      </c>
      <c r="I3361" s="24">
        <v>0.0</v>
      </c>
      <c r="J3361" s="24">
        <v>0.0</v>
      </c>
      <c r="K3361" s="23" t="s">
        <v>34</v>
      </c>
      <c r="L3361" s="25">
        <v>42533.459861111114</v>
      </c>
      <c r="M3361" s="28"/>
      <c r="N3361" s="28"/>
      <c r="O3361" s="22" t="str">
        <f>HYPERLINK("https://pbs.twimg.com/profile_images/876518992143278080/bSZ8GxRU_normal.jpg","View")</f>
        <v>View</v>
      </c>
      <c r="P3361" s="27"/>
    </row>
    <row r="3362">
      <c r="A3362" s="14">
        <v>43031.21291666667</v>
      </c>
      <c r="B3362" s="20" t="str">
        <f>HYPERLINK("https://twitter.com/swaroopvaidya78","@swaroopvaidya78")</f>
        <v>@swaroopvaidya78</v>
      </c>
      <c r="C3362" s="21" t="s">
        <v>7879</v>
      </c>
      <c r="D3362" s="21" t="s">
        <v>42</v>
      </c>
      <c r="E3362" s="22" t="str">
        <f>HYPERLINK("https://twitter.com/swaroopvaidya78/status/922434077788999680","922434077788999680")</f>
        <v>922434077788999680</v>
      </c>
      <c r="F3362" s="23" t="s">
        <v>33</v>
      </c>
      <c r="G3362" s="24">
        <v>9869.0</v>
      </c>
      <c r="H3362" s="24">
        <v>3999.0</v>
      </c>
      <c r="I3362" s="24">
        <v>8501.0</v>
      </c>
      <c r="J3362" s="24">
        <v>0.0</v>
      </c>
      <c r="K3362" s="23" t="s">
        <v>34</v>
      </c>
      <c r="L3362" s="25">
        <v>40294.791238425925</v>
      </c>
      <c r="M3362" s="26" t="s">
        <v>7880</v>
      </c>
      <c r="N3362" s="26" t="s">
        <v>7881</v>
      </c>
      <c r="O3362" s="22" t="str">
        <f>HYPERLINK("https://pbs.twimg.com/profile_images/378800000305613606/0be2664b0836437f3256302434766c30_normal.jpeg","View")</f>
        <v>View</v>
      </c>
      <c r="P3362" s="27"/>
    </row>
    <row r="3363">
      <c r="A3363" s="14">
        <v>43031.21296296296</v>
      </c>
      <c r="B3363" s="20" t="str">
        <f>HYPERLINK("https://twitter.com/Nicolelane22","@Nicolelane22")</f>
        <v>@Nicolelane22</v>
      </c>
      <c r="C3363" s="21" t="s">
        <v>7882</v>
      </c>
      <c r="D3363" s="21" t="s">
        <v>6991</v>
      </c>
      <c r="E3363" s="22" t="str">
        <f>HYPERLINK("https://twitter.com/Nicolelane22/status/922434093819813889","922434093819813889")</f>
        <v>922434093819813889</v>
      </c>
      <c r="F3363" s="23" t="s">
        <v>7883</v>
      </c>
      <c r="G3363" s="24">
        <v>1543.0</v>
      </c>
      <c r="H3363" s="24">
        <v>1398.0</v>
      </c>
      <c r="I3363" s="24">
        <v>22.0</v>
      </c>
      <c r="J3363" s="24">
        <v>0.0</v>
      </c>
      <c r="K3363" s="23" t="s">
        <v>34</v>
      </c>
      <c r="L3363" s="25">
        <v>41532.71604166667</v>
      </c>
      <c r="M3363" s="26" t="s">
        <v>7884</v>
      </c>
      <c r="N3363" s="26" t="s">
        <v>7885</v>
      </c>
      <c r="O3363" s="22" t="str">
        <f>HYPERLINK("https://pbs.twimg.com/profile_images/378800000463838850/9daf96bdb85ec4ce66185682172e07d1_normal.jpeg","View")</f>
        <v>View</v>
      </c>
      <c r="P3363" s="27"/>
    </row>
    <row r="3364">
      <c r="A3364" s="14">
        <v>43031.21298611111</v>
      </c>
      <c r="B3364" s="20" t="str">
        <f>HYPERLINK("https://twitter.com/T_Prattz","@T_Prattz")</f>
        <v>@T_Prattz</v>
      </c>
      <c r="C3364" s="21" t="s">
        <v>7886</v>
      </c>
      <c r="D3364" s="21" t="s">
        <v>5309</v>
      </c>
      <c r="E3364" s="22" t="str">
        <f>HYPERLINK("https://twitter.com/T_Prattz/status/922434102808195072","922434102808195072")</f>
        <v>922434102808195072</v>
      </c>
      <c r="F3364" s="23" t="s">
        <v>33</v>
      </c>
      <c r="G3364" s="24">
        <v>325.0</v>
      </c>
      <c r="H3364" s="24">
        <v>295.0</v>
      </c>
      <c r="I3364" s="24">
        <v>22.0</v>
      </c>
      <c r="J3364" s="24">
        <v>0.0</v>
      </c>
      <c r="K3364" s="23" t="s">
        <v>34</v>
      </c>
      <c r="L3364" s="25">
        <v>40366.55956018518</v>
      </c>
      <c r="M3364" s="26" t="s">
        <v>40</v>
      </c>
      <c r="N3364" s="26" t="s">
        <v>7887</v>
      </c>
      <c r="O3364" s="22" t="str">
        <f>HYPERLINK("https://pbs.twimg.com/profile_images/378800000094766437/d5e993574d615e3a6fb413b979ea6345_normal.jpeg","View")</f>
        <v>View</v>
      </c>
      <c r="P3364" s="27"/>
    </row>
    <row r="3365">
      <c r="A3365" s="14">
        <v>43031.2130787037</v>
      </c>
      <c r="B3365" s="20" t="str">
        <f>HYPERLINK("https://twitter.com/Watersun555","@Watersun555")</f>
        <v>@Watersun555</v>
      </c>
      <c r="C3365" s="21" t="s">
        <v>7888</v>
      </c>
      <c r="D3365" s="21" t="s">
        <v>7889</v>
      </c>
      <c r="E3365" s="22" t="str">
        <f>HYPERLINK("https://twitter.com/Watersun555/status/922434134500433920","922434134500433920")</f>
        <v>922434134500433920</v>
      </c>
      <c r="F3365" s="23" t="s">
        <v>39</v>
      </c>
      <c r="G3365" s="24">
        <v>814.0</v>
      </c>
      <c r="H3365" s="24">
        <v>1450.0</v>
      </c>
      <c r="I3365" s="24">
        <v>0.0</v>
      </c>
      <c r="J3365" s="24">
        <v>0.0</v>
      </c>
      <c r="K3365" s="23" t="s">
        <v>34</v>
      </c>
      <c r="L3365" s="25">
        <v>40779.44306712963</v>
      </c>
      <c r="M3365" s="26" t="s">
        <v>7890</v>
      </c>
      <c r="N3365" s="26" t="s">
        <v>7891</v>
      </c>
      <c r="O3365" s="22" t="str">
        <f>HYPERLINK("https://pbs.twimg.com/profile_images/711310605722976256/Vk8UZdRe_normal.jpg","View")</f>
        <v>View</v>
      </c>
      <c r="P3365" s="27"/>
    </row>
    <row r="3366">
      <c r="A3366" s="14">
        <v>43031.21319444444</v>
      </c>
      <c r="B3366" s="20" t="str">
        <f>HYPERLINK("https://twitter.com/SikanderBatla","@SikanderBatla")</f>
        <v>@SikanderBatla</v>
      </c>
      <c r="C3366" s="21" t="s">
        <v>7892</v>
      </c>
      <c r="D3366" s="21" t="s">
        <v>7893</v>
      </c>
      <c r="E3366" s="22" t="str">
        <f>HYPERLINK("https://twitter.com/SikanderBatla/status/922434176321699840","922434176321699840")</f>
        <v>922434176321699840</v>
      </c>
      <c r="F3366" s="23" t="s">
        <v>33</v>
      </c>
      <c r="G3366" s="24">
        <v>1.0</v>
      </c>
      <c r="H3366" s="24">
        <v>43.0</v>
      </c>
      <c r="I3366" s="24">
        <v>0.0</v>
      </c>
      <c r="J3366" s="24">
        <v>0.0</v>
      </c>
      <c r="K3366" s="23" t="s">
        <v>34</v>
      </c>
      <c r="L3366" s="25">
        <v>42908.67633101852</v>
      </c>
      <c r="M3366" s="26" t="s">
        <v>3955</v>
      </c>
      <c r="N3366" s="28"/>
      <c r="O3366" s="22" t="str">
        <f>HYPERLINK("https://pbs.twimg.com/profile_images/897470890018865155/2o14nAjQ_normal.jpg","View")</f>
        <v>View</v>
      </c>
      <c r="P3366" s="27"/>
    </row>
    <row r="3367">
      <c r="A3367" s="14">
        <v>43031.21326388889</v>
      </c>
      <c r="B3367" s="20" t="str">
        <f>HYPERLINK("https://twitter.com/robertjunebug","@robertjunebug")</f>
        <v>@robertjunebug</v>
      </c>
      <c r="C3367" s="21" t="s">
        <v>7894</v>
      </c>
      <c r="D3367" s="21" t="s">
        <v>2456</v>
      </c>
      <c r="E3367" s="22" t="str">
        <f>HYPERLINK("https://twitter.com/robertjunebug/status/922434203068846080","922434203068846080")</f>
        <v>922434203068846080</v>
      </c>
      <c r="F3367" s="23" t="s">
        <v>39</v>
      </c>
      <c r="G3367" s="24">
        <v>1910.0</v>
      </c>
      <c r="H3367" s="24">
        <v>4989.0</v>
      </c>
      <c r="I3367" s="24">
        <v>49.0</v>
      </c>
      <c r="J3367" s="24">
        <v>0.0</v>
      </c>
      <c r="K3367" s="23" t="s">
        <v>34</v>
      </c>
      <c r="L3367" s="25">
        <v>39642.46807870371</v>
      </c>
      <c r="M3367" s="26" t="s">
        <v>4411</v>
      </c>
      <c r="N3367" s="26" t="s">
        <v>7895</v>
      </c>
      <c r="O3367" s="22" t="str">
        <f>HYPERLINK("https://pbs.twimg.com/profile_images/857742427989438464/zkI5VZt3_normal.jpg","View")</f>
        <v>View</v>
      </c>
      <c r="P3367" s="27"/>
    </row>
    <row r="3368">
      <c r="A3368" s="14">
        <v>43031.2133449074</v>
      </c>
      <c r="B3368" s="20" t="str">
        <f>HYPERLINK("https://twitter.com/LesleyE02634258","@LesleyE02634258")</f>
        <v>@LesleyE02634258</v>
      </c>
      <c r="C3368" s="21" t="s">
        <v>7896</v>
      </c>
      <c r="D3368" s="21" t="s">
        <v>7198</v>
      </c>
      <c r="E3368" s="22" t="str">
        <f>HYPERLINK("https://twitter.com/LesleyE02634258/status/922434231409590278","922434231409590278")</f>
        <v>922434231409590278</v>
      </c>
      <c r="F3368" s="23" t="s">
        <v>55</v>
      </c>
      <c r="G3368" s="24">
        <v>399.0</v>
      </c>
      <c r="H3368" s="24">
        <v>734.0</v>
      </c>
      <c r="I3368" s="24">
        <v>11.0</v>
      </c>
      <c r="J3368" s="24">
        <v>0.0</v>
      </c>
      <c r="K3368" s="23" t="s">
        <v>34</v>
      </c>
      <c r="L3368" s="25">
        <v>41451.21319444444</v>
      </c>
      <c r="M3368" s="28"/>
      <c r="N3368" s="26" t="s">
        <v>7897</v>
      </c>
      <c r="O3368" s="22" t="str">
        <f>HYPERLINK("https://abs.twimg.com/sticky/default_profile_images/default_profile_normal.png","View")</f>
        <v>View</v>
      </c>
      <c r="P3368" s="27"/>
    </row>
    <row r="3369">
      <c r="A3369" s="14">
        <v>43031.2133449074</v>
      </c>
      <c r="B3369" s="20" t="str">
        <f>HYPERLINK("https://twitter.com/NewsBossIndia","@NewsBossIndia")</f>
        <v>@NewsBossIndia</v>
      </c>
      <c r="C3369" s="29" t="s">
        <v>148</v>
      </c>
      <c r="D3369" s="21" t="s">
        <v>7898</v>
      </c>
      <c r="E3369" s="22" t="str">
        <f>HYPERLINK("https://twitter.com/NewsBossIndia/status/922434233372622848","922434233372622848")</f>
        <v>922434233372622848</v>
      </c>
      <c r="F3369" s="30" t="s">
        <v>148</v>
      </c>
      <c r="G3369" s="24">
        <v>991.0</v>
      </c>
      <c r="H3369" s="24">
        <v>1.0</v>
      </c>
      <c r="I3369" s="24">
        <v>0.0</v>
      </c>
      <c r="J3369" s="24">
        <v>0.0</v>
      </c>
      <c r="K3369" s="23" t="s">
        <v>34</v>
      </c>
      <c r="L3369" s="25">
        <v>42564.38061342592</v>
      </c>
      <c r="M3369" s="28"/>
      <c r="N3369" s="26" t="s">
        <v>150</v>
      </c>
      <c r="O3369" s="22" t="str">
        <f>HYPERLINK("https://pbs.twimg.com/profile_images/753260679692333057/AS4Xiw4q_normal.jpg","View")</f>
        <v>View</v>
      </c>
      <c r="P3369" s="27"/>
    </row>
    <row r="3370">
      <c r="A3370" s="14">
        <v>43031.213587962964</v>
      </c>
      <c r="B3370" s="20" t="str">
        <f>HYPERLINK("https://twitter.com/parishatzi","@parishatzi")</f>
        <v>@parishatzi</v>
      </c>
      <c r="C3370" s="21" t="s">
        <v>7899</v>
      </c>
      <c r="D3370" s="21" t="s">
        <v>7900</v>
      </c>
      <c r="E3370" s="22" t="str">
        <f>HYPERLINK("https://twitter.com/parishatzi/status/922434321591492608","922434321591492608")</f>
        <v>922434321591492608</v>
      </c>
      <c r="F3370" s="23" t="s">
        <v>187</v>
      </c>
      <c r="G3370" s="24">
        <v>1558.0</v>
      </c>
      <c r="H3370" s="24">
        <v>136.0</v>
      </c>
      <c r="I3370" s="24">
        <v>0.0</v>
      </c>
      <c r="J3370" s="24">
        <v>0.0</v>
      </c>
      <c r="K3370" s="23" t="s">
        <v>34</v>
      </c>
      <c r="L3370" s="25">
        <v>40791.05965277778</v>
      </c>
      <c r="M3370" s="26" t="s">
        <v>7901</v>
      </c>
      <c r="N3370" s="26" t="s">
        <v>7902</v>
      </c>
      <c r="O3370" s="22" t="str">
        <f>HYPERLINK("https://pbs.twimg.com/profile_images/557473320635887617/zTZTQoxj_normal.jpeg","View")</f>
        <v>View</v>
      </c>
      <c r="P3370" s="27"/>
    </row>
    <row r="3371">
      <c r="A3371" s="14">
        <v>43031.21365740741</v>
      </c>
      <c r="B3371" s="20" t="str">
        <f>HYPERLINK("https://twitter.com/RangeONar","@RangeONar")</f>
        <v>@RangeONar</v>
      </c>
      <c r="C3371" s="21" t="s">
        <v>7903</v>
      </c>
      <c r="D3371" s="21" t="s">
        <v>163</v>
      </c>
      <c r="E3371" s="22" t="str">
        <f>HYPERLINK("https://twitter.com/RangeONar/status/922434343980666880","922434343980666880")</f>
        <v>922434343980666880</v>
      </c>
      <c r="F3371" s="23" t="s">
        <v>39</v>
      </c>
      <c r="G3371" s="24">
        <v>67.0</v>
      </c>
      <c r="H3371" s="24">
        <v>489.0</v>
      </c>
      <c r="I3371" s="24">
        <v>1005.0</v>
      </c>
      <c r="J3371" s="24">
        <v>0.0</v>
      </c>
      <c r="K3371" s="23" t="s">
        <v>34</v>
      </c>
      <c r="L3371" s="25">
        <v>42117.37033564815</v>
      </c>
      <c r="M3371" s="28"/>
      <c r="N3371" s="28"/>
      <c r="O3371" s="22" t="str">
        <f>HYPERLINK("https://pbs.twimg.com/profile_images/915911326643490816/j8BCYRaG_normal.jpg","View")</f>
        <v>View</v>
      </c>
      <c r="P3371" s="27"/>
    </row>
    <row r="3372">
      <c r="A3372" s="14">
        <v>43031.21365740741</v>
      </c>
      <c r="B3372" s="20" t="str">
        <f>HYPERLINK("https://twitter.com/realJohnCurley","@realJohnCurley")</f>
        <v>@realJohnCurley</v>
      </c>
      <c r="C3372" s="21" t="s">
        <v>2267</v>
      </c>
      <c r="D3372" s="21" t="s">
        <v>7904</v>
      </c>
      <c r="E3372" s="22" t="str">
        <f>HYPERLINK("https://twitter.com/realJohnCurley/status/922434345209663489","922434345209663489")</f>
        <v>922434345209663489</v>
      </c>
      <c r="F3372" s="23" t="s">
        <v>6530</v>
      </c>
      <c r="G3372" s="24">
        <v>368.0</v>
      </c>
      <c r="H3372" s="24">
        <v>5002.0</v>
      </c>
      <c r="I3372" s="24">
        <v>0.0</v>
      </c>
      <c r="J3372" s="24">
        <v>0.0</v>
      </c>
      <c r="K3372" s="23" t="s">
        <v>34</v>
      </c>
      <c r="L3372" s="25">
        <v>42784.230520833335</v>
      </c>
      <c r="M3372" s="26" t="s">
        <v>2269</v>
      </c>
      <c r="N3372" s="26" t="s">
        <v>2270</v>
      </c>
      <c r="O3372" s="22" t="str">
        <f>HYPERLINK("https://pbs.twimg.com/profile_images/858319935541354497/O-unoSpZ_normal.jpg","View")</f>
        <v>View</v>
      </c>
      <c r="P3372" s="27"/>
    </row>
    <row r="3373">
      <c r="A3373" s="14">
        <v>43031.2137037037</v>
      </c>
      <c r="B3373" s="20" t="str">
        <f>HYPERLINK("https://twitter.com/RisingSunChats","@RisingSunChats")</f>
        <v>@RisingSunChats</v>
      </c>
      <c r="C3373" s="21" t="s">
        <v>7905</v>
      </c>
      <c r="D3373" s="21" t="s">
        <v>7906</v>
      </c>
      <c r="E3373" s="22" t="str">
        <f>HYPERLINK("https://twitter.com/RisingSunChats/status/922434363152912384","922434363152912384")</f>
        <v>922434363152912384</v>
      </c>
      <c r="F3373" s="23" t="s">
        <v>55</v>
      </c>
      <c r="G3373" s="24">
        <v>2369.0</v>
      </c>
      <c r="H3373" s="24">
        <v>378.0</v>
      </c>
      <c r="I3373" s="24">
        <v>0.0</v>
      </c>
      <c r="J3373" s="24">
        <v>0.0</v>
      </c>
      <c r="K3373" s="23" t="s">
        <v>34</v>
      </c>
      <c r="L3373" s="25">
        <v>40770.04300925926</v>
      </c>
      <c r="M3373" s="26" t="s">
        <v>7907</v>
      </c>
      <c r="N3373" s="26" t="s">
        <v>7908</v>
      </c>
      <c r="O3373" s="22" t="str">
        <f>HYPERLINK("https://pbs.twimg.com/profile_images/458890762290073601/RwidTI4u_normal.jpeg","View")</f>
        <v>View</v>
      </c>
      <c r="P3373" s="27"/>
    </row>
    <row r="3374">
      <c r="A3374" s="14">
        <v>43031.213726851856</v>
      </c>
      <c r="B3374" s="20" t="str">
        <f>HYPERLINK("https://twitter.com/ReaganCBrown","@ReaganCBrown")</f>
        <v>@ReaganCBrown</v>
      </c>
      <c r="C3374" s="21" t="s">
        <v>7909</v>
      </c>
      <c r="D3374" s="21" t="s">
        <v>5786</v>
      </c>
      <c r="E3374" s="22" t="str">
        <f>HYPERLINK("https://twitter.com/ReaganCBrown/status/922434368727080960","922434368727080960")</f>
        <v>922434368727080960</v>
      </c>
      <c r="F3374" s="23" t="s">
        <v>39</v>
      </c>
      <c r="G3374" s="24">
        <v>531.0</v>
      </c>
      <c r="H3374" s="24">
        <v>308.0</v>
      </c>
      <c r="I3374" s="24">
        <v>59.0</v>
      </c>
      <c r="J3374" s="24">
        <v>0.0</v>
      </c>
      <c r="K3374" s="23" t="s">
        <v>34</v>
      </c>
      <c r="L3374" s="25">
        <v>42677.17953703704</v>
      </c>
      <c r="M3374" s="28"/>
      <c r="N3374" s="28"/>
      <c r="O3374" s="22" t="str">
        <f>HYPERLINK("https://pbs.twimg.com/profile_images/883899076064014336/S9U6wKsi_normal.jpg","View")</f>
        <v>View</v>
      </c>
      <c r="P3374" s="27"/>
    </row>
    <row r="3375">
      <c r="A3375" s="14">
        <v>43031.213749999995</v>
      </c>
      <c r="B3375" s="20" t="str">
        <f>HYPERLINK("https://twitter.com/whiterabbitoboe","@whiterabbitoboe")</f>
        <v>@whiterabbitoboe</v>
      </c>
      <c r="C3375" s="21" t="s">
        <v>7910</v>
      </c>
      <c r="D3375" s="21" t="s">
        <v>42</v>
      </c>
      <c r="E3375" s="22" t="str">
        <f>HYPERLINK("https://twitter.com/whiterabbitoboe/status/922434378604584960","922434378604584960")</f>
        <v>922434378604584960</v>
      </c>
      <c r="F3375" s="23" t="s">
        <v>39</v>
      </c>
      <c r="G3375" s="24">
        <v>3203.0</v>
      </c>
      <c r="H3375" s="24">
        <v>4995.0</v>
      </c>
      <c r="I3375" s="24">
        <v>8501.0</v>
      </c>
      <c r="J3375" s="24">
        <v>0.0</v>
      </c>
      <c r="K3375" s="23" t="s">
        <v>34</v>
      </c>
      <c r="L3375" s="25">
        <v>41445.952569444446</v>
      </c>
      <c r="M3375" s="26" t="s">
        <v>7911</v>
      </c>
      <c r="N3375" s="26" t="s">
        <v>7912</v>
      </c>
      <c r="O3375" s="22" t="str">
        <f>HYPERLINK("https://pbs.twimg.com/profile_images/888365418166992897/VfWBLN6T_normal.jpg","View")</f>
        <v>View</v>
      </c>
      <c r="P3375" s="27"/>
    </row>
    <row r="3376">
      <c r="A3376" s="14">
        <v>43031.213854166665</v>
      </c>
      <c r="B3376" s="20" t="str">
        <f>HYPERLINK("https://twitter.com/MrChoozzy","@MrChoozzy")</f>
        <v>@MrChoozzy</v>
      </c>
      <c r="C3376" s="21" t="s">
        <v>7913</v>
      </c>
      <c r="D3376" s="21" t="s">
        <v>42</v>
      </c>
      <c r="E3376" s="22" t="str">
        <f>HYPERLINK("https://twitter.com/MrChoozzy/status/922434416688865283","922434416688865283")</f>
        <v>922434416688865283</v>
      </c>
      <c r="F3376" s="23" t="s">
        <v>33</v>
      </c>
      <c r="G3376" s="24">
        <v>2.0</v>
      </c>
      <c r="H3376" s="24">
        <v>13.0</v>
      </c>
      <c r="I3376" s="24">
        <v>8501.0</v>
      </c>
      <c r="J3376" s="24">
        <v>0.0</v>
      </c>
      <c r="K3376" s="23" t="s">
        <v>34</v>
      </c>
      <c r="L3376" s="25">
        <v>40831.97421296296</v>
      </c>
      <c r="M3376" s="28"/>
      <c r="N3376" s="28"/>
      <c r="O3376" s="22" t="str">
        <f>HYPERLINK("https://pbs.twimg.com/profile_images/917359101578850306/2Zge4FEu_normal.jpg","View")</f>
        <v>View</v>
      </c>
      <c r="P3376" s="27"/>
    </row>
    <row r="3377">
      <c r="A3377" s="14">
        <v>43031.21391203704</v>
      </c>
      <c r="B3377" s="20" t="str">
        <f>HYPERLINK("https://twitter.com/attz_metal","@attz_metal")</f>
        <v>@attz_metal</v>
      </c>
      <c r="C3377" s="21" t="s">
        <v>7914</v>
      </c>
      <c r="D3377" s="21" t="s">
        <v>42</v>
      </c>
      <c r="E3377" s="22" t="str">
        <f>HYPERLINK("https://twitter.com/attz_metal/status/922434435378683904","922434435378683904")</f>
        <v>922434435378683904</v>
      </c>
      <c r="F3377" s="23" t="s">
        <v>39</v>
      </c>
      <c r="G3377" s="24">
        <v>147.0</v>
      </c>
      <c r="H3377" s="24">
        <v>217.0</v>
      </c>
      <c r="I3377" s="24">
        <v>8501.0</v>
      </c>
      <c r="J3377" s="24">
        <v>0.0</v>
      </c>
      <c r="K3377" s="23" t="s">
        <v>34</v>
      </c>
      <c r="L3377" s="25">
        <v>42579.05840277778</v>
      </c>
      <c r="M3377" s="26" t="s">
        <v>7915</v>
      </c>
      <c r="N3377" s="26" t="s">
        <v>7916</v>
      </c>
      <c r="O3377" s="22" t="str">
        <f>HYPERLINK("https://pbs.twimg.com/profile_images/825477129303314432/Gi-SwV97_normal.jpg","View")</f>
        <v>View</v>
      </c>
      <c r="P3377" s="27"/>
    </row>
    <row r="3378">
      <c r="A3378" s="14">
        <v>43031.21393518518</v>
      </c>
      <c r="B3378" s="20" t="str">
        <f>HYPERLINK("https://twitter.com/nathsharmatn","@nathsharmatn")</f>
        <v>@nathsharmatn</v>
      </c>
      <c r="C3378" s="21" t="s">
        <v>7917</v>
      </c>
      <c r="D3378" s="21" t="s">
        <v>42</v>
      </c>
      <c r="E3378" s="22" t="str">
        <f>HYPERLINK("https://twitter.com/nathsharmatn/status/922434447206764545","922434447206764545")</f>
        <v>922434447206764545</v>
      </c>
      <c r="F3378" s="23" t="s">
        <v>33</v>
      </c>
      <c r="G3378" s="24">
        <v>0.0</v>
      </c>
      <c r="H3378" s="24">
        <v>107.0</v>
      </c>
      <c r="I3378" s="24">
        <v>8501.0</v>
      </c>
      <c r="J3378" s="24">
        <v>0.0</v>
      </c>
      <c r="K3378" s="23" t="s">
        <v>34</v>
      </c>
      <c r="L3378" s="25">
        <v>43023.505381944444</v>
      </c>
      <c r="M3378" s="28"/>
      <c r="N3378" s="28"/>
      <c r="O3378" s="22" t="str">
        <f>HYPERLINK("https://abs.twimg.com/sticky/default_profile_images/default_profile_normal.png","View")</f>
        <v>View</v>
      </c>
      <c r="P3378" s="27"/>
    </row>
    <row r="3379">
      <c r="A3379" s="14">
        <v>43031.21393518518</v>
      </c>
      <c r="B3379" s="20" t="str">
        <f>HYPERLINK("https://twitter.com/brajmahto","@brajmahto")</f>
        <v>@brajmahto</v>
      </c>
      <c r="C3379" s="21" t="s">
        <v>7918</v>
      </c>
      <c r="D3379" s="21" t="s">
        <v>42</v>
      </c>
      <c r="E3379" s="22" t="str">
        <f>HYPERLINK("https://twitter.com/brajmahto/status/922434447277924352","922434447277924352")</f>
        <v>922434447277924352</v>
      </c>
      <c r="F3379" s="23" t="s">
        <v>55</v>
      </c>
      <c r="G3379" s="24">
        <v>207.0</v>
      </c>
      <c r="H3379" s="24">
        <v>278.0</v>
      </c>
      <c r="I3379" s="24">
        <v>8501.0</v>
      </c>
      <c r="J3379" s="24">
        <v>0.0</v>
      </c>
      <c r="K3379" s="23" t="s">
        <v>34</v>
      </c>
      <c r="L3379" s="25">
        <v>40457.130891203706</v>
      </c>
      <c r="M3379" s="26" t="s">
        <v>7919</v>
      </c>
      <c r="N3379" s="26" t="s">
        <v>7920</v>
      </c>
      <c r="O3379" s="22" t="str">
        <f>HYPERLINK("https://pbs.twimg.com/profile_images/581346267927711745/lcX-hGHj_normal.jpg","View")</f>
        <v>View</v>
      </c>
      <c r="P3379" s="27"/>
    </row>
    <row r="3380">
      <c r="A3380" s="14">
        <v>43031.213946759264</v>
      </c>
      <c r="B3380" s="20" t="str">
        <f>HYPERLINK("https://twitter.com/Calahan44","@Calahan44")</f>
        <v>@Calahan44</v>
      </c>
      <c r="C3380" s="21" t="s">
        <v>7921</v>
      </c>
      <c r="D3380" s="21" t="s">
        <v>42</v>
      </c>
      <c r="E3380" s="22" t="str">
        <f>HYPERLINK("https://twitter.com/Calahan44/status/922434449723203584","922434449723203584")</f>
        <v>922434449723203584</v>
      </c>
      <c r="F3380" s="23" t="s">
        <v>39</v>
      </c>
      <c r="G3380" s="24">
        <v>5100.0</v>
      </c>
      <c r="H3380" s="24">
        <v>1035.0</v>
      </c>
      <c r="I3380" s="24">
        <v>8501.0</v>
      </c>
      <c r="J3380" s="24">
        <v>0.0</v>
      </c>
      <c r="K3380" s="23" t="s">
        <v>34</v>
      </c>
      <c r="L3380" s="25">
        <v>41705.96216435185</v>
      </c>
      <c r="M3380" s="26" t="s">
        <v>7922</v>
      </c>
      <c r="N3380" s="26" t="s">
        <v>7923</v>
      </c>
      <c r="O3380" s="22" t="str">
        <f>HYPERLINK("https://pbs.twimg.com/profile_images/914793689276334080/p1pRcaU3_normal.jpg","View")</f>
        <v>View</v>
      </c>
      <c r="P3380" s="27"/>
    </row>
    <row r="3381">
      <c r="A3381" s="14">
        <v>43031.2139699074</v>
      </c>
      <c r="B3381" s="20" t="str">
        <f>HYPERLINK("https://twitter.com/snigdhadev92","@snigdhadev92")</f>
        <v>@snigdhadev92</v>
      </c>
      <c r="C3381" s="21" t="s">
        <v>7924</v>
      </c>
      <c r="D3381" s="21" t="s">
        <v>163</v>
      </c>
      <c r="E3381" s="22" t="str">
        <f>HYPERLINK("https://twitter.com/snigdhadev92/status/922434458950578178","922434458950578178")</f>
        <v>922434458950578178</v>
      </c>
      <c r="F3381" s="23" t="s">
        <v>33</v>
      </c>
      <c r="G3381" s="24">
        <v>374.0</v>
      </c>
      <c r="H3381" s="24">
        <v>2535.0</v>
      </c>
      <c r="I3381" s="24">
        <v>1005.0</v>
      </c>
      <c r="J3381" s="24">
        <v>0.0</v>
      </c>
      <c r="K3381" s="23" t="s">
        <v>34</v>
      </c>
      <c r="L3381" s="25">
        <v>40247.98788194444</v>
      </c>
      <c r="M3381" s="26" t="s">
        <v>2356</v>
      </c>
      <c r="N3381" s="26" t="s">
        <v>7925</v>
      </c>
      <c r="O3381" s="22" t="str">
        <f>HYPERLINK("https://pbs.twimg.com/profile_images/783746703220367360/DFx2pFD-_normal.jpg","View")</f>
        <v>View</v>
      </c>
      <c r="P3381" s="27"/>
    </row>
    <row r="3382">
      <c r="A3382" s="14">
        <v>43031.214050925926</v>
      </c>
      <c r="B3382" s="20" t="str">
        <f>HYPERLINK("https://twitter.com/tcortellesi","@tcortellesi")</f>
        <v>@tcortellesi</v>
      </c>
      <c r="C3382" s="21" t="s">
        <v>7926</v>
      </c>
      <c r="D3382" s="21" t="s">
        <v>7927</v>
      </c>
      <c r="E3382" s="22" t="str">
        <f>HYPERLINK("https://twitter.com/tcortellesi/status/922434485983105024","922434485983105024")</f>
        <v>922434485983105024</v>
      </c>
      <c r="F3382" s="23" t="s">
        <v>33</v>
      </c>
      <c r="G3382" s="24">
        <v>753.0</v>
      </c>
      <c r="H3382" s="24">
        <v>408.0</v>
      </c>
      <c r="I3382" s="24">
        <v>15.0</v>
      </c>
      <c r="J3382" s="24">
        <v>0.0</v>
      </c>
      <c r="K3382" s="23" t="s">
        <v>34</v>
      </c>
      <c r="L3382" s="25">
        <v>42117.61991898148</v>
      </c>
      <c r="M3382" s="26" t="s">
        <v>3604</v>
      </c>
      <c r="N3382" s="26" t="s">
        <v>7928</v>
      </c>
      <c r="O3382" s="22" t="str">
        <f>HYPERLINK("https://pbs.twimg.com/profile_images/909390386782666753/65fo8Aql_normal.jpg","View")</f>
        <v>View</v>
      </c>
      <c r="P3382" s="27"/>
    </row>
    <row r="3383">
      <c r="A3383" s="14">
        <v>43031.2140625</v>
      </c>
      <c r="B3383" s="20" t="str">
        <f>HYPERLINK("https://twitter.com/sharjah24","@sharjah24")</f>
        <v>@sharjah24</v>
      </c>
      <c r="C3383" s="31" t="s">
        <v>7929</v>
      </c>
      <c r="D3383" s="21" t="s">
        <v>7930</v>
      </c>
      <c r="E3383" s="22" t="str">
        <f>HYPERLINK("https://twitter.com/sharjah24/status/922434490735185920","922434490735185920")</f>
        <v>922434490735185920</v>
      </c>
      <c r="F3383" s="23" t="s">
        <v>55</v>
      </c>
      <c r="G3383" s="24">
        <v>11749.0</v>
      </c>
      <c r="H3383" s="24">
        <v>308.0</v>
      </c>
      <c r="I3383" s="24">
        <v>0.0</v>
      </c>
      <c r="J3383" s="24">
        <v>0.0</v>
      </c>
      <c r="K3383" s="23" t="s">
        <v>34</v>
      </c>
      <c r="L3383" s="25">
        <v>41953.947858796295</v>
      </c>
      <c r="M3383" s="32" t="s">
        <v>7931</v>
      </c>
      <c r="N3383" s="32" t="s">
        <v>7932</v>
      </c>
      <c r="O3383" s="22" t="str">
        <f>HYPERLINK("https://pbs.twimg.com/profile_images/670543443131658240/fB-fy5fR_normal.png","View")</f>
        <v>View</v>
      </c>
      <c r="P3383" s="27"/>
    </row>
    <row r="3384">
      <c r="A3384" s="14">
        <v>43031.21407407407</v>
      </c>
      <c r="B3384" s="20" t="str">
        <f>HYPERLINK("https://twitter.com/cartradejapan","@cartradejapan")</f>
        <v>@cartradejapan</v>
      </c>
      <c r="C3384" s="21" t="s">
        <v>2109</v>
      </c>
      <c r="D3384" s="21" t="s">
        <v>7933</v>
      </c>
      <c r="E3384" s="22" t="str">
        <f>HYPERLINK("https://twitter.com/cartradejapan/status/922434495638147072","922434495638147072")</f>
        <v>922434495638147072</v>
      </c>
      <c r="F3384" s="23" t="s">
        <v>2111</v>
      </c>
      <c r="G3384" s="24">
        <v>901.0</v>
      </c>
      <c r="H3384" s="24">
        <v>1777.0</v>
      </c>
      <c r="I3384" s="24">
        <v>0.0</v>
      </c>
      <c r="J3384" s="24">
        <v>0.0</v>
      </c>
      <c r="K3384" s="23" t="s">
        <v>34</v>
      </c>
      <c r="L3384" s="25">
        <v>41497.54555555555</v>
      </c>
      <c r="M3384" s="26" t="s">
        <v>2112</v>
      </c>
      <c r="N3384" s="26" t="s">
        <v>2113</v>
      </c>
      <c r="O3384" s="22" t="str">
        <f>HYPERLINK("https://pbs.twimg.com/profile_images/595912331265085441/17hdfbuV_normal.jpg","View")</f>
        <v>View</v>
      </c>
      <c r="P3384" s="27"/>
    </row>
    <row r="3385">
      <c r="A3385" s="14">
        <v>43031.21417824074</v>
      </c>
      <c r="B3385" s="20" t="str">
        <f>HYPERLINK("https://twitter.com/vsedani1","@vsedani1")</f>
        <v>@vsedani1</v>
      </c>
      <c r="C3385" s="21" t="s">
        <v>7934</v>
      </c>
      <c r="D3385" s="21" t="s">
        <v>42</v>
      </c>
      <c r="E3385" s="22" t="str">
        <f>HYPERLINK("https://twitter.com/vsedani1/status/922434534775201792","922434534775201792")</f>
        <v>922434534775201792</v>
      </c>
      <c r="F3385" s="23" t="s">
        <v>33</v>
      </c>
      <c r="G3385" s="24">
        <v>65.0</v>
      </c>
      <c r="H3385" s="24">
        <v>284.0</v>
      </c>
      <c r="I3385" s="24">
        <v>8501.0</v>
      </c>
      <c r="J3385" s="24">
        <v>0.0</v>
      </c>
      <c r="K3385" s="23" t="s">
        <v>34</v>
      </c>
      <c r="L3385" s="25">
        <v>41173.20725694444</v>
      </c>
      <c r="M3385" s="26" t="s">
        <v>204</v>
      </c>
      <c r="N3385" s="26" t="s">
        <v>7935</v>
      </c>
      <c r="O3385" s="22" t="str">
        <f>HYPERLINK("https://pbs.twimg.com/profile_images/2658624814/ba679501b52f50823a1a6fb9499e828b_normal.jpeg","View")</f>
        <v>View</v>
      </c>
      <c r="P3385" s="27"/>
    </row>
    <row r="3386">
      <c r="A3386" s="14">
        <v>43031.21418981481</v>
      </c>
      <c r="B3386" s="20" t="str">
        <f>HYPERLINK("https://twitter.com/KrishnanVengai","@KrishnanVengai")</f>
        <v>@KrishnanVengai</v>
      </c>
      <c r="C3386" s="21" t="s">
        <v>7936</v>
      </c>
      <c r="D3386" s="21" t="s">
        <v>42</v>
      </c>
      <c r="E3386" s="22" t="str">
        <f>HYPERLINK("https://twitter.com/KrishnanVengai/status/922434537375678464","922434537375678464")</f>
        <v>922434537375678464</v>
      </c>
      <c r="F3386" s="23" t="s">
        <v>33</v>
      </c>
      <c r="G3386" s="24">
        <v>107.0</v>
      </c>
      <c r="H3386" s="24">
        <v>332.0</v>
      </c>
      <c r="I3386" s="24">
        <v>8501.0</v>
      </c>
      <c r="J3386" s="24">
        <v>0.0</v>
      </c>
      <c r="K3386" s="23" t="s">
        <v>34</v>
      </c>
      <c r="L3386" s="25">
        <v>41574.406319444446</v>
      </c>
      <c r="M3386" s="28"/>
      <c r="N3386" s="28"/>
      <c r="O3386" s="22" t="str">
        <f>HYPERLINK("https://pbs.twimg.com/profile_images/684387669502111744/B-rKYAaJ_normal.jpg","View")</f>
        <v>View</v>
      </c>
      <c r="P3386" s="27"/>
    </row>
    <row r="3387">
      <c r="A3387" s="14">
        <v>43031.21425925926</v>
      </c>
      <c r="B3387" s="20" t="str">
        <f>HYPERLINK("https://twitter.com/SarahAFE","@SarahAFE")</f>
        <v>@SarahAFE</v>
      </c>
      <c r="C3387" s="21" t="s">
        <v>7937</v>
      </c>
      <c r="D3387" s="21" t="s">
        <v>2595</v>
      </c>
      <c r="E3387" s="22" t="str">
        <f>HYPERLINK("https://twitter.com/SarahAFE/status/922434562038300674","922434562038300674")</f>
        <v>922434562038300674</v>
      </c>
      <c r="F3387" s="23" t="s">
        <v>39</v>
      </c>
      <c r="G3387" s="24">
        <v>3110.0</v>
      </c>
      <c r="H3387" s="24">
        <v>5001.0</v>
      </c>
      <c r="I3387" s="24">
        <v>170.0</v>
      </c>
      <c r="J3387" s="24">
        <v>0.0</v>
      </c>
      <c r="K3387" s="23" t="s">
        <v>34</v>
      </c>
      <c r="L3387" s="25">
        <v>41002.52263888889</v>
      </c>
      <c r="M3387" s="26" t="s">
        <v>7938</v>
      </c>
      <c r="N3387" s="26" t="s">
        <v>7939</v>
      </c>
      <c r="O3387" s="22" t="str">
        <f>HYPERLINK("https://pbs.twimg.com/profile_images/859798836084187136/WeUs_f15_normal.jpg","View")</f>
        <v>View</v>
      </c>
      <c r="P3387" s="27"/>
    </row>
    <row r="3388">
      <c r="A3388" s="14">
        <v>43031.21429398148</v>
      </c>
      <c r="B3388" s="20" t="str">
        <f>HYPERLINK("https://twitter.com/namo_namah2","@namo_namah2")</f>
        <v>@namo_namah2</v>
      </c>
      <c r="C3388" s="21" t="s">
        <v>7940</v>
      </c>
      <c r="D3388" s="21" t="s">
        <v>42</v>
      </c>
      <c r="E3388" s="22" t="str">
        <f>HYPERLINK("https://twitter.com/namo_namah2/status/922434576831586304","922434576831586304")</f>
        <v>922434576831586304</v>
      </c>
      <c r="F3388" s="23" t="s">
        <v>33</v>
      </c>
      <c r="G3388" s="24">
        <v>1032.0</v>
      </c>
      <c r="H3388" s="24">
        <v>159.0</v>
      </c>
      <c r="I3388" s="24">
        <v>8501.0</v>
      </c>
      <c r="J3388" s="24">
        <v>0.0</v>
      </c>
      <c r="K3388" s="23" t="s">
        <v>34</v>
      </c>
      <c r="L3388" s="25">
        <v>42205.418958333335</v>
      </c>
      <c r="M3388" s="26" t="s">
        <v>7941</v>
      </c>
      <c r="N3388" s="26" t="s">
        <v>7942</v>
      </c>
      <c r="O3388" s="22" t="str">
        <f>HYPERLINK("https://pbs.twimg.com/profile_images/902579783497682944/O8CLkRyF_normal.jpg","View")</f>
        <v>View</v>
      </c>
      <c r="P3388" s="27"/>
    </row>
    <row r="3389">
      <c r="A3389" s="14">
        <v>43031.214317129634</v>
      </c>
      <c r="B3389" s="20" t="str">
        <f>HYPERLINK("https://twitter.com/newssummeduphq","@newssummeduphq")</f>
        <v>@newssummeduphq</v>
      </c>
      <c r="C3389" s="21" t="s">
        <v>7943</v>
      </c>
      <c r="D3389" s="21" t="s">
        <v>7944</v>
      </c>
      <c r="E3389" s="22" t="str">
        <f>HYPERLINK("https://twitter.com/newssummeduphq/status/922434584825831424","922434584825831424")</f>
        <v>922434584825831424</v>
      </c>
      <c r="F3389" s="23" t="s">
        <v>7945</v>
      </c>
      <c r="G3389" s="24">
        <v>437.0</v>
      </c>
      <c r="H3389" s="24">
        <v>1176.0</v>
      </c>
      <c r="I3389" s="24">
        <v>0.0</v>
      </c>
      <c r="J3389" s="24">
        <v>0.0</v>
      </c>
      <c r="K3389" s="23" t="s">
        <v>34</v>
      </c>
      <c r="L3389" s="25">
        <v>42504.201203703706</v>
      </c>
      <c r="M3389" s="26" t="s">
        <v>4920</v>
      </c>
      <c r="N3389" s="26" t="s">
        <v>7946</v>
      </c>
      <c r="O3389" s="22" t="str">
        <f>HYPERLINK("https://pbs.twimg.com/profile_images/731455561695264770/Oj_92lRJ_normal.jpg","View")</f>
        <v>View</v>
      </c>
      <c r="P3389" s="27"/>
    </row>
    <row r="3390">
      <c r="A3390" s="14">
        <v>43031.21434027777</v>
      </c>
      <c r="B3390" s="20" t="str">
        <f>HYPERLINK("https://twitter.com/pj5vb4","@pj5vb4")</f>
        <v>@pj5vb4</v>
      </c>
      <c r="C3390" s="21" t="s">
        <v>7947</v>
      </c>
      <c r="D3390" s="21" t="s">
        <v>6991</v>
      </c>
      <c r="E3390" s="22" t="str">
        <f>HYPERLINK("https://twitter.com/pj5vb4/status/922434591670935552","922434591670935552")</f>
        <v>922434591670935552</v>
      </c>
      <c r="F3390" s="23" t="s">
        <v>2119</v>
      </c>
      <c r="G3390" s="24">
        <v>6280.0</v>
      </c>
      <c r="H3390" s="24">
        <v>6257.0</v>
      </c>
      <c r="I3390" s="24">
        <v>22.0</v>
      </c>
      <c r="J3390" s="24">
        <v>0.0</v>
      </c>
      <c r="K3390" s="23" t="s">
        <v>34</v>
      </c>
      <c r="L3390" s="25">
        <v>42509.88181712963</v>
      </c>
      <c r="M3390" s="26" t="s">
        <v>7948</v>
      </c>
      <c r="N3390" s="26" t="s">
        <v>7949</v>
      </c>
      <c r="O3390" s="22" t="str">
        <f>HYPERLINK("https://pbs.twimg.com/profile_images/870828536545787904/hr3vu3R0_normal.jpg","View")</f>
        <v>View</v>
      </c>
      <c r="P3390" s="27"/>
    </row>
    <row r="3391">
      <c r="A3391" s="14">
        <v>43031.21435185186</v>
      </c>
      <c r="B3391" s="20" t="str">
        <f>HYPERLINK("https://twitter.com/iscontweet","@iscontweet")</f>
        <v>@iscontweet</v>
      </c>
      <c r="C3391" s="21" t="s">
        <v>7950</v>
      </c>
      <c r="D3391" s="21" t="s">
        <v>42</v>
      </c>
      <c r="E3391" s="22" t="str">
        <f>HYPERLINK("https://twitter.com/iscontweet/status/922434596410552320","922434596410552320")</f>
        <v>922434596410552320</v>
      </c>
      <c r="F3391" s="23" t="s">
        <v>33</v>
      </c>
      <c r="G3391" s="24">
        <v>49.0</v>
      </c>
      <c r="H3391" s="24">
        <v>134.0</v>
      </c>
      <c r="I3391" s="24">
        <v>8501.0</v>
      </c>
      <c r="J3391" s="24">
        <v>0.0</v>
      </c>
      <c r="K3391" s="23" t="s">
        <v>34</v>
      </c>
      <c r="L3391" s="25">
        <v>41035.1112037037</v>
      </c>
      <c r="M3391" s="26" t="s">
        <v>7951</v>
      </c>
      <c r="N3391" s="28"/>
      <c r="O3391" s="22" t="str">
        <f>HYPERLINK("https://pbs.twimg.com/profile_images/522712730097041410/yK7bE3vC_normal.jpeg","View")</f>
        <v>View</v>
      </c>
      <c r="P3391" s="27"/>
    </row>
    <row r="3392">
      <c r="A3392" s="14">
        <v>43031.21444444444</v>
      </c>
      <c r="B3392" s="20" t="str">
        <f>HYPERLINK("https://twitter.com/Sammipetes","@Sammipetes")</f>
        <v>@Sammipetes</v>
      </c>
      <c r="C3392" s="21" t="s">
        <v>7952</v>
      </c>
      <c r="D3392" s="21" t="s">
        <v>32</v>
      </c>
      <c r="E3392" s="22" t="str">
        <f>HYPERLINK("https://twitter.com/Sammipetes/status/922434632150372352","922434632150372352")</f>
        <v>922434632150372352</v>
      </c>
      <c r="F3392" s="23" t="s">
        <v>39</v>
      </c>
      <c r="G3392" s="24">
        <v>2167.0</v>
      </c>
      <c r="H3392" s="24">
        <v>1951.0</v>
      </c>
      <c r="I3392" s="24">
        <v>471.0</v>
      </c>
      <c r="J3392" s="24">
        <v>0.0</v>
      </c>
      <c r="K3392" s="23" t="s">
        <v>34</v>
      </c>
      <c r="L3392" s="25">
        <v>40081.23453703704</v>
      </c>
      <c r="M3392" s="26" t="s">
        <v>7953</v>
      </c>
      <c r="N3392" s="26" t="s">
        <v>7954</v>
      </c>
      <c r="O3392" s="22" t="str">
        <f>HYPERLINK("https://pbs.twimg.com/profile_images/882480175790919680/UdHzSWzh_normal.jpg","View")</f>
        <v>View</v>
      </c>
      <c r="P3392" s="27"/>
    </row>
    <row r="3393">
      <c r="A3393" s="14">
        <v>43031.214467592596</v>
      </c>
      <c r="B3393" s="20" t="str">
        <f>HYPERLINK("https://twitter.com/JimYoneshige","@JimYoneshige")</f>
        <v>@JimYoneshige</v>
      </c>
      <c r="C3393" s="21" t="s">
        <v>7955</v>
      </c>
      <c r="D3393" s="21" t="s">
        <v>5786</v>
      </c>
      <c r="E3393" s="22" t="str">
        <f>HYPERLINK("https://twitter.com/JimYoneshige/status/922434637921742848","922434637921742848")</f>
        <v>922434637921742848</v>
      </c>
      <c r="F3393" s="23" t="s">
        <v>2289</v>
      </c>
      <c r="G3393" s="24">
        <v>134.0</v>
      </c>
      <c r="H3393" s="24">
        <v>241.0</v>
      </c>
      <c r="I3393" s="24">
        <v>59.0</v>
      </c>
      <c r="J3393" s="24">
        <v>0.0</v>
      </c>
      <c r="K3393" s="23" t="s">
        <v>34</v>
      </c>
      <c r="L3393" s="25">
        <v>41434.522835648146</v>
      </c>
      <c r="M3393" s="26" t="s">
        <v>7142</v>
      </c>
      <c r="N3393" s="26" t="s">
        <v>7956</v>
      </c>
      <c r="O3393" s="22" t="str">
        <f>HYPERLINK("https://pbs.twimg.com/profile_images/860895026498478080/_leUnyci_normal.jpg","View")</f>
        <v>View</v>
      </c>
      <c r="P3393" s="27"/>
    </row>
    <row r="3394">
      <c r="A3394" s="14">
        <v>43031.21451388889</v>
      </c>
      <c r="B3394" s="20" t="str">
        <f>HYPERLINK("https://twitter.com/PramodPriya_","@PramodPriya_")</f>
        <v>@PramodPriya_</v>
      </c>
      <c r="C3394" s="21" t="s">
        <v>7957</v>
      </c>
      <c r="D3394" s="21" t="s">
        <v>42</v>
      </c>
      <c r="E3394" s="22" t="str">
        <f>HYPERLINK("https://twitter.com/PramodPriya_/status/922434653751005185","922434653751005185")</f>
        <v>922434653751005185</v>
      </c>
      <c r="F3394" s="23" t="s">
        <v>33</v>
      </c>
      <c r="G3394" s="24">
        <v>689.0</v>
      </c>
      <c r="H3394" s="24">
        <v>1128.0</v>
      </c>
      <c r="I3394" s="24">
        <v>8501.0</v>
      </c>
      <c r="J3394" s="24">
        <v>0.0</v>
      </c>
      <c r="K3394" s="23" t="s">
        <v>34</v>
      </c>
      <c r="L3394" s="25">
        <v>40517.13863425926</v>
      </c>
      <c r="M3394" s="26" t="s">
        <v>520</v>
      </c>
      <c r="N3394" s="26" t="s">
        <v>7958</v>
      </c>
      <c r="O3394" s="22" t="str">
        <f>HYPERLINK("https://pbs.twimg.com/profile_images/878198398410571776/LXfHonPi_normal.jpg","View")</f>
        <v>View</v>
      </c>
      <c r="P3394" s="27"/>
    </row>
    <row r="3395">
      <c r="A3395" s="14">
        <v>43031.21460648148</v>
      </c>
      <c r="B3395" s="20" t="str">
        <f>HYPERLINK("https://twitter.com/SxI80","@SxI80")</f>
        <v>@SxI80</v>
      </c>
      <c r="C3395" s="21" t="s">
        <v>7959</v>
      </c>
      <c r="D3395" s="21" t="s">
        <v>42</v>
      </c>
      <c r="E3395" s="22" t="str">
        <f>HYPERLINK("https://twitter.com/SxI80/status/922434690396577792","922434690396577792")</f>
        <v>922434690396577792</v>
      </c>
      <c r="F3395" s="23" t="s">
        <v>39</v>
      </c>
      <c r="G3395" s="24">
        <v>696.0</v>
      </c>
      <c r="H3395" s="24">
        <v>637.0</v>
      </c>
      <c r="I3395" s="24">
        <v>8501.0</v>
      </c>
      <c r="J3395" s="24">
        <v>0.0</v>
      </c>
      <c r="K3395" s="23" t="s">
        <v>34</v>
      </c>
      <c r="L3395" s="25">
        <v>42467.14193287037</v>
      </c>
      <c r="M3395" s="26" t="s">
        <v>3932</v>
      </c>
      <c r="N3395" s="26" t="s">
        <v>7960</v>
      </c>
      <c r="O3395" s="22" t="str">
        <f>HYPERLINK("https://pbs.twimg.com/profile_images/801047538765688832/24I-Q5RN_normal.jpg","View")</f>
        <v>View</v>
      </c>
      <c r="P3395" s="27"/>
    </row>
    <row r="3396">
      <c r="A3396" s="14">
        <v>43031.21466435185</v>
      </c>
      <c r="B3396" s="20" t="str">
        <f>HYPERLINK("https://twitter.com/ranjit0852","@ranjit0852")</f>
        <v>@ranjit0852</v>
      </c>
      <c r="C3396" s="21" t="s">
        <v>7961</v>
      </c>
      <c r="D3396" s="21" t="s">
        <v>42</v>
      </c>
      <c r="E3396" s="22" t="str">
        <f>HYPERLINK("https://twitter.com/ranjit0852/status/922434708985671680","922434708985671680")</f>
        <v>922434708985671680</v>
      </c>
      <c r="F3396" s="23" t="s">
        <v>33</v>
      </c>
      <c r="G3396" s="24">
        <v>103.0</v>
      </c>
      <c r="H3396" s="24">
        <v>115.0</v>
      </c>
      <c r="I3396" s="24">
        <v>8501.0</v>
      </c>
      <c r="J3396" s="24">
        <v>0.0</v>
      </c>
      <c r="K3396" s="23" t="s">
        <v>34</v>
      </c>
      <c r="L3396" s="25">
        <v>42471.948495370365</v>
      </c>
      <c r="M3396" s="26" t="s">
        <v>575</v>
      </c>
      <c r="N3396" s="28"/>
      <c r="O3396" s="22" t="str">
        <f>HYPERLINK("https://pbs.twimg.com/profile_images/833618240773296128/oONb3_tT_normal.jpg","View")</f>
        <v>View</v>
      </c>
      <c r="P3396" s="27"/>
    </row>
    <row r="3397">
      <c r="A3397" s="14">
        <v>43031.2146875</v>
      </c>
      <c r="B3397" s="20" t="str">
        <f>HYPERLINK("https://twitter.com/AllanMadeley","@AllanMadeley")</f>
        <v>@AllanMadeley</v>
      </c>
      <c r="C3397" s="21" t="s">
        <v>7962</v>
      </c>
      <c r="D3397" s="21" t="s">
        <v>3227</v>
      </c>
      <c r="E3397" s="22" t="str">
        <f>HYPERLINK("https://twitter.com/AllanMadeley/status/922434719186341888","922434719186341888")</f>
        <v>922434719186341888</v>
      </c>
      <c r="F3397" s="23" t="s">
        <v>780</v>
      </c>
      <c r="G3397" s="24">
        <v>1459.0</v>
      </c>
      <c r="H3397" s="24">
        <v>2777.0</v>
      </c>
      <c r="I3397" s="24">
        <v>61.0</v>
      </c>
      <c r="J3397" s="24">
        <v>0.0</v>
      </c>
      <c r="K3397" s="23" t="s">
        <v>34</v>
      </c>
      <c r="L3397" s="25">
        <v>39869.73096064815</v>
      </c>
      <c r="M3397" s="26" t="s">
        <v>7963</v>
      </c>
      <c r="N3397" s="26" t="s">
        <v>7964</v>
      </c>
      <c r="O3397" s="22" t="str">
        <f>HYPERLINK("https://pbs.twimg.com/profile_images/662216674200817664/NUu6h-JE_normal.png","View")</f>
        <v>View</v>
      </c>
      <c r="P3397" s="27"/>
    </row>
    <row r="3398">
      <c r="A3398" s="14">
        <v>43031.21471064815</v>
      </c>
      <c r="B3398" s="20" t="str">
        <f>HYPERLINK("https://twitter.com/ashish_dagwar","@ashish_dagwar")</f>
        <v>@ashish_dagwar</v>
      </c>
      <c r="C3398" s="21" t="s">
        <v>7688</v>
      </c>
      <c r="D3398" s="21" t="s">
        <v>7965</v>
      </c>
      <c r="E3398" s="22" t="str">
        <f>HYPERLINK("https://twitter.com/ashish_dagwar/status/922434727306412033","922434727306412033")</f>
        <v>922434727306412033</v>
      </c>
      <c r="F3398" s="23" t="s">
        <v>33</v>
      </c>
      <c r="G3398" s="24">
        <v>644.0</v>
      </c>
      <c r="H3398" s="24">
        <v>3811.0</v>
      </c>
      <c r="I3398" s="24">
        <v>0.0</v>
      </c>
      <c r="J3398" s="24">
        <v>0.0</v>
      </c>
      <c r="K3398" s="23" t="s">
        <v>34</v>
      </c>
      <c r="L3398" s="25">
        <v>40082.325208333335</v>
      </c>
      <c r="M3398" s="26" t="s">
        <v>7689</v>
      </c>
      <c r="N3398" s="26" t="s">
        <v>7690</v>
      </c>
      <c r="O3398" s="22" t="str">
        <f>HYPERLINK("https://pbs.twimg.com/profile_images/568434762935586816/fvHi55PI_normal.jpeg","View")</f>
        <v>View</v>
      </c>
      <c r="P3398" s="27"/>
    </row>
    <row r="3399">
      <c r="A3399" s="14">
        <v>43031.21503472222</v>
      </c>
      <c r="B3399" s="20" t="str">
        <f>HYPERLINK("https://twitter.com/SheikhBinMohd","@SheikhBinMohd")</f>
        <v>@SheikhBinMohd</v>
      </c>
      <c r="C3399" s="21" t="s">
        <v>7966</v>
      </c>
      <c r="D3399" s="21" t="s">
        <v>42</v>
      </c>
      <c r="E3399" s="22" t="str">
        <f>HYPERLINK("https://twitter.com/SheikhBinMohd/status/922434843769683969","922434843769683969")</f>
        <v>922434843769683969</v>
      </c>
      <c r="F3399" s="23" t="s">
        <v>33</v>
      </c>
      <c r="G3399" s="24">
        <v>83.0</v>
      </c>
      <c r="H3399" s="24">
        <v>581.0</v>
      </c>
      <c r="I3399" s="24">
        <v>8501.0</v>
      </c>
      <c r="J3399" s="24">
        <v>0.0</v>
      </c>
      <c r="K3399" s="23" t="s">
        <v>34</v>
      </c>
      <c r="L3399" s="25">
        <v>42856.34883101852</v>
      </c>
      <c r="M3399" s="26" t="s">
        <v>7967</v>
      </c>
      <c r="N3399" s="26" t="s">
        <v>7968</v>
      </c>
      <c r="O3399" s="22" t="str">
        <f>HYPERLINK("https://pbs.twimg.com/profile_images/859080586509594624/GIZIQmGl_normal.jpg","View")</f>
        <v>View</v>
      </c>
      <c r="P3399" s="27"/>
    </row>
    <row r="3400">
      <c r="A3400" s="14">
        <v>43031.21512731482</v>
      </c>
      <c r="B3400" s="20" t="str">
        <f>HYPERLINK("https://twitter.com/Vishu_CS","@Vishu_CS")</f>
        <v>@Vishu_CS</v>
      </c>
      <c r="C3400" s="21" t="s">
        <v>7969</v>
      </c>
      <c r="D3400" s="21" t="s">
        <v>42</v>
      </c>
      <c r="E3400" s="22" t="str">
        <f>HYPERLINK("https://twitter.com/Vishu_CS/status/922434876762046465","922434876762046465")</f>
        <v>922434876762046465</v>
      </c>
      <c r="F3400" s="23" t="s">
        <v>43</v>
      </c>
      <c r="G3400" s="24">
        <v>265.0</v>
      </c>
      <c r="H3400" s="24">
        <v>441.0</v>
      </c>
      <c r="I3400" s="24">
        <v>8501.0</v>
      </c>
      <c r="J3400" s="24">
        <v>0.0</v>
      </c>
      <c r="K3400" s="23" t="s">
        <v>34</v>
      </c>
      <c r="L3400" s="25">
        <v>41699.1790625</v>
      </c>
      <c r="M3400" s="26" t="s">
        <v>603</v>
      </c>
      <c r="N3400" s="26" t="s">
        <v>7970</v>
      </c>
      <c r="O3400" s="22" t="str">
        <f>HYPERLINK("https://pbs.twimg.com/profile_images/854678144938369025/lvHWIZjc_normal.jpg","View")</f>
        <v>View</v>
      </c>
      <c r="P3400" s="27"/>
    </row>
    <row r="3401">
      <c r="A3401" s="14">
        <v>43031.21519675926</v>
      </c>
      <c r="B3401" s="20" t="str">
        <f>HYPERLINK("https://twitter.com/Aditya2d","@Aditya2d")</f>
        <v>@Aditya2d</v>
      </c>
      <c r="C3401" s="21" t="s">
        <v>7971</v>
      </c>
      <c r="D3401" s="21" t="s">
        <v>163</v>
      </c>
      <c r="E3401" s="22" t="str">
        <f>HYPERLINK("https://twitter.com/Aditya2d/status/922434901777010688","922434901777010688")</f>
        <v>922434901777010688</v>
      </c>
      <c r="F3401" s="23" t="s">
        <v>33</v>
      </c>
      <c r="G3401" s="24">
        <v>28.0</v>
      </c>
      <c r="H3401" s="24">
        <v>40.0</v>
      </c>
      <c r="I3401" s="24">
        <v>1005.0</v>
      </c>
      <c r="J3401" s="24">
        <v>0.0</v>
      </c>
      <c r="K3401" s="23" t="s">
        <v>34</v>
      </c>
      <c r="L3401" s="25">
        <v>41724.23777777778</v>
      </c>
      <c r="M3401" s="28"/>
      <c r="N3401" s="28"/>
      <c r="O3401" s="22" t="str">
        <f>HYPERLINK("https://pbs.twimg.com/profile_images/448802809345875969/TU4OyiRx_normal.jpeg","View")</f>
        <v>View</v>
      </c>
      <c r="P3401" s="27"/>
    </row>
    <row r="3402">
      <c r="A3402" s="14">
        <v>43031.21533564814</v>
      </c>
      <c r="B3402" s="20" t="str">
        <f>HYPERLINK("https://twitter.com/newslivenetwork","@newslivenetwork")</f>
        <v>@newslivenetwork</v>
      </c>
      <c r="C3402" s="21" t="s">
        <v>89</v>
      </c>
      <c r="D3402" s="21" t="s">
        <v>7972</v>
      </c>
      <c r="E3402" s="22" t="str">
        <f>HYPERLINK("https://twitter.com/newslivenetwork/status/922434953572503552","922434953572503552")</f>
        <v>922434953572503552</v>
      </c>
      <c r="F3402" s="23" t="s">
        <v>91</v>
      </c>
      <c r="G3402" s="24">
        <v>271.0</v>
      </c>
      <c r="H3402" s="24">
        <v>87.0</v>
      </c>
      <c r="I3402" s="24">
        <v>0.0</v>
      </c>
      <c r="J3402" s="24">
        <v>0.0</v>
      </c>
      <c r="K3402" s="23" t="s">
        <v>34</v>
      </c>
      <c r="L3402" s="25">
        <v>42741.47196759259</v>
      </c>
      <c r="M3402" s="26" t="s">
        <v>92</v>
      </c>
      <c r="N3402" s="26" t="s">
        <v>93</v>
      </c>
      <c r="O3402" s="22" t="str">
        <f>HYPERLINK("https://pbs.twimg.com/profile_images/877414144424660992/scfhocj3_normal.jpg","View")</f>
        <v>View</v>
      </c>
      <c r="P3402" s="27"/>
    </row>
    <row r="3403">
      <c r="A3403" s="14">
        <v>43031.21538194444</v>
      </c>
      <c r="B3403" s="20" t="str">
        <f>HYPERLINK("https://twitter.com/qwxoiolzxflvxgv","@qwxoiolzxflvxgv")</f>
        <v>@qwxoiolzxflvxgv</v>
      </c>
      <c r="C3403" s="21" t="s">
        <v>7973</v>
      </c>
      <c r="D3403" s="21" t="s">
        <v>3965</v>
      </c>
      <c r="E3403" s="22" t="str">
        <f>HYPERLINK("https://twitter.com/qwxoiolzxflvxgv/status/922434971582607360","922434971582607360")</f>
        <v>922434971582607360</v>
      </c>
      <c r="F3403" s="23" t="s">
        <v>33</v>
      </c>
      <c r="G3403" s="24">
        <v>31.0</v>
      </c>
      <c r="H3403" s="24">
        <v>104.0</v>
      </c>
      <c r="I3403" s="24">
        <v>14.0</v>
      </c>
      <c r="J3403" s="24">
        <v>0.0</v>
      </c>
      <c r="K3403" s="23" t="s">
        <v>34</v>
      </c>
      <c r="L3403" s="25">
        <v>42727.94039351852</v>
      </c>
      <c r="M3403" s="28"/>
      <c r="N3403" s="26" t="s">
        <v>7974</v>
      </c>
      <c r="O3403" s="22" t="str">
        <f>HYPERLINK("https://pbs.twimg.com/profile_images/921959989580677125/tbVztidj_normal.jpg","View")</f>
        <v>View</v>
      </c>
      <c r="P3403" s="27"/>
    </row>
    <row r="3404">
      <c r="A3404" s="14">
        <v>43031.21554398148</v>
      </c>
      <c r="B3404" s="20" t="str">
        <f>HYPERLINK("https://twitter.com/rachelscla","@rachelscla")</f>
        <v>@rachelscla</v>
      </c>
      <c r="C3404" s="21" t="s">
        <v>7975</v>
      </c>
      <c r="D3404" s="21" t="s">
        <v>7976</v>
      </c>
      <c r="E3404" s="22" t="str">
        <f>HYPERLINK("https://twitter.com/rachelscla/status/922435028172394497","922435028172394497")</f>
        <v>922435028172394497</v>
      </c>
      <c r="F3404" s="23" t="s">
        <v>187</v>
      </c>
      <c r="G3404" s="24">
        <v>1.0</v>
      </c>
      <c r="H3404" s="24">
        <v>8.0</v>
      </c>
      <c r="I3404" s="24">
        <v>0.0</v>
      </c>
      <c r="J3404" s="24">
        <v>0.0</v>
      </c>
      <c r="K3404" s="23" t="s">
        <v>34</v>
      </c>
      <c r="L3404" s="25">
        <v>43011.07336805556</v>
      </c>
      <c r="M3404" s="26" t="s">
        <v>68</v>
      </c>
      <c r="N3404" s="26" t="s">
        <v>7977</v>
      </c>
      <c r="O3404" s="22" t="str">
        <f>HYPERLINK("https://pbs.twimg.com/profile_images/917330022662258689/0TaU2zkU_normal.jpg","View")</f>
        <v>View</v>
      </c>
      <c r="P3404" s="27"/>
    </row>
    <row r="3405">
      <c r="A3405" s="14">
        <v>43031.21561342593</v>
      </c>
      <c r="B3405" s="20" t="str">
        <f>HYPERLINK("https://twitter.com/kamleshtiwari90","@kamleshtiwari90")</f>
        <v>@kamleshtiwari90</v>
      </c>
      <c r="C3405" s="21" t="s">
        <v>7978</v>
      </c>
      <c r="D3405" s="21" t="s">
        <v>42</v>
      </c>
      <c r="E3405" s="22" t="str">
        <f>HYPERLINK("https://twitter.com/kamleshtiwari90/status/922435053526818816","922435053526818816")</f>
        <v>922435053526818816</v>
      </c>
      <c r="F3405" s="23" t="s">
        <v>33</v>
      </c>
      <c r="G3405" s="24">
        <v>287.0</v>
      </c>
      <c r="H3405" s="24">
        <v>84.0</v>
      </c>
      <c r="I3405" s="24">
        <v>8501.0</v>
      </c>
      <c r="J3405" s="24">
        <v>0.0</v>
      </c>
      <c r="K3405" s="23" t="s">
        <v>34</v>
      </c>
      <c r="L3405" s="25">
        <v>40192.83138888889</v>
      </c>
      <c r="M3405" s="28"/>
      <c r="N3405" s="26" t="s">
        <v>7979</v>
      </c>
      <c r="O3405" s="22" t="str">
        <f>HYPERLINK("https://pbs.twimg.com/profile_images/821567027324141568/c8F60hh9_normal.jpg","View")</f>
        <v>View</v>
      </c>
      <c r="P3405" s="27"/>
    </row>
    <row r="3406">
      <c r="A3406" s="14">
        <v>43031.215682870374</v>
      </c>
      <c r="B3406" s="20" t="str">
        <f>HYPERLINK("https://twitter.com/ps_gokulnath","@ps_gokulnath")</f>
        <v>@ps_gokulnath</v>
      </c>
      <c r="C3406" s="21" t="s">
        <v>7980</v>
      </c>
      <c r="D3406" s="21" t="s">
        <v>42</v>
      </c>
      <c r="E3406" s="22" t="str">
        <f>HYPERLINK("https://twitter.com/ps_gokulnath/status/922435078789013504","922435078789013504")</f>
        <v>922435078789013504</v>
      </c>
      <c r="F3406" s="23" t="s">
        <v>33</v>
      </c>
      <c r="G3406" s="24">
        <v>10.0</v>
      </c>
      <c r="H3406" s="24">
        <v>74.0</v>
      </c>
      <c r="I3406" s="24">
        <v>8501.0</v>
      </c>
      <c r="J3406" s="24">
        <v>0.0</v>
      </c>
      <c r="K3406" s="23" t="s">
        <v>34</v>
      </c>
      <c r="L3406" s="25">
        <v>42921.34953703704</v>
      </c>
      <c r="M3406" s="26" t="s">
        <v>423</v>
      </c>
      <c r="N3406" s="26" t="s">
        <v>7981</v>
      </c>
      <c r="O3406" s="22" t="str">
        <f>HYPERLINK("https://pbs.twimg.com/profile_images/900012584035696641/STQGNIuZ_normal.jpg","View")</f>
        <v>View</v>
      </c>
      <c r="P3406" s="27"/>
    </row>
    <row r="3407">
      <c r="A3407" s="14">
        <v>43031.21576388889</v>
      </c>
      <c r="B3407" s="20" t="str">
        <f>HYPERLINK("https://twitter.com/alsnova","@alsnova")</f>
        <v>@alsnova</v>
      </c>
      <c r="C3407" s="21" t="s">
        <v>7982</v>
      </c>
      <c r="D3407" s="21" t="s">
        <v>513</v>
      </c>
      <c r="E3407" s="22" t="str">
        <f>HYPERLINK("https://twitter.com/alsnova/status/922435109252300805","922435109252300805")</f>
        <v>922435109252300805</v>
      </c>
      <c r="F3407" s="23" t="s">
        <v>230</v>
      </c>
      <c r="G3407" s="24">
        <v>1590.0</v>
      </c>
      <c r="H3407" s="24">
        <v>3510.0</v>
      </c>
      <c r="I3407" s="24">
        <v>101.0</v>
      </c>
      <c r="J3407" s="24">
        <v>0.0</v>
      </c>
      <c r="K3407" s="23" t="s">
        <v>34</v>
      </c>
      <c r="L3407" s="25">
        <v>40018.41125</v>
      </c>
      <c r="M3407" s="28"/>
      <c r="N3407" s="26" t="s">
        <v>7983</v>
      </c>
      <c r="O3407" s="22" t="str">
        <f>HYPERLINK("https://pbs.twimg.com/profile_images/915601800505331712/CzsMkg0k_normal.jpg","View")</f>
        <v>View</v>
      </c>
      <c r="P3407" s="27"/>
    </row>
    <row r="3408">
      <c r="A3408" s="14">
        <v>43031.21592592592</v>
      </c>
      <c r="B3408" s="20" t="str">
        <f>HYPERLINK("https://twitter.com/sophia999999970","@sophia999999970")</f>
        <v>@sophia999999970</v>
      </c>
      <c r="C3408" s="21" t="s">
        <v>7984</v>
      </c>
      <c r="D3408" s="21" t="s">
        <v>6403</v>
      </c>
      <c r="E3408" s="22" t="str">
        <f>HYPERLINK("https://twitter.com/sophia999999970/status/922435167007924227","922435167007924227")</f>
        <v>922435167007924227</v>
      </c>
      <c r="F3408" s="23" t="s">
        <v>39</v>
      </c>
      <c r="G3408" s="24">
        <v>733.0</v>
      </c>
      <c r="H3408" s="24">
        <v>237.0</v>
      </c>
      <c r="I3408" s="24">
        <v>97.0</v>
      </c>
      <c r="J3408" s="24">
        <v>0.0</v>
      </c>
      <c r="K3408" s="23" t="s">
        <v>34</v>
      </c>
      <c r="L3408" s="25">
        <v>42929.94157407407</v>
      </c>
      <c r="M3408" s="26" t="s">
        <v>7985</v>
      </c>
      <c r="N3408" s="26" t="s">
        <v>7986</v>
      </c>
      <c r="O3408" s="22" t="str">
        <f>HYPERLINK("https://pbs.twimg.com/profile_images/922932725337567232/zcZzhjqv_normal.jpg","View")</f>
        <v>View</v>
      </c>
      <c r="P3408" s="27"/>
    </row>
    <row r="3409">
      <c r="A3409" s="14">
        <v>43031.21604166667</v>
      </c>
      <c r="B3409" s="20" t="str">
        <f>HYPERLINK("https://twitter.com/usagisan5656","@usagisan5656")</f>
        <v>@usagisan5656</v>
      </c>
      <c r="C3409" s="21" t="s">
        <v>7987</v>
      </c>
      <c r="D3409" s="21" t="s">
        <v>42</v>
      </c>
      <c r="E3409" s="22" t="str">
        <f>HYPERLINK("https://twitter.com/usagisan5656/status/922435207797415937","922435207797415937")</f>
        <v>922435207797415937</v>
      </c>
      <c r="F3409" s="23" t="s">
        <v>33</v>
      </c>
      <c r="G3409" s="24">
        <v>288.0</v>
      </c>
      <c r="H3409" s="24">
        <v>563.0</v>
      </c>
      <c r="I3409" s="24">
        <v>8501.0</v>
      </c>
      <c r="J3409" s="24">
        <v>0.0</v>
      </c>
      <c r="K3409" s="23" t="s">
        <v>34</v>
      </c>
      <c r="L3409" s="25">
        <v>40861.16741898148</v>
      </c>
      <c r="M3409" s="28"/>
      <c r="N3409" s="28"/>
      <c r="O3409" s="22" t="str">
        <f>HYPERLINK("https://pbs.twimg.com/profile_images/1711400911/N97926Lr_normal","View")</f>
        <v>View</v>
      </c>
      <c r="P3409" s="27"/>
    </row>
    <row r="3410">
      <c r="A3410" s="14">
        <v>43031.21604166667</v>
      </c>
      <c r="B3410" s="20" t="str">
        <f>HYPERLINK("https://twitter.com/CARDSdefense","@CARDSdefense")</f>
        <v>@CARDSdefense</v>
      </c>
      <c r="C3410" s="21" t="s">
        <v>7988</v>
      </c>
      <c r="D3410" s="21" t="s">
        <v>7989</v>
      </c>
      <c r="E3410" s="22" t="str">
        <f>HYPERLINK("https://twitter.com/CARDSdefense/status/922435208435126272","922435208435126272")</f>
        <v>922435208435126272</v>
      </c>
      <c r="F3410" s="23" t="s">
        <v>55</v>
      </c>
      <c r="G3410" s="24">
        <v>53.0</v>
      </c>
      <c r="H3410" s="24">
        <v>233.0</v>
      </c>
      <c r="I3410" s="24">
        <v>0.0</v>
      </c>
      <c r="J3410" s="24">
        <v>0.0</v>
      </c>
      <c r="K3410" s="23" t="s">
        <v>34</v>
      </c>
      <c r="L3410" s="25">
        <v>41022.457870370374</v>
      </c>
      <c r="M3410" s="26" t="s">
        <v>7990</v>
      </c>
      <c r="N3410" s="26" t="s">
        <v>7991</v>
      </c>
      <c r="O3410" s="22" t="str">
        <f>HYPERLINK("https://pbs.twimg.com/profile_images/2162078416/CARDS_Logo_Small_normal.jpg","View")</f>
        <v>View</v>
      </c>
      <c r="P3410" s="27"/>
    </row>
    <row r="3411">
      <c r="A3411" s="14">
        <v>43031.21606481481</v>
      </c>
      <c r="B3411" s="20" t="str">
        <f>HYPERLINK("https://twitter.com/saynudinl22j6","@saynudinl22j6")</f>
        <v>@saynudinl22j6</v>
      </c>
      <c r="C3411" s="21" t="s">
        <v>7992</v>
      </c>
      <c r="D3411" s="21" t="s">
        <v>565</v>
      </c>
      <c r="E3411" s="22" t="str">
        <f>HYPERLINK("https://twitter.com/saynudinl22j6/status/922435217268260864","922435217268260864")</f>
        <v>922435217268260864</v>
      </c>
      <c r="F3411" s="23" t="s">
        <v>7993</v>
      </c>
      <c r="G3411" s="24">
        <v>30.0</v>
      </c>
      <c r="H3411" s="24">
        <v>48.0</v>
      </c>
      <c r="I3411" s="24">
        <v>0.0</v>
      </c>
      <c r="J3411" s="24">
        <v>0.0</v>
      </c>
      <c r="K3411" s="23" t="s">
        <v>34</v>
      </c>
      <c r="L3411" s="25">
        <v>42940.12290509259</v>
      </c>
      <c r="M3411" s="28"/>
      <c r="N3411" s="26" t="s">
        <v>7994</v>
      </c>
      <c r="O3411" s="22" t="str">
        <f>HYPERLINK("https://pbs.twimg.com/profile_images/889426037125328900/o5wKDyeK_normal.jpg","View")</f>
        <v>View</v>
      </c>
      <c r="P3411" s="27"/>
    </row>
    <row r="3412">
      <c r="A3412" s="14">
        <v>43031.21612268519</v>
      </c>
      <c r="B3412" s="20" t="str">
        <f>HYPERLINK("https://twitter.com/ajayrashmivyas","@ajayrashmivyas")</f>
        <v>@ajayrashmivyas</v>
      </c>
      <c r="C3412" s="21" t="s">
        <v>7995</v>
      </c>
      <c r="D3412" s="21" t="s">
        <v>7996</v>
      </c>
      <c r="E3412" s="22" t="str">
        <f>HYPERLINK("https://twitter.com/ajayrashmivyas/status/922435238659108864","922435238659108864")</f>
        <v>922435238659108864</v>
      </c>
      <c r="F3412" s="23" t="s">
        <v>39</v>
      </c>
      <c r="G3412" s="24">
        <v>266.0</v>
      </c>
      <c r="H3412" s="24">
        <v>1123.0</v>
      </c>
      <c r="I3412" s="24">
        <v>0.0</v>
      </c>
      <c r="J3412" s="24">
        <v>0.0</v>
      </c>
      <c r="K3412" s="23" t="s">
        <v>34</v>
      </c>
      <c r="L3412" s="25">
        <v>41502.27599537037</v>
      </c>
      <c r="M3412" s="26" t="s">
        <v>7997</v>
      </c>
      <c r="N3412" s="26" t="s">
        <v>7998</v>
      </c>
      <c r="O3412" s="22" t="str">
        <f>HYPERLINK("https://pbs.twimg.com/profile_images/378800000324396666/fc67668b3ce36b1cbd83c8bf4b3f717e_normal.jpeg","View")</f>
        <v>View</v>
      </c>
      <c r="P3412" s="27"/>
    </row>
    <row r="3413">
      <c r="A3413" s="14">
        <v>43031.21615740741</v>
      </c>
      <c r="B3413" s="20" t="str">
        <f>HYPERLINK("https://twitter.com/EverWinner","@EverWinner")</f>
        <v>@EverWinner</v>
      </c>
      <c r="C3413" s="21" t="s">
        <v>7999</v>
      </c>
      <c r="D3413" s="21" t="s">
        <v>8000</v>
      </c>
      <c r="E3413" s="22" t="str">
        <f>HYPERLINK("https://twitter.com/EverWinner/status/922435249816133632","922435249816133632")</f>
        <v>922435249816133632</v>
      </c>
      <c r="F3413" s="23" t="s">
        <v>187</v>
      </c>
      <c r="G3413" s="24">
        <v>44.0</v>
      </c>
      <c r="H3413" s="24">
        <v>42.0</v>
      </c>
      <c r="I3413" s="24">
        <v>0.0</v>
      </c>
      <c r="J3413" s="24">
        <v>0.0</v>
      </c>
      <c r="K3413" s="23" t="s">
        <v>34</v>
      </c>
      <c r="L3413" s="25">
        <v>40281.45625</v>
      </c>
      <c r="M3413" s="26" t="s">
        <v>8001</v>
      </c>
      <c r="N3413" s="28"/>
      <c r="O3413" s="22" t="str">
        <f>HYPERLINK("https://pbs.twimg.com/profile_images/503109203569803265/PGXOxrPn_normal.jpeg","View")</f>
        <v>View</v>
      </c>
      <c r="P3413" s="27"/>
    </row>
    <row r="3414">
      <c r="A3414" s="14">
        <v>43031.216203703705</v>
      </c>
      <c r="B3414" s="20" t="str">
        <f>HYPERLINK("https://twitter.com/mohitjejani","@mohitjejani")</f>
        <v>@mohitjejani</v>
      </c>
      <c r="C3414" s="21" t="s">
        <v>8002</v>
      </c>
      <c r="D3414" s="21" t="s">
        <v>42</v>
      </c>
      <c r="E3414" s="22" t="str">
        <f>HYPERLINK("https://twitter.com/mohitjejani/status/922435269113999360","922435269113999360")</f>
        <v>922435269113999360</v>
      </c>
      <c r="F3414" s="23" t="s">
        <v>33</v>
      </c>
      <c r="G3414" s="24">
        <v>91.0</v>
      </c>
      <c r="H3414" s="24">
        <v>336.0</v>
      </c>
      <c r="I3414" s="24">
        <v>8501.0</v>
      </c>
      <c r="J3414" s="24">
        <v>0.0</v>
      </c>
      <c r="K3414" s="23" t="s">
        <v>34</v>
      </c>
      <c r="L3414" s="25">
        <v>40154.458495370374</v>
      </c>
      <c r="M3414" s="26" t="s">
        <v>8003</v>
      </c>
      <c r="N3414" s="26" t="s">
        <v>8004</v>
      </c>
      <c r="O3414" s="22" t="str">
        <f>HYPERLINK("https://abs.twimg.com/sticky/default_profile_images/default_profile_normal.png","View")</f>
        <v>View</v>
      </c>
      <c r="P3414" s="27"/>
    </row>
    <row r="3415">
      <c r="A3415" s="14">
        <v>43031.21623842593</v>
      </c>
      <c r="B3415" s="20" t="str">
        <f>HYPERLINK("https://twitter.com/lyricsompatel","@lyricsompatel")</f>
        <v>@lyricsompatel</v>
      </c>
      <c r="C3415" s="21" t="s">
        <v>8005</v>
      </c>
      <c r="D3415" s="21" t="s">
        <v>42</v>
      </c>
      <c r="E3415" s="22" t="str">
        <f>HYPERLINK("https://twitter.com/lyricsompatel/status/922435279255830528","922435279255830528")</f>
        <v>922435279255830528</v>
      </c>
      <c r="F3415" s="23" t="s">
        <v>33</v>
      </c>
      <c r="G3415" s="24">
        <v>47.0</v>
      </c>
      <c r="H3415" s="24">
        <v>21.0</v>
      </c>
      <c r="I3415" s="24">
        <v>8501.0</v>
      </c>
      <c r="J3415" s="24">
        <v>0.0</v>
      </c>
      <c r="K3415" s="23" t="s">
        <v>34</v>
      </c>
      <c r="L3415" s="25">
        <v>42172.51608796296</v>
      </c>
      <c r="M3415" s="26" t="s">
        <v>8006</v>
      </c>
      <c r="N3415" s="26" t="s">
        <v>8007</v>
      </c>
      <c r="O3415" s="22" t="str">
        <f>HYPERLINK("https://pbs.twimg.com/profile_images/869093589871185920/SyOQOenM_normal.jpg","View")</f>
        <v>View</v>
      </c>
      <c r="P3415" s="27"/>
    </row>
    <row r="3416">
      <c r="A3416" s="14">
        <v>43031.21625</v>
      </c>
      <c r="B3416" s="20" t="str">
        <f>HYPERLINK("https://twitter.com/NewsBossIndia","@NewsBossIndia")</f>
        <v>@NewsBossIndia</v>
      </c>
      <c r="C3416" s="29" t="s">
        <v>148</v>
      </c>
      <c r="D3416" s="21" t="s">
        <v>8008</v>
      </c>
      <c r="E3416" s="22" t="str">
        <f>HYPERLINK("https://twitter.com/NewsBossIndia/status/922435282439364609","922435282439364609")</f>
        <v>922435282439364609</v>
      </c>
      <c r="F3416" s="30" t="s">
        <v>148</v>
      </c>
      <c r="G3416" s="24">
        <v>991.0</v>
      </c>
      <c r="H3416" s="24">
        <v>1.0</v>
      </c>
      <c r="I3416" s="24">
        <v>0.0</v>
      </c>
      <c r="J3416" s="24">
        <v>0.0</v>
      </c>
      <c r="K3416" s="23" t="s">
        <v>34</v>
      </c>
      <c r="L3416" s="25">
        <v>42564.38061342592</v>
      </c>
      <c r="M3416" s="28"/>
      <c r="N3416" s="26" t="s">
        <v>150</v>
      </c>
      <c r="O3416" s="22" t="str">
        <f>HYPERLINK("https://pbs.twimg.com/profile_images/753260679692333057/AS4Xiw4q_normal.jpg","View")</f>
        <v>View</v>
      </c>
      <c r="P3416" s="27"/>
    </row>
    <row r="3417">
      <c r="A3417" s="14">
        <v>43031.2163425926</v>
      </c>
      <c r="B3417" s="20" t="str">
        <f>HYPERLINK("https://twitter.com/TheModiTimes","@TheModiTimes")</f>
        <v>@TheModiTimes</v>
      </c>
      <c r="C3417" s="21" t="s">
        <v>8009</v>
      </c>
      <c r="D3417" s="21" t="s">
        <v>42</v>
      </c>
      <c r="E3417" s="22" t="str">
        <f>HYPERLINK("https://twitter.com/TheModiTimes/status/922435317357076481","922435317357076481")</f>
        <v>922435317357076481</v>
      </c>
      <c r="F3417" s="23" t="s">
        <v>39</v>
      </c>
      <c r="G3417" s="24">
        <v>3731.0</v>
      </c>
      <c r="H3417" s="24">
        <v>3260.0</v>
      </c>
      <c r="I3417" s="24">
        <v>8501.0</v>
      </c>
      <c r="J3417" s="24">
        <v>0.0</v>
      </c>
      <c r="K3417" s="23" t="s">
        <v>34</v>
      </c>
      <c r="L3417" s="25">
        <v>42317.779444444444</v>
      </c>
      <c r="M3417" s="26" t="s">
        <v>4239</v>
      </c>
      <c r="N3417" s="26" t="s">
        <v>8010</v>
      </c>
      <c r="O3417" s="22" t="str">
        <f>HYPERLINK("https://pbs.twimg.com/profile_images/840766004238143488/Z_-nlQAb_normal.jpg","View")</f>
        <v>View</v>
      </c>
      <c r="P3417" s="27"/>
    </row>
    <row r="3418">
      <c r="A3418" s="14">
        <v>43031.216412037036</v>
      </c>
      <c r="B3418" s="20" t="str">
        <f>HYPERLINK("https://twitter.com/Cheers_TokyoJPN","@Cheers_TokyoJPN")</f>
        <v>@Cheers_TokyoJPN</v>
      </c>
      <c r="C3418" s="21" t="s">
        <v>8011</v>
      </c>
      <c r="D3418" s="21" t="s">
        <v>7692</v>
      </c>
      <c r="E3418" s="22" t="str">
        <f>HYPERLINK("https://twitter.com/Cheers_TokyoJPN/status/922435342363267072","922435342363267072")</f>
        <v>922435342363267072</v>
      </c>
      <c r="F3418" s="23" t="s">
        <v>33</v>
      </c>
      <c r="G3418" s="24">
        <v>230.0</v>
      </c>
      <c r="H3418" s="24">
        <v>277.0</v>
      </c>
      <c r="I3418" s="24">
        <v>4.0</v>
      </c>
      <c r="J3418" s="24">
        <v>0.0</v>
      </c>
      <c r="K3418" s="23" t="s">
        <v>34</v>
      </c>
      <c r="L3418" s="25">
        <v>42981.327303240745</v>
      </c>
      <c r="M3418" s="26" t="s">
        <v>8012</v>
      </c>
      <c r="N3418" s="26" t="s">
        <v>8013</v>
      </c>
      <c r="O3418" s="22" t="str">
        <f>HYPERLINK("https://pbs.twimg.com/profile_images/904670646927466496/Q0GF83u2_normal.jpg","View")</f>
        <v>View</v>
      </c>
      <c r="P3418" s="27"/>
    </row>
    <row r="3419">
      <c r="A3419" s="14">
        <v>43031.21642361111</v>
      </c>
      <c r="B3419" s="20" t="str">
        <f>HYPERLINK("https://twitter.com/trueblue51","@trueblue51")</f>
        <v>@trueblue51</v>
      </c>
      <c r="C3419" s="21" t="s">
        <v>8014</v>
      </c>
      <c r="D3419" s="21" t="s">
        <v>8015</v>
      </c>
      <c r="E3419" s="22" t="str">
        <f>HYPERLINK("https://twitter.com/trueblue51/status/922435347316989954","922435347316989954")</f>
        <v>922435347316989954</v>
      </c>
      <c r="F3419" s="23" t="s">
        <v>55</v>
      </c>
      <c r="G3419" s="24">
        <v>79939.0</v>
      </c>
      <c r="H3419" s="24">
        <v>9583.0</v>
      </c>
      <c r="I3419" s="24">
        <v>0.0</v>
      </c>
      <c r="J3419" s="24">
        <v>0.0</v>
      </c>
      <c r="K3419" s="23" t="s">
        <v>34</v>
      </c>
      <c r="L3419" s="25">
        <v>39875.597280092596</v>
      </c>
      <c r="M3419" s="26" t="s">
        <v>8016</v>
      </c>
      <c r="N3419" s="26" t="s">
        <v>8017</v>
      </c>
      <c r="O3419" s="22" t="str">
        <f>HYPERLINK("https://pbs.twimg.com/profile_images/887794392349757444/lG7jzl9O_normal.jpg","View")</f>
        <v>View</v>
      </c>
      <c r="P3419" s="27"/>
    </row>
    <row r="3420">
      <c r="A3420" s="14">
        <v>43031.21649305556</v>
      </c>
      <c r="B3420" s="20" t="str">
        <f>HYPERLINK("https://twitter.com/DayaRam03201471","@DayaRam03201471")</f>
        <v>@DayaRam03201471</v>
      </c>
      <c r="C3420" s="21" t="s">
        <v>8018</v>
      </c>
      <c r="D3420" s="21" t="s">
        <v>42</v>
      </c>
      <c r="E3420" s="22" t="str">
        <f>HYPERLINK("https://twitter.com/DayaRam03201471/status/922435371501109253","922435371501109253")</f>
        <v>922435371501109253</v>
      </c>
      <c r="F3420" s="23" t="s">
        <v>33</v>
      </c>
      <c r="G3420" s="24">
        <v>94.0</v>
      </c>
      <c r="H3420" s="24">
        <v>335.0</v>
      </c>
      <c r="I3420" s="24">
        <v>8501.0</v>
      </c>
      <c r="J3420" s="24">
        <v>0.0</v>
      </c>
      <c r="K3420" s="23" t="s">
        <v>34</v>
      </c>
      <c r="L3420" s="25">
        <v>42572.00366898148</v>
      </c>
      <c r="M3420" s="26" t="s">
        <v>8019</v>
      </c>
      <c r="N3420" s="26" t="s">
        <v>8020</v>
      </c>
      <c r="O3420" s="22" t="str">
        <f>HYPERLINK("https://pbs.twimg.com/profile_images/837270267411976194/Hu_hTLkM_normal.jpg","View")</f>
        <v>View</v>
      </c>
      <c r="P3420" s="27"/>
    </row>
    <row r="3421">
      <c r="A3421" s="14">
        <v>43031.21670138889</v>
      </c>
      <c r="B3421" s="20" t="str">
        <f>HYPERLINK("https://twitter.com/brlttdrug","@brlttdrug")</f>
        <v>@brlttdrug</v>
      </c>
      <c r="C3421" s="21" t="s">
        <v>8021</v>
      </c>
      <c r="D3421" s="21" t="s">
        <v>42</v>
      </c>
      <c r="E3421" s="22" t="str">
        <f>HYPERLINK("https://twitter.com/brlttdrug/status/922435449557266432","922435449557266432")</f>
        <v>922435449557266432</v>
      </c>
      <c r="F3421" s="23" t="s">
        <v>33</v>
      </c>
      <c r="G3421" s="24">
        <v>112.0</v>
      </c>
      <c r="H3421" s="24">
        <v>5001.0</v>
      </c>
      <c r="I3421" s="24">
        <v>8501.0</v>
      </c>
      <c r="J3421" s="24">
        <v>0.0</v>
      </c>
      <c r="K3421" s="23" t="s">
        <v>34</v>
      </c>
      <c r="L3421" s="25">
        <v>40628.213379629626</v>
      </c>
      <c r="M3421" s="26" t="s">
        <v>5724</v>
      </c>
      <c r="N3421" s="28"/>
      <c r="O3421" s="22" t="str">
        <f>HYPERLINK("https://pbs.twimg.com/profile_images/743271202907652096/TkPh_NjT_normal.jpg","View")</f>
        <v>View</v>
      </c>
      <c r="P3421" s="27"/>
    </row>
    <row r="3422">
      <c r="A3422" s="14">
        <v>43031.21674768519</v>
      </c>
      <c r="B3422" s="20" t="str">
        <f>HYPERLINK("https://twitter.com/PatrcWayne_0117","@PatrcWayne_0117")</f>
        <v>@PatrcWayne_0117</v>
      </c>
      <c r="C3422" s="21" t="s">
        <v>8022</v>
      </c>
      <c r="D3422" s="21" t="s">
        <v>67</v>
      </c>
      <c r="E3422" s="22" t="str">
        <f>HYPERLINK("https://twitter.com/PatrcWayne_0117/status/922435466481238016","922435466481238016")</f>
        <v>922435466481238016</v>
      </c>
      <c r="F3422" s="23" t="s">
        <v>55</v>
      </c>
      <c r="G3422" s="24">
        <v>32.0</v>
      </c>
      <c r="H3422" s="24">
        <v>255.0</v>
      </c>
      <c r="I3422" s="24">
        <v>169.0</v>
      </c>
      <c r="J3422" s="24">
        <v>0.0</v>
      </c>
      <c r="K3422" s="23" t="s">
        <v>34</v>
      </c>
      <c r="L3422" s="25">
        <v>42222.08190972223</v>
      </c>
      <c r="M3422" s="26" t="s">
        <v>2619</v>
      </c>
      <c r="N3422" s="26" t="s">
        <v>8023</v>
      </c>
      <c r="O3422" s="22" t="str">
        <f>HYPERLINK("https://pbs.twimg.com/profile_images/691694841319813120/--IEaSzF_normal.png","View")</f>
        <v>View</v>
      </c>
      <c r="P3422" s="27"/>
    </row>
    <row r="3423">
      <c r="A3423" s="14">
        <v>43031.21710648148</v>
      </c>
      <c r="B3423" s="20" t="str">
        <f>HYPERLINK("https://twitter.com/mangijambha029","@mangijambha029")</f>
        <v>@mangijambha029</v>
      </c>
      <c r="C3423" s="21" t="s">
        <v>8024</v>
      </c>
      <c r="D3423" s="21" t="s">
        <v>42</v>
      </c>
      <c r="E3423" s="22" t="str">
        <f>HYPERLINK("https://twitter.com/mangijambha029/status/922435592872280064","922435592872280064")</f>
        <v>922435592872280064</v>
      </c>
      <c r="F3423" s="23" t="s">
        <v>33</v>
      </c>
      <c r="G3423" s="24">
        <v>295.0</v>
      </c>
      <c r="H3423" s="24">
        <v>422.0</v>
      </c>
      <c r="I3423" s="24">
        <v>8501.0</v>
      </c>
      <c r="J3423" s="24">
        <v>0.0</v>
      </c>
      <c r="K3423" s="23" t="s">
        <v>34</v>
      </c>
      <c r="L3423" s="25">
        <v>42307.21142361111</v>
      </c>
      <c r="M3423" s="26" t="s">
        <v>204</v>
      </c>
      <c r="N3423" s="26" t="s">
        <v>8025</v>
      </c>
      <c r="O3423" s="22" t="str">
        <f>HYPERLINK("https://pbs.twimg.com/profile_images/799184976092635137/UohftCAH_normal.jpg","View")</f>
        <v>View</v>
      </c>
      <c r="P3423" s="27"/>
    </row>
    <row r="3424">
      <c r="A3424" s="14">
        <v>43031.21711805556</v>
      </c>
      <c r="B3424" s="20" t="str">
        <f>HYPERLINK("https://twitter.com/kaGk7ApEsn6tu3I","@kaGk7ApEsn6tu3I")</f>
        <v>@kaGk7ApEsn6tu3I</v>
      </c>
      <c r="C3424" s="21" t="s">
        <v>8026</v>
      </c>
      <c r="D3424" s="21" t="s">
        <v>8027</v>
      </c>
      <c r="E3424" s="22" t="str">
        <f>HYPERLINK("https://twitter.com/kaGk7ApEsn6tu3I/status/922435600904478722","922435600904478722")</f>
        <v>922435600904478722</v>
      </c>
      <c r="F3424" s="23" t="s">
        <v>43</v>
      </c>
      <c r="G3424" s="24">
        <v>185.0</v>
      </c>
      <c r="H3424" s="24">
        <v>196.0</v>
      </c>
      <c r="I3424" s="24">
        <v>1.0</v>
      </c>
      <c r="J3424" s="24">
        <v>1.0</v>
      </c>
      <c r="K3424" s="23" t="s">
        <v>34</v>
      </c>
      <c r="L3424" s="25">
        <v>42881.31173611111</v>
      </c>
      <c r="M3424" s="26" t="s">
        <v>8028</v>
      </c>
      <c r="N3424" s="26" t="s">
        <v>8029</v>
      </c>
      <c r="O3424" s="22" t="str">
        <f>HYPERLINK("https://pbs.twimg.com/profile_images/868819282800422913/orbHItp8_normal.jpg","View")</f>
        <v>View</v>
      </c>
      <c r="P3424" s="27"/>
    </row>
    <row r="3425">
      <c r="A3425" s="14">
        <v>43031.21712962963</v>
      </c>
      <c r="B3425" s="20" t="str">
        <f>HYPERLINK("https://twitter.com/krishnasurana2","@krishnasurana2")</f>
        <v>@krishnasurana2</v>
      </c>
      <c r="C3425" s="21" t="s">
        <v>8030</v>
      </c>
      <c r="D3425" s="21" t="s">
        <v>8031</v>
      </c>
      <c r="E3425" s="22" t="str">
        <f>HYPERLINK("https://twitter.com/krishnasurana2/status/922435602108133376","922435602108133376")</f>
        <v>922435602108133376</v>
      </c>
      <c r="F3425" s="23" t="s">
        <v>39</v>
      </c>
      <c r="G3425" s="24">
        <v>92.0</v>
      </c>
      <c r="H3425" s="24">
        <v>700.0</v>
      </c>
      <c r="I3425" s="24">
        <v>0.0</v>
      </c>
      <c r="J3425" s="24">
        <v>2.0</v>
      </c>
      <c r="K3425" s="23" t="s">
        <v>34</v>
      </c>
      <c r="L3425" s="25">
        <v>42740.34700231481</v>
      </c>
      <c r="M3425" s="26" t="s">
        <v>1137</v>
      </c>
      <c r="N3425" s="26" t="s">
        <v>8032</v>
      </c>
      <c r="O3425" s="22" t="str">
        <f>HYPERLINK("https://pbs.twimg.com/profile_images/820463886113439745/WL0NQzNf_normal.jpg","View")</f>
        <v>View</v>
      </c>
      <c r="P3425" s="27"/>
    </row>
    <row r="3426">
      <c r="A3426" s="14">
        <v>43031.21724537037</v>
      </c>
      <c r="B3426" s="20" t="str">
        <f>HYPERLINK("https://twitter.com/daniilmaksimov9","@daniilmaksimov9")</f>
        <v>@daniilmaksimov9</v>
      </c>
      <c r="C3426" s="21" t="s">
        <v>8033</v>
      </c>
      <c r="D3426" s="21" t="s">
        <v>7403</v>
      </c>
      <c r="E3426" s="22" t="str">
        <f>HYPERLINK("https://twitter.com/daniilmaksimov9/status/922435647230509056","922435647230509056")</f>
        <v>922435647230509056</v>
      </c>
      <c r="F3426" s="23" t="s">
        <v>55</v>
      </c>
      <c r="G3426" s="24">
        <v>1.0</v>
      </c>
      <c r="H3426" s="24">
        <v>0.0</v>
      </c>
      <c r="I3426" s="24">
        <v>29.0</v>
      </c>
      <c r="J3426" s="24">
        <v>0.0</v>
      </c>
      <c r="K3426" s="23" t="s">
        <v>34</v>
      </c>
      <c r="L3426" s="25">
        <v>43015.573171296295</v>
      </c>
      <c r="M3426" s="28"/>
      <c r="N3426" s="28"/>
      <c r="O3426" s="22" t="str">
        <f>HYPERLINK("https://pbs.twimg.com/profile_images/921085431885656064/GBHypQY9_normal.jpg","View")</f>
        <v>View</v>
      </c>
      <c r="P3426" s="27"/>
    </row>
    <row r="3427">
      <c r="A3427" s="14">
        <v>43031.217303240745</v>
      </c>
      <c r="B3427" s="20" t="str">
        <f>HYPERLINK("https://twitter.com/VerredeMiroir","@VerredeMiroir")</f>
        <v>@VerredeMiroir</v>
      </c>
      <c r="C3427" s="21" t="s">
        <v>8034</v>
      </c>
      <c r="D3427" s="21" t="s">
        <v>8035</v>
      </c>
      <c r="E3427" s="22" t="str">
        <f>HYPERLINK("https://twitter.com/VerredeMiroir/status/922435667690389504","922435667690389504")</f>
        <v>922435667690389504</v>
      </c>
      <c r="F3427" s="23" t="s">
        <v>187</v>
      </c>
      <c r="G3427" s="24">
        <v>2141.0</v>
      </c>
      <c r="H3427" s="24">
        <v>65.0</v>
      </c>
      <c r="I3427" s="24">
        <v>0.0</v>
      </c>
      <c r="J3427" s="24">
        <v>0.0</v>
      </c>
      <c r="K3427" s="23" t="s">
        <v>34</v>
      </c>
      <c r="L3427" s="25">
        <v>42667.16033564815</v>
      </c>
      <c r="M3427" s="26" t="s">
        <v>8036</v>
      </c>
      <c r="N3427" s="26" t="s">
        <v>8037</v>
      </c>
      <c r="O3427" s="22" t="str">
        <f>HYPERLINK("https://pbs.twimg.com/profile_images/855366207578529793/PFgZqSUD_normal.jpg","View")</f>
        <v>View</v>
      </c>
      <c r="P3427" s="27"/>
    </row>
    <row r="3428">
      <c r="A3428" s="14">
        <v>43031.217314814814</v>
      </c>
      <c r="B3428" s="20" t="str">
        <f>HYPERLINK("https://twitter.com/BhatSudhakar","@BhatSudhakar")</f>
        <v>@BhatSudhakar</v>
      </c>
      <c r="C3428" s="21" t="s">
        <v>8038</v>
      </c>
      <c r="D3428" s="21" t="s">
        <v>42</v>
      </c>
      <c r="E3428" s="22" t="str">
        <f>HYPERLINK("https://twitter.com/BhatSudhakar/status/922435668755677189","922435668755677189")</f>
        <v>922435668755677189</v>
      </c>
      <c r="F3428" s="23" t="s">
        <v>55</v>
      </c>
      <c r="G3428" s="24">
        <v>23.0</v>
      </c>
      <c r="H3428" s="24">
        <v>139.0</v>
      </c>
      <c r="I3428" s="24">
        <v>8501.0</v>
      </c>
      <c r="J3428" s="24">
        <v>0.0</v>
      </c>
      <c r="K3428" s="23" t="s">
        <v>34</v>
      </c>
      <c r="L3428" s="25">
        <v>41145.384351851855</v>
      </c>
      <c r="M3428" s="26" t="s">
        <v>2451</v>
      </c>
      <c r="N3428" s="26" t="s">
        <v>8039</v>
      </c>
      <c r="O3428" s="22" t="str">
        <f>HYPERLINK("https://pbs.twimg.com/profile_images/508247186618851328/IH9Srg6D_normal.jpeg","View")</f>
        <v>View</v>
      </c>
      <c r="P3428" s="27"/>
    </row>
    <row r="3429">
      <c r="A3429" s="14">
        <v>43031.21737268519</v>
      </c>
      <c r="B3429" s="20" t="str">
        <f>HYPERLINK("https://twitter.com/imsachin93","@imsachin93")</f>
        <v>@imsachin93</v>
      </c>
      <c r="C3429" s="21" t="s">
        <v>8040</v>
      </c>
      <c r="D3429" s="21" t="s">
        <v>42</v>
      </c>
      <c r="E3429" s="22" t="str">
        <f>HYPERLINK("https://twitter.com/imsachin93/status/922435692692627457","922435692692627457")</f>
        <v>922435692692627457</v>
      </c>
      <c r="F3429" s="23" t="s">
        <v>33</v>
      </c>
      <c r="G3429" s="24">
        <v>340.0</v>
      </c>
      <c r="H3429" s="24">
        <v>746.0</v>
      </c>
      <c r="I3429" s="24">
        <v>8501.0</v>
      </c>
      <c r="J3429" s="24">
        <v>0.0</v>
      </c>
      <c r="K3429" s="23" t="s">
        <v>34</v>
      </c>
      <c r="L3429" s="25">
        <v>40792.902719907404</v>
      </c>
      <c r="M3429" s="26" t="s">
        <v>8041</v>
      </c>
      <c r="N3429" s="26" t="s">
        <v>8042</v>
      </c>
      <c r="O3429" s="22" t="str">
        <f>HYPERLINK("https://pbs.twimg.com/profile_images/875785385481093120/gqIkt6uL_normal.jpg","View")</f>
        <v>View</v>
      </c>
      <c r="P3429" s="27"/>
    </row>
    <row r="3430">
      <c r="A3430" s="14">
        <v>43031.21743055555</v>
      </c>
      <c r="B3430" s="20" t="str">
        <f>HYPERLINK("https://twitter.com/_Johnny_usa_67_","@_Johnny_usa_67_")</f>
        <v>@_Johnny_usa_67_</v>
      </c>
      <c r="C3430" s="21" t="s">
        <v>8043</v>
      </c>
      <c r="D3430" s="21" t="s">
        <v>6670</v>
      </c>
      <c r="E3430" s="22" t="str">
        <f>HYPERLINK("https://twitter.com/_Johnny_usa_67_/status/922435710715613185","922435710715613185")</f>
        <v>922435710715613185</v>
      </c>
      <c r="F3430" s="23" t="s">
        <v>55</v>
      </c>
      <c r="G3430" s="24">
        <v>12.0</v>
      </c>
      <c r="H3430" s="24">
        <v>18.0</v>
      </c>
      <c r="I3430" s="24">
        <v>18.0</v>
      </c>
      <c r="J3430" s="24">
        <v>0.0</v>
      </c>
      <c r="K3430" s="23" t="s">
        <v>34</v>
      </c>
      <c r="L3430" s="25">
        <v>42962.098449074074</v>
      </c>
      <c r="M3430" s="28"/>
      <c r="N3430" s="28"/>
      <c r="O3430" s="22" t="str">
        <f>HYPERLINK("https://pbs.twimg.com/profile_images/922695703125561344/Pta0aV_G_normal.jpg","View")</f>
        <v>View</v>
      </c>
      <c r="P3430" s="27"/>
    </row>
    <row r="3431">
      <c r="A3431" s="14">
        <v>43031.21747685185</v>
      </c>
      <c r="B3431" s="20" t="str">
        <f>HYPERLINK("https://twitter.com/newsjsET","@newsjsET")</f>
        <v>@newsjsET</v>
      </c>
      <c r="C3431" s="21" t="s">
        <v>8044</v>
      </c>
      <c r="D3431" s="21" t="s">
        <v>8045</v>
      </c>
      <c r="E3431" s="22" t="str">
        <f>HYPERLINK("https://twitter.com/newsjsET/status/922435730537713664","922435730537713664")</f>
        <v>922435730537713664</v>
      </c>
      <c r="F3431" s="30" t="s">
        <v>411</v>
      </c>
      <c r="G3431" s="24">
        <v>196.0</v>
      </c>
      <c r="H3431" s="24">
        <v>1001.0</v>
      </c>
      <c r="I3431" s="24">
        <v>0.0</v>
      </c>
      <c r="J3431" s="24">
        <v>0.0</v>
      </c>
      <c r="K3431" s="23" t="s">
        <v>34</v>
      </c>
      <c r="L3431" s="25">
        <v>41964.67136574074</v>
      </c>
      <c r="M3431" s="26" t="s">
        <v>8046</v>
      </c>
      <c r="N3431" s="26" t="s">
        <v>8047</v>
      </c>
      <c r="O3431" s="22" t="str">
        <f>HYPERLINK("https://pbs.twimg.com/profile_images/787679556371120129/79iZPmlz_normal.jpg","View")</f>
        <v>View</v>
      </c>
      <c r="P3431" s="27"/>
    </row>
    <row r="3432">
      <c r="A3432" s="14">
        <v>43031.2175</v>
      </c>
      <c r="B3432" s="20" t="str">
        <f>HYPERLINK("https://twitter.com/myuki75","@myuki75")</f>
        <v>@myuki75</v>
      </c>
      <c r="C3432" s="21" t="s">
        <v>8048</v>
      </c>
      <c r="D3432" s="21" t="s">
        <v>42</v>
      </c>
      <c r="E3432" s="22" t="str">
        <f>HYPERLINK("https://twitter.com/myuki75/status/922435736342732801","922435736342732801")</f>
        <v>922435736342732801</v>
      </c>
      <c r="F3432" s="23" t="s">
        <v>75</v>
      </c>
      <c r="G3432" s="24">
        <v>30.0</v>
      </c>
      <c r="H3432" s="24">
        <v>65.0</v>
      </c>
      <c r="I3432" s="24">
        <v>8501.0</v>
      </c>
      <c r="J3432" s="24">
        <v>0.0</v>
      </c>
      <c r="K3432" s="23" t="s">
        <v>34</v>
      </c>
      <c r="L3432" s="25">
        <v>40255.802453703705</v>
      </c>
      <c r="M3432" s="28"/>
      <c r="N3432" s="28"/>
      <c r="O3432" s="22" t="str">
        <f>HYPERLINK("https://pbs.twimg.com/profile_images/917717673814790144/rSmrDh0-_normal.jpg","View")</f>
        <v>View</v>
      </c>
      <c r="P3432" s="27"/>
    </row>
    <row r="3433">
      <c r="A3433" s="14">
        <v>43031.21753472222</v>
      </c>
      <c r="B3433" s="20" t="str">
        <f>HYPERLINK("https://twitter.com/CBCWorldNews","@CBCWorldNews")</f>
        <v>@CBCWorldNews</v>
      </c>
      <c r="C3433" s="21" t="s">
        <v>8049</v>
      </c>
      <c r="D3433" s="21" t="s">
        <v>8050</v>
      </c>
      <c r="E3433" s="22" t="str">
        <f>HYPERLINK("https://twitter.com/CBCWorldNews/status/922435751287148544","922435751287148544")</f>
        <v>922435751287148544</v>
      </c>
      <c r="F3433" s="23" t="s">
        <v>187</v>
      </c>
      <c r="G3433" s="24">
        <v>117054.0</v>
      </c>
      <c r="H3433" s="24">
        <v>3.0</v>
      </c>
      <c r="I3433" s="24">
        <v>0.0</v>
      </c>
      <c r="J3433" s="24">
        <v>0.0</v>
      </c>
      <c r="K3433" s="23" t="s">
        <v>34</v>
      </c>
      <c r="L3433" s="25">
        <v>39827.61969907407</v>
      </c>
      <c r="M3433" s="26" t="s">
        <v>920</v>
      </c>
      <c r="N3433" s="26" t="s">
        <v>8051</v>
      </c>
      <c r="O3433" s="22" t="str">
        <f>HYPERLINK("https://pbs.twimg.com/profile_images/510118476355100673/ZKLbSNgz_normal.jpeg","View")</f>
        <v>View</v>
      </c>
      <c r="P3433" s="27"/>
    </row>
    <row r="3434">
      <c r="A3434" s="14">
        <v>43031.217835648145</v>
      </c>
      <c r="B3434" s="20" t="str">
        <f>HYPERLINK("https://twitter.com/daniilmaksimov9","@daniilmaksimov9")</f>
        <v>@daniilmaksimov9</v>
      </c>
      <c r="C3434" s="21" t="s">
        <v>8033</v>
      </c>
      <c r="D3434" s="21" t="s">
        <v>2555</v>
      </c>
      <c r="E3434" s="22" t="str">
        <f>HYPERLINK("https://twitter.com/daniilmaksimov9/status/922435859609034752","922435859609034752")</f>
        <v>922435859609034752</v>
      </c>
      <c r="F3434" s="23" t="s">
        <v>55</v>
      </c>
      <c r="G3434" s="24">
        <v>1.0</v>
      </c>
      <c r="H3434" s="24">
        <v>0.0</v>
      </c>
      <c r="I3434" s="24">
        <v>58.0</v>
      </c>
      <c r="J3434" s="24">
        <v>0.0</v>
      </c>
      <c r="K3434" s="23" t="s">
        <v>34</v>
      </c>
      <c r="L3434" s="25">
        <v>43015.573171296295</v>
      </c>
      <c r="M3434" s="28"/>
      <c r="N3434" s="28"/>
      <c r="O3434" s="22" t="str">
        <f>HYPERLINK("https://pbs.twimg.com/profile_images/921085431885656064/GBHypQY9_normal.jpg","View")</f>
        <v>View</v>
      </c>
      <c r="P3434" s="27"/>
    </row>
    <row r="3435">
      <c r="A3435" s="14">
        <v>43031.21789351852</v>
      </c>
      <c r="B3435" s="20" t="str">
        <f>HYPERLINK("https://twitter.com/uilciande","@uilciande")</f>
        <v>@uilciande</v>
      </c>
      <c r="C3435" s="21" t="s">
        <v>8052</v>
      </c>
      <c r="D3435" s="21" t="s">
        <v>8053</v>
      </c>
      <c r="E3435" s="22" t="str">
        <f>HYPERLINK("https://twitter.com/uilciande/status/922435881176268800","922435881176268800")</f>
        <v>922435881176268800</v>
      </c>
      <c r="F3435" s="23" t="s">
        <v>55</v>
      </c>
      <c r="G3435" s="24">
        <v>1310.0</v>
      </c>
      <c r="H3435" s="24">
        <v>19.0</v>
      </c>
      <c r="I3435" s="24">
        <v>0.0</v>
      </c>
      <c r="J3435" s="24">
        <v>4.0</v>
      </c>
      <c r="K3435" s="23" t="s">
        <v>34</v>
      </c>
      <c r="L3435" s="25">
        <v>41828.24215277778</v>
      </c>
      <c r="M3435" s="26" t="s">
        <v>5941</v>
      </c>
      <c r="N3435" s="28"/>
      <c r="O3435" s="22" t="str">
        <f>HYPERLINK("https://pbs.twimg.com/profile_images/808667330162982913/GXMgSSLN_normal.jpg","View")</f>
        <v>View</v>
      </c>
      <c r="P3435" s="27"/>
    </row>
    <row r="3436">
      <c r="A3436" s="14">
        <v>43031.217997685184</v>
      </c>
      <c r="B3436" s="20" t="str">
        <f>HYPERLINK("https://twitter.com/JaibbbkPandey","@JaibbbkPandey")</f>
        <v>@JaibbbkPandey</v>
      </c>
      <c r="C3436" s="21" t="s">
        <v>8054</v>
      </c>
      <c r="D3436" s="21" t="s">
        <v>42</v>
      </c>
      <c r="E3436" s="22" t="str">
        <f>HYPERLINK("https://twitter.com/JaibbbkPandey/status/922435919394717698","922435919394717698")</f>
        <v>922435919394717698</v>
      </c>
      <c r="F3436" s="23" t="s">
        <v>39</v>
      </c>
      <c r="G3436" s="24">
        <v>18.0</v>
      </c>
      <c r="H3436" s="24">
        <v>57.0</v>
      </c>
      <c r="I3436" s="24">
        <v>8501.0</v>
      </c>
      <c r="J3436" s="24">
        <v>0.0</v>
      </c>
      <c r="K3436" s="23" t="s">
        <v>34</v>
      </c>
      <c r="L3436" s="25">
        <v>42839.41291666667</v>
      </c>
      <c r="M3436" s="28"/>
      <c r="N3436" s="26" t="s">
        <v>8055</v>
      </c>
      <c r="O3436" s="22" t="str">
        <f>HYPERLINK("https://pbs.twimg.com/profile_images/874457374169350144/b1U-FMOi_normal.jpg","View")</f>
        <v>View</v>
      </c>
      <c r="P3436" s="27"/>
    </row>
    <row r="3437">
      <c r="A3437" s="14">
        <v>43031.21805555555</v>
      </c>
      <c r="B3437" s="20" t="str">
        <f>HYPERLINK("https://twitter.com/mahesh23041975","@mahesh23041975")</f>
        <v>@mahesh23041975</v>
      </c>
      <c r="C3437" s="21" t="s">
        <v>8056</v>
      </c>
      <c r="D3437" s="21" t="s">
        <v>42</v>
      </c>
      <c r="E3437" s="22" t="str">
        <f>HYPERLINK("https://twitter.com/mahesh23041975/status/922435940320026624","922435940320026624")</f>
        <v>922435940320026624</v>
      </c>
      <c r="F3437" s="23" t="s">
        <v>33</v>
      </c>
      <c r="G3437" s="24">
        <v>65.0</v>
      </c>
      <c r="H3437" s="24">
        <v>59.0</v>
      </c>
      <c r="I3437" s="24">
        <v>8501.0</v>
      </c>
      <c r="J3437" s="24">
        <v>0.0</v>
      </c>
      <c r="K3437" s="23" t="s">
        <v>34</v>
      </c>
      <c r="L3437" s="25">
        <v>42447.01018518519</v>
      </c>
      <c r="M3437" s="26" t="s">
        <v>2823</v>
      </c>
      <c r="N3437" s="26" t="s">
        <v>8057</v>
      </c>
      <c r="O3437" s="22" t="str">
        <f>HYPERLINK("https://pbs.twimg.com/profile_images/865497491512320001/MSdPa0qW_normal.jpg","View")</f>
        <v>View</v>
      </c>
      <c r="P3437" s="27"/>
    </row>
    <row r="3438">
      <c r="A3438" s="14">
        <v>43031.21806712963</v>
      </c>
      <c r="B3438" s="20" t="str">
        <f>HYPERLINK("https://twitter.com/atalanta_co","@atalanta_co")</f>
        <v>@atalanta_co</v>
      </c>
      <c r="C3438" s="21" t="s">
        <v>8058</v>
      </c>
      <c r="D3438" s="21" t="s">
        <v>8059</v>
      </c>
      <c r="E3438" s="22" t="str">
        <f>HYPERLINK("https://twitter.com/atalanta_co/status/922435943797284864","922435943797284864")</f>
        <v>922435943797284864</v>
      </c>
      <c r="F3438" s="23" t="s">
        <v>55</v>
      </c>
      <c r="G3438" s="24">
        <v>25.0</v>
      </c>
      <c r="H3438" s="24">
        <v>120.0</v>
      </c>
      <c r="I3438" s="24">
        <v>0.0</v>
      </c>
      <c r="J3438" s="24">
        <v>0.0</v>
      </c>
      <c r="K3438" s="23" t="s">
        <v>34</v>
      </c>
      <c r="L3438" s="25">
        <v>42917.33097222222</v>
      </c>
      <c r="M3438" s="28"/>
      <c r="N3438" s="26" t="s">
        <v>8060</v>
      </c>
      <c r="O3438" s="22" t="str">
        <f>HYPERLINK("https://pbs.twimg.com/profile_images/881165538990448640/qr8fHeQ__normal.jpg","View")</f>
        <v>View</v>
      </c>
      <c r="P3438" s="27"/>
    </row>
    <row r="3439">
      <c r="A3439" s="14">
        <v>43031.21842592592</v>
      </c>
      <c r="B3439" s="20" t="str">
        <f>HYPERLINK("https://twitter.com/imagekhabar","@imagekhabar")</f>
        <v>@imagekhabar</v>
      </c>
      <c r="C3439" s="21" t="s">
        <v>8061</v>
      </c>
      <c r="D3439" s="21" t="s">
        <v>8062</v>
      </c>
      <c r="E3439" s="22" t="str">
        <f>HYPERLINK("https://twitter.com/imagekhabar/status/922436074059661312","922436074059661312")</f>
        <v>922436074059661312</v>
      </c>
      <c r="F3439" s="23" t="s">
        <v>769</v>
      </c>
      <c r="G3439" s="24">
        <v>25913.0</v>
      </c>
      <c r="H3439" s="24">
        <v>36.0</v>
      </c>
      <c r="I3439" s="24">
        <v>0.0</v>
      </c>
      <c r="J3439" s="24">
        <v>1.0</v>
      </c>
      <c r="K3439" s="23" t="s">
        <v>34</v>
      </c>
      <c r="L3439" s="25">
        <v>40593.84252314815</v>
      </c>
      <c r="M3439" s="26" t="s">
        <v>8063</v>
      </c>
      <c r="N3439" s="26" t="s">
        <v>8064</v>
      </c>
      <c r="O3439" s="22" t="str">
        <f>HYPERLINK("https://pbs.twimg.com/profile_images/781810133865082880/9oCXMxtv_normal.jpg","View")</f>
        <v>View</v>
      </c>
      <c r="P3439" s="27"/>
    </row>
    <row r="3440">
      <c r="A3440" s="14">
        <v>43031.218506944446</v>
      </c>
      <c r="B3440" s="20" t="str">
        <f>HYPERLINK("https://twitter.com/rajs66","@rajs66")</f>
        <v>@rajs66</v>
      </c>
      <c r="C3440" s="21" t="s">
        <v>8065</v>
      </c>
      <c r="D3440" s="21" t="s">
        <v>42</v>
      </c>
      <c r="E3440" s="22" t="str">
        <f>HYPERLINK("https://twitter.com/rajs66/status/922436101482037249","922436101482037249")</f>
        <v>922436101482037249</v>
      </c>
      <c r="F3440" s="23" t="s">
        <v>33</v>
      </c>
      <c r="G3440" s="24">
        <v>1108.0</v>
      </c>
      <c r="H3440" s="24">
        <v>453.0</v>
      </c>
      <c r="I3440" s="24">
        <v>8501.0</v>
      </c>
      <c r="J3440" s="24">
        <v>0.0</v>
      </c>
      <c r="K3440" s="23" t="s">
        <v>34</v>
      </c>
      <c r="L3440" s="25">
        <v>40927.271631944444</v>
      </c>
      <c r="M3440" s="26" t="s">
        <v>8066</v>
      </c>
      <c r="N3440" s="26" t="s">
        <v>8067</v>
      </c>
      <c r="O3440" s="22" t="str">
        <f>HYPERLINK("https://pbs.twimg.com/profile_images/559796578802622464/YXqxg9Oq_normal.jpeg","View")</f>
        <v>View</v>
      </c>
      <c r="P3440" s="27"/>
    </row>
    <row r="3441">
      <c r="A3441" s="14">
        <v>43031.21854166666</v>
      </c>
      <c r="B3441" s="20" t="str">
        <f>HYPERLINK("https://twitter.com/Qatar_Update","@Qatar_Update")</f>
        <v>@Qatar_Update</v>
      </c>
      <c r="C3441" s="21" t="s">
        <v>8068</v>
      </c>
      <c r="D3441" s="21" t="s">
        <v>8069</v>
      </c>
      <c r="E3441" s="22" t="str">
        <f>HYPERLINK("https://twitter.com/Qatar_Update/status/922436116178964480","922436116178964480")</f>
        <v>922436116178964480</v>
      </c>
      <c r="F3441" s="23" t="s">
        <v>187</v>
      </c>
      <c r="G3441" s="24">
        <v>201.0</v>
      </c>
      <c r="H3441" s="24">
        <v>113.0</v>
      </c>
      <c r="I3441" s="24">
        <v>0.0</v>
      </c>
      <c r="J3441" s="24">
        <v>0.0</v>
      </c>
      <c r="K3441" s="23" t="s">
        <v>34</v>
      </c>
      <c r="L3441" s="25">
        <v>42704.00310185185</v>
      </c>
      <c r="M3441" s="32" t="s">
        <v>412</v>
      </c>
      <c r="N3441" s="26" t="s">
        <v>8070</v>
      </c>
      <c r="O3441" s="22" t="str">
        <f>HYPERLINK("https://pbs.twimg.com/profile_images/803874061709283328/EPgjeqH3_normal.jpg","View")</f>
        <v>View</v>
      </c>
      <c r="P3441" s="27"/>
    </row>
    <row r="3442">
      <c r="A3442" s="14">
        <v>43031.218553240746</v>
      </c>
      <c r="B3442" s="20" t="str">
        <f>HYPERLINK("https://twitter.com/SwetaWesterwell","@SwetaWesterwell")</f>
        <v>@SwetaWesterwell</v>
      </c>
      <c r="C3442" s="21" t="s">
        <v>8071</v>
      </c>
      <c r="D3442" s="21" t="s">
        <v>8072</v>
      </c>
      <c r="E3442" s="22" t="str">
        <f>HYPERLINK("https://twitter.com/SwetaWesterwell/status/922436117185654785","922436117185654785")</f>
        <v>922436117185654785</v>
      </c>
      <c r="F3442" s="23" t="s">
        <v>43</v>
      </c>
      <c r="G3442" s="24">
        <v>316.0</v>
      </c>
      <c r="H3442" s="24">
        <v>1388.0</v>
      </c>
      <c r="I3442" s="24">
        <v>28.0</v>
      </c>
      <c r="J3442" s="24">
        <v>0.0</v>
      </c>
      <c r="K3442" s="23" t="s">
        <v>34</v>
      </c>
      <c r="L3442" s="25">
        <v>40880.17254629629</v>
      </c>
      <c r="M3442" s="26" t="s">
        <v>8073</v>
      </c>
      <c r="N3442" s="26" t="s">
        <v>8074</v>
      </c>
      <c r="O3442" s="22" t="str">
        <f>HYPERLINK("https://pbs.twimg.com/profile_images/920361853670383616/uAqmOMQb_normal.jpg","View")</f>
        <v>View</v>
      </c>
      <c r="P3442" s="27"/>
    </row>
    <row r="3443">
      <c r="A3443" s="14">
        <v>43031.21871527778</v>
      </c>
      <c r="B3443" s="20" t="str">
        <f>HYPERLINK("https://twitter.com/GauravShah2010","@GauravShah2010")</f>
        <v>@GauravShah2010</v>
      </c>
      <c r="C3443" s="21" t="s">
        <v>7238</v>
      </c>
      <c r="D3443" s="21" t="s">
        <v>163</v>
      </c>
      <c r="E3443" s="22" t="str">
        <f>HYPERLINK("https://twitter.com/GauravShah2010/status/922436177126342656","922436177126342656")</f>
        <v>922436177126342656</v>
      </c>
      <c r="F3443" s="23" t="s">
        <v>33</v>
      </c>
      <c r="G3443" s="24">
        <v>63.0</v>
      </c>
      <c r="H3443" s="24">
        <v>415.0</v>
      </c>
      <c r="I3443" s="24">
        <v>1005.0</v>
      </c>
      <c r="J3443" s="24">
        <v>0.0</v>
      </c>
      <c r="K3443" s="23" t="s">
        <v>34</v>
      </c>
      <c r="L3443" s="25">
        <v>41644.068136574075</v>
      </c>
      <c r="M3443" s="28"/>
      <c r="N3443" s="28"/>
      <c r="O3443" s="22" t="str">
        <f>HYPERLINK("https://abs.twimg.com/sticky/default_profile_images/default_profile_normal.png","View")</f>
        <v>View</v>
      </c>
      <c r="P3443" s="27"/>
    </row>
    <row r="3444">
      <c r="A3444" s="14">
        <v>43031.21876157407</v>
      </c>
      <c r="B3444" s="20" t="str">
        <f>HYPERLINK("https://twitter.com/daniilmaksimov9","@daniilmaksimov9")</f>
        <v>@daniilmaksimov9</v>
      </c>
      <c r="C3444" s="21" t="s">
        <v>8033</v>
      </c>
      <c r="D3444" s="21" t="s">
        <v>404</v>
      </c>
      <c r="E3444" s="22" t="str">
        <f>HYPERLINK("https://twitter.com/daniilmaksimov9/status/922436192645165056","922436192645165056")</f>
        <v>922436192645165056</v>
      </c>
      <c r="F3444" s="23" t="s">
        <v>55</v>
      </c>
      <c r="G3444" s="24">
        <v>1.0</v>
      </c>
      <c r="H3444" s="24">
        <v>0.0</v>
      </c>
      <c r="I3444" s="24">
        <v>59.0</v>
      </c>
      <c r="J3444" s="24">
        <v>0.0</v>
      </c>
      <c r="K3444" s="23" t="s">
        <v>34</v>
      </c>
      <c r="L3444" s="25">
        <v>43015.573171296295</v>
      </c>
      <c r="M3444" s="28"/>
      <c r="N3444" s="28"/>
      <c r="O3444" s="22" t="str">
        <f>HYPERLINK("https://pbs.twimg.com/profile_images/921085431885656064/GBHypQY9_normal.jpg","View")</f>
        <v>View</v>
      </c>
      <c r="P3444" s="27"/>
    </row>
    <row r="3445">
      <c r="A3445" s="14">
        <v>43031.21879629629</v>
      </c>
      <c r="B3445" s="20" t="str">
        <f>HYPERLINK("https://twitter.com/Kento8886","@Kento8886")</f>
        <v>@Kento8886</v>
      </c>
      <c r="C3445" s="21" t="s">
        <v>8075</v>
      </c>
      <c r="D3445" s="21" t="s">
        <v>42</v>
      </c>
      <c r="E3445" s="22" t="str">
        <f>HYPERLINK("https://twitter.com/Kento8886/status/922436206113124352","922436206113124352")</f>
        <v>922436206113124352</v>
      </c>
      <c r="F3445" s="23" t="s">
        <v>55</v>
      </c>
      <c r="G3445" s="24">
        <v>31.0</v>
      </c>
      <c r="H3445" s="24">
        <v>28.0</v>
      </c>
      <c r="I3445" s="24">
        <v>8501.0</v>
      </c>
      <c r="J3445" s="24">
        <v>0.0</v>
      </c>
      <c r="K3445" s="23" t="s">
        <v>34</v>
      </c>
      <c r="L3445" s="25">
        <v>42776.85628472222</v>
      </c>
      <c r="M3445" s="28"/>
      <c r="N3445" s="28"/>
      <c r="O3445" s="22" t="str">
        <f>HYPERLINK("https://pbs.twimg.com/profile_images/830282652926095361/GCBhuB-F_normal.jpg","View")</f>
        <v>View</v>
      </c>
      <c r="P3445" s="27"/>
    </row>
    <row r="3446">
      <c r="A3446" s="14">
        <v>43031.218935185185</v>
      </c>
      <c r="B3446" s="20" t="str">
        <f>HYPERLINK("https://twitter.com/ahinsaproperty","@ahinsaproperty")</f>
        <v>@ahinsaproperty</v>
      </c>
      <c r="C3446" s="21" t="s">
        <v>8076</v>
      </c>
      <c r="D3446" s="21" t="s">
        <v>42</v>
      </c>
      <c r="E3446" s="22" t="str">
        <f>HYPERLINK("https://twitter.com/ahinsaproperty/status/922436255735889921","922436255735889921")</f>
        <v>922436255735889921</v>
      </c>
      <c r="F3446" s="23" t="s">
        <v>33</v>
      </c>
      <c r="G3446" s="24">
        <v>3325.0</v>
      </c>
      <c r="H3446" s="24">
        <v>252.0</v>
      </c>
      <c r="I3446" s="24">
        <v>8501.0</v>
      </c>
      <c r="J3446" s="24">
        <v>0.0</v>
      </c>
      <c r="K3446" s="23" t="s">
        <v>34</v>
      </c>
      <c r="L3446" s="25">
        <v>42096.826585648145</v>
      </c>
      <c r="M3446" s="26" t="s">
        <v>8077</v>
      </c>
      <c r="N3446" s="26" t="s">
        <v>8078</v>
      </c>
      <c r="O3446" s="22" t="str">
        <f>HYPERLINK("https://pbs.twimg.com/profile_images/703599264853729280/--9p7ut8_normal.jpg","View")</f>
        <v>View</v>
      </c>
      <c r="P3446" s="27"/>
    </row>
    <row r="3447">
      <c r="A3447" s="14">
        <v>43031.218935185185</v>
      </c>
      <c r="B3447" s="20" t="str">
        <f>HYPERLINK("https://twitter.com/Power98News","@Power98News")</f>
        <v>@Power98News</v>
      </c>
      <c r="C3447" s="21" t="s">
        <v>8079</v>
      </c>
      <c r="D3447" s="21" t="s">
        <v>8080</v>
      </c>
      <c r="E3447" s="22" t="str">
        <f>HYPERLINK("https://twitter.com/Power98News/status/922436258894417921","922436258894417921")</f>
        <v>922436258894417921</v>
      </c>
      <c r="F3447" s="23" t="s">
        <v>427</v>
      </c>
      <c r="G3447" s="24">
        <v>508.0</v>
      </c>
      <c r="H3447" s="24">
        <v>77.0</v>
      </c>
      <c r="I3447" s="24">
        <v>0.0</v>
      </c>
      <c r="J3447" s="24">
        <v>0.0</v>
      </c>
      <c r="K3447" s="23" t="s">
        <v>34</v>
      </c>
      <c r="L3447" s="25">
        <v>41225.051041666666</v>
      </c>
      <c r="M3447" s="26" t="s">
        <v>1224</v>
      </c>
      <c r="N3447" s="26" t="s">
        <v>8081</v>
      </c>
      <c r="O3447" s="22" t="str">
        <f>HYPERLINK("https://pbs.twimg.com/profile_images/582213075090067456/cC9NO1gN_normal.jpg","View")</f>
        <v>View</v>
      </c>
      <c r="P3447" s="27"/>
    </row>
    <row r="3448">
      <c r="A3448" s="14">
        <v>43031.21898148148</v>
      </c>
      <c r="B3448" s="20" t="str">
        <f>HYPERLINK("https://twitter.com/Babyta_16","@Babyta_16")</f>
        <v>@Babyta_16</v>
      </c>
      <c r="C3448" s="21" t="s">
        <v>8082</v>
      </c>
      <c r="D3448" s="21" t="s">
        <v>42</v>
      </c>
      <c r="E3448" s="22" t="str">
        <f>HYPERLINK("https://twitter.com/Babyta_16/status/922436274027294720","922436274027294720")</f>
        <v>922436274027294720</v>
      </c>
      <c r="F3448" s="23" t="s">
        <v>43</v>
      </c>
      <c r="G3448" s="24">
        <v>119.0</v>
      </c>
      <c r="H3448" s="24">
        <v>178.0</v>
      </c>
      <c r="I3448" s="24">
        <v>8501.0</v>
      </c>
      <c r="J3448" s="24">
        <v>0.0</v>
      </c>
      <c r="K3448" s="23" t="s">
        <v>34</v>
      </c>
      <c r="L3448" s="25">
        <v>41428.06716435185</v>
      </c>
      <c r="M3448" s="28"/>
      <c r="N3448" s="28"/>
      <c r="O3448" s="22" t="str">
        <f>HYPERLINK("https://pbs.twimg.com/profile_images/908908202586025984/EEFaSiys_normal.jpg","View")</f>
        <v>View</v>
      </c>
      <c r="P3448" s="27"/>
    </row>
    <row r="3449">
      <c r="A3449" s="14">
        <v>43031.218993055554</v>
      </c>
      <c r="B3449" s="20" t="str">
        <f>HYPERLINK("https://twitter.com/denuribe73","@denuribe73")</f>
        <v>@denuribe73</v>
      </c>
      <c r="C3449" s="21" t="s">
        <v>8083</v>
      </c>
      <c r="D3449" s="21" t="s">
        <v>8084</v>
      </c>
      <c r="E3449" s="22" t="str">
        <f>HYPERLINK("https://twitter.com/denuribe73/status/922436278267797504","922436278267797504")</f>
        <v>922436278267797504</v>
      </c>
      <c r="F3449" s="23" t="s">
        <v>2697</v>
      </c>
      <c r="G3449" s="24">
        <v>842.0</v>
      </c>
      <c r="H3449" s="24">
        <v>1531.0</v>
      </c>
      <c r="I3449" s="24">
        <v>0.0</v>
      </c>
      <c r="J3449" s="24">
        <v>0.0</v>
      </c>
      <c r="K3449" s="23" t="s">
        <v>34</v>
      </c>
      <c r="L3449" s="25">
        <v>42711.73811342593</v>
      </c>
      <c r="M3449" s="26" t="s">
        <v>8085</v>
      </c>
      <c r="N3449" s="26" t="s">
        <v>8086</v>
      </c>
      <c r="O3449" s="22" t="str">
        <f>HYPERLINK("https://pbs.twimg.com/profile_images/878847760576937985/l6uy5htm_normal.jpg","View")</f>
        <v>View</v>
      </c>
      <c r="P3449" s="27"/>
    </row>
    <row r="3450">
      <c r="A3450" s="14">
        <v>43031.2190162037</v>
      </c>
      <c r="B3450" s="20" t="str">
        <f>HYPERLINK("https://twitter.com/FreshFashionC1","@FreshFashionC1")</f>
        <v>@FreshFashionC1</v>
      </c>
      <c r="C3450" s="21" t="s">
        <v>8087</v>
      </c>
      <c r="D3450" s="21" t="s">
        <v>1474</v>
      </c>
      <c r="E3450" s="22" t="str">
        <f>HYPERLINK("https://twitter.com/FreshFashionC1/status/922436286820114433","922436286820114433")</f>
        <v>922436286820114433</v>
      </c>
      <c r="F3450" s="23" t="s">
        <v>33</v>
      </c>
      <c r="G3450" s="24">
        <v>322.0</v>
      </c>
      <c r="H3450" s="24">
        <v>708.0</v>
      </c>
      <c r="I3450" s="24">
        <v>29.0</v>
      </c>
      <c r="J3450" s="24">
        <v>0.0</v>
      </c>
      <c r="K3450" s="23" t="s">
        <v>34</v>
      </c>
      <c r="L3450" s="25">
        <v>42022.32965277778</v>
      </c>
      <c r="M3450" s="26" t="s">
        <v>8088</v>
      </c>
      <c r="N3450" s="26" t="s">
        <v>8089</v>
      </c>
      <c r="O3450" s="22" t="str">
        <f>HYPERLINK("https://pbs.twimg.com/profile_images/579725964898369536/TbH27HP3_normal.png","View")</f>
        <v>View</v>
      </c>
      <c r="P3450" s="27"/>
    </row>
    <row r="3451">
      <c r="A3451" s="14">
        <v>43031.21909722222</v>
      </c>
      <c r="B3451" s="20" t="str">
        <f>HYPERLINK("https://twitter.com/krishnasurana2","@krishnasurana2")</f>
        <v>@krishnasurana2</v>
      </c>
      <c r="C3451" s="21" t="s">
        <v>8030</v>
      </c>
      <c r="D3451" s="21" t="s">
        <v>8090</v>
      </c>
      <c r="E3451" s="22" t="str">
        <f>HYPERLINK("https://twitter.com/krishnasurana2/status/922436314854604803","922436314854604803")</f>
        <v>922436314854604803</v>
      </c>
      <c r="F3451" s="23" t="s">
        <v>39</v>
      </c>
      <c r="G3451" s="24">
        <v>92.0</v>
      </c>
      <c r="H3451" s="24">
        <v>700.0</v>
      </c>
      <c r="I3451" s="24">
        <v>0.0</v>
      </c>
      <c r="J3451" s="24">
        <v>1.0</v>
      </c>
      <c r="K3451" s="23" t="s">
        <v>34</v>
      </c>
      <c r="L3451" s="25">
        <v>42740.34700231481</v>
      </c>
      <c r="M3451" s="26" t="s">
        <v>1137</v>
      </c>
      <c r="N3451" s="26" t="s">
        <v>8032</v>
      </c>
      <c r="O3451" s="22" t="str">
        <f>HYPERLINK("https://pbs.twimg.com/profile_images/820463886113439745/WL0NQzNf_normal.jpg","View")</f>
        <v>View</v>
      </c>
      <c r="P3451" s="27"/>
    </row>
    <row r="3452">
      <c r="A3452" s="14">
        <v>43031.21912037037</v>
      </c>
      <c r="B3452" s="20" t="str">
        <f>HYPERLINK("https://twitter.com/Bullet_Bassya","@Bullet_Bassya")</f>
        <v>@Bullet_Bassya</v>
      </c>
      <c r="C3452" s="21" t="s">
        <v>8091</v>
      </c>
      <c r="D3452" s="21" t="s">
        <v>42</v>
      </c>
      <c r="E3452" s="22" t="str">
        <f>HYPERLINK("https://twitter.com/Bullet_Bassya/status/922436325692682240","922436325692682240")</f>
        <v>922436325692682240</v>
      </c>
      <c r="F3452" s="23" t="s">
        <v>43</v>
      </c>
      <c r="G3452" s="24">
        <v>46.0</v>
      </c>
      <c r="H3452" s="24">
        <v>198.0</v>
      </c>
      <c r="I3452" s="24">
        <v>8501.0</v>
      </c>
      <c r="J3452" s="24">
        <v>0.0</v>
      </c>
      <c r="K3452" s="23" t="s">
        <v>34</v>
      </c>
      <c r="L3452" s="25">
        <v>42533.72236111111</v>
      </c>
      <c r="M3452" s="26" t="s">
        <v>8092</v>
      </c>
      <c r="N3452" s="28"/>
      <c r="O3452" s="22" t="str">
        <f>HYPERLINK("https://pbs.twimg.com/profile_images/742370812502515713/S3R1Pt0M_normal.jpg","View")</f>
        <v>View</v>
      </c>
      <c r="P3452" s="27"/>
    </row>
    <row r="3453">
      <c r="A3453" s="14">
        <v>43031.21913194444</v>
      </c>
      <c r="B3453" s="20" t="str">
        <f>HYPERLINK("https://twitter.com/dineshprasad429","@dineshprasad429")</f>
        <v>@dineshprasad429</v>
      </c>
      <c r="C3453" s="21" t="s">
        <v>8093</v>
      </c>
      <c r="D3453" s="21" t="s">
        <v>42</v>
      </c>
      <c r="E3453" s="22" t="str">
        <f>HYPERLINK("https://twitter.com/dineshprasad429/status/922436330642132992","922436330642132992")</f>
        <v>922436330642132992</v>
      </c>
      <c r="F3453" s="23" t="s">
        <v>33</v>
      </c>
      <c r="G3453" s="24">
        <v>234.0</v>
      </c>
      <c r="H3453" s="24">
        <v>110.0</v>
      </c>
      <c r="I3453" s="24">
        <v>8501.0</v>
      </c>
      <c r="J3453" s="24">
        <v>0.0</v>
      </c>
      <c r="K3453" s="23" t="s">
        <v>34</v>
      </c>
      <c r="L3453" s="25">
        <v>42020.97085648148</v>
      </c>
      <c r="M3453" s="26" t="s">
        <v>8094</v>
      </c>
      <c r="N3453" s="26" t="s">
        <v>8095</v>
      </c>
      <c r="O3453" s="22" t="str">
        <f>HYPERLINK("https://pbs.twimg.com/profile_images/922074862579077125/qkRKdF4l_normal.jpg","View")</f>
        <v>View</v>
      </c>
      <c r="P3453" s="27"/>
    </row>
    <row r="3454">
      <c r="A3454" s="14">
        <v>43031.21923611111</v>
      </c>
      <c r="B3454" s="20" t="str">
        <f>HYPERLINK("https://twitter.com/jaskolka_b","@jaskolka_b")</f>
        <v>@jaskolka_b</v>
      </c>
      <c r="C3454" s="21" t="s">
        <v>8096</v>
      </c>
      <c r="D3454" s="21" t="s">
        <v>8097</v>
      </c>
      <c r="E3454" s="22" t="str">
        <f>HYPERLINK("https://twitter.com/jaskolka_b/status/922436364745965568","922436364745965568")</f>
        <v>922436364745965568</v>
      </c>
      <c r="F3454" s="23" t="s">
        <v>39</v>
      </c>
      <c r="G3454" s="24">
        <v>378.0</v>
      </c>
      <c r="H3454" s="24">
        <v>1634.0</v>
      </c>
      <c r="I3454" s="24">
        <v>0.0</v>
      </c>
      <c r="J3454" s="24">
        <v>0.0</v>
      </c>
      <c r="K3454" s="23" t="s">
        <v>34</v>
      </c>
      <c r="L3454" s="25">
        <v>42929.52133101852</v>
      </c>
      <c r="M3454" s="26" t="s">
        <v>8098</v>
      </c>
      <c r="N3454" s="26" t="s">
        <v>8099</v>
      </c>
      <c r="O3454" s="22" t="str">
        <f>HYPERLINK("https://pbs.twimg.com/profile_images/921885578169339905/jS1EuOi-_normal.jpg","View")</f>
        <v>View</v>
      </c>
      <c r="P3454" s="27"/>
    </row>
    <row r="3455">
      <c r="A3455" s="14">
        <v>43031.219247685185</v>
      </c>
      <c r="B3455" s="20" t="str">
        <f>HYPERLINK("https://twitter.com/Koh_Phi_Phi_629","@Koh_Phi_Phi_629")</f>
        <v>@Koh_Phi_Phi_629</v>
      </c>
      <c r="C3455" s="21" t="s">
        <v>8100</v>
      </c>
      <c r="D3455" s="21" t="s">
        <v>42</v>
      </c>
      <c r="E3455" s="22" t="str">
        <f>HYPERLINK("https://twitter.com/Koh_Phi_Phi_629/status/922436369787453442","922436369787453442")</f>
        <v>922436369787453442</v>
      </c>
      <c r="F3455" s="23" t="s">
        <v>33</v>
      </c>
      <c r="G3455" s="24">
        <v>203.0</v>
      </c>
      <c r="H3455" s="24">
        <v>530.0</v>
      </c>
      <c r="I3455" s="24">
        <v>8501.0</v>
      </c>
      <c r="J3455" s="24">
        <v>0.0</v>
      </c>
      <c r="K3455" s="23" t="s">
        <v>34</v>
      </c>
      <c r="L3455" s="25">
        <v>40426.45398148148</v>
      </c>
      <c r="M3455" s="28"/>
      <c r="N3455" s="26" t="s">
        <v>8101</v>
      </c>
      <c r="O3455" s="22" t="str">
        <f>HYPERLINK("https://pbs.twimg.com/profile_images/618290792071729152/qNj1GsRX_normal.jpg","View")</f>
        <v>View</v>
      </c>
      <c r="P3455" s="27"/>
    </row>
    <row r="3456">
      <c r="A3456" s="14">
        <v>43031.21932870371</v>
      </c>
      <c r="B3456" s="20" t="str">
        <f>HYPERLINK("https://twitter.com/daniilmaksimov9","@daniilmaksimov9")</f>
        <v>@daniilmaksimov9</v>
      </c>
      <c r="C3456" s="21" t="s">
        <v>8033</v>
      </c>
      <c r="D3456" s="21" t="s">
        <v>5451</v>
      </c>
      <c r="E3456" s="22" t="str">
        <f>HYPERLINK("https://twitter.com/daniilmaksimov9/status/922436402062569472","922436402062569472")</f>
        <v>922436402062569472</v>
      </c>
      <c r="F3456" s="23" t="s">
        <v>55</v>
      </c>
      <c r="G3456" s="24">
        <v>1.0</v>
      </c>
      <c r="H3456" s="24">
        <v>0.0</v>
      </c>
      <c r="I3456" s="24">
        <v>62.0</v>
      </c>
      <c r="J3456" s="24">
        <v>0.0</v>
      </c>
      <c r="K3456" s="23" t="s">
        <v>34</v>
      </c>
      <c r="L3456" s="25">
        <v>43015.573171296295</v>
      </c>
      <c r="M3456" s="28"/>
      <c r="N3456" s="28"/>
      <c r="O3456" s="22" t="str">
        <f>HYPERLINK("https://pbs.twimg.com/profile_images/921085431885656064/GBHypQY9_normal.jpg","View")</f>
        <v>View</v>
      </c>
      <c r="P3456" s="27"/>
    </row>
    <row r="3457">
      <c r="A3457" s="14">
        <v>43031.21938657407</v>
      </c>
      <c r="B3457" s="20" t="str">
        <f>HYPERLINK("https://twitter.com/TheBFRoom","@TheBFRoom")</f>
        <v>@TheBFRoom</v>
      </c>
      <c r="C3457" s="21" t="s">
        <v>943</v>
      </c>
      <c r="D3457" s="21" t="s">
        <v>8102</v>
      </c>
      <c r="E3457" s="22" t="str">
        <f>HYPERLINK("https://twitter.com/TheBFRoom/status/922436421541081089","922436421541081089")</f>
        <v>922436421541081089</v>
      </c>
      <c r="F3457" s="23" t="s">
        <v>187</v>
      </c>
      <c r="G3457" s="24">
        <v>3193.0</v>
      </c>
      <c r="H3457" s="24">
        <v>3873.0</v>
      </c>
      <c r="I3457" s="24">
        <v>0.0</v>
      </c>
      <c r="J3457" s="24">
        <v>0.0</v>
      </c>
      <c r="K3457" s="23" t="s">
        <v>34</v>
      </c>
      <c r="L3457" s="25">
        <v>42761.325162037036</v>
      </c>
      <c r="M3457" s="26" t="s">
        <v>68</v>
      </c>
      <c r="N3457" s="26" t="s">
        <v>945</v>
      </c>
      <c r="O3457" s="22" t="str">
        <f>HYPERLINK("https://pbs.twimg.com/profile_images/898379268778020864/0u1zlj_B_normal.jpg","View")</f>
        <v>View</v>
      </c>
      <c r="P3457" s="27"/>
    </row>
    <row r="3458">
      <c r="A3458" s="14">
        <v>43031.21943287037</v>
      </c>
      <c r="B3458" s="20" t="str">
        <f>HYPERLINK("https://twitter.com/worldfinmarket","@worldfinmarket")</f>
        <v>@worldfinmarket</v>
      </c>
      <c r="C3458" s="21" t="s">
        <v>8103</v>
      </c>
      <c r="D3458" s="21" t="s">
        <v>8104</v>
      </c>
      <c r="E3458" s="22" t="str">
        <f>HYPERLINK("https://twitter.com/worldfinmarket/status/922436438096011266","922436438096011266")</f>
        <v>922436438096011266</v>
      </c>
      <c r="F3458" s="23" t="s">
        <v>427</v>
      </c>
      <c r="G3458" s="24">
        <v>148.0</v>
      </c>
      <c r="H3458" s="24">
        <v>17.0</v>
      </c>
      <c r="I3458" s="24">
        <v>0.0</v>
      </c>
      <c r="J3458" s="24">
        <v>0.0</v>
      </c>
      <c r="K3458" s="23" t="s">
        <v>34</v>
      </c>
      <c r="L3458" s="25">
        <v>41454.286458333336</v>
      </c>
      <c r="M3458" s="28"/>
      <c r="N3458" s="26" t="s">
        <v>8105</v>
      </c>
      <c r="O3458" s="22" t="str">
        <f>HYPERLINK("https://abs.twimg.com/sticky/default_profile_images/default_profile_normal.png","View")</f>
        <v>View</v>
      </c>
      <c r="P3458" s="27"/>
    </row>
    <row r="3459">
      <c r="A3459" s="14">
        <v>43031.21947916667</v>
      </c>
      <c r="B3459" s="20" t="str">
        <f>HYPERLINK("https://twitter.com/abiakaz","@abiakaz")</f>
        <v>@abiakaz</v>
      </c>
      <c r="C3459" s="21" t="s">
        <v>8106</v>
      </c>
      <c r="D3459" s="21" t="s">
        <v>7403</v>
      </c>
      <c r="E3459" s="22" t="str">
        <f>HYPERLINK("https://twitter.com/abiakaz/status/922436455959552000","922436455959552000")</f>
        <v>922436455959552000</v>
      </c>
      <c r="F3459" s="23" t="s">
        <v>8107</v>
      </c>
      <c r="G3459" s="24">
        <v>24026.0</v>
      </c>
      <c r="H3459" s="24">
        <v>2138.0</v>
      </c>
      <c r="I3459" s="24">
        <v>29.0</v>
      </c>
      <c r="J3459" s="24">
        <v>0.0</v>
      </c>
      <c r="K3459" s="23" t="s">
        <v>34</v>
      </c>
      <c r="L3459" s="25">
        <v>42684.10947916667</v>
      </c>
      <c r="M3459" s="26" t="s">
        <v>8108</v>
      </c>
      <c r="N3459" s="28"/>
      <c r="O3459" s="22" t="str">
        <f>HYPERLINK("https://pbs.twimg.com/profile_images/842815881788952578/JkevMf2L_normal.jpg","View")</f>
        <v>View</v>
      </c>
      <c r="P3459" s="27"/>
    </row>
    <row r="3460">
      <c r="A3460" s="14">
        <v>43031.219618055555</v>
      </c>
      <c r="B3460" s="20" t="str">
        <f>HYPERLINK("https://twitter.com/coachxlla7k12","@coachxlla7k12")</f>
        <v>@coachxlla7k12</v>
      </c>
      <c r="C3460" s="21" t="s">
        <v>8109</v>
      </c>
      <c r="D3460" s="21" t="s">
        <v>42</v>
      </c>
      <c r="E3460" s="22" t="str">
        <f>HYPERLINK("https://twitter.com/coachxlla7k12/status/922436506417016832","922436506417016832")</f>
        <v>922436506417016832</v>
      </c>
      <c r="F3460" s="23" t="s">
        <v>33</v>
      </c>
      <c r="G3460" s="24">
        <v>87.0</v>
      </c>
      <c r="H3460" s="24">
        <v>2255.0</v>
      </c>
      <c r="I3460" s="24">
        <v>8501.0</v>
      </c>
      <c r="J3460" s="24">
        <v>0.0</v>
      </c>
      <c r="K3460" s="23" t="s">
        <v>34</v>
      </c>
      <c r="L3460" s="25">
        <v>40647.11960648148</v>
      </c>
      <c r="M3460" s="26" t="s">
        <v>8110</v>
      </c>
      <c r="N3460" s="26" t="s">
        <v>8111</v>
      </c>
      <c r="O3460" s="22" t="str">
        <f>HYPERLINK("https://pbs.twimg.com/profile_images/763015865755324418/oX8Z2klO_normal.jpg","View")</f>
        <v>View</v>
      </c>
      <c r="P3460" s="27"/>
    </row>
    <row r="3461">
      <c r="A3461" s="14">
        <v>43031.2196412037</v>
      </c>
      <c r="B3461" s="20" t="str">
        <f>HYPERLINK("https://twitter.com/krishnasurana2","@krishnasurana2")</f>
        <v>@krishnasurana2</v>
      </c>
      <c r="C3461" s="21" t="s">
        <v>8030</v>
      </c>
      <c r="D3461" s="21" t="s">
        <v>8112</v>
      </c>
      <c r="E3461" s="22" t="str">
        <f>HYPERLINK("https://twitter.com/krishnasurana2/status/922436512347602944","922436512347602944")</f>
        <v>922436512347602944</v>
      </c>
      <c r="F3461" s="23" t="s">
        <v>39</v>
      </c>
      <c r="G3461" s="24">
        <v>92.0</v>
      </c>
      <c r="H3461" s="24">
        <v>700.0</v>
      </c>
      <c r="I3461" s="24">
        <v>0.0</v>
      </c>
      <c r="J3461" s="24">
        <v>1.0</v>
      </c>
      <c r="K3461" s="23" t="s">
        <v>34</v>
      </c>
      <c r="L3461" s="25">
        <v>42740.34700231481</v>
      </c>
      <c r="M3461" s="26" t="s">
        <v>1137</v>
      </c>
      <c r="N3461" s="26" t="s">
        <v>8032</v>
      </c>
      <c r="O3461" s="22" t="str">
        <f>HYPERLINK("https://pbs.twimg.com/profile_images/820463886113439745/WL0NQzNf_normal.jpg","View")</f>
        <v>View</v>
      </c>
      <c r="P3461" s="27"/>
    </row>
    <row r="3462">
      <c r="A3462" s="14">
        <v>43031.21980324074</v>
      </c>
      <c r="B3462" s="20" t="str">
        <f>HYPERLINK("https://twitter.com/CallejaYoana","@CallejaYoana")</f>
        <v>@CallejaYoana</v>
      </c>
      <c r="C3462" s="21" t="s">
        <v>8113</v>
      </c>
      <c r="D3462" s="21" t="s">
        <v>8114</v>
      </c>
      <c r="E3462" s="22" t="str">
        <f>HYPERLINK("https://twitter.com/CallejaYoana/status/922436573483978752","922436573483978752")</f>
        <v>922436573483978752</v>
      </c>
      <c r="F3462" s="23" t="s">
        <v>187</v>
      </c>
      <c r="G3462" s="24">
        <v>572.0</v>
      </c>
      <c r="H3462" s="24">
        <v>554.0</v>
      </c>
      <c r="I3462" s="24">
        <v>0.0</v>
      </c>
      <c r="J3462" s="24">
        <v>0.0</v>
      </c>
      <c r="K3462" s="23" t="s">
        <v>34</v>
      </c>
      <c r="L3462" s="25">
        <v>42727.060312500005</v>
      </c>
      <c r="M3462" s="26" t="s">
        <v>2448</v>
      </c>
      <c r="N3462" s="26" t="s">
        <v>8115</v>
      </c>
      <c r="O3462" s="22" t="str">
        <f>HYPERLINK("https://pbs.twimg.com/profile_images/839196765307944965/NFdGXZzf_normal.jpg","View")</f>
        <v>View</v>
      </c>
      <c r="P3462" s="27"/>
    </row>
    <row r="3463">
      <c r="A3463" s="14">
        <v>43031.219826388886</v>
      </c>
      <c r="B3463" s="20" t="str">
        <f>HYPERLINK("https://twitter.com/gaurav99singh","@gaurav99singh")</f>
        <v>@gaurav99singh</v>
      </c>
      <c r="C3463" s="21" t="s">
        <v>8116</v>
      </c>
      <c r="D3463" s="21" t="s">
        <v>42</v>
      </c>
      <c r="E3463" s="22" t="str">
        <f>HYPERLINK("https://twitter.com/gaurav99singh/status/922436578785427459","922436578785427459")</f>
        <v>922436578785427459</v>
      </c>
      <c r="F3463" s="23" t="s">
        <v>33</v>
      </c>
      <c r="G3463" s="24">
        <v>650.0</v>
      </c>
      <c r="H3463" s="24">
        <v>574.0</v>
      </c>
      <c r="I3463" s="24">
        <v>8501.0</v>
      </c>
      <c r="J3463" s="24">
        <v>0.0</v>
      </c>
      <c r="K3463" s="23" t="s">
        <v>34</v>
      </c>
      <c r="L3463" s="25">
        <v>40021.60445601852</v>
      </c>
      <c r="M3463" s="26" t="s">
        <v>8117</v>
      </c>
      <c r="N3463" s="26" t="s">
        <v>8118</v>
      </c>
      <c r="O3463" s="22" t="str">
        <f>HYPERLINK("https://pbs.twimg.com/profile_images/767218685232705536/ZR6O50lf_normal.jpg","View")</f>
        <v>View</v>
      </c>
      <c r="P3463" s="27"/>
    </row>
    <row r="3464">
      <c r="A3464" s="14">
        <v>43031.219826388886</v>
      </c>
      <c r="B3464" s="20" t="str">
        <f>HYPERLINK("https://twitter.com/cqopoc","@cqopoc")</f>
        <v>@cqopoc</v>
      </c>
      <c r="C3464" s="21" t="s">
        <v>8119</v>
      </c>
      <c r="D3464" s="21" t="s">
        <v>5601</v>
      </c>
      <c r="E3464" s="22" t="str">
        <f>HYPERLINK("https://twitter.com/cqopoc/status/922436581570445313","922436581570445313")</f>
        <v>922436581570445313</v>
      </c>
      <c r="F3464" s="23" t="s">
        <v>39</v>
      </c>
      <c r="G3464" s="24">
        <v>293.0</v>
      </c>
      <c r="H3464" s="24">
        <v>315.0</v>
      </c>
      <c r="I3464" s="24">
        <v>15.0</v>
      </c>
      <c r="J3464" s="24">
        <v>0.0</v>
      </c>
      <c r="K3464" s="23" t="s">
        <v>34</v>
      </c>
      <c r="L3464" s="25">
        <v>40704.685266203705</v>
      </c>
      <c r="M3464" s="28"/>
      <c r="N3464" s="26" t="s">
        <v>8120</v>
      </c>
      <c r="O3464" s="22" t="str">
        <f>HYPERLINK("https://pbs.twimg.com/profile_images/914159693160792065/QGPdzVnu_normal.jpg","View")</f>
        <v>View</v>
      </c>
      <c r="P3464" s="27"/>
    </row>
    <row r="3465">
      <c r="A3465" s="14">
        <v>43031.219872685186</v>
      </c>
      <c r="B3465" s="20" t="str">
        <f>HYPERLINK("https://twitter.com/TimesofNews","@TimesofNews")</f>
        <v>@TimesofNews</v>
      </c>
      <c r="C3465" s="21" t="s">
        <v>4660</v>
      </c>
      <c r="D3465" s="21" t="s">
        <v>8121</v>
      </c>
      <c r="E3465" s="22" t="str">
        <f>HYPERLINK("https://twitter.com/TimesofNews/status/922436598037393408","922436598037393408")</f>
        <v>922436598037393408</v>
      </c>
      <c r="F3465" s="23" t="s">
        <v>8122</v>
      </c>
      <c r="G3465" s="24">
        <v>1139.0</v>
      </c>
      <c r="H3465" s="24">
        <v>129.0</v>
      </c>
      <c r="I3465" s="24">
        <v>0.0</v>
      </c>
      <c r="J3465" s="24">
        <v>0.0</v>
      </c>
      <c r="K3465" s="23" t="s">
        <v>34</v>
      </c>
      <c r="L3465" s="25">
        <v>40978.11828703704</v>
      </c>
      <c r="M3465" s="28"/>
      <c r="N3465" s="26" t="s">
        <v>4663</v>
      </c>
      <c r="O3465" s="22" t="str">
        <f>HYPERLINK("https://pbs.twimg.com/profile_images/458022872024223744/GKx5zsNw_normal.png","View")</f>
        <v>View</v>
      </c>
      <c r="P3465" s="27"/>
    </row>
    <row r="3466">
      <c r="A3466" s="14">
        <v>43031.219918981486</v>
      </c>
      <c r="B3466" s="20" t="str">
        <f>HYPERLINK("https://twitter.com/kinseyhaddock","@kinseyhaddock")</f>
        <v>@kinseyhaddock</v>
      </c>
      <c r="C3466" s="21" t="s">
        <v>8123</v>
      </c>
      <c r="D3466" s="21" t="s">
        <v>8124</v>
      </c>
      <c r="E3466" s="22" t="str">
        <f>HYPERLINK("https://twitter.com/kinseyhaddock/status/922436613875093510","922436613875093510")</f>
        <v>922436613875093510</v>
      </c>
      <c r="F3466" s="23" t="s">
        <v>427</v>
      </c>
      <c r="G3466" s="24">
        <v>21415.0</v>
      </c>
      <c r="H3466" s="24">
        <v>1393.0</v>
      </c>
      <c r="I3466" s="24">
        <v>0.0</v>
      </c>
      <c r="J3466" s="24">
        <v>0.0</v>
      </c>
      <c r="K3466" s="23" t="s">
        <v>34</v>
      </c>
      <c r="L3466" s="25">
        <v>40918.295428240745</v>
      </c>
      <c r="M3466" s="26" t="s">
        <v>68</v>
      </c>
      <c r="N3466" s="26" t="s">
        <v>8125</v>
      </c>
      <c r="O3466" s="22" t="str">
        <f>HYPERLINK("https://pbs.twimg.com/profile_images/796376059344257024/AzujUkPJ_normal.jpg","View")</f>
        <v>View</v>
      </c>
      <c r="P3466" s="27"/>
    </row>
    <row r="3467">
      <c r="A3467" s="14">
        <v>43031.219930555555</v>
      </c>
      <c r="B3467" s="20" t="str">
        <f>HYPERLINK("https://twitter.com/ArushMeshram","@ArushMeshram")</f>
        <v>@ArushMeshram</v>
      </c>
      <c r="C3467" s="21" t="s">
        <v>8126</v>
      </c>
      <c r="D3467" s="21" t="s">
        <v>42</v>
      </c>
      <c r="E3467" s="22" t="str">
        <f>HYPERLINK("https://twitter.com/ArushMeshram/status/922436619633811457","922436619633811457")</f>
        <v>922436619633811457</v>
      </c>
      <c r="F3467" s="23" t="s">
        <v>33</v>
      </c>
      <c r="G3467" s="24">
        <v>12.0</v>
      </c>
      <c r="H3467" s="24">
        <v>59.0</v>
      </c>
      <c r="I3467" s="24">
        <v>8501.0</v>
      </c>
      <c r="J3467" s="24">
        <v>0.0</v>
      </c>
      <c r="K3467" s="23" t="s">
        <v>34</v>
      </c>
      <c r="L3467" s="25">
        <v>43015.46943287037</v>
      </c>
      <c r="M3467" s="26" t="s">
        <v>617</v>
      </c>
      <c r="N3467" s="26" t="s">
        <v>8127</v>
      </c>
      <c r="O3467" s="22" t="str">
        <f>HYPERLINK("https://pbs.twimg.com/profile_images/916948191148257280/LzFI5dRJ_normal.jpg","View")</f>
        <v>View</v>
      </c>
      <c r="P3467" s="27"/>
    </row>
    <row r="3468">
      <c r="A3468" s="14">
        <v>43031.21997685185</v>
      </c>
      <c r="B3468" s="20" t="str">
        <f>HYPERLINK("https://twitter.com/ReaganCBrown","@ReaganCBrown")</f>
        <v>@ReaganCBrown</v>
      </c>
      <c r="C3468" s="21" t="s">
        <v>7909</v>
      </c>
      <c r="D3468" s="21" t="s">
        <v>2456</v>
      </c>
      <c r="E3468" s="22" t="str">
        <f>HYPERLINK("https://twitter.com/ReaganCBrown/status/922436635865870336","922436635865870336")</f>
        <v>922436635865870336</v>
      </c>
      <c r="F3468" s="23" t="s">
        <v>39</v>
      </c>
      <c r="G3468" s="24">
        <v>531.0</v>
      </c>
      <c r="H3468" s="24">
        <v>308.0</v>
      </c>
      <c r="I3468" s="24">
        <v>49.0</v>
      </c>
      <c r="J3468" s="24">
        <v>0.0</v>
      </c>
      <c r="K3468" s="23" t="s">
        <v>34</v>
      </c>
      <c r="L3468" s="25">
        <v>42677.17953703704</v>
      </c>
      <c r="M3468" s="28"/>
      <c r="N3468" s="28"/>
      <c r="O3468" s="22" t="str">
        <f>HYPERLINK("https://pbs.twimg.com/profile_images/883899076064014336/S9U6wKsi_normal.jpg","View")</f>
        <v>View</v>
      </c>
      <c r="P3468" s="27"/>
    </row>
    <row r="3469">
      <c r="A3469" s="14">
        <v>43031.220034722224</v>
      </c>
      <c r="B3469" s="20" t="str">
        <f>HYPERLINK("https://twitter.com/samar_deshmukh","@samar_deshmukh")</f>
        <v>@samar_deshmukh</v>
      </c>
      <c r="C3469" s="21" t="s">
        <v>8128</v>
      </c>
      <c r="D3469" s="21" t="s">
        <v>42</v>
      </c>
      <c r="E3469" s="22" t="str">
        <f>HYPERLINK("https://twitter.com/samar_deshmukh/status/922436655176470528","922436655176470528")</f>
        <v>922436655176470528</v>
      </c>
      <c r="F3469" s="23" t="s">
        <v>33</v>
      </c>
      <c r="G3469" s="24">
        <v>87.0</v>
      </c>
      <c r="H3469" s="24">
        <v>203.0</v>
      </c>
      <c r="I3469" s="24">
        <v>8501.0</v>
      </c>
      <c r="J3469" s="24">
        <v>0.0</v>
      </c>
      <c r="K3469" s="23" t="s">
        <v>34</v>
      </c>
      <c r="L3469" s="25">
        <v>42509.78613425926</v>
      </c>
      <c r="M3469" s="26" t="s">
        <v>6185</v>
      </c>
      <c r="N3469" s="26" t="s">
        <v>8129</v>
      </c>
      <c r="O3469" s="22" t="str">
        <f>HYPERLINK("https://pbs.twimg.com/profile_images/733478154916888576/udIiSmL__normal.jpg","View")</f>
        <v>View</v>
      </c>
      <c r="P3469" s="27"/>
    </row>
    <row r="3470">
      <c r="A3470" s="14">
        <v>43031.220046296294</v>
      </c>
      <c r="B3470" s="20" t="str">
        <f>HYPERLINK("https://twitter.com/sugiura_ken2","@sugiura_ken2")</f>
        <v>@sugiura_ken2</v>
      </c>
      <c r="C3470" s="21" t="s">
        <v>8130</v>
      </c>
      <c r="D3470" s="21" t="s">
        <v>42</v>
      </c>
      <c r="E3470" s="22" t="str">
        <f>HYPERLINK("https://twitter.com/sugiura_ken2/status/922436658611363840","922436658611363840")</f>
        <v>922436658611363840</v>
      </c>
      <c r="F3470" s="23" t="s">
        <v>55</v>
      </c>
      <c r="G3470" s="24">
        <v>260.0</v>
      </c>
      <c r="H3470" s="24">
        <v>115.0</v>
      </c>
      <c r="I3470" s="24">
        <v>8501.0</v>
      </c>
      <c r="J3470" s="24">
        <v>0.0</v>
      </c>
      <c r="K3470" s="23" t="s">
        <v>34</v>
      </c>
      <c r="L3470" s="25">
        <v>42325.97083333333</v>
      </c>
      <c r="M3470" s="26" t="s">
        <v>8131</v>
      </c>
      <c r="N3470" s="26" t="s">
        <v>8132</v>
      </c>
      <c r="O3470" s="22" t="str">
        <f>HYPERLINK("https://pbs.twimg.com/profile_images/666984837740412929/jw4S-opW_normal.jpg","View")</f>
        <v>View</v>
      </c>
      <c r="P3470" s="27"/>
    </row>
    <row r="3471">
      <c r="A3471" s="14">
        <v>43031.22006944445</v>
      </c>
      <c r="B3471" s="20" t="str">
        <f>HYPERLINK("https://twitter.com/MoreShamLessWow","@MoreShamLessWow")</f>
        <v>@MoreShamLessWow</v>
      </c>
      <c r="C3471" s="21" t="s">
        <v>8133</v>
      </c>
      <c r="D3471" s="21" t="s">
        <v>6670</v>
      </c>
      <c r="E3471" s="22" t="str">
        <f>HYPERLINK("https://twitter.com/MoreShamLessWow/status/922436667033686016","922436667033686016")</f>
        <v>922436667033686016</v>
      </c>
      <c r="F3471" s="23" t="s">
        <v>8134</v>
      </c>
      <c r="G3471" s="24">
        <v>390.0</v>
      </c>
      <c r="H3471" s="24">
        <v>3142.0</v>
      </c>
      <c r="I3471" s="24">
        <v>18.0</v>
      </c>
      <c r="J3471" s="24">
        <v>0.0</v>
      </c>
      <c r="K3471" s="23" t="s">
        <v>34</v>
      </c>
      <c r="L3471" s="25">
        <v>43015.9462037037</v>
      </c>
      <c r="M3471" s="28"/>
      <c r="N3471" s="26" t="s">
        <v>8135</v>
      </c>
      <c r="O3471" s="22" t="str">
        <f>HYPERLINK("https://pbs.twimg.com/profile_images/917071167441244165/JhCl4xz1_normal.jpg","View")</f>
        <v>View</v>
      </c>
      <c r="P3471" s="27"/>
    </row>
    <row r="3472">
      <c r="A3472" s="14">
        <v>43031.220196759255</v>
      </c>
      <c r="B3472" s="20" t="str">
        <f>HYPERLINK("https://twitter.com/arpitsizzle","@arpitsizzle")</f>
        <v>@arpitsizzle</v>
      </c>
      <c r="C3472" s="21" t="s">
        <v>8136</v>
      </c>
      <c r="D3472" s="21" t="s">
        <v>42</v>
      </c>
      <c r="E3472" s="22" t="str">
        <f>HYPERLINK("https://twitter.com/arpitsizzle/status/922436714362052608","922436714362052608")</f>
        <v>922436714362052608</v>
      </c>
      <c r="F3472" s="23" t="s">
        <v>33</v>
      </c>
      <c r="G3472" s="24">
        <v>1606.0</v>
      </c>
      <c r="H3472" s="24">
        <v>1101.0</v>
      </c>
      <c r="I3472" s="24">
        <v>8501.0</v>
      </c>
      <c r="J3472" s="24">
        <v>0.0</v>
      </c>
      <c r="K3472" s="23" t="s">
        <v>34</v>
      </c>
      <c r="L3472" s="25">
        <v>41055.43356481481</v>
      </c>
      <c r="M3472" s="26" t="s">
        <v>227</v>
      </c>
      <c r="N3472" s="26" t="s">
        <v>8137</v>
      </c>
      <c r="O3472" s="22" t="str">
        <f>HYPERLINK("https://pbs.twimg.com/profile_images/820709141647794176/SKQ_1NYp_normal.jpg","View")</f>
        <v>View</v>
      </c>
      <c r="P3472" s="27"/>
    </row>
    <row r="3473">
      <c r="A3473" s="14">
        <v>43031.220300925925</v>
      </c>
      <c r="B3473" s="20" t="str">
        <f>HYPERLINK("https://twitter.com/My_best_Japan1","@My_best_Japan1")</f>
        <v>@My_best_Japan1</v>
      </c>
      <c r="C3473" s="21" t="s">
        <v>8138</v>
      </c>
      <c r="D3473" s="21" t="s">
        <v>42</v>
      </c>
      <c r="E3473" s="22" t="str">
        <f>HYPERLINK("https://twitter.com/My_best_Japan1/status/922436752484077568","922436752484077568")</f>
        <v>922436752484077568</v>
      </c>
      <c r="F3473" s="23" t="s">
        <v>33</v>
      </c>
      <c r="G3473" s="24">
        <v>42.0</v>
      </c>
      <c r="H3473" s="24">
        <v>114.0</v>
      </c>
      <c r="I3473" s="24">
        <v>8501.0</v>
      </c>
      <c r="J3473" s="24">
        <v>0.0</v>
      </c>
      <c r="K3473" s="23" t="s">
        <v>34</v>
      </c>
      <c r="L3473" s="25">
        <v>43018.32165509259</v>
      </c>
      <c r="M3473" s="26" t="s">
        <v>8139</v>
      </c>
      <c r="N3473" s="26" t="s">
        <v>8140</v>
      </c>
      <c r="O3473" s="22" t="str">
        <f>HYPERLINK("https://pbs.twimg.com/profile_images/917995642605125632/p-LHCCvm_normal.jpg","View")</f>
        <v>View</v>
      </c>
      <c r="P3473" s="27"/>
    </row>
    <row r="3474">
      <c r="A3474" s="14">
        <v>43031.2203587963</v>
      </c>
      <c r="B3474" s="20" t="str">
        <f>HYPERLINK("https://twitter.com/aldaz","@aldaz")</f>
        <v>@aldaz</v>
      </c>
      <c r="C3474" s="21" t="s">
        <v>8141</v>
      </c>
      <c r="D3474" s="21" t="s">
        <v>8142</v>
      </c>
      <c r="E3474" s="22" t="str">
        <f>HYPERLINK("https://twitter.com/aldaz/status/922436773434871812","922436773434871812")</f>
        <v>922436773434871812</v>
      </c>
      <c r="F3474" s="23" t="s">
        <v>187</v>
      </c>
      <c r="G3474" s="24">
        <v>2634.0</v>
      </c>
      <c r="H3474" s="24">
        <v>4817.0</v>
      </c>
      <c r="I3474" s="24">
        <v>0.0</v>
      </c>
      <c r="J3474" s="24">
        <v>0.0</v>
      </c>
      <c r="K3474" s="23" t="s">
        <v>34</v>
      </c>
      <c r="L3474" s="25">
        <v>39865.11865740741</v>
      </c>
      <c r="M3474" s="28"/>
      <c r="N3474" s="26" t="s">
        <v>8143</v>
      </c>
      <c r="O3474" s="22" t="str">
        <f>HYPERLINK("https://pbs.twimg.com/profile_images/848877746814148608/CWJq8IqJ_normal.jpg","View")</f>
        <v>View</v>
      </c>
      <c r="P3474" s="27"/>
    </row>
    <row r="3475">
      <c r="A3475" s="14">
        <v>43031.220405092594</v>
      </c>
      <c r="B3475" s="20" t="str">
        <f>HYPERLINK("https://twitter.com/ReutersTV","@ReutersTV")</f>
        <v>@ReutersTV</v>
      </c>
      <c r="C3475" s="21" t="s">
        <v>8144</v>
      </c>
      <c r="D3475" s="21" t="s">
        <v>8145</v>
      </c>
      <c r="E3475" s="22" t="str">
        <f>HYPERLINK("https://twitter.com/ReutersTV/status/922436789280935936","922436789280935936")</f>
        <v>922436789280935936</v>
      </c>
      <c r="F3475" s="23" t="s">
        <v>1103</v>
      </c>
      <c r="G3475" s="24">
        <v>107343.0</v>
      </c>
      <c r="H3475" s="24">
        <v>439.0</v>
      </c>
      <c r="I3475" s="24">
        <v>3.0</v>
      </c>
      <c r="J3475" s="24">
        <v>5.0</v>
      </c>
      <c r="K3475" s="23" t="s">
        <v>34</v>
      </c>
      <c r="L3475" s="25">
        <v>41801.37532407408</v>
      </c>
      <c r="M3475" s="26" t="s">
        <v>389</v>
      </c>
      <c r="N3475" s="26" t="s">
        <v>8146</v>
      </c>
      <c r="O3475" s="22" t="str">
        <f>HYPERLINK("https://pbs.twimg.com/profile_images/877583804646293504/OoLaxJyw_normal.jpg","View")</f>
        <v>View</v>
      </c>
      <c r="P3475" s="27"/>
    </row>
    <row r="3476">
      <c r="A3476" s="14">
        <v>43031.22043981482</v>
      </c>
      <c r="B3476" s="20" t="str">
        <f>HYPERLINK("https://twitter.com/roshanmadhav4","@roshanmadhav4")</f>
        <v>@roshanmadhav4</v>
      </c>
      <c r="C3476" s="21" t="s">
        <v>8147</v>
      </c>
      <c r="D3476" s="21" t="s">
        <v>42</v>
      </c>
      <c r="E3476" s="22" t="str">
        <f>HYPERLINK("https://twitter.com/roshanmadhav4/status/922436801620348928","922436801620348928")</f>
        <v>922436801620348928</v>
      </c>
      <c r="F3476" s="23" t="s">
        <v>55</v>
      </c>
      <c r="G3476" s="24">
        <v>876.0</v>
      </c>
      <c r="H3476" s="24">
        <v>2468.0</v>
      </c>
      <c r="I3476" s="24">
        <v>8501.0</v>
      </c>
      <c r="J3476" s="24">
        <v>0.0</v>
      </c>
      <c r="K3476" s="23" t="s">
        <v>34</v>
      </c>
      <c r="L3476" s="25">
        <v>41031.02357638889</v>
      </c>
      <c r="M3476" s="28"/>
      <c r="N3476" s="26" t="s">
        <v>8148</v>
      </c>
      <c r="O3476" s="22" t="str">
        <f>HYPERLINK("https://pbs.twimg.com/profile_images/2768226917/a90199be5f52c81b3429e63714f95a2b_normal.jpeg","View")</f>
        <v>View</v>
      </c>
      <c r="P3476" s="27"/>
    </row>
    <row r="3477">
      <c r="A3477" s="14">
        <v>43031.220555555556</v>
      </c>
      <c r="B3477" s="20" t="str">
        <f>HYPERLINK("https://twitter.com/wavetossed","@wavetossed")</f>
        <v>@wavetossed</v>
      </c>
      <c r="C3477" s="21" t="s">
        <v>8149</v>
      </c>
      <c r="D3477" s="21" t="s">
        <v>760</v>
      </c>
      <c r="E3477" s="22" t="str">
        <f>HYPERLINK("https://twitter.com/wavetossed/status/922436843349581824","922436843349581824")</f>
        <v>922436843349581824</v>
      </c>
      <c r="F3477" s="23" t="s">
        <v>55</v>
      </c>
      <c r="G3477" s="24">
        <v>4896.0</v>
      </c>
      <c r="H3477" s="24">
        <v>21.0</v>
      </c>
      <c r="I3477" s="24">
        <v>62.0</v>
      </c>
      <c r="J3477" s="24">
        <v>0.0</v>
      </c>
      <c r="K3477" s="23" t="s">
        <v>34</v>
      </c>
      <c r="L3477" s="25">
        <v>40598.44136574074</v>
      </c>
      <c r="M3477" s="26" t="s">
        <v>8150</v>
      </c>
      <c r="N3477" s="26" t="s">
        <v>8151</v>
      </c>
      <c r="O3477" s="22" t="str">
        <f>HYPERLINK("https://pbs.twimg.com/profile_images/437749132757696512/7iACHULs_normal.jpeg","View")</f>
        <v>View</v>
      </c>
      <c r="P3477" s="27"/>
    </row>
    <row r="3478">
      <c r="A3478" s="14">
        <v>43031.22068287037</v>
      </c>
      <c r="B3478" s="20" t="str">
        <f>HYPERLINK("https://twitter.com/ReaganCBrown","@ReaganCBrown")</f>
        <v>@ReaganCBrown</v>
      </c>
      <c r="C3478" s="21" t="s">
        <v>7909</v>
      </c>
      <c r="D3478" s="21" t="s">
        <v>1345</v>
      </c>
      <c r="E3478" s="22" t="str">
        <f>HYPERLINK("https://twitter.com/ReaganCBrown/status/922436892750213121","922436892750213121")</f>
        <v>922436892750213121</v>
      </c>
      <c r="F3478" s="23" t="s">
        <v>39</v>
      </c>
      <c r="G3478" s="24">
        <v>531.0</v>
      </c>
      <c r="H3478" s="24">
        <v>308.0</v>
      </c>
      <c r="I3478" s="24">
        <v>22.0</v>
      </c>
      <c r="J3478" s="24">
        <v>0.0</v>
      </c>
      <c r="K3478" s="23" t="s">
        <v>34</v>
      </c>
      <c r="L3478" s="25">
        <v>42677.17953703704</v>
      </c>
      <c r="M3478" s="28"/>
      <c r="N3478" s="28"/>
      <c r="O3478" s="22" t="str">
        <f>HYPERLINK("https://pbs.twimg.com/profile_images/883899076064014336/S9U6wKsi_normal.jpg","View")</f>
        <v>View</v>
      </c>
      <c r="P3478" s="27"/>
    </row>
    <row r="3479">
      <c r="A3479" s="14">
        <v>43031.220717592594</v>
      </c>
      <c r="B3479" s="20" t="str">
        <f>HYPERLINK("https://twitter.com/fxinter_net","@fxinter_net")</f>
        <v>@fxinter_net</v>
      </c>
      <c r="C3479" s="29" t="s">
        <v>8152</v>
      </c>
      <c r="D3479" s="21" t="s">
        <v>8153</v>
      </c>
      <c r="E3479" s="22" t="str">
        <f>HYPERLINK("https://twitter.com/fxinter_net/status/922436902648627200","922436902648627200")</f>
        <v>922436902648627200</v>
      </c>
      <c r="F3479" s="23" t="s">
        <v>8154</v>
      </c>
      <c r="G3479" s="24">
        <v>695.0</v>
      </c>
      <c r="H3479" s="24">
        <v>14.0</v>
      </c>
      <c r="I3479" s="24">
        <v>0.0</v>
      </c>
      <c r="J3479" s="24">
        <v>0.0</v>
      </c>
      <c r="K3479" s="23" t="s">
        <v>34</v>
      </c>
      <c r="L3479" s="25">
        <v>40897.51825231481</v>
      </c>
      <c r="M3479" s="26" t="s">
        <v>905</v>
      </c>
      <c r="N3479" s="26" t="s">
        <v>8155</v>
      </c>
      <c r="O3479" s="22" t="str">
        <f>HYPERLINK("https://pbs.twimg.com/profile_images/707209475854356480/tUHbq4AN_normal.jpg","View")</f>
        <v>View</v>
      </c>
      <c r="P3479" s="27"/>
    </row>
    <row r="3480">
      <c r="A3480" s="14">
        <v>43031.220717592594</v>
      </c>
      <c r="B3480" s="20" t="str">
        <f>HYPERLINK("https://twitter.com/WalterCOLLICA","@WalterCOLLICA")</f>
        <v>@WalterCOLLICA</v>
      </c>
      <c r="C3480" s="21" t="s">
        <v>8156</v>
      </c>
      <c r="D3480" s="21" t="s">
        <v>8157</v>
      </c>
      <c r="E3480" s="22" t="str">
        <f>HYPERLINK("https://twitter.com/WalterCOLLICA/status/922436903785263104","922436903785263104")</f>
        <v>922436903785263104</v>
      </c>
      <c r="F3480" s="23" t="s">
        <v>8158</v>
      </c>
      <c r="G3480" s="24">
        <v>1555.0</v>
      </c>
      <c r="H3480" s="24">
        <v>416.0</v>
      </c>
      <c r="I3480" s="24">
        <v>0.0</v>
      </c>
      <c r="J3480" s="24">
        <v>0.0</v>
      </c>
      <c r="K3480" s="23" t="s">
        <v>34</v>
      </c>
      <c r="L3480" s="25">
        <v>39883.28778935185</v>
      </c>
      <c r="M3480" s="28"/>
      <c r="N3480" s="26" t="s">
        <v>8159</v>
      </c>
      <c r="O3480" s="22" t="str">
        <f>HYPERLINK("https://pbs.twimg.com/profile_images/807642266/DSC04412_normal.JPG","View")</f>
        <v>View</v>
      </c>
      <c r="P3480" s="27"/>
    </row>
    <row r="3481">
      <c r="A3481" s="14">
        <v>43031.22085648148</v>
      </c>
      <c r="B3481" s="20" t="str">
        <f>HYPERLINK("https://twitter.com/SBhardwaj13","@SBhardwaj13")</f>
        <v>@SBhardwaj13</v>
      </c>
      <c r="C3481" s="21" t="s">
        <v>8160</v>
      </c>
      <c r="D3481" s="21" t="s">
        <v>42</v>
      </c>
      <c r="E3481" s="22" t="str">
        <f>HYPERLINK("https://twitter.com/SBhardwaj13/status/922436953923977216","922436953923977216")</f>
        <v>922436953923977216</v>
      </c>
      <c r="F3481" s="23" t="s">
        <v>33</v>
      </c>
      <c r="G3481" s="24">
        <v>77.0</v>
      </c>
      <c r="H3481" s="24">
        <v>172.0</v>
      </c>
      <c r="I3481" s="24">
        <v>8501.0</v>
      </c>
      <c r="J3481" s="24">
        <v>0.0</v>
      </c>
      <c r="K3481" s="23" t="s">
        <v>34</v>
      </c>
      <c r="L3481" s="25">
        <v>40317.02761574074</v>
      </c>
      <c r="M3481" s="26" t="s">
        <v>204</v>
      </c>
      <c r="N3481" s="26" t="s">
        <v>8161</v>
      </c>
      <c r="O3481" s="22" t="str">
        <f>HYPERLINK("https://pbs.twimg.com/profile_images/2665219221/988523e6423fb903344b8f63fc9048c2_normal.png","View")</f>
        <v>View</v>
      </c>
      <c r="P3481" s="27"/>
    </row>
    <row r="3482">
      <c r="A3482" s="14">
        <v>43031.2208912037</v>
      </c>
      <c r="B3482" s="20" t="str">
        <f>HYPERLINK("https://twitter.com/swanishukla","@swanishukla")</f>
        <v>@swanishukla</v>
      </c>
      <c r="C3482" s="21" t="s">
        <v>8162</v>
      </c>
      <c r="D3482" s="21" t="s">
        <v>42</v>
      </c>
      <c r="E3482" s="22" t="str">
        <f>HYPERLINK("https://twitter.com/swanishukla/status/922436966087475205","922436966087475205")</f>
        <v>922436966087475205</v>
      </c>
      <c r="F3482" s="23" t="s">
        <v>33</v>
      </c>
      <c r="G3482" s="24">
        <v>201.0</v>
      </c>
      <c r="H3482" s="24">
        <v>636.0</v>
      </c>
      <c r="I3482" s="24">
        <v>8501.0</v>
      </c>
      <c r="J3482" s="24">
        <v>0.0</v>
      </c>
      <c r="K3482" s="23" t="s">
        <v>34</v>
      </c>
      <c r="L3482" s="25">
        <v>40831.46486111111</v>
      </c>
      <c r="M3482" s="26" t="s">
        <v>227</v>
      </c>
      <c r="N3482" s="26" t="s">
        <v>8163</v>
      </c>
      <c r="O3482" s="22" t="str">
        <f>HYPERLINK("https://pbs.twimg.com/profile_images/894073079755755520/n8ID3O_G_normal.jpg","View")</f>
        <v>View</v>
      </c>
      <c r="P3482" s="27"/>
    </row>
    <row r="3483">
      <c r="A3483" s="14">
        <v>43031.220914351856</v>
      </c>
      <c r="B3483" s="20" t="str">
        <f>HYPERLINK("https://twitter.com/darshanmgohil","@darshanmgohil")</f>
        <v>@darshanmgohil</v>
      </c>
      <c r="C3483" s="21" t="s">
        <v>8164</v>
      </c>
      <c r="D3483" s="21" t="s">
        <v>42</v>
      </c>
      <c r="E3483" s="22" t="str">
        <f>HYPERLINK("https://twitter.com/darshanmgohil/status/922436973679165440","922436973679165440")</f>
        <v>922436973679165440</v>
      </c>
      <c r="F3483" s="23" t="s">
        <v>33</v>
      </c>
      <c r="G3483" s="24">
        <v>21.0</v>
      </c>
      <c r="H3483" s="24">
        <v>100.0</v>
      </c>
      <c r="I3483" s="24">
        <v>8501.0</v>
      </c>
      <c r="J3483" s="24">
        <v>0.0</v>
      </c>
      <c r="K3483" s="23" t="s">
        <v>34</v>
      </c>
      <c r="L3483" s="25">
        <v>42416.83134259259</v>
      </c>
      <c r="M3483" s="28"/>
      <c r="N3483" s="28"/>
      <c r="O3483" s="22" t="str">
        <f>HYPERLINK("https://pbs.twimg.com/profile_images/699808729324060673/V0e8hLT9_normal.jpg","View")</f>
        <v>View</v>
      </c>
      <c r="P3483" s="27"/>
    </row>
    <row r="3484">
      <c r="A3484" s="14">
        <v>43031.22100694444</v>
      </c>
      <c r="B3484" s="20" t="str">
        <f>HYPERLINK("https://twitter.com/alpeshsapkal","@alpeshsapkal")</f>
        <v>@alpeshsapkal</v>
      </c>
      <c r="C3484" s="21" t="s">
        <v>8165</v>
      </c>
      <c r="D3484" s="21" t="s">
        <v>42</v>
      </c>
      <c r="E3484" s="22" t="str">
        <f>HYPERLINK("https://twitter.com/alpeshsapkal/status/922437006260559872","922437006260559872")</f>
        <v>922437006260559872</v>
      </c>
      <c r="F3484" s="23" t="s">
        <v>33</v>
      </c>
      <c r="G3484" s="24">
        <v>70.0</v>
      </c>
      <c r="H3484" s="24">
        <v>273.0</v>
      </c>
      <c r="I3484" s="24">
        <v>8501.0</v>
      </c>
      <c r="J3484" s="24">
        <v>0.0</v>
      </c>
      <c r="K3484" s="23" t="s">
        <v>34</v>
      </c>
      <c r="L3484" s="25">
        <v>40629.31109953704</v>
      </c>
      <c r="M3484" s="28"/>
      <c r="N3484" s="28"/>
      <c r="O3484" s="22" t="str">
        <f>HYPERLINK("https://pbs.twimg.com/profile_images/906640570365313024/YoohHRcn_normal.jpg","View")</f>
        <v>View</v>
      </c>
      <c r="P3484" s="27"/>
    </row>
    <row r="3485">
      <c r="A3485" s="14">
        <v>43031.22100694444</v>
      </c>
      <c r="B3485" s="20" t="str">
        <f>HYPERLINK("https://twitter.com/sukhumvitanode","@sukhumvitanode")</f>
        <v>@sukhumvitanode</v>
      </c>
      <c r="C3485" s="21" t="s">
        <v>8166</v>
      </c>
      <c r="D3485" s="21" t="s">
        <v>42</v>
      </c>
      <c r="E3485" s="22" t="str">
        <f>HYPERLINK("https://twitter.com/sukhumvitanode/status/922437008886079488","922437008886079488")</f>
        <v>922437008886079488</v>
      </c>
      <c r="F3485" s="23" t="s">
        <v>33</v>
      </c>
      <c r="G3485" s="24">
        <v>2469.0</v>
      </c>
      <c r="H3485" s="24">
        <v>551.0</v>
      </c>
      <c r="I3485" s="24">
        <v>8501.0</v>
      </c>
      <c r="J3485" s="24">
        <v>0.0</v>
      </c>
      <c r="K3485" s="23" t="s">
        <v>34</v>
      </c>
      <c r="L3485" s="25">
        <v>41756.758414351854</v>
      </c>
      <c r="M3485" s="28"/>
      <c r="N3485" s="26" t="s">
        <v>8167</v>
      </c>
      <c r="O3485" s="22" t="str">
        <f>HYPERLINK("https://pbs.twimg.com/profile_images/847957112491614208/LEs0rCPA_normal.jpg","View")</f>
        <v>View</v>
      </c>
      <c r="P3485" s="27"/>
    </row>
    <row r="3486">
      <c r="A3486" s="14">
        <v>43031.221041666664</v>
      </c>
      <c r="B3486" s="20" t="str">
        <f>HYPERLINK("https://twitter.com/skburdak","@skburdak")</f>
        <v>@skburdak</v>
      </c>
      <c r="C3486" s="21" t="s">
        <v>8168</v>
      </c>
      <c r="D3486" s="21" t="s">
        <v>42</v>
      </c>
      <c r="E3486" s="22" t="str">
        <f>HYPERLINK("https://twitter.com/skburdak/status/922437021615849472","922437021615849472")</f>
        <v>922437021615849472</v>
      </c>
      <c r="F3486" s="23" t="s">
        <v>33</v>
      </c>
      <c r="G3486" s="24">
        <v>32.0</v>
      </c>
      <c r="H3486" s="24">
        <v>225.0</v>
      </c>
      <c r="I3486" s="24">
        <v>8501.0</v>
      </c>
      <c r="J3486" s="24">
        <v>0.0</v>
      </c>
      <c r="K3486" s="23" t="s">
        <v>34</v>
      </c>
      <c r="L3486" s="25">
        <v>40705.89912037037</v>
      </c>
      <c r="M3486" s="26" t="s">
        <v>8169</v>
      </c>
      <c r="N3486" s="28"/>
      <c r="O3486" s="22" t="str">
        <f>HYPERLINK("https://pbs.twimg.com/profile_images/598454297416699904/BPv6a6n3_normal.jpg","View")</f>
        <v>View</v>
      </c>
      <c r="P3486" s="27"/>
    </row>
    <row r="3487">
      <c r="A3487" s="14">
        <v>43031.22106481482</v>
      </c>
      <c r="B3487" s="20" t="str">
        <f>HYPERLINK("https://twitter.com/daniilmaksimov9","@daniilmaksimov9")</f>
        <v>@daniilmaksimov9</v>
      </c>
      <c r="C3487" s="21" t="s">
        <v>8033</v>
      </c>
      <c r="D3487" s="21" t="s">
        <v>3227</v>
      </c>
      <c r="E3487" s="22" t="str">
        <f>HYPERLINK("https://twitter.com/daniilmaksimov9/status/922437028276342784","922437028276342784")</f>
        <v>922437028276342784</v>
      </c>
      <c r="F3487" s="23" t="s">
        <v>55</v>
      </c>
      <c r="G3487" s="24">
        <v>1.0</v>
      </c>
      <c r="H3487" s="24">
        <v>0.0</v>
      </c>
      <c r="I3487" s="24">
        <v>61.0</v>
      </c>
      <c r="J3487" s="24">
        <v>0.0</v>
      </c>
      <c r="K3487" s="23" t="s">
        <v>34</v>
      </c>
      <c r="L3487" s="25">
        <v>43015.573171296295</v>
      </c>
      <c r="M3487" s="28"/>
      <c r="N3487" s="28"/>
      <c r="O3487" s="22" t="str">
        <f>HYPERLINK("https://pbs.twimg.com/profile_images/921085431885656064/GBHypQY9_normal.jpg","View")</f>
        <v>View</v>
      </c>
      <c r="P3487" s="27"/>
    </row>
    <row r="3488">
      <c r="A3488" s="14">
        <v>43031.22126157407</v>
      </c>
      <c r="B3488" s="20" t="str">
        <f>HYPERLINK("https://twitter.com/lFNwF1y2C52t7ni","@lFNwF1y2C52t7ni")</f>
        <v>@lFNwF1y2C52t7ni</v>
      </c>
      <c r="C3488" s="21" t="s">
        <v>8170</v>
      </c>
      <c r="D3488" s="21" t="s">
        <v>42</v>
      </c>
      <c r="E3488" s="22" t="str">
        <f>HYPERLINK("https://twitter.com/lFNwF1y2C52t7ni/status/922437101274128384","922437101274128384")</f>
        <v>922437101274128384</v>
      </c>
      <c r="F3488" s="23" t="s">
        <v>33</v>
      </c>
      <c r="G3488" s="24">
        <v>2.0</v>
      </c>
      <c r="H3488" s="24">
        <v>61.0</v>
      </c>
      <c r="I3488" s="24">
        <v>8501.0</v>
      </c>
      <c r="J3488" s="24">
        <v>0.0</v>
      </c>
      <c r="K3488" s="23" t="s">
        <v>34</v>
      </c>
      <c r="L3488" s="25">
        <v>42511.934583333335</v>
      </c>
      <c r="M3488" s="26" t="s">
        <v>8171</v>
      </c>
      <c r="N3488" s="28"/>
      <c r="O3488" s="22" t="str">
        <f>HYPERLINK("https://pbs.twimg.com/profile_images/883695937188757504/fbltY5vS_normal.jpg","View")</f>
        <v>View</v>
      </c>
      <c r="P3488" s="27"/>
    </row>
    <row r="3489">
      <c r="A3489" s="14">
        <v>43031.22134259259</v>
      </c>
      <c r="B3489" s="20" t="str">
        <f>HYPERLINK("https://twitter.com/krishnasurana2","@krishnasurana2")</f>
        <v>@krishnasurana2</v>
      </c>
      <c r="C3489" s="21" t="s">
        <v>8030</v>
      </c>
      <c r="D3489" s="21" t="s">
        <v>8172</v>
      </c>
      <c r="E3489" s="22" t="str">
        <f>HYPERLINK("https://twitter.com/krishnasurana2/status/922437128671207424","922437128671207424")</f>
        <v>922437128671207424</v>
      </c>
      <c r="F3489" s="23" t="s">
        <v>39</v>
      </c>
      <c r="G3489" s="24">
        <v>92.0</v>
      </c>
      <c r="H3489" s="24">
        <v>700.0</v>
      </c>
      <c r="I3489" s="24">
        <v>0.0</v>
      </c>
      <c r="J3489" s="24">
        <v>1.0</v>
      </c>
      <c r="K3489" s="23" t="s">
        <v>34</v>
      </c>
      <c r="L3489" s="25">
        <v>42740.34700231481</v>
      </c>
      <c r="M3489" s="26" t="s">
        <v>1137</v>
      </c>
      <c r="N3489" s="26" t="s">
        <v>8032</v>
      </c>
      <c r="O3489" s="22" t="str">
        <f>HYPERLINK("https://pbs.twimg.com/profile_images/820463886113439745/WL0NQzNf_normal.jpg","View")</f>
        <v>View</v>
      </c>
      <c r="P3489" s="27"/>
    </row>
    <row r="3490">
      <c r="A3490" s="14">
        <v>43031.22135416667</v>
      </c>
      <c r="B3490" s="20" t="str">
        <f>HYPERLINK("https://twitter.com/hetalrpatel","@hetalrpatel")</f>
        <v>@hetalrpatel</v>
      </c>
      <c r="C3490" s="21" t="s">
        <v>8173</v>
      </c>
      <c r="D3490" s="21" t="s">
        <v>42</v>
      </c>
      <c r="E3490" s="22" t="str">
        <f>HYPERLINK("https://twitter.com/hetalrpatel/status/922437136170790913","922437136170790913")</f>
        <v>922437136170790913</v>
      </c>
      <c r="F3490" s="23" t="s">
        <v>33</v>
      </c>
      <c r="G3490" s="24">
        <v>33.0</v>
      </c>
      <c r="H3490" s="24">
        <v>47.0</v>
      </c>
      <c r="I3490" s="24">
        <v>8501.0</v>
      </c>
      <c r="J3490" s="24">
        <v>0.0</v>
      </c>
      <c r="K3490" s="23" t="s">
        <v>34</v>
      </c>
      <c r="L3490" s="25">
        <v>40334.2440625</v>
      </c>
      <c r="M3490" s="28"/>
      <c r="N3490" s="28"/>
      <c r="O3490" s="22" t="str">
        <f>HYPERLINK("https://pbs.twimg.com/profile_images/845325557231505409/mWyzdOoy_normal.jpg","View")</f>
        <v>View</v>
      </c>
      <c r="P3490" s="27"/>
    </row>
    <row r="3491">
      <c r="A3491" s="14">
        <v>43031.22158564815</v>
      </c>
      <c r="B3491" s="20" t="str">
        <f>HYPERLINK("https://twitter.com/tellyalbert","@tellyalbert")</f>
        <v>@tellyalbert</v>
      </c>
      <c r="C3491" s="21" t="s">
        <v>8174</v>
      </c>
      <c r="D3491" s="21" t="s">
        <v>42</v>
      </c>
      <c r="E3491" s="22" t="str">
        <f>HYPERLINK("https://twitter.com/tellyalbert/status/922437217234010113","922437217234010113")</f>
        <v>922437217234010113</v>
      </c>
      <c r="F3491" s="23" t="s">
        <v>33</v>
      </c>
      <c r="G3491" s="24">
        <v>118.0</v>
      </c>
      <c r="H3491" s="24">
        <v>1055.0</v>
      </c>
      <c r="I3491" s="24">
        <v>8501.0</v>
      </c>
      <c r="J3491" s="24">
        <v>0.0</v>
      </c>
      <c r="K3491" s="23" t="s">
        <v>34</v>
      </c>
      <c r="L3491" s="25">
        <v>40780.98988425926</v>
      </c>
      <c r="M3491" s="26" t="s">
        <v>246</v>
      </c>
      <c r="N3491" s="26" t="s">
        <v>8175</v>
      </c>
      <c r="O3491" s="22" t="str">
        <f>HYPERLINK("https://pbs.twimg.com/profile_images/869271417761652736/ddYcHMeE_normal.jpg","View")</f>
        <v>View</v>
      </c>
      <c r="P3491" s="27"/>
    </row>
    <row r="3492">
      <c r="A3492" s="14">
        <v>43031.22159722222</v>
      </c>
      <c r="B3492" s="20" t="str">
        <f>HYPERLINK("https://twitter.com/krishnasurana2","@krishnasurana2")</f>
        <v>@krishnasurana2</v>
      </c>
      <c r="C3492" s="21" t="s">
        <v>8030</v>
      </c>
      <c r="D3492" s="21" t="s">
        <v>8176</v>
      </c>
      <c r="E3492" s="22" t="str">
        <f>HYPERLINK("https://twitter.com/krishnasurana2/status/922437222195806208","922437222195806208")</f>
        <v>922437222195806208</v>
      </c>
      <c r="F3492" s="23" t="s">
        <v>39</v>
      </c>
      <c r="G3492" s="24">
        <v>92.0</v>
      </c>
      <c r="H3492" s="24">
        <v>700.0</v>
      </c>
      <c r="I3492" s="24">
        <v>0.0</v>
      </c>
      <c r="J3492" s="24">
        <v>1.0</v>
      </c>
      <c r="K3492" s="23" t="s">
        <v>34</v>
      </c>
      <c r="L3492" s="25">
        <v>42740.34700231481</v>
      </c>
      <c r="M3492" s="26" t="s">
        <v>1137</v>
      </c>
      <c r="N3492" s="26" t="s">
        <v>8032</v>
      </c>
      <c r="O3492" s="22" t="str">
        <f>HYPERLINK("https://pbs.twimg.com/profile_images/820463886113439745/WL0NQzNf_normal.jpg","View")</f>
        <v>View</v>
      </c>
      <c r="P3492" s="27"/>
    </row>
    <row r="3493">
      <c r="A3493" s="14">
        <v>43031.22170138889</v>
      </c>
      <c r="B3493" s="20" t="str">
        <f>HYPERLINK("https://twitter.com/amarnathbjp","@amarnathbjp")</f>
        <v>@amarnathbjp</v>
      </c>
      <c r="C3493" s="21" t="s">
        <v>8177</v>
      </c>
      <c r="D3493" s="21" t="s">
        <v>42</v>
      </c>
      <c r="E3493" s="22" t="str">
        <f>HYPERLINK("https://twitter.com/amarnathbjp/status/922437259630034944","922437259630034944")</f>
        <v>922437259630034944</v>
      </c>
      <c r="F3493" s="23" t="s">
        <v>33</v>
      </c>
      <c r="G3493" s="24">
        <v>23679.0</v>
      </c>
      <c r="H3493" s="24">
        <v>418.0</v>
      </c>
      <c r="I3493" s="24">
        <v>8501.0</v>
      </c>
      <c r="J3493" s="24">
        <v>0.0</v>
      </c>
      <c r="K3493" s="23" t="s">
        <v>34</v>
      </c>
      <c r="L3493" s="25">
        <v>41482.42322916667</v>
      </c>
      <c r="M3493" s="26" t="s">
        <v>575</v>
      </c>
      <c r="N3493" s="26" t="s">
        <v>8178</v>
      </c>
      <c r="O3493" s="22" t="str">
        <f>HYPERLINK("https://pbs.twimg.com/profile_images/727703777944297472/9OCtNbpx_normal.jpg","View")</f>
        <v>View</v>
      </c>
      <c r="P3493" s="27"/>
    </row>
    <row r="3494">
      <c r="A3494" s="14">
        <v>43031.22180555556</v>
      </c>
      <c r="B3494" s="20" t="str">
        <f>HYPERLINK("https://twitter.com/AdenaAndie","@AdenaAndie")</f>
        <v>@AdenaAndie</v>
      </c>
      <c r="C3494" s="21" t="s">
        <v>8179</v>
      </c>
      <c r="D3494" s="21" t="s">
        <v>8180</v>
      </c>
      <c r="E3494" s="22" t="str">
        <f>HYPERLINK("https://twitter.com/AdenaAndie/status/922437297672478720","922437297672478720")</f>
        <v>922437297672478720</v>
      </c>
      <c r="F3494" s="23" t="s">
        <v>187</v>
      </c>
      <c r="G3494" s="24">
        <v>1.0</v>
      </c>
      <c r="H3494" s="24">
        <v>0.0</v>
      </c>
      <c r="I3494" s="24">
        <v>0.0</v>
      </c>
      <c r="J3494" s="24">
        <v>0.0</v>
      </c>
      <c r="K3494" s="23" t="s">
        <v>34</v>
      </c>
      <c r="L3494" s="25">
        <v>42725.87033564815</v>
      </c>
      <c r="M3494" s="26" t="s">
        <v>8181</v>
      </c>
      <c r="N3494" s="26" t="s">
        <v>8182</v>
      </c>
      <c r="O3494" s="22" t="str">
        <f>HYPERLINK("https://pbs.twimg.com/profile_images/829123190253244418/8PteQgEY_normal.jpg","View")</f>
        <v>View</v>
      </c>
      <c r="P3494" s="27"/>
    </row>
    <row r="3495">
      <c r="A3495" s="14">
        <v>43031.22184027778</v>
      </c>
      <c r="B3495" s="20" t="str">
        <f>HYPERLINK("https://twitter.com/1979filippova1","@1979filippova1")</f>
        <v>@1979filippova1</v>
      </c>
      <c r="C3495" s="21" t="s">
        <v>8183</v>
      </c>
      <c r="D3495" s="21" t="s">
        <v>7403</v>
      </c>
      <c r="E3495" s="22" t="str">
        <f>HYPERLINK("https://twitter.com/1979filippova1/status/922437311358320640","922437311358320640")</f>
        <v>922437311358320640</v>
      </c>
      <c r="F3495" s="23" t="s">
        <v>55</v>
      </c>
      <c r="G3495" s="24">
        <v>2.0</v>
      </c>
      <c r="H3495" s="24">
        <v>0.0</v>
      </c>
      <c r="I3495" s="24">
        <v>29.0</v>
      </c>
      <c r="J3495" s="24">
        <v>0.0</v>
      </c>
      <c r="K3495" s="23" t="s">
        <v>34</v>
      </c>
      <c r="L3495" s="25">
        <v>43015.575578703705</v>
      </c>
      <c r="M3495" s="28"/>
      <c r="N3495" s="28"/>
      <c r="O3495" s="22" t="str">
        <f>HYPERLINK("https://pbs.twimg.com/profile_images/921086909413171200/nW9HIZan_normal.jpg","View")</f>
        <v>View</v>
      </c>
      <c r="P3495" s="27"/>
    </row>
    <row r="3496">
      <c r="A3496" s="14">
        <v>43031.22195601852</v>
      </c>
      <c r="B3496" s="20" t="str">
        <f>HYPERLINK("https://twitter.com/JimFalkiner","@JimFalkiner")</f>
        <v>@JimFalkiner</v>
      </c>
      <c r="C3496" s="21" t="s">
        <v>8184</v>
      </c>
      <c r="D3496" s="21" t="s">
        <v>8185</v>
      </c>
      <c r="E3496" s="22" t="str">
        <f>HYPERLINK("https://twitter.com/JimFalkiner/status/922437350940127233","922437350940127233")</f>
        <v>922437350940127233</v>
      </c>
      <c r="F3496" s="23" t="s">
        <v>55</v>
      </c>
      <c r="G3496" s="24">
        <v>135.0</v>
      </c>
      <c r="H3496" s="24">
        <v>355.0</v>
      </c>
      <c r="I3496" s="24">
        <v>0.0</v>
      </c>
      <c r="J3496" s="24">
        <v>0.0</v>
      </c>
      <c r="K3496" s="23" t="s">
        <v>34</v>
      </c>
      <c r="L3496" s="25">
        <v>42784.27725694445</v>
      </c>
      <c r="M3496" s="26" t="s">
        <v>5976</v>
      </c>
      <c r="N3496" s="26" t="s">
        <v>8186</v>
      </c>
      <c r="O3496" s="22" t="str">
        <f>HYPERLINK("https://pbs.twimg.com/profile_images/917957124357066752/qt3gzEgU_normal.jpg","View")</f>
        <v>View</v>
      </c>
      <c r="P3496" s="27"/>
    </row>
    <row r="3497">
      <c r="A3497" s="14">
        <v>43031.222083333334</v>
      </c>
      <c r="B3497" s="20" t="str">
        <f>HYPERLINK("https://twitter.com/Oksana1225","@Oksana1225")</f>
        <v>@Oksana1225</v>
      </c>
      <c r="C3497" s="21" t="s">
        <v>8187</v>
      </c>
      <c r="D3497" s="21" t="s">
        <v>42</v>
      </c>
      <c r="E3497" s="22" t="str">
        <f>HYPERLINK("https://twitter.com/Oksana1225/status/922437396821458944","922437396821458944")</f>
        <v>922437396821458944</v>
      </c>
      <c r="F3497" s="23" t="s">
        <v>39</v>
      </c>
      <c r="G3497" s="24">
        <v>91.0</v>
      </c>
      <c r="H3497" s="24">
        <v>58.0</v>
      </c>
      <c r="I3497" s="24">
        <v>8501.0</v>
      </c>
      <c r="J3497" s="24">
        <v>0.0</v>
      </c>
      <c r="K3497" s="23" t="s">
        <v>34</v>
      </c>
      <c r="L3497" s="25">
        <v>40559.11211805556</v>
      </c>
      <c r="M3497" s="26" t="s">
        <v>4577</v>
      </c>
      <c r="N3497" s="26" t="s">
        <v>8188</v>
      </c>
      <c r="O3497" s="22" t="str">
        <f>HYPERLINK("https://pbs.twimg.com/profile_images/419859996336082945/7gZ6D08k_normal.jpeg","View")</f>
        <v>View</v>
      </c>
      <c r="P3497" s="27"/>
    </row>
    <row r="3498">
      <c r="A3498" s="14">
        <v>43031.22211805556</v>
      </c>
      <c r="B3498" s="20" t="str">
        <f>HYPERLINK("https://twitter.com/cyto48","@cyto48")</f>
        <v>@cyto48</v>
      </c>
      <c r="C3498" s="21" t="s">
        <v>102</v>
      </c>
      <c r="D3498" s="21" t="s">
        <v>6670</v>
      </c>
      <c r="E3498" s="22" t="str">
        <f>HYPERLINK("https://twitter.com/cyto48/status/922437409652043776","922437409652043776")</f>
        <v>922437409652043776</v>
      </c>
      <c r="F3498" s="23" t="s">
        <v>102</v>
      </c>
      <c r="G3498" s="24">
        <v>388.0</v>
      </c>
      <c r="H3498" s="24">
        <v>2739.0</v>
      </c>
      <c r="I3498" s="24">
        <v>18.0</v>
      </c>
      <c r="J3498" s="24">
        <v>0.0</v>
      </c>
      <c r="K3498" s="23" t="s">
        <v>34</v>
      </c>
      <c r="L3498" s="25">
        <v>41621.62619212963</v>
      </c>
      <c r="M3498" s="28"/>
      <c r="N3498" s="28"/>
      <c r="O3498" s="22" t="str">
        <f>HYPERLINK("https://pbs.twimg.com/profile_images/914435541906722817/EvmsHZz3_normal.jpg","View")</f>
        <v>View</v>
      </c>
      <c r="P3498" s="27"/>
    </row>
    <row r="3499">
      <c r="A3499" s="14">
        <v>43031.222233796296</v>
      </c>
      <c r="B3499" s="20" t="str">
        <f>HYPERLINK("https://twitter.com/VicThaDean","@VicThaDean")</f>
        <v>@VicThaDean</v>
      </c>
      <c r="C3499" s="21" t="s">
        <v>8189</v>
      </c>
      <c r="D3499" s="21" t="s">
        <v>32</v>
      </c>
      <c r="E3499" s="22" t="str">
        <f>HYPERLINK("https://twitter.com/VicThaDean/status/922437452652056577","922437452652056577")</f>
        <v>922437452652056577</v>
      </c>
      <c r="F3499" s="23" t="s">
        <v>33</v>
      </c>
      <c r="G3499" s="24">
        <v>174.0</v>
      </c>
      <c r="H3499" s="24">
        <v>230.0</v>
      </c>
      <c r="I3499" s="24">
        <v>471.0</v>
      </c>
      <c r="J3499" s="24">
        <v>0.0</v>
      </c>
      <c r="K3499" s="23" t="s">
        <v>34</v>
      </c>
      <c r="L3499" s="25">
        <v>41089.40081018519</v>
      </c>
      <c r="M3499" s="26" t="s">
        <v>385</v>
      </c>
      <c r="N3499" s="26" t="s">
        <v>8190</v>
      </c>
      <c r="O3499" s="22" t="str">
        <f>HYPERLINK("https://pbs.twimg.com/profile_images/904626640633942018/oZNAR1rj_normal.jpg","View")</f>
        <v>View</v>
      </c>
      <c r="P3499" s="27"/>
    </row>
    <row r="3500">
      <c r="A3500" s="14">
        <v>43031.222407407404</v>
      </c>
      <c r="B3500" s="20" t="str">
        <f>HYPERLINK("https://twitter.com/rhino_tokyo","@rhino_tokyo")</f>
        <v>@rhino_tokyo</v>
      </c>
      <c r="C3500" s="21" t="s">
        <v>8191</v>
      </c>
      <c r="D3500" s="21" t="s">
        <v>42</v>
      </c>
      <c r="E3500" s="22" t="str">
        <f>HYPERLINK("https://twitter.com/rhino_tokyo/status/922437513897156608","922437513897156608")</f>
        <v>922437513897156608</v>
      </c>
      <c r="F3500" s="23" t="s">
        <v>39</v>
      </c>
      <c r="G3500" s="24">
        <v>55.0</v>
      </c>
      <c r="H3500" s="24">
        <v>137.0</v>
      </c>
      <c r="I3500" s="24">
        <v>8501.0</v>
      </c>
      <c r="J3500" s="24">
        <v>0.0</v>
      </c>
      <c r="K3500" s="23" t="s">
        <v>34</v>
      </c>
      <c r="L3500" s="25">
        <v>42930.80363425926</v>
      </c>
      <c r="M3500" s="26" t="s">
        <v>8192</v>
      </c>
      <c r="N3500" s="26" t="s">
        <v>8193</v>
      </c>
      <c r="O3500" s="22" t="str">
        <f>HYPERLINK("https://pbs.twimg.com/profile_images/886048221725720577/n6vTH1c6_normal.jpg","View")</f>
        <v>View</v>
      </c>
      <c r="P3500" s="27"/>
    </row>
    <row r="3501">
      <c r="A3501" s="14">
        <v>43031.22243055556</v>
      </c>
      <c r="B3501" s="20" t="str">
        <f>HYPERLINK("https://twitter.com/1979filippova1","@1979filippova1")</f>
        <v>@1979filippova1</v>
      </c>
      <c r="C3501" s="21" t="s">
        <v>8183</v>
      </c>
      <c r="D3501" s="21" t="s">
        <v>2555</v>
      </c>
      <c r="E3501" s="22" t="str">
        <f>HYPERLINK("https://twitter.com/1979filippova1/status/922437522910732288","922437522910732288")</f>
        <v>922437522910732288</v>
      </c>
      <c r="F3501" s="23" t="s">
        <v>55</v>
      </c>
      <c r="G3501" s="24">
        <v>2.0</v>
      </c>
      <c r="H3501" s="24">
        <v>0.0</v>
      </c>
      <c r="I3501" s="24">
        <v>58.0</v>
      </c>
      <c r="J3501" s="24">
        <v>0.0</v>
      </c>
      <c r="K3501" s="23" t="s">
        <v>34</v>
      </c>
      <c r="L3501" s="25">
        <v>43015.575578703705</v>
      </c>
      <c r="M3501" s="28"/>
      <c r="N3501" s="28"/>
      <c r="O3501" s="22" t="str">
        <f>HYPERLINK("https://pbs.twimg.com/profile_images/921086909413171200/nW9HIZan_normal.jpg","View")</f>
        <v>View</v>
      </c>
      <c r="P3501" s="27"/>
    </row>
    <row r="3502">
      <c r="A3502" s="14">
        <v>43031.22248842593</v>
      </c>
      <c r="B3502" s="20" t="str">
        <f>HYPERLINK("https://twitter.com/amwonoantony","@amwonoantony")</f>
        <v>@amwonoantony</v>
      </c>
      <c r="C3502" s="21" t="s">
        <v>8194</v>
      </c>
      <c r="D3502" s="21" t="s">
        <v>32</v>
      </c>
      <c r="E3502" s="22" t="str">
        <f>HYPERLINK("https://twitter.com/amwonoantony/status/922437543727157249","922437543727157249")</f>
        <v>922437543727157249</v>
      </c>
      <c r="F3502" s="23" t="s">
        <v>33</v>
      </c>
      <c r="G3502" s="24">
        <v>148.0</v>
      </c>
      <c r="H3502" s="24">
        <v>61.0</v>
      </c>
      <c r="I3502" s="24">
        <v>471.0</v>
      </c>
      <c r="J3502" s="24">
        <v>0.0</v>
      </c>
      <c r="K3502" s="23" t="s">
        <v>34</v>
      </c>
      <c r="L3502" s="25">
        <v>41463.28538194444</v>
      </c>
      <c r="M3502" s="28"/>
      <c r="N3502" s="26" t="s">
        <v>8195</v>
      </c>
      <c r="O3502" s="22" t="str">
        <f>HYPERLINK("https://pbs.twimg.com/profile_images/574578761263415299/zsZiOYlH_normal.jpeg","View")</f>
        <v>View</v>
      </c>
      <c r="P3502" s="27"/>
    </row>
    <row r="3503">
      <c r="A3503" s="14">
        <v>43031.222546296296</v>
      </c>
      <c r="B3503" s="20" t="str">
        <f>HYPERLINK("https://twitter.com/AsiaNewsEye","@AsiaNewsEye")</f>
        <v>@AsiaNewsEye</v>
      </c>
      <c r="C3503" s="21" t="s">
        <v>8196</v>
      </c>
      <c r="D3503" s="21" t="s">
        <v>8197</v>
      </c>
      <c r="E3503" s="22" t="str">
        <f>HYPERLINK("https://twitter.com/AsiaNewsEye/status/922437567693447168","922437567693447168")</f>
        <v>922437567693447168</v>
      </c>
      <c r="F3503" s="23" t="s">
        <v>8198</v>
      </c>
      <c r="G3503" s="24">
        <v>21.0</v>
      </c>
      <c r="H3503" s="24">
        <v>1.0</v>
      </c>
      <c r="I3503" s="24">
        <v>0.0</v>
      </c>
      <c r="J3503" s="24">
        <v>0.0</v>
      </c>
      <c r="K3503" s="23" t="s">
        <v>34</v>
      </c>
      <c r="L3503" s="25">
        <v>42572.04179398148</v>
      </c>
      <c r="M3503" s="26" t="s">
        <v>3783</v>
      </c>
      <c r="N3503" s="26" t="s">
        <v>8199</v>
      </c>
      <c r="O3503" s="22" t="str">
        <f>HYPERLINK("https://abs.twimg.com/sticky/default_profile_images/default_profile_normal.png","View")</f>
        <v>View</v>
      </c>
      <c r="P3503" s="27"/>
    </row>
    <row r="3504">
      <c r="A3504" s="14">
        <v>43031.22259259259</v>
      </c>
      <c r="B3504" s="20" t="str">
        <f>HYPERLINK("https://twitter.com/ketycares","@ketycares")</f>
        <v>@ketycares</v>
      </c>
      <c r="C3504" s="21" t="s">
        <v>8200</v>
      </c>
      <c r="D3504" s="21" t="s">
        <v>42</v>
      </c>
      <c r="E3504" s="22" t="str">
        <f>HYPERLINK("https://twitter.com/ketycares/status/922437583585423360","922437583585423360")</f>
        <v>922437583585423360</v>
      </c>
      <c r="F3504" s="23" t="s">
        <v>33</v>
      </c>
      <c r="G3504" s="24">
        <v>212.0</v>
      </c>
      <c r="H3504" s="24">
        <v>19.0</v>
      </c>
      <c r="I3504" s="24">
        <v>8501.0</v>
      </c>
      <c r="J3504" s="24">
        <v>0.0</v>
      </c>
      <c r="K3504" s="23" t="s">
        <v>34</v>
      </c>
      <c r="L3504" s="25">
        <v>40197.33283564815</v>
      </c>
      <c r="M3504" s="26" t="s">
        <v>1162</v>
      </c>
      <c r="N3504" s="26" t="s">
        <v>8201</v>
      </c>
      <c r="O3504" s="22" t="str">
        <f>HYPERLINK("https://pbs.twimg.com/profile_images/617046385137856512/u_VNY4cz_normal.jpg","View")</f>
        <v>View</v>
      </c>
      <c r="P3504" s="27"/>
    </row>
    <row r="3505">
      <c r="A3505" s="14">
        <v>43031.22262731481</v>
      </c>
      <c r="B3505" s="20" t="str">
        <f>HYPERLINK("https://twitter.com/krishnasurana2","@krishnasurana2")</f>
        <v>@krishnasurana2</v>
      </c>
      <c r="C3505" s="21" t="s">
        <v>8030</v>
      </c>
      <c r="D3505" s="21" t="s">
        <v>8202</v>
      </c>
      <c r="E3505" s="22" t="str">
        <f>HYPERLINK("https://twitter.com/krishnasurana2/status/922437596042502147","922437596042502147")</f>
        <v>922437596042502147</v>
      </c>
      <c r="F3505" s="23" t="s">
        <v>39</v>
      </c>
      <c r="G3505" s="24">
        <v>92.0</v>
      </c>
      <c r="H3505" s="24">
        <v>700.0</v>
      </c>
      <c r="I3505" s="24">
        <v>0.0</v>
      </c>
      <c r="J3505" s="24">
        <v>0.0</v>
      </c>
      <c r="K3505" s="23" t="s">
        <v>34</v>
      </c>
      <c r="L3505" s="25">
        <v>42740.34700231481</v>
      </c>
      <c r="M3505" s="26" t="s">
        <v>1137</v>
      </c>
      <c r="N3505" s="26" t="s">
        <v>8032</v>
      </c>
      <c r="O3505" s="22" t="str">
        <f>HYPERLINK("https://pbs.twimg.com/profile_images/820463886113439745/WL0NQzNf_normal.jpg","View")</f>
        <v>View</v>
      </c>
      <c r="P3505" s="27"/>
    </row>
    <row r="3506">
      <c r="A3506" s="14">
        <v>43031.22263888889</v>
      </c>
      <c r="B3506" s="20" t="str">
        <f>HYPERLINK("https://twitter.com/NewsyNewsworld","@NewsyNewsworld")</f>
        <v>@NewsyNewsworld</v>
      </c>
      <c r="C3506" s="21" t="s">
        <v>8203</v>
      </c>
      <c r="D3506" s="21" t="s">
        <v>8204</v>
      </c>
      <c r="E3506" s="22" t="str">
        <f>HYPERLINK("https://twitter.com/NewsyNewsworld/status/922437598227951617","922437598227951617")</f>
        <v>922437598227951617</v>
      </c>
      <c r="F3506" s="23" t="s">
        <v>187</v>
      </c>
      <c r="G3506" s="24">
        <v>513.0</v>
      </c>
      <c r="H3506" s="24">
        <v>9.0</v>
      </c>
      <c r="I3506" s="24">
        <v>0.0</v>
      </c>
      <c r="J3506" s="24">
        <v>0.0</v>
      </c>
      <c r="K3506" s="23" t="s">
        <v>34</v>
      </c>
      <c r="L3506" s="25">
        <v>41631.69429398148</v>
      </c>
      <c r="M3506" s="28"/>
      <c r="N3506" s="28"/>
      <c r="O3506" s="22" t="str">
        <f>HYPERLINK("https://pbs.twimg.com/profile_images/415285432658579457/t8NoToc__normal.png","View")</f>
        <v>View</v>
      </c>
      <c r="P3506" s="27"/>
    </row>
    <row r="3507">
      <c r="A3507" s="14">
        <v>43031.22263888889</v>
      </c>
      <c r="B3507" s="20" t="str">
        <f>HYPERLINK("https://twitter.com/Abhishe34964428","@Abhishe34964428")</f>
        <v>@Abhishe34964428</v>
      </c>
      <c r="C3507" s="21" t="s">
        <v>8205</v>
      </c>
      <c r="D3507" s="21" t="s">
        <v>42</v>
      </c>
      <c r="E3507" s="22" t="str">
        <f>HYPERLINK("https://twitter.com/Abhishe34964428/status/922437601130192896","922437601130192896")</f>
        <v>922437601130192896</v>
      </c>
      <c r="F3507" s="23" t="s">
        <v>33</v>
      </c>
      <c r="G3507" s="24">
        <v>7.0</v>
      </c>
      <c r="H3507" s="24">
        <v>178.0</v>
      </c>
      <c r="I3507" s="24">
        <v>8501.0</v>
      </c>
      <c r="J3507" s="24">
        <v>0.0</v>
      </c>
      <c r="K3507" s="23" t="s">
        <v>34</v>
      </c>
      <c r="L3507" s="25">
        <v>42993.80763888889</v>
      </c>
      <c r="M3507" s="28"/>
      <c r="N3507" s="28"/>
      <c r="O3507" s="22" t="str">
        <f t="shared" ref="O3507:O3508" si="58">HYPERLINK("https://abs.twimg.com/sticky/default_profile_images/default_profile_normal.png","View")</f>
        <v>View</v>
      </c>
      <c r="P3507" s="27"/>
    </row>
    <row r="3508">
      <c r="A3508" s="14">
        <v>43031.22271990741</v>
      </c>
      <c r="B3508" s="20" t="str">
        <f>HYPERLINK("https://twitter.com/arunabhalahiri","@arunabhalahiri")</f>
        <v>@arunabhalahiri</v>
      </c>
      <c r="C3508" s="21" t="s">
        <v>8206</v>
      </c>
      <c r="D3508" s="21" t="s">
        <v>42</v>
      </c>
      <c r="E3508" s="22" t="str">
        <f>HYPERLINK("https://twitter.com/arunabhalahiri/status/922437629815033856","922437629815033856")</f>
        <v>922437629815033856</v>
      </c>
      <c r="F3508" s="23" t="s">
        <v>33</v>
      </c>
      <c r="G3508" s="24">
        <v>23.0</v>
      </c>
      <c r="H3508" s="24">
        <v>1595.0</v>
      </c>
      <c r="I3508" s="24">
        <v>8501.0</v>
      </c>
      <c r="J3508" s="24">
        <v>0.0</v>
      </c>
      <c r="K3508" s="23" t="s">
        <v>34</v>
      </c>
      <c r="L3508" s="25">
        <v>41459.38145833333</v>
      </c>
      <c r="M3508" s="26" t="s">
        <v>8207</v>
      </c>
      <c r="N3508" s="26" t="s">
        <v>8208</v>
      </c>
      <c r="O3508" s="22" t="str">
        <f t="shared" si="58"/>
        <v>View</v>
      </c>
      <c r="P3508" s="27"/>
    </row>
    <row r="3509">
      <c r="A3509" s="14">
        <v>43031.22274305555</v>
      </c>
      <c r="B3509" s="20" t="str">
        <f>HYPERLINK("https://twitter.com/duttasandip834","@duttasandip834")</f>
        <v>@duttasandip834</v>
      </c>
      <c r="C3509" s="21" t="s">
        <v>8209</v>
      </c>
      <c r="D3509" s="21" t="s">
        <v>42</v>
      </c>
      <c r="E3509" s="22" t="str">
        <f>HYPERLINK("https://twitter.com/duttasandip834/status/922437636920197120","922437636920197120")</f>
        <v>922437636920197120</v>
      </c>
      <c r="F3509" s="23" t="s">
        <v>43</v>
      </c>
      <c r="G3509" s="24">
        <v>87.0</v>
      </c>
      <c r="H3509" s="24">
        <v>46.0</v>
      </c>
      <c r="I3509" s="24">
        <v>8501.0</v>
      </c>
      <c r="J3509" s="24">
        <v>0.0</v>
      </c>
      <c r="K3509" s="23" t="s">
        <v>34</v>
      </c>
      <c r="L3509" s="25">
        <v>41273.047534722224</v>
      </c>
      <c r="M3509" s="26" t="s">
        <v>1137</v>
      </c>
      <c r="N3509" s="26" t="s">
        <v>8210</v>
      </c>
      <c r="O3509" s="22" t="str">
        <f>HYPERLINK("https://pbs.twimg.com/profile_images/615423776700825600/2dwkLz6w_normal.jpg","View")</f>
        <v>View</v>
      </c>
      <c r="P3509" s="27"/>
    </row>
    <row r="3510">
      <c r="A3510" s="14">
        <v>43031.22283564815</v>
      </c>
      <c r="B3510" s="20" t="str">
        <f>HYPERLINK("https://twitter.com/Hanover_532","@Hanover_532")</f>
        <v>@Hanover_532</v>
      </c>
      <c r="C3510" s="21" t="s">
        <v>8211</v>
      </c>
      <c r="D3510" s="21" t="s">
        <v>42</v>
      </c>
      <c r="E3510" s="22" t="str">
        <f>HYPERLINK("https://twitter.com/Hanover_532/status/922437669451210753","922437669451210753")</f>
        <v>922437669451210753</v>
      </c>
      <c r="F3510" s="23" t="s">
        <v>43</v>
      </c>
      <c r="G3510" s="24">
        <v>23.0</v>
      </c>
      <c r="H3510" s="24">
        <v>23.0</v>
      </c>
      <c r="I3510" s="24">
        <v>8501.0</v>
      </c>
      <c r="J3510" s="24">
        <v>0.0</v>
      </c>
      <c r="K3510" s="23" t="s">
        <v>34</v>
      </c>
      <c r="L3510" s="25">
        <v>42358.351388888885</v>
      </c>
      <c r="M3510" s="28"/>
      <c r="N3510" s="28"/>
      <c r="O3510" s="22" t="str">
        <f>HYPERLINK("https://abs.twimg.com/sticky/default_profile_images/default_profile_normal.png","View")</f>
        <v>View</v>
      </c>
      <c r="P3510" s="27"/>
    </row>
    <row r="3511">
      <c r="A3511" s="14">
        <v>43031.22300925926</v>
      </c>
      <c r="B3511" s="20" t="str">
        <f>HYPERLINK("https://twitter.com/rrk753","@rrk753")</f>
        <v>@rrk753</v>
      </c>
      <c r="C3511" s="21" t="s">
        <v>8212</v>
      </c>
      <c r="D3511" s="21" t="s">
        <v>42</v>
      </c>
      <c r="E3511" s="22" t="str">
        <f>HYPERLINK("https://twitter.com/rrk753/status/922437733137645569","922437733137645569")</f>
        <v>922437733137645569</v>
      </c>
      <c r="F3511" s="23" t="s">
        <v>33</v>
      </c>
      <c r="G3511" s="24">
        <v>2928.0</v>
      </c>
      <c r="H3511" s="24">
        <v>3836.0</v>
      </c>
      <c r="I3511" s="24">
        <v>8501.0</v>
      </c>
      <c r="J3511" s="24">
        <v>0.0</v>
      </c>
      <c r="K3511" s="23" t="s">
        <v>34</v>
      </c>
      <c r="L3511" s="25">
        <v>41685.381203703706</v>
      </c>
      <c r="M3511" s="28"/>
      <c r="N3511" s="26" t="s">
        <v>8213</v>
      </c>
      <c r="O3511" s="22" t="str">
        <f>HYPERLINK("https://pbs.twimg.com/profile_images/910336794486489093/GpW77Nok_normal.jpg","View")</f>
        <v>View</v>
      </c>
      <c r="P3511" s="27"/>
    </row>
    <row r="3512">
      <c r="A3512" s="14">
        <v>43031.22304398148</v>
      </c>
      <c r="B3512" s="20" t="str">
        <f>HYPERLINK("https://twitter.com/IFAMagazine","@IFAMagazine")</f>
        <v>@IFAMagazine</v>
      </c>
      <c r="C3512" s="21" t="s">
        <v>8214</v>
      </c>
      <c r="D3512" s="21" t="s">
        <v>8215</v>
      </c>
      <c r="E3512" s="22" t="str">
        <f>HYPERLINK("https://twitter.com/IFAMagazine/status/922437745053536256","922437745053536256")</f>
        <v>922437745053536256</v>
      </c>
      <c r="F3512" s="23" t="s">
        <v>8216</v>
      </c>
      <c r="G3512" s="24">
        <v>3883.0</v>
      </c>
      <c r="H3512" s="24">
        <v>2233.0</v>
      </c>
      <c r="I3512" s="24">
        <v>0.0</v>
      </c>
      <c r="J3512" s="24">
        <v>0.0</v>
      </c>
      <c r="K3512" s="23" t="s">
        <v>34</v>
      </c>
      <c r="L3512" s="25">
        <v>40441.29652777778</v>
      </c>
      <c r="M3512" s="28"/>
      <c r="N3512" s="26" t="s">
        <v>8217</v>
      </c>
      <c r="O3512" s="22" t="str">
        <f>HYPERLINK("https://pbs.twimg.com/profile_images/702808635387285504/ZA_0BwTz_normal.jpg","View")</f>
        <v>View</v>
      </c>
      <c r="P3512" s="27"/>
    </row>
    <row r="3513">
      <c r="A3513" s="14">
        <v>43031.22305555556</v>
      </c>
      <c r="B3513" s="20" t="str">
        <f>HYPERLINK("https://twitter.com/amitorg","@amitorg")</f>
        <v>@amitorg</v>
      </c>
      <c r="C3513" s="21" t="s">
        <v>8218</v>
      </c>
      <c r="D3513" s="21" t="s">
        <v>42</v>
      </c>
      <c r="E3513" s="22" t="str">
        <f>HYPERLINK("https://twitter.com/amitorg/status/922437750338469888","922437750338469888")</f>
        <v>922437750338469888</v>
      </c>
      <c r="F3513" s="23" t="s">
        <v>33</v>
      </c>
      <c r="G3513" s="24">
        <v>2384.0</v>
      </c>
      <c r="H3513" s="24">
        <v>2959.0</v>
      </c>
      <c r="I3513" s="24">
        <v>8501.0</v>
      </c>
      <c r="J3513" s="24">
        <v>0.0</v>
      </c>
      <c r="K3513" s="23" t="s">
        <v>34</v>
      </c>
      <c r="L3513" s="25">
        <v>40263.92128472222</v>
      </c>
      <c r="M3513" s="26" t="s">
        <v>3600</v>
      </c>
      <c r="N3513" s="26" t="s">
        <v>8219</v>
      </c>
      <c r="O3513" s="22" t="str">
        <f>HYPERLINK("https://pbs.twimg.com/profile_images/807901843590291456/8JDKhZTs_normal.jpg","View")</f>
        <v>View</v>
      </c>
      <c r="P3513" s="27"/>
    </row>
    <row r="3514">
      <c r="A3514" s="14">
        <v>43031.22305555556</v>
      </c>
      <c r="B3514" s="20" t="str">
        <f>HYPERLINK("https://twitter.com/meetsand","@meetsand")</f>
        <v>@meetsand</v>
      </c>
      <c r="C3514" s="21" t="s">
        <v>8220</v>
      </c>
      <c r="D3514" s="21" t="s">
        <v>8221</v>
      </c>
      <c r="E3514" s="22" t="str">
        <f>HYPERLINK("https://twitter.com/meetsand/status/922437750338609152","922437750338609152")</f>
        <v>922437750338609152</v>
      </c>
      <c r="F3514" s="23" t="s">
        <v>187</v>
      </c>
      <c r="G3514" s="24">
        <v>1793.0</v>
      </c>
      <c r="H3514" s="24">
        <v>466.0</v>
      </c>
      <c r="I3514" s="24">
        <v>0.0</v>
      </c>
      <c r="J3514" s="24">
        <v>0.0</v>
      </c>
      <c r="K3514" s="23" t="s">
        <v>34</v>
      </c>
      <c r="L3514" s="25">
        <v>39952.459872685184</v>
      </c>
      <c r="M3514" s="26" t="s">
        <v>8222</v>
      </c>
      <c r="N3514" s="26" t="s">
        <v>8223</v>
      </c>
      <c r="O3514" s="22" t="str">
        <f>HYPERLINK("https://pbs.twimg.com/profile_images/824968668693946368/vaBjKmtP_normal.jpg","View")</f>
        <v>View</v>
      </c>
      <c r="P3514" s="27"/>
    </row>
    <row r="3515">
      <c r="A3515" s="14">
        <v>43031.22310185185</v>
      </c>
      <c r="B3515" s="20" t="str">
        <f>HYPERLINK("https://twitter.com/JGCHAN4","@JGCHAN4")</f>
        <v>@JGCHAN4</v>
      </c>
      <c r="C3515" s="21" t="s">
        <v>8224</v>
      </c>
      <c r="D3515" s="21" t="s">
        <v>42</v>
      </c>
      <c r="E3515" s="22" t="str">
        <f>HYPERLINK("https://twitter.com/JGCHAN4/status/922437765559599104","922437765559599104")</f>
        <v>922437765559599104</v>
      </c>
      <c r="F3515" s="23" t="s">
        <v>33</v>
      </c>
      <c r="G3515" s="24">
        <v>198.0</v>
      </c>
      <c r="H3515" s="24">
        <v>316.0</v>
      </c>
      <c r="I3515" s="24">
        <v>8501.0</v>
      </c>
      <c r="J3515" s="24">
        <v>0.0</v>
      </c>
      <c r="K3515" s="23" t="s">
        <v>34</v>
      </c>
      <c r="L3515" s="25">
        <v>42875.3884837963</v>
      </c>
      <c r="M3515" s="28"/>
      <c r="N3515" s="28"/>
      <c r="O3515" s="22" t="str">
        <f>HYPERLINK("https://pbs.twimg.com/profile_images/867778507631456257/mJzr4H8y_normal.jpg","View")</f>
        <v>View</v>
      </c>
      <c r="P3515" s="27"/>
    </row>
    <row r="3516">
      <c r="A3516" s="14">
        <v>43031.22310185185</v>
      </c>
      <c r="B3516" s="20" t="str">
        <f>HYPERLINK("https://twitter.com/krishnasurana2","@krishnasurana2")</f>
        <v>@krishnasurana2</v>
      </c>
      <c r="C3516" s="21" t="s">
        <v>8030</v>
      </c>
      <c r="D3516" s="21" t="s">
        <v>8225</v>
      </c>
      <c r="E3516" s="22" t="str">
        <f>HYPERLINK("https://twitter.com/krishnasurana2/status/922437766457069568","922437766457069568")</f>
        <v>922437766457069568</v>
      </c>
      <c r="F3516" s="23" t="s">
        <v>39</v>
      </c>
      <c r="G3516" s="24">
        <v>92.0</v>
      </c>
      <c r="H3516" s="24">
        <v>700.0</v>
      </c>
      <c r="I3516" s="24">
        <v>0.0</v>
      </c>
      <c r="J3516" s="24">
        <v>0.0</v>
      </c>
      <c r="K3516" s="23" t="s">
        <v>34</v>
      </c>
      <c r="L3516" s="25">
        <v>42740.34700231481</v>
      </c>
      <c r="M3516" s="26" t="s">
        <v>1137</v>
      </c>
      <c r="N3516" s="26" t="s">
        <v>8032</v>
      </c>
      <c r="O3516" s="22" t="str">
        <f>HYPERLINK("https://pbs.twimg.com/profile_images/820463886113439745/WL0NQzNf_normal.jpg","View")</f>
        <v>View</v>
      </c>
      <c r="P3516" s="27"/>
    </row>
    <row r="3517">
      <c r="A3517" s="14">
        <v>43031.22319444444</v>
      </c>
      <c r="B3517" s="20" t="str">
        <f>HYPERLINK("https://twitter.com/AlbertMylesAM","@AlbertMylesAM")</f>
        <v>@AlbertMylesAM</v>
      </c>
      <c r="C3517" s="21" t="s">
        <v>2244</v>
      </c>
      <c r="D3517" s="21" t="s">
        <v>8226</v>
      </c>
      <c r="E3517" s="22" t="str">
        <f>HYPERLINK("https://twitter.com/AlbertMylesAM/status/922437801316179968","922437801316179968")</f>
        <v>922437801316179968</v>
      </c>
      <c r="F3517" s="23" t="s">
        <v>55</v>
      </c>
      <c r="G3517" s="24">
        <v>3674.0</v>
      </c>
      <c r="H3517" s="24">
        <v>5005.0</v>
      </c>
      <c r="I3517" s="24">
        <v>0.0</v>
      </c>
      <c r="J3517" s="24">
        <v>0.0</v>
      </c>
      <c r="K3517" s="23" t="s">
        <v>34</v>
      </c>
      <c r="L3517" s="25">
        <v>41095.32833333333</v>
      </c>
      <c r="M3517" s="26" t="s">
        <v>2246</v>
      </c>
      <c r="N3517" s="26" t="s">
        <v>2247</v>
      </c>
      <c r="O3517" s="22" t="str">
        <f>HYPERLINK("https://pbs.twimg.com/profile_images/420989483685670912/Fz94KTxn_normal.jpeg","View")</f>
        <v>View</v>
      </c>
      <c r="P3517" s="27"/>
    </row>
    <row r="3518">
      <c r="A3518" s="14">
        <v>43031.22325231481</v>
      </c>
      <c r="B3518" s="20" t="str">
        <f>HYPERLINK("https://twitter.com/hundericocco","@hundericocco")</f>
        <v>@hundericocco</v>
      </c>
      <c r="C3518" s="21" t="s">
        <v>8227</v>
      </c>
      <c r="D3518" s="21" t="s">
        <v>6403</v>
      </c>
      <c r="E3518" s="22" t="str">
        <f>HYPERLINK("https://twitter.com/hundericocco/status/922437822509805569","922437822509805569")</f>
        <v>922437822509805569</v>
      </c>
      <c r="F3518" s="23" t="s">
        <v>39</v>
      </c>
      <c r="G3518" s="24">
        <v>6538.0</v>
      </c>
      <c r="H3518" s="24">
        <v>6835.0</v>
      </c>
      <c r="I3518" s="24">
        <v>97.0</v>
      </c>
      <c r="J3518" s="24">
        <v>0.0</v>
      </c>
      <c r="K3518" s="23" t="s">
        <v>34</v>
      </c>
      <c r="L3518" s="25">
        <v>41151.43221064815</v>
      </c>
      <c r="M3518" s="28"/>
      <c r="N3518" s="26" t="s">
        <v>8228</v>
      </c>
      <c r="O3518" s="22" t="str">
        <f>HYPERLINK("https://pbs.twimg.com/profile_images/611939205090906112/ssdbyUu4_normal.jpg","View")</f>
        <v>View</v>
      </c>
      <c r="P3518" s="27"/>
    </row>
    <row r="3519">
      <c r="A3519" s="14">
        <v>43031.22335648148</v>
      </c>
      <c r="B3519" s="20" t="str">
        <f>HYPERLINK("https://twitter.com/DevnathSh","@DevnathSh")</f>
        <v>@DevnathSh</v>
      </c>
      <c r="C3519" s="21" t="s">
        <v>8229</v>
      </c>
      <c r="D3519" s="21" t="s">
        <v>42</v>
      </c>
      <c r="E3519" s="22" t="str">
        <f>HYPERLINK("https://twitter.com/DevnathSh/status/922437860661239808","922437860661239808")</f>
        <v>922437860661239808</v>
      </c>
      <c r="F3519" s="23" t="s">
        <v>33</v>
      </c>
      <c r="G3519" s="24">
        <v>12.0</v>
      </c>
      <c r="H3519" s="24">
        <v>58.0</v>
      </c>
      <c r="I3519" s="24">
        <v>8501.0</v>
      </c>
      <c r="J3519" s="24">
        <v>0.0</v>
      </c>
      <c r="K3519" s="23" t="s">
        <v>34</v>
      </c>
      <c r="L3519" s="25">
        <v>41011.503217592595</v>
      </c>
      <c r="M3519" s="26" t="s">
        <v>3295</v>
      </c>
      <c r="N3519" s="26" t="s">
        <v>8230</v>
      </c>
      <c r="O3519" s="22" t="str">
        <f>HYPERLINK("https://pbs.twimg.com/profile_images/912291474716291072/D972icut_normal.jpg","View")</f>
        <v>View</v>
      </c>
      <c r="P3519" s="27"/>
    </row>
    <row r="3520">
      <c r="A3520" s="14">
        <v>43031.22336805555</v>
      </c>
      <c r="B3520" s="20" t="str">
        <f>HYPERLINK("https://twitter.com/1979filippova1","@1979filippova1")</f>
        <v>@1979filippova1</v>
      </c>
      <c r="C3520" s="21" t="s">
        <v>8183</v>
      </c>
      <c r="D3520" s="21" t="s">
        <v>404</v>
      </c>
      <c r="E3520" s="22" t="str">
        <f>HYPERLINK("https://twitter.com/1979filippova1/status/922437865975324673","922437865975324673")</f>
        <v>922437865975324673</v>
      </c>
      <c r="F3520" s="23" t="s">
        <v>55</v>
      </c>
      <c r="G3520" s="24">
        <v>2.0</v>
      </c>
      <c r="H3520" s="24">
        <v>0.0</v>
      </c>
      <c r="I3520" s="24">
        <v>59.0</v>
      </c>
      <c r="J3520" s="24">
        <v>0.0</v>
      </c>
      <c r="K3520" s="23" t="s">
        <v>34</v>
      </c>
      <c r="L3520" s="25">
        <v>43015.575578703705</v>
      </c>
      <c r="M3520" s="28"/>
      <c r="N3520" s="28"/>
      <c r="O3520" s="22" t="str">
        <f>HYPERLINK("https://pbs.twimg.com/profile_images/921086909413171200/nW9HIZan_normal.jpg","View")</f>
        <v>View</v>
      </c>
      <c r="P3520" s="27"/>
    </row>
    <row r="3521">
      <c r="A3521" s="14">
        <v>43031.22341435185</v>
      </c>
      <c r="B3521" s="20" t="str">
        <f>HYPERLINK("https://twitter.com/moon_floower","@moon_floower")</f>
        <v>@moon_floower</v>
      </c>
      <c r="C3521" s="21" t="s">
        <v>8231</v>
      </c>
      <c r="D3521" s="21" t="s">
        <v>42</v>
      </c>
      <c r="E3521" s="22" t="str">
        <f>HYPERLINK("https://twitter.com/moon_floower/status/922437882161139712","922437882161139712")</f>
        <v>922437882161139712</v>
      </c>
      <c r="F3521" s="23" t="s">
        <v>39</v>
      </c>
      <c r="G3521" s="24">
        <v>190.0</v>
      </c>
      <c r="H3521" s="24">
        <v>669.0</v>
      </c>
      <c r="I3521" s="24">
        <v>8501.0</v>
      </c>
      <c r="J3521" s="24">
        <v>0.0</v>
      </c>
      <c r="K3521" s="23" t="s">
        <v>34</v>
      </c>
      <c r="L3521" s="25">
        <v>42895.80664351852</v>
      </c>
      <c r="M3521" s="28"/>
      <c r="N3521" s="28"/>
      <c r="O3521" s="22" t="str">
        <f>HYPERLINK("https://pbs.twimg.com/profile_images/873366260196573184/-fct15sy_normal.jpg","View")</f>
        <v>View</v>
      </c>
      <c r="P3521" s="27"/>
    </row>
    <row r="3522">
      <c r="A3522" s="14">
        <v>43031.22342592593</v>
      </c>
      <c r="B3522" s="20" t="str">
        <f>HYPERLINK("https://twitter.com/rayakkumar1","@rayakkumar1")</f>
        <v>@rayakkumar1</v>
      </c>
      <c r="C3522" s="21" t="s">
        <v>8232</v>
      </c>
      <c r="D3522" s="21" t="s">
        <v>42</v>
      </c>
      <c r="E3522" s="22" t="str">
        <f>HYPERLINK("https://twitter.com/rayakkumar1/status/922437885571108864","922437885571108864")</f>
        <v>922437885571108864</v>
      </c>
      <c r="F3522" s="23" t="s">
        <v>780</v>
      </c>
      <c r="G3522" s="24">
        <v>5.0</v>
      </c>
      <c r="H3522" s="24">
        <v>8.0</v>
      </c>
      <c r="I3522" s="24">
        <v>8501.0</v>
      </c>
      <c r="J3522" s="24">
        <v>0.0</v>
      </c>
      <c r="K3522" s="23" t="s">
        <v>34</v>
      </c>
      <c r="L3522" s="25">
        <v>41782.103900462964</v>
      </c>
      <c r="M3522" s="26" t="s">
        <v>8233</v>
      </c>
      <c r="N3522" s="28"/>
      <c r="O3522" s="22" t="str">
        <f>HYPERLINK("https://pbs.twimg.com/profile_images/872140816805896192/Q20ZvMN4_normal.jpg","View")</f>
        <v>View</v>
      </c>
      <c r="P3522" s="27"/>
    </row>
    <row r="3523">
      <c r="A3523" s="14">
        <v>43031.22350694444</v>
      </c>
      <c r="B3523" s="20" t="str">
        <f>HYPERLINK("https://twitter.com/GHOSTBUSTOR","@GHOSTBUSTOR")</f>
        <v>@GHOSTBUSTOR</v>
      </c>
      <c r="C3523" s="21" t="s">
        <v>7238</v>
      </c>
      <c r="D3523" s="21" t="s">
        <v>42</v>
      </c>
      <c r="E3523" s="22" t="str">
        <f>HYPERLINK("https://twitter.com/GHOSTBUSTOR/status/922437916017680384","922437916017680384")</f>
        <v>922437916017680384</v>
      </c>
      <c r="F3523" s="23" t="s">
        <v>55</v>
      </c>
      <c r="G3523" s="24">
        <v>2731.0</v>
      </c>
      <c r="H3523" s="24">
        <v>4058.0</v>
      </c>
      <c r="I3523" s="24">
        <v>8501.0</v>
      </c>
      <c r="J3523" s="24">
        <v>0.0</v>
      </c>
      <c r="K3523" s="23" t="s">
        <v>34</v>
      </c>
      <c r="L3523" s="25">
        <v>40949.007731481484</v>
      </c>
      <c r="M3523" s="26" t="s">
        <v>207</v>
      </c>
      <c r="N3523" s="26" t="s">
        <v>8234</v>
      </c>
      <c r="O3523" s="22" t="str">
        <f>HYPERLINK("https://pbs.twimg.com/profile_images/2872941117/8709e99c61b7546219e400c8072dbadb_normal.jpeg","View")</f>
        <v>View</v>
      </c>
      <c r="P3523" s="27"/>
    </row>
    <row r="3524">
      <c r="A3524" s="14">
        <v>43031.223553240736</v>
      </c>
      <c r="B3524" s="20" t="str">
        <f>HYPERLINK("https://twitter.com/PEEYUSHRR","@PEEYUSHRR")</f>
        <v>@PEEYUSHRR</v>
      </c>
      <c r="C3524" s="21" t="s">
        <v>8235</v>
      </c>
      <c r="D3524" s="21" t="s">
        <v>42</v>
      </c>
      <c r="E3524" s="22" t="str">
        <f>HYPERLINK("https://twitter.com/PEEYUSHRR/status/922437931008008193","922437931008008193")</f>
        <v>922437931008008193</v>
      </c>
      <c r="F3524" s="23" t="s">
        <v>43</v>
      </c>
      <c r="G3524" s="24">
        <v>24.0</v>
      </c>
      <c r="H3524" s="24">
        <v>106.0</v>
      </c>
      <c r="I3524" s="24">
        <v>8501.0</v>
      </c>
      <c r="J3524" s="24">
        <v>0.0</v>
      </c>
      <c r="K3524" s="23" t="s">
        <v>34</v>
      </c>
      <c r="L3524" s="25">
        <v>41726.46326388889</v>
      </c>
      <c r="M3524" s="28"/>
      <c r="N3524" s="26" t="s">
        <v>8236</v>
      </c>
      <c r="O3524" s="22" t="str">
        <f>HYPERLINK("https://pbs.twimg.com/profile_images/449642350424240128/5cbceGOF_normal.jpeg","View")</f>
        <v>View</v>
      </c>
      <c r="P3524" s="27"/>
    </row>
    <row r="3525">
      <c r="A3525" s="14">
        <v>43031.223553240736</v>
      </c>
      <c r="B3525" s="20" t="str">
        <f>HYPERLINK("https://twitter.com/peanut21863011","@peanut21863011")</f>
        <v>@peanut21863011</v>
      </c>
      <c r="C3525" s="21" t="s">
        <v>8237</v>
      </c>
      <c r="D3525" s="21" t="s">
        <v>6973</v>
      </c>
      <c r="E3525" s="22" t="str">
        <f>HYPERLINK("https://twitter.com/peanut21863011/status/922437932321005568","922437932321005568")</f>
        <v>922437932321005568</v>
      </c>
      <c r="F3525" s="23" t="s">
        <v>55</v>
      </c>
      <c r="G3525" s="24">
        <v>598.0</v>
      </c>
      <c r="H3525" s="24">
        <v>2113.0</v>
      </c>
      <c r="I3525" s="24">
        <v>10.0</v>
      </c>
      <c r="J3525" s="24">
        <v>0.0</v>
      </c>
      <c r="K3525" s="23" t="s">
        <v>34</v>
      </c>
      <c r="L3525" s="25">
        <v>41398.236030092594</v>
      </c>
      <c r="M3525" s="26" t="s">
        <v>68</v>
      </c>
      <c r="N3525" s="26" t="s">
        <v>8238</v>
      </c>
      <c r="O3525" s="22" t="str">
        <f>HYPERLINK("https://pbs.twimg.com/profile_images/698117162519678976/kIdOW-kk_normal.png","View")</f>
        <v>View</v>
      </c>
      <c r="P3525" s="27"/>
    </row>
    <row r="3526">
      <c r="A3526" s="14">
        <v>43031.22357638889</v>
      </c>
      <c r="B3526" s="20" t="str">
        <f>HYPERLINK("https://twitter.com/StateOfNetwork","@StateOfNetwork")</f>
        <v>@StateOfNetwork</v>
      </c>
      <c r="C3526" s="21" t="s">
        <v>720</v>
      </c>
      <c r="D3526" s="21" t="s">
        <v>8239</v>
      </c>
      <c r="E3526" s="22" t="str">
        <f>HYPERLINK("https://twitter.com/StateOfNetwork/status/922437941355597825","922437941355597825")</f>
        <v>922437941355597825</v>
      </c>
      <c r="F3526" s="23" t="s">
        <v>91</v>
      </c>
      <c r="G3526" s="24">
        <v>84.0</v>
      </c>
      <c r="H3526" s="24">
        <v>2.0</v>
      </c>
      <c r="I3526" s="24">
        <v>0.0</v>
      </c>
      <c r="J3526" s="24">
        <v>0.0</v>
      </c>
      <c r="K3526" s="23" t="s">
        <v>34</v>
      </c>
      <c r="L3526" s="25">
        <v>42591.626747685186</v>
      </c>
      <c r="M3526" s="26" t="s">
        <v>722</v>
      </c>
      <c r="N3526" s="26" t="s">
        <v>723</v>
      </c>
      <c r="O3526" s="22" t="str">
        <f>HYPERLINK("https://pbs.twimg.com/profile_images/857770319620263936/CpVum0Np_normal.jpg","View")</f>
        <v>View</v>
      </c>
      <c r="P3526" s="27"/>
    </row>
    <row r="3527">
      <c r="A3527" s="14">
        <v>43031.22358796296</v>
      </c>
      <c r="B3527" s="20" t="str">
        <f>HYPERLINK("https://twitter.com/ShalinPShah","@ShalinPShah")</f>
        <v>@ShalinPShah</v>
      </c>
      <c r="C3527" s="21" t="s">
        <v>8240</v>
      </c>
      <c r="D3527" s="21" t="s">
        <v>42</v>
      </c>
      <c r="E3527" s="22" t="str">
        <f>HYPERLINK("https://twitter.com/ShalinPShah/status/922437943423221760","922437943423221760")</f>
        <v>922437943423221760</v>
      </c>
      <c r="F3527" s="23" t="s">
        <v>55</v>
      </c>
      <c r="G3527" s="24">
        <v>25.0</v>
      </c>
      <c r="H3527" s="24">
        <v>341.0</v>
      </c>
      <c r="I3527" s="24">
        <v>8501.0</v>
      </c>
      <c r="J3527" s="24">
        <v>0.0</v>
      </c>
      <c r="K3527" s="23" t="s">
        <v>34</v>
      </c>
      <c r="L3527" s="25">
        <v>40184.866574074076</v>
      </c>
      <c r="M3527" s="26" t="s">
        <v>2310</v>
      </c>
      <c r="N3527" s="26" t="s">
        <v>8241</v>
      </c>
      <c r="O3527" s="22" t="str">
        <f>HYPERLINK("https://pbs.twimg.com/profile_images/533645338150567937/B777AnSd_normal.jpeg","View")</f>
        <v>View</v>
      </c>
      <c r="P3527" s="27"/>
    </row>
    <row r="3528">
      <c r="A3528" s="14">
        <v>43031.223599537036</v>
      </c>
      <c r="B3528" s="20" t="str">
        <f>HYPERLINK("https://twitter.com/arcagility","@arcagility")</f>
        <v>@arcagility</v>
      </c>
      <c r="C3528" s="21" t="s">
        <v>6261</v>
      </c>
      <c r="D3528" s="21" t="s">
        <v>8242</v>
      </c>
      <c r="E3528" s="22" t="str">
        <f>HYPERLINK("https://twitter.com/arcagility/status/922437947252756480","922437947252756480")</f>
        <v>922437947252756480</v>
      </c>
      <c r="F3528" s="23" t="s">
        <v>91</v>
      </c>
      <c r="G3528" s="24">
        <v>1329.0</v>
      </c>
      <c r="H3528" s="24">
        <v>885.0</v>
      </c>
      <c r="I3528" s="24">
        <v>0.0</v>
      </c>
      <c r="J3528" s="24">
        <v>0.0</v>
      </c>
      <c r="K3528" s="23" t="s">
        <v>34</v>
      </c>
      <c r="L3528" s="25">
        <v>39892.10334490741</v>
      </c>
      <c r="M3528" s="26" t="s">
        <v>6263</v>
      </c>
      <c r="N3528" s="26" t="s">
        <v>6264</v>
      </c>
      <c r="O3528" s="22" t="str">
        <f>HYPERLINK("https://pbs.twimg.com/profile_images/2816068661/19312f462d2e5b6a05d66900deba7f05_normal.jpeg","View")</f>
        <v>View</v>
      </c>
      <c r="P3528" s="27"/>
    </row>
    <row r="3529">
      <c r="A3529" s="14">
        <v>43031.223761574074</v>
      </c>
      <c r="B3529" s="20" t="str">
        <f>HYPERLINK("https://twitter.com/ArkaDutta07","@ArkaDutta07")</f>
        <v>@ArkaDutta07</v>
      </c>
      <c r="C3529" s="21" t="s">
        <v>8243</v>
      </c>
      <c r="D3529" s="21" t="s">
        <v>42</v>
      </c>
      <c r="E3529" s="22" t="str">
        <f>HYPERLINK("https://twitter.com/ArkaDutta07/status/922438008594296835","922438008594296835")</f>
        <v>922438008594296835</v>
      </c>
      <c r="F3529" s="23" t="s">
        <v>43</v>
      </c>
      <c r="G3529" s="24">
        <v>35.0</v>
      </c>
      <c r="H3529" s="24">
        <v>284.0</v>
      </c>
      <c r="I3529" s="24">
        <v>8501.0</v>
      </c>
      <c r="J3529" s="24">
        <v>0.0</v>
      </c>
      <c r="K3529" s="23" t="s">
        <v>34</v>
      </c>
      <c r="L3529" s="25">
        <v>41753.50456018519</v>
      </c>
      <c r="M3529" s="28"/>
      <c r="N3529" s="26" t="s">
        <v>8244</v>
      </c>
      <c r="O3529" s="22" t="str">
        <f>HYPERLINK("https://abs.twimg.com/sticky/default_profile_images/default_profile_normal.png","View")</f>
        <v>View</v>
      </c>
      <c r="P3529" s="27"/>
    </row>
    <row r="3530">
      <c r="A3530" s="14">
        <v>43031.22390046297</v>
      </c>
      <c r="B3530" s="20" t="str">
        <f>HYPERLINK("https://twitter.com/lother_tenzin","@lother_tenzin")</f>
        <v>@lother_tenzin</v>
      </c>
      <c r="C3530" s="21" t="s">
        <v>8245</v>
      </c>
      <c r="D3530" s="21" t="s">
        <v>4507</v>
      </c>
      <c r="E3530" s="22" t="str">
        <f>HYPERLINK("https://twitter.com/lother_tenzin/status/922438057600487430","922438057600487430")</f>
        <v>922438057600487430</v>
      </c>
      <c r="F3530" s="23" t="s">
        <v>33</v>
      </c>
      <c r="G3530" s="24">
        <v>208.0</v>
      </c>
      <c r="H3530" s="24">
        <v>60.0</v>
      </c>
      <c r="I3530" s="24">
        <v>139.0</v>
      </c>
      <c r="J3530" s="24">
        <v>0.0</v>
      </c>
      <c r="K3530" s="23" t="s">
        <v>34</v>
      </c>
      <c r="L3530" s="25">
        <v>42129.21033564815</v>
      </c>
      <c r="M3530" s="26" t="s">
        <v>8246</v>
      </c>
      <c r="N3530" s="26" t="s">
        <v>8247</v>
      </c>
      <c r="O3530" s="22" t="str">
        <f>HYPERLINK("https://pbs.twimg.com/profile_images/835417346839724032/P0HP5xkt_normal.jpg","View")</f>
        <v>View</v>
      </c>
      <c r="P3530" s="27"/>
    </row>
    <row r="3531">
      <c r="A3531" s="14">
        <v>43031.22396990741</v>
      </c>
      <c r="B3531" s="20" t="str">
        <f>HYPERLINK("https://twitter.com/1979filippova1","@1979filippova1")</f>
        <v>@1979filippova1</v>
      </c>
      <c r="C3531" s="21" t="s">
        <v>8183</v>
      </c>
      <c r="D3531" s="21" t="s">
        <v>5451</v>
      </c>
      <c r="E3531" s="22" t="str">
        <f>HYPERLINK("https://twitter.com/1979filippova1/status/922438080098795520","922438080098795520")</f>
        <v>922438080098795520</v>
      </c>
      <c r="F3531" s="23" t="s">
        <v>55</v>
      </c>
      <c r="G3531" s="24">
        <v>2.0</v>
      </c>
      <c r="H3531" s="24">
        <v>0.0</v>
      </c>
      <c r="I3531" s="24">
        <v>62.0</v>
      </c>
      <c r="J3531" s="24">
        <v>0.0</v>
      </c>
      <c r="K3531" s="23" t="s">
        <v>34</v>
      </c>
      <c r="L3531" s="25">
        <v>43015.575578703705</v>
      </c>
      <c r="M3531" s="28"/>
      <c r="N3531" s="28"/>
      <c r="O3531" s="22" t="str">
        <f>HYPERLINK("https://pbs.twimg.com/profile_images/921086909413171200/nW9HIZan_normal.jpg","View")</f>
        <v>View</v>
      </c>
      <c r="P3531" s="27"/>
    </row>
    <row r="3532">
      <c r="A3532" s="14">
        <v>43031.224074074074</v>
      </c>
      <c r="B3532" s="20" t="str">
        <f>HYPERLINK("https://twitter.com/yamatonohikari","@yamatonohikari")</f>
        <v>@yamatonohikari</v>
      </c>
      <c r="C3532" s="21" t="s">
        <v>4326</v>
      </c>
      <c r="D3532" s="21" t="s">
        <v>6403</v>
      </c>
      <c r="E3532" s="22" t="str">
        <f>HYPERLINK("https://twitter.com/yamatonohikari/status/922438118329872384","922438118329872384")</f>
        <v>922438118329872384</v>
      </c>
      <c r="F3532" s="23" t="s">
        <v>33</v>
      </c>
      <c r="G3532" s="24">
        <v>2956.0</v>
      </c>
      <c r="H3532" s="24">
        <v>2844.0</v>
      </c>
      <c r="I3532" s="24">
        <v>97.0</v>
      </c>
      <c r="J3532" s="24">
        <v>0.0</v>
      </c>
      <c r="K3532" s="23" t="s">
        <v>34</v>
      </c>
      <c r="L3532" s="25">
        <v>41262.33237268518</v>
      </c>
      <c r="M3532" s="26" t="s">
        <v>4327</v>
      </c>
      <c r="N3532" s="26" t="s">
        <v>4328</v>
      </c>
      <c r="O3532" s="22" t="str">
        <f>HYPERLINK("https://pbs.twimg.com/profile_images/615809892713000960/_4Dtzeuw_normal.jpg","View")</f>
        <v>View</v>
      </c>
      <c r="P3532" s="27"/>
    </row>
    <row r="3533">
      <c r="A3533" s="14">
        <v>43031.22414351851</v>
      </c>
      <c r="B3533" s="20" t="str">
        <f>HYPERLINK("https://twitter.com/krishnasurana2","@krishnasurana2")</f>
        <v>@krishnasurana2</v>
      </c>
      <c r="C3533" s="21" t="s">
        <v>8030</v>
      </c>
      <c r="D3533" s="21" t="s">
        <v>8248</v>
      </c>
      <c r="E3533" s="22" t="str">
        <f>HYPERLINK("https://twitter.com/krishnasurana2/status/922438145940996096","922438145940996096")</f>
        <v>922438145940996096</v>
      </c>
      <c r="F3533" s="23" t="s">
        <v>39</v>
      </c>
      <c r="G3533" s="24">
        <v>92.0</v>
      </c>
      <c r="H3533" s="24">
        <v>700.0</v>
      </c>
      <c r="I3533" s="24">
        <v>0.0</v>
      </c>
      <c r="J3533" s="24">
        <v>1.0</v>
      </c>
      <c r="K3533" s="23" t="s">
        <v>34</v>
      </c>
      <c r="L3533" s="25">
        <v>42740.34700231481</v>
      </c>
      <c r="M3533" s="26" t="s">
        <v>1137</v>
      </c>
      <c r="N3533" s="26" t="s">
        <v>8032</v>
      </c>
      <c r="O3533" s="22" t="str">
        <f>HYPERLINK("https://pbs.twimg.com/profile_images/820463886113439745/WL0NQzNf_normal.jpg","View")</f>
        <v>View</v>
      </c>
      <c r="P3533" s="27"/>
    </row>
    <row r="3534">
      <c r="A3534" s="14">
        <v>43031.22418981481</v>
      </c>
      <c r="B3534" s="20" t="str">
        <f>HYPERLINK("https://twitter.com/amolagirhe","@amolagirhe")</f>
        <v>@amolagirhe</v>
      </c>
      <c r="C3534" s="21" t="s">
        <v>8249</v>
      </c>
      <c r="D3534" s="21" t="s">
        <v>163</v>
      </c>
      <c r="E3534" s="22" t="str">
        <f>HYPERLINK("https://twitter.com/amolagirhe/status/922438159761162240","922438159761162240")</f>
        <v>922438159761162240</v>
      </c>
      <c r="F3534" s="23" t="s">
        <v>33</v>
      </c>
      <c r="G3534" s="24">
        <v>429.0</v>
      </c>
      <c r="H3534" s="24">
        <v>2251.0</v>
      </c>
      <c r="I3534" s="24">
        <v>1005.0</v>
      </c>
      <c r="J3534" s="24">
        <v>0.0</v>
      </c>
      <c r="K3534" s="23" t="s">
        <v>34</v>
      </c>
      <c r="L3534" s="25">
        <v>40075.32204861111</v>
      </c>
      <c r="M3534" s="26" t="s">
        <v>520</v>
      </c>
      <c r="N3534" s="28"/>
      <c r="O3534" s="22" t="str">
        <f>HYPERLINK("https://pbs.twimg.com/profile_images/572765401/AmolShrihanTwitter_normal.JPG","View")</f>
        <v>View</v>
      </c>
      <c r="P3534" s="27"/>
    </row>
    <row r="3535">
      <c r="A3535" s="14">
        <v>43031.224398148144</v>
      </c>
      <c r="B3535" s="20" t="str">
        <f>HYPERLINK("https://twitter.com/SanjeevThakur_","@SanjeevThakur_")</f>
        <v>@SanjeevThakur_</v>
      </c>
      <c r="C3535" s="21" t="s">
        <v>422</v>
      </c>
      <c r="D3535" s="21" t="s">
        <v>42</v>
      </c>
      <c r="E3535" s="22" t="str">
        <f>HYPERLINK("https://twitter.com/SanjeevThakur_/status/922438235900452864","922438235900452864")</f>
        <v>922438235900452864</v>
      </c>
      <c r="F3535" s="23" t="s">
        <v>33</v>
      </c>
      <c r="G3535" s="24">
        <v>3.0</v>
      </c>
      <c r="H3535" s="24">
        <v>117.0</v>
      </c>
      <c r="I3535" s="24">
        <v>8501.0</v>
      </c>
      <c r="J3535" s="24">
        <v>0.0</v>
      </c>
      <c r="K3535" s="23" t="s">
        <v>34</v>
      </c>
      <c r="L3535" s="25">
        <v>42971.3455787037</v>
      </c>
      <c r="M3535" s="26" t="s">
        <v>1991</v>
      </c>
      <c r="N3535" s="28"/>
      <c r="O3535" s="22" t="str">
        <f>HYPERLINK("https://pbs.twimg.com/profile_images/900746781478207489/g4e22Rln_normal.jpg","View")</f>
        <v>View</v>
      </c>
      <c r="P3535" s="27"/>
    </row>
    <row r="3536">
      <c r="A3536" s="14">
        <v>43031.22447916667</v>
      </c>
      <c r="B3536" s="20" t="str">
        <f>HYPERLINK("https://twitter.com/newsonreddit","@newsonreddit")</f>
        <v>@newsonreddit</v>
      </c>
      <c r="C3536" s="21" t="s">
        <v>8250</v>
      </c>
      <c r="D3536" s="21" t="s">
        <v>8251</v>
      </c>
      <c r="E3536" s="22" t="str">
        <f>HYPERLINK("https://twitter.com/newsonreddit/status/922438267894714368","922438267894714368")</f>
        <v>922438267894714368</v>
      </c>
      <c r="F3536" s="23" t="s">
        <v>187</v>
      </c>
      <c r="G3536" s="24">
        <v>102.0</v>
      </c>
      <c r="H3536" s="24">
        <v>0.0</v>
      </c>
      <c r="I3536" s="24">
        <v>0.0</v>
      </c>
      <c r="J3536" s="24">
        <v>0.0</v>
      </c>
      <c r="K3536" s="23" t="s">
        <v>34</v>
      </c>
      <c r="L3536" s="25">
        <v>42557.43158564815</v>
      </c>
      <c r="M3536" s="28"/>
      <c r="N3536" s="26" t="s">
        <v>8252</v>
      </c>
      <c r="O3536" s="22" t="str">
        <f>HYPERLINK("https://pbs.twimg.com/profile_images/750875730444189696/U36MDaYz_normal.jpg","View")</f>
        <v>View</v>
      </c>
      <c r="P3536" s="27"/>
    </row>
    <row r="3537">
      <c r="A3537" s="14">
        <v>43031.22450231481</v>
      </c>
      <c r="B3537" s="20" t="str">
        <f>HYPERLINK("https://twitter.com/Tikan14","@Tikan14")</f>
        <v>@Tikan14</v>
      </c>
      <c r="C3537" s="21" t="s">
        <v>8253</v>
      </c>
      <c r="D3537" s="21" t="s">
        <v>42</v>
      </c>
      <c r="E3537" s="22" t="str">
        <f>HYPERLINK("https://twitter.com/Tikan14/status/922438275939295237","922438275939295237")</f>
        <v>922438275939295237</v>
      </c>
      <c r="F3537" s="23" t="s">
        <v>33</v>
      </c>
      <c r="G3537" s="24">
        <v>25.0</v>
      </c>
      <c r="H3537" s="24">
        <v>34.0</v>
      </c>
      <c r="I3537" s="24">
        <v>8501.0</v>
      </c>
      <c r="J3537" s="24">
        <v>0.0</v>
      </c>
      <c r="K3537" s="23" t="s">
        <v>34</v>
      </c>
      <c r="L3537" s="25">
        <v>42116.59962962963</v>
      </c>
      <c r="M3537" s="28"/>
      <c r="N3537" s="26" t="s">
        <v>8254</v>
      </c>
      <c r="O3537" s="22" t="str">
        <f>HYPERLINK("https://pbs.twimg.com/profile_images/605196298321395712/X3-_J_P-_normal.jpg","View")</f>
        <v>View</v>
      </c>
      <c r="P3537" s="27"/>
    </row>
    <row r="3538">
      <c r="A3538" s="14">
        <v>43031.22457175926</v>
      </c>
      <c r="B3538" s="20" t="str">
        <f>HYPERLINK("https://twitter.com/empire_virat","@empire_virat")</f>
        <v>@empire_virat</v>
      </c>
      <c r="C3538" s="21" t="s">
        <v>8255</v>
      </c>
      <c r="D3538" s="21" t="s">
        <v>42</v>
      </c>
      <c r="E3538" s="22" t="str">
        <f>HYPERLINK("https://twitter.com/empire_virat/status/922438298886221824","922438298886221824")</f>
        <v>922438298886221824</v>
      </c>
      <c r="F3538" s="23" t="s">
        <v>33</v>
      </c>
      <c r="G3538" s="24">
        <v>7.0</v>
      </c>
      <c r="H3538" s="24">
        <v>60.0</v>
      </c>
      <c r="I3538" s="24">
        <v>8501.0</v>
      </c>
      <c r="J3538" s="24">
        <v>0.0</v>
      </c>
      <c r="K3538" s="23" t="s">
        <v>34</v>
      </c>
      <c r="L3538" s="25">
        <v>42973.2452662037</v>
      </c>
      <c r="M3538" s="26" t="s">
        <v>8256</v>
      </c>
      <c r="N3538" s="26" t="s">
        <v>8257</v>
      </c>
      <c r="O3538" s="22" t="str">
        <f>HYPERLINK("https://pbs.twimg.com/profile_images/921676601665896449/sTh0oPt__normal.jpg","View")</f>
        <v>View</v>
      </c>
      <c r="P3538" s="27"/>
    </row>
    <row r="3539">
      <c r="A3539" s="14">
        <v>43031.22461805555</v>
      </c>
      <c r="B3539" s="20" t="str">
        <f>HYPERLINK("https://twitter.com/suechikakota","@suechikakota")</f>
        <v>@suechikakota</v>
      </c>
      <c r="C3539" s="21" t="s">
        <v>8258</v>
      </c>
      <c r="D3539" s="21" t="s">
        <v>82</v>
      </c>
      <c r="E3539" s="22" t="str">
        <f>HYPERLINK("https://twitter.com/suechikakota/status/922438315613097984","922438315613097984")</f>
        <v>922438315613097984</v>
      </c>
      <c r="F3539" s="23" t="s">
        <v>55</v>
      </c>
      <c r="G3539" s="24">
        <v>2275.0</v>
      </c>
      <c r="H3539" s="24">
        <v>199.0</v>
      </c>
      <c r="I3539" s="24">
        <v>38.0</v>
      </c>
      <c r="J3539" s="24">
        <v>0.0</v>
      </c>
      <c r="K3539" s="23" t="s">
        <v>34</v>
      </c>
      <c r="L3539" s="25">
        <v>41109.178078703706</v>
      </c>
      <c r="M3539" s="26" t="s">
        <v>8259</v>
      </c>
      <c r="N3539" s="26" t="s">
        <v>8260</v>
      </c>
      <c r="O3539" s="22" t="str">
        <f>HYPERLINK("https://pbs.twimg.com/profile_images/663816104607916032/kuTCb7gv_normal.jpg","View")</f>
        <v>View</v>
      </c>
      <c r="P3539" s="27"/>
    </row>
    <row r="3540">
      <c r="A3540" s="14">
        <v>43031.22471064815</v>
      </c>
      <c r="B3540" s="20" t="str">
        <f>HYPERLINK("https://twitter.com/VITHALRAOKULKAR","@VITHALRAOKULKAR")</f>
        <v>@VITHALRAOKULKAR</v>
      </c>
      <c r="C3540" s="21" t="s">
        <v>8261</v>
      </c>
      <c r="D3540" s="21" t="s">
        <v>42</v>
      </c>
      <c r="E3540" s="22" t="str">
        <f>HYPERLINK("https://twitter.com/VITHALRAOKULKAR/status/922438348697948160","922438348697948160")</f>
        <v>922438348697948160</v>
      </c>
      <c r="F3540" s="23" t="s">
        <v>33</v>
      </c>
      <c r="G3540" s="24">
        <v>908.0</v>
      </c>
      <c r="H3540" s="24">
        <v>2315.0</v>
      </c>
      <c r="I3540" s="24">
        <v>8501.0</v>
      </c>
      <c r="J3540" s="24">
        <v>0.0</v>
      </c>
      <c r="K3540" s="23" t="s">
        <v>34</v>
      </c>
      <c r="L3540" s="25">
        <v>41684.21944444445</v>
      </c>
      <c r="M3540" s="28"/>
      <c r="N3540" s="26" t="s">
        <v>8262</v>
      </c>
      <c r="O3540" s="22" t="str">
        <f>HYPERLINK("https://pbs.twimg.com/profile_images/667639439154393088/XdigTOKS_normal.jpg","View")</f>
        <v>View</v>
      </c>
      <c r="P3540" s="27"/>
    </row>
    <row r="3541">
      <c r="A3541" s="14">
        <v>43031.2247337963</v>
      </c>
      <c r="B3541" s="20" t="str">
        <f>HYPERLINK("https://twitter.com/JJonny72","@JJonny72")</f>
        <v>@JJonny72</v>
      </c>
      <c r="C3541" s="21" t="s">
        <v>8263</v>
      </c>
      <c r="D3541" s="21" t="s">
        <v>8264</v>
      </c>
      <c r="E3541" s="22" t="str">
        <f>HYPERLINK("https://twitter.com/JJonny72/status/922438361012428800","922438361012428800")</f>
        <v>922438361012428800</v>
      </c>
      <c r="F3541" s="23" t="s">
        <v>91</v>
      </c>
      <c r="G3541" s="24">
        <v>711.0</v>
      </c>
      <c r="H3541" s="24">
        <v>599.0</v>
      </c>
      <c r="I3541" s="24">
        <v>0.0</v>
      </c>
      <c r="J3541" s="24">
        <v>0.0</v>
      </c>
      <c r="K3541" s="23" t="s">
        <v>34</v>
      </c>
      <c r="L3541" s="25">
        <v>40791.280625</v>
      </c>
      <c r="M3541" s="28"/>
      <c r="N3541" s="26" t="s">
        <v>8265</v>
      </c>
      <c r="O3541" s="22" t="str">
        <f>HYPERLINK("https://pbs.twimg.com/profile_images/1529761640/22_711_100__normal.jpg","View")</f>
        <v>View</v>
      </c>
      <c r="P3541" s="27"/>
    </row>
    <row r="3542">
      <c r="A3542" s="14">
        <v>43031.225011574075</v>
      </c>
      <c r="B3542" s="20" t="str">
        <f>HYPERLINK("https://twitter.com/PampapatiK","@PampapatiK")</f>
        <v>@PampapatiK</v>
      </c>
      <c r="C3542" s="21" t="s">
        <v>8266</v>
      </c>
      <c r="D3542" s="21" t="s">
        <v>42</v>
      </c>
      <c r="E3542" s="22" t="str">
        <f>HYPERLINK("https://twitter.com/PampapatiK/status/922438460098560000","922438460098560000")</f>
        <v>922438460098560000</v>
      </c>
      <c r="F3542" s="23" t="s">
        <v>780</v>
      </c>
      <c r="G3542" s="24">
        <v>1878.0</v>
      </c>
      <c r="H3542" s="24">
        <v>4064.0</v>
      </c>
      <c r="I3542" s="24">
        <v>8501.0</v>
      </c>
      <c r="J3542" s="24">
        <v>0.0</v>
      </c>
      <c r="K3542" s="23" t="s">
        <v>34</v>
      </c>
      <c r="L3542" s="25">
        <v>40499.02483796296</v>
      </c>
      <c r="M3542" s="26" t="s">
        <v>8267</v>
      </c>
      <c r="N3542" s="26" t="s">
        <v>8268</v>
      </c>
      <c r="O3542" s="22" t="str">
        <f>HYPERLINK("https://pbs.twimg.com/profile_images/921321239087591425/-3Nzn3mL_normal.jpg","View")</f>
        <v>View</v>
      </c>
      <c r="P3542" s="27"/>
    </row>
    <row r="3543">
      <c r="A3543" s="14">
        <v>43031.225127314814</v>
      </c>
      <c r="B3543" s="20" t="str">
        <f>HYPERLINK("https://twitter.com/JasbirS1978","@JasbirS1978")</f>
        <v>@JasbirS1978</v>
      </c>
      <c r="C3543" s="21" t="s">
        <v>8269</v>
      </c>
      <c r="D3543" s="21" t="s">
        <v>42</v>
      </c>
      <c r="E3543" s="22" t="str">
        <f>HYPERLINK("https://twitter.com/JasbirS1978/status/922438500569542656","922438500569542656")</f>
        <v>922438500569542656</v>
      </c>
      <c r="F3543" s="23" t="s">
        <v>33</v>
      </c>
      <c r="G3543" s="24">
        <v>11.0</v>
      </c>
      <c r="H3543" s="24">
        <v>27.0</v>
      </c>
      <c r="I3543" s="24">
        <v>8501.0</v>
      </c>
      <c r="J3543" s="24">
        <v>0.0</v>
      </c>
      <c r="K3543" s="23" t="s">
        <v>34</v>
      </c>
      <c r="L3543" s="25">
        <v>42994.41913194444</v>
      </c>
      <c r="M3543" s="26" t="s">
        <v>2770</v>
      </c>
      <c r="N3543" s="28"/>
      <c r="O3543" s="22" t="str">
        <f>HYPERLINK("https://abs.twimg.com/sticky/default_profile_images/default_profile_normal.png","View")</f>
        <v>View</v>
      </c>
      <c r="P3543" s="27"/>
    </row>
    <row r="3544">
      <c r="A3544" s="14">
        <v>43031.22518518519</v>
      </c>
      <c r="B3544" s="20" t="str">
        <f>HYPERLINK("https://twitter.com/nyakwarogutu","@nyakwarogutu")</f>
        <v>@nyakwarogutu</v>
      </c>
      <c r="C3544" s="21" t="s">
        <v>8270</v>
      </c>
      <c r="D3544" s="21" t="s">
        <v>32</v>
      </c>
      <c r="E3544" s="22" t="str">
        <f>HYPERLINK("https://twitter.com/nyakwarogutu/status/922438520815472640","922438520815472640")</f>
        <v>922438520815472640</v>
      </c>
      <c r="F3544" s="23" t="s">
        <v>33</v>
      </c>
      <c r="G3544" s="24">
        <v>149.0</v>
      </c>
      <c r="H3544" s="24">
        <v>551.0</v>
      </c>
      <c r="I3544" s="24">
        <v>471.0</v>
      </c>
      <c r="J3544" s="24">
        <v>0.0</v>
      </c>
      <c r="K3544" s="23" t="s">
        <v>34</v>
      </c>
      <c r="L3544" s="25">
        <v>42691.457662037035</v>
      </c>
      <c r="M3544" s="26" t="s">
        <v>114</v>
      </c>
      <c r="N3544" s="26" t="s">
        <v>8271</v>
      </c>
      <c r="O3544" s="22" t="str">
        <f>HYPERLINK("https://pbs.twimg.com/profile_images/856496528768331776/OKO2vycn_normal.jpg","View")</f>
        <v>View</v>
      </c>
      <c r="P3544" s="27"/>
    </row>
    <row r="3545">
      <c r="A3545" s="14">
        <v>43031.225277777776</v>
      </c>
      <c r="B3545" s="20" t="str">
        <f>HYPERLINK("https://twitter.com/Radhe4Su","@Radhe4Su")</f>
        <v>@Radhe4Su</v>
      </c>
      <c r="C3545" s="21" t="s">
        <v>8272</v>
      </c>
      <c r="D3545" s="21" t="s">
        <v>42</v>
      </c>
      <c r="E3545" s="22" t="str">
        <f>HYPERLINK("https://twitter.com/Radhe4Su/status/922438555355430912","922438555355430912")</f>
        <v>922438555355430912</v>
      </c>
      <c r="F3545" s="23" t="s">
        <v>33</v>
      </c>
      <c r="G3545" s="24">
        <v>36.0</v>
      </c>
      <c r="H3545" s="24">
        <v>209.0</v>
      </c>
      <c r="I3545" s="24">
        <v>8501.0</v>
      </c>
      <c r="J3545" s="24">
        <v>0.0</v>
      </c>
      <c r="K3545" s="23" t="s">
        <v>34</v>
      </c>
      <c r="L3545" s="25">
        <v>42232.993101851855</v>
      </c>
      <c r="M3545" s="28"/>
      <c r="N3545" s="26" t="s">
        <v>8273</v>
      </c>
      <c r="O3545" s="22" t="str">
        <f>HYPERLINK("https://pbs.twimg.com/profile_images/914917257477685248/jMAxPtv7_normal.jpg","View")</f>
        <v>View</v>
      </c>
      <c r="P3545" s="27"/>
    </row>
    <row r="3546">
      <c r="A3546" s="14">
        <v>43031.225324074076</v>
      </c>
      <c r="B3546" s="20" t="str">
        <f>HYPERLINK("https://twitter.com/krunox123","@krunox123")</f>
        <v>@krunox123</v>
      </c>
      <c r="C3546" s="21" t="s">
        <v>1750</v>
      </c>
      <c r="D3546" s="21" t="s">
        <v>8274</v>
      </c>
      <c r="E3546" s="22" t="str">
        <f>HYPERLINK("https://twitter.com/krunox123/status/922438572074029056","922438572074029056")</f>
        <v>922438572074029056</v>
      </c>
      <c r="F3546" s="23" t="s">
        <v>187</v>
      </c>
      <c r="G3546" s="24">
        <v>10220.0</v>
      </c>
      <c r="H3546" s="24">
        <v>2.0</v>
      </c>
      <c r="I3546" s="24">
        <v>0.0</v>
      </c>
      <c r="J3546" s="24">
        <v>0.0</v>
      </c>
      <c r="K3546" s="23" t="s">
        <v>34</v>
      </c>
      <c r="L3546" s="25">
        <v>40938.22789351852</v>
      </c>
      <c r="M3546" s="26" t="s">
        <v>1752</v>
      </c>
      <c r="N3546" s="26" t="s">
        <v>1753</v>
      </c>
      <c r="O3546" s="22" t="str">
        <f>HYPERLINK("https://pbs.twimg.com/profile_images/824952382618349568/2SFIkM2x_normal.jpg","View")</f>
        <v>View</v>
      </c>
      <c r="P3546" s="27"/>
    </row>
    <row r="3547">
      <c r="A3547" s="14">
        <v>43031.225370370375</v>
      </c>
      <c r="B3547" s="20" t="str">
        <f>HYPERLINK("https://twitter.com/parbatrabari","@parbatrabari")</f>
        <v>@parbatrabari</v>
      </c>
      <c r="C3547" s="21" t="s">
        <v>8275</v>
      </c>
      <c r="D3547" s="21" t="s">
        <v>42</v>
      </c>
      <c r="E3547" s="22" t="str">
        <f>HYPERLINK("https://twitter.com/parbatrabari/status/922438588582825985","922438588582825985")</f>
        <v>922438588582825985</v>
      </c>
      <c r="F3547" s="23" t="s">
        <v>39</v>
      </c>
      <c r="G3547" s="24">
        <v>2367.0</v>
      </c>
      <c r="H3547" s="24">
        <v>1399.0</v>
      </c>
      <c r="I3547" s="24">
        <v>8501.0</v>
      </c>
      <c r="J3547" s="24">
        <v>0.0</v>
      </c>
      <c r="K3547" s="23" t="s">
        <v>34</v>
      </c>
      <c r="L3547" s="25">
        <v>41860.221817129626</v>
      </c>
      <c r="M3547" s="28"/>
      <c r="N3547" s="26" t="s">
        <v>8276</v>
      </c>
      <c r="O3547" s="22" t="str">
        <f>HYPERLINK("https://pbs.twimg.com/profile_images/896644423722782720/fL3gOZTO_normal.jpg","View")</f>
        <v>View</v>
      </c>
      <c r="P3547" s="27"/>
    </row>
    <row r="3548">
      <c r="A3548" s="14">
        <v>43031.22546296296</v>
      </c>
      <c r="B3548" s="20" t="str">
        <f>HYPERLINK("https://twitter.com/JSINGH2252","@JSINGH2252")</f>
        <v>@JSINGH2252</v>
      </c>
      <c r="C3548" s="21" t="s">
        <v>8277</v>
      </c>
      <c r="D3548" s="21" t="s">
        <v>42</v>
      </c>
      <c r="E3548" s="22" t="str">
        <f>HYPERLINK("https://twitter.com/JSINGH2252/status/922438623517057024","922438623517057024")</f>
        <v>922438623517057024</v>
      </c>
      <c r="F3548" s="23" t="s">
        <v>33</v>
      </c>
      <c r="G3548" s="24">
        <v>1304.0</v>
      </c>
      <c r="H3548" s="24">
        <v>1067.0</v>
      </c>
      <c r="I3548" s="24">
        <v>8501.0</v>
      </c>
      <c r="J3548" s="24">
        <v>0.0</v>
      </c>
      <c r="K3548" s="23" t="s">
        <v>34</v>
      </c>
      <c r="L3548" s="25">
        <v>42797.25783564815</v>
      </c>
      <c r="M3548" s="26" t="s">
        <v>8278</v>
      </c>
      <c r="N3548" s="26" t="s">
        <v>8279</v>
      </c>
      <c r="O3548" s="22" t="str">
        <f>HYPERLINK("https://pbs.twimg.com/profile_images/920587313775648769/9gWAiWqW_normal.jpg","View")</f>
        <v>View</v>
      </c>
      <c r="P3548" s="27"/>
    </row>
    <row r="3549">
      <c r="A3549" s="14">
        <v>43031.225543981476</v>
      </c>
      <c r="B3549" s="20" t="str">
        <f>HYPERLINK("https://twitter.com/Siddhar19237807","@Siddhar19237807")</f>
        <v>@Siddhar19237807</v>
      </c>
      <c r="C3549" s="21" t="s">
        <v>8280</v>
      </c>
      <c r="D3549" s="21" t="s">
        <v>42</v>
      </c>
      <c r="E3549" s="22" t="str">
        <f>HYPERLINK("https://twitter.com/Siddhar19237807/status/922438654223564800","922438654223564800")</f>
        <v>922438654223564800</v>
      </c>
      <c r="F3549" s="23" t="s">
        <v>33</v>
      </c>
      <c r="G3549" s="24">
        <v>45.0</v>
      </c>
      <c r="H3549" s="24">
        <v>1279.0</v>
      </c>
      <c r="I3549" s="24">
        <v>8501.0</v>
      </c>
      <c r="J3549" s="24">
        <v>0.0</v>
      </c>
      <c r="K3549" s="23" t="s">
        <v>34</v>
      </c>
      <c r="L3549" s="25">
        <v>42942.2612037037</v>
      </c>
      <c r="M3549" s="28"/>
      <c r="N3549" s="28"/>
      <c r="O3549" s="22" t="str">
        <f>HYPERLINK("https://pbs.twimg.com/profile_images/890227983851630593/UfoCyEfd_normal.jpg","View")</f>
        <v>View</v>
      </c>
      <c r="P3549" s="27"/>
    </row>
    <row r="3550">
      <c r="A3550" s="14">
        <v>43031.22555555556</v>
      </c>
      <c r="B3550" s="20" t="str">
        <f>HYPERLINK("https://twitter.com/LucChampoux4","@LucChampoux4")</f>
        <v>@LucChampoux4</v>
      </c>
      <c r="C3550" s="21" t="s">
        <v>8281</v>
      </c>
      <c r="D3550" s="21" t="s">
        <v>42</v>
      </c>
      <c r="E3550" s="22" t="str">
        <f>HYPERLINK("https://twitter.com/LucChampoux4/status/922438656165662721","922438656165662721")</f>
        <v>922438656165662721</v>
      </c>
      <c r="F3550" s="23" t="s">
        <v>55</v>
      </c>
      <c r="G3550" s="24">
        <v>191.0</v>
      </c>
      <c r="H3550" s="24">
        <v>328.0</v>
      </c>
      <c r="I3550" s="24">
        <v>8501.0</v>
      </c>
      <c r="J3550" s="24">
        <v>0.0</v>
      </c>
      <c r="K3550" s="23" t="s">
        <v>34</v>
      </c>
      <c r="L3550" s="25">
        <v>42775.35974537037</v>
      </c>
      <c r="M3550" s="28"/>
      <c r="N3550" s="26" t="s">
        <v>8282</v>
      </c>
      <c r="O3550" s="22" t="str">
        <f>HYPERLINK("https://pbs.twimg.com/profile_images/905487850254340096/-ElBbPY8_normal.jpg","View")</f>
        <v>View</v>
      </c>
      <c r="P3550" s="27"/>
    </row>
    <row r="3551">
      <c r="A3551" s="14">
        <v>43031.22570601852</v>
      </c>
      <c r="B3551" s="20" t="str">
        <f>HYPERLINK("https://twitter.com/1979filippova1","@1979filippova1")</f>
        <v>@1979filippova1</v>
      </c>
      <c r="C3551" s="21" t="s">
        <v>8183</v>
      </c>
      <c r="D3551" s="21" t="s">
        <v>3227</v>
      </c>
      <c r="E3551" s="22" t="str">
        <f>HYPERLINK("https://twitter.com/1979filippova1/status/922438713119989760","922438713119989760")</f>
        <v>922438713119989760</v>
      </c>
      <c r="F3551" s="23" t="s">
        <v>55</v>
      </c>
      <c r="G3551" s="24">
        <v>2.0</v>
      </c>
      <c r="H3551" s="24">
        <v>0.0</v>
      </c>
      <c r="I3551" s="24">
        <v>61.0</v>
      </c>
      <c r="J3551" s="24">
        <v>0.0</v>
      </c>
      <c r="K3551" s="23" t="s">
        <v>34</v>
      </c>
      <c r="L3551" s="25">
        <v>43015.575578703705</v>
      </c>
      <c r="M3551" s="28"/>
      <c r="N3551" s="28"/>
      <c r="O3551" s="22" t="str">
        <f>HYPERLINK("https://pbs.twimg.com/profile_images/921086909413171200/nW9HIZan_normal.jpg","View")</f>
        <v>View</v>
      </c>
      <c r="P3551" s="27"/>
    </row>
    <row r="3552">
      <c r="A3552" s="14">
        <v>43031.22592592593</v>
      </c>
      <c r="B3552" s="20" t="str">
        <f>HYPERLINK("https://twitter.com/sleepingtama","@sleepingtama")</f>
        <v>@sleepingtama</v>
      </c>
      <c r="C3552" s="21" t="s">
        <v>8283</v>
      </c>
      <c r="D3552" s="21" t="s">
        <v>4857</v>
      </c>
      <c r="E3552" s="22" t="str">
        <f>HYPERLINK("https://twitter.com/sleepingtama/status/922438791058530304","922438791058530304")</f>
        <v>922438791058530304</v>
      </c>
      <c r="F3552" s="23" t="s">
        <v>33</v>
      </c>
      <c r="G3552" s="24">
        <v>231.0</v>
      </c>
      <c r="H3552" s="24">
        <v>201.0</v>
      </c>
      <c r="I3552" s="24">
        <v>55.0</v>
      </c>
      <c r="J3552" s="24">
        <v>0.0</v>
      </c>
      <c r="K3552" s="23" t="s">
        <v>34</v>
      </c>
      <c r="L3552" s="25">
        <v>41979.29211805556</v>
      </c>
      <c r="M3552" s="26" t="s">
        <v>8284</v>
      </c>
      <c r="N3552" s="26" t="s">
        <v>8285</v>
      </c>
      <c r="O3552" s="22" t="str">
        <f>HYPERLINK("https://pbs.twimg.com/profile_images/918487251650093056/qscKBWV0_normal.jpg","View")</f>
        <v>View</v>
      </c>
      <c r="P3552" s="27"/>
    </row>
    <row r="3553">
      <c r="A3553" s="14">
        <v>43031.22614583334</v>
      </c>
      <c r="B3553" s="20" t="str">
        <f>HYPERLINK("https://twitter.com/NikkiSonas2901","@NikkiSonas2901")</f>
        <v>@NikkiSonas2901</v>
      </c>
      <c r="C3553" s="21" t="s">
        <v>8286</v>
      </c>
      <c r="D3553" s="21" t="s">
        <v>42</v>
      </c>
      <c r="E3553" s="22" t="str">
        <f>HYPERLINK("https://twitter.com/NikkiSonas2901/status/922438869072592896","922438869072592896")</f>
        <v>922438869072592896</v>
      </c>
      <c r="F3553" s="23" t="s">
        <v>33</v>
      </c>
      <c r="G3553" s="24">
        <v>77.0</v>
      </c>
      <c r="H3553" s="24">
        <v>972.0</v>
      </c>
      <c r="I3553" s="24">
        <v>8501.0</v>
      </c>
      <c r="J3553" s="24">
        <v>0.0</v>
      </c>
      <c r="K3553" s="23" t="s">
        <v>34</v>
      </c>
      <c r="L3553" s="25">
        <v>42952.90635416667</v>
      </c>
      <c r="M3553" s="26" t="s">
        <v>8287</v>
      </c>
      <c r="N3553" s="26" t="s">
        <v>8288</v>
      </c>
      <c r="O3553" s="22" t="str">
        <f>HYPERLINK("https://pbs.twimg.com/profile_images/894216392093777921/NXSyBQsb_normal.jpg","View")</f>
        <v>View</v>
      </c>
      <c r="P3553" s="27"/>
    </row>
    <row r="3554">
      <c r="A3554" s="14">
        <v>43031.22619212963</v>
      </c>
      <c r="B3554" s="20" t="str">
        <f>HYPERLINK("https://twitter.com/bansi_pj","@bansi_pj")</f>
        <v>@bansi_pj</v>
      </c>
      <c r="C3554" s="21" t="s">
        <v>8289</v>
      </c>
      <c r="D3554" s="21" t="s">
        <v>42</v>
      </c>
      <c r="E3554" s="22" t="str">
        <f>HYPERLINK("https://twitter.com/bansi_pj/status/922438887498162176","922438887498162176")</f>
        <v>922438887498162176</v>
      </c>
      <c r="F3554" s="23" t="s">
        <v>39</v>
      </c>
      <c r="G3554" s="24">
        <v>250.0</v>
      </c>
      <c r="H3554" s="24">
        <v>388.0</v>
      </c>
      <c r="I3554" s="24">
        <v>8501.0</v>
      </c>
      <c r="J3554" s="24">
        <v>0.0</v>
      </c>
      <c r="K3554" s="23" t="s">
        <v>34</v>
      </c>
      <c r="L3554" s="25">
        <v>40403.32518518518</v>
      </c>
      <c r="M3554" s="26" t="s">
        <v>5455</v>
      </c>
      <c r="N3554" s="28"/>
      <c r="O3554" s="22" t="str">
        <f>HYPERLINK("https://pbs.twimg.com/profile_images/378800000124753615/4af819aa57e5339f3a337169a3b87936_normal.jpeg","View")</f>
        <v>View</v>
      </c>
      <c r="P3554" s="27"/>
    </row>
    <row r="3555">
      <c r="A3555" s="14">
        <v>43031.226319444446</v>
      </c>
      <c r="B3555" s="20" t="str">
        <f>HYPERLINK("https://twitter.com/wr_up_to_date","@wr_up_to_date")</f>
        <v>@wr_up_to_date</v>
      </c>
      <c r="C3555" s="21" t="s">
        <v>8290</v>
      </c>
      <c r="D3555" s="21" t="s">
        <v>8291</v>
      </c>
      <c r="E3555" s="22" t="str">
        <f>HYPERLINK("https://twitter.com/wr_up_to_date/status/922438935124561920","922438935124561920")</f>
        <v>922438935124561920</v>
      </c>
      <c r="F3555" s="23" t="s">
        <v>33</v>
      </c>
      <c r="G3555" s="24">
        <v>17.0</v>
      </c>
      <c r="H3555" s="24">
        <v>117.0</v>
      </c>
      <c r="I3555" s="24">
        <v>135.0</v>
      </c>
      <c r="J3555" s="24">
        <v>0.0</v>
      </c>
      <c r="K3555" s="23" t="s">
        <v>34</v>
      </c>
      <c r="L3555" s="25">
        <v>43027.204421296294</v>
      </c>
      <c r="M3555" s="28"/>
      <c r="N3555" s="26" t="s">
        <v>8292</v>
      </c>
      <c r="O3555" s="22" t="str">
        <f>HYPERLINK("https://pbs.twimg.com/profile_images/920995182736273408/0PsZBuqu_normal.jpg","View")</f>
        <v>View</v>
      </c>
      <c r="P3555" s="27"/>
    </row>
    <row r="3556">
      <c r="A3556" s="14">
        <v>43031.22633101852</v>
      </c>
      <c r="B3556" s="20" t="str">
        <f>HYPERLINK("https://twitter.com/z_monchi","@z_monchi")</f>
        <v>@z_monchi</v>
      </c>
      <c r="C3556" s="21" t="s">
        <v>8293</v>
      </c>
      <c r="D3556" s="21" t="s">
        <v>7106</v>
      </c>
      <c r="E3556" s="22" t="str">
        <f>HYPERLINK("https://twitter.com/z_monchi/status/922438937934622720","922438937934622720")</f>
        <v>922438937934622720</v>
      </c>
      <c r="F3556" s="23" t="s">
        <v>33</v>
      </c>
      <c r="G3556" s="24">
        <v>47.0</v>
      </c>
      <c r="H3556" s="24">
        <v>138.0</v>
      </c>
      <c r="I3556" s="24">
        <v>16.0</v>
      </c>
      <c r="J3556" s="24">
        <v>0.0</v>
      </c>
      <c r="K3556" s="23" t="s">
        <v>34</v>
      </c>
      <c r="L3556" s="25">
        <v>42146.060578703706</v>
      </c>
      <c r="M3556" s="26" t="s">
        <v>8294</v>
      </c>
      <c r="N3556" s="26" t="s">
        <v>8295</v>
      </c>
      <c r="O3556" s="22" t="str">
        <f>HYPERLINK("https://pbs.twimg.com/profile_images/909676796676685824/50jaGLSB_normal.jpg","View")</f>
        <v>View</v>
      </c>
      <c r="P3556" s="27"/>
    </row>
    <row r="3557">
      <c r="A3557" s="14">
        <v>43031.22640046296</v>
      </c>
      <c r="B3557" s="20" t="str">
        <f>HYPERLINK("https://twitter.com/CalcDay","@CalcDay")</f>
        <v>@CalcDay</v>
      </c>
      <c r="C3557" s="21" t="s">
        <v>8296</v>
      </c>
      <c r="D3557" s="21" t="s">
        <v>5601</v>
      </c>
      <c r="E3557" s="22" t="str">
        <f>HYPERLINK("https://twitter.com/CalcDay/status/922438961695547399","922438961695547399")</f>
        <v>922438961695547399</v>
      </c>
      <c r="F3557" s="23" t="s">
        <v>8297</v>
      </c>
      <c r="G3557" s="24">
        <v>246.0</v>
      </c>
      <c r="H3557" s="24">
        <v>601.0</v>
      </c>
      <c r="I3557" s="24">
        <v>15.0</v>
      </c>
      <c r="J3557" s="24">
        <v>0.0</v>
      </c>
      <c r="K3557" s="23" t="s">
        <v>34</v>
      </c>
      <c r="L3557" s="25">
        <v>40431.7999537037</v>
      </c>
      <c r="M3557" s="26" t="s">
        <v>8298</v>
      </c>
      <c r="N3557" s="26" t="s">
        <v>8299</v>
      </c>
      <c r="O3557" s="22" t="str">
        <f>HYPERLINK("https://pbs.twimg.com/profile_images/695592154161418240/dMoSAlat_normal.jpg","View")</f>
        <v>View</v>
      </c>
      <c r="P3557" s="27"/>
    </row>
    <row r="3558">
      <c r="A3558" s="14">
        <v>43031.22642361111</v>
      </c>
      <c r="B3558" s="20" t="str">
        <f>HYPERLINK("https://twitter.com/Gowtham87147157","@Gowtham87147157")</f>
        <v>@Gowtham87147157</v>
      </c>
      <c r="C3558" s="21" t="s">
        <v>8300</v>
      </c>
      <c r="D3558" s="21" t="s">
        <v>42</v>
      </c>
      <c r="E3558" s="22" t="str">
        <f>HYPERLINK("https://twitter.com/Gowtham87147157/status/922438973242466304","922438973242466304")</f>
        <v>922438973242466304</v>
      </c>
      <c r="F3558" s="23" t="s">
        <v>33</v>
      </c>
      <c r="G3558" s="24">
        <v>5.0</v>
      </c>
      <c r="H3558" s="24">
        <v>126.0</v>
      </c>
      <c r="I3558" s="24">
        <v>8501.0</v>
      </c>
      <c r="J3558" s="24">
        <v>0.0</v>
      </c>
      <c r="K3558" s="23" t="s">
        <v>34</v>
      </c>
      <c r="L3558" s="25">
        <v>43015.95756944444</v>
      </c>
      <c r="M3558" s="28"/>
      <c r="N3558" s="28"/>
      <c r="O3558" s="22" t="str">
        <f>HYPERLINK("https://abs.twimg.com/sticky/default_profile_images/default_profile_normal.png","View")</f>
        <v>View</v>
      </c>
      <c r="P3558" s="27"/>
    </row>
    <row r="3559">
      <c r="A3559" s="14">
        <v>43031.226631944446</v>
      </c>
      <c r="B3559" s="20" t="str">
        <f>HYPERLINK("https://twitter.com/Vandan_BJP","@Vandan_BJP")</f>
        <v>@Vandan_BJP</v>
      </c>
      <c r="C3559" s="21" t="s">
        <v>8301</v>
      </c>
      <c r="D3559" s="21" t="s">
        <v>42</v>
      </c>
      <c r="E3559" s="22" t="str">
        <f>HYPERLINK("https://twitter.com/Vandan_BJP/status/922439048383401984","922439048383401984")</f>
        <v>922439048383401984</v>
      </c>
      <c r="F3559" s="23" t="s">
        <v>33</v>
      </c>
      <c r="G3559" s="24">
        <v>222.0</v>
      </c>
      <c r="H3559" s="24">
        <v>11.0</v>
      </c>
      <c r="I3559" s="24">
        <v>8501.0</v>
      </c>
      <c r="J3559" s="24">
        <v>0.0</v>
      </c>
      <c r="K3559" s="23" t="s">
        <v>34</v>
      </c>
      <c r="L3559" s="25">
        <v>41228.020625</v>
      </c>
      <c r="M3559" s="26" t="s">
        <v>207</v>
      </c>
      <c r="N3559" s="26" t="s">
        <v>8302</v>
      </c>
      <c r="O3559" s="22" t="str">
        <f>HYPERLINK("https://pbs.twimg.com/profile_images/651772098256470016/xfE9ZsRP_normal.jpg","View")</f>
        <v>View</v>
      </c>
      <c r="P3559" s="27"/>
    </row>
    <row r="3560">
      <c r="A3560" s="14">
        <v>43031.22671296296</v>
      </c>
      <c r="B3560" s="20" t="str">
        <f t="shared" ref="B3560:B3561" si="59">HYPERLINK("https://twitter.com/RealTimeHack","@RealTimeHack")</f>
        <v>@RealTimeHack</v>
      </c>
      <c r="C3560" s="21" t="s">
        <v>3773</v>
      </c>
      <c r="D3560" s="21" t="s">
        <v>8303</v>
      </c>
      <c r="E3560" s="22" t="str">
        <f>HYPERLINK("https://twitter.com/RealTimeHack/status/922439074463539200","922439074463539200")</f>
        <v>922439074463539200</v>
      </c>
      <c r="F3560" s="23" t="s">
        <v>187</v>
      </c>
      <c r="G3560" s="24">
        <v>2189.0</v>
      </c>
      <c r="H3560" s="24">
        <v>1282.0</v>
      </c>
      <c r="I3560" s="24">
        <v>0.0</v>
      </c>
      <c r="J3560" s="24">
        <v>0.0</v>
      </c>
      <c r="K3560" s="23" t="s">
        <v>34</v>
      </c>
      <c r="L3560" s="25">
        <v>40641.39920138889</v>
      </c>
      <c r="M3560" s="26" t="s">
        <v>3775</v>
      </c>
      <c r="N3560" s="26" t="s">
        <v>3776</v>
      </c>
      <c r="O3560" s="22" t="str">
        <f t="shared" ref="O3560:O3561" si="60">HYPERLINK("https://pbs.twimg.com/profile_images/1304602852/Nuke_Egg_normal.gif","View")</f>
        <v>View</v>
      </c>
      <c r="P3560" s="27"/>
    </row>
    <row r="3561">
      <c r="A3561" s="14">
        <v>43031.226736111115</v>
      </c>
      <c r="B3561" s="20" t="str">
        <f t="shared" si="59"/>
        <v>@RealTimeHack</v>
      </c>
      <c r="C3561" s="21" t="s">
        <v>3773</v>
      </c>
      <c r="D3561" s="21" t="s">
        <v>8304</v>
      </c>
      <c r="E3561" s="22" t="str">
        <f>HYPERLINK("https://twitter.com/RealTimeHack/status/922439083028250625","922439083028250625")</f>
        <v>922439083028250625</v>
      </c>
      <c r="F3561" s="23" t="s">
        <v>187</v>
      </c>
      <c r="G3561" s="24">
        <v>2189.0</v>
      </c>
      <c r="H3561" s="24">
        <v>1282.0</v>
      </c>
      <c r="I3561" s="24">
        <v>0.0</v>
      </c>
      <c r="J3561" s="24">
        <v>0.0</v>
      </c>
      <c r="K3561" s="23" t="s">
        <v>34</v>
      </c>
      <c r="L3561" s="25">
        <v>40641.39920138889</v>
      </c>
      <c r="M3561" s="26" t="s">
        <v>3775</v>
      </c>
      <c r="N3561" s="26" t="s">
        <v>3776</v>
      </c>
      <c r="O3561" s="22" t="str">
        <f t="shared" si="60"/>
        <v>View</v>
      </c>
      <c r="P3561" s="27"/>
    </row>
    <row r="3562">
      <c r="A3562" s="14">
        <v>43031.22677083334</v>
      </c>
      <c r="B3562" s="20" t="str">
        <f>HYPERLINK("https://twitter.com/19951ivannikov1","@19951ivannikov1")</f>
        <v>@19951ivannikov1</v>
      </c>
      <c r="C3562" s="21" t="s">
        <v>8305</v>
      </c>
      <c r="D3562" s="21" t="s">
        <v>7403</v>
      </c>
      <c r="E3562" s="22" t="str">
        <f>HYPERLINK("https://twitter.com/19951ivannikov1/status/922439096450007040","922439096450007040")</f>
        <v>922439096450007040</v>
      </c>
      <c r="F3562" s="23" t="s">
        <v>55</v>
      </c>
      <c r="G3562" s="24">
        <v>2.0</v>
      </c>
      <c r="H3562" s="24">
        <v>0.0</v>
      </c>
      <c r="I3562" s="24">
        <v>29.0</v>
      </c>
      <c r="J3562" s="24">
        <v>0.0</v>
      </c>
      <c r="K3562" s="23" t="s">
        <v>34</v>
      </c>
      <c r="L3562" s="25">
        <v>43015.58064814815</v>
      </c>
      <c r="M3562" s="28"/>
      <c r="N3562" s="28"/>
      <c r="O3562" s="22" t="str">
        <f>HYPERLINK("https://pbs.twimg.com/profile_images/921117306150797312/2ijIjc7H_normal.jpg","View")</f>
        <v>View</v>
      </c>
      <c r="P3562" s="27"/>
    </row>
    <row r="3563">
      <c r="A3563" s="14">
        <v>43031.226875</v>
      </c>
      <c r="B3563" s="20" t="str">
        <f>HYPERLINK("https://twitter.com/JhansiKiRani77","@JhansiKiRani77")</f>
        <v>@JhansiKiRani77</v>
      </c>
      <c r="C3563" s="21" t="s">
        <v>8306</v>
      </c>
      <c r="D3563" s="21" t="s">
        <v>42</v>
      </c>
      <c r="E3563" s="22" t="str">
        <f>HYPERLINK("https://twitter.com/JhansiKiRani77/status/922439135754969088","922439135754969088")</f>
        <v>922439135754969088</v>
      </c>
      <c r="F3563" s="23" t="s">
        <v>39</v>
      </c>
      <c r="G3563" s="24">
        <v>235.0</v>
      </c>
      <c r="H3563" s="24">
        <v>51.0</v>
      </c>
      <c r="I3563" s="24">
        <v>8501.0</v>
      </c>
      <c r="J3563" s="24">
        <v>0.0</v>
      </c>
      <c r="K3563" s="23" t="s">
        <v>34</v>
      </c>
      <c r="L3563" s="25">
        <v>42055.36141203703</v>
      </c>
      <c r="M3563" s="28"/>
      <c r="N3563" s="28"/>
      <c r="O3563" s="22" t="str">
        <f>HYPERLINK("https://abs.twimg.com/sticky/default_profile_images/default_profile_normal.png","View")</f>
        <v>View</v>
      </c>
      <c r="P3563" s="27"/>
    </row>
    <row r="3564">
      <c r="A3564" s="14">
        <v>43031.227013888885</v>
      </c>
      <c r="B3564" s="20" t="str">
        <f>HYPERLINK("https://twitter.com/KrishnanPrashob","@KrishnanPrashob")</f>
        <v>@KrishnanPrashob</v>
      </c>
      <c r="C3564" s="21" t="s">
        <v>8307</v>
      </c>
      <c r="D3564" s="21" t="s">
        <v>42</v>
      </c>
      <c r="E3564" s="22" t="str">
        <f>HYPERLINK("https://twitter.com/KrishnanPrashob/status/922439187227217921","922439187227217921")</f>
        <v>922439187227217921</v>
      </c>
      <c r="F3564" s="23" t="s">
        <v>43</v>
      </c>
      <c r="G3564" s="24">
        <v>13.0</v>
      </c>
      <c r="H3564" s="24">
        <v>343.0</v>
      </c>
      <c r="I3564" s="24">
        <v>8501.0</v>
      </c>
      <c r="J3564" s="24">
        <v>0.0</v>
      </c>
      <c r="K3564" s="23" t="s">
        <v>34</v>
      </c>
      <c r="L3564" s="25">
        <v>41770.191030092596</v>
      </c>
      <c r="M3564" s="26" t="s">
        <v>8308</v>
      </c>
      <c r="N3564" s="28"/>
      <c r="O3564" s="22" t="str">
        <f>HYPERLINK("https://pbs.twimg.com/profile_images/849305283881054208/GLRl45CT_normal.jpg","View")</f>
        <v>View</v>
      </c>
      <c r="P3564" s="27"/>
    </row>
    <row r="3565">
      <c r="A3565" s="14">
        <v>43031.22715277778</v>
      </c>
      <c r="B3565" s="20" t="str">
        <f>HYPERLINK("https://twitter.com/19951ivannikov1","@19951ivannikov1")</f>
        <v>@19951ivannikov1</v>
      </c>
      <c r="C3565" s="21" t="s">
        <v>8305</v>
      </c>
      <c r="D3565" s="21" t="s">
        <v>2555</v>
      </c>
      <c r="E3565" s="22" t="str">
        <f>HYPERLINK("https://twitter.com/19951ivannikov1/status/922439234824179713","922439234824179713")</f>
        <v>922439234824179713</v>
      </c>
      <c r="F3565" s="23" t="s">
        <v>55</v>
      </c>
      <c r="G3565" s="24">
        <v>2.0</v>
      </c>
      <c r="H3565" s="24">
        <v>0.0</v>
      </c>
      <c r="I3565" s="24">
        <v>58.0</v>
      </c>
      <c r="J3565" s="24">
        <v>0.0</v>
      </c>
      <c r="K3565" s="23" t="s">
        <v>34</v>
      </c>
      <c r="L3565" s="25">
        <v>43015.58064814815</v>
      </c>
      <c r="M3565" s="28"/>
      <c r="N3565" s="28"/>
      <c r="O3565" s="22" t="str">
        <f>HYPERLINK("https://pbs.twimg.com/profile_images/921117306150797312/2ijIjc7H_normal.jpg","View")</f>
        <v>View</v>
      </c>
      <c r="P3565" s="27"/>
    </row>
    <row r="3566">
      <c r="A3566" s="14">
        <v>43031.227476851855</v>
      </c>
      <c r="B3566" s="20" t="str">
        <f>HYPERLINK("https://twitter.com/moimoimoikka","@moimoimoikka")</f>
        <v>@moimoimoikka</v>
      </c>
      <c r="C3566" s="21" t="s">
        <v>8309</v>
      </c>
      <c r="D3566" s="21" t="s">
        <v>42</v>
      </c>
      <c r="E3566" s="22" t="str">
        <f>HYPERLINK("https://twitter.com/moimoimoikka/status/922439353829277696","922439353829277696")</f>
        <v>922439353829277696</v>
      </c>
      <c r="F3566" s="23" t="s">
        <v>39</v>
      </c>
      <c r="G3566" s="24">
        <v>588.0</v>
      </c>
      <c r="H3566" s="24">
        <v>363.0</v>
      </c>
      <c r="I3566" s="24">
        <v>8501.0</v>
      </c>
      <c r="J3566" s="24">
        <v>0.0</v>
      </c>
      <c r="K3566" s="23" t="s">
        <v>34</v>
      </c>
      <c r="L3566" s="25">
        <v>41070.139560185184</v>
      </c>
      <c r="M3566" s="28"/>
      <c r="N3566" s="26" t="s">
        <v>8310</v>
      </c>
      <c r="O3566" s="22" t="str">
        <f>HYPERLINK("https://pbs.twimg.com/profile_images/602120440207712256/RMu1Kcey_normal.jpg","View")</f>
        <v>View</v>
      </c>
      <c r="P3566" s="27"/>
    </row>
    <row r="3567">
      <c r="A3567" s="14">
        <v>43031.227488425924</v>
      </c>
      <c r="B3567" s="20" t="str">
        <f>HYPERLINK("https://twitter.com/miki_kaneko","@miki_kaneko")</f>
        <v>@miki_kaneko</v>
      </c>
      <c r="C3567" s="21" t="s">
        <v>8311</v>
      </c>
      <c r="D3567" s="21" t="s">
        <v>42</v>
      </c>
      <c r="E3567" s="22" t="str">
        <f>HYPERLINK("https://twitter.com/miki_kaneko/status/922439356643606530","922439356643606530")</f>
        <v>922439356643606530</v>
      </c>
      <c r="F3567" s="23" t="s">
        <v>39</v>
      </c>
      <c r="G3567" s="24">
        <v>305.0</v>
      </c>
      <c r="H3567" s="24">
        <v>85.0</v>
      </c>
      <c r="I3567" s="24">
        <v>8501.0</v>
      </c>
      <c r="J3567" s="24">
        <v>0.0</v>
      </c>
      <c r="K3567" s="23" t="s">
        <v>34</v>
      </c>
      <c r="L3567" s="25">
        <v>40290.26557870371</v>
      </c>
      <c r="M3567" s="26" t="s">
        <v>923</v>
      </c>
      <c r="N3567" s="26" t="s">
        <v>8312</v>
      </c>
      <c r="O3567" s="22" t="str">
        <f>HYPERLINK("https://pbs.twimg.com/profile_images/902755196174028801/Hht4nr8m_normal.jpg","View")</f>
        <v>View</v>
      </c>
      <c r="P3567" s="27"/>
    </row>
    <row r="3568">
      <c r="A3568" s="14">
        <v>43031.22759259259</v>
      </c>
      <c r="B3568" s="20" t="str">
        <f>HYPERLINK("https://twitter.com/fc1575","@fc1575")</f>
        <v>@fc1575</v>
      </c>
      <c r="C3568" s="21" t="s">
        <v>6181</v>
      </c>
      <c r="D3568" s="21" t="s">
        <v>7403</v>
      </c>
      <c r="E3568" s="22" t="str">
        <f>HYPERLINK("https://twitter.com/fc1575/status/922439395461947392","922439395461947392")</f>
        <v>922439395461947392</v>
      </c>
      <c r="F3568" s="23" t="s">
        <v>39</v>
      </c>
      <c r="G3568" s="24">
        <v>456.0</v>
      </c>
      <c r="H3568" s="24">
        <v>244.0</v>
      </c>
      <c r="I3568" s="24">
        <v>29.0</v>
      </c>
      <c r="J3568" s="24">
        <v>0.0</v>
      </c>
      <c r="K3568" s="23" t="s">
        <v>34</v>
      </c>
      <c r="L3568" s="25">
        <v>40271.43622685185</v>
      </c>
      <c r="M3568" s="26" t="s">
        <v>6182</v>
      </c>
      <c r="N3568" s="26" t="s">
        <v>6183</v>
      </c>
      <c r="O3568" s="22" t="str">
        <f>HYPERLINK("https://pbs.twimg.com/profile_images/481545211311448064/XnRNXLOO_normal.jpeg","View")</f>
        <v>View</v>
      </c>
      <c r="P3568" s="27"/>
    </row>
    <row r="3569">
      <c r="A3569" s="14">
        <v>43031.227743055555</v>
      </c>
      <c r="B3569" s="20" t="str">
        <f>HYPERLINK("https://twitter.com/ashokjamba","@ashokjamba")</f>
        <v>@ashokjamba</v>
      </c>
      <c r="C3569" s="21" t="s">
        <v>8313</v>
      </c>
      <c r="D3569" s="21" t="s">
        <v>42</v>
      </c>
      <c r="E3569" s="22" t="str">
        <f>HYPERLINK("https://twitter.com/ashokjamba/status/922439448372985856","922439448372985856")</f>
        <v>922439448372985856</v>
      </c>
      <c r="F3569" s="23" t="s">
        <v>33</v>
      </c>
      <c r="G3569" s="24">
        <v>11.0</v>
      </c>
      <c r="H3569" s="24">
        <v>83.0</v>
      </c>
      <c r="I3569" s="24">
        <v>8501.0</v>
      </c>
      <c r="J3569" s="24">
        <v>0.0</v>
      </c>
      <c r="K3569" s="23" t="s">
        <v>34</v>
      </c>
      <c r="L3569" s="25">
        <v>41277.12599537037</v>
      </c>
      <c r="M3569" s="26" t="s">
        <v>8314</v>
      </c>
      <c r="N3569" s="28"/>
      <c r="O3569" s="22" t="str">
        <f>HYPERLINK("https://pbs.twimg.com/profile_images/821271514939097092/rqJIdCDD_normal.jpg","View")</f>
        <v>View</v>
      </c>
      <c r="P3569" s="27"/>
    </row>
    <row r="3570">
      <c r="A3570" s="14">
        <v>43031.227847222224</v>
      </c>
      <c r="B3570" s="20" t="str">
        <f>HYPERLINK("https://twitter.com/NKRedditNews","@NKRedditNews")</f>
        <v>@NKRedditNews</v>
      </c>
      <c r="C3570" s="21" t="s">
        <v>8315</v>
      </c>
      <c r="D3570" s="21" t="s">
        <v>8316</v>
      </c>
      <c r="E3570" s="22" t="str">
        <f>HYPERLINK("https://twitter.com/NKRedditNews/status/922439486927093760","922439486927093760")</f>
        <v>922439486927093760</v>
      </c>
      <c r="F3570" s="30" t="s">
        <v>411</v>
      </c>
      <c r="G3570" s="24">
        <v>10.0</v>
      </c>
      <c r="H3570" s="24">
        <v>0.0</v>
      </c>
      <c r="I3570" s="24">
        <v>0.0</v>
      </c>
      <c r="J3570" s="24">
        <v>0.0</v>
      </c>
      <c r="K3570" s="23" t="s">
        <v>34</v>
      </c>
      <c r="L3570" s="25">
        <v>42928.19677083333</v>
      </c>
      <c r="M3570" s="28"/>
      <c r="N3570" s="26" t="s">
        <v>8317</v>
      </c>
      <c r="O3570" s="22" t="str">
        <f>HYPERLINK("https://pbs.twimg.com/profile_images/885103680931983361/qQfJ42nm_normal.jpg","View")</f>
        <v>View</v>
      </c>
      <c r="P3570" s="27"/>
    </row>
    <row r="3571">
      <c r="A3571" s="14">
        <v>43031.22796296296</v>
      </c>
      <c r="B3571" s="20" t="str">
        <f>HYPERLINK("https://twitter.com/ksurjeet085","@ksurjeet085")</f>
        <v>@ksurjeet085</v>
      </c>
      <c r="C3571" s="21" t="s">
        <v>8318</v>
      </c>
      <c r="D3571" s="21" t="s">
        <v>42</v>
      </c>
      <c r="E3571" s="22" t="str">
        <f>HYPERLINK("https://twitter.com/ksurjeet085/status/922439529067266049","922439529067266049")</f>
        <v>922439529067266049</v>
      </c>
      <c r="F3571" s="23" t="s">
        <v>33</v>
      </c>
      <c r="G3571" s="24">
        <v>853.0</v>
      </c>
      <c r="H3571" s="24">
        <v>1019.0</v>
      </c>
      <c r="I3571" s="24">
        <v>8501.0</v>
      </c>
      <c r="J3571" s="24">
        <v>0.0</v>
      </c>
      <c r="K3571" s="23" t="s">
        <v>34</v>
      </c>
      <c r="L3571" s="25">
        <v>42347.3865625</v>
      </c>
      <c r="M3571" s="26" t="s">
        <v>227</v>
      </c>
      <c r="N3571" s="26" t="s">
        <v>8319</v>
      </c>
      <c r="O3571" s="22" t="str">
        <f>HYPERLINK("https://pbs.twimg.com/profile_images/906870837952749568/DqDh4slc_normal.jpg","View")</f>
        <v>View</v>
      </c>
      <c r="P3571" s="27"/>
    </row>
    <row r="3572">
      <c r="A3572" s="14">
        <v>43031.228009259255</v>
      </c>
      <c r="B3572" s="20" t="str">
        <f>HYPERLINK("https://twitter.com/SUBRAMA91904866","@SUBRAMA91904866")</f>
        <v>@SUBRAMA91904866</v>
      </c>
      <c r="C3572" s="21" t="s">
        <v>8320</v>
      </c>
      <c r="D3572" s="21" t="s">
        <v>42</v>
      </c>
      <c r="E3572" s="22" t="str">
        <f>HYPERLINK("https://twitter.com/SUBRAMA91904866/status/922439544942632960","922439544942632960")</f>
        <v>922439544942632960</v>
      </c>
      <c r="F3572" s="23" t="s">
        <v>33</v>
      </c>
      <c r="G3572" s="24">
        <v>1.0</v>
      </c>
      <c r="H3572" s="24">
        <v>55.0</v>
      </c>
      <c r="I3572" s="24">
        <v>8501.0</v>
      </c>
      <c r="J3572" s="24">
        <v>0.0</v>
      </c>
      <c r="K3572" s="23" t="s">
        <v>34</v>
      </c>
      <c r="L3572" s="25">
        <v>42999.93030092593</v>
      </c>
      <c r="M3572" s="26" t="s">
        <v>8321</v>
      </c>
      <c r="N3572" s="26" t="s">
        <v>8322</v>
      </c>
      <c r="O3572" s="22" t="str">
        <f>HYPERLINK("https://pbs.twimg.com/profile_images/917073252459020288/Kjpu1mnO_normal.jpg","View")</f>
        <v>View</v>
      </c>
      <c r="P3572" s="27"/>
    </row>
    <row r="3573">
      <c r="A3573" s="14">
        <v>43031.2280787037</v>
      </c>
      <c r="B3573" s="20" t="str">
        <f>HYPERLINK("https://twitter.com/19951ivannikov1","@19951ivannikov1")</f>
        <v>@19951ivannikov1</v>
      </c>
      <c r="C3573" s="21" t="s">
        <v>8305</v>
      </c>
      <c r="D3573" s="21" t="s">
        <v>404</v>
      </c>
      <c r="E3573" s="22" t="str">
        <f>HYPERLINK("https://twitter.com/19951ivannikov1/status/922439572608335873","922439572608335873")</f>
        <v>922439572608335873</v>
      </c>
      <c r="F3573" s="23" t="s">
        <v>55</v>
      </c>
      <c r="G3573" s="24">
        <v>2.0</v>
      </c>
      <c r="H3573" s="24">
        <v>0.0</v>
      </c>
      <c r="I3573" s="24">
        <v>59.0</v>
      </c>
      <c r="J3573" s="24">
        <v>0.0</v>
      </c>
      <c r="K3573" s="23" t="s">
        <v>34</v>
      </c>
      <c r="L3573" s="25">
        <v>43015.58064814815</v>
      </c>
      <c r="M3573" s="28"/>
      <c r="N3573" s="28"/>
      <c r="O3573" s="22" t="str">
        <f>HYPERLINK("https://pbs.twimg.com/profile_images/921117306150797312/2ijIjc7H_normal.jpg","View")</f>
        <v>View</v>
      </c>
      <c r="P3573" s="27"/>
    </row>
    <row r="3574">
      <c r="A3574" s="14">
        <v>43031.22814814815</v>
      </c>
      <c r="B3574" s="20" t="str">
        <f>HYPERLINK("https://twitter.com/simhapran","@simhapran")</f>
        <v>@simhapran</v>
      </c>
      <c r="C3574" s="21" t="s">
        <v>8323</v>
      </c>
      <c r="D3574" s="21" t="s">
        <v>42</v>
      </c>
      <c r="E3574" s="22" t="str">
        <f>HYPERLINK("https://twitter.com/simhapran/status/922439595479797761","922439595479797761")</f>
        <v>922439595479797761</v>
      </c>
      <c r="F3574" s="23" t="s">
        <v>33</v>
      </c>
      <c r="G3574" s="24">
        <v>96.0</v>
      </c>
      <c r="H3574" s="24">
        <v>99.0</v>
      </c>
      <c r="I3574" s="24">
        <v>8501.0</v>
      </c>
      <c r="J3574" s="24">
        <v>0.0</v>
      </c>
      <c r="K3574" s="23" t="s">
        <v>34</v>
      </c>
      <c r="L3574" s="25">
        <v>40619.88431712963</v>
      </c>
      <c r="M3574" s="26" t="s">
        <v>520</v>
      </c>
      <c r="N3574" s="28"/>
      <c r="O3574" s="22" t="str">
        <f>HYPERLINK("https://pbs.twimg.com/profile_images/1292474683/Pran___Vishnu_normal.jpg","View")</f>
        <v>View</v>
      </c>
      <c r="P3574" s="27"/>
    </row>
    <row r="3575">
      <c r="A3575" s="14">
        <v>43031.22815972222</v>
      </c>
      <c r="B3575" s="20" t="str">
        <f>HYPERLINK("https://twitter.com/VikashJ43026457","@VikashJ43026457")</f>
        <v>@VikashJ43026457</v>
      </c>
      <c r="C3575" s="21" t="s">
        <v>8324</v>
      </c>
      <c r="D3575" s="21" t="s">
        <v>42</v>
      </c>
      <c r="E3575" s="22" t="str">
        <f>HYPERLINK("https://twitter.com/VikashJ43026457/status/922439600471023616","922439600471023616")</f>
        <v>922439600471023616</v>
      </c>
      <c r="F3575" s="23" t="s">
        <v>33</v>
      </c>
      <c r="G3575" s="24">
        <v>3.0</v>
      </c>
      <c r="H3575" s="24">
        <v>100.0</v>
      </c>
      <c r="I3575" s="24">
        <v>8501.0</v>
      </c>
      <c r="J3575" s="24">
        <v>0.0</v>
      </c>
      <c r="K3575" s="23" t="s">
        <v>34</v>
      </c>
      <c r="L3575" s="25">
        <v>43014.99033564815</v>
      </c>
      <c r="M3575" s="26" t="s">
        <v>8325</v>
      </c>
      <c r="N3575" s="26" t="s">
        <v>8326</v>
      </c>
      <c r="O3575" s="22" t="str">
        <f>HYPERLINK("https://pbs.twimg.com/profile_images/916560399994036225/UD4d16C3_normal.jpg","View")</f>
        <v>View</v>
      </c>
      <c r="P3575" s="27"/>
    </row>
    <row r="3576">
      <c r="A3576" s="14">
        <v>43031.22819444444</v>
      </c>
      <c r="B3576" s="20" t="str">
        <f t="shared" ref="B3576:B3578" si="61">HYPERLINK("https://twitter.com/culture_japan","@culture_japan")</f>
        <v>@culture_japan</v>
      </c>
      <c r="C3576" s="21" t="s">
        <v>3690</v>
      </c>
      <c r="D3576" s="21" t="s">
        <v>8327</v>
      </c>
      <c r="E3576" s="22" t="str">
        <f>HYPERLINK("https://twitter.com/culture_japan/status/922439612592787456","922439612592787456")</f>
        <v>922439612592787456</v>
      </c>
      <c r="F3576" s="23" t="s">
        <v>3692</v>
      </c>
      <c r="G3576" s="24">
        <v>202.0</v>
      </c>
      <c r="H3576" s="24">
        <v>369.0</v>
      </c>
      <c r="I3576" s="24">
        <v>0.0</v>
      </c>
      <c r="J3576" s="24">
        <v>0.0</v>
      </c>
      <c r="K3576" s="23" t="s">
        <v>34</v>
      </c>
      <c r="L3576" s="25">
        <v>42985.21491898148</v>
      </c>
      <c r="M3576" s="26" t="s">
        <v>3693</v>
      </c>
      <c r="N3576" s="26" t="s">
        <v>3694</v>
      </c>
      <c r="O3576" s="22" t="str">
        <f t="shared" ref="O3576:O3578" si="62">HYPERLINK("https://pbs.twimg.com/profile_images/905765841622495233/8kPmmi5H_normal.jpg","View")</f>
        <v>View</v>
      </c>
      <c r="P3576" s="27"/>
    </row>
    <row r="3577">
      <c r="A3577" s="14">
        <v>43031.22819444444</v>
      </c>
      <c r="B3577" s="20" t="str">
        <f t="shared" si="61"/>
        <v>@culture_japan</v>
      </c>
      <c r="C3577" s="21" t="s">
        <v>3690</v>
      </c>
      <c r="D3577" s="21" t="s">
        <v>8328</v>
      </c>
      <c r="E3577" s="22" t="str">
        <f>HYPERLINK("https://twitter.com/culture_japan/status/922439613138046977","922439613138046977")</f>
        <v>922439613138046977</v>
      </c>
      <c r="F3577" s="23" t="s">
        <v>3692</v>
      </c>
      <c r="G3577" s="24">
        <v>202.0</v>
      </c>
      <c r="H3577" s="24">
        <v>369.0</v>
      </c>
      <c r="I3577" s="24">
        <v>0.0</v>
      </c>
      <c r="J3577" s="24">
        <v>0.0</v>
      </c>
      <c r="K3577" s="23" t="s">
        <v>34</v>
      </c>
      <c r="L3577" s="25">
        <v>42985.21491898148</v>
      </c>
      <c r="M3577" s="26" t="s">
        <v>3693</v>
      </c>
      <c r="N3577" s="26" t="s">
        <v>3694</v>
      </c>
      <c r="O3577" s="22" t="str">
        <f t="shared" si="62"/>
        <v>View</v>
      </c>
      <c r="P3577" s="27"/>
    </row>
    <row r="3578">
      <c r="A3578" s="14">
        <v>43031.22833333333</v>
      </c>
      <c r="B3578" s="20" t="str">
        <f t="shared" si="61"/>
        <v>@culture_japan</v>
      </c>
      <c r="C3578" s="21" t="s">
        <v>3690</v>
      </c>
      <c r="D3578" s="21" t="s">
        <v>8329</v>
      </c>
      <c r="E3578" s="22" t="str">
        <f>HYPERLINK("https://twitter.com/culture_japan/status/922439665180921857","922439665180921857")</f>
        <v>922439665180921857</v>
      </c>
      <c r="F3578" s="23" t="s">
        <v>3692</v>
      </c>
      <c r="G3578" s="24">
        <v>202.0</v>
      </c>
      <c r="H3578" s="24">
        <v>369.0</v>
      </c>
      <c r="I3578" s="24">
        <v>0.0</v>
      </c>
      <c r="J3578" s="24">
        <v>0.0</v>
      </c>
      <c r="K3578" s="23" t="s">
        <v>34</v>
      </c>
      <c r="L3578" s="25">
        <v>42985.21491898148</v>
      </c>
      <c r="M3578" s="26" t="s">
        <v>3693</v>
      </c>
      <c r="N3578" s="26" t="s">
        <v>3694</v>
      </c>
      <c r="O3578" s="22" t="str">
        <f t="shared" si="62"/>
        <v>View</v>
      </c>
      <c r="P3578" s="27"/>
    </row>
    <row r="3579">
      <c r="A3579" s="14">
        <v>43031.228368055556</v>
      </c>
      <c r="B3579" s="20" t="str">
        <f>HYPERLINK("https://twitter.com/ezspk","@ezspk")</f>
        <v>@ezspk</v>
      </c>
      <c r="C3579" s="21" t="s">
        <v>8330</v>
      </c>
      <c r="D3579" s="21" t="s">
        <v>8331</v>
      </c>
      <c r="E3579" s="22" t="str">
        <f>HYPERLINK("https://twitter.com/ezspk/status/922439677960785920","922439677960785920")</f>
        <v>922439677960785920</v>
      </c>
      <c r="F3579" s="23" t="s">
        <v>8332</v>
      </c>
      <c r="G3579" s="24">
        <v>15562.0</v>
      </c>
      <c r="H3579" s="24">
        <v>564.0</v>
      </c>
      <c r="I3579" s="24">
        <v>0.0</v>
      </c>
      <c r="J3579" s="24">
        <v>0.0</v>
      </c>
      <c r="K3579" s="23" t="s">
        <v>34</v>
      </c>
      <c r="L3579" s="25">
        <v>40544.215532407405</v>
      </c>
      <c r="M3579" s="26" t="s">
        <v>8333</v>
      </c>
      <c r="N3579" s="26" t="s">
        <v>8334</v>
      </c>
      <c r="O3579" s="22" t="str">
        <f>HYPERLINK("https://pbs.twimg.com/profile_images/673925194310922241/r9wldh7g_normal.png","View")</f>
        <v>View</v>
      </c>
      <c r="P3579" s="27"/>
    </row>
    <row r="3580">
      <c r="A3580" s="14">
        <v>43031.2284375</v>
      </c>
      <c r="B3580" s="20" t="str">
        <f>HYPERLINK("https://twitter.com/d38406864","@d38406864")</f>
        <v>@d38406864</v>
      </c>
      <c r="C3580" s="21" t="s">
        <v>8335</v>
      </c>
      <c r="D3580" s="21" t="s">
        <v>42</v>
      </c>
      <c r="E3580" s="22" t="str">
        <f>HYPERLINK("https://twitter.com/d38406864/status/922439699976871936","922439699976871936")</f>
        <v>922439699976871936</v>
      </c>
      <c r="F3580" s="23" t="s">
        <v>33</v>
      </c>
      <c r="G3580" s="24">
        <v>13.0</v>
      </c>
      <c r="H3580" s="24">
        <v>79.0</v>
      </c>
      <c r="I3580" s="24">
        <v>8501.0</v>
      </c>
      <c r="J3580" s="24">
        <v>0.0</v>
      </c>
      <c r="K3580" s="23" t="s">
        <v>34</v>
      </c>
      <c r="L3580" s="25">
        <v>43009.974375000005</v>
      </c>
      <c r="M3580" s="28"/>
      <c r="N3580" s="28"/>
      <c r="O3580" s="22" t="str">
        <f>HYPERLINK("https://abs.twimg.com/sticky/default_profile_images/default_profile_normal.png","View")</f>
        <v>View</v>
      </c>
      <c r="P3580" s="27"/>
    </row>
    <row r="3581">
      <c r="A3581" s="14">
        <v>43031.22850694445</v>
      </c>
      <c r="B3581" s="20" t="str">
        <f>HYPERLINK("https://twitter.com/sanket_khedkar","@sanket_khedkar")</f>
        <v>@sanket_khedkar</v>
      </c>
      <c r="C3581" s="21" t="s">
        <v>8336</v>
      </c>
      <c r="D3581" s="21" t="s">
        <v>42</v>
      </c>
      <c r="E3581" s="22" t="str">
        <f>HYPERLINK("https://twitter.com/sanket_khedkar/status/922439726862184451","922439726862184451")</f>
        <v>922439726862184451</v>
      </c>
      <c r="F3581" s="23" t="s">
        <v>33</v>
      </c>
      <c r="G3581" s="24">
        <v>107.0</v>
      </c>
      <c r="H3581" s="24">
        <v>105.0</v>
      </c>
      <c r="I3581" s="24">
        <v>8501.0</v>
      </c>
      <c r="J3581" s="24">
        <v>0.0</v>
      </c>
      <c r="K3581" s="23" t="s">
        <v>34</v>
      </c>
      <c r="L3581" s="25">
        <v>40822.456504629634</v>
      </c>
      <c r="M3581" s="26" t="s">
        <v>8337</v>
      </c>
      <c r="N3581" s="26" t="s">
        <v>8338</v>
      </c>
      <c r="O3581" s="22" t="str">
        <f>HYPERLINK("https://pbs.twimg.com/profile_images/882967485892501506/ndTH_BGD_normal.jpg","View")</f>
        <v>View</v>
      </c>
      <c r="P3581" s="27"/>
    </row>
    <row r="3582">
      <c r="A3582" s="14">
        <v>43031.22862268519</v>
      </c>
      <c r="B3582" s="20" t="str">
        <f>HYPERLINK("https://twitter.com/siddhartha10","@siddhartha10")</f>
        <v>@siddhartha10</v>
      </c>
      <c r="C3582" s="21" t="s">
        <v>8339</v>
      </c>
      <c r="D3582" s="21" t="s">
        <v>42</v>
      </c>
      <c r="E3582" s="22" t="str">
        <f>HYPERLINK("https://twitter.com/siddhartha10/status/922439766129430528","922439766129430528")</f>
        <v>922439766129430528</v>
      </c>
      <c r="F3582" s="23" t="s">
        <v>39</v>
      </c>
      <c r="G3582" s="24">
        <v>211.0</v>
      </c>
      <c r="H3582" s="24">
        <v>441.0</v>
      </c>
      <c r="I3582" s="24">
        <v>8501.0</v>
      </c>
      <c r="J3582" s="24">
        <v>0.0</v>
      </c>
      <c r="K3582" s="23" t="s">
        <v>34</v>
      </c>
      <c r="L3582" s="25">
        <v>40189.5947337963</v>
      </c>
      <c r="M3582" s="26" t="s">
        <v>8340</v>
      </c>
      <c r="N3582" s="26" t="s">
        <v>8341</v>
      </c>
      <c r="O3582" s="22" t="str">
        <f>HYPERLINK("https://pbs.twimg.com/profile_images/904500844271456256/Wij8BVNI_normal.jpg","View")</f>
        <v>View</v>
      </c>
      <c r="P3582" s="27"/>
    </row>
    <row r="3583">
      <c r="A3583" s="14">
        <v>43031.22862268519</v>
      </c>
      <c r="B3583" s="20" t="str">
        <f>HYPERLINK("https://twitter.com/mayu11112222","@mayu11112222")</f>
        <v>@mayu11112222</v>
      </c>
      <c r="C3583" s="21" t="s">
        <v>8342</v>
      </c>
      <c r="D3583" s="21" t="s">
        <v>42</v>
      </c>
      <c r="E3583" s="22" t="str">
        <f>HYPERLINK("https://twitter.com/mayu11112222/status/922439766137757696","922439766137757696")</f>
        <v>922439766137757696</v>
      </c>
      <c r="F3583" s="23" t="s">
        <v>39</v>
      </c>
      <c r="G3583" s="24">
        <v>7.0</v>
      </c>
      <c r="H3583" s="24">
        <v>108.0</v>
      </c>
      <c r="I3583" s="24">
        <v>8501.0</v>
      </c>
      <c r="J3583" s="24">
        <v>0.0</v>
      </c>
      <c r="K3583" s="23" t="s">
        <v>34</v>
      </c>
      <c r="L3583" s="25">
        <v>42814.85278935185</v>
      </c>
      <c r="M3583" s="28"/>
      <c r="N3583" s="28"/>
      <c r="O3583" s="22" t="str">
        <f>HYPERLINK("https://pbs.twimg.com/profile_images/917199069105217537/t5E_my5Z_normal.jpg","View")</f>
        <v>View</v>
      </c>
      <c r="P3583" s="27"/>
    </row>
    <row r="3584">
      <c r="A3584" s="14">
        <v>43031.228634259256</v>
      </c>
      <c r="B3584" s="20" t="str">
        <f>HYPERLINK("https://twitter.com/kumarpawan9350","@kumarpawan9350")</f>
        <v>@kumarpawan9350</v>
      </c>
      <c r="C3584" s="21" t="s">
        <v>8343</v>
      </c>
      <c r="D3584" s="21" t="s">
        <v>42</v>
      </c>
      <c r="E3584" s="22" t="str">
        <f>HYPERLINK("https://twitter.com/kumarpawan9350/status/922439774329225216","922439774329225216")</f>
        <v>922439774329225216</v>
      </c>
      <c r="F3584" s="23" t="s">
        <v>39</v>
      </c>
      <c r="G3584" s="24">
        <v>118.0</v>
      </c>
      <c r="H3584" s="24">
        <v>685.0</v>
      </c>
      <c r="I3584" s="24">
        <v>8501.0</v>
      </c>
      <c r="J3584" s="24">
        <v>0.0</v>
      </c>
      <c r="K3584" s="23" t="s">
        <v>34</v>
      </c>
      <c r="L3584" s="25">
        <v>42660.20599537037</v>
      </c>
      <c r="M3584" s="26" t="s">
        <v>8344</v>
      </c>
      <c r="N3584" s="26" t="s">
        <v>8345</v>
      </c>
      <c r="O3584" s="22" t="str">
        <f>HYPERLINK("https://pbs.twimg.com/profile_images/802255949784182785/Bv_b5Di6_normal.jpg","View")</f>
        <v>View</v>
      </c>
      <c r="P3584" s="27"/>
    </row>
    <row r="3585">
      <c r="A3585" s="14">
        <v>43031.228680555556</v>
      </c>
      <c r="B3585" s="20" t="str">
        <f>HYPERLINK("https://twitter.com/OptionsTip","@OptionsTip")</f>
        <v>@OptionsTip</v>
      </c>
      <c r="C3585" s="21" t="s">
        <v>8346</v>
      </c>
      <c r="D3585" s="21" t="s">
        <v>8347</v>
      </c>
      <c r="E3585" s="22" t="str">
        <f>HYPERLINK("https://twitter.com/OptionsTip/status/922439789483380736","922439789483380736")</f>
        <v>922439789483380736</v>
      </c>
      <c r="F3585" s="23" t="s">
        <v>8348</v>
      </c>
      <c r="G3585" s="24">
        <v>679.0</v>
      </c>
      <c r="H3585" s="24">
        <v>956.0</v>
      </c>
      <c r="I3585" s="24">
        <v>0.0</v>
      </c>
      <c r="J3585" s="24">
        <v>0.0</v>
      </c>
      <c r="K3585" s="23" t="s">
        <v>34</v>
      </c>
      <c r="L3585" s="25">
        <v>40034.77528935185</v>
      </c>
      <c r="M3585" s="26" t="s">
        <v>204</v>
      </c>
      <c r="N3585" s="28"/>
      <c r="O3585" s="22" t="str">
        <f>HYPERLINK("https://pbs.twimg.com/profile_images/3698484594/e5ae6371e9d39a2561f3815c47b6b5db_normal.jpeg","View")</f>
        <v>View</v>
      </c>
      <c r="P3585" s="27"/>
    </row>
    <row r="3586">
      <c r="A3586" s="14">
        <v>43031.22880787037</v>
      </c>
      <c r="B3586" s="20" t="str">
        <f>HYPERLINK("https://twitter.com/thatguyfromind","@thatguyfromind")</f>
        <v>@thatguyfromind</v>
      </c>
      <c r="C3586" s="21" t="s">
        <v>8349</v>
      </c>
      <c r="D3586" s="21" t="s">
        <v>42</v>
      </c>
      <c r="E3586" s="22" t="str">
        <f>HYPERLINK("https://twitter.com/thatguyfromind/status/922439836413386752","922439836413386752")</f>
        <v>922439836413386752</v>
      </c>
      <c r="F3586" s="23" t="s">
        <v>39</v>
      </c>
      <c r="G3586" s="24">
        <v>64.0</v>
      </c>
      <c r="H3586" s="24">
        <v>46.0</v>
      </c>
      <c r="I3586" s="24">
        <v>8501.0</v>
      </c>
      <c r="J3586" s="24">
        <v>0.0</v>
      </c>
      <c r="K3586" s="23" t="s">
        <v>34</v>
      </c>
      <c r="L3586" s="25">
        <v>41641.898877314816</v>
      </c>
      <c r="M3586" s="26" t="s">
        <v>5961</v>
      </c>
      <c r="N3586" s="28"/>
      <c r="O3586" s="22" t="str">
        <f>HYPERLINK("https://pbs.twimg.com/profile_images/893868131374030850/UismLkeH_normal.jpg","View")</f>
        <v>View</v>
      </c>
      <c r="P3586" s="27"/>
    </row>
    <row r="3587">
      <c r="A3587" s="14">
        <v>43031.22881944444</v>
      </c>
      <c r="B3587" s="20" t="str">
        <f>HYPERLINK("https://twitter.com/OFBJPAus","@OFBJPAus")</f>
        <v>@OFBJPAus</v>
      </c>
      <c r="C3587" s="21" t="s">
        <v>8350</v>
      </c>
      <c r="D3587" s="21" t="s">
        <v>42</v>
      </c>
      <c r="E3587" s="22" t="str">
        <f>HYPERLINK("https://twitter.com/OFBJPAus/status/922439841278652422","922439841278652422")</f>
        <v>922439841278652422</v>
      </c>
      <c r="F3587" s="23" t="s">
        <v>769</v>
      </c>
      <c r="G3587" s="24">
        <v>1137.0</v>
      </c>
      <c r="H3587" s="24">
        <v>227.0</v>
      </c>
      <c r="I3587" s="24">
        <v>8501.0</v>
      </c>
      <c r="J3587" s="24">
        <v>0.0</v>
      </c>
      <c r="K3587" s="23" t="s">
        <v>34</v>
      </c>
      <c r="L3587" s="25">
        <v>41530.9306712963</v>
      </c>
      <c r="M3587" s="26" t="s">
        <v>8351</v>
      </c>
      <c r="N3587" s="26" t="s">
        <v>8352</v>
      </c>
      <c r="O3587" s="22" t="str">
        <f>HYPERLINK("https://pbs.twimg.com/profile_images/378800000715928184/b25d4040bcc7a80f8bcc40c3ad6561f1_normal.png","View")</f>
        <v>View</v>
      </c>
      <c r="P3587" s="27"/>
    </row>
    <row r="3588">
      <c r="A3588" s="14">
        <v>43031.22887731482</v>
      </c>
      <c r="B3588" s="20" t="str">
        <f>HYPERLINK("https://twitter.com/twit48aa","@twit48aa")</f>
        <v>@twit48aa</v>
      </c>
      <c r="C3588" s="21" t="s">
        <v>8353</v>
      </c>
      <c r="D3588" s="21" t="s">
        <v>8354</v>
      </c>
      <c r="E3588" s="22" t="str">
        <f>HYPERLINK("https://twitter.com/twit48aa/status/922439858722877441","922439858722877441")</f>
        <v>922439858722877441</v>
      </c>
      <c r="F3588" s="23" t="s">
        <v>187</v>
      </c>
      <c r="G3588" s="24">
        <v>11.0</v>
      </c>
      <c r="H3588" s="24">
        <v>81.0</v>
      </c>
      <c r="I3588" s="24">
        <v>0.0</v>
      </c>
      <c r="J3588" s="24">
        <v>0.0</v>
      </c>
      <c r="K3588" s="23" t="s">
        <v>34</v>
      </c>
      <c r="L3588" s="25">
        <v>41375.22274305556</v>
      </c>
      <c r="M3588" s="26" t="s">
        <v>8355</v>
      </c>
      <c r="N3588" s="26" t="s">
        <v>8356</v>
      </c>
      <c r="O3588" s="22" t="str">
        <f>HYPERLINK("https://pbs.twimg.com/profile_images/3506164379/590ab77a416cbb6b88d0f6abb07e22fe_normal.jpeg","View")</f>
        <v>View</v>
      </c>
      <c r="P3588" s="27"/>
    </row>
    <row r="3589">
      <c r="A3589" s="14">
        <v>43031.22894675926</v>
      </c>
      <c r="B3589" s="20" t="str">
        <f>HYPERLINK("https://twitter.com/Psy_O8","@Psy_O8")</f>
        <v>@Psy_O8</v>
      </c>
      <c r="C3589" s="21" t="s">
        <v>8357</v>
      </c>
      <c r="D3589" s="21" t="s">
        <v>32</v>
      </c>
      <c r="E3589" s="22" t="str">
        <f>HYPERLINK("https://twitter.com/Psy_O8/status/922439887126761477","922439887126761477")</f>
        <v>922439887126761477</v>
      </c>
      <c r="F3589" s="23" t="s">
        <v>33</v>
      </c>
      <c r="G3589" s="24">
        <v>1003.0</v>
      </c>
      <c r="H3589" s="24">
        <v>715.0</v>
      </c>
      <c r="I3589" s="24">
        <v>471.0</v>
      </c>
      <c r="J3589" s="24">
        <v>0.0</v>
      </c>
      <c r="K3589" s="23" t="s">
        <v>34</v>
      </c>
      <c r="L3589" s="25">
        <v>40044.08335648148</v>
      </c>
      <c r="M3589" s="26" t="s">
        <v>843</v>
      </c>
      <c r="N3589" s="26" t="s">
        <v>8358</v>
      </c>
      <c r="O3589" s="22" t="str">
        <f>HYPERLINK("https://pbs.twimg.com/profile_images/844860056168513536/hdLoQtR6_normal.jpg","View")</f>
        <v>View</v>
      </c>
      <c r="P3589" s="27"/>
    </row>
    <row r="3590">
      <c r="A3590" s="14">
        <v>43031.22903935185</v>
      </c>
      <c r="B3590" s="20" t="str">
        <f t="shared" ref="B3590:B3591" si="63">HYPERLINK("https://twitter.com/OptionsTip","@OptionsTip")</f>
        <v>@OptionsTip</v>
      </c>
      <c r="C3590" s="21" t="s">
        <v>8346</v>
      </c>
      <c r="D3590" s="21" t="s">
        <v>8359</v>
      </c>
      <c r="E3590" s="22" t="str">
        <f>HYPERLINK("https://twitter.com/OptionsTip/status/922439917652922368","922439917652922368")</f>
        <v>922439917652922368</v>
      </c>
      <c r="F3590" s="23" t="s">
        <v>8348</v>
      </c>
      <c r="G3590" s="24">
        <v>679.0</v>
      </c>
      <c r="H3590" s="24">
        <v>956.0</v>
      </c>
      <c r="I3590" s="24">
        <v>0.0</v>
      </c>
      <c r="J3590" s="24">
        <v>0.0</v>
      </c>
      <c r="K3590" s="23" t="s">
        <v>34</v>
      </c>
      <c r="L3590" s="25">
        <v>40034.77528935185</v>
      </c>
      <c r="M3590" s="26" t="s">
        <v>204</v>
      </c>
      <c r="N3590" s="28"/>
      <c r="O3590" s="22" t="str">
        <f t="shared" ref="O3590:O3591" si="64">HYPERLINK("https://pbs.twimg.com/profile_images/3698484594/e5ae6371e9d39a2561f3815c47b6b5db_normal.jpeg","View")</f>
        <v>View</v>
      </c>
      <c r="P3590" s="27"/>
    </row>
    <row r="3591">
      <c r="A3591" s="14">
        <v>43031.22907407407</v>
      </c>
      <c r="B3591" s="20" t="str">
        <f t="shared" si="63"/>
        <v>@OptionsTip</v>
      </c>
      <c r="C3591" s="21" t="s">
        <v>8346</v>
      </c>
      <c r="D3591" s="21" t="s">
        <v>8360</v>
      </c>
      <c r="E3591" s="22" t="str">
        <f>HYPERLINK("https://twitter.com/OptionsTip/status/922439932685283329","922439932685283329")</f>
        <v>922439932685283329</v>
      </c>
      <c r="F3591" s="23" t="s">
        <v>8348</v>
      </c>
      <c r="G3591" s="24">
        <v>679.0</v>
      </c>
      <c r="H3591" s="24">
        <v>956.0</v>
      </c>
      <c r="I3591" s="24">
        <v>0.0</v>
      </c>
      <c r="J3591" s="24">
        <v>0.0</v>
      </c>
      <c r="K3591" s="23" t="s">
        <v>34</v>
      </c>
      <c r="L3591" s="25">
        <v>40034.77528935185</v>
      </c>
      <c r="M3591" s="26" t="s">
        <v>204</v>
      </c>
      <c r="N3591" s="28"/>
      <c r="O3591" s="22" t="str">
        <f t="shared" si="64"/>
        <v>View</v>
      </c>
      <c r="P3591" s="27"/>
    </row>
    <row r="3592">
      <c r="A3592" s="14">
        <v>43031.22914351852</v>
      </c>
      <c r="B3592" s="20" t="str">
        <f>HYPERLINK("https://twitter.com/spsinghbjp","@spsinghbjp")</f>
        <v>@spsinghbjp</v>
      </c>
      <c r="C3592" s="21" t="s">
        <v>8361</v>
      </c>
      <c r="D3592" s="21" t="s">
        <v>42</v>
      </c>
      <c r="E3592" s="22" t="str">
        <f>HYPERLINK("https://twitter.com/spsinghbjp/status/922439956491993100","922439956491993100")</f>
        <v>922439956491993100</v>
      </c>
      <c r="F3592" s="23" t="s">
        <v>33</v>
      </c>
      <c r="G3592" s="24">
        <v>821.0</v>
      </c>
      <c r="H3592" s="24">
        <v>2721.0</v>
      </c>
      <c r="I3592" s="24">
        <v>8501.0</v>
      </c>
      <c r="J3592" s="24">
        <v>0.0</v>
      </c>
      <c r="K3592" s="23" t="s">
        <v>34</v>
      </c>
      <c r="L3592" s="25">
        <v>40207.999548611115</v>
      </c>
      <c r="M3592" s="26" t="s">
        <v>8362</v>
      </c>
      <c r="N3592" s="26" t="s">
        <v>8363</v>
      </c>
      <c r="O3592" s="22" t="str">
        <f>HYPERLINK("https://pbs.twimg.com/profile_images/873772038300647424/j-rQ7isw_normal.jpg","View")</f>
        <v>View</v>
      </c>
      <c r="P3592" s="27"/>
    </row>
    <row r="3593">
      <c r="A3593" s="14">
        <v>43031.22917824074</v>
      </c>
      <c r="B3593" s="20" t="str">
        <f>HYPERLINK("https://twitter.com/elerianm","@elerianm")</f>
        <v>@elerianm</v>
      </c>
      <c r="C3593" s="21" t="s">
        <v>8364</v>
      </c>
      <c r="D3593" s="21" t="s">
        <v>8365</v>
      </c>
      <c r="E3593" s="22" t="str">
        <f>HYPERLINK("https://twitter.com/elerianm/status/922439968537985025","922439968537985025")</f>
        <v>922439968537985025</v>
      </c>
      <c r="F3593" s="23" t="s">
        <v>769</v>
      </c>
      <c r="G3593" s="24">
        <v>169316.0</v>
      </c>
      <c r="H3593" s="24">
        <v>772.0</v>
      </c>
      <c r="I3593" s="24">
        <v>10.0</v>
      </c>
      <c r="J3593" s="24">
        <v>9.0</v>
      </c>
      <c r="K3593" s="23" t="s">
        <v>34</v>
      </c>
      <c r="L3593" s="25">
        <v>40733.87537037037</v>
      </c>
      <c r="M3593" s="26" t="s">
        <v>905</v>
      </c>
      <c r="N3593" s="26" t="s">
        <v>8366</v>
      </c>
      <c r="O3593" s="22" t="str">
        <f>HYPERLINK("https://pbs.twimg.com/profile_images/690382007159951360/DENITppH_normal.jpg","View")</f>
        <v>View</v>
      </c>
      <c r="P3593" s="27"/>
    </row>
    <row r="3594">
      <c r="A3594" s="14">
        <v>43031.22920138889</v>
      </c>
      <c r="B3594" s="20" t="str">
        <f>HYPERLINK("https://twitter.com/theknifemedia","@theknifemedia")</f>
        <v>@theknifemedia</v>
      </c>
      <c r="C3594" s="21" t="s">
        <v>8367</v>
      </c>
      <c r="D3594" s="21" t="s">
        <v>8368</v>
      </c>
      <c r="E3594" s="22" t="str">
        <f>HYPERLINK("https://twitter.com/theknifemedia/status/922439977790828544","922439977790828544")</f>
        <v>922439977790828544</v>
      </c>
      <c r="F3594" s="23" t="s">
        <v>4619</v>
      </c>
      <c r="G3594" s="24">
        <v>3088.0</v>
      </c>
      <c r="H3594" s="24">
        <v>1604.0</v>
      </c>
      <c r="I3594" s="24">
        <v>0.0</v>
      </c>
      <c r="J3594" s="24">
        <v>1.0</v>
      </c>
      <c r="K3594" s="23" t="s">
        <v>34</v>
      </c>
      <c r="L3594" s="25">
        <v>42275.53983796296</v>
      </c>
      <c r="M3594" s="28"/>
      <c r="N3594" s="26" t="s">
        <v>8369</v>
      </c>
      <c r="O3594" s="22" t="str">
        <f>HYPERLINK("https://pbs.twimg.com/profile_images/884501064657121280/_jMX1apl_normal.jpg","View")</f>
        <v>View</v>
      </c>
      <c r="P3594" s="27"/>
    </row>
    <row r="3595">
      <c r="A3595" s="14">
        <v>43031.22922453703</v>
      </c>
      <c r="B3595" s="20" t="str">
        <f>HYPERLINK("https://twitter.com/haraldpflueger","@haraldpflueger")</f>
        <v>@haraldpflueger</v>
      </c>
      <c r="C3595" s="21" t="s">
        <v>8370</v>
      </c>
      <c r="D3595" s="21" t="s">
        <v>8371</v>
      </c>
      <c r="E3595" s="22" t="str">
        <f>HYPERLINK("https://twitter.com/haraldpflueger/status/922439984837165057","922439984837165057")</f>
        <v>922439984837165057</v>
      </c>
      <c r="F3595" s="23" t="s">
        <v>8372</v>
      </c>
      <c r="G3595" s="24">
        <v>3355.0</v>
      </c>
      <c r="H3595" s="24">
        <v>376.0</v>
      </c>
      <c r="I3595" s="24">
        <v>1.0</v>
      </c>
      <c r="J3595" s="24">
        <v>0.0</v>
      </c>
      <c r="K3595" s="23" t="s">
        <v>34</v>
      </c>
      <c r="L3595" s="25">
        <v>39439.75510416667</v>
      </c>
      <c r="M3595" s="28"/>
      <c r="N3595" s="26" t="s">
        <v>8373</v>
      </c>
      <c r="O3595" s="22" t="str">
        <f>HYPERLINK("https://pbs.twimg.com/profile_images/3459688796/c7ecff62d9592dd65940d23c17715c4a_normal.jpeg","View")</f>
        <v>View</v>
      </c>
      <c r="P3595" s="27"/>
    </row>
    <row r="3596">
      <c r="A3596" s="14">
        <v>43031.2293287037</v>
      </c>
      <c r="B3596" s="20" t="str">
        <f>HYPERLINK("https://twitter.com/Rameshwartewar1","@Rameshwartewar1")</f>
        <v>@Rameshwartewar1</v>
      </c>
      <c r="C3596" s="21" t="s">
        <v>8374</v>
      </c>
      <c r="D3596" s="21" t="s">
        <v>430</v>
      </c>
      <c r="E3596" s="22" t="str">
        <f>HYPERLINK("https://twitter.com/Rameshwartewar1/status/922440025362505728","922440025362505728")</f>
        <v>922440025362505728</v>
      </c>
      <c r="F3596" s="23" t="s">
        <v>33</v>
      </c>
      <c r="G3596" s="24">
        <v>4.0</v>
      </c>
      <c r="H3596" s="24">
        <v>92.0</v>
      </c>
      <c r="I3596" s="24">
        <v>62.0</v>
      </c>
      <c r="J3596" s="24">
        <v>0.0</v>
      </c>
      <c r="K3596" s="23" t="s">
        <v>34</v>
      </c>
      <c r="L3596" s="25">
        <v>43012.2346412037</v>
      </c>
      <c r="M3596" s="26" t="s">
        <v>8375</v>
      </c>
      <c r="N3596" s="28"/>
      <c r="O3596" s="22" t="str">
        <f>HYPERLINK("https://abs.twimg.com/sticky/default_profile_images/default_profile_normal.png","View")</f>
        <v>View</v>
      </c>
      <c r="P3596" s="27"/>
    </row>
    <row r="3597">
      <c r="A3597" s="14">
        <v>43031.229351851856</v>
      </c>
      <c r="B3597" s="20" t="str">
        <f>HYPERLINK("https://twitter.com/JplusLo8","@JplusLo8")</f>
        <v>@JplusLo8</v>
      </c>
      <c r="C3597" s="21" t="s">
        <v>8376</v>
      </c>
      <c r="D3597" s="21" t="s">
        <v>6973</v>
      </c>
      <c r="E3597" s="22" t="str">
        <f>HYPERLINK("https://twitter.com/JplusLo8/status/922440032417394688","922440032417394688")</f>
        <v>922440032417394688</v>
      </c>
      <c r="F3597" s="23" t="s">
        <v>86</v>
      </c>
      <c r="G3597" s="24">
        <v>11468.0</v>
      </c>
      <c r="H3597" s="24">
        <v>1613.0</v>
      </c>
      <c r="I3597" s="24">
        <v>10.0</v>
      </c>
      <c r="J3597" s="24">
        <v>0.0</v>
      </c>
      <c r="K3597" s="23" t="s">
        <v>34</v>
      </c>
      <c r="L3597" s="25">
        <v>41289.289930555555</v>
      </c>
      <c r="M3597" s="28"/>
      <c r="N3597" s="26" t="s">
        <v>8377</v>
      </c>
      <c r="O3597" s="22" t="str">
        <f>HYPERLINK("https://pbs.twimg.com/profile_images/3112684606/4848ff7ce57448028a190106571e2ccc_normal.jpeg","View")</f>
        <v>View</v>
      </c>
      <c r="P3597" s="27"/>
    </row>
    <row r="3598">
      <c r="A3598" s="14">
        <v>43031.229351851856</v>
      </c>
      <c r="B3598" s="20" t="str">
        <f>HYPERLINK("https://twitter.com/OptionsTip","@OptionsTip")</f>
        <v>@OptionsTip</v>
      </c>
      <c r="C3598" s="21" t="s">
        <v>8346</v>
      </c>
      <c r="D3598" s="21" t="s">
        <v>8378</v>
      </c>
      <c r="E3598" s="22" t="str">
        <f>HYPERLINK("https://twitter.com/OptionsTip/status/922440033231097856","922440033231097856")</f>
        <v>922440033231097856</v>
      </c>
      <c r="F3598" s="23" t="s">
        <v>8348</v>
      </c>
      <c r="G3598" s="24">
        <v>679.0</v>
      </c>
      <c r="H3598" s="24">
        <v>956.0</v>
      </c>
      <c r="I3598" s="24">
        <v>0.0</v>
      </c>
      <c r="J3598" s="24">
        <v>0.0</v>
      </c>
      <c r="K3598" s="23" t="s">
        <v>34</v>
      </c>
      <c r="L3598" s="25">
        <v>40034.77528935185</v>
      </c>
      <c r="M3598" s="26" t="s">
        <v>204</v>
      </c>
      <c r="N3598" s="28"/>
      <c r="O3598" s="22" t="str">
        <f>HYPERLINK("https://pbs.twimg.com/profile_images/3698484594/e5ae6371e9d39a2561f3815c47b6b5db_normal.jpeg","View")</f>
        <v>View</v>
      </c>
      <c r="P3598" s="27"/>
    </row>
    <row r="3599">
      <c r="A3599" s="14">
        <v>43031.229374999995</v>
      </c>
      <c r="B3599" s="20" t="str">
        <f>HYPERLINK("https://twitter.com/Jaidhilip","@Jaidhilip")</f>
        <v>@Jaidhilip</v>
      </c>
      <c r="C3599" s="21" t="s">
        <v>8379</v>
      </c>
      <c r="D3599" s="21" t="s">
        <v>42</v>
      </c>
      <c r="E3599" s="22" t="str">
        <f>HYPERLINK("https://twitter.com/Jaidhilip/status/922440042101981185","922440042101981185")</f>
        <v>922440042101981185</v>
      </c>
      <c r="F3599" s="23" t="s">
        <v>33</v>
      </c>
      <c r="G3599" s="24">
        <v>5.0</v>
      </c>
      <c r="H3599" s="24">
        <v>95.0</v>
      </c>
      <c r="I3599" s="24">
        <v>8501.0</v>
      </c>
      <c r="J3599" s="24">
        <v>0.0</v>
      </c>
      <c r="K3599" s="23" t="s">
        <v>34</v>
      </c>
      <c r="L3599" s="25">
        <v>42970.92896990741</v>
      </c>
      <c r="M3599" s="26" t="s">
        <v>8380</v>
      </c>
      <c r="N3599" s="26" t="s">
        <v>7777</v>
      </c>
      <c r="O3599" s="22" t="str">
        <f>HYPERLINK("https://pbs.twimg.com/profile_images/900593495370416128/wpweIVQg_normal.jpg","View")</f>
        <v>View</v>
      </c>
      <c r="P3599" s="27"/>
    </row>
    <row r="3600">
      <c r="A3600" s="14">
        <v>43031.22954861111</v>
      </c>
      <c r="B3600" s="20" t="str">
        <f>HYPERLINK("https://twitter.com/prajusakal","@prajusakal")</f>
        <v>@prajusakal</v>
      </c>
      <c r="C3600" s="21" t="s">
        <v>8381</v>
      </c>
      <c r="D3600" s="21" t="s">
        <v>8382</v>
      </c>
      <c r="E3600" s="22" t="str">
        <f>HYPERLINK("https://twitter.com/prajusakal/status/922440102525026304","922440102525026304")</f>
        <v>922440102525026304</v>
      </c>
      <c r="F3600" s="23" t="s">
        <v>55</v>
      </c>
      <c r="G3600" s="24">
        <v>52.0</v>
      </c>
      <c r="H3600" s="24">
        <v>247.0</v>
      </c>
      <c r="I3600" s="24">
        <v>0.0</v>
      </c>
      <c r="J3600" s="24">
        <v>0.0</v>
      </c>
      <c r="K3600" s="23" t="s">
        <v>34</v>
      </c>
      <c r="L3600" s="25">
        <v>42618.24935185185</v>
      </c>
      <c r="M3600" s="28"/>
      <c r="N3600" s="28"/>
      <c r="O3600" s="22" t="str">
        <f>HYPERLINK("https://abs.twimg.com/sticky/default_profile_images/default_profile_normal.png","View")</f>
        <v>View</v>
      </c>
      <c r="P3600" s="27"/>
    </row>
    <row r="3601">
      <c r="A3601" s="14">
        <v>43031.229571759264</v>
      </c>
      <c r="B3601" s="20" t="str">
        <f>HYPERLINK("https://twitter.com/damidude","@damidude")</f>
        <v>@damidude</v>
      </c>
      <c r="C3601" s="21" t="s">
        <v>8383</v>
      </c>
      <c r="D3601" s="21" t="s">
        <v>8384</v>
      </c>
      <c r="E3601" s="22" t="str">
        <f>HYPERLINK("https://twitter.com/damidude/status/922440113229062145","922440113229062145")</f>
        <v>922440113229062145</v>
      </c>
      <c r="F3601" s="23" t="s">
        <v>55</v>
      </c>
      <c r="G3601" s="24">
        <v>873.0</v>
      </c>
      <c r="H3601" s="24">
        <v>777.0</v>
      </c>
      <c r="I3601" s="24">
        <v>0.0</v>
      </c>
      <c r="J3601" s="24">
        <v>0.0</v>
      </c>
      <c r="K3601" s="23" t="s">
        <v>34</v>
      </c>
      <c r="L3601" s="25">
        <v>40029.363657407404</v>
      </c>
      <c r="M3601" s="26" t="s">
        <v>8385</v>
      </c>
      <c r="N3601" s="26" t="s">
        <v>8386</v>
      </c>
      <c r="O3601" s="22" t="str">
        <f>HYPERLINK("https://pbs.twimg.com/profile_images/892886101295210496/qEgJfpFR_normal.jpg","View")</f>
        <v>View</v>
      </c>
      <c r="P3601" s="27"/>
    </row>
    <row r="3602">
      <c r="A3602" s="14">
        <v>43031.2295949074</v>
      </c>
      <c r="B3602" s="20" t="str">
        <f>HYPERLINK("https://twitter.com/Mkt_educator","@Mkt_educator")</f>
        <v>@Mkt_educator</v>
      </c>
      <c r="C3602" s="21" t="s">
        <v>8387</v>
      </c>
      <c r="D3602" s="21" t="s">
        <v>8388</v>
      </c>
      <c r="E3602" s="22" t="str">
        <f>HYPERLINK("https://twitter.com/Mkt_educator/status/922440121173016581","922440121173016581")</f>
        <v>922440121173016581</v>
      </c>
      <c r="F3602" s="23" t="s">
        <v>86</v>
      </c>
      <c r="G3602" s="24">
        <v>10290.0</v>
      </c>
      <c r="H3602" s="24">
        <v>1624.0</v>
      </c>
      <c r="I3602" s="24">
        <v>4.0</v>
      </c>
      <c r="J3602" s="24">
        <v>0.0</v>
      </c>
      <c r="K3602" s="23" t="s">
        <v>34</v>
      </c>
      <c r="L3602" s="25">
        <v>41539.29336805556</v>
      </c>
      <c r="M3602" s="28"/>
      <c r="N3602" s="26" t="s">
        <v>8389</v>
      </c>
      <c r="O3602" s="22" t="str">
        <f>HYPERLINK("https://pbs.twimg.com/profile_images/378800000602110333/07ea7798dea9560be585cbd33f9efb9f_normal.jpeg","View")</f>
        <v>View</v>
      </c>
      <c r="P3602" s="27"/>
    </row>
    <row r="3603">
      <c r="A3603" s="14">
        <v>43031.22971064815</v>
      </c>
      <c r="B3603" s="20" t="str">
        <f>HYPERLINK("https://twitter.com/dkedia83","@dkedia83")</f>
        <v>@dkedia83</v>
      </c>
      <c r="C3603" s="21" t="s">
        <v>8390</v>
      </c>
      <c r="D3603" s="21" t="s">
        <v>42</v>
      </c>
      <c r="E3603" s="22" t="str">
        <f>HYPERLINK("https://twitter.com/dkedia83/status/922440161580871680","922440161580871680")</f>
        <v>922440161580871680</v>
      </c>
      <c r="F3603" s="23" t="s">
        <v>33</v>
      </c>
      <c r="G3603" s="24">
        <v>44.0</v>
      </c>
      <c r="H3603" s="24">
        <v>92.0</v>
      </c>
      <c r="I3603" s="24">
        <v>8501.0</v>
      </c>
      <c r="J3603" s="24">
        <v>0.0</v>
      </c>
      <c r="K3603" s="23" t="s">
        <v>34</v>
      </c>
      <c r="L3603" s="25">
        <v>42228.89037037037</v>
      </c>
      <c r="M3603" s="26" t="s">
        <v>8391</v>
      </c>
      <c r="N3603" s="28"/>
      <c r="O3603" s="22" t="str">
        <f>HYPERLINK("https://pbs.twimg.com/profile_images/893859429363326981/vUOCDP_n_normal.jpg","View")</f>
        <v>View</v>
      </c>
      <c r="P3603" s="27"/>
    </row>
    <row r="3604">
      <c r="A3604" s="14">
        <v>43031.22976851852</v>
      </c>
      <c r="B3604" s="20" t="str">
        <f>HYPERLINK("https://twitter.com/Sonetti90210M","@Sonetti90210M")</f>
        <v>@Sonetti90210M</v>
      </c>
      <c r="C3604" s="21" t="s">
        <v>8392</v>
      </c>
      <c r="D3604" s="21" t="s">
        <v>42</v>
      </c>
      <c r="E3604" s="22" t="str">
        <f>HYPERLINK("https://twitter.com/Sonetti90210M/status/922440182468575232","922440182468575232")</f>
        <v>922440182468575232</v>
      </c>
      <c r="F3604" s="23" t="s">
        <v>33</v>
      </c>
      <c r="G3604" s="24">
        <v>13.0</v>
      </c>
      <c r="H3604" s="24">
        <v>44.0</v>
      </c>
      <c r="I3604" s="24">
        <v>8501.0</v>
      </c>
      <c r="J3604" s="24">
        <v>0.0</v>
      </c>
      <c r="K3604" s="23" t="s">
        <v>34</v>
      </c>
      <c r="L3604" s="25">
        <v>42033.22282407407</v>
      </c>
      <c r="M3604" s="28"/>
      <c r="N3604" s="28"/>
      <c r="O3604" s="22" t="str">
        <f>HYPERLINK("https://pbs.twimg.com/profile_images/631265401146507264/b9f6BPRY_normal.jpg","View")</f>
        <v>View</v>
      </c>
      <c r="P3604" s="27"/>
    </row>
    <row r="3605">
      <c r="A3605" s="14">
        <v>43031.229837962965</v>
      </c>
      <c r="B3605" s="20" t="str">
        <f>HYPERLINK("https://twitter.com/rohitdubey97","@rohitdubey97")</f>
        <v>@rohitdubey97</v>
      </c>
      <c r="C3605" s="21" t="s">
        <v>8393</v>
      </c>
      <c r="D3605" s="21" t="s">
        <v>42</v>
      </c>
      <c r="E3605" s="22" t="str">
        <f>HYPERLINK("https://twitter.com/rohitdubey97/status/922440208825466880","922440208825466880")</f>
        <v>922440208825466880</v>
      </c>
      <c r="F3605" s="23" t="s">
        <v>33</v>
      </c>
      <c r="G3605" s="24">
        <v>16.0</v>
      </c>
      <c r="H3605" s="24">
        <v>125.0</v>
      </c>
      <c r="I3605" s="24">
        <v>8501.0</v>
      </c>
      <c r="J3605" s="24">
        <v>0.0</v>
      </c>
      <c r="K3605" s="23" t="s">
        <v>34</v>
      </c>
      <c r="L3605" s="25">
        <v>42998.97987268519</v>
      </c>
      <c r="M3605" s="26" t="s">
        <v>246</v>
      </c>
      <c r="N3605" s="28"/>
      <c r="O3605" s="22" t="str">
        <f>HYPERLINK("https://pbs.twimg.com/profile_images/917804999958085633/OSyS-6QY_normal.jpg","View")</f>
        <v>View</v>
      </c>
      <c r="P3605" s="27"/>
    </row>
    <row r="3606">
      <c r="A3606" s="14">
        <v>43031.22986111111</v>
      </c>
      <c r="B3606" s="20" t="str">
        <f>HYPERLINK("https://twitter.com/jain11gaurav","@jain11gaurav")</f>
        <v>@jain11gaurav</v>
      </c>
      <c r="C3606" s="21" t="s">
        <v>8394</v>
      </c>
      <c r="D3606" s="21" t="s">
        <v>42</v>
      </c>
      <c r="E3606" s="22" t="str">
        <f>HYPERLINK("https://twitter.com/jain11gaurav/status/922440218476650496","922440218476650496")</f>
        <v>922440218476650496</v>
      </c>
      <c r="F3606" s="23" t="s">
        <v>39</v>
      </c>
      <c r="G3606" s="24">
        <v>1659.0</v>
      </c>
      <c r="H3606" s="24">
        <v>908.0</v>
      </c>
      <c r="I3606" s="24">
        <v>8501.0</v>
      </c>
      <c r="J3606" s="24">
        <v>0.0</v>
      </c>
      <c r="K3606" s="23" t="s">
        <v>34</v>
      </c>
      <c r="L3606" s="25">
        <v>41131.48726851852</v>
      </c>
      <c r="M3606" s="26" t="s">
        <v>8395</v>
      </c>
      <c r="N3606" s="26" t="s">
        <v>8396</v>
      </c>
      <c r="O3606" s="22" t="str">
        <f>HYPERLINK("https://pbs.twimg.com/profile_images/922660427611254784/3yMgfFWa_normal.jpg","View")</f>
        <v>View</v>
      </c>
      <c r="P3606" s="27"/>
    </row>
    <row r="3607">
      <c r="A3607" s="14">
        <v>43031.22988425926</v>
      </c>
      <c r="B3607" s="20" t="str">
        <f>HYPERLINK("https://twitter.com/srpathakarma","@srpathakarma")</f>
        <v>@srpathakarma</v>
      </c>
      <c r="C3607" s="21" t="s">
        <v>8397</v>
      </c>
      <c r="D3607" s="21" t="s">
        <v>42</v>
      </c>
      <c r="E3607" s="22" t="str">
        <f>HYPERLINK("https://twitter.com/srpathakarma/status/922440226596777984","922440226596777984")</f>
        <v>922440226596777984</v>
      </c>
      <c r="F3607" s="23" t="s">
        <v>33</v>
      </c>
      <c r="G3607" s="24">
        <v>1.0</v>
      </c>
      <c r="H3607" s="24">
        <v>71.0</v>
      </c>
      <c r="I3607" s="24">
        <v>8501.0</v>
      </c>
      <c r="J3607" s="24">
        <v>0.0</v>
      </c>
      <c r="K3607" s="23" t="s">
        <v>34</v>
      </c>
      <c r="L3607" s="25">
        <v>41888.127280092594</v>
      </c>
      <c r="M3607" s="28"/>
      <c r="N3607" s="28"/>
      <c r="O3607" s="22" t="str">
        <f>HYPERLINK("https://abs.twimg.com/sticky/default_profile_images/default_profile_normal.png","View")</f>
        <v>View</v>
      </c>
      <c r="P3607" s="27"/>
    </row>
    <row r="3608">
      <c r="A3608" s="14">
        <v>43031.23003472222</v>
      </c>
      <c r="B3608" s="20" t="str">
        <f>HYPERLINK("https://twitter.com/AutoDCMation01","@AutoDCMation01")</f>
        <v>@AutoDCMation01</v>
      </c>
      <c r="C3608" s="21" t="s">
        <v>8398</v>
      </c>
      <c r="D3608" s="21" t="s">
        <v>8399</v>
      </c>
      <c r="E3608" s="22" t="str">
        <f>HYPERLINK("https://twitter.com/AutoDCMation01/status/922440281865310209","922440281865310209")</f>
        <v>922440281865310209</v>
      </c>
      <c r="F3608" s="23" t="s">
        <v>427</v>
      </c>
      <c r="G3608" s="24">
        <v>30.0</v>
      </c>
      <c r="H3608" s="24">
        <v>10.0</v>
      </c>
      <c r="I3608" s="24">
        <v>0.0</v>
      </c>
      <c r="J3608" s="24">
        <v>0.0</v>
      </c>
      <c r="K3608" s="23" t="s">
        <v>34</v>
      </c>
      <c r="L3608" s="25">
        <v>41697.50041666666</v>
      </c>
      <c r="M3608" s="28"/>
      <c r="N3608" s="28"/>
      <c r="O3608" s="22" t="str">
        <f>HYPERLINK("https://pbs.twimg.com/profile_images/497541261515976704/iv1P-1fG_normal.jpeg","View")</f>
        <v>View</v>
      </c>
      <c r="P3608" s="27"/>
    </row>
    <row r="3609">
      <c r="A3609" s="14">
        <v>43031.230092592596</v>
      </c>
      <c r="B3609" s="20" t="str">
        <f>HYPERLINK("https://twitter.com/rd_views","@rd_views")</f>
        <v>@rd_views</v>
      </c>
      <c r="C3609" s="21" t="s">
        <v>8400</v>
      </c>
      <c r="D3609" s="21" t="s">
        <v>42</v>
      </c>
      <c r="E3609" s="22" t="str">
        <f>HYPERLINK("https://twitter.com/rd_views/status/922440302949908481","922440302949908481")</f>
        <v>922440302949908481</v>
      </c>
      <c r="F3609" s="23" t="s">
        <v>39</v>
      </c>
      <c r="G3609" s="24">
        <v>135.0</v>
      </c>
      <c r="H3609" s="24">
        <v>390.0</v>
      </c>
      <c r="I3609" s="24">
        <v>8501.0</v>
      </c>
      <c r="J3609" s="24">
        <v>0.0</v>
      </c>
      <c r="K3609" s="23" t="s">
        <v>34</v>
      </c>
      <c r="L3609" s="25">
        <v>42335.871087962965</v>
      </c>
      <c r="M3609" s="26" t="s">
        <v>8401</v>
      </c>
      <c r="N3609" s="26" t="s">
        <v>8402</v>
      </c>
      <c r="O3609" s="22" t="str">
        <f>HYPERLINK("https://pbs.twimg.com/profile_images/670469166592192512/gN6PXw-z_normal.jpg","View")</f>
        <v>View</v>
      </c>
      <c r="P3609" s="27"/>
    </row>
    <row r="3610">
      <c r="A3610" s="14">
        <v>43031.23018518518</v>
      </c>
      <c r="B3610" s="20" t="str">
        <f>HYPERLINK("https://twitter.com/Jeet55734079","@Jeet55734079")</f>
        <v>@Jeet55734079</v>
      </c>
      <c r="C3610" s="21" t="s">
        <v>8403</v>
      </c>
      <c r="D3610" s="21" t="s">
        <v>42</v>
      </c>
      <c r="E3610" s="22" t="str">
        <f>HYPERLINK("https://twitter.com/Jeet55734079/status/922440336458375168","922440336458375168")</f>
        <v>922440336458375168</v>
      </c>
      <c r="F3610" s="23" t="s">
        <v>33</v>
      </c>
      <c r="G3610" s="24">
        <v>15.0</v>
      </c>
      <c r="H3610" s="24">
        <v>69.0</v>
      </c>
      <c r="I3610" s="24">
        <v>8501.0</v>
      </c>
      <c r="J3610" s="24">
        <v>0.0</v>
      </c>
      <c r="K3610" s="23" t="s">
        <v>34</v>
      </c>
      <c r="L3610" s="25">
        <v>42983.33138888889</v>
      </c>
      <c r="M3610" s="26" t="s">
        <v>8404</v>
      </c>
      <c r="N3610" s="28"/>
      <c r="O3610" s="22" t="str">
        <f>HYPERLINK("https://pbs.twimg.com/profile_images/907773800640647168/cgmSPX1C_normal.jpg","View")</f>
        <v>View</v>
      </c>
      <c r="P3610" s="27"/>
    </row>
    <row r="3611">
      <c r="A3611" s="14">
        <v>43031.23024305556</v>
      </c>
      <c r="B3611" s="20" t="str">
        <f>HYPERLINK("https://twitter.com/rahkrish007","@rahkrish007")</f>
        <v>@rahkrish007</v>
      </c>
      <c r="C3611" s="21" t="s">
        <v>8405</v>
      </c>
      <c r="D3611" s="21" t="s">
        <v>42</v>
      </c>
      <c r="E3611" s="22" t="str">
        <f>HYPERLINK("https://twitter.com/rahkrish007/status/922440355106213888","922440355106213888")</f>
        <v>922440355106213888</v>
      </c>
      <c r="F3611" s="23" t="s">
        <v>33</v>
      </c>
      <c r="G3611" s="24">
        <v>29.0</v>
      </c>
      <c r="H3611" s="24">
        <v>233.0</v>
      </c>
      <c r="I3611" s="24">
        <v>8501.0</v>
      </c>
      <c r="J3611" s="24">
        <v>0.0</v>
      </c>
      <c r="K3611" s="23" t="s">
        <v>34</v>
      </c>
      <c r="L3611" s="25">
        <v>41028.97944444444</v>
      </c>
      <c r="M3611" s="26" t="s">
        <v>8406</v>
      </c>
      <c r="N3611" s="26" t="s">
        <v>8407</v>
      </c>
      <c r="O3611" s="22" t="str">
        <f>HYPERLINK("https://pbs.twimg.com/profile_images/782980717512888320/fo8Ut_vt_normal.jpg","View")</f>
        <v>View</v>
      </c>
      <c r="P3611" s="27"/>
    </row>
    <row r="3612">
      <c r="A3612" s="14">
        <v>43031.230266203704</v>
      </c>
      <c r="B3612" s="20" t="str">
        <f>HYPERLINK("https://twitter.com/713CapitalLLC","@713CapitalLLC")</f>
        <v>@713CapitalLLC</v>
      </c>
      <c r="C3612" s="21" t="s">
        <v>8408</v>
      </c>
      <c r="D3612" s="21" t="s">
        <v>8409</v>
      </c>
      <c r="E3612" s="22" t="str">
        <f>HYPERLINK("https://twitter.com/713CapitalLLC/status/922440364254023681","922440364254023681")</f>
        <v>922440364254023681</v>
      </c>
      <c r="F3612" s="23" t="s">
        <v>39</v>
      </c>
      <c r="G3612" s="24">
        <v>530.0</v>
      </c>
      <c r="H3612" s="24">
        <v>1858.0</v>
      </c>
      <c r="I3612" s="24">
        <v>0.0</v>
      </c>
      <c r="J3612" s="24">
        <v>0.0</v>
      </c>
      <c r="K3612" s="23" t="s">
        <v>34</v>
      </c>
      <c r="L3612" s="25">
        <v>41513.66434027778</v>
      </c>
      <c r="M3612" s="28"/>
      <c r="N3612" s="26" t="s">
        <v>8410</v>
      </c>
      <c r="O3612" s="22" t="str">
        <f>HYPERLINK("https://pbs.twimg.com/profile_images/605608769171505154/shwPddoA_normal.jpg","View")</f>
        <v>View</v>
      </c>
      <c r="P3612" s="27"/>
    </row>
    <row r="3613">
      <c r="A3613" s="14">
        <v>43031.23027777778</v>
      </c>
      <c r="B3613" s="20" t="str">
        <f>HYPERLINK("https://twitter.com/my2dads","@my2dads")</f>
        <v>@my2dads</v>
      </c>
      <c r="C3613" s="21" t="s">
        <v>8411</v>
      </c>
      <c r="D3613" s="21" t="s">
        <v>8412</v>
      </c>
      <c r="E3613" s="22" t="str">
        <f>HYPERLINK("https://twitter.com/my2dads/status/922440369303941120","922440369303941120")</f>
        <v>922440369303941120</v>
      </c>
      <c r="F3613" s="23" t="s">
        <v>427</v>
      </c>
      <c r="G3613" s="24">
        <v>1485.0</v>
      </c>
      <c r="H3613" s="24">
        <v>2443.0</v>
      </c>
      <c r="I3613" s="24">
        <v>0.0</v>
      </c>
      <c r="J3613" s="24">
        <v>0.0</v>
      </c>
      <c r="K3613" s="23" t="s">
        <v>34</v>
      </c>
      <c r="L3613" s="25">
        <v>42225.88196759259</v>
      </c>
      <c r="M3613" s="26" t="s">
        <v>4083</v>
      </c>
      <c r="N3613" s="26" t="s">
        <v>8413</v>
      </c>
      <c r="O3613" s="22" t="str">
        <f>HYPERLINK("https://pbs.twimg.com/profile_images/630595978085601280/44OXUn18_normal.jpg","View")</f>
        <v>View</v>
      </c>
      <c r="P3613" s="27"/>
    </row>
    <row r="3614">
      <c r="A3614" s="14">
        <v>43031.23040509259</v>
      </c>
      <c r="B3614" s="20" t="str">
        <f>HYPERLINK("https://twitter.com/84_lljohnson","@84_lljohnson")</f>
        <v>@84_lljohnson</v>
      </c>
      <c r="C3614" s="21" t="s">
        <v>8414</v>
      </c>
      <c r="D3614" s="21" t="s">
        <v>8415</v>
      </c>
      <c r="E3614" s="22" t="str">
        <f>HYPERLINK("https://twitter.com/84_lljohnson/status/922440412639277056","922440412639277056")</f>
        <v>922440412639277056</v>
      </c>
      <c r="F3614" s="23" t="s">
        <v>33</v>
      </c>
      <c r="G3614" s="24">
        <v>1612.0</v>
      </c>
      <c r="H3614" s="24">
        <v>1413.0</v>
      </c>
      <c r="I3614" s="24">
        <v>0.0</v>
      </c>
      <c r="J3614" s="24">
        <v>0.0</v>
      </c>
      <c r="K3614" s="23" t="s">
        <v>34</v>
      </c>
      <c r="L3614" s="25">
        <v>41350.862395833334</v>
      </c>
      <c r="M3614" s="26" t="s">
        <v>8416</v>
      </c>
      <c r="N3614" s="26" t="s">
        <v>8417</v>
      </c>
      <c r="O3614" s="22" t="str">
        <f>HYPERLINK("https://pbs.twimg.com/profile_images/869570139200552960/JKWly7w1_normal.jpg","View")</f>
        <v>View</v>
      </c>
      <c r="P3614" s="27"/>
    </row>
    <row r="3615">
      <c r="A3615" s="14">
        <v>43031.23043981481</v>
      </c>
      <c r="B3615" s="20" t="str">
        <f>HYPERLINK("https://twitter.com/mkt231986","@mkt231986")</f>
        <v>@mkt231986</v>
      </c>
      <c r="C3615" s="21" t="s">
        <v>8418</v>
      </c>
      <c r="D3615" s="21" t="s">
        <v>42</v>
      </c>
      <c r="E3615" s="22" t="str">
        <f>HYPERLINK("https://twitter.com/mkt231986/status/922440428787339264","922440428787339264")</f>
        <v>922440428787339264</v>
      </c>
      <c r="F3615" s="23" t="s">
        <v>33</v>
      </c>
      <c r="G3615" s="24">
        <v>38.0</v>
      </c>
      <c r="H3615" s="24">
        <v>152.0</v>
      </c>
      <c r="I3615" s="24">
        <v>8501.0</v>
      </c>
      <c r="J3615" s="24">
        <v>0.0</v>
      </c>
      <c r="K3615" s="23" t="s">
        <v>34</v>
      </c>
      <c r="L3615" s="25">
        <v>41005.01435185185</v>
      </c>
      <c r="M3615" s="26" t="s">
        <v>2367</v>
      </c>
      <c r="N3615" s="28"/>
      <c r="O3615" s="22" t="str">
        <f>HYPERLINK("https://pbs.twimg.com/profile_images/922524218247413760/3rfoCB_L_normal.jpg","View")</f>
        <v>View</v>
      </c>
      <c r="P3615" s="27"/>
    </row>
    <row r="3616">
      <c r="A3616" s="14">
        <v>43031.23050925926</v>
      </c>
      <c r="B3616" s="20" t="str">
        <f>HYPERLINK("https://twitter.com/OpenOutcrier","@OpenOutcrier")</f>
        <v>@OpenOutcrier</v>
      </c>
      <c r="C3616" s="21" t="s">
        <v>8419</v>
      </c>
      <c r="D3616" s="21" t="s">
        <v>8420</v>
      </c>
      <c r="E3616" s="22" t="str">
        <f>HYPERLINK("https://twitter.com/OpenOutcrier/status/922440451290025985","922440451290025985")</f>
        <v>922440451290025985</v>
      </c>
      <c r="F3616" s="23" t="s">
        <v>8419</v>
      </c>
      <c r="G3616" s="24">
        <v>29527.0</v>
      </c>
      <c r="H3616" s="24">
        <v>303.0</v>
      </c>
      <c r="I3616" s="24">
        <v>1.0</v>
      </c>
      <c r="J3616" s="24">
        <v>2.0</v>
      </c>
      <c r="K3616" s="23" t="s">
        <v>34</v>
      </c>
      <c r="L3616" s="25">
        <v>41678.912245370375</v>
      </c>
      <c r="M3616" s="26" t="s">
        <v>3604</v>
      </c>
      <c r="N3616" s="26" t="s">
        <v>8421</v>
      </c>
      <c r="O3616" s="22" t="str">
        <f>HYPERLINK("https://pbs.twimg.com/profile_images/839250027012849666/hNeSdoWq_normal.jpg","View")</f>
        <v>View</v>
      </c>
      <c r="P3616" s="27"/>
    </row>
    <row r="3617">
      <c r="A3617" s="14">
        <v>43031.23053240741</v>
      </c>
      <c r="B3617" s="20" t="str">
        <f>HYPERLINK("https://twitter.com/AStandUpGirl","@AStandUpGirl")</f>
        <v>@AStandUpGirl</v>
      </c>
      <c r="C3617" s="21" t="s">
        <v>8422</v>
      </c>
      <c r="D3617" s="21" t="s">
        <v>7403</v>
      </c>
      <c r="E3617" s="22" t="str">
        <f>HYPERLINK("https://twitter.com/AStandUpGirl/status/922440459141730306","922440459141730306")</f>
        <v>922440459141730306</v>
      </c>
      <c r="F3617" s="23" t="s">
        <v>39</v>
      </c>
      <c r="G3617" s="24">
        <v>908.0</v>
      </c>
      <c r="H3617" s="24">
        <v>1530.0</v>
      </c>
      <c r="I3617" s="24">
        <v>29.0</v>
      </c>
      <c r="J3617" s="24">
        <v>0.0</v>
      </c>
      <c r="K3617" s="23" t="s">
        <v>34</v>
      </c>
      <c r="L3617" s="25">
        <v>42787.621203703704</v>
      </c>
      <c r="M3617" s="26" t="s">
        <v>8423</v>
      </c>
      <c r="N3617" s="26" t="s">
        <v>8424</v>
      </c>
      <c r="O3617" s="22" t="str">
        <f>HYPERLINK("https://pbs.twimg.com/profile_images/886088912959098880/UlCcxiNr_normal.jpg","View")</f>
        <v>View</v>
      </c>
      <c r="P3617" s="27"/>
    </row>
    <row r="3618">
      <c r="A3618" s="14">
        <v>43031.23053240741</v>
      </c>
      <c r="B3618" s="20" t="str">
        <f>HYPERLINK("https://twitter.com/19845demidovar1","@19845demidovar1")</f>
        <v>@19845demidovar1</v>
      </c>
      <c r="C3618" s="21" t="s">
        <v>8425</v>
      </c>
      <c r="D3618" s="21" t="s">
        <v>7403</v>
      </c>
      <c r="E3618" s="22" t="str">
        <f>HYPERLINK("https://twitter.com/19845demidovar1/status/922440461175767041","922440461175767041")</f>
        <v>922440461175767041</v>
      </c>
      <c r="F3618" s="23" t="s">
        <v>55</v>
      </c>
      <c r="G3618" s="24">
        <v>2.0</v>
      </c>
      <c r="H3618" s="24">
        <v>0.0</v>
      </c>
      <c r="I3618" s="24">
        <v>29.0</v>
      </c>
      <c r="J3618" s="24">
        <v>0.0</v>
      </c>
      <c r="K3618" s="23" t="s">
        <v>34</v>
      </c>
      <c r="L3618" s="25">
        <v>43015.58440972222</v>
      </c>
      <c r="M3618" s="28"/>
      <c r="N3618" s="28"/>
      <c r="O3618" s="22" t="str">
        <f>HYPERLINK("https://pbs.twimg.com/profile_images/921118767085625344/6HTggXzv_normal.jpg","View")</f>
        <v>View</v>
      </c>
      <c r="P3618" s="27"/>
    </row>
    <row r="3619">
      <c r="A3619" s="14">
        <v>43031.230567129634</v>
      </c>
      <c r="B3619" s="20" t="str">
        <f>HYPERLINK("https://twitter.com/sicha_janow","@sicha_janow")</f>
        <v>@sicha_janow</v>
      </c>
      <c r="C3619" s="21" t="s">
        <v>8426</v>
      </c>
      <c r="D3619" s="21" t="s">
        <v>32</v>
      </c>
      <c r="E3619" s="22" t="str">
        <f>HYPERLINK("https://twitter.com/sicha_janow/status/922440472106291200","922440472106291200")</f>
        <v>922440472106291200</v>
      </c>
      <c r="F3619" s="23" t="s">
        <v>33</v>
      </c>
      <c r="G3619" s="24">
        <v>320.0</v>
      </c>
      <c r="H3619" s="24">
        <v>94.0</v>
      </c>
      <c r="I3619" s="24">
        <v>471.0</v>
      </c>
      <c r="J3619" s="24">
        <v>0.0</v>
      </c>
      <c r="K3619" s="23" t="s">
        <v>34</v>
      </c>
      <c r="L3619" s="25">
        <v>42267.28716435185</v>
      </c>
      <c r="M3619" s="26" t="s">
        <v>8427</v>
      </c>
      <c r="N3619" s="26" t="s">
        <v>8428</v>
      </c>
      <c r="O3619" s="22" t="str">
        <f>HYPERLINK("https://pbs.twimg.com/profile_images/903962320476540932/6jT_HPaX_normal.jpg","View")</f>
        <v>View</v>
      </c>
      <c r="P3619" s="27"/>
    </row>
    <row r="3620">
      <c r="A3620" s="14">
        <v>43031.23060185185</v>
      </c>
      <c r="B3620" s="20" t="str">
        <f>HYPERLINK("https://twitter.com/kewin_brown","@kewin_brown")</f>
        <v>@kewin_brown</v>
      </c>
      <c r="C3620" s="21" t="s">
        <v>8429</v>
      </c>
      <c r="D3620" s="21" t="s">
        <v>8430</v>
      </c>
      <c r="E3620" s="22" t="str">
        <f>HYPERLINK("https://twitter.com/kewin_brown/status/922440483749662721","922440483749662721")</f>
        <v>922440483749662721</v>
      </c>
      <c r="F3620" s="23" t="s">
        <v>8431</v>
      </c>
      <c r="G3620" s="24">
        <v>5.0</v>
      </c>
      <c r="H3620" s="24">
        <v>65.0</v>
      </c>
      <c r="I3620" s="24">
        <v>0.0</v>
      </c>
      <c r="J3620" s="24">
        <v>0.0</v>
      </c>
      <c r="K3620" s="23" t="s">
        <v>34</v>
      </c>
      <c r="L3620" s="25">
        <v>43008.13196759259</v>
      </c>
      <c r="M3620" s="26" t="s">
        <v>8432</v>
      </c>
      <c r="N3620" s="28"/>
      <c r="O3620" s="22" t="str">
        <f>HYPERLINK("https://pbs.twimg.com/profile_images/914070633344094208/A9W4IjcM_normal.jpg","View")</f>
        <v>View</v>
      </c>
      <c r="P3620" s="27"/>
    </row>
    <row r="3621">
      <c r="A3621" s="14">
        <v>43031.23074074074</v>
      </c>
      <c r="B3621" s="20" t="str">
        <f>HYPERLINK("https://twitter.com/ravighiyar","@ravighiyar")</f>
        <v>@ravighiyar</v>
      </c>
      <c r="C3621" s="21" t="s">
        <v>8433</v>
      </c>
      <c r="D3621" s="21" t="s">
        <v>42</v>
      </c>
      <c r="E3621" s="22" t="str">
        <f>HYPERLINK("https://twitter.com/ravighiyar/status/922440537809883136","922440537809883136")</f>
        <v>922440537809883136</v>
      </c>
      <c r="F3621" s="23" t="s">
        <v>39</v>
      </c>
      <c r="G3621" s="24">
        <v>7602.0</v>
      </c>
      <c r="H3621" s="24">
        <v>1093.0</v>
      </c>
      <c r="I3621" s="24">
        <v>8501.0</v>
      </c>
      <c r="J3621" s="24">
        <v>0.0</v>
      </c>
      <c r="K3621" s="23" t="s">
        <v>34</v>
      </c>
      <c r="L3621" s="25">
        <v>40035.36114583333</v>
      </c>
      <c r="M3621" s="26" t="s">
        <v>2739</v>
      </c>
      <c r="N3621" s="26" t="s">
        <v>8434</v>
      </c>
      <c r="O3621" s="22" t="str">
        <f>HYPERLINK("https://pbs.twimg.com/profile_images/907150728313044992/-ti9H-jX_normal.jpg","View")</f>
        <v>View</v>
      </c>
      <c r="P3621" s="27"/>
    </row>
    <row r="3622">
      <c r="A3622" s="14">
        <v>43031.23076388889</v>
      </c>
      <c r="B3622" s="20" t="str">
        <f>HYPERLINK("https://twitter.com/MSMYBT","@MSMYBT")</f>
        <v>@MSMYBT</v>
      </c>
      <c r="C3622" s="21" t="s">
        <v>8435</v>
      </c>
      <c r="D3622" s="21" t="s">
        <v>8436</v>
      </c>
      <c r="E3622" s="22" t="str">
        <f>HYPERLINK("https://twitter.com/MSMYBT/status/922440545158422529","922440545158422529")</f>
        <v>922440545158422529</v>
      </c>
      <c r="F3622" s="23" t="s">
        <v>39</v>
      </c>
      <c r="G3622" s="24">
        <v>2387.0</v>
      </c>
      <c r="H3622" s="24">
        <v>2641.0</v>
      </c>
      <c r="I3622" s="24">
        <v>0.0</v>
      </c>
      <c r="J3622" s="24">
        <v>1.0</v>
      </c>
      <c r="K3622" s="23" t="s">
        <v>34</v>
      </c>
      <c r="L3622" s="25">
        <v>40581.95806712963</v>
      </c>
      <c r="M3622" s="26" t="s">
        <v>271</v>
      </c>
      <c r="N3622" s="26" t="s">
        <v>8437</v>
      </c>
      <c r="O3622" s="22" t="str">
        <f>HYPERLINK("https://pbs.twimg.com/profile_images/922799578763575297/UZ8BzSdE_normal.jpg","View")</f>
        <v>View</v>
      </c>
      <c r="P3622" s="27"/>
    </row>
    <row r="3623">
      <c r="A3623" s="14">
        <v>43031.23091435185</v>
      </c>
      <c r="B3623" s="20" t="str">
        <f>HYPERLINK("https://twitter.com/YajneshNarayan","@YajneshNarayan")</f>
        <v>@YajneshNarayan</v>
      </c>
      <c r="C3623" s="21" t="s">
        <v>8438</v>
      </c>
      <c r="D3623" s="21" t="s">
        <v>42</v>
      </c>
      <c r="E3623" s="22" t="str">
        <f>HYPERLINK("https://twitter.com/YajneshNarayan/status/922440598195462145","922440598195462145")</f>
        <v>922440598195462145</v>
      </c>
      <c r="F3623" s="23" t="s">
        <v>39</v>
      </c>
      <c r="G3623" s="24">
        <v>296.0</v>
      </c>
      <c r="H3623" s="24">
        <v>339.0</v>
      </c>
      <c r="I3623" s="24">
        <v>8501.0</v>
      </c>
      <c r="J3623" s="24">
        <v>0.0</v>
      </c>
      <c r="K3623" s="23" t="s">
        <v>34</v>
      </c>
      <c r="L3623" s="25">
        <v>40877.940358796295</v>
      </c>
      <c r="M3623" s="26" t="s">
        <v>8439</v>
      </c>
      <c r="N3623" s="26" t="s">
        <v>8440</v>
      </c>
      <c r="O3623" s="22" t="str">
        <f>HYPERLINK("https://pbs.twimg.com/profile_images/783842682405658625/Wp_pBLPb_normal.jpg","View")</f>
        <v>View</v>
      </c>
      <c r="P3623" s="27"/>
    </row>
    <row r="3624">
      <c r="A3624" s="14">
        <v>43031.23097222223</v>
      </c>
      <c r="B3624" s="20" t="str">
        <f>HYPERLINK("https://twitter.com/ponkohaha000","@ponkohaha000")</f>
        <v>@ponkohaha000</v>
      </c>
      <c r="C3624" s="21" t="s">
        <v>8441</v>
      </c>
      <c r="D3624" s="21" t="s">
        <v>42</v>
      </c>
      <c r="E3624" s="22" t="str">
        <f>HYPERLINK("https://twitter.com/ponkohaha000/status/922440620915941376","922440620915941376")</f>
        <v>922440620915941376</v>
      </c>
      <c r="F3624" s="23" t="s">
        <v>55</v>
      </c>
      <c r="G3624" s="24">
        <v>8223.0</v>
      </c>
      <c r="H3624" s="24">
        <v>6590.0</v>
      </c>
      <c r="I3624" s="24">
        <v>8501.0</v>
      </c>
      <c r="J3624" s="24">
        <v>0.0</v>
      </c>
      <c r="K3624" s="23" t="s">
        <v>34</v>
      </c>
      <c r="L3624" s="25">
        <v>41347.97414351852</v>
      </c>
      <c r="M3624" s="28"/>
      <c r="N3624" s="26" t="s">
        <v>8442</v>
      </c>
      <c r="O3624" s="22" t="str">
        <f>HYPERLINK("https://pbs.twimg.com/profile_images/921891672111198208/gvZ1ljg5_normal.jpg","View")</f>
        <v>View</v>
      </c>
      <c r="P3624" s="27"/>
    </row>
    <row r="3625">
      <c r="A3625" s="14">
        <v>43031.23103009259</v>
      </c>
      <c r="B3625" s="20" t="str">
        <f>HYPERLINK("https://twitter.com/jbeltel","@jbeltel")</f>
        <v>@jbeltel</v>
      </c>
      <c r="C3625" s="21" t="s">
        <v>8443</v>
      </c>
      <c r="D3625" s="21" t="s">
        <v>2369</v>
      </c>
      <c r="E3625" s="22" t="str">
        <f>HYPERLINK("https://twitter.com/jbeltel/status/922440639395930113","922440639395930113")</f>
        <v>922440639395930113</v>
      </c>
      <c r="F3625" s="23" t="s">
        <v>33</v>
      </c>
      <c r="G3625" s="24">
        <v>41.0</v>
      </c>
      <c r="H3625" s="24">
        <v>1696.0</v>
      </c>
      <c r="I3625" s="24">
        <v>23.0</v>
      </c>
      <c r="J3625" s="24">
        <v>0.0</v>
      </c>
      <c r="K3625" s="23" t="s">
        <v>34</v>
      </c>
      <c r="L3625" s="25">
        <v>41741.392534722225</v>
      </c>
      <c r="M3625" s="26" t="s">
        <v>8444</v>
      </c>
      <c r="N3625" s="26" t="s">
        <v>8445</v>
      </c>
      <c r="O3625" s="22" t="str">
        <f>HYPERLINK("https://pbs.twimg.com/profile_images/749732449513377794/g9HHy88l_normal.jpg","View")</f>
        <v>View</v>
      </c>
      <c r="P3625" s="27"/>
    </row>
    <row r="3626">
      <c r="A3626" s="14">
        <v>43031.23107638889</v>
      </c>
      <c r="B3626" s="20" t="str">
        <f>HYPERLINK("https://twitter.com/_ardeej","@_ardeej")</f>
        <v>@_ardeej</v>
      </c>
      <c r="C3626" s="21" t="s">
        <v>8446</v>
      </c>
      <c r="D3626" s="21" t="s">
        <v>8447</v>
      </c>
      <c r="E3626" s="22" t="str">
        <f>HYPERLINK("https://twitter.com/_ardeej/status/922440656227913729","922440656227913729")</f>
        <v>922440656227913729</v>
      </c>
      <c r="F3626" s="23" t="s">
        <v>230</v>
      </c>
      <c r="G3626" s="24">
        <v>393.0</v>
      </c>
      <c r="H3626" s="24">
        <v>267.0</v>
      </c>
      <c r="I3626" s="24">
        <v>2.0</v>
      </c>
      <c r="J3626" s="24">
        <v>0.0</v>
      </c>
      <c r="K3626" s="23" t="s">
        <v>34</v>
      </c>
      <c r="L3626" s="25">
        <v>40865.25671296296</v>
      </c>
      <c r="M3626" s="26" t="s">
        <v>8448</v>
      </c>
      <c r="N3626" s="26" t="s">
        <v>8449</v>
      </c>
      <c r="O3626" s="22" t="str">
        <f>HYPERLINK("https://pbs.twimg.com/profile_images/583271065960480769/4J6LOo6Z_normal.png","View")</f>
        <v>View</v>
      </c>
      <c r="P3626" s="27"/>
    </row>
    <row r="3627">
      <c r="A3627" s="14">
        <v>43031.23112268519</v>
      </c>
      <c r="B3627" s="20" t="str">
        <f>HYPERLINK("https://twitter.com/19845demidovar1","@19845demidovar1")</f>
        <v>@19845demidovar1</v>
      </c>
      <c r="C3627" s="21" t="s">
        <v>8425</v>
      </c>
      <c r="D3627" s="21" t="s">
        <v>2555</v>
      </c>
      <c r="E3627" s="22" t="str">
        <f>HYPERLINK("https://twitter.com/19845demidovar1/status/922440676201021440","922440676201021440")</f>
        <v>922440676201021440</v>
      </c>
      <c r="F3627" s="23" t="s">
        <v>55</v>
      </c>
      <c r="G3627" s="24">
        <v>2.0</v>
      </c>
      <c r="H3627" s="24">
        <v>0.0</v>
      </c>
      <c r="I3627" s="24">
        <v>58.0</v>
      </c>
      <c r="J3627" s="24">
        <v>0.0</v>
      </c>
      <c r="K3627" s="23" t="s">
        <v>34</v>
      </c>
      <c r="L3627" s="25">
        <v>43015.58440972222</v>
      </c>
      <c r="M3627" s="28"/>
      <c r="N3627" s="28"/>
      <c r="O3627" s="22" t="str">
        <f>HYPERLINK("https://pbs.twimg.com/profile_images/921118767085625344/6HTggXzv_normal.jpg","View")</f>
        <v>View</v>
      </c>
      <c r="P3627" s="27"/>
    </row>
    <row r="3628">
      <c r="A3628" s="14">
        <v>43031.23114583333</v>
      </c>
      <c r="B3628" s="20" t="str">
        <f>HYPERLINK("https://twitter.com/orwell4ever","@orwell4ever")</f>
        <v>@orwell4ever</v>
      </c>
      <c r="C3628" s="21" t="s">
        <v>8450</v>
      </c>
      <c r="D3628" s="21" t="s">
        <v>67</v>
      </c>
      <c r="E3628" s="22" t="str">
        <f>HYPERLINK("https://twitter.com/orwell4ever/status/922440681821437952","922440681821437952")</f>
        <v>922440681821437952</v>
      </c>
      <c r="F3628" s="23" t="s">
        <v>33</v>
      </c>
      <c r="G3628" s="24">
        <v>12953.0</v>
      </c>
      <c r="H3628" s="24">
        <v>12786.0</v>
      </c>
      <c r="I3628" s="24">
        <v>169.0</v>
      </c>
      <c r="J3628" s="24">
        <v>0.0</v>
      </c>
      <c r="K3628" s="23" t="s">
        <v>34</v>
      </c>
      <c r="L3628" s="25">
        <v>41591.06216435185</v>
      </c>
      <c r="M3628" s="28"/>
      <c r="N3628" s="26" t="s">
        <v>8451</v>
      </c>
      <c r="O3628" s="22" t="str">
        <f>HYPERLINK("https://pbs.twimg.com/profile_images/538506491871776768/0pHoM3jh_normal.jpeg","View")</f>
        <v>View</v>
      </c>
      <c r="P3628" s="27"/>
    </row>
    <row r="3629">
      <c r="A3629" s="14">
        <v>43031.231203703705</v>
      </c>
      <c r="B3629" s="20" t="str">
        <f>HYPERLINK("https://twitter.com/Hypocrites_Oath","@Hypocrites_Oath")</f>
        <v>@Hypocrites_Oath</v>
      </c>
      <c r="C3629" s="21" t="s">
        <v>8452</v>
      </c>
      <c r="D3629" s="21" t="s">
        <v>8453</v>
      </c>
      <c r="E3629" s="22" t="str">
        <f>HYPERLINK("https://twitter.com/Hypocrites_Oath/status/922440701547294721","922440701547294721")</f>
        <v>922440701547294721</v>
      </c>
      <c r="F3629" s="23" t="s">
        <v>769</v>
      </c>
      <c r="G3629" s="24">
        <v>171.0</v>
      </c>
      <c r="H3629" s="24">
        <v>695.0</v>
      </c>
      <c r="I3629" s="24">
        <v>1.0</v>
      </c>
      <c r="J3629" s="24">
        <v>0.0</v>
      </c>
      <c r="K3629" s="23" t="s">
        <v>34</v>
      </c>
      <c r="L3629" s="25">
        <v>40851.299479166664</v>
      </c>
      <c r="M3629" s="26" t="s">
        <v>478</v>
      </c>
      <c r="N3629" s="26" t="s">
        <v>8454</v>
      </c>
      <c r="O3629" s="22" t="str">
        <f>HYPERLINK("https://pbs.twimg.com/profile_images/1622419212/hypocrisy-certificate_normal.jpg","View")</f>
        <v>View</v>
      </c>
      <c r="P3629" s="27"/>
    </row>
    <row r="3630">
      <c r="A3630" s="14">
        <v>43031.231261574074</v>
      </c>
      <c r="B3630" s="20" t="str">
        <f>HYPERLINK("https://twitter.com/Dabby1220a","@Dabby1220a")</f>
        <v>@Dabby1220a</v>
      </c>
      <c r="C3630" s="21" t="s">
        <v>8455</v>
      </c>
      <c r="D3630" s="21" t="s">
        <v>5786</v>
      </c>
      <c r="E3630" s="22" t="str">
        <f>HYPERLINK("https://twitter.com/Dabby1220a/status/922440723072348160","922440723072348160")</f>
        <v>922440723072348160</v>
      </c>
      <c r="F3630" s="23" t="s">
        <v>55</v>
      </c>
      <c r="G3630" s="24">
        <v>12.0</v>
      </c>
      <c r="H3630" s="24">
        <v>10.0</v>
      </c>
      <c r="I3630" s="24">
        <v>59.0</v>
      </c>
      <c r="J3630" s="24">
        <v>0.0</v>
      </c>
      <c r="K3630" s="23" t="s">
        <v>34</v>
      </c>
      <c r="L3630" s="25">
        <v>43029.02297453704</v>
      </c>
      <c r="M3630" s="28"/>
      <c r="N3630" s="26" t="s">
        <v>8456</v>
      </c>
      <c r="O3630" s="22" t="str">
        <f>HYPERLINK("https://pbs.twimg.com/profile_images/921652373650419712/cuspCcgp_normal.jpg","View")</f>
        <v>View</v>
      </c>
      <c r="P3630" s="27"/>
    </row>
    <row r="3631">
      <c r="A3631" s="14">
        <v>43031.2312962963</v>
      </c>
      <c r="B3631" s="20" t="str">
        <f>HYPERLINK("https://twitter.com/kenyannews_","@kenyannews_")</f>
        <v>@kenyannews_</v>
      </c>
      <c r="C3631" s="21" t="s">
        <v>8457</v>
      </c>
      <c r="D3631" s="21" t="s">
        <v>8458</v>
      </c>
      <c r="E3631" s="22" t="str">
        <f>HYPERLINK("https://twitter.com/kenyannews_/status/922440738960441346","922440738960441346")</f>
        <v>922440738960441346</v>
      </c>
      <c r="F3631" s="23" t="s">
        <v>8459</v>
      </c>
      <c r="G3631" s="24">
        <v>1356.0</v>
      </c>
      <c r="H3631" s="24">
        <v>1662.0</v>
      </c>
      <c r="I3631" s="24">
        <v>0.0</v>
      </c>
      <c r="J3631" s="24">
        <v>0.0</v>
      </c>
      <c r="K3631" s="23" t="s">
        <v>34</v>
      </c>
      <c r="L3631" s="25">
        <v>42842.205775462964</v>
      </c>
      <c r="M3631" s="26" t="s">
        <v>843</v>
      </c>
      <c r="N3631" s="26" t="s">
        <v>8460</v>
      </c>
      <c r="O3631" s="22" t="str">
        <f>HYPERLINK("https://pbs.twimg.com/profile_images/853941754738995200/ykMaWnYU_normal.jpg","View")</f>
        <v>View</v>
      </c>
      <c r="P3631" s="27"/>
    </row>
    <row r="3632">
      <c r="A3632" s="14">
        <v>43031.23138888889</v>
      </c>
      <c r="B3632" s="20" t="str">
        <f>HYPERLINK("https://twitter.com/DwivediPraddumn","@DwivediPraddumn")</f>
        <v>@DwivediPraddumn</v>
      </c>
      <c r="C3632" s="21" t="s">
        <v>8461</v>
      </c>
      <c r="D3632" s="21" t="s">
        <v>42</v>
      </c>
      <c r="E3632" s="22" t="str">
        <f>HYPERLINK("https://twitter.com/DwivediPraddumn/status/922440769788461056","922440769788461056")</f>
        <v>922440769788461056</v>
      </c>
      <c r="F3632" s="23" t="s">
        <v>33</v>
      </c>
      <c r="G3632" s="24">
        <v>19.0</v>
      </c>
      <c r="H3632" s="24">
        <v>14.0</v>
      </c>
      <c r="I3632" s="24">
        <v>8501.0</v>
      </c>
      <c r="J3632" s="24">
        <v>0.0</v>
      </c>
      <c r="K3632" s="23" t="s">
        <v>34</v>
      </c>
      <c r="L3632" s="25">
        <v>42686.484814814816</v>
      </c>
      <c r="M3632" s="26" t="s">
        <v>3066</v>
      </c>
      <c r="N3632" s="26" t="s">
        <v>8462</v>
      </c>
      <c r="O3632" s="22" t="str">
        <f>HYPERLINK("https://pbs.twimg.com/profile_images/910515253284282371/zQ-kVZBm_normal.jpg","View")</f>
        <v>View</v>
      </c>
      <c r="P3632" s="27"/>
    </row>
    <row r="3633">
      <c r="A3633" s="14">
        <v>43031.23148148148</v>
      </c>
      <c r="B3633" s="20" t="str">
        <f>HYPERLINK("https://twitter.com/taji_na","@taji_na")</f>
        <v>@taji_na</v>
      </c>
      <c r="C3633" s="21" t="s">
        <v>8463</v>
      </c>
      <c r="D3633" s="21" t="s">
        <v>42</v>
      </c>
      <c r="E3633" s="22" t="str">
        <f>HYPERLINK("https://twitter.com/taji_na/status/922440802181070848","922440802181070848")</f>
        <v>922440802181070848</v>
      </c>
      <c r="F3633" s="23" t="s">
        <v>33</v>
      </c>
      <c r="G3633" s="24">
        <v>453.0</v>
      </c>
      <c r="H3633" s="24">
        <v>60.0</v>
      </c>
      <c r="I3633" s="24">
        <v>8501.0</v>
      </c>
      <c r="J3633" s="24">
        <v>0.0</v>
      </c>
      <c r="K3633" s="23" t="s">
        <v>34</v>
      </c>
      <c r="L3633" s="25">
        <v>41013.61394675926</v>
      </c>
      <c r="M3633" s="28"/>
      <c r="N3633" s="26" t="s">
        <v>8464</v>
      </c>
      <c r="O3633" s="22" t="str">
        <f>HYPERLINK("https://pbs.twimg.com/profile_images/911477964650430464/74FPgMmc_normal.jpg","View")</f>
        <v>View</v>
      </c>
      <c r="P3633" s="27"/>
    </row>
    <row r="3634">
      <c r="A3634" s="14">
        <v>43031.23152777778</v>
      </c>
      <c r="B3634" s="20" t="str">
        <f>HYPERLINK("https://twitter.com/serendipnana","@serendipnana")</f>
        <v>@serendipnana</v>
      </c>
      <c r="C3634" s="21" t="s">
        <v>8465</v>
      </c>
      <c r="D3634" s="21" t="s">
        <v>3867</v>
      </c>
      <c r="E3634" s="22" t="str">
        <f>HYPERLINK("https://twitter.com/serendipnana/status/922440818937524224","922440818937524224")</f>
        <v>922440818937524224</v>
      </c>
      <c r="F3634" s="23" t="s">
        <v>33</v>
      </c>
      <c r="G3634" s="24">
        <v>221.0</v>
      </c>
      <c r="H3634" s="24">
        <v>17.0</v>
      </c>
      <c r="I3634" s="24">
        <v>23.0</v>
      </c>
      <c r="J3634" s="24">
        <v>0.0</v>
      </c>
      <c r="K3634" s="23" t="s">
        <v>34</v>
      </c>
      <c r="L3634" s="25">
        <v>40656.264085648145</v>
      </c>
      <c r="M3634" s="26" t="s">
        <v>8466</v>
      </c>
      <c r="N3634" s="26" t="s">
        <v>8467</v>
      </c>
      <c r="O3634" s="22" t="str">
        <f>HYPERLINK("https://pbs.twimg.com/profile_images/1322392146/s58B6Ubk_normal","View")</f>
        <v>View</v>
      </c>
      <c r="P3634" s="27"/>
    </row>
    <row r="3635">
      <c r="A3635" s="14">
        <v>43031.23165509259</v>
      </c>
      <c r="B3635" s="20" t="str">
        <f>HYPERLINK("https://twitter.com/teatimepalace","@teatimepalace")</f>
        <v>@teatimepalace</v>
      </c>
      <c r="C3635" s="21" t="s">
        <v>8468</v>
      </c>
      <c r="D3635" s="21" t="s">
        <v>8469</v>
      </c>
      <c r="E3635" s="22" t="str">
        <f>HYPERLINK("https://twitter.com/teatimepalace/status/922440865376636928","922440865376636928")</f>
        <v>922440865376636928</v>
      </c>
      <c r="F3635" s="23" t="s">
        <v>33</v>
      </c>
      <c r="G3635" s="24">
        <v>221.0</v>
      </c>
      <c r="H3635" s="24">
        <v>648.0</v>
      </c>
      <c r="I3635" s="24">
        <v>0.0</v>
      </c>
      <c r="J3635" s="24">
        <v>0.0</v>
      </c>
      <c r="K3635" s="23" t="s">
        <v>34</v>
      </c>
      <c r="L3635" s="25">
        <v>40778.974027777775</v>
      </c>
      <c r="M3635" s="26" t="s">
        <v>8470</v>
      </c>
      <c r="N3635" s="26" t="s">
        <v>8471</v>
      </c>
      <c r="O3635" s="22" t="str">
        <f>HYPERLINK("https://pbs.twimg.com/profile_images/761388916695904256/m2iyQgYn_normal.jpg","View")</f>
        <v>View</v>
      </c>
      <c r="P3635" s="27"/>
    </row>
    <row r="3636">
      <c r="A3636" s="14">
        <v>43031.23175925926</v>
      </c>
      <c r="B3636" s="20" t="str">
        <f>HYPERLINK("https://twitter.com/ramchandani2000","@ramchandani2000")</f>
        <v>@ramchandani2000</v>
      </c>
      <c r="C3636" s="21" t="s">
        <v>8472</v>
      </c>
      <c r="D3636" s="21" t="s">
        <v>163</v>
      </c>
      <c r="E3636" s="22" t="str">
        <f>HYPERLINK("https://twitter.com/ramchandani2000/status/922440903888986113","922440903888986113")</f>
        <v>922440903888986113</v>
      </c>
      <c r="F3636" s="23" t="s">
        <v>55</v>
      </c>
      <c r="G3636" s="24">
        <v>406.0</v>
      </c>
      <c r="H3636" s="24">
        <v>1515.0</v>
      </c>
      <c r="I3636" s="24">
        <v>1005.0</v>
      </c>
      <c r="J3636" s="24">
        <v>0.0</v>
      </c>
      <c r="K3636" s="23" t="s">
        <v>34</v>
      </c>
      <c r="L3636" s="25">
        <v>40923.660891203705</v>
      </c>
      <c r="M3636" s="28"/>
      <c r="N3636" s="28"/>
      <c r="O3636" s="22" t="str">
        <f>HYPERLINK("https://abs.twimg.com/sticky/default_profile_images/default_profile_normal.png","View")</f>
        <v>View</v>
      </c>
      <c r="P3636" s="27"/>
    </row>
    <row r="3637">
      <c r="A3637" s="14">
        <v>43031.23186342593</v>
      </c>
      <c r="B3637" s="20" t="str">
        <f>HYPERLINK("https://twitter.com/zhang_sg","@zhang_sg")</f>
        <v>@zhang_sg</v>
      </c>
      <c r="C3637" s="21" t="s">
        <v>8473</v>
      </c>
      <c r="D3637" s="21" t="s">
        <v>8474</v>
      </c>
      <c r="E3637" s="22" t="str">
        <f>HYPERLINK("https://twitter.com/zhang_sg/status/922440942568607745","922440942568607745")</f>
        <v>922440942568607745</v>
      </c>
      <c r="F3637" s="23" t="s">
        <v>43</v>
      </c>
      <c r="G3637" s="24">
        <v>37.0</v>
      </c>
      <c r="H3637" s="24">
        <v>767.0</v>
      </c>
      <c r="I3637" s="24">
        <v>2.0</v>
      </c>
      <c r="J3637" s="24">
        <v>0.0</v>
      </c>
      <c r="K3637" s="23" t="s">
        <v>34</v>
      </c>
      <c r="L3637" s="25">
        <v>42836.84480324074</v>
      </c>
      <c r="M3637" s="28"/>
      <c r="N3637" s="28"/>
      <c r="O3637" s="22" t="str">
        <f>HYPERLINK("https://pbs.twimg.com/profile_images/861482705145298944/LLAnyZze_normal.jpg","View")</f>
        <v>View</v>
      </c>
      <c r="P3637" s="27"/>
    </row>
    <row r="3638">
      <c r="A3638" s="14">
        <v>43031.23189814815</v>
      </c>
      <c r="B3638" s="20" t="str">
        <f>HYPERLINK("https://twitter.com/aswal71","@aswal71")</f>
        <v>@aswal71</v>
      </c>
      <c r="C3638" s="21" t="s">
        <v>8475</v>
      </c>
      <c r="D3638" s="21" t="s">
        <v>42</v>
      </c>
      <c r="E3638" s="22" t="str">
        <f>HYPERLINK("https://twitter.com/aswal71/status/922440953457082368","922440953457082368")</f>
        <v>922440953457082368</v>
      </c>
      <c r="F3638" s="23" t="s">
        <v>33</v>
      </c>
      <c r="G3638" s="24">
        <v>1885.0</v>
      </c>
      <c r="H3638" s="24">
        <v>4940.0</v>
      </c>
      <c r="I3638" s="24">
        <v>8501.0</v>
      </c>
      <c r="J3638" s="24">
        <v>0.0</v>
      </c>
      <c r="K3638" s="23" t="s">
        <v>34</v>
      </c>
      <c r="L3638" s="25">
        <v>41058.13459490741</v>
      </c>
      <c r="M3638" s="26" t="s">
        <v>234</v>
      </c>
      <c r="N3638" s="26" t="s">
        <v>8476</v>
      </c>
      <c r="O3638" s="22" t="str">
        <f>HYPERLINK("https://pbs.twimg.com/profile_images/922768990287511552/iOjQj9W__normal.jpg","View")</f>
        <v>View</v>
      </c>
      <c r="P3638" s="27"/>
    </row>
    <row r="3639">
      <c r="A3639" s="14">
        <v>43031.23189814815</v>
      </c>
      <c r="B3639" s="20" t="str">
        <f>HYPERLINK("https://twitter.com/SFLawyer98","@SFLawyer98")</f>
        <v>@SFLawyer98</v>
      </c>
      <c r="C3639" s="21" t="s">
        <v>8477</v>
      </c>
      <c r="D3639" s="21" t="s">
        <v>8478</v>
      </c>
      <c r="E3639" s="22" t="str">
        <f>HYPERLINK("https://twitter.com/SFLawyer98/status/922440955659141120","922440955659141120")</f>
        <v>922440955659141120</v>
      </c>
      <c r="F3639" s="23" t="s">
        <v>230</v>
      </c>
      <c r="G3639" s="24">
        <v>2680.0</v>
      </c>
      <c r="H3639" s="24">
        <v>3682.0</v>
      </c>
      <c r="I3639" s="24">
        <v>1.0</v>
      </c>
      <c r="J3639" s="24">
        <v>0.0</v>
      </c>
      <c r="K3639" s="23" t="s">
        <v>34</v>
      </c>
      <c r="L3639" s="25">
        <v>41030.6297800926</v>
      </c>
      <c r="M3639" s="26" t="s">
        <v>8479</v>
      </c>
      <c r="N3639" s="26" t="s">
        <v>8480</v>
      </c>
      <c r="O3639" s="22" t="str">
        <f>HYPERLINK("https://pbs.twimg.com/profile_images/667781658850889728/R4eWRt11_normal.jpg","View")</f>
        <v>View</v>
      </c>
      <c r="P3639" s="27"/>
    </row>
    <row r="3640">
      <c r="A3640" s="14">
        <v>43031.23200231481</v>
      </c>
      <c r="B3640" s="20" t="str">
        <f>HYPERLINK("https://twitter.com/BeRaviRanjan","@BeRaviRanjan")</f>
        <v>@BeRaviRanjan</v>
      </c>
      <c r="C3640" s="21" t="s">
        <v>8481</v>
      </c>
      <c r="D3640" s="21" t="s">
        <v>42</v>
      </c>
      <c r="E3640" s="22" t="str">
        <f>HYPERLINK("https://twitter.com/BeRaviRanjan/status/922440991360954368","922440991360954368")</f>
        <v>922440991360954368</v>
      </c>
      <c r="F3640" s="23" t="s">
        <v>33</v>
      </c>
      <c r="G3640" s="24">
        <v>45.0</v>
      </c>
      <c r="H3640" s="24">
        <v>37.0</v>
      </c>
      <c r="I3640" s="24">
        <v>8501.0</v>
      </c>
      <c r="J3640" s="24">
        <v>0.0</v>
      </c>
      <c r="K3640" s="23" t="s">
        <v>34</v>
      </c>
      <c r="L3640" s="25">
        <v>42843.165127314816</v>
      </c>
      <c r="M3640" s="26" t="s">
        <v>3042</v>
      </c>
      <c r="N3640" s="26" t="s">
        <v>8482</v>
      </c>
      <c r="O3640" s="22" t="str">
        <f>HYPERLINK("https://pbs.twimg.com/profile_images/891506979423703040/7i-XDfSj_normal.jpg","View")</f>
        <v>View</v>
      </c>
      <c r="P3640" s="27"/>
    </row>
    <row r="3641">
      <c r="A3641" s="14">
        <v>43031.23201388889</v>
      </c>
      <c r="B3641" s="20" t="str">
        <f>HYPERLINK("https://twitter.com/bradwbuck","@bradwbuck")</f>
        <v>@bradwbuck</v>
      </c>
      <c r="C3641" s="21" t="s">
        <v>8483</v>
      </c>
      <c r="D3641" s="21" t="s">
        <v>7403</v>
      </c>
      <c r="E3641" s="22" t="str">
        <f>HYPERLINK("https://twitter.com/bradwbuck/status/922440995937112064","922440995937112064")</f>
        <v>922440995937112064</v>
      </c>
      <c r="F3641" s="23" t="s">
        <v>55</v>
      </c>
      <c r="G3641" s="24">
        <v>1154.0</v>
      </c>
      <c r="H3641" s="24">
        <v>1616.0</v>
      </c>
      <c r="I3641" s="24">
        <v>29.0</v>
      </c>
      <c r="J3641" s="24">
        <v>0.0</v>
      </c>
      <c r="K3641" s="23" t="s">
        <v>34</v>
      </c>
      <c r="L3641" s="25">
        <v>39844.527604166666</v>
      </c>
      <c r="M3641" s="28"/>
      <c r="N3641" s="26" t="s">
        <v>8484</v>
      </c>
      <c r="O3641" s="22" t="str">
        <f>HYPERLINK("https://pbs.twimg.com/profile_images/748163467698372608/8FGM4FBL_normal.jpg","View")</f>
        <v>View</v>
      </c>
      <c r="P3641" s="27"/>
    </row>
    <row r="3642">
      <c r="A3642" s="14">
        <v>43031.23202546296</v>
      </c>
      <c r="B3642" s="20" t="str">
        <f>HYPERLINK("https://twitter.com/sen_sindh","@sen_sindh")</f>
        <v>@sen_sindh</v>
      </c>
      <c r="C3642" s="21" t="s">
        <v>8485</v>
      </c>
      <c r="D3642" s="21" t="s">
        <v>42</v>
      </c>
      <c r="E3642" s="22" t="str">
        <f>HYPERLINK("https://twitter.com/sen_sindh/status/922441002782154752","922441002782154752")</f>
        <v>922441002782154752</v>
      </c>
      <c r="F3642" s="23" t="s">
        <v>33</v>
      </c>
      <c r="G3642" s="24">
        <v>1835.0</v>
      </c>
      <c r="H3642" s="24">
        <v>1404.0</v>
      </c>
      <c r="I3642" s="24">
        <v>8501.0</v>
      </c>
      <c r="J3642" s="24">
        <v>0.0</v>
      </c>
      <c r="K3642" s="23" t="s">
        <v>34</v>
      </c>
      <c r="L3642" s="25">
        <v>40782.406689814816</v>
      </c>
      <c r="M3642" s="26" t="s">
        <v>3144</v>
      </c>
      <c r="N3642" s="26" t="s">
        <v>8486</v>
      </c>
      <c r="O3642" s="22" t="str">
        <f>HYPERLINK("https://pbs.twimg.com/profile_images/792161309311766528/-5WVHD9O_normal.jpg","View")</f>
        <v>View</v>
      </c>
      <c r="P3642" s="27"/>
    </row>
    <row r="3643">
      <c r="A3643" s="14">
        <v>43031.23204861111</v>
      </c>
      <c r="B3643" s="20" t="str">
        <f>HYPERLINK("https://twitter.com/truehindu10","@truehindu10")</f>
        <v>@truehindu10</v>
      </c>
      <c r="C3643" s="21" t="s">
        <v>8487</v>
      </c>
      <c r="D3643" s="21" t="s">
        <v>42</v>
      </c>
      <c r="E3643" s="22" t="str">
        <f>HYPERLINK("https://twitter.com/truehindu10/status/922441009203519493","922441009203519493")</f>
        <v>922441009203519493</v>
      </c>
      <c r="F3643" s="23" t="s">
        <v>33</v>
      </c>
      <c r="G3643" s="24">
        <v>155.0</v>
      </c>
      <c r="H3643" s="24">
        <v>218.0</v>
      </c>
      <c r="I3643" s="24">
        <v>8501.0</v>
      </c>
      <c r="J3643" s="24">
        <v>0.0</v>
      </c>
      <c r="K3643" s="23" t="s">
        <v>34</v>
      </c>
      <c r="L3643" s="25">
        <v>42740.33553240741</v>
      </c>
      <c r="M3643" s="28"/>
      <c r="N3643" s="26" t="s">
        <v>8488</v>
      </c>
      <c r="O3643" s="22" t="str">
        <f>HYPERLINK("https://pbs.twimg.com/profile_images/817042721416232964/g22s95GQ_normal.jpg","View")</f>
        <v>View</v>
      </c>
      <c r="P3643" s="27"/>
    </row>
    <row r="3644">
      <c r="A3644" s="14">
        <v>43031.232094907406</v>
      </c>
      <c r="B3644" s="20" t="str">
        <f>HYPERLINK("https://twitter.com/BaghelaYaduveer","@BaghelaYaduveer")</f>
        <v>@BaghelaYaduveer</v>
      </c>
      <c r="C3644" s="21" t="s">
        <v>8489</v>
      </c>
      <c r="D3644" s="21" t="s">
        <v>42</v>
      </c>
      <c r="E3644" s="22" t="str">
        <f>HYPERLINK("https://twitter.com/BaghelaYaduveer/status/922441024676302848","922441024676302848")</f>
        <v>922441024676302848</v>
      </c>
      <c r="F3644" s="23" t="s">
        <v>33</v>
      </c>
      <c r="G3644" s="24">
        <v>837.0</v>
      </c>
      <c r="H3644" s="24">
        <v>1321.0</v>
      </c>
      <c r="I3644" s="24">
        <v>8501.0</v>
      </c>
      <c r="J3644" s="24">
        <v>0.0</v>
      </c>
      <c r="K3644" s="23" t="s">
        <v>34</v>
      </c>
      <c r="L3644" s="25">
        <v>42933.934062500004</v>
      </c>
      <c r="M3644" s="26" t="s">
        <v>8490</v>
      </c>
      <c r="N3644" s="26" t="s">
        <v>8491</v>
      </c>
      <c r="O3644" s="22" t="str">
        <f>HYPERLINK("https://pbs.twimg.com/profile_images/922359942547247104/2-G_IE-f_normal.jpg","View")</f>
        <v>View</v>
      </c>
      <c r="P3644" s="27"/>
    </row>
    <row r="3645">
      <c r="A3645" s="14">
        <v>43031.23233796297</v>
      </c>
      <c r="B3645" s="20" t="str">
        <f>HYPERLINK("https://twitter.com/AOhray","@AOhray")</f>
        <v>@AOhray</v>
      </c>
      <c r="C3645" s="21" t="s">
        <v>8492</v>
      </c>
      <c r="D3645" s="21" t="s">
        <v>8493</v>
      </c>
      <c r="E3645" s="22" t="str">
        <f>HYPERLINK("https://twitter.com/AOhray/status/922441116632436736","922441116632436736")</f>
        <v>922441116632436736</v>
      </c>
      <c r="F3645" s="23" t="s">
        <v>230</v>
      </c>
      <c r="G3645" s="24">
        <v>113.0</v>
      </c>
      <c r="H3645" s="24">
        <v>884.0</v>
      </c>
      <c r="I3645" s="24">
        <v>10.0</v>
      </c>
      <c r="J3645" s="24">
        <v>0.0</v>
      </c>
      <c r="K3645" s="23" t="s">
        <v>34</v>
      </c>
      <c r="L3645" s="25">
        <v>41270.83515046296</v>
      </c>
      <c r="M3645" s="26" t="s">
        <v>2619</v>
      </c>
      <c r="N3645" s="26" t="s">
        <v>8494</v>
      </c>
      <c r="O3645" s="22" t="str">
        <f>HYPERLINK("https://pbs.twimg.com/profile_images/588081411392933888/usC9DXAq_normal.jpg","View")</f>
        <v>View</v>
      </c>
      <c r="P3645" s="27"/>
    </row>
    <row r="3646">
      <c r="A3646" s="14">
        <v>43031.23243055555</v>
      </c>
      <c r="B3646" s="20" t="str">
        <f>HYPERLINK("https://twitter.com/Tweeter2Los","@Tweeter2Los")</f>
        <v>@Tweeter2Los</v>
      </c>
      <c r="C3646" s="21" t="s">
        <v>8495</v>
      </c>
      <c r="D3646" s="21" t="s">
        <v>108</v>
      </c>
      <c r="E3646" s="22" t="str">
        <f>HYPERLINK("https://twitter.com/Tweeter2Los/status/922441149134131200","922441149134131200")</f>
        <v>922441149134131200</v>
      </c>
      <c r="F3646" s="23" t="s">
        <v>39</v>
      </c>
      <c r="G3646" s="24">
        <v>349.0</v>
      </c>
      <c r="H3646" s="24">
        <v>922.0</v>
      </c>
      <c r="I3646" s="24">
        <v>88.0</v>
      </c>
      <c r="J3646" s="24">
        <v>0.0</v>
      </c>
      <c r="K3646" s="23" t="s">
        <v>34</v>
      </c>
      <c r="L3646" s="25">
        <v>41289.768275462964</v>
      </c>
      <c r="M3646" s="26" t="s">
        <v>8496</v>
      </c>
      <c r="N3646" s="26" t="s">
        <v>8497</v>
      </c>
      <c r="O3646" s="22" t="str">
        <f>HYPERLINK("https://pbs.twimg.com/profile_images/922295627060523009/RLcZDstI_normal.jpg","View")</f>
        <v>View</v>
      </c>
      <c r="P3646" s="27"/>
    </row>
    <row r="3647">
      <c r="A3647" s="14">
        <v>43031.232453703706</v>
      </c>
      <c r="B3647" s="20" t="str">
        <f>HYPERLINK("https://twitter.com/rileyton","@rileyton")</f>
        <v>@rileyton</v>
      </c>
      <c r="C3647" s="21" t="s">
        <v>8498</v>
      </c>
      <c r="D3647" s="21" t="s">
        <v>2595</v>
      </c>
      <c r="E3647" s="22" t="str">
        <f>HYPERLINK("https://twitter.com/rileyton/status/922441157086343168","922441157086343168")</f>
        <v>922441157086343168</v>
      </c>
      <c r="F3647" s="23" t="s">
        <v>39</v>
      </c>
      <c r="G3647" s="24">
        <v>890.0</v>
      </c>
      <c r="H3647" s="24">
        <v>1558.0</v>
      </c>
      <c r="I3647" s="24">
        <v>170.0</v>
      </c>
      <c r="J3647" s="24">
        <v>0.0</v>
      </c>
      <c r="K3647" s="23" t="s">
        <v>34</v>
      </c>
      <c r="L3647" s="25">
        <v>41326.39947916666</v>
      </c>
      <c r="M3647" s="26" t="s">
        <v>8499</v>
      </c>
      <c r="N3647" s="26" t="s">
        <v>8500</v>
      </c>
      <c r="O3647" s="22" t="str">
        <f>HYPERLINK("https://pbs.twimg.com/profile_images/654296909251657728/AVY2yBJj_normal.jpg","View")</f>
        <v>View</v>
      </c>
      <c r="P3647" s="27"/>
    </row>
    <row r="3648">
      <c r="A3648" s="14">
        <v>43031.232465277775</v>
      </c>
      <c r="B3648" s="20" t="str">
        <f>HYPERLINK("https://twitter.com/karthiktvm1990","@karthiktvm1990")</f>
        <v>@karthiktvm1990</v>
      </c>
      <c r="C3648" s="21" t="s">
        <v>8501</v>
      </c>
      <c r="D3648" s="21" t="s">
        <v>42</v>
      </c>
      <c r="E3648" s="22" t="str">
        <f>HYPERLINK("https://twitter.com/karthiktvm1990/status/922441158969589761","922441158969589761")</f>
        <v>922441158969589761</v>
      </c>
      <c r="F3648" s="23" t="s">
        <v>55</v>
      </c>
      <c r="G3648" s="24">
        <v>163.0</v>
      </c>
      <c r="H3648" s="24">
        <v>190.0</v>
      </c>
      <c r="I3648" s="24">
        <v>8501.0</v>
      </c>
      <c r="J3648" s="24">
        <v>0.0</v>
      </c>
      <c r="K3648" s="23" t="s">
        <v>34</v>
      </c>
      <c r="L3648" s="25">
        <v>41780.33243055556</v>
      </c>
      <c r="M3648" s="26" t="s">
        <v>204</v>
      </c>
      <c r="N3648" s="26" t="s">
        <v>8502</v>
      </c>
      <c r="O3648" s="22" t="str">
        <f>HYPERLINK("https://pbs.twimg.com/profile_images/597420562672029696/9AREroP1_normal.jpg","View")</f>
        <v>View</v>
      </c>
      <c r="P3648" s="27"/>
    </row>
    <row r="3649">
      <c r="A3649" s="14">
        <v>43031.2325462963</v>
      </c>
      <c r="B3649" s="20" t="str">
        <f>HYPERLINK("https://twitter.com/NewsDingo","@NewsDingo")</f>
        <v>@NewsDingo</v>
      </c>
      <c r="C3649" s="21" t="s">
        <v>3313</v>
      </c>
      <c r="D3649" s="21" t="s">
        <v>8503</v>
      </c>
      <c r="E3649" s="22" t="str">
        <f>HYPERLINK("https://twitter.com/NewsDingo/status/922441189164449792","922441189164449792")</f>
        <v>922441189164449792</v>
      </c>
      <c r="F3649" s="23" t="s">
        <v>3315</v>
      </c>
      <c r="G3649" s="24">
        <v>140.0</v>
      </c>
      <c r="H3649" s="24">
        <v>55.0</v>
      </c>
      <c r="I3649" s="24">
        <v>0.0</v>
      </c>
      <c r="J3649" s="24">
        <v>0.0</v>
      </c>
      <c r="K3649" s="23" t="s">
        <v>34</v>
      </c>
      <c r="L3649" s="25">
        <v>40282.52636574074</v>
      </c>
      <c r="M3649" s="26" t="s">
        <v>3316</v>
      </c>
      <c r="N3649" s="26" t="s">
        <v>3317</v>
      </c>
      <c r="O3649" s="22" t="str">
        <f>HYPERLINK("https://pbs.twimg.com/profile_images/823485261/news_dingo_48_normal.gif","View")</f>
        <v>View</v>
      </c>
      <c r="P3649" s="27"/>
    </row>
    <row r="3650">
      <c r="A3650" s="14">
        <v>43031.2325462963</v>
      </c>
      <c r="B3650" s="20" t="str">
        <f>HYPERLINK("https://twitter.com/jafarmiya","@jafarmiya")</f>
        <v>@jafarmiya</v>
      </c>
      <c r="C3650" s="21" t="s">
        <v>8504</v>
      </c>
      <c r="D3650" s="21" t="s">
        <v>8505</v>
      </c>
      <c r="E3650" s="22" t="str">
        <f>HYPERLINK("https://twitter.com/jafarmiya/status/922441189260972032","922441189260972032")</f>
        <v>922441189260972032</v>
      </c>
      <c r="F3650" s="23" t="s">
        <v>33</v>
      </c>
      <c r="G3650" s="24">
        <v>96.0</v>
      </c>
      <c r="H3650" s="24">
        <v>51.0</v>
      </c>
      <c r="I3650" s="24">
        <v>22.0</v>
      </c>
      <c r="J3650" s="24">
        <v>0.0</v>
      </c>
      <c r="K3650" s="23" t="s">
        <v>34</v>
      </c>
      <c r="L3650" s="25">
        <v>42659.45372685185</v>
      </c>
      <c r="M3650" s="28"/>
      <c r="N3650" s="26" t="s">
        <v>8506</v>
      </c>
      <c r="O3650" s="22" t="str">
        <f>HYPERLINK("https://abs.twimg.com/sticky/default_profile_images/default_profile_normal.png","View")</f>
        <v>View</v>
      </c>
      <c r="P3650" s="27"/>
    </row>
    <row r="3651">
      <c r="A3651" s="14">
        <v>43031.232627314814</v>
      </c>
      <c r="B3651" s="20" t="str">
        <f>HYPERLINK("https://twitter.com/WPPnZ47OabnF0KO","@WPPnZ47OabnF0KO")</f>
        <v>@WPPnZ47OabnF0KO</v>
      </c>
      <c r="C3651" s="21" t="s">
        <v>7362</v>
      </c>
      <c r="D3651" s="21" t="s">
        <v>6670</v>
      </c>
      <c r="E3651" s="22" t="str">
        <f>HYPERLINK("https://twitter.com/WPPnZ47OabnF0KO/status/922441218675458054","922441218675458054")</f>
        <v>922441218675458054</v>
      </c>
      <c r="F3651" s="23" t="s">
        <v>33</v>
      </c>
      <c r="G3651" s="24">
        <v>1496.0</v>
      </c>
      <c r="H3651" s="24">
        <v>4287.0</v>
      </c>
      <c r="I3651" s="24">
        <v>18.0</v>
      </c>
      <c r="J3651" s="24">
        <v>0.0</v>
      </c>
      <c r="K3651" s="23" t="s">
        <v>34</v>
      </c>
      <c r="L3651" s="25">
        <v>42755.49078703704</v>
      </c>
      <c r="M3651" s="26" t="s">
        <v>7363</v>
      </c>
      <c r="N3651" s="26" t="s">
        <v>7364</v>
      </c>
      <c r="O3651" s="22" t="str">
        <f>HYPERLINK("https://pbs.twimg.com/profile_images/917370651844919297/DHQLZ53J_normal.jpg","View")</f>
        <v>View</v>
      </c>
      <c r="P3651" s="27"/>
    </row>
    <row r="3652">
      <c r="A3652" s="14">
        <v>43031.23275462963</v>
      </c>
      <c r="B3652" s="20" t="str">
        <f>HYPERLINK("https://twitter.com/JohnPalmier","@JohnPalmier")</f>
        <v>@JohnPalmier</v>
      </c>
      <c r="C3652" s="21" t="s">
        <v>8507</v>
      </c>
      <c r="D3652" s="21" t="s">
        <v>8508</v>
      </c>
      <c r="E3652" s="22" t="str">
        <f>HYPERLINK("https://twitter.com/JohnPalmier/status/922441264527761409","922441264527761409")</f>
        <v>922441264527761409</v>
      </c>
      <c r="F3652" s="23" t="s">
        <v>55</v>
      </c>
      <c r="G3652" s="24">
        <v>341.0</v>
      </c>
      <c r="H3652" s="24">
        <v>418.0</v>
      </c>
      <c r="I3652" s="24">
        <v>0.0</v>
      </c>
      <c r="J3652" s="24">
        <v>0.0</v>
      </c>
      <c r="K3652" s="23" t="s">
        <v>34</v>
      </c>
      <c r="L3652" s="25">
        <v>40291.519224537034</v>
      </c>
      <c r="M3652" s="26" t="s">
        <v>8509</v>
      </c>
      <c r="N3652" s="26" t="s">
        <v>8510</v>
      </c>
      <c r="O3652" s="22" t="str">
        <f>HYPERLINK("https://pbs.twimg.com/profile_images/445223143213240321/fGtyusXy_normal.jpeg","View")</f>
        <v>View</v>
      </c>
      <c r="P3652" s="27"/>
    </row>
    <row r="3653">
      <c r="A3653" s="14">
        <v>43031.2327662037</v>
      </c>
      <c r="B3653" s="20" t="str">
        <f>HYPERLINK("https://twitter.com/invest4today","@invest4today")</f>
        <v>@invest4today</v>
      </c>
      <c r="C3653" s="21" t="s">
        <v>8511</v>
      </c>
      <c r="D3653" s="21" t="s">
        <v>7403</v>
      </c>
      <c r="E3653" s="22" t="str">
        <f>HYPERLINK("https://twitter.com/invest4today/status/922441271800750086","922441271800750086")</f>
        <v>922441271800750086</v>
      </c>
      <c r="F3653" s="23" t="s">
        <v>33</v>
      </c>
      <c r="G3653" s="24">
        <v>25.0</v>
      </c>
      <c r="H3653" s="24">
        <v>53.0</v>
      </c>
      <c r="I3653" s="24">
        <v>29.0</v>
      </c>
      <c r="J3653" s="24">
        <v>0.0</v>
      </c>
      <c r="K3653" s="23" t="s">
        <v>34</v>
      </c>
      <c r="L3653" s="25">
        <v>42957.72295138889</v>
      </c>
      <c r="M3653" s="28"/>
      <c r="N3653" s="26" t="s">
        <v>8512</v>
      </c>
      <c r="O3653" s="22" t="str">
        <f>HYPERLINK("https://pbs.twimg.com/profile_images/895836420526542848/GN3ev3KK_normal.jpg","View")</f>
        <v>View</v>
      </c>
      <c r="P3653" s="27"/>
    </row>
    <row r="3654">
      <c r="A3654" s="14">
        <v>43031.23291666667</v>
      </c>
      <c r="B3654" s="20" t="str">
        <f>HYPERLINK("https://twitter.com/_srivatava","@_srivatava")</f>
        <v>@_srivatava</v>
      </c>
      <c r="C3654" s="21" t="s">
        <v>8513</v>
      </c>
      <c r="D3654" s="21" t="s">
        <v>42</v>
      </c>
      <c r="E3654" s="22" t="str">
        <f>HYPERLINK("https://twitter.com/_srivatava/status/922441322887131136","922441322887131136")</f>
        <v>922441322887131136</v>
      </c>
      <c r="F3654" s="23" t="s">
        <v>39</v>
      </c>
      <c r="G3654" s="24">
        <v>83.0</v>
      </c>
      <c r="H3654" s="24">
        <v>1562.0</v>
      </c>
      <c r="I3654" s="24">
        <v>8501.0</v>
      </c>
      <c r="J3654" s="24">
        <v>0.0</v>
      </c>
      <c r="K3654" s="23" t="s">
        <v>34</v>
      </c>
      <c r="L3654" s="25">
        <v>42183.28792824074</v>
      </c>
      <c r="M3654" s="26" t="s">
        <v>8514</v>
      </c>
      <c r="N3654" s="26" t="s">
        <v>8515</v>
      </c>
      <c r="O3654" s="22" t="str">
        <f>HYPERLINK("https://pbs.twimg.com/profile_images/617318023196622848/Vwq1jpWp_normal.jpg","View")</f>
        <v>View</v>
      </c>
      <c r="P3654" s="27"/>
    </row>
    <row r="3655">
      <c r="A3655" s="14">
        <v>43031.23291666667</v>
      </c>
      <c r="B3655" s="20" t="str">
        <f>HYPERLINK("https://twitter.com/alok_bhatt","@alok_bhatt")</f>
        <v>@alok_bhatt</v>
      </c>
      <c r="C3655" s="21" t="s">
        <v>8516</v>
      </c>
      <c r="D3655" s="21" t="s">
        <v>42</v>
      </c>
      <c r="E3655" s="22" t="str">
        <f>HYPERLINK("https://twitter.com/alok_bhatt/status/922441323453464577","922441323453464577")</f>
        <v>922441323453464577</v>
      </c>
      <c r="F3655" s="23" t="s">
        <v>39</v>
      </c>
      <c r="G3655" s="24">
        <v>37425.0</v>
      </c>
      <c r="H3655" s="24">
        <v>664.0</v>
      </c>
      <c r="I3655" s="24">
        <v>8501.0</v>
      </c>
      <c r="J3655" s="24">
        <v>0.0</v>
      </c>
      <c r="K3655" s="23" t="s">
        <v>34</v>
      </c>
      <c r="L3655" s="25">
        <v>40453.8897337963</v>
      </c>
      <c r="M3655" s="26" t="s">
        <v>423</v>
      </c>
      <c r="N3655" s="26" t="s">
        <v>8517</v>
      </c>
      <c r="O3655" s="22" t="str">
        <f>HYPERLINK("https://pbs.twimg.com/profile_images/917202639254724610/FvfRK5zo_normal.jpg","View")</f>
        <v>View</v>
      </c>
      <c r="P3655" s="27"/>
    </row>
    <row r="3656">
      <c r="A3656" s="14">
        <v>43031.23296296297</v>
      </c>
      <c r="B3656" s="20" t="str">
        <f>HYPERLINK("https://twitter.com/Ameresh2Mishra","@Ameresh2Mishra")</f>
        <v>@Ameresh2Mishra</v>
      </c>
      <c r="C3656" s="21" t="s">
        <v>8518</v>
      </c>
      <c r="D3656" s="21" t="s">
        <v>42</v>
      </c>
      <c r="E3656" s="22" t="str">
        <f>HYPERLINK("https://twitter.com/Ameresh2Mishra/status/922441340540956677","922441340540956677")</f>
        <v>922441340540956677</v>
      </c>
      <c r="F3656" s="23" t="s">
        <v>33</v>
      </c>
      <c r="G3656" s="24">
        <v>128.0</v>
      </c>
      <c r="H3656" s="24">
        <v>393.0</v>
      </c>
      <c r="I3656" s="24">
        <v>8501.0</v>
      </c>
      <c r="J3656" s="24">
        <v>0.0</v>
      </c>
      <c r="K3656" s="23" t="s">
        <v>34</v>
      </c>
      <c r="L3656" s="25">
        <v>41859.85424768519</v>
      </c>
      <c r="M3656" s="26" t="s">
        <v>8519</v>
      </c>
      <c r="N3656" s="26" t="s">
        <v>8520</v>
      </c>
      <c r="O3656" s="22" t="str">
        <f>HYPERLINK("https://pbs.twimg.com/profile_images/906860483608641536/iTo8tY83_normal.jpg","View")</f>
        <v>View</v>
      </c>
      <c r="P3656" s="27"/>
    </row>
    <row r="3657">
      <c r="A3657" s="14">
        <v>43031.233125</v>
      </c>
      <c r="B3657" s="20" t="str">
        <f>HYPERLINK("https://twitter.com/perfect_potion5","@perfect_potion5")</f>
        <v>@perfect_potion5</v>
      </c>
      <c r="C3657" s="21" t="s">
        <v>8521</v>
      </c>
      <c r="D3657" s="21" t="s">
        <v>760</v>
      </c>
      <c r="E3657" s="22" t="str">
        <f>HYPERLINK("https://twitter.com/perfect_potion5/status/922441399202541570","922441399202541570")</f>
        <v>922441399202541570</v>
      </c>
      <c r="F3657" s="23" t="s">
        <v>55</v>
      </c>
      <c r="G3657" s="24">
        <v>28.0</v>
      </c>
      <c r="H3657" s="24">
        <v>31.0</v>
      </c>
      <c r="I3657" s="24">
        <v>62.0</v>
      </c>
      <c r="J3657" s="24">
        <v>0.0</v>
      </c>
      <c r="K3657" s="23" t="s">
        <v>34</v>
      </c>
      <c r="L3657" s="25">
        <v>42780.97462962963</v>
      </c>
      <c r="M3657" s="26" t="s">
        <v>8522</v>
      </c>
      <c r="N3657" s="26" t="s">
        <v>8523</v>
      </c>
      <c r="O3657" s="22" t="str">
        <f>HYPERLINK("https://pbs.twimg.com/profile_images/915208026914643970/29XVkkK8_normal.jpg","View")</f>
        <v>View</v>
      </c>
      <c r="P3657" s="27"/>
    </row>
    <row r="3658">
      <c r="A3658" s="14">
        <v>43031.233136574076</v>
      </c>
      <c r="B3658" s="20" t="str">
        <f>HYPERLINK("https://twitter.com/BhavikShrimal","@BhavikShrimal")</f>
        <v>@BhavikShrimal</v>
      </c>
      <c r="C3658" s="21" t="s">
        <v>8524</v>
      </c>
      <c r="D3658" s="21" t="s">
        <v>42</v>
      </c>
      <c r="E3658" s="22" t="str">
        <f>HYPERLINK("https://twitter.com/BhavikShrimal/status/922441402478243841","922441402478243841")</f>
        <v>922441402478243841</v>
      </c>
      <c r="F3658" s="23" t="s">
        <v>55</v>
      </c>
      <c r="G3658" s="24">
        <v>144.0</v>
      </c>
      <c r="H3658" s="24">
        <v>332.0</v>
      </c>
      <c r="I3658" s="24">
        <v>8501.0</v>
      </c>
      <c r="J3658" s="24">
        <v>0.0</v>
      </c>
      <c r="K3658" s="23" t="s">
        <v>34</v>
      </c>
      <c r="L3658" s="25">
        <v>40197.97533564815</v>
      </c>
      <c r="M3658" s="26" t="s">
        <v>8314</v>
      </c>
      <c r="N3658" s="26" t="s">
        <v>8525</v>
      </c>
      <c r="O3658" s="22" t="str">
        <f>HYPERLINK("https://pbs.twimg.com/profile_images/668679843937030144/g68CWUNZ_normal.jpg","View")</f>
        <v>View</v>
      </c>
      <c r="P3658" s="27"/>
    </row>
    <row r="3659">
      <c r="A3659" s="14">
        <v>43031.233182870375</v>
      </c>
      <c r="B3659" s="20" t="str">
        <f>HYPERLINK("https://twitter.com/rococo1889","@rococo1889")</f>
        <v>@rococo1889</v>
      </c>
      <c r="C3659" s="21" t="s">
        <v>8526</v>
      </c>
      <c r="D3659" s="21" t="s">
        <v>42</v>
      </c>
      <c r="E3659" s="22" t="str">
        <f>HYPERLINK("https://twitter.com/rococo1889/status/922441419972739072","922441419972739072")</f>
        <v>922441419972739072</v>
      </c>
      <c r="F3659" s="23" t="s">
        <v>39</v>
      </c>
      <c r="G3659" s="24">
        <v>94.0</v>
      </c>
      <c r="H3659" s="24">
        <v>223.0</v>
      </c>
      <c r="I3659" s="24">
        <v>8501.0</v>
      </c>
      <c r="J3659" s="24">
        <v>0.0</v>
      </c>
      <c r="K3659" s="23" t="s">
        <v>34</v>
      </c>
      <c r="L3659" s="25">
        <v>42549.282175925924</v>
      </c>
      <c r="M3659" s="28"/>
      <c r="N3659" s="26" t="s">
        <v>8527</v>
      </c>
      <c r="O3659" s="22" t="str">
        <f>HYPERLINK("https://pbs.twimg.com/profile_images/903333887341879296/ZZDM_us__normal.jpg","View")</f>
        <v>View</v>
      </c>
      <c r="P3659" s="27"/>
    </row>
    <row r="3660">
      <c r="A3660" s="14">
        <v>43031.233206018514</v>
      </c>
      <c r="B3660" s="20" t="str">
        <f>HYPERLINK("https://twitter.com/dlortner","@dlortner")</f>
        <v>@dlortner</v>
      </c>
      <c r="C3660" s="21" t="s">
        <v>8528</v>
      </c>
      <c r="D3660" s="21" t="s">
        <v>6670</v>
      </c>
      <c r="E3660" s="22" t="str">
        <f>HYPERLINK("https://twitter.com/dlortner/status/922441430802616321","922441430802616321")</f>
        <v>922441430802616321</v>
      </c>
      <c r="F3660" s="23" t="s">
        <v>39</v>
      </c>
      <c r="G3660" s="24">
        <v>996.0</v>
      </c>
      <c r="H3660" s="24">
        <v>2388.0</v>
      </c>
      <c r="I3660" s="24">
        <v>18.0</v>
      </c>
      <c r="J3660" s="24">
        <v>0.0</v>
      </c>
      <c r="K3660" s="23" t="s">
        <v>34</v>
      </c>
      <c r="L3660" s="25">
        <v>41198.759247685186</v>
      </c>
      <c r="M3660" s="28"/>
      <c r="N3660" s="26" t="s">
        <v>8529</v>
      </c>
      <c r="O3660" s="22" t="str">
        <f>HYPERLINK("https://pbs.twimg.com/profile_images/2727789817/8ac40a2991fef52b8a525797354f5ace_normal.jpeg","View")</f>
        <v>View</v>
      </c>
      <c r="P3660" s="27"/>
    </row>
    <row r="3661">
      <c r="A3661" s="14">
        <v>43031.23322916667</v>
      </c>
      <c r="B3661" s="20" t="str">
        <f>HYPERLINK("https://twitter.com/VikashP28977206","@VikashP28977206")</f>
        <v>@VikashP28977206</v>
      </c>
      <c r="C3661" s="21" t="s">
        <v>8530</v>
      </c>
      <c r="D3661" s="21" t="s">
        <v>42</v>
      </c>
      <c r="E3661" s="22" t="str">
        <f>HYPERLINK("https://twitter.com/VikashP28977206/status/922441439484592128","922441439484592128")</f>
        <v>922441439484592128</v>
      </c>
      <c r="F3661" s="23" t="s">
        <v>33</v>
      </c>
      <c r="G3661" s="24">
        <v>136.0</v>
      </c>
      <c r="H3661" s="24">
        <v>1256.0</v>
      </c>
      <c r="I3661" s="24">
        <v>8501.0</v>
      </c>
      <c r="J3661" s="24">
        <v>0.0</v>
      </c>
      <c r="K3661" s="23" t="s">
        <v>34</v>
      </c>
      <c r="L3661" s="25">
        <v>42932.839641203704</v>
      </c>
      <c r="M3661" s="26" t="s">
        <v>8531</v>
      </c>
      <c r="N3661" s="26" t="s">
        <v>8532</v>
      </c>
      <c r="O3661" s="22" t="str">
        <f>HYPERLINK("https://pbs.twimg.com/profile_images/898586573872054272/G_WHDkJG_normal.jpg","View")</f>
        <v>View</v>
      </c>
      <c r="P3661" s="27"/>
    </row>
    <row r="3662">
      <c r="A3662" s="14">
        <v>43031.233252314814</v>
      </c>
      <c r="B3662" s="20" t="str">
        <f>HYPERLINK("https://twitter.com/Koustubh1","@Koustubh1")</f>
        <v>@Koustubh1</v>
      </c>
      <c r="C3662" s="21" t="s">
        <v>8533</v>
      </c>
      <c r="D3662" s="21" t="s">
        <v>42</v>
      </c>
      <c r="E3662" s="22" t="str">
        <f>HYPERLINK("https://twitter.com/Koustubh1/status/922441445868421121","922441445868421121")</f>
        <v>922441445868421121</v>
      </c>
      <c r="F3662" s="23" t="s">
        <v>33</v>
      </c>
      <c r="G3662" s="24">
        <v>609.0</v>
      </c>
      <c r="H3662" s="24">
        <v>315.0</v>
      </c>
      <c r="I3662" s="24">
        <v>8501.0</v>
      </c>
      <c r="J3662" s="24">
        <v>0.0</v>
      </c>
      <c r="K3662" s="23" t="s">
        <v>34</v>
      </c>
      <c r="L3662" s="25">
        <v>40460.00829861111</v>
      </c>
      <c r="M3662" s="26" t="s">
        <v>8534</v>
      </c>
      <c r="N3662" s="26" t="s">
        <v>8535</v>
      </c>
      <c r="O3662" s="22" t="str">
        <f>HYPERLINK("https://pbs.twimg.com/profile_images/378800000748168158/8aadfccd036a601cc92e63f7d2ab17cf_normal.jpeg","View")</f>
        <v>View</v>
      </c>
      <c r="P3662" s="27"/>
    </row>
    <row r="3663">
      <c r="A3663" s="14">
        <v>43031.233252314814</v>
      </c>
      <c r="B3663" s="20" t="str">
        <f>HYPERLINK("https://twitter.com/DineshPoonia78","@DineshPoonia78")</f>
        <v>@DineshPoonia78</v>
      </c>
      <c r="C3663" s="21" t="s">
        <v>8536</v>
      </c>
      <c r="D3663" s="21" t="s">
        <v>42</v>
      </c>
      <c r="E3663" s="22" t="str">
        <f>HYPERLINK("https://twitter.com/DineshPoonia78/status/922441446677913600","922441446677913600")</f>
        <v>922441446677913600</v>
      </c>
      <c r="F3663" s="23" t="s">
        <v>55</v>
      </c>
      <c r="G3663" s="24">
        <v>105.0</v>
      </c>
      <c r="H3663" s="24">
        <v>227.0</v>
      </c>
      <c r="I3663" s="24">
        <v>8501.0</v>
      </c>
      <c r="J3663" s="24">
        <v>0.0</v>
      </c>
      <c r="K3663" s="23" t="s">
        <v>34</v>
      </c>
      <c r="L3663" s="25">
        <v>42794.30348379629</v>
      </c>
      <c r="M3663" s="26" t="s">
        <v>204</v>
      </c>
      <c r="N3663" s="26" t="s">
        <v>8537</v>
      </c>
      <c r="O3663" s="22" t="str">
        <f>HYPERLINK("https://pbs.twimg.com/profile_images/900574991808307202/-6_nG8kf_normal.jpg","View")</f>
        <v>View</v>
      </c>
      <c r="P3663" s="27"/>
    </row>
    <row r="3664">
      <c r="A3664" s="14">
        <v>43031.23326388889</v>
      </c>
      <c r="B3664" s="20" t="str">
        <f>HYPERLINK("https://twitter.com/DianaEsther","@DianaEsther")</f>
        <v>@DianaEsther</v>
      </c>
      <c r="C3664" s="21" t="s">
        <v>8538</v>
      </c>
      <c r="D3664" s="21" t="s">
        <v>8539</v>
      </c>
      <c r="E3664" s="22" t="str">
        <f>HYPERLINK("https://twitter.com/DianaEsther/status/922441448452009985","922441448452009985")</f>
        <v>922441448452009985</v>
      </c>
      <c r="F3664" s="23" t="s">
        <v>39</v>
      </c>
      <c r="G3664" s="24">
        <v>911.0</v>
      </c>
      <c r="H3664" s="24">
        <v>512.0</v>
      </c>
      <c r="I3664" s="24">
        <v>1.0</v>
      </c>
      <c r="J3664" s="24">
        <v>0.0</v>
      </c>
      <c r="K3664" s="23" t="s">
        <v>34</v>
      </c>
      <c r="L3664" s="25">
        <v>39910.68886574074</v>
      </c>
      <c r="M3664" s="26" t="s">
        <v>8540</v>
      </c>
      <c r="N3664" s="26" t="s">
        <v>8541</v>
      </c>
      <c r="O3664" s="22" t="str">
        <f>HYPERLINK("https://pbs.twimg.com/profile_images/918292250286686208/56djNR-w_normal.jpg","View")</f>
        <v>View</v>
      </c>
      <c r="P3664" s="27"/>
    </row>
    <row r="3665">
      <c r="A3665" s="14">
        <v>43031.23334490741</v>
      </c>
      <c r="B3665" s="20" t="str">
        <f>HYPERLINK("https://twitter.com/BagaGam","@BagaGam")</f>
        <v>@BagaGam</v>
      </c>
      <c r="C3665" s="21" t="s">
        <v>8542</v>
      </c>
      <c r="D3665" s="21" t="s">
        <v>8543</v>
      </c>
      <c r="E3665" s="22" t="str">
        <f>HYPERLINK("https://twitter.com/BagaGam/status/922441478093328384","922441478093328384")</f>
        <v>922441478093328384</v>
      </c>
      <c r="F3665" s="23" t="s">
        <v>33</v>
      </c>
      <c r="G3665" s="24">
        <v>561.0</v>
      </c>
      <c r="H3665" s="24">
        <v>2390.0</v>
      </c>
      <c r="I3665" s="24">
        <v>1.0</v>
      </c>
      <c r="J3665" s="24">
        <v>0.0</v>
      </c>
      <c r="K3665" s="23" t="s">
        <v>34</v>
      </c>
      <c r="L3665" s="25">
        <v>40428.26256944444</v>
      </c>
      <c r="M3665" s="26" t="s">
        <v>8544</v>
      </c>
      <c r="N3665" s="26" t="s">
        <v>8545</v>
      </c>
      <c r="O3665" s="22" t="str">
        <f>HYPERLINK("https://pbs.twimg.com/profile_images/1119085353/komprimierte_Hexenmaske_normal.JPG","View")</f>
        <v>View</v>
      </c>
      <c r="P3665" s="27"/>
    </row>
    <row r="3666">
      <c r="A3666" s="14">
        <v>43031.233402777776</v>
      </c>
      <c r="B3666" s="20" t="str">
        <f>HYPERLINK("https://twitter.com/soumyajitmohant","@soumyajitmohant")</f>
        <v>@soumyajitmohant</v>
      </c>
      <c r="C3666" s="21" t="s">
        <v>8546</v>
      </c>
      <c r="D3666" s="21" t="s">
        <v>42</v>
      </c>
      <c r="E3666" s="22" t="str">
        <f>HYPERLINK("https://twitter.com/soumyajitmohant/status/922441501925261312","922441501925261312")</f>
        <v>922441501925261312</v>
      </c>
      <c r="F3666" s="23" t="s">
        <v>33</v>
      </c>
      <c r="G3666" s="24">
        <v>26.0</v>
      </c>
      <c r="H3666" s="24">
        <v>545.0</v>
      </c>
      <c r="I3666" s="24">
        <v>8501.0</v>
      </c>
      <c r="J3666" s="24">
        <v>0.0</v>
      </c>
      <c r="K3666" s="23" t="s">
        <v>34</v>
      </c>
      <c r="L3666" s="25">
        <v>41044.29467592593</v>
      </c>
      <c r="M3666" s="26" t="s">
        <v>575</v>
      </c>
      <c r="N3666" s="26" t="s">
        <v>8547</v>
      </c>
      <c r="O3666" s="22" t="str">
        <f>HYPERLINK("https://pbs.twimg.com/profile_images/817722850186526720/X1tjbQck_normal.jpg","View")</f>
        <v>View</v>
      </c>
      <c r="P3666" s="27"/>
    </row>
    <row r="3667">
      <c r="A3667" s="14">
        <v>43031.23341435185</v>
      </c>
      <c r="B3667" s="20" t="str">
        <f>HYPERLINK("https://twitter.com/Naveenmaddhesh6","@Naveenmaddhesh6")</f>
        <v>@Naveenmaddhesh6</v>
      </c>
      <c r="C3667" s="21" t="s">
        <v>8548</v>
      </c>
      <c r="D3667" s="21" t="s">
        <v>42</v>
      </c>
      <c r="E3667" s="22" t="str">
        <f>HYPERLINK("https://twitter.com/Naveenmaddhesh6/status/922441506660614145","922441506660614145")</f>
        <v>922441506660614145</v>
      </c>
      <c r="F3667" s="23" t="s">
        <v>33</v>
      </c>
      <c r="G3667" s="24">
        <v>1074.0</v>
      </c>
      <c r="H3667" s="24">
        <v>1251.0</v>
      </c>
      <c r="I3667" s="24">
        <v>8501.0</v>
      </c>
      <c r="J3667" s="24">
        <v>0.0</v>
      </c>
      <c r="K3667" s="23" t="s">
        <v>34</v>
      </c>
      <c r="L3667" s="25">
        <v>42940.21601851852</v>
      </c>
      <c r="M3667" s="26" t="s">
        <v>8549</v>
      </c>
      <c r="N3667" s="26" t="s">
        <v>8550</v>
      </c>
      <c r="O3667" s="22" t="str">
        <f>HYPERLINK("https://pbs.twimg.com/profile_images/889459269480984580/PKgAljgI_normal.jpg","View")</f>
        <v>View</v>
      </c>
      <c r="P3667" s="27"/>
    </row>
    <row r="3668">
      <c r="A3668" s="14">
        <v>43031.23358796297</v>
      </c>
      <c r="B3668" s="20" t="str">
        <f>HYPERLINK("https://twitter.com/pratyus02241475","@pratyus02241475")</f>
        <v>@pratyus02241475</v>
      </c>
      <c r="C3668" s="21" t="s">
        <v>8551</v>
      </c>
      <c r="D3668" s="21" t="s">
        <v>42</v>
      </c>
      <c r="E3668" s="22" t="str">
        <f>HYPERLINK("https://twitter.com/pratyus02241475/status/922441568857997312","922441568857997312")</f>
        <v>922441568857997312</v>
      </c>
      <c r="F3668" s="23" t="s">
        <v>43</v>
      </c>
      <c r="G3668" s="24">
        <v>79.0</v>
      </c>
      <c r="H3668" s="24">
        <v>88.0</v>
      </c>
      <c r="I3668" s="24">
        <v>8501.0</v>
      </c>
      <c r="J3668" s="24">
        <v>0.0</v>
      </c>
      <c r="K3668" s="23" t="s">
        <v>34</v>
      </c>
      <c r="L3668" s="25">
        <v>41147.1187037037</v>
      </c>
      <c r="M3668" s="28"/>
      <c r="N3668" s="28"/>
      <c r="O3668" s="22" t="str">
        <f>HYPERLINK("https://pbs.twimg.com/profile_images/921763204098752513/skC38o7-_normal.jpg","View")</f>
        <v>View</v>
      </c>
      <c r="P3668" s="27"/>
    </row>
    <row r="3669">
      <c r="A3669" s="14">
        <v>43031.23359953704</v>
      </c>
      <c r="B3669" s="20" t="str">
        <f>HYPERLINK("https://twitter.com/alfonslopeztena","@alfonslopeztena")</f>
        <v>@alfonslopeztena</v>
      </c>
      <c r="C3669" s="21" t="s">
        <v>8552</v>
      </c>
      <c r="D3669" s="21" t="s">
        <v>8553</v>
      </c>
      <c r="E3669" s="22" t="str">
        <f>HYPERLINK("https://twitter.com/alfonslopeztena/status/922441570468671489","922441570468671489")</f>
        <v>922441570468671489</v>
      </c>
      <c r="F3669" s="23" t="s">
        <v>39</v>
      </c>
      <c r="G3669" s="24">
        <v>102729.0</v>
      </c>
      <c r="H3669" s="24">
        <v>21990.0</v>
      </c>
      <c r="I3669" s="24">
        <v>31.0</v>
      </c>
      <c r="J3669" s="24">
        <v>0.0</v>
      </c>
      <c r="K3669" s="23" t="s">
        <v>34</v>
      </c>
      <c r="L3669" s="25">
        <v>40696.32491898148</v>
      </c>
      <c r="M3669" s="26" t="s">
        <v>8554</v>
      </c>
      <c r="N3669" s="26" t="s">
        <v>8555</v>
      </c>
      <c r="O3669" s="22" t="str">
        <f>HYPERLINK("https://pbs.twimg.com/profile_images/859622516989587459/V7xwxilP_normal.jpg","View")</f>
        <v>View</v>
      </c>
      <c r="P3669" s="27"/>
    </row>
    <row r="3670">
      <c r="A3670" s="14">
        <v>43031.23359953704</v>
      </c>
      <c r="B3670" s="20" t="str">
        <f>HYPERLINK("https://twitter.com/rashidaldosari","@rashidaldosari")</f>
        <v>@rashidaldosari</v>
      </c>
      <c r="C3670" s="21" t="s">
        <v>8556</v>
      </c>
      <c r="D3670" s="21" t="s">
        <v>7403</v>
      </c>
      <c r="E3670" s="22" t="str">
        <f>HYPERLINK("https://twitter.com/rashidaldosari/status/922441573039853568","922441573039853568")</f>
        <v>922441573039853568</v>
      </c>
      <c r="F3670" s="23" t="s">
        <v>39</v>
      </c>
      <c r="G3670" s="24">
        <v>2400.0</v>
      </c>
      <c r="H3670" s="24">
        <v>55.0</v>
      </c>
      <c r="I3670" s="24">
        <v>29.0</v>
      </c>
      <c r="J3670" s="24">
        <v>0.0</v>
      </c>
      <c r="K3670" s="23" t="s">
        <v>34</v>
      </c>
      <c r="L3670" s="25">
        <v>40635.110625</v>
      </c>
      <c r="M3670" s="28"/>
      <c r="N3670" s="26" t="s">
        <v>8557</v>
      </c>
      <c r="O3670" s="22" t="str">
        <f>HYPERLINK("https://pbs.twimg.com/profile_images/1389660377/image_normal.jpg","View")</f>
        <v>View</v>
      </c>
      <c r="P3670" s="27"/>
    </row>
    <row r="3671">
      <c r="A3671" s="14">
        <v>43031.23369212963</v>
      </c>
      <c r="B3671" s="20" t="str">
        <f>HYPERLINK("https://twitter.com/PS641600","@PS641600")</f>
        <v>@PS641600</v>
      </c>
      <c r="C3671" s="21" t="s">
        <v>8558</v>
      </c>
      <c r="D3671" s="21" t="s">
        <v>8559</v>
      </c>
      <c r="E3671" s="22" t="str">
        <f>HYPERLINK("https://twitter.com/PS641600/status/922441606065807360","922441606065807360")</f>
        <v>922441606065807360</v>
      </c>
      <c r="F3671" s="23" t="s">
        <v>8560</v>
      </c>
      <c r="G3671" s="24">
        <v>3923.0</v>
      </c>
      <c r="H3671" s="24">
        <v>4016.0</v>
      </c>
      <c r="I3671" s="24">
        <v>0.0</v>
      </c>
      <c r="J3671" s="24">
        <v>0.0</v>
      </c>
      <c r="K3671" s="23" t="s">
        <v>34</v>
      </c>
      <c r="L3671" s="25">
        <v>40521.61923611111</v>
      </c>
      <c r="M3671" s="26" t="s">
        <v>6582</v>
      </c>
      <c r="N3671" s="26" t="s">
        <v>8561</v>
      </c>
      <c r="O3671" s="22" t="str">
        <f>HYPERLINK("https://pbs.twimg.com/profile_images/907275579438850048/mAQAJ-Qp_normal.jpg","View")</f>
        <v>View</v>
      </c>
      <c r="P3671" s="27"/>
    </row>
    <row r="3672">
      <c r="A3672" s="14">
        <v>43031.23375</v>
      </c>
      <c r="B3672" s="20" t="str">
        <f>HYPERLINK("https://twitter.com/ClayEngberg","@ClayEngberg")</f>
        <v>@ClayEngberg</v>
      </c>
      <c r="C3672" s="21" t="s">
        <v>8562</v>
      </c>
      <c r="D3672" s="21" t="s">
        <v>8563</v>
      </c>
      <c r="E3672" s="22" t="str">
        <f>HYPERLINK("https://twitter.com/ClayEngberg/status/922441624323612674","922441624323612674")</f>
        <v>922441624323612674</v>
      </c>
      <c r="F3672" s="23" t="s">
        <v>33</v>
      </c>
      <c r="G3672" s="24">
        <v>2601.0</v>
      </c>
      <c r="H3672" s="24">
        <v>4659.0</v>
      </c>
      <c r="I3672" s="24">
        <v>2.0</v>
      </c>
      <c r="J3672" s="24">
        <v>0.0</v>
      </c>
      <c r="K3672" s="23" t="s">
        <v>34</v>
      </c>
      <c r="L3672" s="25">
        <v>41442.30670138889</v>
      </c>
      <c r="M3672" s="26" t="s">
        <v>8564</v>
      </c>
      <c r="N3672" s="26" t="s">
        <v>8565</v>
      </c>
      <c r="O3672" s="22" t="str">
        <f>HYPERLINK("https://pbs.twimg.com/profile_images/494977474103480321/ngpBDZzi_normal.jpeg","View")</f>
        <v>View</v>
      </c>
      <c r="P3672" s="27"/>
    </row>
    <row r="3673">
      <c r="A3673" s="14">
        <v>43031.23375</v>
      </c>
      <c r="B3673" s="20" t="str">
        <f>HYPERLINK("https://twitter.com/sisodiashivam","@sisodiashivam")</f>
        <v>@sisodiashivam</v>
      </c>
      <c r="C3673" s="21" t="s">
        <v>8566</v>
      </c>
      <c r="D3673" s="21" t="s">
        <v>42</v>
      </c>
      <c r="E3673" s="22" t="str">
        <f>HYPERLINK("https://twitter.com/sisodiashivam/status/922441628161212416","922441628161212416")</f>
        <v>922441628161212416</v>
      </c>
      <c r="F3673" s="23" t="s">
        <v>55</v>
      </c>
      <c r="G3673" s="24">
        <v>349.0</v>
      </c>
      <c r="H3673" s="24">
        <v>319.0</v>
      </c>
      <c r="I3673" s="24">
        <v>8501.0</v>
      </c>
      <c r="J3673" s="24">
        <v>0.0</v>
      </c>
      <c r="K3673" s="23" t="s">
        <v>34</v>
      </c>
      <c r="L3673" s="25">
        <v>40821.489652777775</v>
      </c>
      <c r="M3673" s="26" t="s">
        <v>8567</v>
      </c>
      <c r="N3673" s="26" t="s">
        <v>8568</v>
      </c>
      <c r="O3673" s="22" t="str">
        <f>HYPERLINK("https://pbs.twimg.com/profile_images/856921637286838272/l0L8yDwV_normal.jpg","View")</f>
        <v>View</v>
      </c>
      <c r="P3673" s="27"/>
    </row>
    <row r="3674">
      <c r="A3674" s="14">
        <v>43031.233831018515</v>
      </c>
      <c r="B3674" s="20" t="str">
        <f>HYPERLINK("https://twitter.com/Fongern_Chatham","@Fongern_Chatham")</f>
        <v>@Fongern_Chatham</v>
      </c>
      <c r="C3674" s="21" t="s">
        <v>8569</v>
      </c>
      <c r="D3674" s="21" t="s">
        <v>8493</v>
      </c>
      <c r="E3674" s="22" t="str">
        <f>HYPERLINK("https://twitter.com/Fongern_Chatham/status/922441657353670657","922441657353670657")</f>
        <v>922441657353670657</v>
      </c>
      <c r="F3674" s="23" t="s">
        <v>55</v>
      </c>
      <c r="G3674" s="24">
        <v>335.0</v>
      </c>
      <c r="H3674" s="24">
        <v>45.0</v>
      </c>
      <c r="I3674" s="24">
        <v>10.0</v>
      </c>
      <c r="J3674" s="24">
        <v>0.0</v>
      </c>
      <c r="K3674" s="23" t="s">
        <v>34</v>
      </c>
      <c r="L3674" s="25">
        <v>42582.357094907406</v>
      </c>
      <c r="M3674" s="26" t="s">
        <v>8570</v>
      </c>
      <c r="N3674" s="26" t="s">
        <v>8571</v>
      </c>
      <c r="O3674" s="22" t="str">
        <f>HYPERLINK("https://pbs.twimg.com/profile_images/884808825836056576/Go2lKJ0A_normal.jpg","View")</f>
        <v>View</v>
      </c>
      <c r="P3674" s="27"/>
    </row>
    <row r="3675">
      <c r="A3675" s="14">
        <v>43031.23388888889</v>
      </c>
      <c r="B3675" s="20" t="str">
        <f>HYPERLINK("https://twitter.com/0542Madhu","@0542Madhu")</f>
        <v>@0542Madhu</v>
      </c>
      <c r="C3675" s="21" t="s">
        <v>8572</v>
      </c>
      <c r="D3675" s="21" t="s">
        <v>8553</v>
      </c>
      <c r="E3675" s="22" t="str">
        <f>HYPERLINK("https://twitter.com/0542Madhu/status/922441676420825088","922441676420825088")</f>
        <v>922441676420825088</v>
      </c>
      <c r="F3675" s="23" t="s">
        <v>33</v>
      </c>
      <c r="G3675" s="24">
        <v>25.0</v>
      </c>
      <c r="H3675" s="24">
        <v>772.0</v>
      </c>
      <c r="I3675" s="24">
        <v>31.0</v>
      </c>
      <c r="J3675" s="24">
        <v>0.0</v>
      </c>
      <c r="K3675" s="23" t="s">
        <v>34</v>
      </c>
      <c r="L3675" s="25">
        <v>41893.519780092596</v>
      </c>
      <c r="M3675" s="26" t="s">
        <v>8573</v>
      </c>
      <c r="N3675" s="26" t="s">
        <v>8574</v>
      </c>
      <c r="O3675" s="22" t="str">
        <f>HYPERLINK("https://pbs.twimg.com/profile_images/917723338625097728/o-iCr4ag_normal.jpg","View")</f>
        <v>View</v>
      </c>
      <c r="P3675" s="27"/>
    </row>
    <row r="3676">
      <c r="A3676" s="14">
        <v>43031.23395833334</v>
      </c>
      <c r="B3676" s="20" t="str">
        <f>HYPERLINK("https://twitter.com/Shivajib488","@Shivajib488")</f>
        <v>@Shivajib488</v>
      </c>
      <c r="C3676" s="21" t="s">
        <v>8575</v>
      </c>
      <c r="D3676" s="21" t="s">
        <v>4507</v>
      </c>
      <c r="E3676" s="22" t="str">
        <f>HYPERLINK("https://twitter.com/Shivajib488/status/922441700722712576","922441700722712576")</f>
        <v>922441700722712576</v>
      </c>
      <c r="F3676" s="23" t="s">
        <v>55</v>
      </c>
      <c r="G3676" s="24">
        <v>541.0</v>
      </c>
      <c r="H3676" s="24">
        <v>696.0</v>
      </c>
      <c r="I3676" s="24">
        <v>139.0</v>
      </c>
      <c r="J3676" s="24">
        <v>0.0</v>
      </c>
      <c r="K3676" s="23" t="s">
        <v>34</v>
      </c>
      <c r="L3676" s="25">
        <v>41439.30688657407</v>
      </c>
      <c r="M3676" s="26" t="s">
        <v>8576</v>
      </c>
      <c r="N3676" s="26" t="s">
        <v>8577</v>
      </c>
      <c r="O3676" s="22" t="str">
        <f>HYPERLINK("https://pbs.twimg.com/profile_images/908252479304884224/ED6CzNCP_normal.jpg","View")</f>
        <v>View</v>
      </c>
      <c r="P3676" s="27"/>
    </row>
    <row r="3677">
      <c r="A3677" s="14">
        <v>43031.234131944446</v>
      </c>
      <c r="B3677" s="20" t="str">
        <f>HYPERLINK("https://twitter.com/AlmondCoffee_","@AlmondCoffee_")</f>
        <v>@AlmondCoffee_</v>
      </c>
      <c r="C3677" s="21" t="s">
        <v>8578</v>
      </c>
      <c r="D3677" s="21" t="s">
        <v>8579</v>
      </c>
      <c r="E3677" s="22" t="str">
        <f>HYPERLINK("https://twitter.com/AlmondCoffee_/status/922441764044136448","922441764044136448")</f>
        <v>922441764044136448</v>
      </c>
      <c r="F3677" s="23" t="s">
        <v>8580</v>
      </c>
      <c r="G3677" s="24">
        <v>2.0</v>
      </c>
      <c r="H3677" s="24">
        <v>51.0</v>
      </c>
      <c r="I3677" s="24">
        <v>5.0</v>
      </c>
      <c r="J3677" s="24">
        <v>0.0</v>
      </c>
      <c r="K3677" s="23" t="s">
        <v>34</v>
      </c>
      <c r="L3677" s="25">
        <v>42832.47871527778</v>
      </c>
      <c r="M3677" s="28"/>
      <c r="N3677" s="28"/>
      <c r="O3677" s="22" t="str">
        <f>HYPERLINK("https://pbs.twimg.com/profile_images/912575270065860608/asbM351K_normal.jpg","View")</f>
        <v>View</v>
      </c>
      <c r="P3677" s="27"/>
    </row>
    <row r="3678">
      <c r="A3678" s="14">
        <v>43031.234247685185</v>
      </c>
      <c r="B3678" s="20" t="str">
        <f>HYPERLINK("https://twitter.com/AnilVegomega","@AnilVegomega")</f>
        <v>@AnilVegomega</v>
      </c>
      <c r="C3678" s="21" t="s">
        <v>8581</v>
      </c>
      <c r="D3678" s="21" t="s">
        <v>8553</v>
      </c>
      <c r="E3678" s="22" t="str">
        <f>HYPERLINK("https://twitter.com/AnilVegomega/status/922441805466963969","922441805466963969")</f>
        <v>922441805466963969</v>
      </c>
      <c r="F3678" s="23" t="s">
        <v>33</v>
      </c>
      <c r="G3678" s="24">
        <v>1198.0</v>
      </c>
      <c r="H3678" s="24">
        <v>2455.0</v>
      </c>
      <c r="I3678" s="24">
        <v>31.0</v>
      </c>
      <c r="J3678" s="24">
        <v>0.0</v>
      </c>
      <c r="K3678" s="23" t="s">
        <v>34</v>
      </c>
      <c r="L3678" s="25">
        <v>41879.47321759259</v>
      </c>
      <c r="M3678" s="26" t="s">
        <v>8582</v>
      </c>
      <c r="N3678" s="26" t="s">
        <v>8583</v>
      </c>
      <c r="O3678" s="22" t="str">
        <f>HYPERLINK("https://pbs.twimg.com/profile_images/839011239070068736/n9S412_o_normal.jpg","View")</f>
        <v>View</v>
      </c>
      <c r="P3678" s="27"/>
    </row>
    <row r="3679">
      <c r="A3679" s="14">
        <v>43031.234293981484</v>
      </c>
      <c r="B3679" s="20" t="str">
        <f>HYPERLINK("https://twitter.com/asuka_250","@asuka_250")</f>
        <v>@asuka_250</v>
      </c>
      <c r="C3679" s="21" t="s">
        <v>8584</v>
      </c>
      <c r="D3679" s="21" t="s">
        <v>8585</v>
      </c>
      <c r="E3679" s="22" t="str">
        <f>HYPERLINK("https://twitter.com/asuka_250/status/922441824710430720","922441824710430720")</f>
        <v>922441824710430720</v>
      </c>
      <c r="F3679" s="23" t="s">
        <v>55</v>
      </c>
      <c r="G3679" s="24">
        <v>30812.0</v>
      </c>
      <c r="H3679" s="24">
        <v>30482.0</v>
      </c>
      <c r="I3679" s="24">
        <v>20.0</v>
      </c>
      <c r="J3679" s="24">
        <v>13.0</v>
      </c>
      <c r="K3679" s="23" t="s">
        <v>34</v>
      </c>
      <c r="L3679" s="25">
        <v>41943.172476851854</v>
      </c>
      <c r="M3679" s="26" t="s">
        <v>1224</v>
      </c>
      <c r="N3679" s="26" t="s">
        <v>8586</v>
      </c>
      <c r="O3679" s="22" t="str">
        <f>HYPERLINK("https://pbs.twimg.com/profile_images/576284037486014464/dhYtI1qZ_normal.jpeg","View")</f>
        <v>View</v>
      </c>
      <c r="P3679" s="27"/>
    </row>
    <row r="3680">
      <c r="A3680" s="14">
        <v>43031.234375</v>
      </c>
      <c r="B3680" s="20" t="str">
        <f>HYPERLINK("https://twitter.com/shoyu_cat","@shoyu_cat")</f>
        <v>@shoyu_cat</v>
      </c>
      <c r="C3680" s="21" t="s">
        <v>8587</v>
      </c>
      <c r="D3680" s="21" t="s">
        <v>42</v>
      </c>
      <c r="E3680" s="22" t="str">
        <f>HYPERLINK("https://twitter.com/shoyu_cat/status/922441851914694661","922441851914694661")</f>
        <v>922441851914694661</v>
      </c>
      <c r="F3680" s="23" t="s">
        <v>230</v>
      </c>
      <c r="G3680" s="24">
        <v>753.0</v>
      </c>
      <c r="H3680" s="24">
        <v>1192.0</v>
      </c>
      <c r="I3680" s="24">
        <v>8501.0</v>
      </c>
      <c r="J3680" s="24">
        <v>0.0</v>
      </c>
      <c r="K3680" s="23" t="s">
        <v>34</v>
      </c>
      <c r="L3680" s="25">
        <v>40140.85016203704</v>
      </c>
      <c r="M3680" s="26" t="s">
        <v>8588</v>
      </c>
      <c r="N3680" s="26" t="s">
        <v>8589</v>
      </c>
      <c r="O3680" s="22" t="str">
        <f>HYPERLINK("https://pbs.twimg.com/profile_images/2682244694/94f0ca699cc8c2c04f90512e4b700319_normal.png","View")</f>
        <v>View</v>
      </c>
      <c r="P3680" s="27"/>
    </row>
    <row r="3681">
      <c r="A3681" s="14">
        <v>43031.23443287037</v>
      </c>
      <c r="B3681" s="20" t="str">
        <f>HYPERLINK("https://twitter.com/GokhrooArpit","@GokhrooArpit")</f>
        <v>@GokhrooArpit</v>
      </c>
      <c r="C3681" s="21" t="s">
        <v>8590</v>
      </c>
      <c r="D3681" s="21" t="s">
        <v>163</v>
      </c>
      <c r="E3681" s="22" t="str">
        <f>HYPERLINK("https://twitter.com/GokhrooArpit/status/922441873578274816","922441873578274816")</f>
        <v>922441873578274816</v>
      </c>
      <c r="F3681" s="23" t="s">
        <v>33</v>
      </c>
      <c r="G3681" s="24">
        <v>3.0</v>
      </c>
      <c r="H3681" s="24">
        <v>18.0</v>
      </c>
      <c r="I3681" s="24">
        <v>1005.0</v>
      </c>
      <c r="J3681" s="24">
        <v>0.0</v>
      </c>
      <c r="K3681" s="23" t="s">
        <v>34</v>
      </c>
      <c r="L3681" s="25">
        <v>42949.30578703704</v>
      </c>
      <c r="M3681" s="28"/>
      <c r="N3681" s="26" t="s">
        <v>8591</v>
      </c>
      <c r="O3681" s="22" t="str">
        <f>HYPERLINK("https://abs.twimg.com/sticky/default_profile_images/default_profile_normal.png","View")</f>
        <v>View</v>
      </c>
      <c r="P3681" s="27"/>
    </row>
    <row r="3682">
      <c r="A3682" s="14">
        <v>43031.23449074074</v>
      </c>
      <c r="B3682" s="20" t="str">
        <f>HYPERLINK("https://twitter.com/gerituboisdead","@gerituboisdead")</f>
        <v>@gerituboisdead</v>
      </c>
      <c r="C3682" s="21" t="s">
        <v>8592</v>
      </c>
      <c r="D3682" s="21" t="s">
        <v>42</v>
      </c>
      <c r="E3682" s="22" t="str">
        <f>HYPERLINK("https://twitter.com/gerituboisdead/status/922441894419767297","922441894419767297")</f>
        <v>922441894419767297</v>
      </c>
      <c r="F3682" s="23" t="s">
        <v>33</v>
      </c>
      <c r="G3682" s="24">
        <v>470.0</v>
      </c>
      <c r="H3682" s="24">
        <v>246.0</v>
      </c>
      <c r="I3682" s="24">
        <v>8501.0</v>
      </c>
      <c r="J3682" s="24">
        <v>0.0</v>
      </c>
      <c r="K3682" s="23" t="s">
        <v>34</v>
      </c>
      <c r="L3682" s="25">
        <v>40288.849074074074</v>
      </c>
      <c r="M3682" s="28"/>
      <c r="N3682" s="26" t="s">
        <v>8593</v>
      </c>
      <c r="O3682" s="22" t="str">
        <f>HYPERLINK("https://pbs.twimg.com/profile_images/627465723871260672/GDJePkSe_normal.jpg","View")</f>
        <v>View</v>
      </c>
      <c r="P3682" s="27"/>
    </row>
    <row r="3683">
      <c r="A3683" s="14">
        <v>43031.234502314815</v>
      </c>
      <c r="B3683" s="20" t="str">
        <f>HYPERLINK("https://twitter.com/sorukushwaha","@sorukushwaha")</f>
        <v>@sorukushwaha</v>
      </c>
      <c r="C3683" s="21" t="s">
        <v>8594</v>
      </c>
      <c r="D3683" s="21" t="s">
        <v>42</v>
      </c>
      <c r="E3683" s="22" t="str">
        <f>HYPERLINK("https://twitter.com/sorukushwaha/status/922441899255803904","922441899255803904")</f>
        <v>922441899255803904</v>
      </c>
      <c r="F3683" s="23" t="s">
        <v>33</v>
      </c>
      <c r="G3683" s="24">
        <v>524.0</v>
      </c>
      <c r="H3683" s="24">
        <v>545.0</v>
      </c>
      <c r="I3683" s="24">
        <v>8501.0</v>
      </c>
      <c r="J3683" s="24">
        <v>0.0</v>
      </c>
      <c r="K3683" s="23" t="s">
        <v>34</v>
      </c>
      <c r="L3683" s="25">
        <v>41126.92458333333</v>
      </c>
      <c r="M3683" s="26" t="s">
        <v>8595</v>
      </c>
      <c r="N3683" s="26" t="s">
        <v>8596</v>
      </c>
      <c r="O3683" s="22" t="str">
        <f>HYPERLINK("https://pbs.twimg.com/profile_images/883315572079034368/PhqAc9ci_normal.jpg","View")</f>
        <v>View</v>
      </c>
      <c r="P3683" s="27"/>
    </row>
    <row r="3684">
      <c r="A3684" s="14">
        <v>43031.23458333334</v>
      </c>
      <c r="B3684" s="20" t="str">
        <f>HYPERLINK("https://twitter.com/himawari2061","@himawari2061")</f>
        <v>@himawari2061</v>
      </c>
      <c r="C3684" s="21" t="s">
        <v>8597</v>
      </c>
      <c r="D3684" s="21" t="s">
        <v>42</v>
      </c>
      <c r="E3684" s="22" t="str">
        <f>HYPERLINK("https://twitter.com/himawari2061/status/922441930016931840","922441930016931840")</f>
        <v>922441930016931840</v>
      </c>
      <c r="F3684" s="23" t="s">
        <v>230</v>
      </c>
      <c r="G3684" s="24">
        <v>112.0</v>
      </c>
      <c r="H3684" s="24">
        <v>392.0</v>
      </c>
      <c r="I3684" s="24">
        <v>8501.0</v>
      </c>
      <c r="J3684" s="24">
        <v>0.0</v>
      </c>
      <c r="K3684" s="23" t="s">
        <v>34</v>
      </c>
      <c r="L3684" s="25">
        <v>42948.05861111111</v>
      </c>
      <c r="M3684" s="28"/>
      <c r="N3684" s="28"/>
      <c r="O3684" s="22" t="str">
        <f>HYPERLINK("https://abs.twimg.com/sticky/default_profile_images/default_profile_normal.png","View")</f>
        <v>View</v>
      </c>
      <c r="P3684" s="27"/>
    </row>
    <row r="3685">
      <c r="A3685" s="14">
        <v>43031.234618055554</v>
      </c>
      <c r="B3685" s="20" t="str">
        <f>HYPERLINK("https://twitter.com/ajaypillay06","@ajaypillay06")</f>
        <v>@ajaypillay06</v>
      </c>
      <c r="C3685" s="21" t="s">
        <v>8598</v>
      </c>
      <c r="D3685" s="21" t="s">
        <v>42</v>
      </c>
      <c r="E3685" s="22" t="str">
        <f>HYPERLINK("https://twitter.com/ajaypillay06/status/922441939517022208","922441939517022208")</f>
        <v>922441939517022208</v>
      </c>
      <c r="F3685" s="23" t="s">
        <v>39</v>
      </c>
      <c r="G3685" s="24">
        <v>704.0</v>
      </c>
      <c r="H3685" s="24">
        <v>1343.0</v>
      </c>
      <c r="I3685" s="24">
        <v>8501.0</v>
      </c>
      <c r="J3685" s="24">
        <v>0.0</v>
      </c>
      <c r="K3685" s="23" t="s">
        <v>34</v>
      </c>
      <c r="L3685" s="25">
        <v>39907.533900462964</v>
      </c>
      <c r="M3685" s="28"/>
      <c r="N3685" s="28"/>
      <c r="O3685" s="22" t="str">
        <f>HYPERLINK("https://pbs.twimg.com/profile_images/2665158577/f39fe5600f975e827f0b4b4b7d252de0_normal.jpeg","View")</f>
        <v>View</v>
      </c>
      <c r="P3685" s="27"/>
    </row>
    <row r="3686">
      <c r="A3686" s="14">
        <v>43031.2346412037</v>
      </c>
      <c r="B3686" s="20" t="str">
        <f>HYPERLINK("https://twitter.com/neonlife1993","@neonlife1993")</f>
        <v>@neonlife1993</v>
      </c>
      <c r="C3686" s="21" t="s">
        <v>8599</v>
      </c>
      <c r="D3686" s="21" t="s">
        <v>42</v>
      </c>
      <c r="E3686" s="22" t="str">
        <f>HYPERLINK("https://twitter.com/neonlife1993/status/922441950552354816","922441950552354816")</f>
        <v>922441950552354816</v>
      </c>
      <c r="F3686" s="23" t="s">
        <v>39</v>
      </c>
      <c r="G3686" s="24">
        <v>899.0</v>
      </c>
      <c r="H3686" s="24">
        <v>1416.0</v>
      </c>
      <c r="I3686" s="24">
        <v>8501.0</v>
      </c>
      <c r="J3686" s="24">
        <v>0.0</v>
      </c>
      <c r="K3686" s="23" t="s">
        <v>34</v>
      </c>
      <c r="L3686" s="25">
        <v>41825.34189814815</v>
      </c>
      <c r="M3686" s="26" t="s">
        <v>8600</v>
      </c>
      <c r="N3686" s="26" t="s">
        <v>8601</v>
      </c>
      <c r="O3686" s="22" t="str">
        <f>HYPERLINK("https://pbs.twimg.com/profile_images/921299008718503936/CGmunbWZ_normal.jpg","View")</f>
        <v>View</v>
      </c>
      <c r="P3686" s="27"/>
    </row>
    <row r="3687">
      <c r="A3687" s="14">
        <v>43031.23465277778</v>
      </c>
      <c r="B3687" s="20" t="str">
        <f>HYPERLINK("https://twitter.com/candi3811","@candi3811")</f>
        <v>@candi3811</v>
      </c>
      <c r="C3687" s="21" t="s">
        <v>8602</v>
      </c>
      <c r="D3687" s="21" t="s">
        <v>8603</v>
      </c>
      <c r="E3687" s="22" t="str">
        <f>HYPERLINK("https://twitter.com/candi3811/status/922441954335404033","922441954335404033")</f>
        <v>922441954335404033</v>
      </c>
      <c r="F3687" s="30" t="s">
        <v>411</v>
      </c>
      <c r="G3687" s="24">
        <v>82.0</v>
      </c>
      <c r="H3687" s="24">
        <v>49.0</v>
      </c>
      <c r="I3687" s="24">
        <v>0.0</v>
      </c>
      <c r="J3687" s="24">
        <v>0.0</v>
      </c>
      <c r="K3687" s="23" t="s">
        <v>34</v>
      </c>
      <c r="L3687" s="25">
        <v>42190.34175925926</v>
      </c>
      <c r="M3687" s="28"/>
      <c r="N3687" s="26" t="s">
        <v>8604</v>
      </c>
      <c r="O3687" s="22" t="str">
        <f>HYPERLINK("https://pbs.twimg.com/profile_images/617713030508351488/Q6Kn1Hd__normal.jpg","View")</f>
        <v>View</v>
      </c>
      <c r="P3687" s="27"/>
    </row>
    <row r="3688">
      <c r="A3688" s="14">
        <v>43031.23475694444</v>
      </c>
      <c r="B3688" s="20" t="str">
        <f>HYPERLINK("https://twitter.com/petrovdempski","@petrovdempski")</f>
        <v>@petrovdempski</v>
      </c>
      <c r="C3688" s="21" t="s">
        <v>8605</v>
      </c>
      <c r="D3688" s="21" t="s">
        <v>8606</v>
      </c>
      <c r="E3688" s="22" t="str">
        <f>HYPERLINK("https://twitter.com/petrovdempski/status/922441993220972544","922441993220972544")</f>
        <v>922441993220972544</v>
      </c>
      <c r="F3688" s="23" t="s">
        <v>33</v>
      </c>
      <c r="G3688" s="24">
        <v>1480.0</v>
      </c>
      <c r="H3688" s="24">
        <v>2026.0</v>
      </c>
      <c r="I3688" s="24">
        <v>0.0</v>
      </c>
      <c r="J3688" s="24">
        <v>0.0</v>
      </c>
      <c r="K3688" s="23" t="s">
        <v>34</v>
      </c>
      <c r="L3688" s="25">
        <v>39875.75776620371</v>
      </c>
      <c r="M3688" s="26" t="s">
        <v>5557</v>
      </c>
      <c r="N3688" s="26" t="s">
        <v>8607</v>
      </c>
      <c r="O3688" s="22" t="str">
        <f>HYPERLINK("https://pbs.twimg.com/profile_images/734316150574751744/QkBxdHOW_normal.jpg","View")</f>
        <v>View</v>
      </c>
      <c r="P3688" s="27"/>
    </row>
    <row r="3689">
      <c r="A3689" s="14">
        <v>43031.23479166666</v>
      </c>
      <c r="B3689" s="20" t="str">
        <f>HYPERLINK("https://twitter.com/pawar0002","@pawar0002")</f>
        <v>@pawar0002</v>
      </c>
      <c r="C3689" s="21" t="s">
        <v>8608</v>
      </c>
      <c r="D3689" s="21" t="s">
        <v>42</v>
      </c>
      <c r="E3689" s="22" t="str">
        <f>HYPERLINK("https://twitter.com/pawar0002/status/922442002670559233","922442002670559233")</f>
        <v>922442002670559233</v>
      </c>
      <c r="F3689" s="23" t="s">
        <v>39</v>
      </c>
      <c r="G3689" s="24">
        <v>52.0</v>
      </c>
      <c r="H3689" s="24">
        <v>241.0</v>
      </c>
      <c r="I3689" s="24">
        <v>8501.0</v>
      </c>
      <c r="J3689" s="24">
        <v>0.0</v>
      </c>
      <c r="K3689" s="23" t="s">
        <v>34</v>
      </c>
      <c r="L3689" s="25">
        <v>42209.980104166665</v>
      </c>
      <c r="M3689" s="26" t="s">
        <v>8609</v>
      </c>
      <c r="N3689" s="26" t="s">
        <v>8610</v>
      </c>
      <c r="O3689" s="22" t="str">
        <f>HYPERLINK("https://pbs.twimg.com/profile_images/905108029426720768/4a3cRDuy_normal.jpg","View")</f>
        <v>View</v>
      </c>
      <c r="P3689" s="27"/>
    </row>
    <row r="3690">
      <c r="A3690" s="14">
        <v>43031.234826388885</v>
      </c>
      <c r="B3690" s="20" t="str">
        <f>HYPERLINK("https://twitter.com/KummarSuniel","@KummarSuniel")</f>
        <v>@KummarSuniel</v>
      </c>
      <c r="C3690" s="21" t="s">
        <v>8611</v>
      </c>
      <c r="D3690" s="21" t="s">
        <v>42</v>
      </c>
      <c r="E3690" s="22" t="str">
        <f>HYPERLINK("https://twitter.com/KummarSuniel/status/922442017774252033","922442017774252033")</f>
        <v>922442017774252033</v>
      </c>
      <c r="F3690" s="23" t="s">
        <v>33</v>
      </c>
      <c r="G3690" s="24">
        <v>44.0</v>
      </c>
      <c r="H3690" s="24">
        <v>135.0</v>
      </c>
      <c r="I3690" s="24">
        <v>8501.0</v>
      </c>
      <c r="J3690" s="24">
        <v>0.0</v>
      </c>
      <c r="K3690" s="23" t="s">
        <v>34</v>
      </c>
      <c r="L3690" s="25">
        <v>42551.44826388889</v>
      </c>
      <c r="M3690" s="26" t="s">
        <v>167</v>
      </c>
      <c r="N3690" s="26" t="s">
        <v>8612</v>
      </c>
      <c r="O3690" s="22" t="str">
        <f>HYPERLINK("https://pbs.twimg.com/profile_images/837293347643469824/vSTOoDDK_normal.jpg","View")</f>
        <v>View</v>
      </c>
      <c r="P3690" s="27"/>
    </row>
    <row r="3691">
      <c r="A3691" s="14">
        <v>43031.234872685185</v>
      </c>
      <c r="B3691" s="20" t="str">
        <f>HYPERLINK("https://twitter.com/sharavangaya","@sharavangaya")</f>
        <v>@sharavangaya</v>
      </c>
      <c r="C3691" s="21" t="s">
        <v>8613</v>
      </c>
      <c r="D3691" s="21" t="s">
        <v>42</v>
      </c>
      <c r="E3691" s="22" t="str">
        <f>HYPERLINK("https://twitter.com/sharavangaya/status/922442032009719809","922442032009719809")</f>
        <v>922442032009719809</v>
      </c>
      <c r="F3691" s="23" t="s">
        <v>33</v>
      </c>
      <c r="G3691" s="24">
        <v>146.0</v>
      </c>
      <c r="H3691" s="24">
        <v>36.0</v>
      </c>
      <c r="I3691" s="24">
        <v>8501.0</v>
      </c>
      <c r="J3691" s="24">
        <v>0.0</v>
      </c>
      <c r="K3691" s="23" t="s">
        <v>34</v>
      </c>
      <c r="L3691" s="25">
        <v>42648.973761574074</v>
      </c>
      <c r="M3691" s="26" t="s">
        <v>8614</v>
      </c>
      <c r="N3691" s="26" t="s">
        <v>8615</v>
      </c>
      <c r="O3691" s="22" t="str">
        <f>HYPERLINK("https://pbs.twimg.com/profile_images/786111675837612032/wCixsCnR_normal.jpg","View")</f>
        <v>View</v>
      </c>
      <c r="P3691" s="27"/>
    </row>
    <row r="3692">
      <c r="A3692" s="14">
        <v>43031.235034722224</v>
      </c>
      <c r="B3692" s="20" t="str">
        <f>HYPERLINK("https://twitter.com/YMCHOI2","@YMCHOI2")</f>
        <v>@YMCHOI2</v>
      </c>
      <c r="C3692" s="21" t="s">
        <v>8616</v>
      </c>
      <c r="D3692" s="21" t="s">
        <v>8553</v>
      </c>
      <c r="E3692" s="22" t="str">
        <f>HYPERLINK("https://twitter.com/YMCHOI2/status/922442089912139776","922442089912139776")</f>
        <v>922442089912139776</v>
      </c>
      <c r="F3692" s="23" t="s">
        <v>55</v>
      </c>
      <c r="G3692" s="24">
        <v>20858.0</v>
      </c>
      <c r="H3692" s="24">
        <v>20272.0</v>
      </c>
      <c r="I3692" s="24">
        <v>31.0</v>
      </c>
      <c r="J3692" s="24">
        <v>0.0</v>
      </c>
      <c r="K3692" s="23" t="s">
        <v>34</v>
      </c>
      <c r="L3692" s="25">
        <v>41293.257638888885</v>
      </c>
      <c r="M3692" s="28"/>
      <c r="N3692" s="26" t="s">
        <v>8617</v>
      </c>
      <c r="O3692" s="22" t="str">
        <f>HYPERLINK("https://pbs.twimg.com/profile_images/443239374944075777/W_nmvWDS_normal.png","View")</f>
        <v>View</v>
      </c>
      <c r="P3692" s="27"/>
    </row>
    <row r="3693">
      <c r="A3693" s="14">
        <v>43031.23506944445</v>
      </c>
      <c r="B3693" s="20" t="str">
        <f>HYPERLINK("https://twitter.com/watchnewsvideos","@watchnewsvideos")</f>
        <v>@watchnewsvideos</v>
      </c>
      <c r="C3693" s="21" t="s">
        <v>8618</v>
      </c>
      <c r="D3693" s="21" t="s">
        <v>8619</v>
      </c>
      <c r="E3693" s="22" t="str">
        <f>HYPERLINK("https://twitter.com/watchnewsvideos/status/922442104332324864","922442104332324864")</f>
        <v>922442104332324864</v>
      </c>
      <c r="F3693" s="23" t="s">
        <v>8620</v>
      </c>
      <c r="G3693" s="24">
        <v>13.0</v>
      </c>
      <c r="H3693" s="24">
        <v>0.0</v>
      </c>
      <c r="I3693" s="24">
        <v>0.0</v>
      </c>
      <c r="J3693" s="24">
        <v>0.0</v>
      </c>
      <c r="K3693" s="23" t="s">
        <v>34</v>
      </c>
      <c r="L3693" s="25">
        <v>42067.71234953703</v>
      </c>
      <c r="M3693" s="28"/>
      <c r="N3693" s="28"/>
      <c r="O3693" s="22" t="str">
        <f>HYPERLINK("https://abs.twimg.com/sticky/default_profile_images/default_profile_normal.png","View")</f>
        <v>View</v>
      </c>
      <c r="P3693" s="27"/>
    </row>
    <row r="3694">
      <c r="A3694" s="14">
        <v>43031.235173611116</v>
      </c>
      <c r="B3694" s="20" t="str">
        <f>HYPERLINK("https://twitter.com/ChooseGudPerson","@ChooseGudPerson")</f>
        <v>@ChooseGudPerson</v>
      </c>
      <c r="C3694" s="21" t="s">
        <v>8621</v>
      </c>
      <c r="D3694" s="21" t="s">
        <v>8553</v>
      </c>
      <c r="E3694" s="22" t="str">
        <f>HYPERLINK("https://twitter.com/ChooseGudPerson/status/922442143259430912","922442143259430912")</f>
        <v>922442143259430912</v>
      </c>
      <c r="F3694" s="23" t="s">
        <v>33</v>
      </c>
      <c r="G3694" s="24">
        <v>327.0</v>
      </c>
      <c r="H3694" s="24">
        <v>286.0</v>
      </c>
      <c r="I3694" s="24">
        <v>31.0</v>
      </c>
      <c r="J3694" s="24">
        <v>0.0</v>
      </c>
      <c r="K3694" s="23" t="s">
        <v>34</v>
      </c>
      <c r="L3694" s="25">
        <v>42035.98407407408</v>
      </c>
      <c r="M3694" s="28"/>
      <c r="N3694" s="26" t="s">
        <v>8622</v>
      </c>
      <c r="O3694" s="22" t="str">
        <f>HYPERLINK("https://pbs.twimg.com/profile_images/856840622711463937/t5-IWQdE_normal.jpg","View")</f>
        <v>View</v>
      </c>
      <c r="P3694" s="27"/>
    </row>
    <row r="3695">
      <c r="A3695" s="14">
        <v>43031.235185185185</v>
      </c>
      <c r="B3695" s="20" t="str">
        <f>HYPERLINK("https://twitter.com/TheWillowGhost","@TheWillowGhost")</f>
        <v>@TheWillowGhost</v>
      </c>
      <c r="C3695" s="21" t="s">
        <v>8623</v>
      </c>
      <c r="D3695" s="21" t="s">
        <v>8553</v>
      </c>
      <c r="E3695" s="22" t="str">
        <f>HYPERLINK("https://twitter.com/TheWillowGhost/status/922442147235688449","922442147235688449")</f>
        <v>922442147235688449</v>
      </c>
      <c r="F3695" s="23" t="s">
        <v>55</v>
      </c>
      <c r="G3695" s="24">
        <v>1854.0</v>
      </c>
      <c r="H3695" s="24">
        <v>1908.0</v>
      </c>
      <c r="I3695" s="24">
        <v>31.0</v>
      </c>
      <c r="J3695" s="24">
        <v>0.0</v>
      </c>
      <c r="K3695" s="23" t="s">
        <v>34</v>
      </c>
      <c r="L3695" s="25">
        <v>40143.23540509259</v>
      </c>
      <c r="M3695" s="26" t="s">
        <v>3011</v>
      </c>
      <c r="N3695" s="26" t="s">
        <v>8624</v>
      </c>
      <c r="O3695" s="22" t="str">
        <f>HYPERLINK("https://pbs.twimg.com/profile_images/378800000426773753/440a9d6e4b72c1619df576ce104a4538_normal.jpeg","View")</f>
        <v>View</v>
      </c>
      <c r="P3695" s="27"/>
    </row>
    <row r="3696">
      <c r="A3696" s="14">
        <v>43031.23523148148</v>
      </c>
      <c r="B3696" s="20" t="str">
        <f>HYPERLINK("https://twitter.com/VSubramaniAiyar","@VSubramaniAiyar")</f>
        <v>@VSubramaniAiyar</v>
      </c>
      <c r="C3696" s="21" t="s">
        <v>8625</v>
      </c>
      <c r="D3696" s="21" t="s">
        <v>42</v>
      </c>
      <c r="E3696" s="22" t="str">
        <f>HYPERLINK("https://twitter.com/VSubramaniAiyar/status/922442162515591168","922442162515591168")</f>
        <v>922442162515591168</v>
      </c>
      <c r="F3696" s="23" t="s">
        <v>43</v>
      </c>
      <c r="G3696" s="24">
        <v>13.0</v>
      </c>
      <c r="H3696" s="24">
        <v>14.0</v>
      </c>
      <c r="I3696" s="24">
        <v>8501.0</v>
      </c>
      <c r="J3696" s="24">
        <v>0.0</v>
      </c>
      <c r="K3696" s="23" t="s">
        <v>34</v>
      </c>
      <c r="L3696" s="25">
        <v>42339.97998842593</v>
      </c>
      <c r="M3696" s="26" t="s">
        <v>5372</v>
      </c>
      <c r="N3696" s="26" t="s">
        <v>8626</v>
      </c>
      <c r="O3696" s="22" t="str">
        <f>HYPERLINK("https://pbs.twimg.com/profile_images/917377874696343552/ksi8myug_normal.jpg","View")</f>
        <v>View</v>
      </c>
      <c r="P3696" s="27"/>
    </row>
    <row r="3697">
      <c r="A3697" s="14">
        <v>43031.235243055555</v>
      </c>
      <c r="B3697" s="20" t="str">
        <f>HYPERLINK("https://twitter.com/kanjimansai","@kanjimansai")</f>
        <v>@kanjimansai</v>
      </c>
      <c r="C3697" s="21" t="s">
        <v>8627</v>
      </c>
      <c r="D3697" s="21" t="s">
        <v>42</v>
      </c>
      <c r="E3697" s="22" t="str">
        <f>HYPERLINK("https://twitter.com/kanjimansai/status/922442168152743936","922442168152743936")</f>
        <v>922442168152743936</v>
      </c>
      <c r="F3697" s="23" t="s">
        <v>55</v>
      </c>
      <c r="G3697" s="24">
        <v>2426.0</v>
      </c>
      <c r="H3697" s="24">
        <v>2100.0</v>
      </c>
      <c r="I3697" s="24">
        <v>8501.0</v>
      </c>
      <c r="J3697" s="24">
        <v>0.0</v>
      </c>
      <c r="K3697" s="23" t="s">
        <v>34</v>
      </c>
      <c r="L3697" s="25">
        <v>40440.30611111111</v>
      </c>
      <c r="M3697" s="26" t="s">
        <v>71</v>
      </c>
      <c r="N3697" s="26" t="s">
        <v>8628</v>
      </c>
      <c r="O3697" s="22" t="str">
        <f>HYPERLINK("https://pbs.twimg.com/profile_images/853973651263078401/OGq4_Jxt_normal.jpg","View")</f>
        <v>View</v>
      </c>
      <c r="P3697" s="27"/>
    </row>
    <row r="3698">
      <c r="A3698" s="14">
        <v>43031.2352662037</v>
      </c>
      <c r="B3698" s="20" t="str">
        <f>HYPERLINK("https://twitter.com/iamVaalPaiyan_","@iamVaalPaiyan_")</f>
        <v>@iamVaalPaiyan_</v>
      </c>
      <c r="C3698" s="21" t="s">
        <v>8629</v>
      </c>
      <c r="D3698" s="21" t="s">
        <v>8493</v>
      </c>
      <c r="E3698" s="22" t="str">
        <f>HYPERLINK("https://twitter.com/iamVaalPaiyan_/status/922442176218275840","922442176218275840")</f>
        <v>922442176218275840</v>
      </c>
      <c r="F3698" s="23" t="s">
        <v>33</v>
      </c>
      <c r="G3698" s="24">
        <v>276.0</v>
      </c>
      <c r="H3698" s="24">
        <v>460.0</v>
      </c>
      <c r="I3698" s="24">
        <v>10.0</v>
      </c>
      <c r="J3698" s="24">
        <v>0.0</v>
      </c>
      <c r="K3698" s="23" t="s">
        <v>34</v>
      </c>
      <c r="L3698" s="25">
        <v>42477.02355324074</v>
      </c>
      <c r="M3698" s="26" t="s">
        <v>92</v>
      </c>
      <c r="N3698" s="26" t="s">
        <v>8630</v>
      </c>
      <c r="O3698" s="22" t="str">
        <f>HYPERLINK("https://pbs.twimg.com/profile_images/723865959350603776/MG_i74ig_normal.jpg","View")</f>
        <v>View</v>
      </c>
      <c r="P3698" s="27"/>
    </row>
    <row r="3699">
      <c r="A3699" s="14">
        <v>43031.235300925924</v>
      </c>
      <c r="B3699" s="20" t="str">
        <f>HYPERLINK("https://twitter.com/rbhambri882","@rbhambri882")</f>
        <v>@rbhambri882</v>
      </c>
      <c r="C3699" s="21" t="s">
        <v>8631</v>
      </c>
      <c r="D3699" s="21" t="s">
        <v>42</v>
      </c>
      <c r="E3699" s="22" t="str">
        <f>HYPERLINK("https://twitter.com/rbhambri882/status/922442187110891520","922442187110891520")</f>
        <v>922442187110891520</v>
      </c>
      <c r="F3699" s="23" t="s">
        <v>39</v>
      </c>
      <c r="G3699" s="24">
        <v>88.0</v>
      </c>
      <c r="H3699" s="24">
        <v>844.0</v>
      </c>
      <c r="I3699" s="24">
        <v>8501.0</v>
      </c>
      <c r="J3699" s="24">
        <v>0.0</v>
      </c>
      <c r="K3699" s="23" t="s">
        <v>34</v>
      </c>
      <c r="L3699" s="25">
        <v>42865.853749999995</v>
      </c>
      <c r="M3699" s="26" t="s">
        <v>1156</v>
      </c>
      <c r="N3699" s="28"/>
      <c r="O3699" s="22" t="str">
        <f>HYPERLINK("https://pbs.twimg.com/profile_images/896968039630905344/XA88RuFd_normal.jpg","View")</f>
        <v>View</v>
      </c>
      <c r="P3699" s="27"/>
    </row>
    <row r="3700">
      <c r="A3700" s="14">
        <v>43031.23532407408</v>
      </c>
      <c r="B3700" s="20" t="str">
        <f>HYPERLINK("https://twitter.com/Waganjp","@Waganjp")</f>
        <v>@Waganjp</v>
      </c>
      <c r="C3700" s="21" t="s">
        <v>8632</v>
      </c>
      <c r="D3700" s="21" t="s">
        <v>42</v>
      </c>
      <c r="E3700" s="22" t="str">
        <f>HYPERLINK("https://twitter.com/Waganjp/status/922442195080134656","922442195080134656")</f>
        <v>922442195080134656</v>
      </c>
      <c r="F3700" s="23" t="s">
        <v>2876</v>
      </c>
      <c r="G3700" s="24">
        <v>176.0</v>
      </c>
      <c r="H3700" s="24">
        <v>116.0</v>
      </c>
      <c r="I3700" s="24">
        <v>8501.0</v>
      </c>
      <c r="J3700" s="24">
        <v>0.0</v>
      </c>
      <c r="K3700" s="23" t="s">
        <v>34</v>
      </c>
      <c r="L3700" s="25">
        <v>39978.825960648144</v>
      </c>
      <c r="M3700" s="26" t="s">
        <v>5401</v>
      </c>
      <c r="N3700" s="26" t="s">
        <v>8633</v>
      </c>
      <c r="O3700" s="22" t="str">
        <f>HYPERLINK("https://pbs.twimg.com/profile_images/573298203606441985/5Aiw7SOJ_normal.png","View")</f>
        <v>View</v>
      </c>
      <c r="P3700" s="27"/>
    </row>
    <row r="3701">
      <c r="A3701" s="14">
        <v>43031.23537037037</v>
      </c>
      <c r="B3701" s="20" t="str">
        <f>HYPERLINK("https://twitter.com/nainawatip","@nainawatip")</f>
        <v>@nainawatip</v>
      </c>
      <c r="C3701" s="21" t="s">
        <v>8634</v>
      </c>
      <c r="D3701" s="21" t="s">
        <v>42</v>
      </c>
      <c r="E3701" s="22" t="str">
        <f>HYPERLINK("https://twitter.com/nainawatip/status/922442213895704576","922442213895704576")</f>
        <v>922442213895704576</v>
      </c>
      <c r="F3701" s="23" t="s">
        <v>43</v>
      </c>
      <c r="G3701" s="24">
        <v>273.0</v>
      </c>
      <c r="H3701" s="24">
        <v>667.0</v>
      </c>
      <c r="I3701" s="24">
        <v>8501.0</v>
      </c>
      <c r="J3701" s="24">
        <v>0.0</v>
      </c>
      <c r="K3701" s="23" t="s">
        <v>34</v>
      </c>
      <c r="L3701" s="25">
        <v>41570.20578703703</v>
      </c>
      <c r="M3701" s="26" t="s">
        <v>207</v>
      </c>
      <c r="N3701" s="26" t="s">
        <v>8635</v>
      </c>
      <c r="O3701" s="22" t="str">
        <f>HYPERLINK("https://pbs.twimg.com/profile_images/458670037620899840/WIqmo4th_normal.jpeg","View")</f>
        <v>View</v>
      </c>
      <c r="P3701" s="27"/>
    </row>
    <row r="3702">
      <c r="A3702" s="14">
        <v>43031.23575231481</v>
      </c>
      <c r="B3702" s="20" t="str">
        <f>HYPERLINK("https://twitter.com/Ravipra08663347","@Ravipra08663347")</f>
        <v>@Ravipra08663347</v>
      </c>
      <c r="C3702" s="21" t="s">
        <v>8636</v>
      </c>
      <c r="D3702" s="21" t="s">
        <v>42</v>
      </c>
      <c r="E3702" s="22" t="str">
        <f>HYPERLINK("https://twitter.com/Ravipra08663347/status/922442350479138818","922442350479138818")</f>
        <v>922442350479138818</v>
      </c>
      <c r="F3702" s="23" t="s">
        <v>39</v>
      </c>
      <c r="G3702" s="24">
        <v>41.0</v>
      </c>
      <c r="H3702" s="24">
        <v>117.0</v>
      </c>
      <c r="I3702" s="24">
        <v>8501.0</v>
      </c>
      <c r="J3702" s="24">
        <v>0.0</v>
      </c>
      <c r="K3702" s="23" t="s">
        <v>34</v>
      </c>
      <c r="L3702" s="25">
        <v>41541.36703703704</v>
      </c>
      <c r="M3702" s="26" t="s">
        <v>8637</v>
      </c>
      <c r="N3702" s="26" t="s">
        <v>8638</v>
      </c>
      <c r="O3702" s="22" t="str">
        <f>HYPERLINK("https://pbs.twimg.com/profile_images/896334598631587841/dmDcYtNR_normal.jpg","View")</f>
        <v>View</v>
      </c>
      <c r="P3702" s="27"/>
    </row>
    <row r="3703">
      <c r="A3703" s="14">
        <v>43031.23585648148</v>
      </c>
      <c r="B3703" s="20" t="str">
        <f>HYPERLINK("https://twitter.com/devendrasangam","@devendrasangam")</f>
        <v>@devendrasangam</v>
      </c>
      <c r="C3703" s="21" t="s">
        <v>8639</v>
      </c>
      <c r="D3703" s="21" t="s">
        <v>42</v>
      </c>
      <c r="E3703" s="22" t="str">
        <f>HYPERLINK("https://twitter.com/devendrasangam/status/922442388898902016","922442388898902016")</f>
        <v>922442388898902016</v>
      </c>
      <c r="F3703" s="23" t="s">
        <v>33</v>
      </c>
      <c r="G3703" s="24">
        <v>31.0</v>
      </c>
      <c r="H3703" s="24">
        <v>332.0</v>
      </c>
      <c r="I3703" s="24">
        <v>8501.0</v>
      </c>
      <c r="J3703" s="24">
        <v>0.0</v>
      </c>
      <c r="K3703" s="23" t="s">
        <v>34</v>
      </c>
      <c r="L3703" s="25">
        <v>40810.13118055556</v>
      </c>
      <c r="M3703" s="26" t="s">
        <v>8640</v>
      </c>
      <c r="N3703" s="26" t="s">
        <v>8641</v>
      </c>
      <c r="O3703" s="22" t="str">
        <f>HYPERLINK("https://pbs.twimg.com/profile_images/715248886562967553/8y423Aws_normal.jpg","View")</f>
        <v>View</v>
      </c>
      <c r="P3703" s="27"/>
    </row>
    <row r="3704">
      <c r="A3704" s="14">
        <v>43031.23585648148</v>
      </c>
      <c r="B3704" s="20" t="str">
        <f>HYPERLINK("https://twitter.com/SassyIndianGurl","@SassyIndianGurl")</f>
        <v>@SassyIndianGurl</v>
      </c>
      <c r="C3704" s="21" t="s">
        <v>8642</v>
      </c>
      <c r="D3704" s="21" t="s">
        <v>42</v>
      </c>
      <c r="E3704" s="22" t="str">
        <f>HYPERLINK("https://twitter.com/SassyIndianGurl/status/922442389695770624","922442389695770624")</f>
        <v>922442389695770624</v>
      </c>
      <c r="F3704" s="23" t="s">
        <v>39</v>
      </c>
      <c r="G3704" s="24">
        <v>223.0</v>
      </c>
      <c r="H3704" s="24">
        <v>745.0</v>
      </c>
      <c r="I3704" s="24">
        <v>8501.0</v>
      </c>
      <c r="J3704" s="24">
        <v>0.0</v>
      </c>
      <c r="K3704" s="23" t="s">
        <v>34</v>
      </c>
      <c r="L3704" s="25">
        <v>42606.988275462965</v>
      </c>
      <c r="M3704" s="26" t="s">
        <v>246</v>
      </c>
      <c r="N3704" s="28"/>
      <c r="O3704" s="22" t="str">
        <f>HYPERLINK("https://pbs.twimg.com/profile_images/769841409948082176/7xocP56u_normal.jpg","View")</f>
        <v>View</v>
      </c>
      <c r="P3704" s="27"/>
    </row>
    <row r="3705">
      <c r="A3705" s="14">
        <v>43031.235868055555</v>
      </c>
      <c r="B3705" s="20" t="str">
        <f>HYPERLINK("https://twitter.com/ShaastraShastra","@ShaastraShastra")</f>
        <v>@ShaastraShastra</v>
      </c>
      <c r="C3705" s="21" t="s">
        <v>8643</v>
      </c>
      <c r="D3705" s="21" t="s">
        <v>42</v>
      </c>
      <c r="E3705" s="22" t="str">
        <f>HYPERLINK("https://twitter.com/ShaastraShastra/status/922442392845811712","922442392845811712")</f>
        <v>922442392845811712</v>
      </c>
      <c r="F3705" s="23" t="s">
        <v>33</v>
      </c>
      <c r="G3705" s="24">
        <v>52.0</v>
      </c>
      <c r="H3705" s="24">
        <v>368.0</v>
      </c>
      <c r="I3705" s="24">
        <v>8501.0</v>
      </c>
      <c r="J3705" s="24">
        <v>0.0</v>
      </c>
      <c r="K3705" s="23" t="s">
        <v>34</v>
      </c>
      <c r="L3705" s="25">
        <v>42845.509930555556</v>
      </c>
      <c r="M3705" s="26" t="s">
        <v>8644</v>
      </c>
      <c r="N3705" s="26" t="s">
        <v>8645</v>
      </c>
      <c r="O3705" s="22" t="str">
        <f>HYPERLINK("https://pbs.twimg.com/profile_images/855175160739049473/Jg2WfcSR_normal.jpg","View")</f>
        <v>View</v>
      </c>
      <c r="P3705" s="27"/>
    </row>
    <row r="3706">
      <c r="A3706" s="14">
        <v>43031.235925925925</v>
      </c>
      <c r="B3706" s="20" t="str">
        <f>HYPERLINK("https://twitter.com/nic120688","@nic120688")</f>
        <v>@nic120688</v>
      </c>
      <c r="C3706" s="21" t="s">
        <v>8646</v>
      </c>
      <c r="D3706" s="21" t="s">
        <v>8647</v>
      </c>
      <c r="E3706" s="22" t="str">
        <f>HYPERLINK("https://twitter.com/nic120688/status/922442413234376704","922442413234376704")</f>
        <v>922442413234376704</v>
      </c>
      <c r="F3706" s="23" t="s">
        <v>187</v>
      </c>
      <c r="G3706" s="24">
        <v>71.0</v>
      </c>
      <c r="H3706" s="24">
        <v>42.0</v>
      </c>
      <c r="I3706" s="24">
        <v>0.0</v>
      </c>
      <c r="J3706" s="24">
        <v>0.0</v>
      </c>
      <c r="K3706" s="23" t="s">
        <v>34</v>
      </c>
      <c r="L3706" s="25">
        <v>41854.729837962965</v>
      </c>
      <c r="M3706" s="28"/>
      <c r="N3706" s="26" t="s">
        <v>8648</v>
      </c>
      <c r="O3706" s="22" t="str">
        <f>HYPERLINK("https://pbs.twimg.com/profile_images/637274663236694016/Y2oQYdpK_normal.jpg","View")</f>
        <v>View</v>
      </c>
      <c r="P3706" s="27"/>
    </row>
    <row r="3707">
      <c r="A3707" s="14">
        <v>43031.23596064815</v>
      </c>
      <c r="B3707" s="20" t="str">
        <f>HYPERLINK("https://twitter.com/RajuRAJ87948923","@RajuRAJ87948923")</f>
        <v>@RajuRAJ87948923</v>
      </c>
      <c r="C3707" s="21" t="s">
        <v>8649</v>
      </c>
      <c r="D3707" s="21" t="s">
        <v>42</v>
      </c>
      <c r="E3707" s="22" t="str">
        <f>HYPERLINK("https://twitter.com/RajuRAJ87948923/status/922442425825497088","922442425825497088")</f>
        <v>922442425825497088</v>
      </c>
      <c r="F3707" s="23" t="s">
        <v>33</v>
      </c>
      <c r="G3707" s="24">
        <v>110.0</v>
      </c>
      <c r="H3707" s="24">
        <v>91.0</v>
      </c>
      <c r="I3707" s="24">
        <v>8501.0</v>
      </c>
      <c r="J3707" s="24">
        <v>0.0</v>
      </c>
      <c r="K3707" s="23" t="s">
        <v>34</v>
      </c>
      <c r="L3707" s="25">
        <v>42777.276354166665</v>
      </c>
      <c r="M3707" s="26" t="s">
        <v>5467</v>
      </c>
      <c r="N3707" s="26" t="s">
        <v>8650</v>
      </c>
      <c r="O3707" s="22" t="str">
        <f>HYPERLINK("https://pbs.twimg.com/profile_images/872864660130639873/nPoHzlAE_normal.jpg","View")</f>
        <v>View</v>
      </c>
      <c r="P3707" s="27"/>
    </row>
    <row r="3708">
      <c r="A3708" s="14">
        <v>43031.23604166666</v>
      </c>
      <c r="B3708" s="20" t="str">
        <f>HYPERLINK("https://twitter.com/KesharvaniM","@KesharvaniM")</f>
        <v>@KesharvaniM</v>
      </c>
      <c r="C3708" s="21" t="s">
        <v>8651</v>
      </c>
      <c r="D3708" s="21" t="s">
        <v>42</v>
      </c>
      <c r="E3708" s="22" t="str">
        <f>HYPERLINK("https://twitter.com/KesharvaniM/status/922442455240261632","922442455240261632")</f>
        <v>922442455240261632</v>
      </c>
      <c r="F3708" s="23" t="s">
        <v>33</v>
      </c>
      <c r="G3708" s="24">
        <v>52.0</v>
      </c>
      <c r="H3708" s="24">
        <v>105.0</v>
      </c>
      <c r="I3708" s="24">
        <v>8501.0</v>
      </c>
      <c r="J3708" s="24">
        <v>0.0</v>
      </c>
      <c r="K3708" s="23" t="s">
        <v>34</v>
      </c>
      <c r="L3708" s="25">
        <v>42963.97765046296</v>
      </c>
      <c r="M3708" s="26" t="s">
        <v>8652</v>
      </c>
      <c r="N3708" s="26" t="s">
        <v>8653</v>
      </c>
      <c r="O3708" s="22" t="str">
        <f>HYPERLINK("https://pbs.twimg.com/profile_images/898070968052064256/Yf1xgji-_normal.jpg","View")</f>
        <v>View</v>
      </c>
      <c r="P3708" s="27"/>
    </row>
    <row r="3709">
      <c r="A3709" s="14">
        <v>43031.23608796296</v>
      </c>
      <c r="B3709" s="20" t="str">
        <f>HYPERLINK("https://twitter.com/krishnasurana2","@krishnasurana2")</f>
        <v>@krishnasurana2</v>
      </c>
      <c r="C3709" s="21" t="s">
        <v>8030</v>
      </c>
      <c r="D3709" s="21" t="s">
        <v>8654</v>
      </c>
      <c r="E3709" s="22" t="str">
        <f>HYPERLINK("https://twitter.com/krishnasurana2/status/922442472394854401","922442472394854401")</f>
        <v>922442472394854401</v>
      </c>
      <c r="F3709" s="23" t="s">
        <v>39</v>
      </c>
      <c r="G3709" s="24">
        <v>92.0</v>
      </c>
      <c r="H3709" s="24">
        <v>700.0</v>
      </c>
      <c r="I3709" s="24">
        <v>0.0</v>
      </c>
      <c r="J3709" s="24">
        <v>1.0</v>
      </c>
      <c r="K3709" s="23" t="s">
        <v>34</v>
      </c>
      <c r="L3709" s="25">
        <v>42740.34700231481</v>
      </c>
      <c r="M3709" s="26" t="s">
        <v>1137</v>
      </c>
      <c r="N3709" s="26" t="s">
        <v>8032</v>
      </c>
      <c r="O3709" s="22" t="str">
        <f>HYPERLINK("https://pbs.twimg.com/profile_images/820463886113439745/WL0NQzNf_normal.jpg","View")</f>
        <v>View</v>
      </c>
      <c r="P3709" s="27"/>
    </row>
    <row r="3710">
      <c r="A3710" s="14">
        <v>43031.23608796296</v>
      </c>
      <c r="B3710" s="20" t="str">
        <f>HYPERLINK("https://twitter.com/pankajp7777","@pankajp7777")</f>
        <v>@pankajp7777</v>
      </c>
      <c r="C3710" s="21" t="s">
        <v>8655</v>
      </c>
      <c r="D3710" s="21" t="s">
        <v>42</v>
      </c>
      <c r="E3710" s="22" t="str">
        <f>HYPERLINK("https://twitter.com/pankajp7777/status/922442473439420423","922442473439420423")</f>
        <v>922442473439420423</v>
      </c>
      <c r="F3710" s="23" t="s">
        <v>33</v>
      </c>
      <c r="G3710" s="24">
        <v>155.0</v>
      </c>
      <c r="H3710" s="24">
        <v>331.0</v>
      </c>
      <c r="I3710" s="24">
        <v>8501.0</v>
      </c>
      <c r="J3710" s="24">
        <v>0.0</v>
      </c>
      <c r="K3710" s="23" t="s">
        <v>34</v>
      </c>
      <c r="L3710" s="25">
        <v>42728.184062500004</v>
      </c>
      <c r="M3710" s="28"/>
      <c r="N3710" s="26" t="s">
        <v>8656</v>
      </c>
      <c r="O3710" s="22" t="str">
        <f>HYPERLINK("https://pbs.twimg.com/profile_images/863355965088739328/v537fh2y_normal.jpg","View")</f>
        <v>View</v>
      </c>
      <c r="P3710" s="27"/>
    </row>
    <row r="3711">
      <c r="A3711" s="14">
        <v>43031.236122685186</v>
      </c>
      <c r="B3711" s="20" t="str">
        <f>HYPERLINK("https://twitter.com/KITV4","@KITV4")</f>
        <v>@KITV4</v>
      </c>
      <c r="C3711" s="21" t="s">
        <v>8657</v>
      </c>
      <c r="D3711" s="21" t="s">
        <v>8658</v>
      </c>
      <c r="E3711" s="22" t="str">
        <f>HYPERLINK("https://twitter.com/KITV4/status/922442486609477632","922442486609477632")</f>
        <v>922442486609477632</v>
      </c>
      <c r="F3711" s="23" t="s">
        <v>3298</v>
      </c>
      <c r="G3711" s="24">
        <v>28387.0</v>
      </c>
      <c r="H3711" s="24">
        <v>15640.0</v>
      </c>
      <c r="I3711" s="24">
        <v>0.0</v>
      </c>
      <c r="J3711" s="24">
        <v>1.0</v>
      </c>
      <c r="K3711" s="23" t="s">
        <v>34</v>
      </c>
      <c r="L3711" s="25">
        <v>39680.616122685184</v>
      </c>
      <c r="M3711" s="26" t="s">
        <v>8659</v>
      </c>
      <c r="N3711" s="26" t="s">
        <v>8660</v>
      </c>
      <c r="O3711" s="22" t="str">
        <f>HYPERLINK("https://pbs.twimg.com/profile_images/878022071183261696/8IG2hN0Z_normal.jpg","View")</f>
        <v>View</v>
      </c>
      <c r="P3711" s="27"/>
    </row>
    <row r="3712">
      <c r="A3712" s="14">
        <v>43031.236168981486</v>
      </c>
      <c r="B3712" s="20" t="str">
        <f>HYPERLINK("https://twitter.com/AmitKum20760908","@AmitKum20760908")</f>
        <v>@AmitKum20760908</v>
      </c>
      <c r="C3712" s="21" t="s">
        <v>8661</v>
      </c>
      <c r="D3712" s="21" t="s">
        <v>42</v>
      </c>
      <c r="E3712" s="22" t="str">
        <f>HYPERLINK("https://twitter.com/AmitKum20760908/status/922442504594628609","922442504594628609")</f>
        <v>922442504594628609</v>
      </c>
      <c r="F3712" s="23" t="s">
        <v>33</v>
      </c>
      <c r="G3712" s="24">
        <v>50.0</v>
      </c>
      <c r="H3712" s="24">
        <v>250.0</v>
      </c>
      <c r="I3712" s="24">
        <v>8501.0</v>
      </c>
      <c r="J3712" s="24">
        <v>0.0</v>
      </c>
      <c r="K3712" s="23" t="s">
        <v>34</v>
      </c>
      <c r="L3712" s="25">
        <v>42877.12693287037</v>
      </c>
      <c r="M3712" s="28"/>
      <c r="N3712" s="28"/>
      <c r="O3712" s="22" t="str">
        <f>HYPERLINK("https://pbs.twimg.com/profile_images/870298287248621568/SUKwpcik_normal.jpg","View")</f>
        <v>View</v>
      </c>
      <c r="P3712" s="27"/>
    </row>
    <row r="3713">
      <c r="A3713" s="14">
        <v>43031.236168981486</v>
      </c>
      <c r="B3713" s="20" t="str">
        <f>HYPERLINK("https://twitter.com/Reuters","@Reuters")</f>
        <v>@Reuters</v>
      </c>
      <c r="C3713" s="21" t="s">
        <v>754</v>
      </c>
      <c r="D3713" s="21" t="s">
        <v>8662</v>
      </c>
      <c r="E3713" s="22" t="str">
        <f>HYPERLINK("https://twitter.com/Reuters/status/922442504716333056","922442504716333056")</f>
        <v>922442504716333056</v>
      </c>
      <c r="F3713" s="23" t="s">
        <v>756</v>
      </c>
      <c r="G3713" s="24">
        <v>1.8914234E7</v>
      </c>
      <c r="H3713" s="24">
        <v>1063.0</v>
      </c>
      <c r="I3713" s="24">
        <v>67.0</v>
      </c>
      <c r="J3713" s="24">
        <v>110.0</v>
      </c>
      <c r="K3713" s="23" t="s">
        <v>34</v>
      </c>
      <c r="L3713" s="25">
        <v>39161.44866898148</v>
      </c>
      <c r="M3713" s="26" t="s">
        <v>757</v>
      </c>
      <c r="N3713" s="26" t="s">
        <v>758</v>
      </c>
      <c r="O3713" s="22" t="str">
        <f>HYPERLINK("https://pbs.twimg.com/profile_images/877554927932891136/ZBEs235N_normal.jpg","View")</f>
        <v>View</v>
      </c>
      <c r="P3713" s="27"/>
    </row>
    <row r="3714">
      <c r="A3714" s="14">
        <v>43031.236192129625</v>
      </c>
      <c r="B3714" s="20" t="str">
        <f>HYPERLINK("https://twitter.com/osca_teneotica","@osca_teneotica")</f>
        <v>@osca_teneotica</v>
      </c>
      <c r="C3714" s="21" t="s">
        <v>8663</v>
      </c>
      <c r="D3714" s="21" t="s">
        <v>8447</v>
      </c>
      <c r="E3714" s="22" t="str">
        <f>HYPERLINK("https://twitter.com/osca_teneotica/status/922442512823963648","922442512823963648")</f>
        <v>922442512823963648</v>
      </c>
      <c r="F3714" s="23" t="s">
        <v>39</v>
      </c>
      <c r="G3714" s="24">
        <v>257.0</v>
      </c>
      <c r="H3714" s="24">
        <v>183.0</v>
      </c>
      <c r="I3714" s="24">
        <v>2.0</v>
      </c>
      <c r="J3714" s="24">
        <v>0.0</v>
      </c>
      <c r="K3714" s="23" t="s">
        <v>34</v>
      </c>
      <c r="L3714" s="25">
        <v>42354.418391203704</v>
      </c>
      <c r="M3714" s="28"/>
      <c r="N3714" s="26" t="s">
        <v>8664</v>
      </c>
      <c r="O3714" s="22" t="str">
        <f>HYPERLINK("https://pbs.twimg.com/profile_images/922103045563002880/FcI6KkgF_normal.jpg","View")</f>
        <v>View</v>
      </c>
      <c r="P3714" s="27"/>
    </row>
    <row r="3715">
      <c r="A3715" s="14">
        <v>43031.236238425925</v>
      </c>
      <c r="B3715" s="20" t="str">
        <f>HYPERLINK("https://twitter.com/News365247live","@News365247live")</f>
        <v>@News365247live</v>
      </c>
      <c r="C3715" s="21" t="s">
        <v>759</v>
      </c>
      <c r="D3715" s="21" t="s">
        <v>8665</v>
      </c>
      <c r="E3715" s="22" t="str">
        <f>HYPERLINK("https://twitter.com/News365247live/status/922442526430134272","922442526430134272")</f>
        <v>922442526430134272</v>
      </c>
      <c r="F3715" s="23" t="s">
        <v>761</v>
      </c>
      <c r="G3715" s="24">
        <v>1497.0</v>
      </c>
      <c r="H3715" s="24">
        <v>4734.0</v>
      </c>
      <c r="I3715" s="24">
        <v>67.0</v>
      </c>
      <c r="J3715" s="24">
        <v>0.0</v>
      </c>
      <c r="K3715" s="23" t="s">
        <v>34</v>
      </c>
      <c r="L3715" s="25">
        <v>42728.342094907406</v>
      </c>
      <c r="M3715" s="26" t="s">
        <v>762</v>
      </c>
      <c r="N3715" s="26" t="s">
        <v>763</v>
      </c>
      <c r="O3715" s="22" t="str">
        <f>HYPERLINK("https://pbs.twimg.com/profile_images/813047771091472384/ZtakiWrG_normal.jpg","View")</f>
        <v>View</v>
      </c>
      <c r="P3715" s="27"/>
    </row>
    <row r="3716">
      <c r="A3716" s="14">
        <v>43031.23626157407</v>
      </c>
      <c r="B3716" s="20" t="str">
        <f>HYPERLINK("https://twitter.com/Jim_B60","@Jim_B60")</f>
        <v>@Jim_B60</v>
      </c>
      <c r="C3716" s="21" t="s">
        <v>8666</v>
      </c>
      <c r="D3716" s="21" t="s">
        <v>8553</v>
      </c>
      <c r="E3716" s="22" t="str">
        <f>HYPERLINK("https://twitter.com/Jim_B60/status/922442535317987328","922442535317987328")</f>
        <v>922442535317987328</v>
      </c>
      <c r="F3716" s="23" t="s">
        <v>33</v>
      </c>
      <c r="G3716" s="24">
        <v>6066.0</v>
      </c>
      <c r="H3716" s="24">
        <v>6646.0</v>
      </c>
      <c r="I3716" s="24">
        <v>31.0</v>
      </c>
      <c r="J3716" s="24">
        <v>0.0</v>
      </c>
      <c r="K3716" s="23" t="s">
        <v>34</v>
      </c>
      <c r="L3716" s="25">
        <v>41759.52583333333</v>
      </c>
      <c r="M3716" s="26" t="s">
        <v>8667</v>
      </c>
      <c r="N3716" s="26" t="s">
        <v>8668</v>
      </c>
      <c r="O3716" s="22" t="str">
        <f>HYPERLINK("https://pbs.twimg.com/profile_images/887645998771838978/gr9YyOCO_normal.jpg","View")</f>
        <v>View</v>
      </c>
      <c r="P3716" s="27"/>
    </row>
    <row r="3717">
      <c r="A3717" s="14">
        <v>43031.23631944445</v>
      </c>
      <c r="B3717" s="20" t="str">
        <f>HYPERLINK("https://twitter.com/Essay_Lords","@Essay_Lords")</f>
        <v>@Essay_Lords</v>
      </c>
      <c r="C3717" s="21" t="s">
        <v>773</v>
      </c>
      <c r="D3717" s="21" t="s">
        <v>8669</v>
      </c>
      <c r="E3717" s="22" t="str">
        <f>HYPERLINK("https://twitter.com/Essay_Lords/status/922442555576471557","922442555576471557")</f>
        <v>922442555576471557</v>
      </c>
      <c r="F3717" s="23" t="s">
        <v>187</v>
      </c>
      <c r="G3717" s="24">
        <v>4311.0</v>
      </c>
      <c r="H3717" s="24">
        <v>3617.0</v>
      </c>
      <c r="I3717" s="24">
        <v>0.0</v>
      </c>
      <c r="J3717" s="24">
        <v>0.0</v>
      </c>
      <c r="K3717" s="23" t="s">
        <v>34</v>
      </c>
      <c r="L3717" s="25">
        <v>41982.42165509259</v>
      </c>
      <c r="M3717" s="26" t="s">
        <v>567</v>
      </c>
      <c r="N3717" s="26" t="s">
        <v>775</v>
      </c>
      <c r="O3717" s="22" t="str">
        <f>HYPERLINK("https://pbs.twimg.com/profile_images/722066414362894336/kHUvL0fA_normal.jpg","View")</f>
        <v>View</v>
      </c>
      <c r="P3717" s="27"/>
    </row>
    <row r="3718">
      <c r="A3718" s="14">
        <v>43031.23631944445</v>
      </c>
      <c r="B3718" s="20" t="str">
        <f>HYPERLINK("https://twitter.com/bdNewsTweet","@bdNewsTweet")</f>
        <v>@bdNewsTweet</v>
      </c>
      <c r="C3718" s="21" t="s">
        <v>1066</v>
      </c>
      <c r="D3718" s="21" t="s">
        <v>8670</v>
      </c>
      <c r="E3718" s="22" t="str">
        <f>HYPERLINK("https://twitter.com/bdNewsTweet/status/922442557132550144","922442557132550144")</f>
        <v>922442557132550144</v>
      </c>
      <c r="F3718" s="23" t="s">
        <v>187</v>
      </c>
      <c r="G3718" s="24">
        <v>77.0</v>
      </c>
      <c r="H3718" s="24">
        <v>25.0</v>
      </c>
      <c r="I3718" s="24">
        <v>0.0</v>
      </c>
      <c r="J3718" s="24">
        <v>0.0</v>
      </c>
      <c r="K3718" s="23" t="s">
        <v>34</v>
      </c>
      <c r="L3718" s="25">
        <v>42516.37630787037</v>
      </c>
      <c r="M3718" s="26" t="s">
        <v>747</v>
      </c>
      <c r="N3718" s="26" t="s">
        <v>1068</v>
      </c>
      <c r="O3718" s="22" t="str">
        <f>HYPERLINK("https://pbs.twimg.com/profile_images/902421074008084481/fXS9jF8X_normal.jpg","View")</f>
        <v>View</v>
      </c>
      <c r="P3718" s="27"/>
    </row>
    <row r="3719">
      <c r="A3719" s="14">
        <v>43031.23633101852</v>
      </c>
      <c r="B3719" s="20" t="str">
        <f>HYPERLINK("https://twitter.com/yudibakshi","@yudibakshi")</f>
        <v>@yudibakshi</v>
      </c>
      <c r="C3719" s="21" t="s">
        <v>8671</v>
      </c>
      <c r="D3719" s="21" t="s">
        <v>163</v>
      </c>
      <c r="E3719" s="22" t="str">
        <f>HYPERLINK("https://twitter.com/yudibakshi/status/922442562794799104","922442562794799104")</f>
        <v>922442562794799104</v>
      </c>
      <c r="F3719" s="23" t="s">
        <v>33</v>
      </c>
      <c r="G3719" s="24">
        <v>217.0</v>
      </c>
      <c r="H3719" s="24">
        <v>1195.0</v>
      </c>
      <c r="I3719" s="24">
        <v>1005.0</v>
      </c>
      <c r="J3719" s="24">
        <v>0.0</v>
      </c>
      <c r="K3719" s="23" t="s">
        <v>34</v>
      </c>
      <c r="L3719" s="25">
        <v>40056.41704861111</v>
      </c>
      <c r="M3719" s="28"/>
      <c r="N3719" s="26" t="s">
        <v>8672</v>
      </c>
      <c r="O3719" s="22" t="str">
        <f>HYPERLINK("https://pbs.twimg.com/profile_images/615520240856727553/K4bs44IU_normal.jpg","View")</f>
        <v>View</v>
      </c>
      <c r="P3719" s="27"/>
    </row>
    <row r="3720">
      <c r="A3720" s="14">
        <v>43031.23637731481</v>
      </c>
      <c r="B3720" s="20" t="str">
        <f>HYPERLINK("https://twitter.com/sarathykousik","@sarathykousik")</f>
        <v>@sarathykousik</v>
      </c>
      <c r="C3720" s="21" t="s">
        <v>8673</v>
      </c>
      <c r="D3720" s="21" t="s">
        <v>42</v>
      </c>
      <c r="E3720" s="22" t="str">
        <f>HYPERLINK("https://twitter.com/sarathykousik/status/922442576417845253","922442576417845253")</f>
        <v>922442576417845253</v>
      </c>
      <c r="F3720" s="23" t="s">
        <v>33</v>
      </c>
      <c r="G3720" s="24">
        <v>208.0</v>
      </c>
      <c r="H3720" s="24">
        <v>231.0</v>
      </c>
      <c r="I3720" s="24">
        <v>8501.0</v>
      </c>
      <c r="J3720" s="24">
        <v>0.0</v>
      </c>
      <c r="K3720" s="23" t="s">
        <v>34</v>
      </c>
      <c r="L3720" s="25">
        <v>39989.42702546297</v>
      </c>
      <c r="M3720" s="26" t="s">
        <v>8674</v>
      </c>
      <c r="N3720" s="26" t="s">
        <v>8675</v>
      </c>
      <c r="O3720" s="22" t="str">
        <f>HYPERLINK("https://pbs.twimg.com/profile_images/569481365066756096/4K_rHSuU_normal.jpeg","View")</f>
        <v>View</v>
      </c>
      <c r="P3720" s="27"/>
    </row>
    <row r="3721">
      <c r="A3721" s="14">
        <v>43031.23637731481</v>
      </c>
      <c r="B3721" s="20" t="str">
        <f>HYPERLINK("https://twitter.com/drhussein_ismal","@drhussein_ismal")</f>
        <v>@drhussein_ismal</v>
      </c>
      <c r="C3721" s="21" t="s">
        <v>2485</v>
      </c>
      <c r="D3721" s="21" t="s">
        <v>8665</v>
      </c>
      <c r="E3721" s="22" t="str">
        <f>HYPERLINK("https://twitter.com/drhussein_ismal/status/922442579630809088","922442579630809088")</f>
        <v>922442579630809088</v>
      </c>
      <c r="F3721" s="23" t="s">
        <v>39</v>
      </c>
      <c r="G3721" s="24">
        <v>235.0</v>
      </c>
      <c r="H3721" s="24">
        <v>566.0</v>
      </c>
      <c r="I3721" s="24">
        <v>67.0</v>
      </c>
      <c r="J3721" s="24">
        <v>0.0</v>
      </c>
      <c r="K3721" s="23" t="s">
        <v>34</v>
      </c>
      <c r="L3721" s="25">
        <v>41521.5224537037</v>
      </c>
      <c r="M3721" s="28"/>
      <c r="N3721" s="28"/>
      <c r="O3721" s="22" t="str">
        <f>HYPERLINK("https://pbs.twimg.com/profile_images/378800000612583753/311c0309fcc8e0f53d99cd42a9440d46_normal.jpeg","View")</f>
        <v>View</v>
      </c>
      <c r="P3721" s="27"/>
    </row>
    <row r="3722">
      <c r="A3722" s="14">
        <v>43031.23640046296</v>
      </c>
      <c r="B3722" s="20" t="str">
        <f>HYPERLINK("https://twitter.com/lolllepopxstars","@lolllepopxstars")</f>
        <v>@lolllepopxstars</v>
      </c>
      <c r="C3722" s="21" t="s">
        <v>8676</v>
      </c>
      <c r="D3722" s="21" t="s">
        <v>2369</v>
      </c>
      <c r="E3722" s="22" t="str">
        <f>HYPERLINK("https://twitter.com/lolllepopxstars/status/922442584718315520","922442584718315520")</f>
        <v>922442584718315520</v>
      </c>
      <c r="F3722" s="23" t="s">
        <v>33</v>
      </c>
      <c r="G3722" s="24">
        <v>60.0</v>
      </c>
      <c r="H3722" s="24">
        <v>2303.0</v>
      </c>
      <c r="I3722" s="24">
        <v>23.0</v>
      </c>
      <c r="J3722" s="24">
        <v>0.0</v>
      </c>
      <c r="K3722" s="23" t="s">
        <v>34</v>
      </c>
      <c r="L3722" s="25">
        <v>40887.4795949074</v>
      </c>
      <c r="M3722" s="26" t="s">
        <v>3887</v>
      </c>
      <c r="N3722" s="26" t="s">
        <v>8677</v>
      </c>
      <c r="O3722" s="22" t="str">
        <f>HYPERLINK("https://pbs.twimg.com/profile_images/762998466662379521/N5NMAT4-_normal.jpg","View")</f>
        <v>View</v>
      </c>
      <c r="P3722" s="27"/>
    </row>
    <row r="3723">
      <c r="A3723" s="14">
        <v>43031.23641203703</v>
      </c>
      <c r="B3723" s="20" t="str">
        <f>HYPERLINK("https://twitter.com/Carolin72138765","@Carolin72138765")</f>
        <v>@Carolin72138765</v>
      </c>
      <c r="C3723" s="21" t="s">
        <v>8678</v>
      </c>
      <c r="D3723" s="21" t="s">
        <v>8665</v>
      </c>
      <c r="E3723" s="22" t="str">
        <f>HYPERLINK("https://twitter.com/Carolin72138765/status/922442593044135936","922442593044135936")</f>
        <v>922442593044135936</v>
      </c>
      <c r="F3723" s="23" t="s">
        <v>39</v>
      </c>
      <c r="G3723" s="24">
        <v>43.0</v>
      </c>
      <c r="H3723" s="24">
        <v>137.0</v>
      </c>
      <c r="I3723" s="24">
        <v>67.0</v>
      </c>
      <c r="J3723" s="24">
        <v>0.0</v>
      </c>
      <c r="K3723" s="23" t="s">
        <v>34</v>
      </c>
      <c r="L3723" s="25">
        <v>43031.16348379629</v>
      </c>
      <c r="M3723" s="26" t="s">
        <v>68</v>
      </c>
      <c r="N3723" s="26" t="s">
        <v>8679</v>
      </c>
      <c r="O3723" s="22" t="str">
        <f>HYPERLINK("https://pbs.twimg.com/profile_images/922416821554286594/e0y2JtTs_normal.jpg","View")</f>
        <v>View</v>
      </c>
      <c r="P3723" s="27"/>
    </row>
    <row r="3724">
      <c r="A3724" s="14">
        <v>43031.2365162037</v>
      </c>
      <c r="B3724" s="20" t="str">
        <f>HYPERLINK("https://twitter.com/deepkm10","@deepkm10")</f>
        <v>@deepkm10</v>
      </c>
      <c r="C3724" s="21" t="s">
        <v>2845</v>
      </c>
      <c r="D3724" s="21" t="s">
        <v>42</v>
      </c>
      <c r="E3724" s="22" t="str">
        <f>HYPERLINK("https://twitter.com/deepkm10/status/922442627097681920","922442627097681920")</f>
        <v>922442627097681920</v>
      </c>
      <c r="F3724" s="23" t="s">
        <v>43</v>
      </c>
      <c r="G3724" s="24">
        <v>431.0</v>
      </c>
      <c r="H3724" s="24">
        <v>2576.0</v>
      </c>
      <c r="I3724" s="24">
        <v>8501.0</v>
      </c>
      <c r="J3724" s="24">
        <v>0.0</v>
      </c>
      <c r="K3724" s="23" t="s">
        <v>34</v>
      </c>
      <c r="L3724" s="25">
        <v>42391.401087962964</v>
      </c>
      <c r="M3724" s="28"/>
      <c r="N3724" s="28"/>
      <c r="O3724" s="22" t="str">
        <f>HYPERLINK("https://pbs.twimg.com/profile_images/796890308386713600/tLbFkYMy_normal.jpg","View")</f>
        <v>View</v>
      </c>
      <c r="P3724" s="27"/>
    </row>
    <row r="3725">
      <c r="A3725" s="14">
        <v>43031.2365162037</v>
      </c>
      <c r="B3725" s="20" t="str">
        <f>HYPERLINK("https://twitter.com/jimbaileytw","@jimbaileytw")</f>
        <v>@jimbaileytw</v>
      </c>
      <c r="C3725" s="21" t="s">
        <v>8680</v>
      </c>
      <c r="D3725" s="21" t="s">
        <v>1444</v>
      </c>
      <c r="E3725" s="22" t="str">
        <f>HYPERLINK("https://twitter.com/jimbaileytw/status/922442628246986753","922442628246986753")</f>
        <v>922442628246986753</v>
      </c>
      <c r="F3725" s="23" t="s">
        <v>39</v>
      </c>
      <c r="G3725" s="24">
        <v>28.0</v>
      </c>
      <c r="H3725" s="24">
        <v>13.0</v>
      </c>
      <c r="I3725" s="24">
        <v>50.0</v>
      </c>
      <c r="J3725" s="24">
        <v>0.0</v>
      </c>
      <c r="K3725" s="23" t="s">
        <v>34</v>
      </c>
      <c r="L3725" s="25">
        <v>41820.66594907407</v>
      </c>
      <c r="M3725" s="28"/>
      <c r="N3725" s="28"/>
      <c r="O3725" s="22" t="str">
        <f>HYPERLINK("https://abs.twimg.com/sticky/default_profile_images/default_profile_normal.png","View")</f>
        <v>View</v>
      </c>
      <c r="P3725" s="27"/>
    </row>
    <row r="3726">
      <c r="A3726" s="14">
        <v>43031.2365162037</v>
      </c>
      <c r="B3726" s="20" t="str">
        <f>HYPERLINK("https://twitter.com/frapheigh","@frapheigh")</f>
        <v>@frapheigh</v>
      </c>
      <c r="C3726" s="21" t="s">
        <v>8681</v>
      </c>
      <c r="D3726" s="21" t="s">
        <v>8665</v>
      </c>
      <c r="E3726" s="22" t="str">
        <f>HYPERLINK("https://twitter.com/frapheigh/status/922442629211594752","922442629211594752")</f>
        <v>922442629211594752</v>
      </c>
      <c r="F3726" s="23" t="s">
        <v>39</v>
      </c>
      <c r="G3726" s="24">
        <v>116.0</v>
      </c>
      <c r="H3726" s="24">
        <v>708.0</v>
      </c>
      <c r="I3726" s="24">
        <v>67.0</v>
      </c>
      <c r="J3726" s="24">
        <v>0.0</v>
      </c>
      <c r="K3726" s="23" t="s">
        <v>34</v>
      </c>
      <c r="L3726" s="25">
        <v>41998.00413194444</v>
      </c>
      <c r="M3726" s="26" t="s">
        <v>8682</v>
      </c>
      <c r="N3726" s="26" t="s">
        <v>8683</v>
      </c>
      <c r="O3726" s="22" t="str">
        <f>HYPERLINK("https://pbs.twimg.com/profile_images/645752320119058432/tbeDDiLS_normal.jpg","View")</f>
        <v>View</v>
      </c>
      <c r="P3726" s="27"/>
    </row>
    <row r="3727">
      <c r="A3727" s="14">
        <v>43031.23663194444</v>
      </c>
      <c r="B3727" s="20" t="str">
        <f>HYPERLINK("https://twitter.com/West_Australian","@West_Australian")</f>
        <v>@West_Australian</v>
      </c>
      <c r="C3727" s="21" t="s">
        <v>8684</v>
      </c>
      <c r="D3727" s="21" t="s">
        <v>8665</v>
      </c>
      <c r="E3727" s="22" t="str">
        <f>HYPERLINK("https://twitter.com/West_Australian/status/922442670307291137","922442670307291137")</f>
        <v>922442670307291137</v>
      </c>
      <c r="F3727" s="23" t="s">
        <v>33</v>
      </c>
      <c r="G3727" s="24">
        <v>607.0</v>
      </c>
      <c r="H3727" s="24">
        <v>2125.0</v>
      </c>
      <c r="I3727" s="24">
        <v>67.0</v>
      </c>
      <c r="J3727" s="24">
        <v>0.0</v>
      </c>
      <c r="K3727" s="23" t="s">
        <v>34</v>
      </c>
      <c r="L3727" s="25">
        <v>41235.04597222222</v>
      </c>
      <c r="M3727" s="26" t="s">
        <v>8685</v>
      </c>
      <c r="N3727" s="26" t="s">
        <v>8686</v>
      </c>
      <c r="O3727" s="22" t="str">
        <f>HYPERLINK("https://pbs.twimg.com/profile_images/724478818161823744/d-06Q3Iu_normal.jpg","View")</f>
        <v>View</v>
      </c>
      <c r="P3727" s="27"/>
    </row>
    <row r="3728">
      <c r="A3728" s="14">
        <v>43031.23663194444</v>
      </c>
      <c r="B3728" s="20" t="str">
        <f>HYPERLINK("https://twitter.com/enkhbat","@enkhbat")</f>
        <v>@enkhbat</v>
      </c>
      <c r="C3728" s="21" t="s">
        <v>8687</v>
      </c>
      <c r="D3728" s="21" t="s">
        <v>8665</v>
      </c>
      <c r="E3728" s="22" t="str">
        <f>HYPERLINK("https://twitter.com/enkhbat/status/922442670865235968","922442670865235968")</f>
        <v>922442670865235968</v>
      </c>
      <c r="F3728" s="23" t="s">
        <v>55</v>
      </c>
      <c r="G3728" s="24">
        <v>184842.0</v>
      </c>
      <c r="H3728" s="24">
        <v>825.0</v>
      </c>
      <c r="I3728" s="24">
        <v>67.0</v>
      </c>
      <c r="J3728" s="24">
        <v>0.0</v>
      </c>
      <c r="K3728" s="23" t="s">
        <v>34</v>
      </c>
      <c r="L3728" s="25">
        <v>39838.079733796294</v>
      </c>
      <c r="M3728" s="26" t="s">
        <v>8688</v>
      </c>
      <c r="N3728" s="26" t="s">
        <v>8689</v>
      </c>
      <c r="O3728" s="22" t="str">
        <f>HYPERLINK("https://pbs.twimg.com/profile_images/577383604243689472/fHRhI8lb_normal.png","View")</f>
        <v>View</v>
      </c>
      <c r="P3728" s="27"/>
    </row>
    <row r="3729">
      <c r="A3729" s="14">
        <v>43031.23670138889</v>
      </c>
      <c r="B3729" s="20" t="str">
        <f>HYPERLINK("https://twitter.com/sandeeptomboy","@sandeeptomboy")</f>
        <v>@sandeeptomboy</v>
      </c>
      <c r="C3729" s="21" t="s">
        <v>8690</v>
      </c>
      <c r="D3729" s="21" t="s">
        <v>42</v>
      </c>
      <c r="E3729" s="22" t="str">
        <f>HYPERLINK("https://twitter.com/sandeeptomboy/status/922442693921325056","922442693921325056")</f>
        <v>922442693921325056</v>
      </c>
      <c r="F3729" s="23" t="s">
        <v>33</v>
      </c>
      <c r="G3729" s="24">
        <v>75.0</v>
      </c>
      <c r="H3729" s="24">
        <v>235.0</v>
      </c>
      <c r="I3729" s="24">
        <v>8501.0</v>
      </c>
      <c r="J3729" s="24">
        <v>0.0</v>
      </c>
      <c r="K3729" s="23" t="s">
        <v>34</v>
      </c>
      <c r="L3729" s="25">
        <v>40571.8999537037</v>
      </c>
      <c r="M3729" s="26" t="s">
        <v>1210</v>
      </c>
      <c r="N3729" s="26" t="s">
        <v>8691</v>
      </c>
      <c r="O3729" s="22" t="str">
        <f>HYPERLINK("https://pbs.twimg.com/profile_images/728636013309005825/7MxPmrHS_normal.jpg","View")</f>
        <v>View</v>
      </c>
      <c r="P3729" s="27"/>
    </row>
    <row r="3730">
      <c r="A3730" s="14">
        <v>43031.236712962964</v>
      </c>
      <c r="B3730" s="20" t="str">
        <f>HYPERLINK("https://twitter.com/masakofukuisyd","@masakofukuisyd")</f>
        <v>@masakofukuisyd</v>
      </c>
      <c r="C3730" s="21" t="s">
        <v>8692</v>
      </c>
      <c r="D3730" s="21" t="s">
        <v>8693</v>
      </c>
      <c r="E3730" s="22" t="str">
        <f>HYPERLINK("https://twitter.com/masakofukuisyd/status/922442701424926720","922442701424926720")</f>
        <v>922442701424926720</v>
      </c>
      <c r="F3730" s="23" t="s">
        <v>55</v>
      </c>
      <c r="G3730" s="24">
        <v>664.0</v>
      </c>
      <c r="H3730" s="24">
        <v>1314.0</v>
      </c>
      <c r="I3730" s="24">
        <v>0.0</v>
      </c>
      <c r="J3730" s="24">
        <v>0.0</v>
      </c>
      <c r="K3730" s="23" t="s">
        <v>34</v>
      </c>
      <c r="L3730" s="25">
        <v>41017.661944444444</v>
      </c>
      <c r="M3730" s="28"/>
      <c r="N3730" s="26" t="s">
        <v>8694</v>
      </c>
      <c r="O3730" s="22" t="str">
        <f>HYPERLINK("https://pbs.twimg.com/profile_images/758212928327651328/EgnHVQKC_normal.jpg","View")</f>
        <v>View</v>
      </c>
      <c r="P3730" s="27"/>
    </row>
    <row r="3731">
      <c r="A3731" s="14">
        <v>43031.23675925926</v>
      </c>
      <c r="B3731" s="20" t="str">
        <f>HYPERLINK("https://twitter.com/bboren","@bboren")</f>
        <v>@bboren</v>
      </c>
      <c r="C3731" s="21" t="s">
        <v>8695</v>
      </c>
      <c r="D3731" s="21" t="s">
        <v>8665</v>
      </c>
      <c r="E3731" s="22" t="str">
        <f>HYPERLINK("https://twitter.com/bboren/status/922442714729406469","922442714729406469")</f>
        <v>922442714729406469</v>
      </c>
      <c r="F3731" s="23" t="s">
        <v>39</v>
      </c>
      <c r="G3731" s="24">
        <v>447.0</v>
      </c>
      <c r="H3731" s="24">
        <v>985.0</v>
      </c>
      <c r="I3731" s="24">
        <v>67.0</v>
      </c>
      <c r="J3731" s="24">
        <v>0.0</v>
      </c>
      <c r="K3731" s="23" t="s">
        <v>34</v>
      </c>
      <c r="L3731" s="25">
        <v>40116.62378472222</v>
      </c>
      <c r="M3731" s="26" t="s">
        <v>8696</v>
      </c>
      <c r="N3731" s="26" t="s">
        <v>8697</v>
      </c>
      <c r="O3731" s="22" t="str">
        <f>HYPERLINK("https://pbs.twimg.com/profile_images/918308011138883584/drnSZ6dF_normal.jpg","View")</f>
        <v>View</v>
      </c>
      <c r="P3731" s="27"/>
    </row>
    <row r="3732">
      <c r="A3732" s="14">
        <v>43031.23679398149</v>
      </c>
      <c r="B3732" s="20" t="str">
        <f>HYPERLINK("https://twitter.com/simi909","@simi909")</f>
        <v>@simi909</v>
      </c>
      <c r="C3732" s="21" t="s">
        <v>8698</v>
      </c>
      <c r="D3732" s="21" t="s">
        <v>8665</v>
      </c>
      <c r="E3732" s="22" t="str">
        <f>HYPERLINK("https://twitter.com/simi909/status/922442730214707200","922442730214707200")</f>
        <v>922442730214707200</v>
      </c>
      <c r="F3732" s="23" t="s">
        <v>33</v>
      </c>
      <c r="G3732" s="24">
        <v>5115.0</v>
      </c>
      <c r="H3732" s="24">
        <v>5424.0</v>
      </c>
      <c r="I3732" s="24">
        <v>67.0</v>
      </c>
      <c r="J3732" s="24">
        <v>0.0</v>
      </c>
      <c r="K3732" s="23" t="s">
        <v>34</v>
      </c>
      <c r="L3732" s="25">
        <v>42053.63684027777</v>
      </c>
      <c r="M3732" s="26" t="s">
        <v>8699</v>
      </c>
      <c r="N3732" s="26" t="s">
        <v>8700</v>
      </c>
      <c r="O3732" s="22" t="str">
        <f>HYPERLINK("https://pbs.twimg.com/profile_images/916619602532225024/KInl3HwI_normal.jpg","View")</f>
        <v>View</v>
      </c>
      <c r="P3732" s="27"/>
    </row>
    <row r="3733">
      <c r="A3733" s="14">
        <v>43031.236805555556</v>
      </c>
      <c r="B3733" s="20" t="str">
        <f>HYPERLINK("https://twitter.com/bobby990r_1","@bobby990r_1")</f>
        <v>@bobby990r_1</v>
      </c>
      <c r="C3733" s="21" t="s">
        <v>8701</v>
      </c>
      <c r="D3733" s="21" t="s">
        <v>8665</v>
      </c>
      <c r="E3733" s="22" t="str">
        <f>HYPERLINK("https://twitter.com/bobby990r_1/status/922442733918277632","922442733918277632")</f>
        <v>922442733918277632</v>
      </c>
      <c r="F3733" s="23" t="s">
        <v>39</v>
      </c>
      <c r="G3733" s="24">
        <v>409.0</v>
      </c>
      <c r="H3733" s="24">
        <v>357.0</v>
      </c>
      <c r="I3733" s="24">
        <v>67.0</v>
      </c>
      <c r="J3733" s="24">
        <v>0.0</v>
      </c>
      <c r="K3733" s="23" t="s">
        <v>34</v>
      </c>
      <c r="L3733" s="25">
        <v>41659.656863425924</v>
      </c>
      <c r="M3733" s="28"/>
      <c r="N3733" s="26" t="s">
        <v>8702</v>
      </c>
      <c r="O3733" s="22" t="str">
        <f>HYPERLINK("https://pbs.twimg.com/profile_images/427116344161484801/JsZ1YLcA_normal.jpeg","View")</f>
        <v>View</v>
      </c>
      <c r="P3733" s="27"/>
    </row>
    <row r="3734">
      <c r="A3734" s="14">
        <v>43031.236875</v>
      </c>
      <c r="B3734" s="20" t="str">
        <f>HYPERLINK("https://twitter.com/bdnews24","@bdnews24")</f>
        <v>@bdnews24</v>
      </c>
      <c r="C3734" s="21" t="s">
        <v>831</v>
      </c>
      <c r="D3734" s="21" t="s">
        <v>8703</v>
      </c>
      <c r="E3734" s="22" t="str">
        <f>HYPERLINK("https://twitter.com/bdnews24/status/922442760208166912","922442760208166912")</f>
        <v>922442760208166912</v>
      </c>
      <c r="F3734" s="23" t="s">
        <v>187</v>
      </c>
      <c r="G3734" s="24">
        <v>215301.0</v>
      </c>
      <c r="H3734" s="24">
        <v>67843.0</v>
      </c>
      <c r="I3734" s="24">
        <v>0.0</v>
      </c>
      <c r="J3734" s="24">
        <v>0.0</v>
      </c>
      <c r="K3734" s="23" t="s">
        <v>34</v>
      </c>
      <c r="L3734" s="25">
        <v>39844.468043981484</v>
      </c>
      <c r="M3734" s="26" t="s">
        <v>833</v>
      </c>
      <c r="N3734" s="26" t="s">
        <v>834</v>
      </c>
      <c r="O3734" s="22" t="str">
        <f>HYPERLINK("https://pbs.twimg.com/profile_images/718433521509994497/4iW9RC_r_normal.jpg","View")</f>
        <v>View</v>
      </c>
      <c r="P3734" s="27"/>
    </row>
    <row r="3735">
      <c r="A3735" s="14">
        <v>43031.236921296295</v>
      </c>
      <c r="B3735" s="20" t="str">
        <f>HYPERLINK("https://twitter.com/west_canal","@west_canal")</f>
        <v>@west_canal</v>
      </c>
      <c r="C3735" s="21" t="s">
        <v>8704</v>
      </c>
      <c r="D3735" s="21" t="s">
        <v>42</v>
      </c>
      <c r="E3735" s="22" t="str">
        <f>HYPERLINK("https://twitter.com/west_canal/status/922442774909194240","922442774909194240")</f>
        <v>922442774909194240</v>
      </c>
      <c r="F3735" s="23" t="s">
        <v>55</v>
      </c>
      <c r="G3735" s="24">
        <v>82.0</v>
      </c>
      <c r="H3735" s="24">
        <v>371.0</v>
      </c>
      <c r="I3735" s="24">
        <v>8501.0</v>
      </c>
      <c r="J3735" s="24">
        <v>0.0</v>
      </c>
      <c r="K3735" s="23" t="s">
        <v>34</v>
      </c>
      <c r="L3735" s="25">
        <v>41668.989594907405</v>
      </c>
      <c r="M3735" s="28"/>
      <c r="N3735" s="26" t="s">
        <v>8705</v>
      </c>
      <c r="O3735" s="22" t="str">
        <f>HYPERLINK("https://pbs.twimg.com/profile_images/872834947786055680/HW574B8u_normal.jpg","View")</f>
        <v>View</v>
      </c>
      <c r="P3735" s="27"/>
    </row>
    <row r="3736">
      <c r="A3736" s="14">
        <v>43031.23694444445</v>
      </c>
      <c r="B3736" s="20" t="str">
        <f>HYPERLINK("https://twitter.com/JeffreyMeyers","@JeffreyMeyers")</f>
        <v>@JeffreyMeyers</v>
      </c>
      <c r="C3736" s="21" t="s">
        <v>8706</v>
      </c>
      <c r="D3736" s="21" t="s">
        <v>8707</v>
      </c>
      <c r="E3736" s="22" t="str">
        <f>HYPERLINK("https://twitter.com/JeffreyMeyers/status/922442783775907842","922442783775907842")</f>
        <v>922442783775907842</v>
      </c>
      <c r="F3736" s="23" t="s">
        <v>39</v>
      </c>
      <c r="G3736" s="24">
        <v>1092.0</v>
      </c>
      <c r="H3736" s="24">
        <v>1752.0</v>
      </c>
      <c r="I3736" s="24">
        <v>0.0</v>
      </c>
      <c r="J3736" s="24">
        <v>0.0</v>
      </c>
      <c r="K3736" s="23" t="s">
        <v>34</v>
      </c>
      <c r="L3736" s="25">
        <v>39943.43313657407</v>
      </c>
      <c r="M3736" s="28"/>
      <c r="N3736" s="26" t="s">
        <v>8708</v>
      </c>
      <c r="O3736" s="22" t="str">
        <f>HYPERLINK("https://pbs.twimg.com/profile_images/720473996635070467/Khoi77_z_normal.jpg","View")</f>
        <v>View</v>
      </c>
      <c r="P3736" s="27"/>
    </row>
    <row r="3737">
      <c r="A3737" s="14">
        <v>43031.23696759259</v>
      </c>
      <c r="B3737" s="20" t="str">
        <f>HYPERLINK("https://twitter.com/GrtxNl","@GrtxNl")</f>
        <v>@GrtxNl</v>
      </c>
      <c r="C3737" s="21" t="s">
        <v>8709</v>
      </c>
      <c r="D3737" s="21" t="s">
        <v>8710</v>
      </c>
      <c r="E3737" s="22" t="str">
        <f>HYPERLINK("https://twitter.com/GrtxNl/status/922442791216664576","922442791216664576")</f>
        <v>922442791216664576</v>
      </c>
      <c r="F3737" s="23" t="s">
        <v>8711</v>
      </c>
      <c r="G3737" s="24">
        <v>9109.0</v>
      </c>
      <c r="H3737" s="24">
        <v>9742.0</v>
      </c>
      <c r="I3737" s="24">
        <v>0.0</v>
      </c>
      <c r="J3737" s="24">
        <v>0.0</v>
      </c>
      <c r="K3737" s="23" t="s">
        <v>34</v>
      </c>
      <c r="L3737" s="25">
        <v>42488.48811342593</v>
      </c>
      <c r="M3737" s="26" t="s">
        <v>8712</v>
      </c>
      <c r="N3737" s="26" t="s">
        <v>8713</v>
      </c>
      <c r="O3737" s="22" t="str">
        <f>HYPERLINK("https://pbs.twimg.com/profile_images/764830357875228672/gWI6Wf7a_normal.jpg","View")</f>
        <v>View</v>
      </c>
      <c r="P3737" s="27"/>
    </row>
    <row r="3738">
      <c r="A3738" s="14">
        <v>43031.23696759259</v>
      </c>
      <c r="B3738" s="20" t="str">
        <f>HYPERLINK("https://twitter.com/AngaragDarigang","@AngaragDarigang")</f>
        <v>@AngaragDarigang</v>
      </c>
      <c r="C3738" s="21" t="s">
        <v>8714</v>
      </c>
      <c r="D3738" s="21" t="s">
        <v>8665</v>
      </c>
      <c r="E3738" s="22" t="str">
        <f>HYPERLINK("https://twitter.com/AngaragDarigang/status/922442794299305990","922442794299305990")</f>
        <v>922442794299305990</v>
      </c>
      <c r="F3738" s="23" t="s">
        <v>33</v>
      </c>
      <c r="G3738" s="24">
        <v>13216.0</v>
      </c>
      <c r="H3738" s="24">
        <v>970.0</v>
      </c>
      <c r="I3738" s="24">
        <v>67.0</v>
      </c>
      <c r="J3738" s="24">
        <v>0.0</v>
      </c>
      <c r="K3738" s="23" t="s">
        <v>34</v>
      </c>
      <c r="L3738" s="25">
        <v>42143.976689814815</v>
      </c>
      <c r="M3738" s="28"/>
      <c r="N3738" s="26" t="s">
        <v>8715</v>
      </c>
      <c r="O3738" s="22" t="str">
        <f>HYPERLINK("https://pbs.twimg.com/profile_images/641098041731125248/WvrA0yHd_normal.jpg","View")</f>
        <v>View</v>
      </c>
      <c r="P3738" s="27"/>
    </row>
    <row r="3739">
      <c r="A3739" s="14">
        <v>43031.23697916667</v>
      </c>
      <c r="B3739" s="20" t="str">
        <f>HYPERLINK("https://twitter.com/Tsuma_Mina","@Tsuma_Mina")</f>
        <v>@Tsuma_Mina</v>
      </c>
      <c r="C3739" s="21" t="s">
        <v>8716</v>
      </c>
      <c r="D3739" s="21" t="s">
        <v>8665</v>
      </c>
      <c r="E3739" s="22" t="str">
        <f>HYPERLINK("https://twitter.com/Tsuma_Mina/status/922442797231128576","922442797231128576")</f>
        <v>922442797231128576</v>
      </c>
      <c r="F3739" s="23" t="s">
        <v>55</v>
      </c>
      <c r="G3739" s="24">
        <v>1160.0</v>
      </c>
      <c r="H3739" s="24">
        <v>2168.0</v>
      </c>
      <c r="I3739" s="24">
        <v>67.0</v>
      </c>
      <c r="J3739" s="24">
        <v>0.0</v>
      </c>
      <c r="K3739" s="23" t="s">
        <v>34</v>
      </c>
      <c r="L3739" s="25">
        <v>42094.03284722222</v>
      </c>
      <c r="M3739" s="26" t="s">
        <v>8717</v>
      </c>
      <c r="N3739" s="26" t="s">
        <v>8718</v>
      </c>
      <c r="O3739" s="22" t="str">
        <f>HYPERLINK("https://pbs.twimg.com/profile_images/614370452346007553/DuyR2xi5_normal.jpg","View")</f>
        <v>View</v>
      </c>
      <c r="P3739" s="27"/>
    </row>
    <row r="3740">
      <c r="A3740" s="14">
        <v>43031.23700231481</v>
      </c>
      <c r="B3740" s="20" t="str">
        <f>HYPERLINK("https://twitter.com/Sorgitzak","@Sorgitzak")</f>
        <v>@Sorgitzak</v>
      </c>
      <c r="C3740" s="21" t="s">
        <v>1122</v>
      </c>
      <c r="D3740" s="21" t="s">
        <v>8719</v>
      </c>
      <c r="E3740" s="22" t="str">
        <f>HYPERLINK("https://twitter.com/Sorgitzak/status/922442805590544385","922442805590544385")</f>
        <v>922442805590544385</v>
      </c>
      <c r="F3740" s="23" t="s">
        <v>187</v>
      </c>
      <c r="G3740" s="24">
        <v>723.0</v>
      </c>
      <c r="H3740" s="24">
        <v>1309.0</v>
      </c>
      <c r="I3740" s="24">
        <v>0.0</v>
      </c>
      <c r="J3740" s="24">
        <v>0.0</v>
      </c>
      <c r="K3740" s="23" t="s">
        <v>34</v>
      </c>
      <c r="L3740" s="25">
        <v>39990.552152777775</v>
      </c>
      <c r="M3740" s="26" t="s">
        <v>1124</v>
      </c>
      <c r="N3740" s="28"/>
      <c r="O3740" s="22" t="str">
        <f>HYPERLINK("https://pbs.twimg.com/profile_images/284404970/sorgitzak_normal.JPG","View")</f>
        <v>View</v>
      </c>
      <c r="P3740" s="27"/>
    </row>
    <row r="3741">
      <c r="A3741" s="14">
        <v>43031.237025462964</v>
      </c>
      <c r="B3741" s="20" t="str">
        <f>HYPERLINK("https://twitter.com/bhandarkarab","@bhandarkarab")</f>
        <v>@bhandarkarab</v>
      </c>
      <c r="C3741" s="21" t="s">
        <v>8720</v>
      </c>
      <c r="D3741" s="21" t="s">
        <v>8721</v>
      </c>
      <c r="E3741" s="22" t="str">
        <f>HYPERLINK("https://twitter.com/bhandarkarab/status/922442812183937024","922442812183937024")</f>
        <v>922442812183937024</v>
      </c>
      <c r="F3741" s="23" t="s">
        <v>7534</v>
      </c>
      <c r="G3741" s="24">
        <v>135.0</v>
      </c>
      <c r="H3741" s="24">
        <v>105.0</v>
      </c>
      <c r="I3741" s="24">
        <v>0.0</v>
      </c>
      <c r="J3741" s="24">
        <v>0.0</v>
      </c>
      <c r="K3741" s="23" t="s">
        <v>34</v>
      </c>
      <c r="L3741" s="25">
        <v>40893.886875</v>
      </c>
      <c r="M3741" s="26" t="s">
        <v>1545</v>
      </c>
      <c r="N3741" s="28"/>
      <c r="O3741" s="22" t="str">
        <f>HYPERLINK("https://pbs.twimg.com/profile_images/632863356777459712/yNqjj7sr_normal.jpg","View")</f>
        <v>View</v>
      </c>
      <c r="P3741" s="27"/>
    </row>
    <row r="3742">
      <c r="A3742" s="14">
        <v>43031.23703703703</v>
      </c>
      <c r="B3742" s="20" t="str">
        <f>HYPERLINK("https://twitter.com/aqytha_joobjip","@aqytha_joobjip")</f>
        <v>@aqytha_joobjip</v>
      </c>
      <c r="C3742" s="21" t="s">
        <v>1094</v>
      </c>
      <c r="D3742" s="21" t="s">
        <v>8722</v>
      </c>
      <c r="E3742" s="22" t="str">
        <f>HYPERLINK("https://twitter.com/aqytha_joobjip/status/922442815925379073","922442815925379073")</f>
        <v>922442815925379073</v>
      </c>
      <c r="F3742" s="23" t="s">
        <v>187</v>
      </c>
      <c r="G3742" s="24">
        <v>1336.0</v>
      </c>
      <c r="H3742" s="24">
        <v>1329.0</v>
      </c>
      <c r="I3742" s="24">
        <v>0.0</v>
      </c>
      <c r="J3742" s="24">
        <v>0.0</v>
      </c>
      <c r="K3742" s="23" t="s">
        <v>34</v>
      </c>
      <c r="L3742" s="25">
        <v>42816.851064814815</v>
      </c>
      <c r="M3742" s="26" t="s">
        <v>1096</v>
      </c>
      <c r="N3742" s="26" t="s">
        <v>1097</v>
      </c>
      <c r="O3742" s="22" t="str">
        <f>HYPERLINK("https://pbs.twimg.com/profile_images/858603371510542336/I0ZwCR8u_normal.jpg","View")</f>
        <v>View</v>
      </c>
      <c r="P3742" s="27"/>
    </row>
    <row r="3743">
      <c r="A3743" s="14">
        <v>43031.23704861111</v>
      </c>
      <c r="B3743" s="20" t="str">
        <f>HYPERLINK("https://twitter.com/shivaji_sen","@shivaji_sen")</f>
        <v>@shivaji_sen</v>
      </c>
      <c r="C3743" s="21" t="s">
        <v>8723</v>
      </c>
      <c r="D3743" s="21" t="s">
        <v>42</v>
      </c>
      <c r="E3743" s="22" t="str">
        <f>HYPERLINK("https://twitter.com/shivaji_sen/status/922442822824931328","922442822824931328")</f>
        <v>922442822824931328</v>
      </c>
      <c r="F3743" s="23" t="s">
        <v>33</v>
      </c>
      <c r="G3743" s="24">
        <v>11.0</v>
      </c>
      <c r="H3743" s="24">
        <v>119.0</v>
      </c>
      <c r="I3743" s="24">
        <v>8501.0</v>
      </c>
      <c r="J3743" s="24">
        <v>0.0</v>
      </c>
      <c r="K3743" s="23" t="s">
        <v>34</v>
      </c>
      <c r="L3743" s="25">
        <v>41788.69060185185</v>
      </c>
      <c r="M3743" s="28"/>
      <c r="N3743" s="28"/>
      <c r="O3743" s="22" t="str">
        <f>HYPERLINK("https://pbs.twimg.com/profile_images/472236399219863552/EE5m-MhL_normal.jpeg","View")</f>
        <v>View</v>
      </c>
      <c r="P3743" s="27"/>
    </row>
    <row r="3744">
      <c r="A3744" s="14">
        <v>43031.23704861111</v>
      </c>
      <c r="B3744" s="20" t="str">
        <f>HYPERLINK("https://twitter.com/Ron_Bourne","@Ron_Bourne")</f>
        <v>@Ron_Bourne</v>
      </c>
      <c r="C3744" s="21" t="s">
        <v>821</v>
      </c>
      <c r="D3744" s="21" t="s">
        <v>8724</v>
      </c>
      <c r="E3744" s="22" t="str">
        <f>HYPERLINK("https://twitter.com/Ron_Bourne/status/922442823567335424","922442823567335424")</f>
        <v>922442823567335424</v>
      </c>
      <c r="F3744" s="23" t="s">
        <v>187</v>
      </c>
      <c r="G3744" s="24">
        <v>352.0</v>
      </c>
      <c r="H3744" s="24">
        <v>240.0</v>
      </c>
      <c r="I3744" s="24">
        <v>0.0</v>
      </c>
      <c r="J3744" s="24">
        <v>0.0</v>
      </c>
      <c r="K3744" s="23" t="s">
        <v>34</v>
      </c>
      <c r="L3744" s="25">
        <v>39367.5259375</v>
      </c>
      <c r="M3744" s="26" t="s">
        <v>590</v>
      </c>
      <c r="N3744" s="26" t="s">
        <v>823</v>
      </c>
      <c r="O3744" s="22" t="str">
        <f>HYPERLINK("https://pbs.twimg.com/profile_images/922533323825664000/DLCEnlTy_normal.jpg","View")</f>
        <v>View</v>
      </c>
      <c r="P3744" s="27"/>
    </row>
    <row r="3745">
      <c r="A3745" s="14">
        <v>43031.237187499995</v>
      </c>
      <c r="B3745" s="20" t="str">
        <f>HYPERLINK("https://twitter.com/AbbiejAbbieja","@AbbiejAbbieja")</f>
        <v>@AbbiejAbbieja</v>
      </c>
      <c r="C3745" s="21" t="s">
        <v>979</v>
      </c>
      <c r="D3745" s="21" t="s">
        <v>8725</v>
      </c>
      <c r="E3745" s="22" t="str">
        <f>HYPERLINK("https://twitter.com/AbbiejAbbieja/status/922442873714429952","922442873714429952")</f>
        <v>922442873714429952</v>
      </c>
      <c r="F3745" s="23" t="s">
        <v>187</v>
      </c>
      <c r="G3745" s="24">
        <v>1293.0</v>
      </c>
      <c r="H3745" s="24">
        <v>1320.0</v>
      </c>
      <c r="I3745" s="24">
        <v>0.0</v>
      </c>
      <c r="J3745" s="24">
        <v>1.0</v>
      </c>
      <c r="K3745" s="23" t="s">
        <v>34</v>
      </c>
      <c r="L3745" s="25">
        <v>42803.79164351852</v>
      </c>
      <c r="M3745" s="26" t="s">
        <v>920</v>
      </c>
      <c r="N3745" s="26" t="s">
        <v>981</v>
      </c>
      <c r="O3745" s="22" t="str">
        <f>HYPERLINK("https://pbs.twimg.com/profile_images/860496478065774593/Ti_AHgwa_normal.jpg","View")</f>
        <v>View</v>
      </c>
      <c r="P3745" s="27"/>
    </row>
    <row r="3746">
      <c r="A3746" s="14">
        <v>43031.23721064815</v>
      </c>
      <c r="B3746" s="20" t="str">
        <f>HYPERLINK("https://twitter.com/kingsnn","@kingsnn")</f>
        <v>@kingsnn</v>
      </c>
      <c r="C3746" s="21" t="s">
        <v>8726</v>
      </c>
      <c r="D3746" s="21" t="s">
        <v>42</v>
      </c>
      <c r="E3746" s="22" t="str">
        <f>HYPERLINK("https://twitter.com/kingsnn/status/922442881310138368","922442881310138368")</f>
        <v>922442881310138368</v>
      </c>
      <c r="F3746" s="23" t="s">
        <v>230</v>
      </c>
      <c r="G3746" s="24">
        <v>116.0</v>
      </c>
      <c r="H3746" s="24">
        <v>709.0</v>
      </c>
      <c r="I3746" s="24">
        <v>8501.0</v>
      </c>
      <c r="J3746" s="24">
        <v>0.0</v>
      </c>
      <c r="K3746" s="23" t="s">
        <v>34</v>
      </c>
      <c r="L3746" s="25">
        <v>40186.957141203704</v>
      </c>
      <c r="M3746" s="28"/>
      <c r="N3746" s="26" t="s">
        <v>8727</v>
      </c>
      <c r="O3746" s="22" t="str">
        <f>HYPERLINK("https://pbs.twimg.com/profile_images/463705400756285440/jFQPY8LL_normal.png","View")</f>
        <v>View</v>
      </c>
      <c r="P3746" s="27"/>
    </row>
    <row r="3747">
      <c r="A3747" s="14">
        <v>43031.23724537037</v>
      </c>
      <c r="B3747" s="20" t="str">
        <f>HYPERLINK("https://twitter.com/kouta_e_","@kouta_e_")</f>
        <v>@kouta_e_</v>
      </c>
      <c r="C3747" s="21" t="s">
        <v>8728</v>
      </c>
      <c r="D3747" s="21" t="s">
        <v>6403</v>
      </c>
      <c r="E3747" s="22" t="str">
        <f>HYPERLINK("https://twitter.com/kouta_e_/status/922442894216011777","922442894216011777")</f>
        <v>922442894216011777</v>
      </c>
      <c r="F3747" s="23" t="s">
        <v>33</v>
      </c>
      <c r="G3747" s="24">
        <v>356.0</v>
      </c>
      <c r="H3747" s="24">
        <v>346.0</v>
      </c>
      <c r="I3747" s="24">
        <v>97.0</v>
      </c>
      <c r="J3747" s="24">
        <v>0.0</v>
      </c>
      <c r="K3747" s="23" t="s">
        <v>34</v>
      </c>
      <c r="L3747" s="25">
        <v>42446.97111111111</v>
      </c>
      <c r="M3747" s="26" t="s">
        <v>8729</v>
      </c>
      <c r="N3747" s="26" t="s">
        <v>8730</v>
      </c>
      <c r="O3747" s="22" t="str">
        <f>HYPERLINK("https://pbs.twimg.com/profile_images/820227531173302272/eBG3ZGCq_normal.jpg","View")</f>
        <v>View</v>
      </c>
      <c r="P3747" s="27"/>
    </row>
    <row r="3748">
      <c r="A3748" s="14">
        <v>43031.2374074074</v>
      </c>
      <c r="B3748" s="20" t="str">
        <f>HYPERLINK("https://twitter.com/ikisraela","@ikisraela")</f>
        <v>@ikisraela</v>
      </c>
      <c r="C3748" s="21" t="s">
        <v>8731</v>
      </c>
      <c r="D3748" s="21" t="s">
        <v>8665</v>
      </c>
      <c r="E3748" s="22" t="str">
        <f>HYPERLINK("https://twitter.com/ikisraela/status/922442951460114433","922442951460114433")</f>
        <v>922442951460114433</v>
      </c>
      <c r="F3748" s="23" t="s">
        <v>55</v>
      </c>
      <c r="G3748" s="24">
        <v>1835.0</v>
      </c>
      <c r="H3748" s="24">
        <v>3217.0</v>
      </c>
      <c r="I3748" s="24">
        <v>67.0</v>
      </c>
      <c r="J3748" s="24">
        <v>0.0</v>
      </c>
      <c r="K3748" s="23" t="s">
        <v>34</v>
      </c>
      <c r="L3748" s="25">
        <v>41452.930856481486</v>
      </c>
      <c r="M3748" s="26" t="s">
        <v>8732</v>
      </c>
      <c r="N3748" s="26" t="s">
        <v>8733</v>
      </c>
      <c r="O3748" s="22" t="str">
        <f>HYPERLINK("https://pbs.twimg.com/profile_images/873952521278173185/isNbRIif_normal.jpg","View")</f>
        <v>View</v>
      </c>
      <c r="P3748" s="27"/>
    </row>
    <row r="3749">
      <c r="A3749" s="14">
        <v>43031.23743055556</v>
      </c>
      <c r="B3749" s="20" t="str">
        <f>HYPERLINK("https://twitter.com/rahulsahu96782","@rahulsahu96782")</f>
        <v>@rahulsahu96782</v>
      </c>
      <c r="C3749" s="21" t="s">
        <v>8734</v>
      </c>
      <c r="D3749" s="21" t="s">
        <v>8553</v>
      </c>
      <c r="E3749" s="22" t="str">
        <f>HYPERLINK("https://twitter.com/rahulsahu96782/status/922442958166568960","922442958166568960")</f>
        <v>922442958166568960</v>
      </c>
      <c r="F3749" s="23" t="s">
        <v>33</v>
      </c>
      <c r="G3749" s="24">
        <v>549.0</v>
      </c>
      <c r="H3749" s="24">
        <v>537.0</v>
      </c>
      <c r="I3749" s="24">
        <v>31.0</v>
      </c>
      <c r="J3749" s="24">
        <v>0.0</v>
      </c>
      <c r="K3749" s="23" t="s">
        <v>34</v>
      </c>
      <c r="L3749" s="25">
        <v>42373.983298611114</v>
      </c>
      <c r="M3749" s="26" t="s">
        <v>8735</v>
      </c>
      <c r="N3749" s="26" t="s">
        <v>8736</v>
      </c>
      <c r="O3749" s="22" t="str">
        <f>HYPERLINK("https://pbs.twimg.com/profile_images/880476275428671488/YYEwVQ-k_normal.jpg","View")</f>
        <v>View</v>
      </c>
      <c r="P3749" s="27"/>
    </row>
    <row r="3750">
      <c r="A3750" s="14">
        <v>43031.2374537037</v>
      </c>
      <c r="B3750" s="20" t="str">
        <f>HYPERLINK("https://twitter.com/rashidaldosari","@rashidaldosari")</f>
        <v>@rashidaldosari</v>
      </c>
      <c r="C3750" s="21" t="s">
        <v>8556</v>
      </c>
      <c r="D3750" s="21" t="s">
        <v>5786</v>
      </c>
      <c r="E3750" s="22" t="str">
        <f>HYPERLINK("https://twitter.com/rashidaldosari/status/922442969982087168","922442969982087168")</f>
        <v>922442969982087168</v>
      </c>
      <c r="F3750" s="23" t="s">
        <v>39</v>
      </c>
      <c r="G3750" s="24">
        <v>2400.0</v>
      </c>
      <c r="H3750" s="24">
        <v>55.0</v>
      </c>
      <c r="I3750" s="24">
        <v>59.0</v>
      </c>
      <c r="J3750" s="24">
        <v>0.0</v>
      </c>
      <c r="K3750" s="23" t="s">
        <v>34</v>
      </c>
      <c r="L3750" s="25">
        <v>40635.110625</v>
      </c>
      <c r="M3750" s="28"/>
      <c r="N3750" s="26" t="s">
        <v>8557</v>
      </c>
      <c r="O3750" s="22" t="str">
        <f>HYPERLINK("https://pbs.twimg.com/profile_images/1389660377/image_normal.jpg","View")</f>
        <v>View</v>
      </c>
      <c r="P3750" s="27"/>
    </row>
    <row r="3751">
      <c r="A3751" s="14">
        <v>43031.23761574074</v>
      </c>
      <c r="B3751" s="20" t="str">
        <f>HYPERLINK("https://twitter.com/DorjnamjimL","@DorjnamjimL")</f>
        <v>@DorjnamjimL</v>
      </c>
      <c r="C3751" s="21" t="s">
        <v>8737</v>
      </c>
      <c r="D3751" s="21" t="s">
        <v>8665</v>
      </c>
      <c r="E3751" s="22" t="str">
        <f>HYPERLINK("https://twitter.com/DorjnamjimL/status/922443025728593921","922443025728593921")</f>
        <v>922443025728593921</v>
      </c>
      <c r="F3751" s="23" t="s">
        <v>43</v>
      </c>
      <c r="G3751" s="24">
        <v>992.0</v>
      </c>
      <c r="H3751" s="24">
        <v>543.0</v>
      </c>
      <c r="I3751" s="24">
        <v>67.0</v>
      </c>
      <c r="J3751" s="24">
        <v>0.0</v>
      </c>
      <c r="K3751" s="23" t="s">
        <v>34</v>
      </c>
      <c r="L3751" s="25">
        <v>41959.44074074074</v>
      </c>
      <c r="M3751" s="28"/>
      <c r="N3751" s="28"/>
      <c r="O3751" s="22" t="str">
        <f>HYPERLINK("https://pbs.twimg.com/profile_images/534379825998614528/KTw4rRQV_normal.jpeg","View")</f>
        <v>View</v>
      </c>
      <c r="P3751" s="27"/>
    </row>
    <row r="3752">
      <c r="A3752" s="14">
        <v>43031.23762731481</v>
      </c>
      <c r="B3752" s="20" t="str">
        <f>HYPERLINK("https://twitter.com/The_Japan_News","@The_Japan_News")</f>
        <v>@The_Japan_News</v>
      </c>
      <c r="C3752" s="21" t="s">
        <v>8738</v>
      </c>
      <c r="D3752" s="21" t="s">
        <v>8739</v>
      </c>
      <c r="E3752" s="22" t="str">
        <f>HYPERLINK("https://twitter.com/The_Japan_News/status/922443033030754304","922443033030754304")</f>
        <v>922443033030754304</v>
      </c>
      <c r="F3752" s="23" t="s">
        <v>55</v>
      </c>
      <c r="G3752" s="24">
        <v>123795.0</v>
      </c>
      <c r="H3752" s="24">
        <v>30.0</v>
      </c>
      <c r="I3752" s="24">
        <v>6.0</v>
      </c>
      <c r="J3752" s="24">
        <v>7.0</v>
      </c>
      <c r="K3752" s="23" t="s">
        <v>34</v>
      </c>
      <c r="L3752" s="25">
        <v>40321.95908564815</v>
      </c>
      <c r="M3752" s="26" t="s">
        <v>853</v>
      </c>
      <c r="N3752" s="26" t="s">
        <v>8740</v>
      </c>
      <c r="O3752" s="22" t="str">
        <f>HYPERLINK("https://pbs.twimg.com/profile_images/3459579474/2ba2842f322f8d12144bb1eb88f51d0d_normal.jpeg","View")</f>
        <v>View</v>
      </c>
      <c r="P3752" s="27"/>
    </row>
    <row r="3753">
      <c r="A3753" s="14">
        <v>43031.23763888889</v>
      </c>
      <c r="B3753" s="20" t="str">
        <f>HYPERLINK("https://twitter.com/channel1america","@channel1america")</f>
        <v>@channel1america</v>
      </c>
      <c r="C3753" s="21" t="s">
        <v>903</v>
      </c>
      <c r="D3753" s="21" t="s">
        <v>8741</v>
      </c>
      <c r="E3753" s="22" t="str">
        <f>HYPERLINK("https://twitter.com/channel1america/status/922443033781653504","922443033781653504")</f>
        <v>922443033781653504</v>
      </c>
      <c r="F3753" s="23" t="s">
        <v>187</v>
      </c>
      <c r="G3753" s="24">
        <v>574.0</v>
      </c>
      <c r="H3753" s="24">
        <v>1093.0</v>
      </c>
      <c r="I3753" s="24">
        <v>0.0</v>
      </c>
      <c r="J3753" s="24">
        <v>0.0</v>
      </c>
      <c r="K3753" s="23" t="s">
        <v>34</v>
      </c>
      <c r="L3753" s="25">
        <v>41490.48872685185</v>
      </c>
      <c r="M3753" s="26" t="s">
        <v>905</v>
      </c>
      <c r="N3753" s="26" t="s">
        <v>906</v>
      </c>
      <c r="O3753" s="22" t="str">
        <f>HYPERLINK("https://pbs.twimg.com/profile_images/419040982844207104/Rlky9pGx_normal.jpeg","View")</f>
        <v>View</v>
      </c>
      <c r="P3753" s="27"/>
    </row>
    <row r="3754">
      <c r="A3754" s="14">
        <v>43031.237650462965</v>
      </c>
      <c r="B3754" s="20" t="str">
        <f>HYPERLINK("https://twitter.com/amiva99","@amiva99")</f>
        <v>@amiva99</v>
      </c>
      <c r="C3754" s="21" t="s">
        <v>8742</v>
      </c>
      <c r="D3754" s="21" t="s">
        <v>8743</v>
      </c>
      <c r="E3754" s="22" t="str">
        <f>HYPERLINK("https://twitter.com/amiva99/status/922443039972274178","922443039972274178")</f>
        <v>922443039972274178</v>
      </c>
      <c r="F3754" s="23" t="s">
        <v>55</v>
      </c>
      <c r="G3754" s="24">
        <v>1829.0</v>
      </c>
      <c r="H3754" s="24">
        <v>3363.0</v>
      </c>
      <c r="I3754" s="24">
        <v>0.0</v>
      </c>
      <c r="J3754" s="24">
        <v>0.0</v>
      </c>
      <c r="K3754" s="23" t="s">
        <v>34</v>
      </c>
      <c r="L3754" s="25">
        <v>41967.57678240741</v>
      </c>
      <c r="M3754" s="26" t="s">
        <v>8744</v>
      </c>
      <c r="N3754" s="26" t="s">
        <v>8745</v>
      </c>
      <c r="O3754" s="22" t="str">
        <f>HYPERLINK("https://pbs.twimg.com/profile_images/893915482763309056/OOwpz6lP_normal.jpg","View")</f>
        <v>View</v>
      </c>
      <c r="P3754" s="27"/>
    </row>
    <row r="3755">
      <c r="A3755" s="14">
        <v>43031.23769675926</v>
      </c>
      <c r="B3755" s="20" t="str">
        <f>HYPERLINK("https://twitter.com/the__himanish","@the__himanish")</f>
        <v>@the__himanish</v>
      </c>
      <c r="C3755" s="21" t="s">
        <v>2612</v>
      </c>
      <c r="D3755" s="21" t="s">
        <v>8746</v>
      </c>
      <c r="E3755" s="22" t="str">
        <f>HYPERLINK("https://twitter.com/the__himanish/status/922443056955215872","922443056955215872")</f>
        <v>922443056955215872</v>
      </c>
      <c r="F3755" s="23" t="s">
        <v>187</v>
      </c>
      <c r="G3755" s="24">
        <v>1822.0</v>
      </c>
      <c r="H3755" s="24">
        <v>1621.0</v>
      </c>
      <c r="I3755" s="24">
        <v>0.0</v>
      </c>
      <c r="J3755" s="24">
        <v>0.0</v>
      </c>
      <c r="K3755" s="23" t="s">
        <v>34</v>
      </c>
      <c r="L3755" s="25">
        <v>40222.15178240741</v>
      </c>
      <c r="M3755" s="26" t="s">
        <v>96</v>
      </c>
      <c r="N3755" s="26" t="s">
        <v>2614</v>
      </c>
      <c r="O3755" s="22" t="str">
        <f>HYPERLINK("https://pbs.twimg.com/profile_images/914165533918015489/A6iR_gz2_normal.jpg","View")</f>
        <v>View</v>
      </c>
      <c r="P3755" s="27"/>
    </row>
    <row r="3756">
      <c r="A3756" s="14">
        <v>43031.23769675926</v>
      </c>
      <c r="B3756" s="20" t="str">
        <f>HYPERLINK("https://twitter.com/EarlOfCornwall","@EarlOfCornwall")</f>
        <v>@EarlOfCornwall</v>
      </c>
      <c r="C3756" s="21" t="s">
        <v>868</v>
      </c>
      <c r="D3756" s="21" t="s">
        <v>8747</v>
      </c>
      <c r="E3756" s="22" t="str">
        <f>HYPERLINK("https://twitter.com/EarlOfCornwall/status/922443057232056322","922443057232056322")</f>
        <v>922443057232056322</v>
      </c>
      <c r="F3756" s="23" t="s">
        <v>187</v>
      </c>
      <c r="G3756" s="24">
        <v>355.0</v>
      </c>
      <c r="H3756" s="24">
        <v>269.0</v>
      </c>
      <c r="I3756" s="24">
        <v>0.0</v>
      </c>
      <c r="J3756" s="24">
        <v>0.0</v>
      </c>
      <c r="K3756" s="23" t="s">
        <v>34</v>
      </c>
      <c r="L3756" s="25">
        <v>42139.73423611111</v>
      </c>
      <c r="M3756" s="26" t="s">
        <v>870</v>
      </c>
      <c r="N3756" s="26" t="s">
        <v>871</v>
      </c>
      <c r="O3756" s="22" t="str">
        <f>HYPERLINK("https://pbs.twimg.com/profile_images/599373664975343616/f36YKczK_normal.jpg","View")</f>
        <v>View</v>
      </c>
      <c r="P3756" s="27"/>
    </row>
    <row r="3757">
      <c r="A3757" s="14">
        <v>43031.23769675926</v>
      </c>
      <c r="B3757" s="20" t="str">
        <f>HYPERLINK("https://twitter.com/sureshkumar4781","@sureshkumar4781")</f>
        <v>@sureshkumar4781</v>
      </c>
      <c r="C3757" s="21" t="s">
        <v>8748</v>
      </c>
      <c r="D3757" s="21" t="s">
        <v>42</v>
      </c>
      <c r="E3757" s="22" t="str">
        <f>HYPERLINK("https://twitter.com/sureshkumar4781/status/922443058288852992","922443058288852992")</f>
        <v>922443058288852992</v>
      </c>
      <c r="F3757" s="23" t="s">
        <v>43</v>
      </c>
      <c r="G3757" s="24">
        <v>13.0</v>
      </c>
      <c r="H3757" s="24">
        <v>188.0</v>
      </c>
      <c r="I3757" s="24">
        <v>8501.0</v>
      </c>
      <c r="J3757" s="24">
        <v>0.0</v>
      </c>
      <c r="K3757" s="23" t="s">
        <v>34</v>
      </c>
      <c r="L3757" s="25">
        <v>42748.76288194444</v>
      </c>
      <c r="M3757" s="26" t="s">
        <v>531</v>
      </c>
      <c r="N3757" s="28"/>
      <c r="O3757" s="22" t="str">
        <f>HYPERLINK("https://pbs.twimg.com/profile_images/820096548826660864/vUZ-Nnu4_normal.jpg","View")</f>
        <v>View</v>
      </c>
      <c r="P3757" s="27"/>
    </row>
    <row r="3758">
      <c r="A3758" s="14">
        <v>43031.23773148148</v>
      </c>
      <c r="B3758" s="20" t="str">
        <f>HYPERLINK("https://twitter.com/AlAkBseth","@AlAkBseth")</f>
        <v>@AlAkBseth</v>
      </c>
      <c r="C3758" s="21" t="s">
        <v>8749</v>
      </c>
      <c r="D3758" s="21" t="s">
        <v>8553</v>
      </c>
      <c r="E3758" s="22" t="str">
        <f>HYPERLINK("https://twitter.com/AlAkBseth/status/922443067185131520","922443067185131520")</f>
        <v>922443067185131520</v>
      </c>
      <c r="F3758" s="23" t="s">
        <v>33</v>
      </c>
      <c r="G3758" s="24">
        <v>1375.0</v>
      </c>
      <c r="H3758" s="24">
        <v>887.0</v>
      </c>
      <c r="I3758" s="24">
        <v>31.0</v>
      </c>
      <c r="J3758" s="24">
        <v>0.0</v>
      </c>
      <c r="K3758" s="23" t="s">
        <v>34</v>
      </c>
      <c r="L3758" s="25">
        <v>41712.57407407407</v>
      </c>
      <c r="M3758" s="28"/>
      <c r="N3758" s="28"/>
      <c r="O3758" s="22" t="str">
        <f>HYPERLINK("https://pbs.twimg.com/profile_images/465171847202369536/ytWkLdyU_normal.jpeg","View")</f>
        <v>View</v>
      </c>
      <c r="P3758" s="27"/>
    </row>
    <row r="3759">
      <c r="A3759" s="14">
        <v>43031.237812499996</v>
      </c>
      <c r="B3759" s="20" t="str">
        <f>HYPERLINK("https://twitter.com/jennifer_grunig","@jennifer_grunig")</f>
        <v>@jennifer_grunig</v>
      </c>
      <c r="C3759" s="21" t="s">
        <v>8750</v>
      </c>
      <c r="D3759" s="21" t="s">
        <v>82</v>
      </c>
      <c r="E3759" s="22" t="str">
        <f>HYPERLINK("https://twitter.com/jennifer_grunig/status/922443099787485184","922443099787485184")</f>
        <v>922443099787485184</v>
      </c>
      <c r="F3759" s="23" t="s">
        <v>39</v>
      </c>
      <c r="G3759" s="24">
        <v>78.0</v>
      </c>
      <c r="H3759" s="24">
        <v>361.0</v>
      </c>
      <c r="I3759" s="24">
        <v>38.0</v>
      </c>
      <c r="J3759" s="24">
        <v>0.0</v>
      </c>
      <c r="K3759" s="23" t="s">
        <v>34</v>
      </c>
      <c r="L3759" s="25">
        <v>42777.44032407408</v>
      </c>
      <c r="M3759" s="28"/>
      <c r="N3759" s="28"/>
      <c r="O3759" s="22" t="str">
        <f>HYPERLINK("https://pbs.twimg.com/profile_images/843905316764995585/zXrm1i8B_normal.jpg","View")</f>
        <v>View</v>
      </c>
      <c r="P3759" s="27"/>
    </row>
    <row r="3760">
      <c r="A3760" s="14">
        <v>43031.23788194444</v>
      </c>
      <c r="B3760" s="20" t="str">
        <f>HYPERLINK("https://twitter.com/dreakero2222","@dreakero2222")</f>
        <v>@dreakero2222</v>
      </c>
      <c r="C3760" s="21" t="s">
        <v>8751</v>
      </c>
      <c r="D3760" s="21" t="s">
        <v>8665</v>
      </c>
      <c r="E3760" s="22" t="str">
        <f>HYPERLINK("https://twitter.com/dreakero2222/status/922443121568382976","922443121568382976")</f>
        <v>922443121568382976</v>
      </c>
      <c r="F3760" s="23" t="s">
        <v>33</v>
      </c>
      <c r="G3760" s="24">
        <v>3703.0</v>
      </c>
      <c r="H3760" s="24">
        <v>2028.0</v>
      </c>
      <c r="I3760" s="24">
        <v>67.0</v>
      </c>
      <c r="J3760" s="24">
        <v>0.0</v>
      </c>
      <c r="K3760" s="23" t="s">
        <v>34</v>
      </c>
      <c r="L3760" s="25">
        <v>40733.53773148148</v>
      </c>
      <c r="M3760" s="26" t="s">
        <v>8752</v>
      </c>
      <c r="N3760" s="26" t="s">
        <v>8753</v>
      </c>
      <c r="O3760" s="22" t="str">
        <f>HYPERLINK("https://pbs.twimg.com/profile_images/915907493330595845/PHMar4n9_normal.jpg","View")</f>
        <v>View</v>
      </c>
      <c r="P3760" s="27"/>
    </row>
    <row r="3761">
      <c r="A3761" s="14">
        <v>43031.237905092596</v>
      </c>
      <c r="B3761" s="20" t="str">
        <f>HYPERLINK("https://twitter.com/ptws1969","@ptws1969")</f>
        <v>@ptws1969</v>
      </c>
      <c r="C3761" s="21" t="s">
        <v>8754</v>
      </c>
      <c r="D3761" s="21" t="s">
        <v>8665</v>
      </c>
      <c r="E3761" s="22" t="str">
        <f>HYPERLINK("https://twitter.com/ptws1969/status/922443133396422656","922443133396422656")</f>
        <v>922443133396422656</v>
      </c>
      <c r="F3761" s="23" t="s">
        <v>33</v>
      </c>
      <c r="G3761" s="24">
        <v>2201.0</v>
      </c>
      <c r="H3761" s="24">
        <v>5001.0</v>
      </c>
      <c r="I3761" s="24">
        <v>67.0</v>
      </c>
      <c r="J3761" s="24">
        <v>0.0</v>
      </c>
      <c r="K3761" s="23" t="s">
        <v>34</v>
      </c>
      <c r="L3761" s="25">
        <v>40577.43342592593</v>
      </c>
      <c r="M3761" s="26" t="s">
        <v>8755</v>
      </c>
      <c r="N3761" s="26" t="s">
        <v>8756</v>
      </c>
      <c r="O3761" s="22" t="str">
        <f>HYPERLINK("https://pbs.twimg.com/profile_images/774988688019361792/WBlOxD66_normal.jpg","View")</f>
        <v>View</v>
      </c>
      <c r="P3761" s="27"/>
    </row>
    <row r="3762">
      <c r="A3762" s="14">
        <v>43031.237916666665</v>
      </c>
      <c r="B3762" s="20" t="str">
        <f>HYPERLINK("https://twitter.com/mizuharatake","@mizuharatake")</f>
        <v>@mizuharatake</v>
      </c>
      <c r="C3762" s="21" t="s">
        <v>8757</v>
      </c>
      <c r="D3762" s="21" t="s">
        <v>8665</v>
      </c>
      <c r="E3762" s="22" t="str">
        <f>HYPERLINK("https://twitter.com/mizuharatake/status/922443135719940098","922443135719940098")</f>
        <v>922443135719940098</v>
      </c>
      <c r="F3762" s="23" t="s">
        <v>8758</v>
      </c>
      <c r="G3762" s="24">
        <v>92.0</v>
      </c>
      <c r="H3762" s="24">
        <v>75.0</v>
      </c>
      <c r="I3762" s="24">
        <v>67.0</v>
      </c>
      <c r="J3762" s="24">
        <v>0.0</v>
      </c>
      <c r="K3762" s="23" t="s">
        <v>34</v>
      </c>
      <c r="L3762" s="25">
        <v>40021.264027777775</v>
      </c>
      <c r="M3762" s="26" t="s">
        <v>8759</v>
      </c>
      <c r="N3762" s="26" t="s">
        <v>8760</v>
      </c>
      <c r="O3762" s="22" t="str">
        <f>HYPERLINK("https://pbs.twimg.com/profile_images/429893637241970688/s9FBAjyB_normal.jpeg","View")</f>
        <v>View</v>
      </c>
      <c r="P3762" s="27"/>
    </row>
    <row r="3763">
      <c r="A3763" s="14">
        <v>43031.23797453704</v>
      </c>
      <c r="B3763" s="20" t="str">
        <f>HYPERLINK("https://twitter.com/reuters_once","@reuters_once")</f>
        <v>@reuters_once</v>
      </c>
      <c r="C3763" s="21" t="s">
        <v>1575</v>
      </c>
      <c r="D3763" s="21" t="s">
        <v>8665</v>
      </c>
      <c r="E3763" s="22" t="str">
        <f>HYPERLINK("https://twitter.com/reuters_once/status/922443158604181504","922443158604181504")</f>
        <v>922443158604181504</v>
      </c>
      <c r="F3763" s="23" t="s">
        <v>1576</v>
      </c>
      <c r="G3763" s="24">
        <v>89.0</v>
      </c>
      <c r="H3763" s="24">
        <v>0.0</v>
      </c>
      <c r="I3763" s="24">
        <v>67.0</v>
      </c>
      <c r="J3763" s="24">
        <v>0.0</v>
      </c>
      <c r="K3763" s="23" t="s">
        <v>34</v>
      </c>
      <c r="L3763" s="25">
        <v>42767.84443287037</v>
      </c>
      <c r="M3763" s="28"/>
      <c r="N3763" s="26" t="s">
        <v>1577</v>
      </c>
      <c r="O3763" s="22" t="str">
        <f>HYPERLINK("https://pbs.twimg.com/profile_images/827009244520148996/PpVBEKC2_normal.jpg","View")</f>
        <v>View</v>
      </c>
      <c r="P3763" s="27"/>
    </row>
    <row r="3764">
      <c r="A3764" s="14">
        <v>43031.23804398148</v>
      </c>
      <c r="B3764" s="20" t="str">
        <f>HYPERLINK("https://twitter.com/hanyumeiji","@hanyumeiji")</f>
        <v>@hanyumeiji</v>
      </c>
      <c r="C3764" s="21" t="s">
        <v>8761</v>
      </c>
      <c r="D3764" s="21" t="s">
        <v>8762</v>
      </c>
      <c r="E3764" s="22" t="str">
        <f>HYPERLINK("https://twitter.com/hanyumeiji/status/922443182016626690","922443182016626690")</f>
        <v>922443182016626690</v>
      </c>
      <c r="F3764" s="23" t="s">
        <v>55</v>
      </c>
      <c r="G3764" s="24">
        <v>545.0</v>
      </c>
      <c r="H3764" s="24">
        <v>887.0</v>
      </c>
      <c r="I3764" s="24">
        <v>0.0</v>
      </c>
      <c r="J3764" s="24">
        <v>1.0</v>
      </c>
      <c r="K3764" s="23" t="s">
        <v>34</v>
      </c>
      <c r="L3764" s="25">
        <v>42885.73076388889</v>
      </c>
      <c r="M3764" s="28"/>
      <c r="N3764" s="26" t="s">
        <v>8763</v>
      </c>
      <c r="O3764" s="22" t="str">
        <f>HYPERLINK("https://abs.twimg.com/sticky/default_profile_images/default_profile_normal.png","View")</f>
        <v>View</v>
      </c>
      <c r="P3764" s="27"/>
    </row>
    <row r="3765">
      <c r="A3765" s="14">
        <v>43031.23815972223</v>
      </c>
      <c r="B3765" s="20" t="str">
        <f>HYPERLINK("https://twitter.com/NewDelhiTimes","@NewDelhiTimes")</f>
        <v>@NewDelhiTimes</v>
      </c>
      <c r="C3765" s="21" t="s">
        <v>8764</v>
      </c>
      <c r="D3765" s="21" t="s">
        <v>8765</v>
      </c>
      <c r="E3765" s="22" t="str">
        <f>HYPERLINK("https://twitter.com/NewDelhiTimes/status/922443224521871366","922443224521871366")</f>
        <v>922443224521871366</v>
      </c>
      <c r="F3765" s="30" t="s">
        <v>191</v>
      </c>
      <c r="G3765" s="24">
        <v>586661.0</v>
      </c>
      <c r="H3765" s="24">
        <v>125.0</v>
      </c>
      <c r="I3765" s="24">
        <v>0.0</v>
      </c>
      <c r="J3765" s="24">
        <v>0.0</v>
      </c>
      <c r="K3765" s="23" t="s">
        <v>34</v>
      </c>
      <c r="L3765" s="25">
        <v>41331.042083333334</v>
      </c>
      <c r="M3765" s="26" t="s">
        <v>575</v>
      </c>
      <c r="N3765" s="26" t="s">
        <v>8766</v>
      </c>
      <c r="O3765" s="22" t="str">
        <f>HYPERLINK("https://pbs.twimg.com/profile_images/715066564622442496/rz1UskKe_normal.jpg","View")</f>
        <v>View</v>
      </c>
      <c r="P3765" s="27"/>
    </row>
    <row r="3766">
      <c r="A3766" s="14">
        <v>43031.23825231481</v>
      </c>
      <c r="B3766" s="20" t="str">
        <f>HYPERLINK("https://twitter.com/Tory_Generation","@Tory_Generation")</f>
        <v>@Tory_Generation</v>
      </c>
      <c r="C3766" s="21" t="s">
        <v>8767</v>
      </c>
      <c r="D3766" s="21" t="s">
        <v>6403</v>
      </c>
      <c r="E3766" s="22" t="str">
        <f>HYPERLINK("https://twitter.com/Tory_Generation/status/922443259535904768","922443259535904768")</f>
        <v>922443259535904768</v>
      </c>
      <c r="F3766" s="23" t="s">
        <v>39</v>
      </c>
      <c r="G3766" s="24">
        <v>2609.0</v>
      </c>
      <c r="H3766" s="24">
        <v>3119.0</v>
      </c>
      <c r="I3766" s="24">
        <v>97.0</v>
      </c>
      <c r="J3766" s="24">
        <v>0.0</v>
      </c>
      <c r="K3766" s="23" t="s">
        <v>34</v>
      </c>
      <c r="L3766" s="25">
        <v>42917.42626157407</v>
      </c>
      <c r="M3766" s="28"/>
      <c r="N3766" s="26" t="s">
        <v>8768</v>
      </c>
      <c r="O3766" s="22" t="str">
        <f>HYPERLINK("https://pbs.twimg.com/profile_images/922637789040119808/r_jXSja-_normal.jpg","View")</f>
        <v>View</v>
      </c>
      <c r="P3766" s="27"/>
    </row>
    <row r="3767">
      <c r="A3767" s="14">
        <v>43031.23826388889</v>
      </c>
      <c r="B3767" s="20" t="str">
        <f>HYPERLINK("https://twitter.com/NatthaDudi","@NatthaDudi")</f>
        <v>@NatthaDudi</v>
      </c>
      <c r="C3767" s="21" t="s">
        <v>8769</v>
      </c>
      <c r="D3767" s="21" t="s">
        <v>42</v>
      </c>
      <c r="E3767" s="22" t="str">
        <f>HYPERLINK("https://twitter.com/NatthaDudi/status/922443263482544128","922443263482544128")</f>
        <v>922443263482544128</v>
      </c>
      <c r="F3767" s="23" t="s">
        <v>33</v>
      </c>
      <c r="G3767" s="24">
        <v>55.0</v>
      </c>
      <c r="H3767" s="24">
        <v>238.0</v>
      </c>
      <c r="I3767" s="24">
        <v>8501.0</v>
      </c>
      <c r="J3767" s="24">
        <v>0.0</v>
      </c>
      <c r="K3767" s="23" t="s">
        <v>34</v>
      </c>
      <c r="L3767" s="25">
        <v>41903.17684027778</v>
      </c>
      <c r="M3767" s="26" t="s">
        <v>8770</v>
      </c>
      <c r="N3767" s="26" t="s">
        <v>8771</v>
      </c>
      <c r="O3767" s="22" t="str">
        <f>HYPERLINK("https://pbs.twimg.com/profile_images/841512194617556992/Sdu_rFBQ_normal.jpg","View")</f>
        <v>View</v>
      </c>
      <c r="P3767" s="27"/>
    </row>
    <row r="3768">
      <c r="A3768" s="14">
        <v>43031.238275462965</v>
      </c>
      <c r="B3768" s="20" t="str">
        <f>HYPERLINK("https://twitter.com/TheBFRoom","@TheBFRoom")</f>
        <v>@TheBFRoom</v>
      </c>
      <c r="C3768" s="21" t="s">
        <v>943</v>
      </c>
      <c r="D3768" s="21" t="s">
        <v>8772</v>
      </c>
      <c r="E3768" s="22" t="str">
        <f>HYPERLINK("https://twitter.com/TheBFRoom/status/922443266175488000","922443266175488000")</f>
        <v>922443266175488000</v>
      </c>
      <c r="F3768" s="23" t="s">
        <v>187</v>
      </c>
      <c r="G3768" s="24">
        <v>3193.0</v>
      </c>
      <c r="H3768" s="24">
        <v>3873.0</v>
      </c>
      <c r="I3768" s="24">
        <v>0.0</v>
      </c>
      <c r="J3768" s="24">
        <v>0.0</v>
      </c>
      <c r="K3768" s="23" t="s">
        <v>34</v>
      </c>
      <c r="L3768" s="25">
        <v>42761.325162037036</v>
      </c>
      <c r="M3768" s="26" t="s">
        <v>68</v>
      </c>
      <c r="N3768" s="26" t="s">
        <v>945</v>
      </c>
      <c r="O3768" s="22" t="str">
        <f>HYPERLINK("https://pbs.twimg.com/profile_images/898379268778020864/0u1zlj_B_normal.jpg","View")</f>
        <v>View</v>
      </c>
      <c r="P3768" s="27"/>
    </row>
    <row r="3769">
      <c r="A3769" s="14">
        <v>43031.238333333335</v>
      </c>
      <c r="B3769" s="20" t="str">
        <f>HYPERLINK("https://twitter.com/DavidPapp","@DavidPapp")</f>
        <v>@DavidPapp</v>
      </c>
      <c r="C3769" s="21" t="s">
        <v>8773</v>
      </c>
      <c r="D3769" s="21" t="s">
        <v>8774</v>
      </c>
      <c r="E3769" s="22" t="str">
        <f>HYPERLINK("https://twitter.com/DavidPapp/status/922443288963149825","922443288963149825")</f>
        <v>922443288963149825</v>
      </c>
      <c r="F3769" s="23" t="s">
        <v>4619</v>
      </c>
      <c r="G3769" s="24">
        <v>166662.0</v>
      </c>
      <c r="H3769" s="24">
        <v>34468.0</v>
      </c>
      <c r="I3769" s="24">
        <v>4.0</v>
      </c>
      <c r="J3769" s="24">
        <v>8.0</v>
      </c>
      <c r="K3769" s="23" t="s">
        <v>34</v>
      </c>
      <c r="L3769" s="25">
        <v>40200.631736111114</v>
      </c>
      <c r="M3769" s="26" t="s">
        <v>8775</v>
      </c>
      <c r="N3769" s="26" t="s">
        <v>8776</v>
      </c>
      <c r="O3769" s="22" t="str">
        <f>HYPERLINK("https://pbs.twimg.com/profile_images/900849692803702784/c152hboP_normal.jpg","View")</f>
        <v>View</v>
      </c>
      <c r="P3769" s="27"/>
    </row>
    <row r="3770">
      <c r="A3770" s="14">
        <v>43031.23835648148</v>
      </c>
      <c r="B3770" s="20" t="str">
        <f>HYPERLINK("https://twitter.com/suraj99211","@suraj99211")</f>
        <v>@suraj99211</v>
      </c>
      <c r="C3770" s="21" t="s">
        <v>8777</v>
      </c>
      <c r="D3770" s="21" t="s">
        <v>42</v>
      </c>
      <c r="E3770" s="22" t="str">
        <f>HYPERLINK("https://twitter.com/suraj99211/status/922443295279677440","922443295279677440")</f>
        <v>922443295279677440</v>
      </c>
      <c r="F3770" s="23" t="s">
        <v>39</v>
      </c>
      <c r="G3770" s="24">
        <v>104.0</v>
      </c>
      <c r="H3770" s="24">
        <v>300.0</v>
      </c>
      <c r="I3770" s="24">
        <v>8501.0</v>
      </c>
      <c r="J3770" s="24">
        <v>0.0</v>
      </c>
      <c r="K3770" s="23" t="s">
        <v>34</v>
      </c>
      <c r="L3770" s="25">
        <v>41620.946481481486</v>
      </c>
      <c r="M3770" s="26" t="s">
        <v>7113</v>
      </c>
      <c r="N3770" s="28"/>
      <c r="O3770" s="22" t="str">
        <f>HYPERLINK("https://pbs.twimg.com/profile_images/854492717635817476/ubvEOoet_normal.jpg","View")</f>
        <v>View</v>
      </c>
      <c r="P3770" s="27"/>
    </row>
    <row r="3771">
      <c r="A3771" s="14">
        <v>43031.238391203704</v>
      </c>
      <c r="B3771" s="20" t="str">
        <f>HYPERLINK("https://twitter.com/mlnangalama","@mlnangalama")</f>
        <v>@mlnangalama</v>
      </c>
      <c r="C3771" s="21" t="s">
        <v>925</v>
      </c>
      <c r="D3771" s="21" t="s">
        <v>8778</v>
      </c>
      <c r="E3771" s="22" t="str">
        <f>HYPERLINK("https://twitter.com/mlnangalama/status/922443309628448773","922443309628448773")</f>
        <v>922443309628448773</v>
      </c>
      <c r="F3771" s="23" t="s">
        <v>187</v>
      </c>
      <c r="G3771" s="24">
        <v>2366.0</v>
      </c>
      <c r="H3771" s="24">
        <v>1582.0</v>
      </c>
      <c r="I3771" s="24">
        <v>0.0</v>
      </c>
      <c r="J3771" s="24">
        <v>0.0</v>
      </c>
      <c r="K3771" s="23" t="s">
        <v>34</v>
      </c>
      <c r="L3771" s="25">
        <v>41041.54378472222</v>
      </c>
      <c r="M3771" s="26" t="s">
        <v>927</v>
      </c>
      <c r="N3771" s="26" t="s">
        <v>928</v>
      </c>
      <c r="O3771" s="22" t="str">
        <f>HYPERLINK("https://pbs.twimg.com/profile_images/900915882444173313/biUHzvpx_normal.jpg","View")</f>
        <v>View</v>
      </c>
      <c r="P3771" s="27"/>
    </row>
    <row r="3772">
      <c r="A3772" s="14">
        <v>43031.23840277777</v>
      </c>
      <c r="B3772" s="20" t="str">
        <f>HYPERLINK("https://twitter.com/MartyProust","@MartyProust")</f>
        <v>@MartyProust</v>
      </c>
      <c r="C3772" s="21" t="s">
        <v>8779</v>
      </c>
      <c r="D3772" s="21" t="s">
        <v>8665</v>
      </c>
      <c r="E3772" s="22" t="str">
        <f>HYPERLINK("https://twitter.com/MartyProust/status/922443312677769216","922443312677769216")</f>
        <v>922443312677769216</v>
      </c>
      <c r="F3772" s="23" t="s">
        <v>33</v>
      </c>
      <c r="G3772" s="24">
        <v>366.0</v>
      </c>
      <c r="H3772" s="24">
        <v>653.0</v>
      </c>
      <c r="I3772" s="24">
        <v>67.0</v>
      </c>
      <c r="J3772" s="24">
        <v>0.0</v>
      </c>
      <c r="K3772" s="23" t="s">
        <v>34</v>
      </c>
      <c r="L3772" s="25">
        <v>42194.521990740745</v>
      </c>
      <c r="M3772" s="28"/>
      <c r="N3772" s="26" t="s">
        <v>8780</v>
      </c>
      <c r="O3772" s="22" t="str">
        <f>HYPERLINK("https://pbs.twimg.com/profile_images/876939556435709952/vtoTUl7D_normal.jpg","View")</f>
        <v>View</v>
      </c>
      <c r="P3772" s="27"/>
    </row>
    <row r="3773">
      <c r="A3773" s="14">
        <v>43031.23842592593</v>
      </c>
      <c r="B3773" s="20" t="str">
        <f>HYPERLINK("https://twitter.com/1989daichi","@1989daichi")</f>
        <v>@1989daichi</v>
      </c>
      <c r="C3773" s="21" t="s">
        <v>8781</v>
      </c>
      <c r="D3773" s="21" t="s">
        <v>8782</v>
      </c>
      <c r="E3773" s="22" t="str">
        <f>HYPERLINK("https://twitter.com/1989daichi/status/922443322165116929","922443322165116929")</f>
        <v>922443322165116929</v>
      </c>
      <c r="F3773" s="23" t="s">
        <v>55</v>
      </c>
      <c r="G3773" s="24">
        <v>205.0</v>
      </c>
      <c r="H3773" s="24">
        <v>421.0</v>
      </c>
      <c r="I3773" s="24">
        <v>20.0</v>
      </c>
      <c r="J3773" s="24">
        <v>0.0</v>
      </c>
      <c r="K3773" s="23" t="s">
        <v>34</v>
      </c>
      <c r="L3773" s="25">
        <v>40723.84552083333</v>
      </c>
      <c r="M3773" s="28"/>
      <c r="N3773" s="26" t="s">
        <v>8783</v>
      </c>
      <c r="O3773" s="22" t="str">
        <f>HYPERLINK("https://pbs.twimg.com/profile_images/913228420154236928/MBICjn-H_normal.jpg","View")</f>
        <v>View</v>
      </c>
      <c r="P3773" s="27"/>
    </row>
    <row r="3774">
      <c r="A3774" s="14">
        <v>43031.2384375</v>
      </c>
      <c r="B3774" s="20" t="str">
        <f>HYPERLINK("https://twitter.com/SuperSunshine21","@SuperSunshine21")</f>
        <v>@SuperSunshine21</v>
      </c>
      <c r="C3774" s="21" t="s">
        <v>8784</v>
      </c>
      <c r="D3774" s="21" t="s">
        <v>8665</v>
      </c>
      <c r="E3774" s="22" t="str">
        <f>HYPERLINK("https://twitter.com/SuperSunshine21/status/922443323419254784","922443323419254784")</f>
        <v>922443323419254784</v>
      </c>
      <c r="F3774" s="23" t="s">
        <v>55</v>
      </c>
      <c r="G3774" s="24">
        <v>157.0</v>
      </c>
      <c r="H3774" s="24">
        <v>367.0</v>
      </c>
      <c r="I3774" s="24">
        <v>67.0</v>
      </c>
      <c r="J3774" s="24">
        <v>0.0</v>
      </c>
      <c r="K3774" s="23" t="s">
        <v>34</v>
      </c>
      <c r="L3774" s="25">
        <v>40105.18052083333</v>
      </c>
      <c r="M3774" s="26" t="s">
        <v>3693</v>
      </c>
      <c r="N3774" s="26" t="s">
        <v>8785</v>
      </c>
      <c r="O3774" s="22" t="str">
        <f>HYPERLINK("https://pbs.twimg.com/profile_images/901678478763876353/x7eO4_ND_normal.jpg","View")</f>
        <v>View</v>
      </c>
      <c r="P3774" s="27"/>
    </row>
    <row r="3775">
      <c r="A3775" s="14">
        <v>43031.23847222222</v>
      </c>
      <c r="B3775" s="20" t="str">
        <f>HYPERLINK("https://twitter.com/JRFarms01","@JRFarms01")</f>
        <v>@JRFarms01</v>
      </c>
      <c r="C3775" s="21" t="s">
        <v>8786</v>
      </c>
      <c r="D3775" s="21" t="s">
        <v>8665</v>
      </c>
      <c r="E3775" s="22" t="str">
        <f>HYPERLINK("https://twitter.com/JRFarms01/status/922443339470901248","922443339470901248")</f>
        <v>922443339470901248</v>
      </c>
      <c r="F3775" s="23" t="s">
        <v>39</v>
      </c>
      <c r="G3775" s="24">
        <v>47.0</v>
      </c>
      <c r="H3775" s="24">
        <v>408.0</v>
      </c>
      <c r="I3775" s="24">
        <v>67.0</v>
      </c>
      <c r="J3775" s="24">
        <v>0.0</v>
      </c>
      <c r="K3775" s="23" t="s">
        <v>34</v>
      </c>
      <c r="L3775" s="25">
        <v>42938.890497685185</v>
      </c>
      <c r="M3775" s="28"/>
      <c r="N3775" s="26" t="s">
        <v>8787</v>
      </c>
      <c r="O3775" s="22" t="str">
        <f>HYPERLINK("https://pbs.twimg.com/profile_images/888979647031111680/VbRkeygj_normal.jpg","View")</f>
        <v>View</v>
      </c>
      <c r="P3775" s="27"/>
    </row>
    <row r="3776">
      <c r="A3776" s="14">
        <v>43031.23861111111</v>
      </c>
      <c r="B3776" s="20" t="str">
        <f>HYPERLINK("https://twitter.com/alohamode","@alohamode")</f>
        <v>@alohamode</v>
      </c>
      <c r="C3776" s="21" t="s">
        <v>8788</v>
      </c>
      <c r="D3776" s="21" t="s">
        <v>1642</v>
      </c>
      <c r="E3776" s="22" t="str">
        <f>HYPERLINK("https://twitter.com/alohamode/status/922443388292513792","922443388292513792")</f>
        <v>922443388292513792</v>
      </c>
      <c r="F3776" s="23" t="s">
        <v>55</v>
      </c>
      <c r="G3776" s="24">
        <v>1784.0</v>
      </c>
      <c r="H3776" s="24">
        <v>877.0</v>
      </c>
      <c r="I3776" s="24">
        <v>199.0</v>
      </c>
      <c r="J3776" s="24">
        <v>0.0</v>
      </c>
      <c r="K3776" s="23" t="s">
        <v>34</v>
      </c>
      <c r="L3776" s="25">
        <v>39872.94730324074</v>
      </c>
      <c r="M3776" s="26" t="s">
        <v>8789</v>
      </c>
      <c r="N3776" s="26" t="s">
        <v>8790</v>
      </c>
      <c r="O3776" s="22" t="str">
        <f>HYPERLINK("https://pbs.twimg.com/profile_images/839688472558391296/BhyqopoU_normal.jpg","View")</f>
        <v>View</v>
      </c>
      <c r="P3776" s="27"/>
    </row>
    <row r="3777">
      <c r="A3777" s="14">
        <v>43031.23863425926</v>
      </c>
      <c r="B3777" s="20" t="str">
        <f>HYPERLINK("https://twitter.com/iamtanujtj","@iamtanujtj")</f>
        <v>@iamtanujtj</v>
      </c>
      <c r="C3777" s="21" t="s">
        <v>8791</v>
      </c>
      <c r="D3777" s="21" t="s">
        <v>8665</v>
      </c>
      <c r="E3777" s="22" t="str">
        <f>HYPERLINK("https://twitter.com/iamtanujtj/status/922443396744019968","922443396744019968")</f>
        <v>922443396744019968</v>
      </c>
      <c r="F3777" s="23" t="s">
        <v>39</v>
      </c>
      <c r="G3777" s="24">
        <v>415.0</v>
      </c>
      <c r="H3777" s="24">
        <v>58.0</v>
      </c>
      <c r="I3777" s="24">
        <v>67.0</v>
      </c>
      <c r="J3777" s="24">
        <v>0.0</v>
      </c>
      <c r="K3777" s="23" t="s">
        <v>34</v>
      </c>
      <c r="L3777" s="25">
        <v>40748.128483796296</v>
      </c>
      <c r="M3777" s="26" t="s">
        <v>1532</v>
      </c>
      <c r="N3777" s="26" t="s">
        <v>8792</v>
      </c>
      <c r="O3777" s="22" t="str">
        <f>HYPERLINK("https://pbs.twimg.com/profile_images/829067087268098048/S0Ub3GA2_normal.jpg","View")</f>
        <v>View</v>
      </c>
      <c r="P3777" s="27"/>
    </row>
    <row r="3778">
      <c r="A3778" s="14">
        <v>43031.238657407404</v>
      </c>
      <c r="B3778" s="20" t="str">
        <f>HYPERLINK("https://twitter.com/a_rimit","@a_rimit")</f>
        <v>@a_rimit</v>
      </c>
      <c r="C3778" s="21" t="s">
        <v>8793</v>
      </c>
      <c r="D3778" s="21" t="s">
        <v>8665</v>
      </c>
      <c r="E3778" s="22" t="str">
        <f>HYPERLINK("https://twitter.com/a_rimit/status/922443406483136512","922443406483136512")</f>
        <v>922443406483136512</v>
      </c>
      <c r="F3778" s="23" t="s">
        <v>8560</v>
      </c>
      <c r="G3778" s="24">
        <v>244.0</v>
      </c>
      <c r="H3778" s="24">
        <v>605.0</v>
      </c>
      <c r="I3778" s="24">
        <v>67.0</v>
      </c>
      <c r="J3778" s="24">
        <v>0.0</v>
      </c>
      <c r="K3778" s="23" t="s">
        <v>34</v>
      </c>
      <c r="L3778" s="25">
        <v>40183.05329861111</v>
      </c>
      <c r="M3778" s="28"/>
      <c r="N3778" s="26" t="s">
        <v>8794</v>
      </c>
      <c r="O3778" s="22" t="str">
        <f>HYPERLINK("https://pbs.twimg.com/profile_images/821916560495255552/0vmsRrMR_normal.jpg","View")</f>
        <v>View</v>
      </c>
      <c r="P3778" s="27"/>
    </row>
    <row r="3779">
      <c r="A3779" s="14">
        <v>43031.23868055556</v>
      </c>
      <c r="B3779" s="20" t="str">
        <f>HYPERLINK("https://twitter.com/jnos388","@jnos388")</f>
        <v>@jnos388</v>
      </c>
      <c r="C3779" s="21" t="s">
        <v>8795</v>
      </c>
      <c r="D3779" s="21" t="s">
        <v>8665</v>
      </c>
      <c r="E3779" s="22" t="str">
        <f>HYPERLINK("https://twitter.com/jnos388/status/922443412246233088","922443412246233088")</f>
        <v>922443412246233088</v>
      </c>
      <c r="F3779" s="23" t="s">
        <v>33</v>
      </c>
      <c r="G3779" s="24">
        <v>243.0</v>
      </c>
      <c r="H3779" s="24">
        <v>310.0</v>
      </c>
      <c r="I3779" s="24">
        <v>67.0</v>
      </c>
      <c r="J3779" s="24">
        <v>0.0</v>
      </c>
      <c r="K3779" s="23" t="s">
        <v>34</v>
      </c>
      <c r="L3779" s="25">
        <v>41218.16564814815</v>
      </c>
      <c r="M3779" s="28"/>
      <c r="N3779" s="28"/>
      <c r="O3779" s="22" t="str">
        <f>HYPERLINK("https://pbs.twimg.com/profile_images/378800000575138712/9b0ac43c4909c7a262c454feff936f95_normal.jpeg","View")</f>
        <v>View</v>
      </c>
      <c r="P3779" s="27"/>
    </row>
    <row r="3780">
      <c r="A3780" s="14">
        <v>43031.23871527778</v>
      </c>
      <c r="B3780" s="20" t="str">
        <f>HYPERLINK("https://twitter.com/LenMNichols","@LenMNichols")</f>
        <v>@LenMNichols</v>
      </c>
      <c r="C3780" s="21" t="s">
        <v>8796</v>
      </c>
      <c r="D3780" s="21" t="s">
        <v>2456</v>
      </c>
      <c r="E3780" s="22" t="str">
        <f>HYPERLINK("https://twitter.com/LenMNichols/status/922443425823072258","922443425823072258")</f>
        <v>922443425823072258</v>
      </c>
      <c r="F3780" s="23" t="s">
        <v>33</v>
      </c>
      <c r="G3780" s="24">
        <v>1591.0</v>
      </c>
      <c r="H3780" s="24">
        <v>564.0</v>
      </c>
      <c r="I3780" s="24">
        <v>49.0</v>
      </c>
      <c r="J3780" s="24">
        <v>0.0</v>
      </c>
      <c r="K3780" s="23" t="s">
        <v>34</v>
      </c>
      <c r="L3780" s="25">
        <v>40929.50653935185</v>
      </c>
      <c r="M3780" s="26" t="s">
        <v>8797</v>
      </c>
      <c r="N3780" s="26" t="s">
        <v>8798</v>
      </c>
      <c r="O3780" s="22" t="str">
        <f>HYPERLINK("https://pbs.twimg.com/profile_images/902958990451191813/-uPEoEtr_normal.jpg","View")</f>
        <v>View</v>
      </c>
      <c r="P3780" s="27"/>
    </row>
    <row r="3781">
      <c r="A3781" s="14">
        <v>43031.238750000004</v>
      </c>
      <c r="B3781" s="20" t="str">
        <f>HYPERLINK("https://twitter.com/pkchin888","@pkchin888")</f>
        <v>@pkchin888</v>
      </c>
      <c r="C3781" s="21" t="s">
        <v>8799</v>
      </c>
      <c r="D3781" s="21" t="s">
        <v>8800</v>
      </c>
      <c r="E3781" s="22" t="str">
        <f>HYPERLINK("https://twitter.com/pkchin888/status/922443438842314753","922443438842314753")</f>
        <v>922443438842314753</v>
      </c>
      <c r="F3781" s="23" t="s">
        <v>55</v>
      </c>
      <c r="G3781" s="24">
        <v>220.0</v>
      </c>
      <c r="H3781" s="24">
        <v>483.0</v>
      </c>
      <c r="I3781" s="24">
        <v>0.0</v>
      </c>
      <c r="J3781" s="24">
        <v>0.0</v>
      </c>
      <c r="K3781" s="23" t="s">
        <v>34</v>
      </c>
      <c r="L3781" s="25">
        <v>41276.583333333336</v>
      </c>
      <c r="M3781" s="26" t="s">
        <v>2534</v>
      </c>
      <c r="N3781" s="26" t="s">
        <v>8801</v>
      </c>
      <c r="O3781" s="22" t="str">
        <f>HYPERLINK("https://pbs.twimg.com/profile_images/676100748552232960/I3ev87dD_normal.jpg","View")</f>
        <v>View</v>
      </c>
      <c r="P3781" s="27"/>
    </row>
    <row r="3782">
      <c r="A3782" s="14">
        <v>43031.23878472223</v>
      </c>
      <c r="B3782" s="20" t="str">
        <f>HYPERLINK("https://twitter.com/YourAnonRevolt","@YourAnonRevolt")</f>
        <v>@YourAnonRevolt</v>
      </c>
      <c r="C3782" s="21" t="s">
        <v>7005</v>
      </c>
      <c r="D3782" s="21" t="s">
        <v>8782</v>
      </c>
      <c r="E3782" s="22" t="str">
        <f>HYPERLINK("https://twitter.com/YourAnonRevolt/status/922443452125626368","922443452125626368")</f>
        <v>922443452125626368</v>
      </c>
      <c r="F3782" s="23" t="s">
        <v>55</v>
      </c>
      <c r="G3782" s="24">
        <v>11008.0</v>
      </c>
      <c r="H3782" s="24">
        <v>4104.0</v>
      </c>
      <c r="I3782" s="24">
        <v>20.0</v>
      </c>
      <c r="J3782" s="24">
        <v>0.0</v>
      </c>
      <c r="K3782" s="23" t="s">
        <v>34</v>
      </c>
      <c r="L3782" s="25">
        <v>42478.10021990741</v>
      </c>
      <c r="M3782" s="26" t="s">
        <v>7007</v>
      </c>
      <c r="N3782" s="26" t="s">
        <v>7008</v>
      </c>
      <c r="O3782" s="22" t="str">
        <f>HYPERLINK("https://pbs.twimg.com/profile_images/881398153030713344/FN9uhI_M_normal.jpg","View")</f>
        <v>View</v>
      </c>
      <c r="P3782" s="27"/>
    </row>
    <row r="3783">
      <c r="A3783" s="14">
        <v>43031.2387962963</v>
      </c>
      <c r="B3783" s="20" t="str">
        <f>HYPERLINK("https://twitter.com/avinash_mailme","@avinash_mailme")</f>
        <v>@avinash_mailme</v>
      </c>
      <c r="C3783" s="21" t="s">
        <v>8802</v>
      </c>
      <c r="D3783" s="21" t="s">
        <v>42</v>
      </c>
      <c r="E3783" s="22" t="str">
        <f>HYPERLINK("https://twitter.com/avinash_mailme/status/922443454512164864","922443454512164864")</f>
        <v>922443454512164864</v>
      </c>
      <c r="F3783" s="23" t="s">
        <v>33</v>
      </c>
      <c r="G3783" s="24">
        <v>747.0</v>
      </c>
      <c r="H3783" s="24">
        <v>873.0</v>
      </c>
      <c r="I3783" s="24">
        <v>8501.0</v>
      </c>
      <c r="J3783" s="24">
        <v>0.0</v>
      </c>
      <c r="K3783" s="23" t="s">
        <v>34</v>
      </c>
      <c r="L3783" s="25">
        <v>42324.344305555554</v>
      </c>
      <c r="M3783" s="26" t="s">
        <v>204</v>
      </c>
      <c r="N3783" s="28"/>
      <c r="O3783" s="22" t="str">
        <f>HYPERLINK("https://pbs.twimg.com/profile_images/673983608630067200/3BiVuGhS_normal.jpg","View")</f>
        <v>View</v>
      </c>
      <c r="P3783" s="27"/>
    </row>
    <row r="3784">
      <c r="A3784" s="14">
        <v>43031.23894675926</v>
      </c>
      <c r="B3784" s="20" t="str">
        <f>HYPERLINK("https://twitter.com/choonsikyoo","@choonsikyoo")</f>
        <v>@choonsikyoo</v>
      </c>
      <c r="C3784" s="21" t="s">
        <v>847</v>
      </c>
      <c r="D3784" s="21" t="s">
        <v>8803</v>
      </c>
      <c r="E3784" s="22" t="str">
        <f>HYPERLINK("https://twitter.com/choonsikyoo/status/922443511538028545","922443511538028545")</f>
        <v>922443511538028545</v>
      </c>
      <c r="F3784" s="23" t="s">
        <v>187</v>
      </c>
      <c r="G3784" s="24">
        <v>1709.0</v>
      </c>
      <c r="H3784" s="24">
        <v>1891.0</v>
      </c>
      <c r="I3784" s="24">
        <v>0.0</v>
      </c>
      <c r="J3784" s="24">
        <v>0.0</v>
      </c>
      <c r="K3784" s="23" t="s">
        <v>34</v>
      </c>
      <c r="L3784" s="25">
        <v>40224.817523148144</v>
      </c>
      <c r="M3784" s="26" t="s">
        <v>849</v>
      </c>
      <c r="N3784" s="26" t="s">
        <v>850</v>
      </c>
      <c r="O3784" s="22" t="str">
        <f>HYPERLINK("https://pbs.twimg.com/profile_images/2545270141/dwadjp2rsl27tumivfew_normal.jpeg","View")</f>
        <v>View</v>
      </c>
      <c r="P3784" s="27"/>
    </row>
    <row r="3785">
      <c r="A3785" s="14">
        <v>43031.23899305555</v>
      </c>
      <c r="B3785" s="20" t="str">
        <f>HYPERLINK("https://twitter.com/LloydZiel","@LloydZiel")</f>
        <v>@LloydZiel</v>
      </c>
      <c r="C3785" s="21" t="s">
        <v>1049</v>
      </c>
      <c r="D3785" s="21" t="s">
        <v>8804</v>
      </c>
      <c r="E3785" s="22" t="str">
        <f>HYPERLINK("https://twitter.com/LloydZiel/status/922443524431384576","922443524431384576")</f>
        <v>922443524431384576</v>
      </c>
      <c r="F3785" s="23" t="s">
        <v>187</v>
      </c>
      <c r="G3785" s="24">
        <v>757.0</v>
      </c>
      <c r="H3785" s="24">
        <v>843.0</v>
      </c>
      <c r="I3785" s="24">
        <v>0.0</v>
      </c>
      <c r="J3785" s="24">
        <v>0.0</v>
      </c>
      <c r="K3785" s="23" t="s">
        <v>34</v>
      </c>
      <c r="L3785" s="25">
        <v>40816.290509259255</v>
      </c>
      <c r="M3785" s="26" t="s">
        <v>435</v>
      </c>
      <c r="N3785" s="26" t="s">
        <v>1051</v>
      </c>
      <c r="O3785" s="22" t="str">
        <f>HYPERLINK("https://pbs.twimg.com/profile_images/378800000163294226/f9483ee13c6a6f32086253635d758cc6_normal.jpeg","View")</f>
        <v>View</v>
      </c>
      <c r="P3785" s="27"/>
    </row>
    <row r="3786">
      <c r="A3786" s="14">
        <v>43031.239027777774</v>
      </c>
      <c r="B3786" s="20" t="str">
        <f>HYPERLINK("https://twitter.com/RiturajSingh13","@RiturajSingh13")</f>
        <v>@RiturajSingh13</v>
      </c>
      <c r="C3786" s="21" t="s">
        <v>8805</v>
      </c>
      <c r="D3786" s="21" t="s">
        <v>42</v>
      </c>
      <c r="E3786" s="22" t="str">
        <f>HYPERLINK("https://twitter.com/RiturajSingh13/status/922443538121441285","922443538121441285")</f>
        <v>922443538121441285</v>
      </c>
      <c r="F3786" s="23" t="s">
        <v>43</v>
      </c>
      <c r="G3786" s="24">
        <v>654.0</v>
      </c>
      <c r="H3786" s="24">
        <v>2092.0</v>
      </c>
      <c r="I3786" s="24">
        <v>8501.0</v>
      </c>
      <c r="J3786" s="24">
        <v>0.0</v>
      </c>
      <c r="K3786" s="23" t="s">
        <v>34</v>
      </c>
      <c r="L3786" s="25">
        <v>40774.000613425924</v>
      </c>
      <c r="M3786" s="26" t="s">
        <v>8806</v>
      </c>
      <c r="N3786" s="26" t="s">
        <v>8807</v>
      </c>
      <c r="O3786" s="22" t="str">
        <f>HYPERLINK("https://pbs.twimg.com/profile_images/614154311799476224/QkAVsPZJ_normal.jpg","View")</f>
        <v>View</v>
      </c>
      <c r="P3786" s="27"/>
    </row>
    <row r="3787">
      <c r="A3787" s="14">
        <v>43031.239074074074</v>
      </c>
      <c r="B3787" s="20" t="str">
        <f>HYPERLINK("https://twitter.com/nurupo889","@nurupo889")</f>
        <v>@nurupo889</v>
      </c>
      <c r="C3787" s="21" t="s">
        <v>8808</v>
      </c>
      <c r="D3787" s="21" t="s">
        <v>513</v>
      </c>
      <c r="E3787" s="22" t="str">
        <f>HYPERLINK("https://twitter.com/nurupo889/status/922443555502571521","922443555502571521")</f>
        <v>922443555502571521</v>
      </c>
      <c r="F3787" s="23" t="s">
        <v>8580</v>
      </c>
      <c r="G3787" s="24">
        <v>1361.0</v>
      </c>
      <c r="H3787" s="24">
        <v>3539.0</v>
      </c>
      <c r="I3787" s="24">
        <v>101.0</v>
      </c>
      <c r="J3787" s="24">
        <v>0.0</v>
      </c>
      <c r="K3787" s="23" t="s">
        <v>34</v>
      </c>
      <c r="L3787" s="25">
        <v>40046.58652777778</v>
      </c>
      <c r="M3787" s="26" t="s">
        <v>8809</v>
      </c>
      <c r="N3787" s="26" t="s">
        <v>8810</v>
      </c>
      <c r="O3787" s="22" t="str">
        <f>HYPERLINK("https://pbs.twimg.com/profile_images/1567174323/___________normal.jpg","View")</f>
        <v>View</v>
      </c>
      <c r="P3787" s="27"/>
    </row>
    <row r="3788">
      <c r="A3788" s="14">
        <v>43031.239074074074</v>
      </c>
      <c r="B3788" s="20" t="str">
        <f>HYPERLINK("https://twitter.com/Krause_Alusa","@Krause_Alusa")</f>
        <v>@Krause_Alusa</v>
      </c>
      <c r="C3788" s="21" t="s">
        <v>8811</v>
      </c>
      <c r="D3788" s="21" t="s">
        <v>32</v>
      </c>
      <c r="E3788" s="22" t="str">
        <f>HYPERLINK("https://twitter.com/Krause_Alusa/status/922443556828086273","922443556828086273")</f>
        <v>922443556828086273</v>
      </c>
      <c r="F3788" s="23" t="s">
        <v>33</v>
      </c>
      <c r="G3788" s="24">
        <v>2175.0</v>
      </c>
      <c r="H3788" s="24">
        <v>1977.0</v>
      </c>
      <c r="I3788" s="24">
        <v>471.0</v>
      </c>
      <c r="J3788" s="24">
        <v>0.0</v>
      </c>
      <c r="K3788" s="23" t="s">
        <v>34</v>
      </c>
      <c r="L3788" s="25">
        <v>40813.69034722222</v>
      </c>
      <c r="M3788" s="26" t="s">
        <v>8812</v>
      </c>
      <c r="N3788" s="26" t="s">
        <v>8813</v>
      </c>
      <c r="O3788" s="22" t="str">
        <f>HYPERLINK("https://pbs.twimg.com/profile_images/919959671041032192/jxGM4XQj_normal.jpg","View")</f>
        <v>View</v>
      </c>
      <c r="P3788" s="27"/>
    </row>
    <row r="3789">
      <c r="A3789" s="14">
        <v>43031.2391087963</v>
      </c>
      <c r="B3789" s="20" t="str">
        <f>HYPERLINK("https://twitter.com/xavvypls","@xavvypls")</f>
        <v>@xavvypls</v>
      </c>
      <c r="C3789" s="21" t="s">
        <v>985</v>
      </c>
      <c r="D3789" s="21" t="s">
        <v>8814</v>
      </c>
      <c r="E3789" s="22" t="str">
        <f>HYPERLINK("https://twitter.com/xavvypls/status/922443567565541378","922443567565541378")</f>
        <v>922443567565541378</v>
      </c>
      <c r="F3789" s="23" t="s">
        <v>187</v>
      </c>
      <c r="G3789" s="24">
        <v>2703.0</v>
      </c>
      <c r="H3789" s="24">
        <v>2991.0</v>
      </c>
      <c r="I3789" s="24">
        <v>0.0</v>
      </c>
      <c r="J3789" s="24">
        <v>0.0</v>
      </c>
      <c r="K3789" s="23" t="s">
        <v>34</v>
      </c>
      <c r="L3789" s="25">
        <v>40108.985497685186</v>
      </c>
      <c r="M3789" s="26" t="s">
        <v>987</v>
      </c>
      <c r="N3789" s="26" t="s">
        <v>988</v>
      </c>
      <c r="O3789" s="22" t="str">
        <f>HYPERLINK("https://pbs.twimg.com/profile_images/730121330276892672/QGTLrj5q_normal.jpg","View")</f>
        <v>View</v>
      </c>
      <c r="P3789" s="27"/>
    </row>
    <row r="3790">
      <c r="A3790" s="14">
        <v>43031.2391087963</v>
      </c>
      <c r="B3790" s="20" t="str">
        <f>HYPERLINK("https://twitter.com/NarrendraM","@NarrendraM")</f>
        <v>@NarrendraM</v>
      </c>
      <c r="C3790" s="21" t="s">
        <v>2654</v>
      </c>
      <c r="D3790" s="21" t="s">
        <v>8815</v>
      </c>
      <c r="E3790" s="22" t="str">
        <f>HYPERLINK("https://twitter.com/NarrendraM/status/922443569310420997","922443569310420997")</f>
        <v>922443569310420997</v>
      </c>
      <c r="F3790" s="23" t="s">
        <v>187</v>
      </c>
      <c r="G3790" s="24">
        <v>2003.0</v>
      </c>
      <c r="H3790" s="24">
        <v>252.0</v>
      </c>
      <c r="I3790" s="24">
        <v>0.0</v>
      </c>
      <c r="J3790" s="24">
        <v>0.0</v>
      </c>
      <c r="K3790" s="23" t="s">
        <v>34</v>
      </c>
      <c r="L3790" s="25">
        <v>42471.0737037037</v>
      </c>
      <c r="M3790" s="26" t="s">
        <v>246</v>
      </c>
      <c r="N3790" s="26" t="s">
        <v>2656</v>
      </c>
      <c r="O3790" s="22" t="str">
        <f>HYPERLINK("https://pbs.twimg.com/profile_images/743939643738034176/WkGloI0u_normal.jpg","View")</f>
        <v>View</v>
      </c>
      <c r="P3790" s="27"/>
    </row>
    <row r="3791">
      <c r="A3791" s="14">
        <v>43031.2391550926</v>
      </c>
      <c r="B3791" s="20" t="str">
        <f>HYPERLINK("https://twitter.com/rabia100","@rabia100")</f>
        <v>@rabia100</v>
      </c>
      <c r="C3791" s="21" t="s">
        <v>8816</v>
      </c>
      <c r="D3791" s="21" t="s">
        <v>8665</v>
      </c>
      <c r="E3791" s="22" t="str">
        <f>HYPERLINK("https://twitter.com/rabia100/status/922443585777106944","922443585777106944")</f>
        <v>922443585777106944</v>
      </c>
      <c r="F3791" s="23" t="s">
        <v>33</v>
      </c>
      <c r="G3791" s="24">
        <v>1602.0</v>
      </c>
      <c r="H3791" s="24">
        <v>1389.0</v>
      </c>
      <c r="I3791" s="24">
        <v>67.0</v>
      </c>
      <c r="J3791" s="24">
        <v>0.0</v>
      </c>
      <c r="K3791" s="23" t="s">
        <v>34</v>
      </c>
      <c r="L3791" s="25">
        <v>40049.00743055555</v>
      </c>
      <c r="M3791" s="28"/>
      <c r="N3791" s="28"/>
      <c r="O3791" s="22" t="str">
        <f>HYPERLINK("https://pbs.twimg.com/profile_images/427731251680645120/eN_FnjV0_normal.jpeg","View")</f>
        <v>View</v>
      </c>
      <c r="P3791" s="27"/>
    </row>
    <row r="3792">
      <c r="A3792" s="14">
        <v>43031.23923611111</v>
      </c>
      <c r="B3792" s="20" t="str">
        <f>HYPERLINK("https://twitter.com/melucky873","@melucky873")</f>
        <v>@melucky873</v>
      </c>
      <c r="C3792" s="21" t="s">
        <v>8817</v>
      </c>
      <c r="D3792" s="21" t="s">
        <v>8818</v>
      </c>
      <c r="E3792" s="22" t="str">
        <f>HYPERLINK("https://twitter.com/melucky873/status/922443616160747520","922443616160747520")</f>
        <v>922443616160747520</v>
      </c>
      <c r="F3792" s="23" t="s">
        <v>187</v>
      </c>
      <c r="G3792" s="24">
        <v>50.0</v>
      </c>
      <c r="H3792" s="24">
        <v>274.0</v>
      </c>
      <c r="I3792" s="24">
        <v>0.0</v>
      </c>
      <c r="J3792" s="24">
        <v>0.0</v>
      </c>
      <c r="K3792" s="23" t="s">
        <v>34</v>
      </c>
      <c r="L3792" s="25">
        <v>42033.07145833333</v>
      </c>
      <c r="M3792" s="26" t="s">
        <v>905</v>
      </c>
      <c r="N3792" s="26" t="s">
        <v>8819</v>
      </c>
      <c r="O3792" s="22" t="str">
        <f>HYPERLINK("https://pbs.twimg.com/profile_images/694505468601827328/pNQ72eTb_normal.jpg","View")</f>
        <v>View</v>
      </c>
      <c r="P3792" s="27"/>
    </row>
    <row r="3793">
      <c r="A3793" s="14">
        <v>43031.23924768518</v>
      </c>
      <c r="B3793" s="20" t="str">
        <f>HYPERLINK("https://twitter.com/watchlatestnews","@watchlatestnews")</f>
        <v>@watchlatestnews</v>
      </c>
      <c r="C3793" s="21" t="s">
        <v>8820</v>
      </c>
      <c r="D3793" s="21" t="s">
        <v>8821</v>
      </c>
      <c r="E3793" s="22" t="str">
        <f>HYPERLINK("https://twitter.com/watchlatestnews/status/922443619969196032","922443619969196032")</f>
        <v>922443619969196032</v>
      </c>
      <c r="F3793" s="23" t="s">
        <v>8822</v>
      </c>
      <c r="G3793" s="24">
        <v>73.0</v>
      </c>
      <c r="H3793" s="24">
        <v>0.0</v>
      </c>
      <c r="I3793" s="24">
        <v>0.0</v>
      </c>
      <c r="J3793" s="24">
        <v>0.0</v>
      </c>
      <c r="K3793" s="23" t="s">
        <v>34</v>
      </c>
      <c r="L3793" s="25">
        <v>41836.05674768519</v>
      </c>
      <c r="M3793" s="28"/>
      <c r="N3793" s="28"/>
      <c r="O3793" s="22" t="str">
        <f>HYPERLINK("https://abs.twimg.com/sticky/default_profile_images/default_profile_normal.png","View")</f>
        <v>View</v>
      </c>
      <c r="P3793" s="27"/>
    </row>
    <row r="3794">
      <c r="A3794" s="14">
        <v>43031.239282407405</v>
      </c>
      <c r="B3794" s="20" t="str">
        <f>HYPERLINK("https://twitter.com/ManjuK16","@ManjuK16")</f>
        <v>@ManjuK16</v>
      </c>
      <c r="C3794" s="21" t="s">
        <v>8823</v>
      </c>
      <c r="D3794" s="21" t="s">
        <v>42</v>
      </c>
      <c r="E3794" s="22" t="str">
        <f>HYPERLINK("https://twitter.com/ManjuK16/status/922443631914393608","922443631914393608")</f>
        <v>922443631914393608</v>
      </c>
      <c r="F3794" s="23" t="s">
        <v>33</v>
      </c>
      <c r="G3794" s="24">
        <v>81.0</v>
      </c>
      <c r="H3794" s="24">
        <v>203.0</v>
      </c>
      <c r="I3794" s="24">
        <v>8501.0</v>
      </c>
      <c r="J3794" s="24">
        <v>0.0</v>
      </c>
      <c r="K3794" s="23" t="s">
        <v>34</v>
      </c>
      <c r="L3794" s="25">
        <v>41386.0015162037</v>
      </c>
      <c r="M3794" s="28"/>
      <c r="N3794" s="26" t="s">
        <v>8824</v>
      </c>
      <c r="O3794" s="22" t="str">
        <f>HYPERLINK("https://pbs.twimg.com/profile_images/919629295290433537/gybSBbw9_normal.jpg","View")</f>
        <v>View</v>
      </c>
      <c r="P3794" s="27"/>
    </row>
    <row r="3795">
      <c r="A3795" s="14">
        <v>43031.23936342592</v>
      </c>
      <c r="B3795" s="20" t="str">
        <f>HYPERLINK("https://twitter.com/singhvivek83","@singhvivek83")</f>
        <v>@singhvivek83</v>
      </c>
      <c r="C3795" s="21" t="s">
        <v>8825</v>
      </c>
      <c r="D3795" s="21" t="s">
        <v>42</v>
      </c>
      <c r="E3795" s="22" t="str">
        <f>HYPERLINK("https://twitter.com/singhvivek83/status/922443658602758144","922443658602758144")</f>
        <v>922443658602758144</v>
      </c>
      <c r="F3795" s="23" t="s">
        <v>33</v>
      </c>
      <c r="G3795" s="24">
        <v>182.0</v>
      </c>
      <c r="H3795" s="24">
        <v>244.0</v>
      </c>
      <c r="I3795" s="24">
        <v>8501.0</v>
      </c>
      <c r="J3795" s="24">
        <v>0.0</v>
      </c>
      <c r="K3795" s="23" t="s">
        <v>34</v>
      </c>
      <c r="L3795" s="25">
        <v>40181.34321759259</v>
      </c>
      <c r="M3795" s="28"/>
      <c r="N3795" s="26" t="s">
        <v>8826</v>
      </c>
      <c r="O3795" s="22" t="str">
        <f>HYPERLINK("https://pbs.twimg.com/profile_images/720860434547367937/nJ56qJ1G_normal.jpg","View")</f>
        <v>View</v>
      </c>
      <c r="P3795" s="27"/>
    </row>
    <row r="3796">
      <c r="A3796" s="14">
        <v>43031.23946759259</v>
      </c>
      <c r="B3796" s="20" t="str">
        <f>HYPERLINK("https://twitter.com/sanatanidoc","@sanatanidoc")</f>
        <v>@sanatanidoc</v>
      </c>
      <c r="C3796" s="21" t="s">
        <v>8827</v>
      </c>
      <c r="D3796" s="21" t="s">
        <v>42</v>
      </c>
      <c r="E3796" s="22" t="str">
        <f>HYPERLINK("https://twitter.com/sanatanidoc/status/922443697853054979","922443697853054979")</f>
        <v>922443697853054979</v>
      </c>
      <c r="F3796" s="23" t="s">
        <v>43</v>
      </c>
      <c r="G3796" s="24">
        <v>81.0</v>
      </c>
      <c r="H3796" s="24">
        <v>105.0</v>
      </c>
      <c r="I3796" s="24">
        <v>8501.0</v>
      </c>
      <c r="J3796" s="24">
        <v>0.0</v>
      </c>
      <c r="K3796" s="23" t="s">
        <v>34</v>
      </c>
      <c r="L3796" s="25">
        <v>42929.35008101852</v>
      </c>
      <c r="M3796" s="26" t="s">
        <v>3066</v>
      </c>
      <c r="N3796" s="26" t="s">
        <v>8828</v>
      </c>
      <c r="O3796" s="22" t="str">
        <f>HYPERLINK("https://pbs.twimg.com/profile_images/885550591929458689/jDspXwQI_normal.jpg","View")</f>
        <v>View</v>
      </c>
      <c r="P3796" s="27"/>
    </row>
    <row r="3797">
      <c r="A3797" s="14">
        <v>43031.23949074074</v>
      </c>
      <c r="B3797" s="20" t="str">
        <f>HYPERLINK("https://twitter.com/kenm77","@kenm77")</f>
        <v>@kenm77</v>
      </c>
      <c r="C3797" s="21" t="s">
        <v>8829</v>
      </c>
      <c r="D3797" s="21" t="s">
        <v>8665</v>
      </c>
      <c r="E3797" s="22" t="str">
        <f>HYPERLINK("https://twitter.com/kenm77/status/922443706069905408","922443706069905408")</f>
        <v>922443706069905408</v>
      </c>
      <c r="F3797" s="23" t="s">
        <v>39</v>
      </c>
      <c r="G3797" s="24">
        <v>454.0</v>
      </c>
      <c r="H3797" s="24">
        <v>123.0</v>
      </c>
      <c r="I3797" s="24">
        <v>67.0</v>
      </c>
      <c r="J3797" s="24">
        <v>0.0</v>
      </c>
      <c r="K3797" s="23" t="s">
        <v>34</v>
      </c>
      <c r="L3797" s="25">
        <v>41341.654016203705</v>
      </c>
      <c r="M3797" s="26" t="s">
        <v>8830</v>
      </c>
      <c r="N3797" s="26" t="s">
        <v>8831</v>
      </c>
      <c r="O3797" s="22" t="str">
        <f>HYPERLINK("https://pbs.twimg.com/profile_images/701432792190754817/VqYpzpa4_normal.jpg","View")</f>
        <v>View</v>
      </c>
      <c r="P3797" s="27"/>
    </row>
    <row r="3798">
      <c r="A3798" s="14">
        <v>43031.23951388889</v>
      </c>
      <c r="B3798" s="20" t="str">
        <f>HYPERLINK("https://twitter.com/Sanjul12","@Sanjul12")</f>
        <v>@Sanjul12</v>
      </c>
      <c r="C3798" s="21" t="s">
        <v>8832</v>
      </c>
      <c r="D3798" s="21" t="s">
        <v>2861</v>
      </c>
      <c r="E3798" s="22" t="str">
        <f>HYPERLINK("https://twitter.com/Sanjul12/status/922443714764595202","922443714764595202")</f>
        <v>922443714764595202</v>
      </c>
      <c r="F3798" s="23" t="s">
        <v>33</v>
      </c>
      <c r="G3798" s="24">
        <v>187.0</v>
      </c>
      <c r="H3798" s="24">
        <v>320.0</v>
      </c>
      <c r="I3798" s="24">
        <v>40.0</v>
      </c>
      <c r="J3798" s="24">
        <v>0.0</v>
      </c>
      <c r="K3798" s="23" t="s">
        <v>34</v>
      </c>
      <c r="L3798" s="25">
        <v>42867.41559027778</v>
      </c>
      <c r="M3798" s="26" t="s">
        <v>8833</v>
      </c>
      <c r="N3798" s="26" t="s">
        <v>8834</v>
      </c>
      <c r="O3798" s="22" t="str">
        <f>HYPERLINK("https://pbs.twimg.com/profile_images/888365608903069696/kMXe_Na2_normal.jpg","View")</f>
        <v>View</v>
      </c>
      <c r="P3798" s="27"/>
    </row>
    <row r="3799">
      <c r="A3799" s="14">
        <v>43031.23951388889</v>
      </c>
      <c r="B3799" s="20" t="str">
        <f>HYPERLINK("https://twitter.com/ClipTrends","@ClipTrends")</f>
        <v>@ClipTrends</v>
      </c>
      <c r="C3799" s="21" t="s">
        <v>5578</v>
      </c>
      <c r="D3799" s="21" t="s">
        <v>8835</v>
      </c>
      <c r="E3799" s="22" t="str">
        <f>HYPERLINK("https://twitter.com/ClipTrends/status/922443715561504768","922443715561504768")</f>
        <v>922443715561504768</v>
      </c>
      <c r="F3799" s="23" t="s">
        <v>5580</v>
      </c>
      <c r="G3799" s="24">
        <v>5811.0</v>
      </c>
      <c r="H3799" s="24">
        <v>7.0</v>
      </c>
      <c r="I3799" s="24">
        <v>0.0</v>
      </c>
      <c r="J3799" s="24">
        <v>0.0</v>
      </c>
      <c r="K3799" s="23" t="s">
        <v>34</v>
      </c>
      <c r="L3799" s="25">
        <v>42648.371192129634</v>
      </c>
      <c r="M3799" s="26" t="s">
        <v>1563</v>
      </c>
      <c r="N3799" s="26" t="s">
        <v>5581</v>
      </c>
      <c r="O3799" s="22" t="str">
        <f>HYPERLINK("https://pbs.twimg.com/profile_images/784323646235877379/XyiczfNb_normal.jpg","View")</f>
        <v>View</v>
      </c>
      <c r="P3799" s="27"/>
    </row>
    <row r="3800">
      <c r="A3800" s="14">
        <v>43031.23952546297</v>
      </c>
      <c r="B3800" s="20" t="str">
        <f>HYPERLINK("https://twitter.com/1Rajvardhan","@1Rajvardhan")</f>
        <v>@1Rajvardhan</v>
      </c>
      <c r="C3800" s="21" t="s">
        <v>8836</v>
      </c>
      <c r="D3800" s="21" t="s">
        <v>42</v>
      </c>
      <c r="E3800" s="22" t="str">
        <f>HYPERLINK("https://twitter.com/1Rajvardhan/status/922443719332134912","922443719332134912")</f>
        <v>922443719332134912</v>
      </c>
      <c r="F3800" s="23" t="s">
        <v>33</v>
      </c>
      <c r="G3800" s="24">
        <v>423.0</v>
      </c>
      <c r="H3800" s="24">
        <v>133.0</v>
      </c>
      <c r="I3800" s="24">
        <v>8501.0</v>
      </c>
      <c r="J3800" s="24">
        <v>0.0</v>
      </c>
      <c r="K3800" s="23" t="s">
        <v>34</v>
      </c>
      <c r="L3800" s="25">
        <v>42505.298796296294</v>
      </c>
      <c r="M3800" s="28"/>
      <c r="N3800" s="28"/>
      <c r="O3800" s="22" t="str">
        <f>HYPERLINK("https://pbs.twimg.com/profile_images/923055467219185665/GylS2E84_normal.jpg","View")</f>
        <v>View</v>
      </c>
      <c r="P3800" s="27"/>
    </row>
    <row r="3801">
      <c r="A3801" s="14">
        <v>43031.23967592593</v>
      </c>
      <c r="B3801" s="20" t="str">
        <f>HYPERLINK("https://twitter.com/notiven","@notiven")</f>
        <v>@notiven</v>
      </c>
      <c r="C3801" s="21" t="s">
        <v>1012</v>
      </c>
      <c r="D3801" s="21" t="s">
        <v>8837</v>
      </c>
      <c r="E3801" s="22" t="str">
        <f>HYPERLINK("https://twitter.com/notiven/status/922443771920478210","922443771920478210")</f>
        <v>922443771920478210</v>
      </c>
      <c r="F3801" s="23" t="s">
        <v>1014</v>
      </c>
      <c r="G3801" s="24">
        <v>51323.0</v>
      </c>
      <c r="H3801" s="24">
        <v>194.0</v>
      </c>
      <c r="I3801" s="24">
        <v>0.0</v>
      </c>
      <c r="J3801" s="24">
        <v>0.0</v>
      </c>
      <c r="K3801" s="23" t="s">
        <v>34</v>
      </c>
      <c r="L3801" s="25">
        <v>39235.5805787037</v>
      </c>
      <c r="M3801" s="26" t="s">
        <v>1015</v>
      </c>
      <c r="N3801" s="26" t="s">
        <v>1016</v>
      </c>
      <c r="O3801" s="22" t="str">
        <f>HYPERLINK("https://pbs.twimg.com/profile_images/799317731648606208/vbXQCdts_normal.jpg","View")</f>
        <v>View</v>
      </c>
      <c r="P3801" s="27"/>
    </row>
    <row r="3802">
      <c r="A3802" s="14">
        <v>43031.2396875</v>
      </c>
      <c r="B3802" s="20" t="str">
        <f>HYPERLINK("https://twitter.com/NewsInTheWorld","@NewsInTheWorld")</f>
        <v>@NewsInTheWorld</v>
      </c>
      <c r="C3802" s="21" t="s">
        <v>8838</v>
      </c>
      <c r="D3802" s="21" t="s">
        <v>8839</v>
      </c>
      <c r="E3802" s="22" t="str">
        <f>HYPERLINK("https://twitter.com/NewsInTheWorld/status/922443778824261632","922443778824261632")</f>
        <v>922443778824261632</v>
      </c>
      <c r="F3802" s="23" t="s">
        <v>2255</v>
      </c>
      <c r="G3802" s="24">
        <v>348.0</v>
      </c>
      <c r="H3802" s="24">
        <v>5.0</v>
      </c>
      <c r="I3802" s="24">
        <v>0.0</v>
      </c>
      <c r="J3802" s="24">
        <v>0.0</v>
      </c>
      <c r="K3802" s="23" t="s">
        <v>34</v>
      </c>
      <c r="L3802" s="25">
        <v>39537.37917824074</v>
      </c>
      <c r="M3802" s="26" t="s">
        <v>2256</v>
      </c>
      <c r="N3802" s="26" t="s">
        <v>8840</v>
      </c>
      <c r="O3802" s="22" t="str">
        <f>HYPERLINK("https://pbs.twimg.com/profile_images/914148571125075968/XcSXUo93_normal.jpg","View")</f>
        <v>View</v>
      </c>
      <c r="P3802" s="27"/>
    </row>
    <row r="3803">
      <c r="A3803" s="14">
        <v>43031.239756944444</v>
      </c>
      <c r="B3803" s="20" t="str">
        <f>HYPERLINK("https://twitter.com/bllshbrsh","@bllshbrsh")</f>
        <v>@bllshbrsh</v>
      </c>
      <c r="C3803" s="21" t="s">
        <v>138</v>
      </c>
      <c r="D3803" s="21" t="s">
        <v>8493</v>
      </c>
      <c r="E3803" s="22" t="str">
        <f>HYPERLINK("https://twitter.com/bllshbrsh/status/922443803033776128","922443803033776128")</f>
        <v>922443803033776128</v>
      </c>
      <c r="F3803" s="23" t="s">
        <v>8841</v>
      </c>
      <c r="G3803" s="24">
        <v>6148.0</v>
      </c>
      <c r="H3803" s="24">
        <v>6416.0</v>
      </c>
      <c r="I3803" s="24">
        <v>10.0</v>
      </c>
      <c r="J3803" s="24">
        <v>0.0</v>
      </c>
      <c r="K3803" s="23" t="s">
        <v>34</v>
      </c>
      <c r="L3803" s="25">
        <v>42682.29137731482</v>
      </c>
      <c r="M3803" s="28"/>
      <c r="N3803" s="28"/>
      <c r="O3803" s="22" t="str">
        <f>HYPERLINK("https://pbs.twimg.com/profile_images/825303907752673284/OSI50AgE_normal.jpg","View")</f>
        <v>View</v>
      </c>
      <c r="P3803" s="27"/>
    </row>
    <row r="3804">
      <c r="A3804" s="14">
        <v>43031.23976851851</v>
      </c>
      <c r="B3804" s="20" t="str">
        <f>HYPERLINK("https://twitter.com/mikiasdfghjk1","@mikiasdfghjk1")</f>
        <v>@mikiasdfghjk1</v>
      </c>
      <c r="C3804" s="21" t="s">
        <v>8842</v>
      </c>
      <c r="D3804" s="21" t="s">
        <v>42</v>
      </c>
      <c r="E3804" s="22" t="str">
        <f>HYPERLINK("https://twitter.com/mikiasdfghjk1/status/922443808792383488","922443808792383488")</f>
        <v>922443808792383488</v>
      </c>
      <c r="F3804" s="23" t="s">
        <v>39</v>
      </c>
      <c r="G3804" s="24">
        <v>300.0</v>
      </c>
      <c r="H3804" s="24">
        <v>521.0</v>
      </c>
      <c r="I3804" s="24">
        <v>8501.0</v>
      </c>
      <c r="J3804" s="24">
        <v>0.0</v>
      </c>
      <c r="K3804" s="23" t="s">
        <v>34</v>
      </c>
      <c r="L3804" s="25">
        <v>42399.39921296296</v>
      </c>
      <c r="M3804" s="28"/>
      <c r="N3804" s="28"/>
      <c r="O3804" s="22" t="str">
        <f>HYPERLINK("https://pbs.twimg.com/profile_images/726082027703791616/cHM1v2LQ_normal.jpg","View")</f>
        <v>View</v>
      </c>
      <c r="P3804" s="27"/>
    </row>
    <row r="3805">
      <c r="A3805" s="14">
        <v>43031.239849537036</v>
      </c>
      <c r="B3805" s="20" t="str">
        <f>HYPERLINK("https://twitter.com/WorldNewsNgayon","@WorldNewsNgayon")</f>
        <v>@WorldNewsNgayon</v>
      </c>
      <c r="C3805" s="21" t="s">
        <v>4889</v>
      </c>
      <c r="D3805" s="21" t="s">
        <v>8843</v>
      </c>
      <c r="E3805" s="22" t="str">
        <f>HYPERLINK("https://twitter.com/WorldNewsNgayon/status/922443836068126720","922443836068126720")</f>
        <v>922443836068126720</v>
      </c>
      <c r="F3805" s="23" t="s">
        <v>187</v>
      </c>
      <c r="G3805" s="24">
        <v>1177.0</v>
      </c>
      <c r="H3805" s="24">
        <v>9.0</v>
      </c>
      <c r="I3805" s="24">
        <v>0.0</v>
      </c>
      <c r="J3805" s="24">
        <v>0.0</v>
      </c>
      <c r="K3805" s="23" t="s">
        <v>34</v>
      </c>
      <c r="L3805" s="25">
        <v>41174.847233796296</v>
      </c>
      <c r="M3805" s="26" t="s">
        <v>3507</v>
      </c>
      <c r="N3805" s="26" t="s">
        <v>4891</v>
      </c>
      <c r="O3805" s="22" t="str">
        <f>HYPERLINK("https://pbs.twimg.com/profile_images/425420772534784000/_u4Vu6V1_normal.jpeg","View")</f>
        <v>View</v>
      </c>
      <c r="P3805" s="27"/>
    </row>
    <row r="3806">
      <c r="A3806" s="14">
        <v>43031.23987268518</v>
      </c>
      <c r="B3806" s="20" t="str">
        <f>HYPERLINK("https://twitter.com/MahomieSmith","@MahomieSmith")</f>
        <v>@MahomieSmith</v>
      </c>
      <c r="C3806" s="21" t="s">
        <v>8844</v>
      </c>
      <c r="D3806" s="21" t="s">
        <v>6403</v>
      </c>
      <c r="E3806" s="22" t="str">
        <f>HYPERLINK("https://twitter.com/MahomieSmith/status/922443846918856704","922443846918856704")</f>
        <v>922443846918856704</v>
      </c>
      <c r="F3806" s="23" t="s">
        <v>39</v>
      </c>
      <c r="G3806" s="24">
        <v>1411.0</v>
      </c>
      <c r="H3806" s="24">
        <v>1375.0</v>
      </c>
      <c r="I3806" s="24">
        <v>97.0</v>
      </c>
      <c r="J3806" s="24">
        <v>0.0</v>
      </c>
      <c r="K3806" s="23" t="s">
        <v>34</v>
      </c>
      <c r="L3806" s="25">
        <v>41389.56947916667</v>
      </c>
      <c r="M3806" s="26" t="s">
        <v>8845</v>
      </c>
      <c r="N3806" s="26" t="s">
        <v>8846</v>
      </c>
      <c r="O3806" s="22" t="str">
        <f>HYPERLINK("https://pbs.twimg.com/profile_images/762694614088294400/5-FF-WLy_normal.jpg","View")</f>
        <v>View</v>
      </c>
      <c r="P3806" s="27"/>
    </row>
    <row r="3807">
      <c r="A3807" s="14">
        <v>43031.239953703705</v>
      </c>
      <c r="B3807" s="20" t="str">
        <f>HYPERLINK("https://twitter.com/chefmastermac","@chefmastermac")</f>
        <v>@chefmastermac</v>
      </c>
      <c r="C3807" s="21" t="s">
        <v>8847</v>
      </c>
      <c r="D3807" s="21" t="s">
        <v>8848</v>
      </c>
      <c r="E3807" s="22" t="str">
        <f>HYPERLINK("https://twitter.com/chefmastermac/status/922443872936001536","922443872936001536")</f>
        <v>922443872936001536</v>
      </c>
      <c r="F3807" s="23" t="s">
        <v>33</v>
      </c>
      <c r="G3807" s="24">
        <v>337.0</v>
      </c>
      <c r="H3807" s="24">
        <v>135.0</v>
      </c>
      <c r="I3807" s="24">
        <v>0.0</v>
      </c>
      <c r="J3807" s="24">
        <v>0.0</v>
      </c>
      <c r="K3807" s="23" t="s">
        <v>34</v>
      </c>
      <c r="L3807" s="25">
        <v>41807.705671296295</v>
      </c>
      <c r="M3807" s="28"/>
      <c r="N3807" s="26" t="s">
        <v>8849</v>
      </c>
      <c r="O3807" s="22" t="str">
        <f>HYPERLINK("https://pbs.twimg.com/profile_images/894959576822542336/CHKhW7k__normal.jpg","View")</f>
        <v>View</v>
      </c>
      <c r="P3807" s="27"/>
    </row>
    <row r="3808">
      <c r="A3808" s="14">
        <v>43031.23996527778</v>
      </c>
      <c r="B3808" s="20" t="str">
        <f>HYPERLINK("https://twitter.com/theoldcurrency","@theoldcurrency")</f>
        <v>@theoldcurrency</v>
      </c>
      <c r="C3808" s="21" t="s">
        <v>8850</v>
      </c>
      <c r="D3808" s="21" t="s">
        <v>8665</v>
      </c>
      <c r="E3808" s="22" t="str">
        <f>HYPERLINK("https://twitter.com/theoldcurrency/status/922443878317412352","922443878317412352")</f>
        <v>922443878317412352</v>
      </c>
      <c r="F3808" s="23" t="s">
        <v>55</v>
      </c>
      <c r="G3808" s="24">
        <v>36.0</v>
      </c>
      <c r="H3808" s="24">
        <v>48.0</v>
      </c>
      <c r="I3808" s="24">
        <v>67.0</v>
      </c>
      <c r="J3808" s="24">
        <v>0.0</v>
      </c>
      <c r="K3808" s="23" t="s">
        <v>34</v>
      </c>
      <c r="L3808" s="25">
        <v>42949.66491898148</v>
      </c>
      <c r="M3808" s="28"/>
      <c r="N3808" s="26" t="s">
        <v>8851</v>
      </c>
      <c r="O3808" s="22" t="str">
        <f>HYPERLINK("https://pbs.twimg.com/profile_images/892882433162452993/Rukq_fMH_normal.jpg","View")</f>
        <v>View</v>
      </c>
      <c r="P3808" s="27"/>
    </row>
    <row r="3809">
      <c r="A3809" s="14">
        <v>43031.23997685185</v>
      </c>
      <c r="B3809" s="20" t="str">
        <f>HYPERLINK("https://twitter.com/bombay411","@bombay411")</f>
        <v>@bombay411</v>
      </c>
      <c r="C3809" s="21" t="s">
        <v>8852</v>
      </c>
      <c r="D3809" s="21" t="s">
        <v>42</v>
      </c>
      <c r="E3809" s="22" t="str">
        <f>HYPERLINK("https://twitter.com/bombay411/status/922443882201305089","922443882201305089")</f>
        <v>922443882201305089</v>
      </c>
      <c r="F3809" s="23" t="s">
        <v>39</v>
      </c>
      <c r="G3809" s="24">
        <v>264.0</v>
      </c>
      <c r="H3809" s="24">
        <v>964.0</v>
      </c>
      <c r="I3809" s="24">
        <v>8501.0</v>
      </c>
      <c r="J3809" s="24">
        <v>0.0</v>
      </c>
      <c r="K3809" s="23" t="s">
        <v>34</v>
      </c>
      <c r="L3809" s="25">
        <v>40242.84042824074</v>
      </c>
      <c r="M3809" s="26" t="s">
        <v>8853</v>
      </c>
      <c r="N3809" s="35" t="s">
        <v>8854</v>
      </c>
      <c r="O3809" s="22" t="str">
        <f>HYPERLINK("https://pbs.twimg.com/profile_images/1775998455/dave_normal.jpg","View")</f>
        <v>View</v>
      </c>
      <c r="P3809" s="27"/>
    </row>
    <row r="3810">
      <c r="A3810" s="14">
        <v>43031.24008101852</v>
      </c>
      <c r="B3810" s="20" t="str">
        <f>HYPERLINK("https://twitter.com/sabahmajujaya","@sabahmajujaya")</f>
        <v>@sabahmajujaya</v>
      </c>
      <c r="C3810" s="21" t="s">
        <v>484</v>
      </c>
      <c r="D3810" s="21" t="s">
        <v>8855</v>
      </c>
      <c r="E3810" s="22" t="str">
        <f>HYPERLINK("https://twitter.com/sabahmajujaya/status/922443922097541126","922443922097541126")</f>
        <v>922443922097541126</v>
      </c>
      <c r="F3810" s="23" t="s">
        <v>91</v>
      </c>
      <c r="G3810" s="24">
        <v>5950.0</v>
      </c>
      <c r="H3810" s="24">
        <v>135.0</v>
      </c>
      <c r="I3810" s="24">
        <v>0.0</v>
      </c>
      <c r="J3810" s="24">
        <v>0.0</v>
      </c>
      <c r="K3810" s="23" t="s">
        <v>34</v>
      </c>
      <c r="L3810" s="25">
        <v>40369.92123842593</v>
      </c>
      <c r="M3810" s="28"/>
      <c r="N3810" s="26" t="s">
        <v>486</v>
      </c>
      <c r="O3810" s="22" t="str">
        <f>HYPERLINK("https://pbs.twimg.com/profile_images/533847763088187392/_f6Pcsy-_normal.jpeg","View")</f>
        <v>View</v>
      </c>
      <c r="P3810" s="27"/>
    </row>
    <row r="3811">
      <c r="A3811" s="14">
        <v>43031.24013888889</v>
      </c>
      <c r="B3811" s="20" t="str">
        <f>HYPERLINK("https://twitter.com/EBertolaccini","@EBertolaccini")</f>
        <v>@EBertolaccini</v>
      </c>
      <c r="C3811" s="21" t="s">
        <v>764</v>
      </c>
      <c r="D3811" s="21" t="s">
        <v>8856</v>
      </c>
      <c r="E3811" s="22" t="str">
        <f>HYPERLINK("https://twitter.com/EBertolaccini/status/922443942221766657","922443942221766657")</f>
        <v>922443942221766657</v>
      </c>
      <c r="F3811" s="23" t="s">
        <v>187</v>
      </c>
      <c r="G3811" s="24">
        <v>1179.0</v>
      </c>
      <c r="H3811" s="24">
        <v>1881.0</v>
      </c>
      <c r="I3811" s="24">
        <v>0.0</v>
      </c>
      <c r="J3811" s="24">
        <v>0.0</v>
      </c>
      <c r="K3811" s="23" t="s">
        <v>34</v>
      </c>
      <c r="L3811" s="25">
        <v>40636.36203703703</v>
      </c>
      <c r="M3811" s="26" t="s">
        <v>766</v>
      </c>
      <c r="N3811" s="26" t="s">
        <v>767</v>
      </c>
      <c r="O3811" s="22" t="str">
        <f>HYPERLINK("https://pbs.twimg.com/profile_images/522805721537466368/cbIOXjsD_normal.jpeg","View")</f>
        <v>View</v>
      </c>
      <c r="P3811" s="27"/>
    </row>
    <row r="3812">
      <c r="A3812" s="14">
        <v>43031.24015046297</v>
      </c>
      <c r="B3812" s="20" t="str">
        <f>HYPERLINK("https://twitter.com/gwaliorprince","@gwaliorprince")</f>
        <v>@gwaliorprince</v>
      </c>
      <c r="C3812" s="21" t="s">
        <v>8857</v>
      </c>
      <c r="D3812" s="21" t="s">
        <v>42</v>
      </c>
      <c r="E3812" s="22" t="str">
        <f>HYPERLINK("https://twitter.com/gwaliorprince/status/922443945447129089","922443945447129089")</f>
        <v>922443945447129089</v>
      </c>
      <c r="F3812" s="23" t="s">
        <v>39</v>
      </c>
      <c r="G3812" s="24">
        <v>20.0</v>
      </c>
      <c r="H3812" s="24">
        <v>224.0</v>
      </c>
      <c r="I3812" s="24">
        <v>8501.0</v>
      </c>
      <c r="J3812" s="24">
        <v>0.0</v>
      </c>
      <c r="K3812" s="23" t="s">
        <v>34</v>
      </c>
      <c r="L3812" s="25">
        <v>40508.949745370366</v>
      </c>
      <c r="M3812" s="26" t="s">
        <v>204</v>
      </c>
      <c r="N3812" s="26" t="s">
        <v>8858</v>
      </c>
      <c r="O3812" s="22" t="str">
        <f>HYPERLINK("https://pbs.twimg.com/profile_images/910177223012995072/EVVLZ3w__normal.jpg","View")</f>
        <v>View</v>
      </c>
      <c r="P3812" s="27"/>
    </row>
    <row r="3813">
      <c r="A3813" s="14">
        <v>43031.24015046297</v>
      </c>
      <c r="B3813" s="20" t="str">
        <f>HYPERLINK("https://twitter.com/sommelier50","@sommelier50")</f>
        <v>@sommelier50</v>
      </c>
      <c r="C3813" s="21" t="s">
        <v>8859</v>
      </c>
      <c r="D3813" s="21" t="s">
        <v>8860</v>
      </c>
      <c r="E3813" s="22" t="str">
        <f>HYPERLINK("https://twitter.com/sommelier50/status/922443946311208961","922443946311208961")</f>
        <v>922443946311208961</v>
      </c>
      <c r="F3813" s="23" t="s">
        <v>33</v>
      </c>
      <c r="G3813" s="24">
        <v>2028.0</v>
      </c>
      <c r="H3813" s="24">
        <v>3649.0</v>
      </c>
      <c r="I3813" s="24">
        <v>0.0</v>
      </c>
      <c r="J3813" s="24">
        <v>0.0</v>
      </c>
      <c r="K3813" s="23" t="s">
        <v>34</v>
      </c>
      <c r="L3813" s="25">
        <v>40258.438414351855</v>
      </c>
      <c r="M3813" s="26" t="s">
        <v>8861</v>
      </c>
      <c r="N3813" s="26" t="s">
        <v>8862</v>
      </c>
      <c r="O3813" s="22" t="str">
        <f>HYPERLINK("https://pbs.twimg.com/profile_images/914850900212158464/H_WZ6Q_B_normal.jpg","View")</f>
        <v>View</v>
      </c>
      <c r="P3813" s="27"/>
    </row>
    <row r="3814">
      <c r="A3814" s="14">
        <v>43031.240219907406</v>
      </c>
      <c r="B3814" s="20" t="str">
        <f>HYPERLINK("https://twitter.com/no_emission","@no_emission")</f>
        <v>@no_emission</v>
      </c>
      <c r="C3814" s="21" t="s">
        <v>8863</v>
      </c>
      <c r="D3814" s="21" t="s">
        <v>8665</v>
      </c>
      <c r="E3814" s="22" t="str">
        <f>HYPERLINK("https://twitter.com/no_emission/status/922443969417510914","922443969417510914")</f>
        <v>922443969417510914</v>
      </c>
      <c r="F3814" s="23" t="s">
        <v>33</v>
      </c>
      <c r="G3814" s="24">
        <v>900.0</v>
      </c>
      <c r="H3814" s="24">
        <v>1568.0</v>
      </c>
      <c r="I3814" s="24">
        <v>67.0</v>
      </c>
      <c r="J3814" s="24">
        <v>0.0</v>
      </c>
      <c r="K3814" s="23" t="s">
        <v>34</v>
      </c>
      <c r="L3814" s="25">
        <v>40629.896203703705</v>
      </c>
      <c r="M3814" s="28"/>
      <c r="N3814" s="28"/>
      <c r="O3814" s="22" t="str">
        <f>HYPERLINK("https://pbs.twimg.com/profile_images/538708026094407680/4cqKrG1N_normal.jpeg","View")</f>
        <v>View</v>
      </c>
      <c r="P3814" s="27"/>
    </row>
    <row r="3815">
      <c r="A3815" s="14">
        <v>43031.24028935185</v>
      </c>
      <c r="B3815" s="20" t="str">
        <f>HYPERLINK("https://twitter.com/Hernandez79X","@Hernandez79X")</f>
        <v>@Hernandez79X</v>
      </c>
      <c r="C3815" s="21" t="s">
        <v>8864</v>
      </c>
      <c r="D3815" s="21" t="s">
        <v>1444</v>
      </c>
      <c r="E3815" s="22" t="str">
        <f>HYPERLINK("https://twitter.com/Hernandez79X/status/922443994369544194","922443994369544194")</f>
        <v>922443994369544194</v>
      </c>
      <c r="F3815" s="23" t="s">
        <v>33</v>
      </c>
      <c r="G3815" s="24">
        <v>359.0</v>
      </c>
      <c r="H3815" s="24">
        <v>425.0</v>
      </c>
      <c r="I3815" s="24">
        <v>50.0</v>
      </c>
      <c r="J3815" s="24">
        <v>0.0</v>
      </c>
      <c r="K3815" s="23" t="s">
        <v>34</v>
      </c>
      <c r="L3815" s="25">
        <v>41238.810381944444</v>
      </c>
      <c r="M3815" s="26" t="s">
        <v>8865</v>
      </c>
      <c r="N3815" s="26" t="s">
        <v>8866</v>
      </c>
      <c r="O3815" s="22" t="str">
        <f>HYPERLINK("https://pbs.twimg.com/profile_images/922675439625261056/JtpTB2Lj_normal.jpg","View")</f>
        <v>View</v>
      </c>
      <c r="P3815" s="27"/>
    </row>
    <row r="3816">
      <c r="A3816" s="14">
        <v>43031.2404050926</v>
      </c>
      <c r="B3816" s="20" t="str">
        <f>HYPERLINK("https://twitter.com/slthompson29","@slthompson29")</f>
        <v>@slthompson29</v>
      </c>
      <c r="C3816" s="21" t="s">
        <v>8867</v>
      </c>
      <c r="D3816" s="21" t="s">
        <v>8665</v>
      </c>
      <c r="E3816" s="22" t="str">
        <f>HYPERLINK("https://twitter.com/slthompson29/status/922444038950793216","922444038950793216")</f>
        <v>922444038950793216</v>
      </c>
      <c r="F3816" s="23" t="s">
        <v>39</v>
      </c>
      <c r="G3816" s="24">
        <v>473.0</v>
      </c>
      <c r="H3816" s="24">
        <v>301.0</v>
      </c>
      <c r="I3816" s="24">
        <v>67.0</v>
      </c>
      <c r="J3816" s="24">
        <v>0.0</v>
      </c>
      <c r="K3816" s="23" t="s">
        <v>34</v>
      </c>
      <c r="L3816" s="25">
        <v>42640.83466435185</v>
      </c>
      <c r="M3816" s="26" t="s">
        <v>5053</v>
      </c>
      <c r="N3816" s="26" t="s">
        <v>8868</v>
      </c>
      <c r="O3816" s="22" t="str">
        <f>HYPERLINK("https://pbs.twimg.com/profile_images/799990497997680640/V4SePfdG_normal.jpg","View")</f>
        <v>View</v>
      </c>
      <c r="P3816" s="27"/>
    </row>
    <row r="3817">
      <c r="A3817" s="14">
        <v>43031.24041666667</v>
      </c>
      <c r="B3817" s="20" t="str">
        <f>HYPERLINK("https://twitter.com/HedgeBz","@HedgeBz")</f>
        <v>@HedgeBz</v>
      </c>
      <c r="C3817" s="21" t="s">
        <v>8869</v>
      </c>
      <c r="D3817" s="21" t="s">
        <v>8870</v>
      </c>
      <c r="E3817" s="22" t="str">
        <f>HYPERLINK("https://twitter.com/HedgeBz/status/922444044130799617","922444044130799617")</f>
        <v>922444044130799617</v>
      </c>
      <c r="F3817" s="23" t="s">
        <v>8871</v>
      </c>
      <c r="G3817" s="24">
        <v>25391.0</v>
      </c>
      <c r="H3817" s="24">
        <v>15154.0</v>
      </c>
      <c r="I3817" s="24">
        <v>0.0</v>
      </c>
      <c r="J3817" s="24">
        <v>1.0</v>
      </c>
      <c r="K3817" s="23" t="s">
        <v>34</v>
      </c>
      <c r="L3817" s="25">
        <v>41022.81400462963</v>
      </c>
      <c r="M3817" s="28"/>
      <c r="N3817" s="26" t="s">
        <v>8872</v>
      </c>
      <c r="O3817" s="22" t="str">
        <f>HYPERLINK("https://pbs.twimg.com/profile_images/887825911361531906/UhRjDKAh_normal.jpg","View")</f>
        <v>View</v>
      </c>
      <c r="P3817" s="27"/>
    </row>
    <row r="3818">
      <c r="A3818" s="14">
        <v>43031.24056712963</v>
      </c>
      <c r="B3818" s="20" t="str">
        <f>HYPERLINK("https://twitter.com/julleberry","@julleberry")</f>
        <v>@julleberry</v>
      </c>
      <c r="C3818" s="21" t="s">
        <v>8873</v>
      </c>
      <c r="D3818" s="21" t="s">
        <v>32</v>
      </c>
      <c r="E3818" s="22" t="str">
        <f>HYPERLINK("https://twitter.com/julleberry/status/922444098098823170","922444098098823170")</f>
        <v>922444098098823170</v>
      </c>
      <c r="F3818" s="23" t="s">
        <v>33</v>
      </c>
      <c r="G3818" s="24">
        <v>1939.0</v>
      </c>
      <c r="H3818" s="24">
        <v>769.0</v>
      </c>
      <c r="I3818" s="24">
        <v>471.0</v>
      </c>
      <c r="J3818" s="24">
        <v>0.0</v>
      </c>
      <c r="K3818" s="23" t="s">
        <v>34</v>
      </c>
      <c r="L3818" s="25">
        <v>39954.23674768519</v>
      </c>
      <c r="M3818" s="26" t="s">
        <v>8874</v>
      </c>
      <c r="N3818" s="26" t="s">
        <v>8875</v>
      </c>
      <c r="O3818" s="22" t="str">
        <f>HYPERLINK("https://pbs.twimg.com/profile_images/901673043084402688/50zcK3eI_normal.jpg","View")</f>
        <v>View</v>
      </c>
      <c r="P3818" s="27"/>
    </row>
    <row r="3819">
      <c r="A3819" s="14">
        <v>43031.240648148145</v>
      </c>
      <c r="B3819" s="20" t="str">
        <f>HYPERLINK("https://twitter.com/TheNewsAlerts","@TheNewsAlerts")</f>
        <v>@TheNewsAlerts</v>
      </c>
      <c r="C3819" s="21" t="s">
        <v>827</v>
      </c>
      <c r="D3819" s="21" t="s">
        <v>8876</v>
      </c>
      <c r="E3819" s="22" t="str">
        <f>HYPERLINK("https://twitter.com/TheNewsAlerts/status/922444125084975104","922444125084975104")</f>
        <v>922444125084975104</v>
      </c>
      <c r="F3819" s="23" t="s">
        <v>187</v>
      </c>
      <c r="G3819" s="24">
        <v>705.0</v>
      </c>
      <c r="H3819" s="24">
        <v>566.0</v>
      </c>
      <c r="I3819" s="24">
        <v>0.0</v>
      </c>
      <c r="J3819" s="24">
        <v>0.0</v>
      </c>
      <c r="K3819" s="23" t="s">
        <v>34</v>
      </c>
      <c r="L3819" s="25">
        <v>40368.59261574074</v>
      </c>
      <c r="M3819" s="26" t="s">
        <v>829</v>
      </c>
      <c r="N3819" s="26" t="s">
        <v>830</v>
      </c>
      <c r="O3819" s="22" t="str">
        <f>HYPERLINK("https://pbs.twimg.com/profile_images/824973109522464768/RosVlZDx_normal.jpg","View")</f>
        <v>View</v>
      </c>
      <c r="P3819" s="27"/>
    </row>
    <row r="3820">
      <c r="A3820" s="14">
        <v>43031.24065972222</v>
      </c>
      <c r="B3820" s="20" t="str">
        <f>HYPERLINK("https://twitter.com/BuzzNation2010","@BuzzNation2010")</f>
        <v>@BuzzNation2010</v>
      </c>
      <c r="C3820" s="21" t="s">
        <v>1026</v>
      </c>
      <c r="D3820" s="21" t="s">
        <v>8877</v>
      </c>
      <c r="E3820" s="22" t="str">
        <f>HYPERLINK("https://twitter.com/BuzzNation2010/status/922444130600607745","922444130600607745")</f>
        <v>922444130600607745</v>
      </c>
      <c r="F3820" s="23" t="s">
        <v>427</v>
      </c>
      <c r="G3820" s="24">
        <v>1418.0</v>
      </c>
      <c r="H3820" s="24">
        <v>1010.0</v>
      </c>
      <c r="I3820" s="24">
        <v>0.0</v>
      </c>
      <c r="J3820" s="24">
        <v>0.0</v>
      </c>
      <c r="K3820" s="23" t="s">
        <v>34</v>
      </c>
      <c r="L3820" s="25">
        <v>40348.41792824074</v>
      </c>
      <c r="M3820" s="26" t="s">
        <v>1028</v>
      </c>
      <c r="N3820" s="26" t="s">
        <v>1029</v>
      </c>
      <c r="O3820" s="22" t="str">
        <f>HYPERLINK("https://pbs.twimg.com/profile_images/1668747785/2011-12-02_0040irman_normal.png","View")</f>
        <v>View</v>
      </c>
      <c r="P3820" s="27"/>
    </row>
    <row r="3821">
      <c r="A3821" s="14">
        <v>43031.24068287037</v>
      </c>
      <c r="B3821" s="20" t="str">
        <f>HYPERLINK("https://twitter.com/anuroopnaik","@anuroopnaik")</f>
        <v>@anuroopnaik</v>
      </c>
      <c r="C3821" s="21" t="s">
        <v>8878</v>
      </c>
      <c r="D3821" s="21" t="s">
        <v>42</v>
      </c>
      <c r="E3821" s="22" t="str">
        <f>HYPERLINK("https://twitter.com/anuroopnaik/status/922444138833788930","922444138833788930")</f>
        <v>922444138833788930</v>
      </c>
      <c r="F3821" s="23" t="s">
        <v>33</v>
      </c>
      <c r="G3821" s="24">
        <v>15.0</v>
      </c>
      <c r="H3821" s="24">
        <v>69.0</v>
      </c>
      <c r="I3821" s="24">
        <v>8501.0</v>
      </c>
      <c r="J3821" s="24">
        <v>0.0</v>
      </c>
      <c r="K3821" s="23" t="s">
        <v>34</v>
      </c>
      <c r="L3821" s="25">
        <v>40000.422060185185</v>
      </c>
      <c r="M3821" s="28"/>
      <c r="N3821" s="26" t="s">
        <v>8879</v>
      </c>
      <c r="O3821" s="22" t="str">
        <f>HYPERLINK("https://abs.twimg.com/sticky/default_profile_images/default_profile_normal.png","View")</f>
        <v>View</v>
      </c>
      <c r="P3821" s="27"/>
    </row>
    <row r="3822">
      <c r="A3822" s="14">
        <v>43031.24078703704</v>
      </c>
      <c r="B3822" s="20" t="str">
        <f>HYPERLINK("https://twitter.com/RatnaOm","@RatnaOm")</f>
        <v>@RatnaOm</v>
      </c>
      <c r="C3822" s="21" t="s">
        <v>8880</v>
      </c>
      <c r="D3822" s="21" t="s">
        <v>42</v>
      </c>
      <c r="E3822" s="22" t="str">
        <f>HYPERLINK("https://twitter.com/RatnaOm/status/922444176276574210","922444176276574210")</f>
        <v>922444176276574210</v>
      </c>
      <c r="F3822" s="23" t="s">
        <v>33</v>
      </c>
      <c r="G3822" s="24">
        <v>32.0</v>
      </c>
      <c r="H3822" s="24">
        <v>203.0</v>
      </c>
      <c r="I3822" s="24">
        <v>8501.0</v>
      </c>
      <c r="J3822" s="24">
        <v>0.0</v>
      </c>
      <c r="K3822" s="23" t="s">
        <v>34</v>
      </c>
      <c r="L3822" s="25">
        <v>42942.96612268519</v>
      </c>
      <c r="M3822" s="26" t="s">
        <v>8881</v>
      </c>
      <c r="N3822" s="26" t="s">
        <v>8882</v>
      </c>
      <c r="O3822" s="22" t="str">
        <f>HYPERLINK("https://pbs.twimg.com/profile_images/890457820801454080/MTPB_qa9_normal.jpg","View")</f>
        <v>View</v>
      </c>
      <c r="P3822" s="27"/>
    </row>
    <row r="3823">
      <c r="A3823" s="14">
        <v>43031.24079861111</v>
      </c>
      <c r="B3823" s="20" t="str">
        <f>HYPERLINK("https://twitter.com/andres21222andr","@andres21222andr")</f>
        <v>@andres21222andr</v>
      </c>
      <c r="C3823" s="21" t="s">
        <v>8883</v>
      </c>
      <c r="D3823" s="21" t="s">
        <v>8884</v>
      </c>
      <c r="E3823" s="22" t="str">
        <f>HYPERLINK("https://twitter.com/andres21222andr/status/922444179661193216","922444179661193216")</f>
        <v>922444179661193216</v>
      </c>
      <c r="F3823" s="30" t="s">
        <v>411</v>
      </c>
      <c r="G3823" s="24">
        <v>2.0</v>
      </c>
      <c r="H3823" s="24">
        <v>0.0</v>
      </c>
      <c r="I3823" s="24">
        <v>0.0</v>
      </c>
      <c r="J3823" s="24">
        <v>0.0</v>
      </c>
      <c r="K3823" s="23" t="s">
        <v>34</v>
      </c>
      <c r="L3823" s="25">
        <v>42962.17770833333</v>
      </c>
      <c r="M3823" s="28"/>
      <c r="N3823" s="26" t="s">
        <v>8885</v>
      </c>
      <c r="O3823" s="22" t="str">
        <f>HYPERLINK("https://pbs.twimg.com/profile_images/915473007895875586/QMn2TjIy_normal.jpg","View")</f>
        <v>View</v>
      </c>
      <c r="P3823" s="27"/>
    </row>
    <row r="3824">
      <c r="A3824" s="14">
        <v>43031.24086805555</v>
      </c>
      <c r="B3824" s="20" t="str">
        <f>HYPERLINK("https://twitter.com/KellieRoseWick","@KellieRoseWick")</f>
        <v>@KellieRoseWick</v>
      </c>
      <c r="C3824" s="21" t="s">
        <v>8886</v>
      </c>
      <c r="D3824" s="21" t="s">
        <v>8665</v>
      </c>
      <c r="E3824" s="22" t="str">
        <f>HYPERLINK("https://twitter.com/KellieRoseWick/status/922444205196234752","922444205196234752")</f>
        <v>922444205196234752</v>
      </c>
      <c r="F3824" s="23" t="s">
        <v>33</v>
      </c>
      <c r="G3824" s="24">
        <v>22881.0</v>
      </c>
      <c r="H3824" s="24">
        <v>20291.0</v>
      </c>
      <c r="I3824" s="24">
        <v>67.0</v>
      </c>
      <c r="J3824" s="24">
        <v>0.0</v>
      </c>
      <c r="K3824" s="23" t="s">
        <v>34</v>
      </c>
      <c r="L3824" s="25">
        <v>39703.82450231482</v>
      </c>
      <c r="M3824" s="26" t="s">
        <v>8887</v>
      </c>
      <c r="N3824" s="26" t="s">
        <v>8888</v>
      </c>
      <c r="O3824" s="22" t="str">
        <f>HYPERLINK("https://pbs.twimg.com/profile_images/843290781318332416/xdtGa9iz_normal.jpg","View")</f>
        <v>View</v>
      </c>
      <c r="P3824" s="27"/>
    </row>
    <row r="3825">
      <c r="A3825" s="14">
        <v>43031.24091435185</v>
      </c>
      <c r="B3825" s="20" t="str">
        <f>HYPERLINK("https://twitter.com/BillCllr","@BillCllr")</f>
        <v>@BillCllr</v>
      </c>
      <c r="C3825" s="21" t="s">
        <v>8889</v>
      </c>
      <c r="D3825" s="21" t="s">
        <v>8665</v>
      </c>
      <c r="E3825" s="22" t="str">
        <f>HYPERLINK("https://twitter.com/BillCllr/status/922444221252030464","922444221252030464")</f>
        <v>922444221252030464</v>
      </c>
      <c r="F3825" s="23" t="s">
        <v>230</v>
      </c>
      <c r="G3825" s="24">
        <v>827.0</v>
      </c>
      <c r="H3825" s="24">
        <v>253.0</v>
      </c>
      <c r="I3825" s="24">
        <v>67.0</v>
      </c>
      <c r="J3825" s="24">
        <v>0.0</v>
      </c>
      <c r="K3825" s="23" t="s">
        <v>34</v>
      </c>
      <c r="L3825" s="25">
        <v>41173.04386574074</v>
      </c>
      <c r="M3825" s="28"/>
      <c r="N3825" s="26" t="s">
        <v>8890</v>
      </c>
      <c r="O3825" s="22" t="str">
        <f>HYPERLINK("https://pbs.twimg.com/profile_images/504335656945201152/Vpec2MSd_normal.jpeg","View")</f>
        <v>View</v>
      </c>
      <c r="P3825" s="27"/>
    </row>
    <row r="3826">
      <c r="A3826" s="14">
        <v>43031.24091435185</v>
      </c>
      <c r="B3826" s="20" t="str">
        <f>HYPERLINK("https://twitter.com/bkraina8700","@bkraina8700")</f>
        <v>@bkraina8700</v>
      </c>
      <c r="C3826" s="21" t="s">
        <v>8891</v>
      </c>
      <c r="D3826" s="21" t="s">
        <v>163</v>
      </c>
      <c r="E3826" s="22" t="str">
        <f>HYPERLINK("https://twitter.com/bkraina8700/status/922444222548074496","922444222548074496")</f>
        <v>922444222548074496</v>
      </c>
      <c r="F3826" s="23" t="s">
        <v>33</v>
      </c>
      <c r="G3826" s="24">
        <v>307.0</v>
      </c>
      <c r="H3826" s="24">
        <v>239.0</v>
      </c>
      <c r="I3826" s="24">
        <v>1005.0</v>
      </c>
      <c r="J3826" s="24">
        <v>0.0</v>
      </c>
      <c r="K3826" s="23" t="s">
        <v>34</v>
      </c>
      <c r="L3826" s="25">
        <v>42390.90032407407</v>
      </c>
      <c r="M3826" s="28"/>
      <c r="N3826" s="26" t="s">
        <v>8892</v>
      </c>
      <c r="O3826" s="22" t="str">
        <f>HYPERLINK("https://pbs.twimg.com/profile_images/694424544451231744/jZqiLVgC_normal.jpg","View")</f>
        <v>View</v>
      </c>
      <c r="P3826" s="27"/>
    </row>
    <row r="3827">
      <c r="A3827" s="14">
        <v>43031.24092592593</v>
      </c>
      <c r="B3827" s="20" t="str">
        <f>HYPERLINK("https://twitter.com/tsumiki_bb","@tsumiki_bb")</f>
        <v>@tsumiki_bb</v>
      </c>
      <c r="C3827" s="21" t="s">
        <v>8893</v>
      </c>
      <c r="D3827" s="21" t="s">
        <v>42</v>
      </c>
      <c r="E3827" s="22" t="str">
        <f>HYPERLINK("https://twitter.com/tsumiki_bb/status/922444224766787587","922444224766787587")</f>
        <v>922444224766787587</v>
      </c>
      <c r="F3827" s="23" t="s">
        <v>39</v>
      </c>
      <c r="G3827" s="24">
        <v>272.0</v>
      </c>
      <c r="H3827" s="24">
        <v>335.0</v>
      </c>
      <c r="I3827" s="24">
        <v>8501.0</v>
      </c>
      <c r="J3827" s="24">
        <v>0.0</v>
      </c>
      <c r="K3827" s="23" t="s">
        <v>34</v>
      </c>
      <c r="L3827" s="25">
        <v>40333.90671296296</v>
      </c>
      <c r="M3827" s="26" t="s">
        <v>8894</v>
      </c>
      <c r="N3827" s="26" t="s">
        <v>8895</v>
      </c>
      <c r="O3827" s="22" t="str">
        <f>HYPERLINK("https://pbs.twimg.com/profile_images/702878181116628992/GNuaJ52f_normal.jpg","View")</f>
        <v>View</v>
      </c>
      <c r="P3827" s="27"/>
    </row>
    <row r="3828">
      <c r="A3828" s="14">
        <v>43031.24096064815</v>
      </c>
      <c r="B3828" s="20" t="str">
        <f>HYPERLINK("https://twitter.com/yczh163","@yczh163")</f>
        <v>@yczh163</v>
      </c>
      <c r="C3828" s="21" t="s">
        <v>8896</v>
      </c>
      <c r="D3828" s="21" t="s">
        <v>8665</v>
      </c>
      <c r="E3828" s="22" t="str">
        <f>HYPERLINK("https://twitter.com/yczh163/status/922444237899055104","922444237899055104")</f>
        <v>922444237899055104</v>
      </c>
      <c r="F3828" s="23" t="s">
        <v>33</v>
      </c>
      <c r="G3828" s="24">
        <v>62.0</v>
      </c>
      <c r="H3828" s="24">
        <v>512.0</v>
      </c>
      <c r="I3828" s="24">
        <v>67.0</v>
      </c>
      <c r="J3828" s="24">
        <v>0.0</v>
      </c>
      <c r="K3828" s="23" t="s">
        <v>34</v>
      </c>
      <c r="L3828" s="25">
        <v>41364.097407407404</v>
      </c>
      <c r="M3828" s="28"/>
      <c r="N3828" s="28"/>
      <c r="O3828" s="22" t="str">
        <f>HYPERLINK("https://pbs.twimg.com/profile_images/856424465005035520/KEHnC87d_normal.jpg","View")</f>
        <v>View</v>
      </c>
      <c r="P3828" s="27"/>
    </row>
    <row r="3829">
      <c r="A3829" s="14">
        <v>43031.24103009259</v>
      </c>
      <c r="B3829" s="20" t="str">
        <f>HYPERLINK("https://twitter.com/conejitonoel","@conejitonoel")</f>
        <v>@conejitonoel</v>
      </c>
      <c r="C3829" s="21" t="s">
        <v>8897</v>
      </c>
      <c r="D3829" s="21" t="s">
        <v>8782</v>
      </c>
      <c r="E3829" s="22" t="str">
        <f>HYPERLINK("https://twitter.com/conejitonoel/status/922444265979912192","922444265979912192")</f>
        <v>922444265979912192</v>
      </c>
      <c r="F3829" s="23" t="s">
        <v>39</v>
      </c>
      <c r="G3829" s="24">
        <v>668.0</v>
      </c>
      <c r="H3829" s="24">
        <v>97.0</v>
      </c>
      <c r="I3829" s="24">
        <v>20.0</v>
      </c>
      <c r="J3829" s="24">
        <v>0.0</v>
      </c>
      <c r="K3829" s="23" t="s">
        <v>34</v>
      </c>
      <c r="L3829" s="25">
        <v>40723.19652777778</v>
      </c>
      <c r="M3829" s="26" t="s">
        <v>271</v>
      </c>
      <c r="N3829" s="26" t="s">
        <v>8898</v>
      </c>
      <c r="O3829" s="22" t="str">
        <f>HYPERLINK("https://pbs.twimg.com/profile_images/894728723680829440/dsPrCOvM_normal.jpg","View")</f>
        <v>View</v>
      </c>
      <c r="P3829" s="27"/>
    </row>
    <row r="3830">
      <c r="A3830" s="14">
        <v>43031.241064814814</v>
      </c>
      <c r="B3830" s="20" t="str">
        <f>HYPERLINK("https://twitter.com/jimkube","@jimkube")</f>
        <v>@jimkube</v>
      </c>
      <c r="C3830" s="21" t="s">
        <v>8899</v>
      </c>
      <c r="D3830" s="21" t="s">
        <v>8665</v>
      </c>
      <c r="E3830" s="22" t="str">
        <f>HYPERLINK("https://twitter.com/jimkube/status/922444278139359232","922444278139359232")</f>
        <v>922444278139359232</v>
      </c>
      <c r="F3830" s="23" t="s">
        <v>39</v>
      </c>
      <c r="G3830" s="24">
        <v>103.0</v>
      </c>
      <c r="H3830" s="24">
        <v>94.0</v>
      </c>
      <c r="I3830" s="24">
        <v>67.0</v>
      </c>
      <c r="J3830" s="24">
        <v>0.0</v>
      </c>
      <c r="K3830" s="23" t="s">
        <v>34</v>
      </c>
      <c r="L3830" s="25">
        <v>40773.497766203705</v>
      </c>
      <c r="M3830" s="28"/>
      <c r="N3830" s="28"/>
      <c r="O3830" s="22" t="str">
        <f>HYPERLINK("https://pbs.twimg.com/profile_images/3537717424/d16f8b2d73c94fed21d21b6152beceb1_normal.jpeg","View")</f>
        <v>View</v>
      </c>
      <c r="P3830" s="27"/>
    </row>
    <row r="3831">
      <c r="A3831" s="14">
        <v>43031.241215277776</v>
      </c>
      <c r="B3831" s="20" t="str">
        <f>HYPERLINK("https://twitter.com/phaxyn","@phaxyn")</f>
        <v>@phaxyn</v>
      </c>
      <c r="C3831" s="21" t="s">
        <v>895</v>
      </c>
      <c r="D3831" s="21" t="s">
        <v>8900</v>
      </c>
      <c r="E3831" s="22" t="str">
        <f>HYPERLINK("https://twitter.com/phaxyn/status/922444332476530690","922444332476530690")</f>
        <v>922444332476530690</v>
      </c>
      <c r="F3831" s="23" t="s">
        <v>187</v>
      </c>
      <c r="G3831" s="24">
        <v>2543.0</v>
      </c>
      <c r="H3831" s="24">
        <v>2019.0</v>
      </c>
      <c r="I3831" s="24">
        <v>0.0</v>
      </c>
      <c r="J3831" s="24">
        <v>0.0</v>
      </c>
      <c r="K3831" s="23" t="s">
        <v>34</v>
      </c>
      <c r="L3831" s="25">
        <v>39990.304861111115</v>
      </c>
      <c r="M3831" s="26" t="s">
        <v>897</v>
      </c>
      <c r="N3831" s="26" t="s">
        <v>898</v>
      </c>
      <c r="O3831" s="22" t="str">
        <f>HYPERLINK("https://pbs.twimg.com/profile_images/823182659983736832/XAaQ7I1U_normal.jpg","View")</f>
        <v>View</v>
      </c>
      <c r="P3831" s="27"/>
    </row>
    <row r="3832">
      <c r="A3832" s="14">
        <v>43031.24133101852</v>
      </c>
      <c r="B3832" s="20" t="str">
        <f>HYPERLINK("https://twitter.com/Iamsantasree","@Iamsantasree")</f>
        <v>@Iamsantasree</v>
      </c>
      <c r="C3832" s="21" t="s">
        <v>8901</v>
      </c>
      <c r="D3832" s="21" t="s">
        <v>8665</v>
      </c>
      <c r="E3832" s="22" t="str">
        <f>HYPERLINK("https://twitter.com/Iamsantasree/status/922444373144625152","922444373144625152")</f>
        <v>922444373144625152</v>
      </c>
      <c r="F3832" s="23" t="s">
        <v>55</v>
      </c>
      <c r="G3832" s="24">
        <v>772.0</v>
      </c>
      <c r="H3832" s="24">
        <v>142.0</v>
      </c>
      <c r="I3832" s="24">
        <v>67.0</v>
      </c>
      <c r="J3832" s="24">
        <v>0.0</v>
      </c>
      <c r="K3832" s="23" t="s">
        <v>34</v>
      </c>
      <c r="L3832" s="25">
        <v>40317.15356481481</v>
      </c>
      <c r="M3832" s="26" t="s">
        <v>8902</v>
      </c>
      <c r="N3832" s="26" t="s">
        <v>8903</v>
      </c>
      <c r="O3832" s="22" t="str">
        <f>HYPERLINK("https://pbs.twimg.com/profile_images/912539016/Twitterphotos_normal.jpg","View")</f>
        <v>View</v>
      </c>
      <c r="P3832" s="27"/>
    </row>
    <row r="3833">
      <c r="A3833" s="14">
        <v>43031.241388888884</v>
      </c>
      <c r="B3833" s="20" t="str">
        <f>HYPERLINK("https://twitter.com/o_masa","@o_masa")</f>
        <v>@o_masa</v>
      </c>
      <c r="C3833" s="21" t="s">
        <v>8904</v>
      </c>
      <c r="D3833" s="21" t="s">
        <v>42</v>
      </c>
      <c r="E3833" s="22" t="str">
        <f>HYPERLINK("https://twitter.com/o_masa/status/922444392811479042","922444392811479042")</f>
        <v>922444392811479042</v>
      </c>
      <c r="F3833" s="23" t="s">
        <v>39</v>
      </c>
      <c r="G3833" s="24">
        <v>1942.0</v>
      </c>
      <c r="H3833" s="24">
        <v>2076.0</v>
      </c>
      <c r="I3833" s="24">
        <v>8501.0</v>
      </c>
      <c r="J3833" s="24">
        <v>0.0</v>
      </c>
      <c r="K3833" s="23" t="s">
        <v>34</v>
      </c>
      <c r="L3833" s="25">
        <v>40054.02400462963</v>
      </c>
      <c r="M3833" s="26" t="s">
        <v>8905</v>
      </c>
      <c r="N3833" s="26" t="s">
        <v>8906</v>
      </c>
      <c r="O3833" s="22" t="str">
        <f>HYPERLINK("https://pbs.twimg.com/profile_images/1577745591/mimi2_normal.JPG","View")</f>
        <v>View</v>
      </c>
      <c r="P3833" s="27"/>
    </row>
    <row r="3834">
      <c r="A3834" s="14">
        <v>43031.24150462963</v>
      </c>
      <c r="B3834" s="20" t="str">
        <f>HYPERLINK("https://twitter.com/Nitishk31352206","@Nitishk31352206")</f>
        <v>@Nitishk31352206</v>
      </c>
      <c r="C3834" s="21" t="s">
        <v>8907</v>
      </c>
      <c r="D3834" s="21" t="s">
        <v>42</v>
      </c>
      <c r="E3834" s="22" t="str">
        <f>HYPERLINK("https://twitter.com/Nitishk31352206/status/922444437929697280","922444437929697280")</f>
        <v>922444437929697280</v>
      </c>
      <c r="F3834" s="23" t="s">
        <v>33</v>
      </c>
      <c r="G3834" s="24">
        <v>35.0</v>
      </c>
      <c r="H3834" s="24">
        <v>106.0</v>
      </c>
      <c r="I3834" s="24">
        <v>8501.0</v>
      </c>
      <c r="J3834" s="24">
        <v>0.0</v>
      </c>
      <c r="K3834" s="23" t="s">
        <v>34</v>
      </c>
      <c r="L3834" s="25">
        <v>42801.06085648148</v>
      </c>
      <c r="M3834" s="26" t="s">
        <v>7833</v>
      </c>
      <c r="N3834" s="26" t="s">
        <v>8908</v>
      </c>
      <c r="O3834" s="22" t="str">
        <f>HYPERLINK("https://pbs.twimg.com/profile_images/839294074272231424/9XRRzi6Z_normal.jpg","View")</f>
        <v>View</v>
      </c>
      <c r="P3834" s="27"/>
    </row>
    <row r="3835">
      <c r="A3835" s="14">
        <v>43031.24151620371</v>
      </c>
      <c r="B3835" s="20" t="str">
        <f>HYPERLINK("https://twitter.com/willynasanerd","@willynasanerd")</f>
        <v>@willynasanerd</v>
      </c>
      <c r="C3835" s="21" t="s">
        <v>8909</v>
      </c>
      <c r="D3835" s="21" t="s">
        <v>2157</v>
      </c>
      <c r="E3835" s="22" t="str">
        <f>HYPERLINK("https://twitter.com/willynasanerd/status/922444442551844864","922444442551844864")</f>
        <v>922444442551844864</v>
      </c>
      <c r="F3835" s="23" t="s">
        <v>39</v>
      </c>
      <c r="G3835" s="24">
        <v>490.0</v>
      </c>
      <c r="H3835" s="24">
        <v>1356.0</v>
      </c>
      <c r="I3835" s="24">
        <v>12.0</v>
      </c>
      <c r="J3835" s="24">
        <v>0.0</v>
      </c>
      <c r="K3835" s="23" t="s">
        <v>34</v>
      </c>
      <c r="L3835" s="25">
        <v>41123.89640046297</v>
      </c>
      <c r="M3835" s="26" t="s">
        <v>8910</v>
      </c>
      <c r="N3835" s="26" t="s">
        <v>8911</v>
      </c>
      <c r="O3835" s="22" t="str">
        <f>HYPERLINK("https://pbs.twimg.com/profile_images/835730048040767488/ob45Y-jq_normal.jpg","View")</f>
        <v>View</v>
      </c>
      <c r="P3835" s="27"/>
    </row>
    <row r="3836">
      <c r="A3836" s="14">
        <v>43031.24153935185</v>
      </c>
      <c r="B3836" s="20" t="str">
        <f>HYPERLINK("https://twitter.com/jepangnet","@jepangnet")</f>
        <v>@jepangnet</v>
      </c>
      <c r="C3836" s="29" t="s">
        <v>3404</v>
      </c>
      <c r="D3836" s="21" t="s">
        <v>8912</v>
      </c>
      <c r="E3836" s="22" t="str">
        <f>HYPERLINK("https://twitter.com/jepangnet/status/922444449199939584","922444449199939584")</f>
        <v>922444449199939584</v>
      </c>
      <c r="F3836" s="23" t="s">
        <v>187</v>
      </c>
      <c r="G3836" s="24">
        <v>1830.0</v>
      </c>
      <c r="H3836" s="24">
        <v>73.0</v>
      </c>
      <c r="I3836" s="24">
        <v>0.0</v>
      </c>
      <c r="J3836" s="24">
        <v>0.0</v>
      </c>
      <c r="K3836" s="23" t="s">
        <v>34</v>
      </c>
      <c r="L3836" s="25">
        <v>41367.07915509259</v>
      </c>
      <c r="M3836" s="28"/>
      <c r="N3836" s="26" t="s">
        <v>3406</v>
      </c>
      <c r="O3836" s="22" t="str">
        <f>HYPERLINK("https://pbs.twimg.com/profile_images/584780080838115328/JAX1NIUM_normal.jpg","View")</f>
        <v>View</v>
      </c>
      <c r="P3836" s="27"/>
    </row>
    <row r="3837">
      <c r="A3837" s="14">
        <v>43031.24160879629</v>
      </c>
      <c r="B3837" s="20" t="str">
        <f>HYPERLINK("https://twitter.com/manu420840","@manu420840")</f>
        <v>@manu420840</v>
      </c>
      <c r="C3837" s="21" t="s">
        <v>8913</v>
      </c>
      <c r="D3837" s="21" t="s">
        <v>42</v>
      </c>
      <c r="E3837" s="22" t="str">
        <f>HYPERLINK("https://twitter.com/manu420840/status/922444474457866240","922444474457866240")</f>
        <v>922444474457866240</v>
      </c>
      <c r="F3837" s="23" t="s">
        <v>43</v>
      </c>
      <c r="G3837" s="24">
        <v>16.0</v>
      </c>
      <c r="H3837" s="24">
        <v>25.0</v>
      </c>
      <c r="I3837" s="24">
        <v>8501.0</v>
      </c>
      <c r="J3837" s="24">
        <v>0.0</v>
      </c>
      <c r="K3837" s="23" t="s">
        <v>34</v>
      </c>
      <c r="L3837" s="25">
        <v>40188.44943287037</v>
      </c>
      <c r="M3837" s="28"/>
      <c r="N3837" s="28"/>
      <c r="O3837" s="22" t="str">
        <f>HYPERLINK("https://pbs.twimg.com/profile_images/919845724992315392/IzebEd3q_normal.jpg","View")</f>
        <v>View</v>
      </c>
      <c r="P3837" s="27"/>
    </row>
    <row r="3838">
      <c r="A3838" s="14">
        <v>43031.24160879629</v>
      </c>
      <c r="B3838" s="20" t="str">
        <f>HYPERLINK("https://twitter.com/momozo70","@momozo70")</f>
        <v>@momozo70</v>
      </c>
      <c r="C3838" s="21" t="s">
        <v>8914</v>
      </c>
      <c r="D3838" s="21" t="s">
        <v>8782</v>
      </c>
      <c r="E3838" s="22" t="str">
        <f>HYPERLINK("https://twitter.com/momozo70/status/922444475376459778","922444475376459778")</f>
        <v>922444475376459778</v>
      </c>
      <c r="F3838" s="23" t="s">
        <v>55</v>
      </c>
      <c r="G3838" s="24">
        <v>92.0</v>
      </c>
      <c r="H3838" s="24">
        <v>332.0</v>
      </c>
      <c r="I3838" s="24">
        <v>20.0</v>
      </c>
      <c r="J3838" s="24">
        <v>0.0</v>
      </c>
      <c r="K3838" s="23" t="s">
        <v>34</v>
      </c>
      <c r="L3838" s="25">
        <v>40626.80138888889</v>
      </c>
      <c r="M3838" s="28"/>
      <c r="N3838" s="26" t="s">
        <v>8915</v>
      </c>
      <c r="O3838" s="22" t="str">
        <f>HYPERLINK("https://pbs.twimg.com/profile_images/787198951262818304/oVQzOEh8_normal.jpg","View")</f>
        <v>View</v>
      </c>
      <c r="P3838" s="27"/>
    </row>
    <row r="3839">
      <c r="A3839" s="14">
        <v>43031.24166666667</v>
      </c>
      <c r="B3839" s="20" t="str">
        <f>HYPERLINK("https://twitter.com/GooglePixel_","@GooglePixel_")</f>
        <v>@GooglePixel_</v>
      </c>
      <c r="C3839" s="21" t="s">
        <v>185</v>
      </c>
      <c r="D3839" s="21" t="s">
        <v>8916</v>
      </c>
      <c r="E3839" s="22" t="str">
        <f>HYPERLINK("https://twitter.com/GooglePixel_/status/922444496297775105","922444496297775105")</f>
        <v>922444496297775105</v>
      </c>
      <c r="F3839" s="23" t="s">
        <v>187</v>
      </c>
      <c r="G3839" s="24">
        <v>118.0</v>
      </c>
      <c r="H3839" s="24">
        <v>61.0</v>
      </c>
      <c r="I3839" s="24">
        <v>0.0</v>
      </c>
      <c r="J3839" s="24">
        <v>0.0</v>
      </c>
      <c r="K3839" s="23" t="s">
        <v>34</v>
      </c>
      <c r="L3839" s="25">
        <v>42336.19453703704</v>
      </c>
      <c r="M3839" s="28"/>
      <c r="N3839" s="26" t="s">
        <v>188</v>
      </c>
      <c r="O3839" s="22" t="str">
        <f>HYPERLINK("https://pbs.twimg.com/profile_images/801493045191376896/MDIIxyrv_normal.jpg","View")</f>
        <v>View</v>
      </c>
      <c r="P3839" s="27"/>
    </row>
    <row r="3840">
      <c r="A3840" s="14">
        <v>43031.241689814815</v>
      </c>
      <c r="B3840" s="20" t="str">
        <f>HYPERLINK("https://twitter.com/rajsa79","@rajsa79")</f>
        <v>@rajsa79</v>
      </c>
      <c r="C3840" s="21" t="s">
        <v>8917</v>
      </c>
      <c r="D3840" s="21" t="s">
        <v>42</v>
      </c>
      <c r="E3840" s="22" t="str">
        <f>HYPERLINK("https://twitter.com/rajsa79/status/922444501603323904","922444501603323904")</f>
        <v>922444501603323904</v>
      </c>
      <c r="F3840" s="23" t="s">
        <v>33</v>
      </c>
      <c r="G3840" s="24">
        <v>158.0</v>
      </c>
      <c r="H3840" s="24">
        <v>323.0</v>
      </c>
      <c r="I3840" s="24">
        <v>8501.0</v>
      </c>
      <c r="J3840" s="24">
        <v>0.0</v>
      </c>
      <c r="K3840" s="23" t="s">
        <v>34</v>
      </c>
      <c r="L3840" s="25">
        <v>42285.36586805555</v>
      </c>
      <c r="M3840" s="26" t="s">
        <v>8918</v>
      </c>
      <c r="N3840" s="26" t="s">
        <v>8919</v>
      </c>
      <c r="O3840" s="22" t="str">
        <f>HYPERLINK("https://pbs.twimg.com/profile_images/905802302417543169/Vv6rqkwx_normal.jpg","View")</f>
        <v>View</v>
      </c>
      <c r="P3840" s="27"/>
    </row>
    <row r="3841">
      <c r="A3841" s="14">
        <v>43031.241736111115</v>
      </c>
      <c r="B3841" s="20" t="str">
        <f>HYPERLINK("https://twitter.com/DrElnora","@DrElnora")</f>
        <v>@DrElnora</v>
      </c>
      <c r="C3841" s="21" t="s">
        <v>4213</v>
      </c>
      <c r="D3841" s="21" t="s">
        <v>8665</v>
      </c>
      <c r="E3841" s="22" t="str">
        <f>HYPERLINK("https://twitter.com/DrElnora/status/922444521677475840","922444521677475840")</f>
        <v>922444521677475840</v>
      </c>
      <c r="F3841" s="23" t="s">
        <v>33</v>
      </c>
      <c r="G3841" s="24">
        <v>6445.0</v>
      </c>
      <c r="H3841" s="24">
        <v>4891.0</v>
      </c>
      <c r="I3841" s="24">
        <v>67.0</v>
      </c>
      <c r="J3841" s="24">
        <v>0.0</v>
      </c>
      <c r="K3841" s="23" t="s">
        <v>34</v>
      </c>
      <c r="L3841" s="25">
        <v>41403.65494212963</v>
      </c>
      <c r="M3841" s="28"/>
      <c r="N3841" s="26" t="s">
        <v>4214</v>
      </c>
      <c r="O3841" s="22" t="str">
        <f>HYPERLINK("https://pbs.twimg.com/profile_images/378800000020664644/363a8e7ca064cbd7611800d362cbf9f0_normal.jpeg","View")</f>
        <v>View</v>
      </c>
      <c r="P3841" s="27"/>
    </row>
    <row r="3842">
      <c r="A3842" s="14">
        <v>43031.24197916666</v>
      </c>
      <c r="B3842" s="20" t="str">
        <f>HYPERLINK("https://twitter.com/pangtarth","@pangtarth")</f>
        <v>@pangtarth</v>
      </c>
      <c r="C3842" s="21" t="s">
        <v>8920</v>
      </c>
      <c r="D3842" s="21" t="s">
        <v>8665</v>
      </c>
      <c r="E3842" s="22" t="str">
        <f>HYPERLINK("https://twitter.com/pangtarth/status/922444607413035010","922444607413035010")</f>
        <v>922444607413035010</v>
      </c>
      <c r="F3842" s="23" t="s">
        <v>55</v>
      </c>
      <c r="G3842" s="24">
        <v>46.0</v>
      </c>
      <c r="H3842" s="24">
        <v>117.0</v>
      </c>
      <c r="I3842" s="24">
        <v>67.0</v>
      </c>
      <c r="J3842" s="24">
        <v>0.0</v>
      </c>
      <c r="K3842" s="23" t="s">
        <v>34</v>
      </c>
      <c r="L3842" s="25">
        <v>39908.01813657407</v>
      </c>
      <c r="M3842" s="26" t="s">
        <v>8921</v>
      </c>
      <c r="N3842" s="26" t="s">
        <v>8922</v>
      </c>
      <c r="O3842" s="22" t="str">
        <f>HYPERLINK("https://pbs.twimg.com/profile_images/921029183987265536/mFylZdCp_normal.jpg","View")</f>
        <v>View</v>
      </c>
      <c r="P3842" s="27"/>
    </row>
    <row r="3843">
      <c r="A3843" s="14">
        <v>43031.242002314815</v>
      </c>
      <c r="B3843" s="20" t="str">
        <f>HYPERLINK("https://twitter.com/arpitptl555","@arpitptl555")</f>
        <v>@arpitptl555</v>
      </c>
      <c r="C3843" s="21" t="s">
        <v>8923</v>
      </c>
      <c r="D3843" s="21" t="s">
        <v>42</v>
      </c>
      <c r="E3843" s="22" t="str">
        <f>HYPERLINK("https://twitter.com/arpitptl555/status/922444616086863872","922444616086863872")</f>
        <v>922444616086863872</v>
      </c>
      <c r="F3843" s="23" t="s">
        <v>39</v>
      </c>
      <c r="G3843" s="24">
        <v>80.0</v>
      </c>
      <c r="H3843" s="24">
        <v>213.0</v>
      </c>
      <c r="I3843" s="24">
        <v>8501.0</v>
      </c>
      <c r="J3843" s="24">
        <v>0.0</v>
      </c>
      <c r="K3843" s="23" t="s">
        <v>34</v>
      </c>
      <c r="L3843" s="25">
        <v>40979.08125</v>
      </c>
      <c r="M3843" s="26" t="s">
        <v>8924</v>
      </c>
      <c r="N3843" s="28"/>
      <c r="O3843" s="22" t="str">
        <f>HYPERLINK("https://pbs.twimg.com/profile_images/667629136165208064/tUyQWFXO_normal.png","View")</f>
        <v>View</v>
      </c>
      <c r="P3843" s="27"/>
    </row>
    <row r="3844">
      <c r="A3844" s="14">
        <v>43031.242106481484</v>
      </c>
      <c r="B3844" s="20" t="str">
        <f>HYPERLINK("https://twitter.com/whirrlpool","@whirrlpool")</f>
        <v>@whirrlpool</v>
      </c>
      <c r="C3844" s="21" t="s">
        <v>4194</v>
      </c>
      <c r="D3844" s="21" t="s">
        <v>8925</v>
      </c>
      <c r="E3844" s="22" t="str">
        <f>HYPERLINK("https://twitter.com/whirrlpool/status/922444655999926274","922444655999926274")</f>
        <v>922444655999926274</v>
      </c>
      <c r="F3844" s="23" t="s">
        <v>39</v>
      </c>
      <c r="G3844" s="24">
        <v>401.0</v>
      </c>
      <c r="H3844" s="24">
        <v>519.0</v>
      </c>
      <c r="I3844" s="24">
        <v>1.0</v>
      </c>
      <c r="J3844" s="24">
        <v>0.0</v>
      </c>
      <c r="K3844" s="23" t="s">
        <v>34</v>
      </c>
      <c r="L3844" s="25">
        <v>40917.27068287037</v>
      </c>
      <c r="M3844" s="28"/>
      <c r="N3844" s="26" t="s">
        <v>4196</v>
      </c>
      <c r="O3844" s="22" t="str">
        <f>HYPERLINK("https://pbs.twimg.com/profile_images/701068563767930881/wqjR2jAq_normal.jpg","View")</f>
        <v>View</v>
      </c>
      <c r="P3844" s="27"/>
    </row>
    <row r="3845">
      <c r="A3845" s="14">
        <v>43031.242118055554</v>
      </c>
      <c r="B3845" s="20" t="str">
        <f>HYPERLINK("https://twitter.com/Theertha82","@Theertha82")</f>
        <v>@Theertha82</v>
      </c>
      <c r="C3845" s="21" t="s">
        <v>8926</v>
      </c>
      <c r="D3845" s="21" t="s">
        <v>42</v>
      </c>
      <c r="E3845" s="22" t="str">
        <f>HYPERLINK("https://twitter.com/Theertha82/status/922444660294926337","922444660294926337")</f>
        <v>922444660294926337</v>
      </c>
      <c r="F3845" s="23" t="s">
        <v>33</v>
      </c>
      <c r="G3845" s="24">
        <v>51.0</v>
      </c>
      <c r="H3845" s="24">
        <v>123.0</v>
      </c>
      <c r="I3845" s="24">
        <v>8501.0</v>
      </c>
      <c r="J3845" s="24">
        <v>0.0</v>
      </c>
      <c r="K3845" s="23" t="s">
        <v>34</v>
      </c>
      <c r="L3845" s="25">
        <v>41516.22746527778</v>
      </c>
      <c r="M3845" s="28"/>
      <c r="N3845" s="26" t="s">
        <v>204</v>
      </c>
      <c r="O3845" s="22" t="str">
        <f>HYPERLINK("https://pbs.twimg.com/profile_images/863362429715197953/If_gS4vx_normal.jpg","View")</f>
        <v>View</v>
      </c>
      <c r="P3845" s="27"/>
    </row>
    <row r="3846">
      <c r="A3846" s="14">
        <v>43031.24215277778</v>
      </c>
      <c r="B3846" s="20" t="str">
        <f>HYPERLINK("https://twitter.com/aksinhaster","@aksinhaster")</f>
        <v>@aksinhaster</v>
      </c>
      <c r="C3846" s="21" t="s">
        <v>8927</v>
      </c>
      <c r="D3846" s="21" t="s">
        <v>42</v>
      </c>
      <c r="E3846" s="22" t="str">
        <f>HYPERLINK("https://twitter.com/aksinhaster/status/922444670008823808","922444670008823808")</f>
        <v>922444670008823808</v>
      </c>
      <c r="F3846" s="23" t="s">
        <v>33</v>
      </c>
      <c r="G3846" s="24">
        <v>370.0</v>
      </c>
      <c r="H3846" s="24">
        <v>401.0</v>
      </c>
      <c r="I3846" s="24">
        <v>8501.0</v>
      </c>
      <c r="J3846" s="24">
        <v>0.0</v>
      </c>
      <c r="K3846" s="23" t="s">
        <v>34</v>
      </c>
      <c r="L3846" s="25">
        <v>40560.150300925925</v>
      </c>
      <c r="M3846" s="26" t="s">
        <v>204</v>
      </c>
      <c r="N3846" s="28"/>
      <c r="O3846" s="22" t="str">
        <f>HYPERLINK("https://pbs.twimg.com/profile_images/500932074337861633/8t5GpqMI_normal.jpeg","View")</f>
        <v>View</v>
      </c>
      <c r="P3846" s="27"/>
    </row>
    <row r="3847">
      <c r="A3847" s="14">
        <v>43031.24239583334</v>
      </c>
      <c r="B3847" s="20" t="str">
        <f>HYPERLINK("https://twitter.com/owusoya","@owusoya")</f>
        <v>@owusoya</v>
      </c>
      <c r="C3847" s="21" t="s">
        <v>8928</v>
      </c>
      <c r="D3847" s="21" t="s">
        <v>8665</v>
      </c>
      <c r="E3847" s="22" t="str">
        <f>HYPERLINK("https://twitter.com/owusoya/status/922444758500499456","922444758500499456")</f>
        <v>922444758500499456</v>
      </c>
      <c r="F3847" s="23" t="s">
        <v>33</v>
      </c>
      <c r="G3847" s="24">
        <v>98.0</v>
      </c>
      <c r="H3847" s="24">
        <v>520.0</v>
      </c>
      <c r="I3847" s="24">
        <v>67.0</v>
      </c>
      <c r="J3847" s="24">
        <v>0.0</v>
      </c>
      <c r="K3847" s="23" t="s">
        <v>34</v>
      </c>
      <c r="L3847" s="25">
        <v>42487.26950231481</v>
      </c>
      <c r="M3847" s="28"/>
      <c r="N3847" s="28"/>
      <c r="O3847" s="22" t="str">
        <f>HYPERLINK("https://pbs.twimg.com/profile_images/865080102052282369/5hpvKOr0_normal.jpg","View")</f>
        <v>View</v>
      </c>
      <c r="P3847" s="27"/>
    </row>
    <row r="3848">
      <c r="A3848" s="14">
        <v>43031.2424537037</v>
      </c>
      <c r="B3848" s="20" t="str">
        <f>HYPERLINK("https://twitter.com/GNgraphicnews","@GNgraphicnews")</f>
        <v>@GNgraphicnews</v>
      </c>
      <c r="C3848" s="21" t="s">
        <v>8929</v>
      </c>
      <c r="D3848" s="21" t="s">
        <v>8930</v>
      </c>
      <c r="E3848" s="22" t="str">
        <f>HYPERLINK("https://twitter.com/GNgraphicnews/status/922444780713295873","922444780713295873")</f>
        <v>922444780713295873</v>
      </c>
      <c r="F3848" s="30" t="s">
        <v>411</v>
      </c>
      <c r="G3848" s="24">
        <v>1639.0</v>
      </c>
      <c r="H3848" s="24">
        <v>1369.0</v>
      </c>
      <c r="I3848" s="24">
        <v>0.0</v>
      </c>
      <c r="J3848" s="24">
        <v>0.0</v>
      </c>
      <c r="K3848" s="23" t="s">
        <v>34</v>
      </c>
      <c r="L3848" s="25">
        <v>41098.28873842592</v>
      </c>
      <c r="M3848" s="26" t="s">
        <v>334</v>
      </c>
      <c r="N3848" s="26" t="s">
        <v>8931</v>
      </c>
      <c r="O3848" s="22" t="str">
        <f>HYPERLINK("https://pbs.twimg.com/profile_images/3179300854/76f405df22a7f7b3723061bea938098d_normal.png","View")</f>
        <v>View</v>
      </c>
      <c r="P3848" s="27"/>
    </row>
    <row r="3849">
      <c r="A3849" s="14">
        <v>43031.2424537037</v>
      </c>
      <c r="B3849" s="20" t="str">
        <f>HYPERLINK("https://twitter.com/Abhishe69154059","@Abhishe69154059")</f>
        <v>@Abhishe69154059</v>
      </c>
      <c r="C3849" s="21" t="s">
        <v>8932</v>
      </c>
      <c r="D3849" s="21" t="s">
        <v>42</v>
      </c>
      <c r="E3849" s="22" t="str">
        <f>HYPERLINK("https://twitter.com/Abhishe69154059/status/922444781329948677","922444781329948677")</f>
        <v>922444781329948677</v>
      </c>
      <c r="F3849" s="23" t="s">
        <v>39</v>
      </c>
      <c r="G3849" s="24">
        <v>39.0</v>
      </c>
      <c r="H3849" s="24">
        <v>114.0</v>
      </c>
      <c r="I3849" s="24">
        <v>8501.0</v>
      </c>
      <c r="J3849" s="24">
        <v>0.0</v>
      </c>
      <c r="K3849" s="23" t="s">
        <v>34</v>
      </c>
      <c r="L3849" s="25">
        <v>42890.36185185185</v>
      </c>
      <c r="M3849" s="28"/>
      <c r="N3849" s="28"/>
      <c r="O3849" s="22" t="str">
        <f>HYPERLINK("https://pbs.twimg.com/profile_images/874985709873975297/H26yr1f1_normal.jpg","View")</f>
        <v>View</v>
      </c>
      <c r="P3849" s="27"/>
    </row>
    <row r="3850">
      <c r="A3850" s="14">
        <v>43031.24259259259</v>
      </c>
      <c r="B3850" s="20" t="str">
        <f>HYPERLINK("https://twitter.com/grannycoo","@grannycoo")</f>
        <v>@grannycoo</v>
      </c>
      <c r="C3850" s="21" t="s">
        <v>8933</v>
      </c>
      <c r="D3850" s="21" t="s">
        <v>8665</v>
      </c>
      <c r="E3850" s="22" t="str">
        <f>HYPERLINK("https://twitter.com/grannycoo/status/922444830390833153","922444830390833153")</f>
        <v>922444830390833153</v>
      </c>
      <c r="F3850" s="23" t="s">
        <v>55</v>
      </c>
      <c r="G3850" s="24">
        <v>1248.0</v>
      </c>
      <c r="H3850" s="24">
        <v>399.0</v>
      </c>
      <c r="I3850" s="24">
        <v>67.0</v>
      </c>
      <c r="J3850" s="24">
        <v>0.0</v>
      </c>
      <c r="K3850" s="23" t="s">
        <v>34</v>
      </c>
      <c r="L3850" s="25">
        <v>42045.25949074074</v>
      </c>
      <c r="M3850" s="26" t="s">
        <v>1961</v>
      </c>
      <c r="N3850" s="26" t="s">
        <v>8934</v>
      </c>
      <c r="O3850" s="22" t="str">
        <f>HYPERLINK("https://pbs.twimg.com/profile_images/827517655250763776/zTdZtCWb_normal.jpg","View")</f>
        <v>View</v>
      </c>
      <c r="P3850" s="27"/>
    </row>
    <row r="3851">
      <c r="A3851" s="14">
        <v>43031.242638888885</v>
      </c>
      <c r="B3851" s="20" t="str">
        <f>HYPERLINK("https://twitter.com/kwame70","@kwame70")</f>
        <v>@kwame70</v>
      </c>
      <c r="C3851" s="21" t="s">
        <v>8935</v>
      </c>
      <c r="D3851" s="21" t="s">
        <v>8936</v>
      </c>
      <c r="E3851" s="22" t="str">
        <f>HYPERLINK("https://twitter.com/kwame70/status/922444848325525504","922444848325525504")</f>
        <v>922444848325525504</v>
      </c>
      <c r="F3851" s="23" t="s">
        <v>55</v>
      </c>
      <c r="G3851" s="24">
        <v>2001.0</v>
      </c>
      <c r="H3851" s="24">
        <v>4281.0</v>
      </c>
      <c r="I3851" s="24">
        <v>0.0</v>
      </c>
      <c r="J3851" s="24">
        <v>0.0</v>
      </c>
      <c r="K3851" s="23" t="s">
        <v>34</v>
      </c>
      <c r="L3851" s="25">
        <v>39788.1409837963</v>
      </c>
      <c r="M3851" s="26" t="s">
        <v>8937</v>
      </c>
      <c r="N3851" s="26" t="s">
        <v>8938</v>
      </c>
      <c r="O3851" s="22" t="str">
        <f>HYPERLINK("https://pbs.twimg.com/profile_images/882933251588804608/u8apzIZP_normal.jpg","View")</f>
        <v>View</v>
      </c>
      <c r="P3851" s="27"/>
    </row>
    <row r="3852">
      <c r="A3852" s="14">
        <v>43031.24269675926</v>
      </c>
      <c r="B3852" s="20" t="str">
        <f>HYPERLINK("https://twitter.com/DavidMusumba10","@DavidMusumba10")</f>
        <v>@DavidMusumba10</v>
      </c>
      <c r="C3852" s="21" t="s">
        <v>8939</v>
      </c>
      <c r="D3852" s="21" t="s">
        <v>32</v>
      </c>
      <c r="E3852" s="22" t="str">
        <f>HYPERLINK("https://twitter.com/DavidMusumba10/status/922444870278623234","922444870278623234")</f>
        <v>922444870278623234</v>
      </c>
      <c r="F3852" s="23" t="s">
        <v>33</v>
      </c>
      <c r="G3852" s="24">
        <v>17.0</v>
      </c>
      <c r="H3852" s="24">
        <v>45.0</v>
      </c>
      <c r="I3852" s="24">
        <v>471.0</v>
      </c>
      <c r="J3852" s="24">
        <v>0.0</v>
      </c>
      <c r="K3852" s="23" t="s">
        <v>34</v>
      </c>
      <c r="L3852" s="25">
        <v>42999.03844907407</v>
      </c>
      <c r="M3852" s="26" t="s">
        <v>8940</v>
      </c>
      <c r="N3852" s="26" t="s">
        <v>8941</v>
      </c>
      <c r="O3852" s="22" t="str">
        <f>HYPERLINK("https://pbs.twimg.com/profile_images/913296901042327553/4-gmNtfT_normal.jpg","View")</f>
        <v>View</v>
      </c>
      <c r="P3852" s="27"/>
    </row>
    <row r="3853">
      <c r="A3853" s="14">
        <v>43031.24269675926</v>
      </c>
      <c r="B3853" s="20" t="str">
        <f>HYPERLINK("https://twitter.com/upendramishra69","@upendramishra69")</f>
        <v>@upendramishra69</v>
      </c>
      <c r="C3853" s="21" t="s">
        <v>8942</v>
      </c>
      <c r="D3853" s="21" t="s">
        <v>42</v>
      </c>
      <c r="E3853" s="22" t="str">
        <f>HYPERLINK("https://twitter.com/upendramishra69/status/922444870509199360","922444870509199360")</f>
        <v>922444870509199360</v>
      </c>
      <c r="F3853" s="23" t="s">
        <v>33</v>
      </c>
      <c r="G3853" s="24">
        <v>8.0</v>
      </c>
      <c r="H3853" s="24">
        <v>40.0</v>
      </c>
      <c r="I3853" s="24">
        <v>8501.0</v>
      </c>
      <c r="J3853" s="24">
        <v>0.0</v>
      </c>
      <c r="K3853" s="23" t="s">
        <v>34</v>
      </c>
      <c r="L3853" s="25">
        <v>42208.16828703704</v>
      </c>
      <c r="M3853" s="28"/>
      <c r="N3853" s="28"/>
      <c r="O3853" s="22" t="str">
        <f>HYPERLINK("https://pbs.twimg.com/profile_images/624177915584868352/J6XBoBPv_normal.jpg","View")</f>
        <v>View</v>
      </c>
      <c r="P3853" s="27"/>
    </row>
    <row r="3854">
      <c r="A3854" s="14">
        <v>43031.24270833333</v>
      </c>
      <c r="B3854" s="20" t="str">
        <f>HYPERLINK("https://twitter.com/fumidor","@fumidor")</f>
        <v>@fumidor</v>
      </c>
      <c r="C3854" s="21" t="s">
        <v>8943</v>
      </c>
      <c r="D3854" s="21" t="s">
        <v>42</v>
      </c>
      <c r="E3854" s="22" t="str">
        <f>HYPERLINK("https://twitter.com/fumidor/status/922444871293476865","922444871293476865")</f>
        <v>922444871293476865</v>
      </c>
      <c r="F3854" s="23" t="s">
        <v>39</v>
      </c>
      <c r="G3854" s="24">
        <v>235.0</v>
      </c>
      <c r="H3854" s="24">
        <v>326.0</v>
      </c>
      <c r="I3854" s="24">
        <v>8501.0</v>
      </c>
      <c r="J3854" s="24">
        <v>0.0</v>
      </c>
      <c r="K3854" s="23" t="s">
        <v>34</v>
      </c>
      <c r="L3854" s="25">
        <v>40195.11960648148</v>
      </c>
      <c r="M3854" s="28"/>
      <c r="N3854" s="28"/>
      <c r="O3854" s="22" t="str">
        <f>HYPERLINK("https://pbs.twimg.com/profile_images/722997391658373120/iZ4oRiFE_normal.jpg","View")</f>
        <v>View</v>
      </c>
      <c r="P3854" s="27"/>
    </row>
    <row r="3855">
      <c r="A3855" s="14">
        <v>43031.24278935185</v>
      </c>
      <c r="B3855" s="20" t="str">
        <f t="shared" ref="B3855:B3856" si="65">HYPERLINK("https://twitter.com/DrAsifShahid","@DrAsifShahid")</f>
        <v>@DrAsifShahid</v>
      </c>
      <c r="C3855" s="21" t="s">
        <v>8944</v>
      </c>
      <c r="D3855" s="21" t="s">
        <v>8945</v>
      </c>
      <c r="E3855" s="22" t="str">
        <f>HYPERLINK("https://twitter.com/DrAsifShahid/status/922444900381134849","922444900381134849")</f>
        <v>922444900381134849</v>
      </c>
      <c r="F3855" s="23" t="s">
        <v>55</v>
      </c>
      <c r="G3855" s="24">
        <v>166.0</v>
      </c>
      <c r="H3855" s="24">
        <v>736.0</v>
      </c>
      <c r="I3855" s="24">
        <v>1.0</v>
      </c>
      <c r="J3855" s="24">
        <v>0.0</v>
      </c>
      <c r="K3855" s="23" t="s">
        <v>34</v>
      </c>
      <c r="L3855" s="25">
        <v>41070.42945601852</v>
      </c>
      <c r="M3855" s="26" t="s">
        <v>8946</v>
      </c>
      <c r="N3855" s="26" t="s">
        <v>8947</v>
      </c>
      <c r="O3855" s="22" t="str">
        <f t="shared" ref="O3855:O3856" si="66">HYPERLINK("https://pbs.twimg.com/profile_images/764571135371608064/jXQc4b-D_normal.jpg","View")</f>
        <v>View</v>
      </c>
      <c r="P3855" s="27"/>
    </row>
    <row r="3856">
      <c r="A3856" s="14">
        <v>43031.24283564815</v>
      </c>
      <c r="B3856" s="20" t="str">
        <f t="shared" si="65"/>
        <v>@DrAsifShahid</v>
      </c>
      <c r="C3856" s="21" t="s">
        <v>8944</v>
      </c>
      <c r="D3856" s="21" t="s">
        <v>8948</v>
      </c>
      <c r="E3856" s="22" t="str">
        <f>HYPERLINK("https://twitter.com/DrAsifShahid/status/922444918244757504","922444918244757504")</f>
        <v>922444918244757504</v>
      </c>
      <c r="F3856" s="23" t="s">
        <v>48</v>
      </c>
      <c r="G3856" s="24">
        <v>166.0</v>
      </c>
      <c r="H3856" s="24">
        <v>736.0</v>
      </c>
      <c r="I3856" s="24">
        <v>0.0</v>
      </c>
      <c r="J3856" s="24">
        <v>0.0</v>
      </c>
      <c r="K3856" s="23" t="s">
        <v>34</v>
      </c>
      <c r="L3856" s="25">
        <v>41070.42945601852</v>
      </c>
      <c r="M3856" s="26" t="s">
        <v>8946</v>
      </c>
      <c r="N3856" s="26" t="s">
        <v>8947</v>
      </c>
      <c r="O3856" s="22" t="str">
        <f t="shared" si="66"/>
        <v>View</v>
      </c>
      <c r="P3856" s="27"/>
    </row>
    <row r="3857">
      <c r="A3857" s="14">
        <v>43031.24283564815</v>
      </c>
      <c r="B3857" s="20" t="str">
        <f>HYPERLINK("https://twitter.com/CrystalGlenn97","@CrystalGlenn97")</f>
        <v>@CrystalGlenn97</v>
      </c>
      <c r="C3857" s="21" t="s">
        <v>8949</v>
      </c>
      <c r="D3857" s="21" t="s">
        <v>8950</v>
      </c>
      <c r="E3857" s="22" t="str">
        <f>HYPERLINK("https://twitter.com/CrystalGlenn97/status/922444918865268736","922444918865268736")</f>
        <v>922444918865268736</v>
      </c>
      <c r="F3857" s="23" t="s">
        <v>33</v>
      </c>
      <c r="G3857" s="24">
        <v>83.0</v>
      </c>
      <c r="H3857" s="24">
        <v>2282.0</v>
      </c>
      <c r="I3857" s="24">
        <v>4.0</v>
      </c>
      <c r="J3857" s="24">
        <v>0.0</v>
      </c>
      <c r="K3857" s="23" t="s">
        <v>34</v>
      </c>
      <c r="L3857" s="25">
        <v>40663.15028935185</v>
      </c>
      <c r="M3857" s="26" t="s">
        <v>8951</v>
      </c>
      <c r="N3857" s="28"/>
      <c r="O3857" s="22" t="str">
        <f>HYPERLINK("https://pbs.twimg.com/profile_images/764936957340229633/Bj6dW551_normal.png","View")</f>
        <v>View</v>
      </c>
      <c r="P3857" s="27"/>
    </row>
    <row r="3858">
      <c r="A3858" s="14">
        <v>43031.242986111116</v>
      </c>
      <c r="B3858" s="20" t="str">
        <f>HYPERLINK("https://twitter.com/EllisInvesGroup","@EllisInvesGroup")</f>
        <v>@EllisInvesGroup</v>
      </c>
      <c r="C3858" s="21" t="s">
        <v>8952</v>
      </c>
      <c r="D3858" s="21" t="s">
        <v>8953</v>
      </c>
      <c r="E3858" s="22" t="str">
        <f>HYPERLINK("https://twitter.com/EllisInvesGroup/status/922444971281670144","922444971281670144")</f>
        <v>922444971281670144</v>
      </c>
      <c r="F3858" s="23" t="s">
        <v>427</v>
      </c>
      <c r="G3858" s="24">
        <v>192149.0</v>
      </c>
      <c r="H3858" s="24">
        <v>58682.0</v>
      </c>
      <c r="I3858" s="24">
        <v>0.0</v>
      </c>
      <c r="J3858" s="24">
        <v>2.0</v>
      </c>
      <c r="K3858" s="23" t="s">
        <v>34</v>
      </c>
      <c r="L3858" s="25">
        <v>39886.44366898148</v>
      </c>
      <c r="M3858" s="26" t="s">
        <v>8954</v>
      </c>
      <c r="N3858" s="26" t="s">
        <v>8955</v>
      </c>
      <c r="O3858" s="22" t="str">
        <f>HYPERLINK("https://pbs.twimg.com/profile_images/785459318908973056/mxrd1Z9n_normal.jpg","View")</f>
        <v>View</v>
      </c>
      <c r="P3858" s="27"/>
    </row>
    <row r="3859">
      <c r="A3859" s="14">
        <v>43031.243055555555</v>
      </c>
      <c r="B3859" s="20" t="str">
        <f>HYPERLINK("https://twitter.com/superyayadize","@superyayadize")</f>
        <v>@superyayadize</v>
      </c>
      <c r="C3859" s="21" t="s">
        <v>8956</v>
      </c>
      <c r="D3859" s="21" t="s">
        <v>8957</v>
      </c>
      <c r="E3859" s="22" t="str">
        <f>HYPERLINK("https://twitter.com/superyayadize/status/922445000172023811","922445000172023811")</f>
        <v>922445000172023811</v>
      </c>
      <c r="F3859" s="23" t="s">
        <v>39</v>
      </c>
      <c r="G3859" s="24">
        <v>4946.0</v>
      </c>
      <c r="H3859" s="24">
        <v>4223.0</v>
      </c>
      <c r="I3859" s="24">
        <v>0.0</v>
      </c>
      <c r="J3859" s="24">
        <v>1.0</v>
      </c>
      <c r="K3859" s="23" t="s">
        <v>34</v>
      </c>
      <c r="L3859" s="25">
        <v>42559.670590277776</v>
      </c>
      <c r="M3859" s="28"/>
      <c r="N3859" s="26" t="s">
        <v>8958</v>
      </c>
      <c r="O3859" s="22" t="str">
        <f>HYPERLINK("https://pbs.twimg.com/profile_images/751556106401439744/ezHrP0W2_normal.jpg","View")</f>
        <v>View</v>
      </c>
      <c r="P3859" s="27"/>
    </row>
    <row r="3860">
      <c r="A3860" s="14">
        <v>43031.24314814815</v>
      </c>
      <c r="B3860" s="20" t="str">
        <f>HYPERLINK("https://twitter.com/eTurboNews","@eTurboNews")</f>
        <v>@eTurboNews</v>
      </c>
      <c r="C3860" s="21" t="s">
        <v>8959</v>
      </c>
      <c r="D3860" s="21" t="s">
        <v>8960</v>
      </c>
      <c r="E3860" s="22" t="str">
        <f>HYPERLINK("https://twitter.com/eTurboNews/status/922445031423782912","922445031423782912")</f>
        <v>922445031423782912</v>
      </c>
      <c r="F3860" s="30" t="s">
        <v>191</v>
      </c>
      <c r="G3860" s="24">
        <v>23883.0</v>
      </c>
      <c r="H3860" s="24">
        <v>18212.0</v>
      </c>
      <c r="I3860" s="24">
        <v>0.0</v>
      </c>
      <c r="J3860" s="24">
        <v>0.0</v>
      </c>
      <c r="K3860" s="23" t="s">
        <v>34</v>
      </c>
      <c r="L3860" s="25">
        <v>39922.85739583333</v>
      </c>
      <c r="M3860" s="26" t="s">
        <v>8961</v>
      </c>
      <c r="N3860" s="26" t="s">
        <v>8962</v>
      </c>
      <c r="O3860" s="22" t="str">
        <f>HYPERLINK("https://pbs.twimg.com/profile_images/491388592153849857/ZhkTwNJy_normal.jpeg","View")</f>
        <v>View</v>
      </c>
      <c r="P3860" s="27"/>
    </row>
    <row r="3861">
      <c r="A3861" s="14">
        <v>43031.2431712963</v>
      </c>
      <c r="B3861" s="20" t="str">
        <f>HYPERLINK("https://twitter.com/NirmalKumarRaut","@NirmalKumarRaut")</f>
        <v>@NirmalKumarRaut</v>
      </c>
      <c r="C3861" s="21" t="s">
        <v>8963</v>
      </c>
      <c r="D3861" s="21" t="s">
        <v>8964</v>
      </c>
      <c r="E3861" s="22" t="str">
        <f>HYPERLINK("https://twitter.com/NirmalKumarRaut/status/922445040017850369","922445040017850369")</f>
        <v>922445040017850369</v>
      </c>
      <c r="F3861" s="23" t="s">
        <v>39</v>
      </c>
      <c r="G3861" s="24">
        <v>136.0</v>
      </c>
      <c r="H3861" s="24">
        <v>104.0</v>
      </c>
      <c r="I3861" s="24">
        <v>0.0</v>
      </c>
      <c r="J3861" s="24">
        <v>0.0</v>
      </c>
      <c r="K3861" s="23" t="s">
        <v>34</v>
      </c>
      <c r="L3861" s="25">
        <v>41530.85891203704</v>
      </c>
      <c r="M3861" s="26" t="s">
        <v>3693</v>
      </c>
      <c r="N3861" s="26" t="s">
        <v>8965</v>
      </c>
      <c r="O3861" s="22" t="str">
        <f>HYPERLINK("https://pbs.twimg.com/profile_images/731674760644435968/lk_XL2xV_normal.jpg","View")</f>
        <v>View</v>
      </c>
      <c r="P3861" s="27"/>
    </row>
    <row r="3862">
      <c r="A3862" s="14">
        <v>43031.24319444444</v>
      </c>
      <c r="B3862" s="20" t="str">
        <f>HYPERLINK("https://twitter.com/Rxsuleman","@Rxsuleman")</f>
        <v>@Rxsuleman</v>
      </c>
      <c r="C3862" s="21" t="s">
        <v>8966</v>
      </c>
      <c r="D3862" s="21" t="s">
        <v>42</v>
      </c>
      <c r="E3862" s="22" t="str">
        <f>HYPERLINK("https://twitter.com/Rxsuleman/status/922445046950924289","922445046950924289")</f>
        <v>922445046950924289</v>
      </c>
      <c r="F3862" s="23" t="s">
        <v>39</v>
      </c>
      <c r="G3862" s="24">
        <v>68.0</v>
      </c>
      <c r="H3862" s="24">
        <v>221.0</v>
      </c>
      <c r="I3862" s="24">
        <v>8501.0</v>
      </c>
      <c r="J3862" s="24">
        <v>0.0</v>
      </c>
      <c r="K3862" s="23" t="s">
        <v>34</v>
      </c>
      <c r="L3862" s="25">
        <v>41084.868101851855</v>
      </c>
      <c r="M3862" s="26" t="s">
        <v>1545</v>
      </c>
      <c r="N3862" s="26" t="s">
        <v>8967</v>
      </c>
      <c r="O3862" s="22" t="str">
        <f>HYPERLINK("https://pbs.twimg.com/profile_images/592066497377280000/Y7XL02Kr_normal.jpg","View")</f>
        <v>View</v>
      </c>
      <c r="P3862" s="27"/>
    </row>
    <row r="3863">
      <c r="A3863" s="14">
        <v>43031.243368055555</v>
      </c>
      <c r="B3863" s="20" t="str">
        <f>HYPERLINK("https://twitter.com/chelchabilogujj","@chelchabilogujj")</f>
        <v>@chelchabilogujj</v>
      </c>
      <c r="C3863" s="21" t="s">
        <v>8968</v>
      </c>
      <c r="D3863" s="21" t="s">
        <v>42</v>
      </c>
      <c r="E3863" s="22" t="str">
        <f>HYPERLINK("https://twitter.com/chelchabilogujj/status/922445113489612800","922445113489612800")</f>
        <v>922445113489612800</v>
      </c>
      <c r="F3863" s="23" t="s">
        <v>39</v>
      </c>
      <c r="G3863" s="24">
        <v>284.0</v>
      </c>
      <c r="H3863" s="24">
        <v>856.0</v>
      </c>
      <c r="I3863" s="24">
        <v>8501.0</v>
      </c>
      <c r="J3863" s="24">
        <v>0.0</v>
      </c>
      <c r="K3863" s="23" t="s">
        <v>34</v>
      </c>
      <c r="L3863" s="25">
        <v>41235.88657407407</v>
      </c>
      <c r="M3863" s="26" t="s">
        <v>207</v>
      </c>
      <c r="N3863" s="28"/>
      <c r="O3863" s="22" t="str">
        <f>HYPERLINK("https://pbs.twimg.com/profile_images/862962573477650432/bPDYffZM_normal.jpg","View")</f>
        <v>View</v>
      </c>
      <c r="P3863" s="27"/>
    </row>
    <row r="3864">
      <c r="A3864" s="14">
        <v>43031.243379629625</v>
      </c>
      <c r="B3864" s="20" t="str">
        <f>HYPERLINK("https://twitter.com/darshan4u","@darshan4u")</f>
        <v>@darshan4u</v>
      </c>
      <c r="C3864" s="21" t="s">
        <v>8969</v>
      </c>
      <c r="D3864" s="21" t="s">
        <v>42</v>
      </c>
      <c r="E3864" s="22" t="str">
        <f>HYPERLINK("https://twitter.com/darshan4u/status/922445116031213568","922445116031213568")</f>
        <v>922445116031213568</v>
      </c>
      <c r="F3864" s="23" t="s">
        <v>33</v>
      </c>
      <c r="G3864" s="24">
        <v>586.0</v>
      </c>
      <c r="H3864" s="24">
        <v>1480.0</v>
      </c>
      <c r="I3864" s="24">
        <v>8501.0</v>
      </c>
      <c r="J3864" s="24">
        <v>0.0</v>
      </c>
      <c r="K3864" s="23" t="s">
        <v>34</v>
      </c>
      <c r="L3864" s="25">
        <v>40079.683391203704</v>
      </c>
      <c r="M3864" s="26" t="s">
        <v>204</v>
      </c>
      <c r="N3864" s="26" t="s">
        <v>8970</v>
      </c>
      <c r="O3864" s="22" t="str">
        <f>HYPERLINK("https://pbs.twimg.com/profile_images/792279836597387264/0f-gXUU4_normal.jpg","View")</f>
        <v>View</v>
      </c>
      <c r="P3864" s="27"/>
    </row>
    <row r="3865">
      <c r="A3865" s="14">
        <v>43031.24355324074</v>
      </c>
      <c r="B3865" s="20" t="str">
        <f>HYPERLINK("https://twitter.com/Landsfrichard","@Landsfrichard")</f>
        <v>@Landsfrichard</v>
      </c>
      <c r="C3865" s="21" t="s">
        <v>8971</v>
      </c>
      <c r="D3865" s="21" t="s">
        <v>8972</v>
      </c>
      <c r="E3865" s="22" t="str">
        <f>HYPERLINK("https://twitter.com/Landsfrichard/status/922445179281326080","922445179281326080")</f>
        <v>922445179281326080</v>
      </c>
      <c r="F3865" s="23" t="s">
        <v>48</v>
      </c>
      <c r="G3865" s="24">
        <v>99.0</v>
      </c>
      <c r="H3865" s="24">
        <v>727.0</v>
      </c>
      <c r="I3865" s="24">
        <v>0.0</v>
      </c>
      <c r="J3865" s="24">
        <v>0.0</v>
      </c>
      <c r="K3865" s="23" t="s">
        <v>34</v>
      </c>
      <c r="L3865" s="25">
        <v>41461.067870370374</v>
      </c>
      <c r="M3865" s="26" t="s">
        <v>3327</v>
      </c>
      <c r="N3865" s="26" t="s">
        <v>8973</v>
      </c>
      <c r="O3865" s="22" t="str">
        <f>HYPERLINK("https://abs.twimg.com/sticky/default_profile_images/default_profile_normal.png","View")</f>
        <v>View</v>
      </c>
      <c r="P3865" s="27"/>
    </row>
    <row r="3866">
      <c r="A3866" s="14">
        <v>43031.24358796296</v>
      </c>
      <c r="B3866" s="20" t="str">
        <f>HYPERLINK("https://twitter.com/Montimer94","@Montimer94")</f>
        <v>@Montimer94</v>
      </c>
      <c r="C3866" s="21" t="s">
        <v>8974</v>
      </c>
      <c r="D3866" s="21" t="s">
        <v>8665</v>
      </c>
      <c r="E3866" s="22" t="str">
        <f>HYPERLINK("https://twitter.com/Montimer94/status/922445191663022080","922445191663022080")</f>
        <v>922445191663022080</v>
      </c>
      <c r="F3866" s="23" t="s">
        <v>39</v>
      </c>
      <c r="G3866" s="24">
        <v>689.0</v>
      </c>
      <c r="H3866" s="24">
        <v>350.0</v>
      </c>
      <c r="I3866" s="24">
        <v>67.0</v>
      </c>
      <c r="J3866" s="24">
        <v>0.0</v>
      </c>
      <c r="K3866" s="23" t="s">
        <v>34</v>
      </c>
      <c r="L3866" s="25">
        <v>40819.26918981482</v>
      </c>
      <c r="M3866" s="26" t="s">
        <v>8975</v>
      </c>
      <c r="N3866" s="26" t="s">
        <v>8976</v>
      </c>
      <c r="O3866" s="22" t="str">
        <f>HYPERLINK("https://pbs.twimg.com/profile_images/892120860886130688/D2ghvzZP_normal.jpg","View")</f>
        <v>View</v>
      </c>
      <c r="P3866" s="27"/>
    </row>
    <row r="3867">
      <c r="A3867" s="14">
        <v>43031.243622685186</v>
      </c>
      <c r="B3867" s="20" t="str">
        <f>HYPERLINK("https://twitter.com/YoWatShiinaEsq","@YoWatShiinaEsq")</f>
        <v>@YoWatShiinaEsq</v>
      </c>
      <c r="C3867" s="21" t="s">
        <v>8977</v>
      </c>
      <c r="D3867" s="21" t="s">
        <v>1642</v>
      </c>
      <c r="E3867" s="22" t="str">
        <f>HYPERLINK("https://twitter.com/YoWatShiinaEsq/status/922445203780272130","922445203780272130")</f>
        <v>922445203780272130</v>
      </c>
      <c r="F3867" s="23" t="s">
        <v>39</v>
      </c>
      <c r="G3867" s="24">
        <v>5856.0</v>
      </c>
      <c r="H3867" s="24">
        <v>901.0</v>
      </c>
      <c r="I3867" s="24">
        <v>199.0</v>
      </c>
      <c r="J3867" s="24">
        <v>0.0</v>
      </c>
      <c r="K3867" s="23" t="s">
        <v>34</v>
      </c>
      <c r="L3867" s="25">
        <v>40313.8390625</v>
      </c>
      <c r="M3867" s="26" t="s">
        <v>120</v>
      </c>
      <c r="N3867" s="26" t="s">
        <v>8978</v>
      </c>
      <c r="O3867" s="22" t="str">
        <f>HYPERLINK("https://pbs.twimg.com/profile_images/528340858840428544/DwbwuuJC_normal.jpeg","View")</f>
        <v>View</v>
      </c>
      <c r="P3867" s="27"/>
    </row>
    <row r="3868">
      <c r="A3868" s="14">
        <v>43031.24371527778</v>
      </c>
      <c r="B3868" s="20" t="str">
        <f>HYPERLINK("https://twitter.com/JayeshC94813878","@JayeshC94813878")</f>
        <v>@JayeshC94813878</v>
      </c>
      <c r="C3868" s="21" t="s">
        <v>8979</v>
      </c>
      <c r="D3868" s="21" t="s">
        <v>42</v>
      </c>
      <c r="E3868" s="22" t="str">
        <f>HYPERLINK("https://twitter.com/JayeshC94813878/status/922445237980512256","922445237980512256")</f>
        <v>922445237980512256</v>
      </c>
      <c r="F3868" s="23" t="s">
        <v>33</v>
      </c>
      <c r="G3868" s="24">
        <v>6.0</v>
      </c>
      <c r="H3868" s="24">
        <v>105.0</v>
      </c>
      <c r="I3868" s="24">
        <v>8501.0</v>
      </c>
      <c r="J3868" s="24">
        <v>0.0</v>
      </c>
      <c r="K3868" s="23" t="s">
        <v>34</v>
      </c>
      <c r="L3868" s="25">
        <v>42990.055</v>
      </c>
      <c r="M3868" s="28"/>
      <c r="N3868" s="28"/>
      <c r="O3868" s="22" t="str">
        <f>HYPERLINK("https://abs.twimg.com/sticky/default_profile_images/default_profile_normal.png","View")</f>
        <v>View</v>
      </c>
      <c r="P3868" s="27"/>
    </row>
    <row r="3869">
      <c r="A3869" s="14">
        <v>43031.243842592594</v>
      </c>
      <c r="B3869" s="20" t="str">
        <f>HYPERLINK("https://twitter.com/Dptoshniwal1","@Dptoshniwal1")</f>
        <v>@Dptoshniwal1</v>
      </c>
      <c r="C3869" s="21" t="s">
        <v>8980</v>
      </c>
      <c r="D3869" s="21" t="s">
        <v>42</v>
      </c>
      <c r="E3869" s="22" t="str">
        <f>HYPERLINK("https://twitter.com/Dptoshniwal1/status/922445285254602752","922445285254602752")</f>
        <v>922445285254602752</v>
      </c>
      <c r="F3869" s="23" t="s">
        <v>33</v>
      </c>
      <c r="G3869" s="24">
        <v>526.0</v>
      </c>
      <c r="H3869" s="24">
        <v>235.0</v>
      </c>
      <c r="I3869" s="24">
        <v>8501.0</v>
      </c>
      <c r="J3869" s="24">
        <v>0.0</v>
      </c>
      <c r="K3869" s="23" t="s">
        <v>34</v>
      </c>
      <c r="L3869" s="25">
        <v>40634.149502314816</v>
      </c>
      <c r="M3869" s="26" t="s">
        <v>204</v>
      </c>
      <c r="N3869" s="26" t="s">
        <v>8981</v>
      </c>
      <c r="O3869" s="22" t="str">
        <f>HYPERLINK("https://pbs.twimg.com/profile_images/781851708016037888/S55B38Mq_normal.jpg","View")</f>
        <v>View</v>
      </c>
      <c r="P3869" s="27"/>
    </row>
    <row r="3870">
      <c r="A3870" s="14">
        <v>43031.24386574074</v>
      </c>
      <c r="B3870" s="20" t="str">
        <f>HYPERLINK("https://twitter.com/frankllnbeaty","@frankllnbeaty")</f>
        <v>@frankllnbeaty</v>
      </c>
      <c r="C3870" s="21" t="s">
        <v>8982</v>
      </c>
      <c r="D3870" s="21" t="s">
        <v>8950</v>
      </c>
      <c r="E3870" s="22" t="str">
        <f>HYPERLINK("https://twitter.com/frankllnbeaty/status/922445291336413184","922445291336413184")</f>
        <v>922445291336413184</v>
      </c>
      <c r="F3870" s="23" t="s">
        <v>33</v>
      </c>
      <c r="G3870" s="24">
        <v>62.0</v>
      </c>
      <c r="H3870" s="24">
        <v>2272.0</v>
      </c>
      <c r="I3870" s="24">
        <v>4.0</v>
      </c>
      <c r="J3870" s="24">
        <v>0.0</v>
      </c>
      <c r="K3870" s="23" t="s">
        <v>34</v>
      </c>
      <c r="L3870" s="25">
        <v>40933.63670138889</v>
      </c>
      <c r="M3870" s="26" t="s">
        <v>8983</v>
      </c>
      <c r="N3870" s="28"/>
      <c r="O3870" s="22" t="str">
        <f>HYPERLINK("https://pbs.twimg.com/profile_images/764267780858384384/0hNVuILS_normal.jpg","View")</f>
        <v>View</v>
      </c>
      <c r="P3870" s="27"/>
    </row>
    <row r="3871">
      <c r="A3871" s="14">
        <v>43031.24391203704</v>
      </c>
      <c r="B3871" s="20" t="str">
        <f>HYPERLINK("https://twitter.com/shailesh9676","@shailesh9676")</f>
        <v>@shailesh9676</v>
      </c>
      <c r="C3871" s="21" t="s">
        <v>8984</v>
      </c>
      <c r="D3871" s="21" t="s">
        <v>42</v>
      </c>
      <c r="E3871" s="22" t="str">
        <f>HYPERLINK("https://twitter.com/shailesh9676/status/922445307949887488","922445307949887488")</f>
        <v>922445307949887488</v>
      </c>
      <c r="F3871" s="23" t="s">
        <v>33</v>
      </c>
      <c r="G3871" s="24">
        <v>17.0</v>
      </c>
      <c r="H3871" s="24">
        <v>125.0</v>
      </c>
      <c r="I3871" s="24">
        <v>8501.0</v>
      </c>
      <c r="J3871" s="24">
        <v>0.0</v>
      </c>
      <c r="K3871" s="23" t="s">
        <v>34</v>
      </c>
      <c r="L3871" s="25">
        <v>42580.48774305556</v>
      </c>
      <c r="M3871" s="28"/>
      <c r="N3871" s="28"/>
      <c r="O3871" s="22" t="str">
        <f>HYPERLINK("https://abs.twimg.com/sticky/default_profile_images/default_profile_normal.png","View")</f>
        <v>View</v>
      </c>
      <c r="P3871" s="27"/>
    </row>
    <row r="3872">
      <c r="A3872" s="14">
        <v>43031.244108796294</v>
      </c>
      <c r="B3872" s="20" t="str">
        <f>HYPERLINK("https://twitter.com/cyberse49333188","@cyberse49333188")</f>
        <v>@cyberse49333188</v>
      </c>
      <c r="C3872" s="21" t="s">
        <v>8985</v>
      </c>
      <c r="D3872" s="21" t="s">
        <v>8986</v>
      </c>
      <c r="E3872" s="22" t="str">
        <f>HYPERLINK("https://twitter.com/cyberse49333188/status/922445380448604160","922445380448604160")</f>
        <v>922445380448604160</v>
      </c>
      <c r="F3872" s="23" t="s">
        <v>39</v>
      </c>
      <c r="G3872" s="24">
        <v>10.0</v>
      </c>
      <c r="H3872" s="24">
        <v>135.0</v>
      </c>
      <c r="I3872" s="24">
        <v>0.0</v>
      </c>
      <c r="J3872" s="24">
        <v>0.0</v>
      </c>
      <c r="K3872" s="23" t="s">
        <v>34</v>
      </c>
      <c r="L3872" s="25">
        <v>42702.47703703704</v>
      </c>
      <c r="M3872" s="28"/>
      <c r="N3872" s="28"/>
      <c r="O3872" s="22" t="str">
        <f>HYPERLINK("https://pbs.twimg.com/profile_images/817737641215062016/hIOQltAO_normal.jpg","View")</f>
        <v>View</v>
      </c>
      <c r="P3872" s="27"/>
    </row>
    <row r="3873">
      <c r="A3873" s="14">
        <v>43031.244155092594</v>
      </c>
      <c r="B3873" s="20" t="str">
        <f>HYPERLINK("https://twitter.com/PBGBLCIS","@PBGBLCIS")</f>
        <v>@PBGBLCIS</v>
      </c>
      <c r="C3873" s="21" t="s">
        <v>8987</v>
      </c>
      <c r="D3873" s="21" t="s">
        <v>8665</v>
      </c>
      <c r="E3873" s="22" t="str">
        <f>HYPERLINK("https://twitter.com/PBGBLCIS/status/922445398022569984","922445398022569984")</f>
        <v>922445398022569984</v>
      </c>
      <c r="F3873" s="23" t="s">
        <v>33</v>
      </c>
      <c r="G3873" s="24">
        <v>277.0</v>
      </c>
      <c r="H3873" s="24">
        <v>214.0</v>
      </c>
      <c r="I3873" s="24">
        <v>67.0</v>
      </c>
      <c r="J3873" s="24">
        <v>0.0</v>
      </c>
      <c r="K3873" s="23" t="s">
        <v>34</v>
      </c>
      <c r="L3873" s="25">
        <v>39991.158113425925</v>
      </c>
      <c r="M3873" s="26" t="s">
        <v>8988</v>
      </c>
      <c r="N3873" s="26" t="s">
        <v>8989</v>
      </c>
      <c r="O3873" s="22" t="str">
        <f>HYPERLINK("https://pbs.twimg.com/profile_images/654999307494420480/0pzR3YUh_normal.jpg","View")</f>
        <v>View</v>
      </c>
      <c r="P3873" s="27"/>
    </row>
    <row r="3874">
      <c r="A3874" s="14">
        <v>43031.24431712963</v>
      </c>
      <c r="B3874" s="20" t="str">
        <f>HYPERLINK("https://twitter.com/OzbeyKorkusuz","@OzbeyKorkusuz")</f>
        <v>@OzbeyKorkusuz</v>
      </c>
      <c r="C3874" s="21" t="s">
        <v>8990</v>
      </c>
      <c r="D3874" s="21" t="s">
        <v>8665</v>
      </c>
      <c r="E3874" s="22" t="str">
        <f>HYPERLINK("https://twitter.com/OzbeyKorkusuz/status/922445455681904645","922445455681904645")</f>
        <v>922445455681904645</v>
      </c>
      <c r="F3874" s="23" t="s">
        <v>39</v>
      </c>
      <c r="G3874" s="24">
        <v>28.0</v>
      </c>
      <c r="H3874" s="24">
        <v>68.0</v>
      </c>
      <c r="I3874" s="24">
        <v>67.0</v>
      </c>
      <c r="J3874" s="24">
        <v>0.0</v>
      </c>
      <c r="K3874" s="23" t="s">
        <v>34</v>
      </c>
      <c r="L3874" s="25">
        <v>42724.503009259264</v>
      </c>
      <c r="M3874" s="26" t="s">
        <v>8991</v>
      </c>
      <c r="N3874" s="26" t="s">
        <v>8992</v>
      </c>
      <c r="O3874" s="22" t="str">
        <f>HYPERLINK("https://pbs.twimg.com/profile_images/811306069729378304/vDAFkD3j_normal.jpg","View")</f>
        <v>View</v>
      </c>
      <c r="P3874" s="27"/>
    </row>
    <row r="3875">
      <c r="A3875" s="14">
        <v>43031.24438657408</v>
      </c>
      <c r="B3875" s="20" t="str">
        <f>HYPERLINK("https://twitter.com/Shaikhs00393264","@Shaikhs00393264")</f>
        <v>@Shaikhs00393264</v>
      </c>
      <c r="C3875" s="21" t="s">
        <v>8993</v>
      </c>
      <c r="D3875" s="21" t="s">
        <v>42</v>
      </c>
      <c r="E3875" s="22" t="str">
        <f>HYPERLINK("https://twitter.com/Shaikhs00393264/status/922445482202300416","922445482202300416")</f>
        <v>922445482202300416</v>
      </c>
      <c r="F3875" s="23" t="s">
        <v>33</v>
      </c>
      <c r="G3875" s="24">
        <v>6.0</v>
      </c>
      <c r="H3875" s="24">
        <v>225.0</v>
      </c>
      <c r="I3875" s="24">
        <v>8501.0</v>
      </c>
      <c r="J3875" s="24">
        <v>0.0</v>
      </c>
      <c r="K3875" s="23" t="s">
        <v>34</v>
      </c>
      <c r="L3875" s="25">
        <v>42858.057708333334</v>
      </c>
      <c r="M3875" s="26" t="s">
        <v>311</v>
      </c>
      <c r="N3875" s="26" t="s">
        <v>8994</v>
      </c>
      <c r="O3875" s="22" t="str">
        <f>HYPERLINK("https://pbs.twimg.com/profile_images/875658172081381377/nPxD3sxs_normal.jpg","View")</f>
        <v>View</v>
      </c>
      <c r="P3875" s="27"/>
    </row>
    <row r="3876">
      <c r="A3876" s="14">
        <v>43031.24440972222</v>
      </c>
      <c r="B3876" s="20" t="str">
        <f>HYPERLINK("https://twitter.com/bjpkishanladdha","@bjpkishanladdha")</f>
        <v>@bjpkishanladdha</v>
      </c>
      <c r="C3876" s="21" t="s">
        <v>8995</v>
      </c>
      <c r="D3876" s="21" t="s">
        <v>42</v>
      </c>
      <c r="E3876" s="22" t="str">
        <f>HYPERLINK("https://twitter.com/bjpkishanladdha/status/922445488955080705","922445488955080705")</f>
        <v>922445488955080705</v>
      </c>
      <c r="F3876" s="23" t="s">
        <v>33</v>
      </c>
      <c r="G3876" s="24">
        <v>274.0</v>
      </c>
      <c r="H3876" s="24">
        <v>125.0</v>
      </c>
      <c r="I3876" s="24">
        <v>8501.0</v>
      </c>
      <c r="J3876" s="24">
        <v>0.0</v>
      </c>
      <c r="K3876" s="23" t="s">
        <v>34</v>
      </c>
      <c r="L3876" s="25">
        <v>42577.04925925926</v>
      </c>
      <c r="M3876" s="26" t="s">
        <v>6488</v>
      </c>
      <c r="N3876" s="26" t="s">
        <v>8996</v>
      </c>
      <c r="O3876" s="22" t="str">
        <f>HYPERLINK("https://pbs.twimg.com/profile_images/797498741406265346/O-21fg65_normal.jpg","View")</f>
        <v>View</v>
      </c>
      <c r="P3876" s="27"/>
    </row>
    <row r="3877">
      <c r="A3877" s="14">
        <v>43031.244421296295</v>
      </c>
      <c r="B3877" s="20" t="str">
        <f>HYPERLINK("https://twitter.com/JPrangthong","@JPrangthong")</f>
        <v>@JPrangthong</v>
      </c>
      <c r="C3877" s="21" t="s">
        <v>8997</v>
      </c>
      <c r="D3877" s="21" t="s">
        <v>8998</v>
      </c>
      <c r="E3877" s="22" t="str">
        <f>HYPERLINK("https://twitter.com/JPrangthong/status/922445492625162242","922445492625162242")</f>
        <v>922445492625162242</v>
      </c>
      <c r="F3877" s="23" t="s">
        <v>55</v>
      </c>
      <c r="G3877" s="24">
        <v>463.0</v>
      </c>
      <c r="H3877" s="24">
        <v>287.0</v>
      </c>
      <c r="I3877" s="24">
        <v>0.0</v>
      </c>
      <c r="J3877" s="24">
        <v>1.0</v>
      </c>
      <c r="K3877" s="23" t="s">
        <v>34</v>
      </c>
      <c r="L3877" s="25">
        <v>41137.8193287037</v>
      </c>
      <c r="M3877" s="26" t="s">
        <v>1735</v>
      </c>
      <c r="N3877" s="26" t="s">
        <v>8999</v>
      </c>
      <c r="O3877" s="22" t="str">
        <f>HYPERLINK("https://pbs.twimg.com/profile_images/914677388679692288/InGz0UYS_normal.jpg","View")</f>
        <v>View</v>
      </c>
      <c r="P3877" s="27"/>
    </row>
    <row r="3878">
      <c r="A3878" s="14">
        <v>43031.24449074074</v>
      </c>
      <c r="B3878" s="20" t="str">
        <f>HYPERLINK("https://twitter.com/4CvM1zziUV1QRUn","@4CvM1zziUV1QRUn")</f>
        <v>@4CvM1zziUV1QRUn</v>
      </c>
      <c r="C3878" s="21" t="s">
        <v>9000</v>
      </c>
      <c r="D3878" s="21" t="s">
        <v>42</v>
      </c>
      <c r="E3878" s="22" t="str">
        <f>HYPERLINK("https://twitter.com/4CvM1zziUV1QRUn/status/922445517904232448","922445517904232448")</f>
        <v>922445517904232448</v>
      </c>
      <c r="F3878" s="23" t="s">
        <v>33</v>
      </c>
      <c r="G3878" s="24">
        <v>55.0</v>
      </c>
      <c r="H3878" s="24">
        <v>274.0</v>
      </c>
      <c r="I3878" s="24">
        <v>8501.0</v>
      </c>
      <c r="J3878" s="24">
        <v>0.0</v>
      </c>
      <c r="K3878" s="23" t="s">
        <v>34</v>
      </c>
      <c r="L3878" s="25">
        <v>42929.122812500005</v>
      </c>
      <c r="M3878" s="26" t="s">
        <v>9001</v>
      </c>
      <c r="N3878" s="26" t="s">
        <v>9002</v>
      </c>
      <c r="O3878" s="22" t="str">
        <f>HYPERLINK("https://pbs.twimg.com/profile_images/885444347356995586/66n7vH3r_normal.jpg","View")</f>
        <v>View</v>
      </c>
      <c r="P3878" s="27"/>
    </row>
    <row r="3879">
      <c r="A3879" s="14">
        <v>43031.24449074074</v>
      </c>
      <c r="B3879" s="20" t="str">
        <f>HYPERLINK("https://twitter.com/nytimesworld","@nytimesworld")</f>
        <v>@nytimesworld</v>
      </c>
      <c r="C3879" s="21" t="s">
        <v>9003</v>
      </c>
      <c r="D3879" s="21" t="s">
        <v>9004</v>
      </c>
      <c r="E3879" s="22" t="str">
        <f>HYPERLINK("https://twitter.com/nytimesworld/status/922445519833784321","922445519833784321")</f>
        <v>922445519833784321</v>
      </c>
      <c r="F3879" s="23" t="s">
        <v>1103</v>
      </c>
      <c r="G3879" s="24">
        <v>1872036.0</v>
      </c>
      <c r="H3879" s="24">
        <v>465.0</v>
      </c>
      <c r="I3879" s="24">
        <v>31.0</v>
      </c>
      <c r="J3879" s="24">
        <v>31.0</v>
      </c>
      <c r="K3879" s="23" t="s">
        <v>34</v>
      </c>
      <c r="L3879" s="25">
        <v>39163.29153935185</v>
      </c>
      <c r="M3879" s="26" t="s">
        <v>2534</v>
      </c>
      <c r="N3879" s="26" t="s">
        <v>9005</v>
      </c>
      <c r="O3879" s="22" t="str">
        <f>HYPERLINK("https://pbs.twimg.com/profile_images/2045337639/NYT_Twitter_world_normal.png","View")</f>
        <v>View</v>
      </c>
      <c r="P3879" s="27"/>
    </row>
    <row r="3880">
      <c r="A3880" s="14">
        <v>43031.24449074074</v>
      </c>
      <c r="B3880" s="20" t="str">
        <f>HYPERLINK("https://twitter.com/RISHIRA64658484","@RISHIRA64658484")</f>
        <v>@RISHIRA64658484</v>
      </c>
      <c r="C3880" s="21" t="s">
        <v>9006</v>
      </c>
      <c r="D3880" s="21" t="s">
        <v>42</v>
      </c>
      <c r="E3880" s="22" t="str">
        <f>HYPERLINK("https://twitter.com/RISHIRA64658484/status/922445520550981633","922445520550981633")</f>
        <v>922445520550981633</v>
      </c>
      <c r="F3880" s="23" t="s">
        <v>33</v>
      </c>
      <c r="G3880" s="24">
        <v>0.0</v>
      </c>
      <c r="H3880" s="24">
        <v>25.0</v>
      </c>
      <c r="I3880" s="24">
        <v>8501.0</v>
      </c>
      <c r="J3880" s="24">
        <v>0.0</v>
      </c>
      <c r="K3880" s="23" t="s">
        <v>34</v>
      </c>
      <c r="L3880" s="25">
        <v>43003.24670138889</v>
      </c>
      <c r="M3880" s="28"/>
      <c r="N3880" s="28"/>
      <c r="O3880" s="22" t="str">
        <f>HYPERLINK("https://abs.twimg.com/sticky/default_profile_images/default_profile_normal.png","View")</f>
        <v>View</v>
      </c>
      <c r="P3880" s="27"/>
    </row>
    <row r="3881">
      <c r="A3881" s="14">
        <v>43031.24450231482</v>
      </c>
      <c r="B3881" s="20" t="str">
        <f>HYPERLINK("https://twitter.com/seifkabelele","@seifkabelele")</f>
        <v>@seifkabelele</v>
      </c>
      <c r="C3881" s="21" t="s">
        <v>9007</v>
      </c>
      <c r="D3881" s="21" t="s">
        <v>8665</v>
      </c>
      <c r="E3881" s="22" t="str">
        <f>HYPERLINK("https://twitter.com/seifkabelele/status/922445524015435776","922445524015435776")</f>
        <v>922445524015435776</v>
      </c>
      <c r="F3881" s="23" t="s">
        <v>33</v>
      </c>
      <c r="G3881" s="24">
        <v>6253.0</v>
      </c>
      <c r="H3881" s="24">
        <v>170.0</v>
      </c>
      <c r="I3881" s="24">
        <v>67.0</v>
      </c>
      <c r="J3881" s="24">
        <v>0.0</v>
      </c>
      <c r="K3881" s="23" t="s">
        <v>34</v>
      </c>
      <c r="L3881" s="25">
        <v>40959.26513888889</v>
      </c>
      <c r="M3881" s="26" t="s">
        <v>9008</v>
      </c>
      <c r="N3881" s="26" t="s">
        <v>9009</v>
      </c>
      <c r="O3881" s="22" t="str">
        <f>HYPERLINK("https://pbs.twimg.com/profile_images/920907203292356608/aaElVLvf_normal.jpg","View")</f>
        <v>View</v>
      </c>
      <c r="P3881" s="27"/>
    </row>
    <row r="3882">
      <c r="A3882" s="14">
        <v>43031.24454861111</v>
      </c>
      <c r="B3882" s="20" t="str">
        <f>HYPERLINK("https://twitter.com/shivam1083","@shivam1083")</f>
        <v>@shivam1083</v>
      </c>
      <c r="C3882" s="21" t="s">
        <v>9010</v>
      </c>
      <c r="D3882" s="21" t="s">
        <v>42</v>
      </c>
      <c r="E3882" s="22" t="str">
        <f>HYPERLINK("https://twitter.com/shivam1083/status/922445540297555969","922445540297555969")</f>
        <v>922445540297555969</v>
      </c>
      <c r="F3882" s="23" t="s">
        <v>33</v>
      </c>
      <c r="G3882" s="24">
        <v>25.0</v>
      </c>
      <c r="H3882" s="24">
        <v>148.0</v>
      </c>
      <c r="I3882" s="24">
        <v>8501.0</v>
      </c>
      <c r="J3882" s="24">
        <v>0.0</v>
      </c>
      <c r="K3882" s="23" t="s">
        <v>34</v>
      </c>
      <c r="L3882" s="25">
        <v>42986.31994212963</v>
      </c>
      <c r="M3882" s="28"/>
      <c r="N3882" s="26" t="s">
        <v>9011</v>
      </c>
      <c r="O3882" s="22" t="str">
        <f>HYPERLINK("https://pbs.twimg.com/profile_images/906178585559539714/uLIWOEdM_normal.jpg","View")</f>
        <v>View</v>
      </c>
      <c r="P3882" s="27"/>
    </row>
    <row r="3883">
      <c r="A3883" s="14">
        <v>43031.24465277778</v>
      </c>
      <c r="B3883" s="20" t="str">
        <f>HYPERLINK("https://twitter.com/AlDavoodi","@AlDavoodi")</f>
        <v>@AlDavoodi</v>
      </c>
      <c r="C3883" s="21" t="s">
        <v>9012</v>
      </c>
      <c r="D3883" s="21" t="s">
        <v>9013</v>
      </c>
      <c r="E3883" s="22" t="str">
        <f>HYPERLINK("https://twitter.com/AlDavoodi/status/922445575827722240","922445575827722240")</f>
        <v>922445575827722240</v>
      </c>
      <c r="F3883" s="23" t="s">
        <v>2119</v>
      </c>
      <c r="G3883" s="24">
        <v>736.0</v>
      </c>
      <c r="H3883" s="24">
        <v>1420.0</v>
      </c>
      <c r="I3883" s="24">
        <v>31.0</v>
      </c>
      <c r="J3883" s="24">
        <v>0.0</v>
      </c>
      <c r="K3883" s="23" t="s">
        <v>34</v>
      </c>
      <c r="L3883" s="25">
        <v>41401.438680555555</v>
      </c>
      <c r="M3883" s="26" t="s">
        <v>9014</v>
      </c>
      <c r="N3883" s="26" t="s">
        <v>9015</v>
      </c>
      <c r="O3883" s="22" t="str">
        <f>HYPERLINK("https://pbs.twimg.com/profile_images/922404015438225408/D6IBxebl_normal.jpg","View")</f>
        <v>View</v>
      </c>
      <c r="P3883" s="27"/>
    </row>
    <row r="3884">
      <c r="A3884" s="14">
        <v>43031.24476851852</v>
      </c>
      <c r="B3884" s="20" t="str">
        <f>HYPERLINK("https://twitter.com/vedanshiyer","@vedanshiyer")</f>
        <v>@vedanshiyer</v>
      </c>
      <c r="C3884" s="21" t="s">
        <v>9016</v>
      </c>
      <c r="D3884" s="21" t="s">
        <v>42</v>
      </c>
      <c r="E3884" s="22" t="str">
        <f>HYPERLINK("https://twitter.com/vedanshiyer/status/922445617464528896","922445617464528896")</f>
        <v>922445617464528896</v>
      </c>
      <c r="F3884" s="23" t="s">
        <v>33</v>
      </c>
      <c r="G3884" s="24">
        <v>28.0</v>
      </c>
      <c r="H3884" s="24">
        <v>77.0</v>
      </c>
      <c r="I3884" s="24">
        <v>8501.0</v>
      </c>
      <c r="J3884" s="24">
        <v>0.0</v>
      </c>
      <c r="K3884" s="23" t="s">
        <v>34</v>
      </c>
      <c r="L3884" s="25">
        <v>41496.95349537037</v>
      </c>
      <c r="M3884" s="28"/>
      <c r="N3884" s="28"/>
      <c r="O3884" s="22" t="str">
        <f>HYPERLINK("https://pbs.twimg.com/profile_images/663393110215409664/6H8hT7A__normal.jpg","View")</f>
        <v>View</v>
      </c>
      <c r="P3884" s="27"/>
    </row>
    <row r="3885">
      <c r="A3885" s="14">
        <v>43031.24479166667</v>
      </c>
      <c r="B3885" s="20" t="str">
        <f>HYPERLINK("https://twitter.com/balramsuhane","@balramsuhane")</f>
        <v>@balramsuhane</v>
      </c>
      <c r="C3885" s="21" t="s">
        <v>9017</v>
      </c>
      <c r="D3885" s="21" t="s">
        <v>163</v>
      </c>
      <c r="E3885" s="22" t="str">
        <f>HYPERLINK("https://twitter.com/balramsuhane/status/922445627895803905","922445627895803905")</f>
        <v>922445627895803905</v>
      </c>
      <c r="F3885" s="23" t="s">
        <v>33</v>
      </c>
      <c r="G3885" s="24">
        <v>104.0</v>
      </c>
      <c r="H3885" s="24">
        <v>57.0</v>
      </c>
      <c r="I3885" s="24">
        <v>1005.0</v>
      </c>
      <c r="J3885" s="24">
        <v>0.0</v>
      </c>
      <c r="K3885" s="23" t="s">
        <v>34</v>
      </c>
      <c r="L3885" s="25">
        <v>41760.15650462963</v>
      </c>
      <c r="M3885" s="28"/>
      <c r="N3885" s="28"/>
      <c r="O3885" s="22" t="str">
        <f>HYPERLINK("https://pbs.twimg.com/profile_images/676081175304114176/mRd6LEFp_normal.jpg","View")</f>
        <v>View</v>
      </c>
      <c r="P3885" s="27"/>
    </row>
    <row r="3886">
      <c r="A3886" s="14">
        <v>43031.24486111111</v>
      </c>
      <c r="B3886" s="20" t="str">
        <f>HYPERLINK("https://twitter.com/CharltteWolters","@CharltteWolters")</f>
        <v>@CharltteWolters</v>
      </c>
      <c r="C3886" s="21" t="s">
        <v>9018</v>
      </c>
      <c r="D3886" s="21" t="s">
        <v>9013</v>
      </c>
      <c r="E3886" s="22" t="str">
        <f>HYPERLINK("https://twitter.com/CharltteWolters/status/922445652969136129","922445652969136129")</f>
        <v>922445652969136129</v>
      </c>
      <c r="F3886" s="23" t="s">
        <v>33</v>
      </c>
      <c r="G3886" s="24">
        <v>1332.0</v>
      </c>
      <c r="H3886" s="24">
        <v>2616.0</v>
      </c>
      <c r="I3886" s="24">
        <v>31.0</v>
      </c>
      <c r="J3886" s="24">
        <v>0.0</v>
      </c>
      <c r="K3886" s="23" t="s">
        <v>34</v>
      </c>
      <c r="L3886" s="25">
        <v>40361.77746527777</v>
      </c>
      <c r="M3886" s="26" t="s">
        <v>920</v>
      </c>
      <c r="N3886" s="26" t="s">
        <v>9019</v>
      </c>
      <c r="O3886" s="22" t="str">
        <f>HYPERLINK("https://pbs.twimg.com/profile_images/839816551385731073/0DiA50Dz_normal.jpg","View")</f>
        <v>View</v>
      </c>
      <c r="P3886" s="27"/>
    </row>
    <row r="3887">
      <c r="A3887" s="14">
        <v>43031.24490740741</v>
      </c>
      <c r="B3887" s="20" t="str">
        <f>HYPERLINK("https://twitter.com/gorinanu","@gorinanu")</f>
        <v>@gorinanu</v>
      </c>
      <c r="C3887" s="21" t="s">
        <v>9020</v>
      </c>
      <c r="D3887" s="21" t="s">
        <v>42</v>
      </c>
      <c r="E3887" s="22" t="str">
        <f>HYPERLINK("https://twitter.com/gorinanu/status/922445669633282048","922445669633282048")</f>
        <v>922445669633282048</v>
      </c>
      <c r="F3887" s="23" t="s">
        <v>33</v>
      </c>
      <c r="G3887" s="24">
        <v>1527.0</v>
      </c>
      <c r="H3887" s="24">
        <v>577.0</v>
      </c>
      <c r="I3887" s="24">
        <v>8501.0</v>
      </c>
      <c r="J3887" s="24">
        <v>0.0</v>
      </c>
      <c r="K3887" s="23" t="s">
        <v>34</v>
      </c>
      <c r="L3887" s="25">
        <v>40506.89734953704</v>
      </c>
      <c r="M3887" s="26" t="s">
        <v>531</v>
      </c>
      <c r="N3887" s="26" t="s">
        <v>9021</v>
      </c>
      <c r="O3887" s="22" t="str">
        <f>HYPERLINK("https://pbs.twimg.com/profile_images/831504061660807170/dNhugXZC_normal.jpg","View")</f>
        <v>View</v>
      </c>
      <c r="P3887" s="27"/>
    </row>
    <row r="3888">
      <c r="A3888" s="14">
        <v>43031.24494212963</v>
      </c>
      <c r="B3888" s="20" t="str">
        <f>HYPERLINK("https://twitter.com/tecknocrat","@tecknocrat")</f>
        <v>@tecknocrat</v>
      </c>
      <c r="C3888" s="21" t="s">
        <v>9022</v>
      </c>
      <c r="D3888" s="21" t="s">
        <v>2595</v>
      </c>
      <c r="E3888" s="22" t="str">
        <f>HYPERLINK("https://twitter.com/tecknocrat/status/922445683306590209","922445683306590209")</f>
        <v>922445683306590209</v>
      </c>
      <c r="F3888" s="23" t="s">
        <v>39</v>
      </c>
      <c r="G3888" s="24">
        <v>1217.0</v>
      </c>
      <c r="H3888" s="24">
        <v>506.0</v>
      </c>
      <c r="I3888" s="24">
        <v>170.0</v>
      </c>
      <c r="J3888" s="24">
        <v>0.0</v>
      </c>
      <c r="K3888" s="23" t="s">
        <v>34</v>
      </c>
      <c r="L3888" s="25">
        <v>40254.66210648148</v>
      </c>
      <c r="M3888" s="26" t="s">
        <v>3224</v>
      </c>
      <c r="N3888" s="26" t="s">
        <v>9023</v>
      </c>
      <c r="O3888" s="22" t="str">
        <f>HYPERLINK("https://pbs.twimg.com/profile_images/759088052/biopg_5_Paul_normal.jpg","View")</f>
        <v>View</v>
      </c>
      <c r="P3888" s="27"/>
    </row>
    <row r="3889">
      <c r="A3889" s="14">
        <v>43031.2449537037</v>
      </c>
      <c r="B3889" s="20" t="str">
        <f>HYPERLINK("https://twitter.com/madhurkaushik","@madhurkaushik")</f>
        <v>@madhurkaushik</v>
      </c>
      <c r="C3889" s="21" t="s">
        <v>9024</v>
      </c>
      <c r="D3889" s="21" t="s">
        <v>42</v>
      </c>
      <c r="E3889" s="22" t="str">
        <f>HYPERLINK("https://twitter.com/madhurkaushik/status/922445685428862977","922445685428862977")</f>
        <v>922445685428862977</v>
      </c>
      <c r="F3889" s="23" t="s">
        <v>33</v>
      </c>
      <c r="G3889" s="24">
        <v>10.0</v>
      </c>
      <c r="H3889" s="24">
        <v>85.0</v>
      </c>
      <c r="I3889" s="24">
        <v>8501.0</v>
      </c>
      <c r="J3889" s="24">
        <v>0.0</v>
      </c>
      <c r="K3889" s="23" t="s">
        <v>34</v>
      </c>
      <c r="L3889" s="25">
        <v>41101.44684027778</v>
      </c>
      <c r="M3889" s="28"/>
      <c r="N3889" s="28"/>
      <c r="O3889" s="22" t="str">
        <f>HYPERLINK("https://abs.twimg.com/sticky/default_profile_images/default_profile_normal.png","View")</f>
        <v>View</v>
      </c>
      <c r="P3889" s="27"/>
    </row>
    <row r="3890">
      <c r="A3890" s="14">
        <v>43031.24496527778</v>
      </c>
      <c r="B3890" s="20" t="str">
        <f>HYPERLINK("https://twitter.com/nobuko0902","@nobuko0902")</f>
        <v>@nobuko0902</v>
      </c>
      <c r="C3890" s="21" t="s">
        <v>9025</v>
      </c>
      <c r="D3890" s="21" t="s">
        <v>9013</v>
      </c>
      <c r="E3890" s="22" t="str">
        <f>HYPERLINK("https://twitter.com/nobuko0902/status/922445692282351618","922445692282351618")</f>
        <v>922445692282351618</v>
      </c>
      <c r="F3890" s="23" t="s">
        <v>39</v>
      </c>
      <c r="G3890" s="24">
        <v>1382.0</v>
      </c>
      <c r="H3890" s="24">
        <v>1007.0</v>
      </c>
      <c r="I3890" s="24">
        <v>31.0</v>
      </c>
      <c r="J3890" s="24">
        <v>0.0</v>
      </c>
      <c r="K3890" s="23" t="s">
        <v>34</v>
      </c>
      <c r="L3890" s="25">
        <v>40199.91836805556</v>
      </c>
      <c r="M3890" s="26" t="s">
        <v>9026</v>
      </c>
      <c r="N3890" s="26" t="s">
        <v>9027</v>
      </c>
      <c r="O3890" s="22" t="str">
        <f>HYPERLINK("https://pbs.twimg.com/profile_images/796360235677908993/FmRFpnU-_normal.jpg","View")</f>
        <v>View</v>
      </c>
      <c r="P3890" s="27"/>
    </row>
    <row r="3891">
      <c r="A3891" s="14">
        <v>43031.244999999995</v>
      </c>
      <c r="B3891" s="20" t="str">
        <f>HYPERLINK("https://twitter.com/drmahesh4000","@drmahesh4000")</f>
        <v>@drmahesh4000</v>
      </c>
      <c r="C3891" s="21" t="s">
        <v>9028</v>
      </c>
      <c r="D3891" s="21" t="s">
        <v>42</v>
      </c>
      <c r="E3891" s="22" t="str">
        <f>HYPERLINK("https://twitter.com/drmahesh4000/status/922445702462021632","922445702462021632")</f>
        <v>922445702462021632</v>
      </c>
      <c r="F3891" s="23" t="s">
        <v>33</v>
      </c>
      <c r="G3891" s="24">
        <v>1526.0</v>
      </c>
      <c r="H3891" s="24">
        <v>4990.0</v>
      </c>
      <c r="I3891" s="24">
        <v>8501.0</v>
      </c>
      <c r="J3891" s="24">
        <v>0.0</v>
      </c>
      <c r="K3891" s="23" t="s">
        <v>34</v>
      </c>
      <c r="L3891" s="25">
        <v>40018.06658564815</v>
      </c>
      <c r="M3891" s="26" t="s">
        <v>9029</v>
      </c>
      <c r="N3891" s="26" t="s">
        <v>9030</v>
      </c>
      <c r="O3891" s="22" t="str">
        <f>HYPERLINK("https://pbs.twimg.com/profile_images/803966027918901248/GaRnbDV4_normal.jpg","View")</f>
        <v>View</v>
      </c>
      <c r="P3891" s="27"/>
    </row>
    <row r="3892">
      <c r="A3892" s="14">
        <v>43031.24516203704</v>
      </c>
      <c r="B3892" s="20" t="str">
        <f>HYPERLINK("https://twitter.com/VadgamaPritesh","@VadgamaPritesh")</f>
        <v>@VadgamaPritesh</v>
      </c>
      <c r="C3892" s="21" t="s">
        <v>9031</v>
      </c>
      <c r="D3892" s="21" t="s">
        <v>42</v>
      </c>
      <c r="E3892" s="22" t="str">
        <f>HYPERLINK("https://twitter.com/VadgamaPritesh/status/922445763560423424","922445763560423424")</f>
        <v>922445763560423424</v>
      </c>
      <c r="F3892" s="23" t="s">
        <v>33</v>
      </c>
      <c r="G3892" s="24">
        <v>10.0</v>
      </c>
      <c r="H3892" s="24">
        <v>54.0</v>
      </c>
      <c r="I3892" s="24">
        <v>8501.0</v>
      </c>
      <c r="J3892" s="24">
        <v>0.0</v>
      </c>
      <c r="K3892" s="23" t="s">
        <v>34</v>
      </c>
      <c r="L3892" s="25">
        <v>40595.8334837963</v>
      </c>
      <c r="M3892" s="26" t="s">
        <v>2044</v>
      </c>
      <c r="N3892" s="28"/>
      <c r="O3892" s="22" t="str">
        <f>HYPERLINK("https://pbs.twimg.com/profile_images/897306703883980800/fzjWUf4u_normal.jpg","View")</f>
        <v>View</v>
      </c>
      <c r="P3892" s="27"/>
    </row>
    <row r="3893">
      <c r="A3893" s="14">
        <v>43031.24524305556</v>
      </c>
      <c r="B3893" s="20" t="str">
        <f>HYPERLINK("https://twitter.com/GoldDmitriy","@GoldDmitriy")</f>
        <v>@GoldDmitriy</v>
      </c>
      <c r="C3893" s="21" t="s">
        <v>9032</v>
      </c>
      <c r="D3893" s="21" t="s">
        <v>8665</v>
      </c>
      <c r="E3893" s="22" t="str">
        <f>HYPERLINK("https://twitter.com/GoldDmitriy/status/922445791733706752","922445791733706752")</f>
        <v>922445791733706752</v>
      </c>
      <c r="F3893" s="23" t="s">
        <v>55</v>
      </c>
      <c r="G3893" s="24">
        <v>155.0</v>
      </c>
      <c r="H3893" s="24">
        <v>625.0</v>
      </c>
      <c r="I3893" s="24">
        <v>67.0</v>
      </c>
      <c r="J3893" s="24">
        <v>0.0</v>
      </c>
      <c r="K3893" s="23" t="s">
        <v>34</v>
      </c>
      <c r="L3893" s="25">
        <v>41878.42125</v>
      </c>
      <c r="M3893" s="26" t="s">
        <v>9033</v>
      </c>
      <c r="N3893" s="26" t="s">
        <v>9034</v>
      </c>
      <c r="O3893" s="22" t="str">
        <f>HYPERLINK("https://pbs.twimg.com/profile_images/869310608436539393/9mh2sGDv_normal.jpg","View")</f>
        <v>View</v>
      </c>
      <c r="P3893" s="27"/>
    </row>
    <row r="3894">
      <c r="A3894" s="14">
        <v>43031.245254629626</v>
      </c>
      <c r="B3894" s="20" t="str">
        <f>HYPERLINK("https://twitter.com/SheteAkshay18","@SheteAkshay18")</f>
        <v>@SheteAkshay18</v>
      </c>
      <c r="C3894" s="21" t="s">
        <v>9035</v>
      </c>
      <c r="D3894" s="21" t="s">
        <v>42</v>
      </c>
      <c r="E3894" s="22" t="str">
        <f>HYPERLINK("https://twitter.com/SheteAkshay18/status/922445795525140481","922445795525140481")</f>
        <v>922445795525140481</v>
      </c>
      <c r="F3894" s="23" t="s">
        <v>33</v>
      </c>
      <c r="G3894" s="24">
        <v>4.0</v>
      </c>
      <c r="H3894" s="24">
        <v>170.0</v>
      </c>
      <c r="I3894" s="24">
        <v>8501.0</v>
      </c>
      <c r="J3894" s="24">
        <v>0.0</v>
      </c>
      <c r="K3894" s="23" t="s">
        <v>34</v>
      </c>
      <c r="L3894" s="25">
        <v>43021.243634259255</v>
      </c>
      <c r="M3894" s="28"/>
      <c r="N3894" s="28"/>
      <c r="O3894" s="22" t="str">
        <f>HYPERLINK("https://abs.twimg.com/sticky/default_profile_images/default_profile_normal.png","View")</f>
        <v>View</v>
      </c>
      <c r="P3894" s="27"/>
    </row>
    <row r="3895">
      <c r="A3895" s="14">
        <v>43031.245300925926</v>
      </c>
      <c r="B3895" s="20" t="str">
        <f>HYPERLINK("https://twitter.com/bursuk","@bursuk")</f>
        <v>@bursuk</v>
      </c>
      <c r="C3895" s="21" t="s">
        <v>9036</v>
      </c>
      <c r="D3895" s="21" t="s">
        <v>9037</v>
      </c>
      <c r="E3895" s="22" t="str">
        <f>HYPERLINK("https://twitter.com/bursuk/status/922445813707452416","922445813707452416")</f>
        <v>922445813707452416</v>
      </c>
      <c r="F3895" s="23" t="s">
        <v>55</v>
      </c>
      <c r="G3895" s="24">
        <v>293.0</v>
      </c>
      <c r="H3895" s="24">
        <v>326.0</v>
      </c>
      <c r="I3895" s="24">
        <v>0.0</v>
      </c>
      <c r="J3895" s="24">
        <v>0.0</v>
      </c>
      <c r="K3895" s="23" t="s">
        <v>34</v>
      </c>
      <c r="L3895" s="25">
        <v>39856.67364583333</v>
      </c>
      <c r="M3895" s="26" t="s">
        <v>7414</v>
      </c>
      <c r="N3895" s="26" t="s">
        <v>9038</v>
      </c>
      <c r="O3895" s="22" t="str">
        <f>HYPERLINK("https://pbs.twimg.com/profile_images/1053623926/25_normal.jpg","View")</f>
        <v>View</v>
      </c>
      <c r="P3895" s="27"/>
    </row>
    <row r="3896">
      <c r="A3896" s="14">
        <v>43031.24538194445</v>
      </c>
      <c r="B3896" s="20" t="str">
        <f>HYPERLINK("https://twitter.com/HollyWrighttt_","@HollyWrighttt_")</f>
        <v>@HollyWrighttt_</v>
      </c>
      <c r="C3896" s="21" t="s">
        <v>9039</v>
      </c>
      <c r="D3896" s="21" t="s">
        <v>6403</v>
      </c>
      <c r="E3896" s="22" t="str">
        <f>HYPERLINK("https://twitter.com/HollyWrighttt_/status/922445842136616961","922445842136616961")</f>
        <v>922445842136616961</v>
      </c>
      <c r="F3896" s="23" t="s">
        <v>39</v>
      </c>
      <c r="G3896" s="24">
        <v>1076.0</v>
      </c>
      <c r="H3896" s="24">
        <v>1398.0</v>
      </c>
      <c r="I3896" s="24">
        <v>97.0</v>
      </c>
      <c r="J3896" s="24">
        <v>0.0</v>
      </c>
      <c r="K3896" s="23" t="s">
        <v>34</v>
      </c>
      <c r="L3896" s="25">
        <v>42305.48181712963</v>
      </c>
      <c r="M3896" s="26" t="s">
        <v>9040</v>
      </c>
      <c r="N3896" s="26" t="s">
        <v>9041</v>
      </c>
      <c r="O3896" s="22" t="str">
        <f>HYPERLINK("https://pbs.twimg.com/profile_images/888164799405752322/eBHc3vuP_normal.jpg","View")</f>
        <v>View</v>
      </c>
      <c r="P3896" s="27"/>
    </row>
    <row r="3897">
      <c r="A3897" s="14">
        <v>43031.24545138889</v>
      </c>
      <c r="B3897" s="20" t="str">
        <f>HYPERLINK("https://twitter.com/aleebakari","@aleebakari")</f>
        <v>@aleebakari</v>
      </c>
      <c r="C3897" s="21" t="s">
        <v>9042</v>
      </c>
      <c r="D3897" s="21" t="s">
        <v>9043</v>
      </c>
      <c r="E3897" s="22" t="str">
        <f>HYPERLINK("https://twitter.com/aleebakari/status/922445868552384512","922445868552384512")</f>
        <v>922445868552384512</v>
      </c>
      <c r="F3897" s="23" t="s">
        <v>3895</v>
      </c>
      <c r="G3897" s="24">
        <v>521.0</v>
      </c>
      <c r="H3897" s="24">
        <v>466.0</v>
      </c>
      <c r="I3897" s="24">
        <v>0.0</v>
      </c>
      <c r="J3897" s="24">
        <v>0.0</v>
      </c>
      <c r="K3897" s="23" t="s">
        <v>34</v>
      </c>
      <c r="L3897" s="25">
        <v>39990.2791087963</v>
      </c>
      <c r="M3897" s="26" t="s">
        <v>9044</v>
      </c>
      <c r="N3897" s="26" t="s">
        <v>9045</v>
      </c>
      <c r="O3897" s="22" t="str">
        <f>HYPERLINK("https://pbs.twimg.com/profile_images/822840422137528321/UJTslVtj_normal.jpg","View")</f>
        <v>View</v>
      </c>
      <c r="P3897" s="27"/>
    </row>
    <row r="3898">
      <c r="A3898" s="14">
        <v>43031.245520833334</v>
      </c>
      <c r="B3898" s="20" t="str">
        <f>HYPERLINK("https://twitter.com/talk_anderson","@talk_anderson")</f>
        <v>@talk_anderson</v>
      </c>
      <c r="C3898" s="21" t="s">
        <v>9046</v>
      </c>
      <c r="D3898" s="21" t="s">
        <v>42</v>
      </c>
      <c r="E3898" s="22" t="str">
        <f>HYPERLINK("https://twitter.com/talk_anderson/status/922445891981623302","922445891981623302")</f>
        <v>922445891981623302</v>
      </c>
      <c r="F3898" s="23" t="s">
        <v>86</v>
      </c>
      <c r="G3898" s="24">
        <v>1697.0</v>
      </c>
      <c r="H3898" s="24">
        <v>4999.0</v>
      </c>
      <c r="I3898" s="24">
        <v>8501.0</v>
      </c>
      <c r="J3898" s="24">
        <v>0.0</v>
      </c>
      <c r="K3898" s="23" t="s">
        <v>34</v>
      </c>
      <c r="L3898" s="25">
        <v>40249.00707175926</v>
      </c>
      <c r="M3898" s="26" t="s">
        <v>9047</v>
      </c>
      <c r="N3898" s="26" t="s">
        <v>9048</v>
      </c>
      <c r="O3898" s="22" t="str">
        <f>HYPERLINK("https://pbs.twimg.com/profile_images/870751350233063424/bPi4WsCB_normal.jpg","View")</f>
        <v>View</v>
      </c>
      <c r="P3898" s="27"/>
    </row>
    <row r="3899">
      <c r="A3899" s="14">
        <v>43031.24554398148</v>
      </c>
      <c r="B3899" s="20" t="str">
        <f>HYPERLINK("https://twitter.com/unknowablerr","@unknowablerr")</f>
        <v>@unknowablerr</v>
      </c>
      <c r="C3899" s="21" t="s">
        <v>9049</v>
      </c>
      <c r="D3899" s="21" t="s">
        <v>42</v>
      </c>
      <c r="E3899" s="22" t="str">
        <f>HYPERLINK("https://twitter.com/unknowablerr/status/922445900366061568","922445900366061568")</f>
        <v>922445900366061568</v>
      </c>
      <c r="F3899" s="23" t="s">
        <v>55</v>
      </c>
      <c r="G3899" s="24">
        <v>119.0</v>
      </c>
      <c r="H3899" s="24">
        <v>68.0</v>
      </c>
      <c r="I3899" s="24">
        <v>8501.0</v>
      </c>
      <c r="J3899" s="24">
        <v>0.0</v>
      </c>
      <c r="K3899" s="23" t="s">
        <v>34</v>
      </c>
      <c r="L3899" s="25">
        <v>41690.42364583333</v>
      </c>
      <c r="M3899" s="28"/>
      <c r="N3899" s="26" t="s">
        <v>9050</v>
      </c>
      <c r="O3899" s="22" t="str">
        <f>HYPERLINK("https://pbs.twimg.com/profile_images/526313629826572288/Ilwiumwq_normal.jpeg","View")</f>
        <v>View</v>
      </c>
      <c r="P3899" s="27"/>
    </row>
    <row r="3900">
      <c r="A3900" s="14">
        <v>43031.24559027777</v>
      </c>
      <c r="B3900" s="20" t="str">
        <f>HYPERLINK("https://twitter.com/Shivend20190364","@Shivend20190364")</f>
        <v>@Shivend20190364</v>
      </c>
      <c r="C3900" s="21" t="s">
        <v>9051</v>
      </c>
      <c r="D3900" s="21" t="s">
        <v>42</v>
      </c>
      <c r="E3900" s="22" t="str">
        <f>HYPERLINK("https://twitter.com/Shivend20190364/status/922445916925075456","922445916925075456")</f>
        <v>922445916925075456</v>
      </c>
      <c r="F3900" s="23" t="s">
        <v>33</v>
      </c>
      <c r="G3900" s="24">
        <v>1.0</v>
      </c>
      <c r="H3900" s="24">
        <v>62.0</v>
      </c>
      <c r="I3900" s="24">
        <v>8501.0</v>
      </c>
      <c r="J3900" s="24">
        <v>0.0</v>
      </c>
      <c r="K3900" s="23" t="s">
        <v>34</v>
      </c>
      <c r="L3900" s="25">
        <v>43023.097662037035</v>
      </c>
      <c r="M3900" s="28"/>
      <c r="N3900" s="28"/>
      <c r="O3900" s="22" t="str">
        <f>HYPERLINK("https://abs.twimg.com/sticky/default_profile_images/default_profile_normal.png","View")</f>
        <v>View</v>
      </c>
      <c r="P3900" s="27"/>
    </row>
    <row r="3901">
      <c r="A3901" s="14">
        <v>43031.245729166665</v>
      </c>
      <c r="B3901" s="20" t="str">
        <f>HYPERLINK("https://twitter.com/USAGOLD","@USAGOLD")</f>
        <v>@USAGOLD</v>
      </c>
      <c r="C3901" s="21" t="s">
        <v>9052</v>
      </c>
      <c r="D3901" s="21" t="s">
        <v>67</v>
      </c>
      <c r="E3901" s="22" t="str">
        <f>HYPERLINK("https://twitter.com/USAGOLD/status/922445966342418434","922445966342418434")</f>
        <v>922445966342418434</v>
      </c>
      <c r="F3901" s="23" t="s">
        <v>769</v>
      </c>
      <c r="G3901" s="24">
        <v>3959.0</v>
      </c>
      <c r="H3901" s="24">
        <v>170.0</v>
      </c>
      <c r="I3901" s="24">
        <v>169.0</v>
      </c>
      <c r="J3901" s="24">
        <v>0.0</v>
      </c>
      <c r="K3901" s="23" t="s">
        <v>34</v>
      </c>
      <c r="L3901" s="25">
        <v>39792.46030092593</v>
      </c>
      <c r="M3901" s="26" t="s">
        <v>9053</v>
      </c>
      <c r="N3901" s="26" t="s">
        <v>9054</v>
      </c>
      <c r="O3901" s="22" t="str">
        <f>HYPERLINK("https://pbs.twimg.com/profile_images/1638967045/usagold_normal.jpg","View")</f>
        <v>View</v>
      </c>
      <c r="P3901" s="27"/>
    </row>
    <row r="3902">
      <c r="A3902" s="14">
        <v>43031.24577546296</v>
      </c>
      <c r="B3902" s="20" t="str">
        <f>HYPERLINK("https://twitter.com/sharanra123987","@sharanra123987")</f>
        <v>@sharanra123987</v>
      </c>
      <c r="C3902" s="21" t="s">
        <v>9055</v>
      </c>
      <c r="D3902" s="21" t="s">
        <v>42</v>
      </c>
      <c r="E3902" s="22" t="str">
        <f>HYPERLINK("https://twitter.com/sharanra123987/status/922445984713420802","922445984713420802")</f>
        <v>922445984713420802</v>
      </c>
      <c r="F3902" s="23" t="s">
        <v>39</v>
      </c>
      <c r="G3902" s="24">
        <v>6.0</v>
      </c>
      <c r="H3902" s="24">
        <v>25.0</v>
      </c>
      <c r="I3902" s="24">
        <v>8501.0</v>
      </c>
      <c r="J3902" s="24">
        <v>0.0</v>
      </c>
      <c r="K3902" s="23" t="s">
        <v>34</v>
      </c>
      <c r="L3902" s="25">
        <v>42637.34833333333</v>
      </c>
      <c r="M3902" s="28"/>
      <c r="N3902" s="26" t="s">
        <v>9056</v>
      </c>
      <c r="O3902" s="22" t="str">
        <f>HYPERLINK("https://pbs.twimg.com/profile_images/791282438039179266/uBRlpc_L_normal.jpg","View")</f>
        <v>View</v>
      </c>
      <c r="P3902" s="27"/>
    </row>
    <row r="3903">
      <c r="A3903" s="14">
        <v>43031.24581018518</v>
      </c>
      <c r="B3903" s="20" t="str">
        <f>HYPERLINK("https://twitter.com/wQQn","@wQQn")</f>
        <v>@wQQn</v>
      </c>
      <c r="C3903" s="21" t="s">
        <v>9057</v>
      </c>
      <c r="D3903" s="21" t="s">
        <v>9013</v>
      </c>
      <c r="E3903" s="22" t="str">
        <f>HYPERLINK("https://twitter.com/wQQn/status/922445997493534720","922445997493534720")</f>
        <v>922445997493534720</v>
      </c>
      <c r="F3903" s="23" t="s">
        <v>33</v>
      </c>
      <c r="G3903" s="24">
        <v>2168.0</v>
      </c>
      <c r="H3903" s="24">
        <v>2051.0</v>
      </c>
      <c r="I3903" s="24">
        <v>31.0</v>
      </c>
      <c r="J3903" s="24">
        <v>0.0</v>
      </c>
      <c r="K3903" s="23" t="s">
        <v>34</v>
      </c>
      <c r="L3903" s="25">
        <v>39655.87505787037</v>
      </c>
      <c r="M3903" s="26" t="s">
        <v>271</v>
      </c>
      <c r="N3903" s="26" t="s">
        <v>9058</v>
      </c>
      <c r="O3903" s="22" t="str">
        <f>HYPERLINK("https://pbs.twimg.com/profile_images/822697009/twitterProfilePhoto_normal.jpg","View")</f>
        <v>View</v>
      </c>
      <c r="P3903" s="27"/>
    </row>
    <row r="3904">
      <c r="A3904" s="14">
        <v>43031.24586805556</v>
      </c>
      <c r="B3904" s="20" t="str">
        <f>HYPERLINK("https://twitter.com/FriskPJ","@FriskPJ")</f>
        <v>@FriskPJ</v>
      </c>
      <c r="C3904" s="21" t="s">
        <v>9059</v>
      </c>
      <c r="D3904" s="21" t="s">
        <v>7594</v>
      </c>
      <c r="E3904" s="22" t="str">
        <f>HYPERLINK("https://twitter.com/FriskPJ/status/922446019115098112","922446019115098112")</f>
        <v>922446019115098112</v>
      </c>
      <c r="F3904" s="23" t="s">
        <v>39</v>
      </c>
      <c r="G3904" s="24">
        <v>168.0</v>
      </c>
      <c r="H3904" s="24">
        <v>488.0</v>
      </c>
      <c r="I3904" s="24">
        <v>10.0</v>
      </c>
      <c r="J3904" s="24">
        <v>0.0</v>
      </c>
      <c r="K3904" s="23" t="s">
        <v>34</v>
      </c>
      <c r="L3904" s="25">
        <v>40989.06291666666</v>
      </c>
      <c r="M3904" s="26" t="s">
        <v>9060</v>
      </c>
      <c r="N3904" s="26" t="s">
        <v>9061</v>
      </c>
      <c r="O3904" s="22" t="str">
        <f>HYPERLINK("https://pbs.twimg.com/profile_images/915800965902589952/P76uEsH1_normal.jpg","View")</f>
        <v>View</v>
      </c>
      <c r="P3904" s="27"/>
    </row>
    <row r="3905">
      <c r="A3905" s="14">
        <v>43031.245891203704</v>
      </c>
      <c r="B3905" s="20" t="str">
        <f>HYPERLINK("https://twitter.com/InvestSmart1","@InvestSmart1")</f>
        <v>@InvestSmart1</v>
      </c>
      <c r="C3905" s="21" t="s">
        <v>9062</v>
      </c>
      <c r="D3905" s="21" t="s">
        <v>9063</v>
      </c>
      <c r="E3905" s="22" t="str">
        <f>HYPERLINK("https://twitter.com/InvestSmart1/status/922446025872330753","922446025872330753")</f>
        <v>922446025872330753</v>
      </c>
      <c r="F3905" s="30" t="s">
        <v>9064</v>
      </c>
      <c r="G3905" s="24">
        <v>358.0</v>
      </c>
      <c r="H3905" s="24">
        <v>141.0</v>
      </c>
      <c r="I3905" s="24">
        <v>0.0</v>
      </c>
      <c r="J3905" s="24">
        <v>0.0</v>
      </c>
      <c r="K3905" s="23" t="s">
        <v>34</v>
      </c>
      <c r="L3905" s="25">
        <v>41243.54766203704</v>
      </c>
      <c r="M3905" s="28"/>
      <c r="N3905" s="26" t="s">
        <v>9065</v>
      </c>
      <c r="O3905" s="22" t="str">
        <f>HYPERLINK("https://pbs.twimg.com/profile_images/3146149347/ce1e012c44d6d58578c59396216fba56_normal.jpeg","View")</f>
        <v>View</v>
      </c>
      <c r="P3905" s="27"/>
    </row>
    <row r="3906">
      <c r="A3906" s="14">
        <v>43031.2459375</v>
      </c>
      <c r="B3906" s="20" t="str">
        <f>HYPERLINK("https://twitter.com/ZeroReq011","@ZeroReq011")</f>
        <v>@ZeroReq011</v>
      </c>
      <c r="C3906" s="21" t="s">
        <v>9066</v>
      </c>
      <c r="D3906" s="21" t="s">
        <v>9013</v>
      </c>
      <c r="E3906" s="22" t="str">
        <f>HYPERLINK("https://twitter.com/ZeroReq011/status/922446043706417152","922446043706417152")</f>
        <v>922446043706417152</v>
      </c>
      <c r="F3906" s="23" t="s">
        <v>33</v>
      </c>
      <c r="G3906" s="24">
        <v>630.0</v>
      </c>
      <c r="H3906" s="24">
        <v>483.0</v>
      </c>
      <c r="I3906" s="24">
        <v>31.0</v>
      </c>
      <c r="J3906" s="24">
        <v>0.0</v>
      </c>
      <c r="K3906" s="23" t="s">
        <v>34</v>
      </c>
      <c r="L3906" s="25">
        <v>41829.974120370374</v>
      </c>
      <c r="M3906" s="28"/>
      <c r="N3906" s="26" t="s">
        <v>9067</v>
      </c>
      <c r="O3906" s="22" t="str">
        <f>HYPERLINK("https://pbs.twimg.com/profile_images/914385703584227329/aa9ghrcc_normal.jpg","View")</f>
        <v>View</v>
      </c>
      <c r="P3906" s="27"/>
    </row>
    <row r="3907">
      <c r="A3907" s="14">
        <v>43031.246041666665</v>
      </c>
      <c r="B3907" s="20" t="str">
        <f>HYPERLINK("https://twitter.com/uutyan045","@uutyan045")</f>
        <v>@uutyan045</v>
      </c>
      <c r="C3907" s="21" t="s">
        <v>9068</v>
      </c>
      <c r="D3907" s="21" t="s">
        <v>513</v>
      </c>
      <c r="E3907" s="22" t="str">
        <f>HYPERLINK("https://twitter.com/uutyan045/status/922446081639641089","922446081639641089")</f>
        <v>922446081639641089</v>
      </c>
      <c r="F3907" s="23" t="s">
        <v>39</v>
      </c>
      <c r="G3907" s="24">
        <v>75.0</v>
      </c>
      <c r="H3907" s="24">
        <v>103.0</v>
      </c>
      <c r="I3907" s="24">
        <v>101.0</v>
      </c>
      <c r="J3907" s="24">
        <v>0.0</v>
      </c>
      <c r="K3907" s="23" t="s">
        <v>34</v>
      </c>
      <c r="L3907" s="25">
        <v>41256.82045138889</v>
      </c>
      <c r="M3907" s="28"/>
      <c r="N3907" s="28"/>
      <c r="O3907" s="22" t="str">
        <f>HYPERLINK("https://abs.twimg.com/sticky/default_profile_images/default_profile_normal.png","View")</f>
        <v>View</v>
      </c>
      <c r="P3907" s="27"/>
    </row>
    <row r="3908">
      <c r="A3908" s="14">
        <v>43031.24605324074</v>
      </c>
      <c r="B3908" s="20" t="str">
        <f>HYPERLINK("https://twitter.com/Arasmelek1","@Arasmelek1")</f>
        <v>@Arasmelek1</v>
      </c>
      <c r="C3908" s="21" t="s">
        <v>9069</v>
      </c>
      <c r="D3908" s="21" t="s">
        <v>9013</v>
      </c>
      <c r="E3908" s="22" t="str">
        <f>HYPERLINK("https://twitter.com/Arasmelek1/status/922446085741858816","922446085741858816")</f>
        <v>922446085741858816</v>
      </c>
      <c r="F3908" s="23" t="s">
        <v>33</v>
      </c>
      <c r="G3908" s="24">
        <v>163.0</v>
      </c>
      <c r="H3908" s="24">
        <v>65.0</v>
      </c>
      <c r="I3908" s="24">
        <v>31.0</v>
      </c>
      <c r="J3908" s="24">
        <v>0.0</v>
      </c>
      <c r="K3908" s="23" t="s">
        <v>34</v>
      </c>
      <c r="L3908" s="25">
        <v>41463.571550925924</v>
      </c>
      <c r="M3908" s="28"/>
      <c r="N3908" s="26" t="s">
        <v>9070</v>
      </c>
      <c r="O3908" s="22" t="str">
        <f>HYPERLINK("https://pbs.twimg.com/profile_images/378800000116358914/c1246de9fc3ae2ae351dc3f611f58d1d_normal.png","View")</f>
        <v>View</v>
      </c>
      <c r="P3908" s="27"/>
    </row>
    <row r="3909">
      <c r="A3909" s="14">
        <v>43031.24611111111</v>
      </c>
      <c r="B3909" s="20" t="str">
        <f>HYPERLINK("https://twitter.com/phemmykunnu","@phemmykunnu")</f>
        <v>@phemmykunnu</v>
      </c>
      <c r="C3909" s="21" t="s">
        <v>9071</v>
      </c>
      <c r="D3909" s="21" t="s">
        <v>8665</v>
      </c>
      <c r="E3909" s="22" t="str">
        <f>HYPERLINK("https://twitter.com/phemmykunnu/status/922446105622777857","922446105622777857")</f>
        <v>922446105622777857</v>
      </c>
      <c r="F3909" s="23" t="s">
        <v>39</v>
      </c>
      <c r="G3909" s="24">
        <v>549.0</v>
      </c>
      <c r="H3909" s="24">
        <v>455.0</v>
      </c>
      <c r="I3909" s="24">
        <v>67.0</v>
      </c>
      <c r="J3909" s="24">
        <v>0.0</v>
      </c>
      <c r="K3909" s="23" t="s">
        <v>34</v>
      </c>
      <c r="L3909" s="25">
        <v>40714.93616898148</v>
      </c>
      <c r="M3909" s="26" t="s">
        <v>9072</v>
      </c>
      <c r="N3909" s="26" t="s">
        <v>9073</v>
      </c>
      <c r="O3909" s="22" t="str">
        <f>HYPERLINK("https://pbs.twimg.com/profile_images/479921698763177985/h0QAe-x2_normal.jpeg","View")</f>
        <v>View</v>
      </c>
      <c r="P3909" s="27"/>
    </row>
    <row r="3910">
      <c r="A3910" s="14">
        <v>43031.246145833335</v>
      </c>
      <c r="B3910" s="20" t="str">
        <f>HYPERLINK("https://twitter.com/Chez_Celeste","@Chez_Celeste")</f>
        <v>@Chez_Celeste</v>
      </c>
      <c r="C3910" s="21" t="s">
        <v>9074</v>
      </c>
      <c r="D3910" s="21" t="s">
        <v>9075</v>
      </c>
      <c r="E3910" s="22" t="str">
        <f>HYPERLINK("https://twitter.com/Chez_Celeste/status/922446118818066432","922446118818066432")</f>
        <v>922446118818066432</v>
      </c>
      <c r="F3910" s="23" t="s">
        <v>55</v>
      </c>
      <c r="G3910" s="24">
        <v>40.0</v>
      </c>
      <c r="H3910" s="24">
        <v>186.0</v>
      </c>
      <c r="I3910" s="24">
        <v>0.0</v>
      </c>
      <c r="J3910" s="24">
        <v>0.0</v>
      </c>
      <c r="K3910" s="23" t="s">
        <v>34</v>
      </c>
      <c r="L3910" s="25">
        <v>41376.21407407407</v>
      </c>
      <c r="M3910" s="26" t="s">
        <v>1250</v>
      </c>
      <c r="N3910" s="28"/>
      <c r="O3910" s="22" t="str">
        <f>HYPERLINK("https://pbs.twimg.com/profile_images/670281100644720640/IOtpZoIE_normal.png","View")</f>
        <v>View</v>
      </c>
      <c r="P3910" s="27"/>
    </row>
    <row r="3911">
      <c r="A3911" s="14">
        <v>43031.24615740741</v>
      </c>
      <c r="B3911" s="20" t="str">
        <f>HYPERLINK("https://twitter.com/Bobbin1224","@Bobbin1224")</f>
        <v>@Bobbin1224</v>
      </c>
      <c r="C3911" s="21" t="s">
        <v>9076</v>
      </c>
      <c r="D3911" s="21" t="s">
        <v>9013</v>
      </c>
      <c r="E3911" s="22" t="str">
        <f>HYPERLINK("https://twitter.com/Bobbin1224/status/922446121011527680","922446121011527680")</f>
        <v>922446121011527680</v>
      </c>
      <c r="F3911" s="23" t="s">
        <v>55</v>
      </c>
      <c r="G3911" s="24">
        <v>1602.0</v>
      </c>
      <c r="H3911" s="24">
        <v>4992.0</v>
      </c>
      <c r="I3911" s="24">
        <v>31.0</v>
      </c>
      <c r="J3911" s="24">
        <v>0.0</v>
      </c>
      <c r="K3911" s="23" t="s">
        <v>34</v>
      </c>
      <c r="L3911" s="25">
        <v>41707.39004629629</v>
      </c>
      <c r="M3911" s="26" t="s">
        <v>9077</v>
      </c>
      <c r="N3911" s="26" t="s">
        <v>9078</v>
      </c>
      <c r="O3911" s="22" t="str">
        <f>HYPERLINK("https://pbs.twimg.com/profile_images/751305287974342658/PC9UCAsW_normal.jpg","View")</f>
        <v>View</v>
      </c>
      <c r="P3911" s="27"/>
    </row>
    <row r="3912">
      <c r="A3912" s="14">
        <v>43031.24637731482</v>
      </c>
      <c r="B3912" s="20" t="str">
        <f>HYPERLINK("https://twitter.com/rxk14007","@rxk14007")</f>
        <v>@rxk14007</v>
      </c>
      <c r="C3912" s="21" t="s">
        <v>9079</v>
      </c>
      <c r="D3912" s="21" t="s">
        <v>9013</v>
      </c>
      <c r="E3912" s="22" t="str">
        <f>HYPERLINK("https://twitter.com/rxk14007/status/922446203748360192","922446203748360192")</f>
        <v>922446203748360192</v>
      </c>
      <c r="F3912" s="23" t="s">
        <v>3884</v>
      </c>
      <c r="G3912" s="24">
        <v>3823.0</v>
      </c>
      <c r="H3912" s="24">
        <v>4573.0</v>
      </c>
      <c r="I3912" s="24">
        <v>31.0</v>
      </c>
      <c r="J3912" s="24">
        <v>0.0</v>
      </c>
      <c r="K3912" s="23" t="s">
        <v>34</v>
      </c>
      <c r="L3912" s="25">
        <v>39965.74071759259</v>
      </c>
      <c r="M3912" s="26" t="s">
        <v>853</v>
      </c>
      <c r="N3912" s="26" t="s">
        <v>9080</v>
      </c>
      <c r="O3912" s="22" t="str">
        <f>HYPERLINK("https://pbs.twimg.com/profile_images/3160695879/6e3fca1d024004921e72a6e06d12ebbb_normal.png","View")</f>
        <v>View</v>
      </c>
      <c r="P3912" s="27"/>
    </row>
    <row r="3913">
      <c r="A3913" s="14">
        <v>43031.24643518518</v>
      </c>
      <c r="B3913" s="20" t="str">
        <f>HYPERLINK("https://twitter.com/Bharatavarsa","@Bharatavarsa")</f>
        <v>@Bharatavarsa</v>
      </c>
      <c r="C3913" s="21" t="s">
        <v>9081</v>
      </c>
      <c r="D3913" s="21" t="s">
        <v>42</v>
      </c>
      <c r="E3913" s="22" t="str">
        <f>HYPERLINK("https://twitter.com/Bharatavarsa/status/922446223054794752","922446223054794752")</f>
        <v>922446223054794752</v>
      </c>
      <c r="F3913" s="23" t="s">
        <v>33</v>
      </c>
      <c r="G3913" s="24">
        <v>214.0</v>
      </c>
      <c r="H3913" s="24">
        <v>772.0</v>
      </c>
      <c r="I3913" s="24">
        <v>8501.0</v>
      </c>
      <c r="J3913" s="24">
        <v>0.0</v>
      </c>
      <c r="K3913" s="23" t="s">
        <v>34</v>
      </c>
      <c r="L3913" s="25">
        <v>41434.18171296296</v>
      </c>
      <c r="M3913" s="26" t="s">
        <v>603</v>
      </c>
      <c r="N3913" s="26" t="s">
        <v>9082</v>
      </c>
      <c r="O3913" s="22" t="str">
        <f>HYPERLINK("https://pbs.twimg.com/profile_images/750056582570840064/RXOkKQ21_normal.jpg","View")</f>
        <v>View</v>
      </c>
      <c r="P3913" s="27"/>
    </row>
    <row r="3914">
      <c r="A3914" s="14">
        <v>43031.246469907404</v>
      </c>
      <c r="B3914" s="20" t="str">
        <f>HYPERLINK("https://twitter.com/FACTPATROL_","@FACTPATROL_")</f>
        <v>@FACTPATROL_</v>
      </c>
      <c r="C3914" s="21" t="s">
        <v>9083</v>
      </c>
      <c r="D3914" s="21" t="s">
        <v>9084</v>
      </c>
      <c r="E3914" s="22" t="str">
        <f>HYPERLINK("https://twitter.com/FACTPATROL_/status/922446233838456833","922446233838456833")</f>
        <v>922446233838456833</v>
      </c>
      <c r="F3914" s="23" t="s">
        <v>9085</v>
      </c>
      <c r="G3914" s="24">
        <v>393.0</v>
      </c>
      <c r="H3914" s="24">
        <v>756.0</v>
      </c>
      <c r="I3914" s="24">
        <v>0.0</v>
      </c>
      <c r="J3914" s="24">
        <v>0.0</v>
      </c>
      <c r="K3914" s="23" t="s">
        <v>34</v>
      </c>
      <c r="L3914" s="25">
        <v>42851.35763888889</v>
      </c>
      <c r="M3914" s="26" t="s">
        <v>2068</v>
      </c>
      <c r="N3914" s="26" t="s">
        <v>9086</v>
      </c>
      <c r="O3914" s="22" t="str">
        <f>HYPERLINK("https://pbs.twimg.com/profile_images/877206966312894464/YQ0FErOm_normal.jpg","View")</f>
        <v>View</v>
      </c>
      <c r="P3914" s="27"/>
    </row>
    <row r="3915">
      <c r="A3915" s="14">
        <v>43031.246666666666</v>
      </c>
      <c r="B3915" s="20" t="str">
        <f>HYPERLINK("https://twitter.com/BShyamdev","@BShyamdev")</f>
        <v>@BShyamdev</v>
      </c>
      <c r="C3915" s="21" t="s">
        <v>9087</v>
      </c>
      <c r="D3915" s="21" t="s">
        <v>42</v>
      </c>
      <c r="E3915" s="22" t="str">
        <f>HYPERLINK("https://twitter.com/BShyamdev/status/922446306806829056","922446306806829056")</f>
        <v>922446306806829056</v>
      </c>
      <c r="F3915" s="23" t="s">
        <v>39</v>
      </c>
      <c r="G3915" s="24">
        <v>167.0</v>
      </c>
      <c r="H3915" s="24">
        <v>200.0</v>
      </c>
      <c r="I3915" s="24">
        <v>8501.0</v>
      </c>
      <c r="J3915" s="24">
        <v>0.0</v>
      </c>
      <c r="K3915" s="23" t="s">
        <v>34</v>
      </c>
      <c r="L3915" s="25">
        <v>41741.83371527778</v>
      </c>
      <c r="M3915" s="26" t="s">
        <v>9088</v>
      </c>
      <c r="N3915" s="26" t="s">
        <v>9089</v>
      </c>
      <c r="O3915" s="22" t="str">
        <f>HYPERLINK("https://pbs.twimg.com/profile_images/502048714371133441/1DjIunZT_normal.jpeg","View")</f>
        <v>View</v>
      </c>
      <c r="P3915" s="27"/>
    </row>
    <row r="3916">
      <c r="A3916" s="14">
        <v>43031.24674768519</v>
      </c>
      <c r="B3916" s="20" t="str">
        <f>HYPERLINK("https://twitter.com/qummoff","@qummoff")</f>
        <v>@qummoff</v>
      </c>
      <c r="C3916" s="21" t="s">
        <v>9090</v>
      </c>
      <c r="D3916" s="21" t="s">
        <v>42</v>
      </c>
      <c r="E3916" s="22" t="str">
        <f>HYPERLINK("https://twitter.com/qummoff/status/922446336041017344","922446336041017344")</f>
        <v>922446336041017344</v>
      </c>
      <c r="F3916" s="23" t="s">
        <v>230</v>
      </c>
      <c r="G3916" s="24">
        <v>449.0</v>
      </c>
      <c r="H3916" s="24">
        <v>501.0</v>
      </c>
      <c r="I3916" s="24">
        <v>8501.0</v>
      </c>
      <c r="J3916" s="24">
        <v>0.0</v>
      </c>
      <c r="K3916" s="23" t="s">
        <v>34</v>
      </c>
      <c r="L3916" s="25">
        <v>41737.70951388889</v>
      </c>
      <c r="M3916" s="26" t="s">
        <v>9091</v>
      </c>
      <c r="N3916" s="26" t="s">
        <v>9092</v>
      </c>
      <c r="O3916" s="22" t="str">
        <f>HYPERLINK("https://pbs.twimg.com/profile_images/875375865508405250/oP9tAphZ_normal.jpg","View")</f>
        <v>View</v>
      </c>
      <c r="P3916" s="27"/>
    </row>
    <row r="3917">
      <c r="A3917" s="14">
        <v>43031.246875</v>
      </c>
      <c r="B3917" s="20" t="str">
        <f>HYPERLINK("https://twitter.com/Milatrud11","@Milatrud11")</f>
        <v>@Milatrud11</v>
      </c>
      <c r="C3917" s="21" t="s">
        <v>9093</v>
      </c>
      <c r="D3917" s="21" t="s">
        <v>9094</v>
      </c>
      <c r="E3917" s="22" t="str">
        <f>HYPERLINK("https://twitter.com/Milatrud11/status/922446380936855555","922446380936855555")</f>
        <v>922446380936855555</v>
      </c>
      <c r="F3917" s="23" t="s">
        <v>55</v>
      </c>
      <c r="G3917" s="24">
        <v>2451.0</v>
      </c>
      <c r="H3917" s="24">
        <v>2999.0</v>
      </c>
      <c r="I3917" s="24">
        <v>1.0</v>
      </c>
      <c r="J3917" s="24">
        <v>0.0</v>
      </c>
      <c r="K3917" s="23" t="s">
        <v>34</v>
      </c>
      <c r="L3917" s="25">
        <v>41336.07363425926</v>
      </c>
      <c r="M3917" s="28"/>
      <c r="N3917" s="26" t="s">
        <v>9095</v>
      </c>
      <c r="O3917" s="22" t="str">
        <f>HYPERLINK("https://abs.twimg.com/sticky/default_profile_images/default_profile_normal.png","View")</f>
        <v>View</v>
      </c>
      <c r="P3917" s="27"/>
    </row>
    <row r="3918">
      <c r="A3918" s="14">
        <v>43031.24690972222</v>
      </c>
      <c r="B3918" s="20" t="str">
        <f>HYPERLINK("https://twitter.com/GdSanjayrastogi","@GdSanjayrastogi")</f>
        <v>@GdSanjayrastogi</v>
      </c>
      <c r="C3918" s="21" t="s">
        <v>9096</v>
      </c>
      <c r="D3918" s="21" t="s">
        <v>42</v>
      </c>
      <c r="E3918" s="22" t="str">
        <f>HYPERLINK("https://twitter.com/GdSanjayrastogi/status/922446395826618368","922446395826618368")</f>
        <v>922446395826618368</v>
      </c>
      <c r="F3918" s="23" t="s">
        <v>39</v>
      </c>
      <c r="G3918" s="24">
        <v>3562.0</v>
      </c>
      <c r="H3918" s="24">
        <v>920.0</v>
      </c>
      <c r="I3918" s="24">
        <v>8501.0</v>
      </c>
      <c r="J3918" s="24">
        <v>0.0</v>
      </c>
      <c r="K3918" s="23" t="s">
        <v>34</v>
      </c>
      <c r="L3918" s="25">
        <v>41592.89215277778</v>
      </c>
      <c r="M3918" s="26" t="s">
        <v>9097</v>
      </c>
      <c r="N3918" s="36">
        <v>42873.0</v>
      </c>
      <c r="O3918" s="22" t="str">
        <f>HYPERLINK("https://pbs.twimg.com/profile_images/900003816736645120/Scd3gIs5_normal.jpg","View")</f>
        <v>View</v>
      </c>
      <c r="P3918" s="27"/>
    </row>
    <row r="3919">
      <c r="A3919" s="14">
        <v>43031.246932870374</v>
      </c>
      <c r="B3919" s="20" t="str">
        <f>HYPERLINK("https://twitter.com/anchatageri","@anchatageri")</f>
        <v>@anchatageri</v>
      </c>
      <c r="C3919" s="21" t="s">
        <v>9098</v>
      </c>
      <c r="D3919" s="21" t="s">
        <v>42</v>
      </c>
      <c r="E3919" s="22" t="str">
        <f>HYPERLINK("https://twitter.com/anchatageri/status/922446401979613185","922446401979613185")</f>
        <v>922446401979613185</v>
      </c>
      <c r="F3919" s="23" t="s">
        <v>33</v>
      </c>
      <c r="G3919" s="24">
        <v>199.0</v>
      </c>
      <c r="H3919" s="24">
        <v>536.0</v>
      </c>
      <c r="I3919" s="24">
        <v>8501.0</v>
      </c>
      <c r="J3919" s="24">
        <v>0.0</v>
      </c>
      <c r="K3919" s="23" t="s">
        <v>34</v>
      </c>
      <c r="L3919" s="25">
        <v>41063.4637037037</v>
      </c>
      <c r="M3919" s="26" t="s">
        <v>9099</v>
      </c>
      <c r="N3919" s="28"/>
      <c r="O3919" s="22" t="str">
        <f>HYPERLINK("https://pbs.twimg.com/profile_images/810860925121085441/mcF_wrJw_normal.jpg","View")</f>
        <v>View</v>
      </c>
      <c r="P3919" s="27"/>
    </row>
    <row r="3920">
      <c r="A3920" s="14">
        <v>43031.24701388889</v>
      </c>
      <c r="B3920" s="20" t="str">
        <f>HYPERLINK("https://twitter.com/spike14788","@spike14788")</f>
        <v>@spike14788</v>
      </c>
      <c r="C3920" s="21" t="s">
        <v>9100</v>
      </c>
      <c r="D3920" s="21" t="s">
        <v>42</v>
      </c>
      <c r="E3920" s="22" t="str">
        <f>HYPERLINK("https://twitter.com/spike14788/status/922446434103910401","922446434103910401")</f>
        <v>922446434103910401</v>
      </c>
      <c r="F3920" s="23" t="s">
        <v>9101</v>
      </c>
      <c r="G3920" s="24">
        <v>48.0</v>
      </c>
      <c r="H3920" s="24">
        <v>406.0</v>
      </c>
      <c r="I3920" s="24">
        <v>8501.0</v>
      </c>
      <c r="J3920" s="24">
        <v>0.0</v>
      </c>
      <c r="K3920" s="23" t="s">
        <v>34</v>
      </c>
      <c r="L3920" s="25">
        <v>43024.988750000004</v>
      </c>
      <c r="M3920" s="26" t="s">
        <v>9102</v>
      </c>
      <c r="N3920" s="28"/>
      <c r="O3920" s="22" t="str">
        <f>HYPERLINK("https://pbs.twimg.com/profile_images/920180728708632576/YNWRmL6u_normal.jpg","View")</f>
        <v>View</v>
      </c>
      <c r="P3920" s="27"/>
    </row>
    <row r="3921">
      <c r="A3921" s="14">
        <v>43031.247083333335</v>
      </c>
      <c r="B3921" s="20" t="str">
        <f>HYPERLINK("https://twitter.com/lensmanjp","@lensmanjp")</f>
        <v>@lensmanjp</v>
      </c>
      <c r="C3921" s="21" t="s">
        <v>9103</v>
      </c>
      <c r="D3921" s="21" t="s">
        <v>9104</v>
      </c>
      <c r="E3921" s="22" t="str">
        <f>HYPERLINK("https://twitter.com/lensmanjp/status/922446459731034112","922446459731034112")</f>
        <v>922446459731034112</v>
      </c>
      <c r="F3921" s="23" t="s">
        <v>4595</v>
      </c>
      <c r="G3921" s="24">
        <v>927.0</v>
      </c>
      <c r="H3921" s="24">
        <v>1532.0</v>
      </c>
      <c r="I3921" s="24">
        <v>0.0</v>
      </c>
      <c r="J3921" s="24">
        <v>0.0</v>
      </c>
      <c r="K3921" s="23" t="s">
        <v>34</v>
      </c>
      <c r="L3921" s="25">
        <v>39952.746620370366</v>
      </c>
      <c r="M3921" s="26" t="s">
        <v>9105</v>
      </c>
      <c r="N3921" s="26" t="s">
        <v>9106</v>
      </c>
      <c r="O3921" s="22" t="str">
        <f>HYPERLINK("https://pbs.twimg.com/profile_images/1888505801/thssls_normal.jpg","View")</f>
        <v>View</v>
      </c>
      <c r="P3921" s="27"/>
    </row>
    <row r="3922">
      <c r="A3922" s="14">
        <v>43031.247210648144</v>
      </c>
      <c r="B3922" s="20" t="str">
        <f>HYPERLINK("https://twitter.com/sky712","@sky712")</f>
        <v>@sky712</v>
      </c>
      <c r="C3922" s="21" t="s">
        <v>9107</v>
      </c>
      <c r="D3922" s="21" t="s">
        <v>1642</v>
      </c>
      <c r="E3922" s="22" t="str">
        <f>HYPERLINK("https://twitter.com/sky712/status/922446505209872384","922446505209872384")</f>
        <v>922446505209872384</v>
      </c>
      <c r="F3922" s="23" t="s">
        <v>33</v>
      </c>
      <c r="G3922" s="24">
        <v>686.0</v>
      </c>
      <c r="H3922" s="24">
        <v>318.0</v>
      </c>
      <c r="I3922" s="24">
        <v>199.0</v>
      </c>
      <c r="J3922" s="24">
        <v>0.0</v>
      </c>
      <c r="K3922" s="23" t="s">
        <v>34</v>
      </c>
      <c r="L3922" s="25">
        <v>40029.99631944444</v>
      </c>
      <c r="M3922" s="26" t="s">
        <v>9108</v>
      </c>
      <c r="N3922" s="26" t="s">
        <v>9109</v>
      </c>
      <c r="O3922" s="22" t="str">
        <f>HYPERLINK("https://pbs.twimg.com/profile_images/882088412357906432/s2mgqdi3_normal.jpg","View")</f>
        <v>View</v>
      </c>
      <c r="P3922" s="27"/>
    </row>
    <row r="3923">
      <c r="A3923" s="14">
        <v>43031.24731481481</v>
      </c>
      <c r="B3923" s="20" t="str">
        <f>HYPERLINK("https://twitter.com/MangeshPandey17","@MangeshPandey17")</f>
        <v>@MangeshPandey17</v>
      </c>
      <c r="C3923" s="21" t="s">
        <v>9110</v>
      </c>
      <c r="D3923" s="21" t="s">
        <v>42</v>
      </c>
      <c r="E3923" s="22" t="str">
        <f>HYPERLINK("https://twitter.com/MangeshPandey17/status/922446541763125249","922446541763125249")</f>
        <v>922446541763125249</v>
      </c>
      <c r="F3923" s="23" t="s">
        <v>33</v>
      </c>
      <c r="G3923" s="24">
        <v>1.0</v>
      </c>
      <c r="H3923" s="24">
        <v>67.0</v>
      </c>
      <c r="I3923" s="24">
        <v>8501.0</v>
      </c>
      <c r="J3923" s="24">
        <v>0.0</v>
      </c>
      <c r="K3923" s="23" t="s">
        <v>34</v>
      </c>
      <c r="L3923" s="25">
        <v>43021.4305787037</v>
      </c>
      <c r="M3923" s="28"/>
      <c r="N3923" s="28"/>
      <c r="O3923" s="22" t="str">
        <f>HYPERLINK("https://abs.twimg.com/sticky/default_profile_images/default_profile_normal.png","View")</f>
        <v>View</v>
      </c>
      <c r="P3923" s="27"/>
    </row>
    <row r="3924">
      <c r="A3924" s="14">
        <v>43031.24732638889</v>
      </c>
      <c r="B3924" s="20" t="str">
        <f>HYPERLINK("https://twitter.com/meltealklein","@meltealklein")</f>
        <v>@meltealklein</v>
      </c>
      <c r="C3924" s="21" t="s">
        <v>9111</v>
      </c>
      <c r="D3924" s="21" t="s">
        <v>42</v>
      </c>
      <c r="E3924" s="22" t="str">
        <f>HYPERLINK("https://twitter.com/meltealklein/status/922446546423001088","922446546423001088")</f>
        <v>922446546423001088</v>
      </c>
      <c r="F3924" s="23" t="s">
        <v>9112</v>
      </c>
      <c r="G3924" s="24">
        <v>197.0</v>
      </c>
      <c r="H3924" s="24">
        <v>271.0</v>
      </c>
      <c r="I3924" s="24">
        <v>8501.0</v>
      </c>
      <c r="J3924" s="24">
        <v>0.0</v>
      </c>
      <c r="K3924" s="23" t="s">
        <v>34</v>
      </c>
      <c r="L3924" s="25">
        <v>40728.36824074074</v>
      </c>
      <c r="M3924" s="26" t="s">
        <v>9113</v>
      </c>
      <c r="N3924" s="26" t="s">
        <v>9114</v>
      </c>
      <c r="O3924" s="22" t="str">
        <f>HYPERLINK("https://pbs.twimg.com/profile_images/1831074387/Invisible_Pink_Unicorn_normal.jpg","View")</f>
        <v>View</v>
      </c>
      <c r="P3924" s="27"/>
    </row>
    <row r="3925">
      <c r="A3925" s="14">
        <v>43031.24738425926</v>
      </c>
      <c r="B3925" s="20" t="str">
        <f>HYPERLINK("https://twitter.com/jiminnxxx","@jiminnxxx")</f>
        <v>@jiminnxxx</v>
      </c>
      <c r="C3925" s="31" t="s">
        <v>9115</v>
      </c>
      <c r="D3925" s="21" t="s">
        <v>9013</v>
      </c>
      <c r="E3925" s="22" t="str">
        <f>HYPERLINK("https://twitter.com/jiminnxxx/status/922446567939956737","922446567939956737")</f>
        <v>922446567939956737</v>
      </c>
      <c r="F3925" s="23" t="s">
        <v>39</v>
      </c>
      <c r="G3925" s="24">
        <v>197.0</v>
      </c>
      <c r="H3925" s="24">
        <v>558.0</v>
      </c>
      <c r="I3925" s="24">
        <v>31.0</v>
      </c>
      <c r="J3925" s="24">
        <v>0.0</v>
      </c>
      <c r="K3925" s="23" t="s">
        <v>34</v>
      </c>
      <c r="L3925" s="25">
        <v>42205.67385416667</v>
      </c>
      <c r="M3925" s="28"/>
      <c r="N3925" s="32" t="s">
        <v>9116</v>
      </c>
      <c r="O3925" s="22" t="str">
        <f>HYPERLINK("https://pbs.twimg.com/profile_images/922916782960193536/YevlzzWw_normal.jpg","View")</f>
        <v>View</v>
      </c>
      <c r="P3925" s="27"/>
    </row>
    <row r="3926">
      <c r="A3926" s="14">
        <v>43031.247465277775</v>
      </c>
      <c r="B3926" s="20" t="str">
        <f>HYPERLINK("https://twitter.com/ysk_w0","@ysk_w0")</f>
        <v>@ysk_w0</v>
      </c>
      <c r="C3926" s="21" t="s">
        <v>9117</v>
      </c>
      <c r="D3926" s="21" t="s">
        <v>42</v>
      </c>
      <c r="E3926" s="22" t="str">
        <f>HYPERLINK("https://twitter.com/ysk_w0/status/922446594691055616","922446594691055616")</f>
        <v>922446594691055616</v>
      </c>
      <c r="F3926" s="23" t="s">
        <v>39</v>
      </c>
      <c r="G3926" s="24">
        <v>348.0</v>
      </c>
      <c r="H3926" s="24">
        <v>318.0</v>
      </c>
      <c r="I3926" s="24">
        <v>8501.0</v>
      </c>
      <c r="J3926" s="24">
        <v>0.0</v>
      </c>
      <c r="K3926" s="23" t="s">
        <v>34</v>
      </c>
      <c r="L3926" s="25">
        <v>42640.514432870375</v>
      </c>
      <c r="M3926" s="28"/>
      <c r="N3926" s="26" t="s">
        <v>9118</v>
      </c>
      <c r="O3926" s="22" t="str">
        <f>HYPERLINK("https://pbs.twimg.com/profile_images/922063634955583488/vD5voIxv_normal.jpg","View")</f>
        <v>View</v>
      </c>
      <c r="P3926" s="27"/>
    </row>
    <row r="3927">
      <c r="A3927" s="14">
        <v>43031.247511574074</v>
      </c>
      <c r="B3927" s="20" t="str">
        <f>HYPERLINK("https://twitter.com/JUMProgram","@JUMProgram")</f>
        <v>@JUMProgram</v>
      </c>
      <c r="C3927" s="21" t="s">
        <v>9119</v>
      </c>
      <c r="D3927" s="21" t="s">
        <v>9120</v>
      </c>
      <c r="E3927" s="22" t="str">
        <f>HYPERLINK("https://twitter.com/JUMProgram/status/922446613452386304","922446613452386304")</f>
        <v>922446613452386304</v>
      </c>
      <c r="F3927" s="23" t="s">
        <v>427</v>
      </c>
      <c r="G3927" s="24">
        <v>4296.0</v>
      </c>
      <c r="H3927" s="24">
        <v>4433.0</v>
      </c>
      <c r="I3927" s="24">
        <v>0.0</v>
      </c>
      <c r="J3927" s="24">
        <v>1.0</v>
      </c>
      <c r="K3927" s="23" t="s">
        <v>34</v>
      </c>
      <c r="L3927" s="25">
        <v>42123.4278587963</v>
      </c>
      <c r="M3927" s="28"/>
      <c r="N3927" s="26" t="s">
        <v>9121</v>
      </c>
      <c r="O3927" s="22" t="str">
        <f>HYPERLINK("https://pbs.twimg.com/profile_images/593465455412682752/Iw8d16Ce_normal.jpg","View")</f>
        <v>View</v>
      </c>
      <c r="P3927" s="27"/>
    </row>
    <row r="3928">
      <c r="A3928" s="14">
        <v>43031.24769675926</v>
      </c>
      <c r="B3928" s="20" t="str">
        <f>HYPERLINK("https://twitter.com/AyanNeog001","@AyanNeog001")</f>
        <v>@AyanNeog001</v>
      </c>
      <c r="C3928" s="21" t="s">
        <v>9122</v>
      </c>
      <c r="D3928" s="21" t="s">
        <v>42</v>
      </c>
      <c r="E3928" s="22" t="str">
        <f>HYPERLINK("https://twitter.com/AyanNeog001/status/922446682276507649","922446682276507649")</f>
        <v>922446682276507649</v>
      </c>
      <c r="F3928" s="23" t="s">
        <v>33</v>
      </c>
      <c r="G3928" s="24">
        <v>105.0</v>
      </c>
      <c r="H3928" s="24">
        <v>462.0</v>
      </c>
      <c r="I3928" s="24">
        <v>8501.0</v>
      </c>
      <c r="J3928" s="24">
        <v>0.0</v>
      </c>
      <c r="K3928" s="23" t="s">
        <v>34</v>
      </c>
      <c r="L3928" s="25">
        <v>42898.868206018524</v>
      </c>
      <c r="M3928" s="26" t="s">
        <v>1137</v>
      </c>
      <c r="N3928" s="28"/>
      <c r="O3928" s="22" t="str">
        <f>HYPERLINK("https://pbs.twimg.com/profile_images/894032388166098945/f-_miJBo_normal.jpg","View")</f>
        <v>View</v>
      </c>
      <c r="P3928" s="27"/>
    </row>
    <row r="3929">
      <c r="A3929" s="14">
        <v>43031.247719907406</v>
      </c>
      <c r="B3929" s="20" t="str">
        <f>HYPERLINK("https://twitter.com/KohNagao","@KohNagao")</f>
        <v>@KohNagao</v>
      </c>
      <c r="C3929" s="21" t="s">
        <v>9123</v>
      </c>
      <c r="D3929" s="21" t="s">
        <v>8782</v>
      </c>
      <c r="E3929" s="22" t="str">
        <f>HYPERLINK("https://twitter.com/KohNagao/status/922446686873513984","922446686873513984")</f>
        <v>922446686873513984</v>
      </c>
      <c r="F3929" s="23" t="s">
        <v>33</v>
      </c>
      <c r="G3929" s="24">
        <v>746.0</v>
      </c>
      <c r="H3929" s="24">
        <v>562.0</v>
      </c>
      <c r="I3929" s="24">
        <v>20.0</v>
      </c>
      <c r="J3929" s="24">
        <v>0.0</v>
      </c>
      <c r="K3929" s="23" t="s">
        <v>34</v>
      </c>
      <c r="L3929" s="25">
        <v>42038.797673611116</v>
      </c>
      <c r="M3929" s="26" t="s">
        <v>9124</v>
      </c>
      <c r="N3929" s="26" t="s">
        <v>9125</v>
      </c>
      <c r="O3929" s="22" t="str">
        <f>HYPERLINK("https://pbs.twimg.com/profile_images/906035209585360903/BiManyQC_normal.jpg","View")</f>
        <v>View</v>
      </c>
      <c r="P3929" s="27"/>
    </row>
    <row r="3930">
      <c r="A3930" s="14">
        <v>43031.24773148148</v>
      </c>
      <c r="B3930" s="20" t="str">
        <f>HYPERLINK("https://twitter.com/KALYUGINDIAN","@KALYUGINDIAN")</f>
        <v>@KALYUGINDIAN</v>
      </c>
      <c r="C3930" s="21" t="s">
        <v>9126</v>
      </c>
      <c r="D3930" s="21" t="s">
        <v>42</v>
      </c>
      <c r="E3930" s="22" t="str">
        <f>HYPERLINK("https://twitter.com/KALYUGINDIAN/status/922446692900782080","922446692900782080")</f>
        <v>922446692900782080</v>
      </c>
      <c r="F3930" s="23" t="s">
        <v>43</v>
      </c>
      <c r="G3930" s="24">
        <v>1.0</v>
      </c>
      <c r="H3930" s="24">
        <v>121.0</v>
      </c>
      <c r="I3930" s="24">
        <v>8501.0</v>
      </c>
      <c r="J3930" s="24">
        <v>0.0</v>
      </c>
      <c r="K3930" s="23" t="s">
        <v>34</v>
      </c>
      <c r="L3930" s="25">
        <v>41267.361296296294</v>
      </c>
      <c r="M3930" s="28"/>
      <c r="N3930" s="28"/>
      <c r="O3930" s="22" t="str">
        <f>HYPERLINK("https://pbs.twimg.com/profile_images/3015932475/edfde40a24b5f364272a5ef7647a8c25_normal.png","View")</f>
        <v>View</v>
      </c>
      <c r="P3930" s="27"/>
    </row>
    <row r="3931">
      <c r="A3931" s="14">
        <v>43031.24773148148</v>
      </c>
      <c r="B3931" s="20" t="str">
        <f>HYPERLINK("https://twitter.com/Hampton48323984","@Hampton48323984")</f>
        <v>@Hampton48323984</v>
      </c>
      <c r="C3931" s="21" t="s">
        <v>9127</v>
      </c>
      <c r="D3931" s="21" t="s">
        <v>8072</v>
      </c>
      <c r="E3931" s="22" t="str">
        <f>HYPERLINK("https://twitter.com/Hampton48323984/status/922446694972760066","922446694972760066")</f>
        <v>922446694972760066</v>
      </c>
      <c r="F3931" s="23" t="s">
        <v>55</v>
      </c>
      <c r="G3931" s="24">
        <v>4.0</v>
      </c>
      <c r="H3931" s="24">
        <v>7.0</v>
      </c>
      <c r="I3931" s="24">
        <v>28.0</v>
      </c>
      <c r="J3931" s="24">
        <v>0.0</v>
      </c>
      <c r="K3931" s="23" t="s">
        <v>34</v>
      </c>
      <c r="L3931" s="25">
        <v>43025.33996527777</v>
      </c>
      <c r="M3931" s="28"/>
      <c r="N3931" s="28"/>
      <c r="O3931" s="22" t="str">
        <f>HYPERLINK("https://pbs.twimg.com/profile_images/921197852818149376/WMvurSHE_normal.jpg","View")</f>
        <v>View</v>
      </c>
      <c r="P3931" s="27"/>
    </row>
    <row r="3932">
      <c r="A3932" s="14">
        <v>43031.24777777778</v>
      </c>
      <c r="B3932" s="20" t="str">
        <f>HYPERLINK("https://twitter.com/glarreta","@glarreta")</f>
        <v>@glarreta</v>
      </c>
      <c r="C3932" s="21" t="s">
        <v>9128</v>
      </c>
      <c r="D3932" s="21" t="s">
        <v>9129</v>
      </c>
      <c r="E3932" s="22" t="str">
        <f>HYPERLINK("https://twitter.com/glarreta/status/922446711745687552","922446711745687552")</f>
        <v>922446711745687552</v>
      </c>
      <c r="F3932" s="23" t="s">
        <v>39</v>
      </c>
      <c r="G3932" s="24">
        <v>5.0</v>
      </c>
      <c r="H3932" s="24">
        <v>37.0</v>
      </c>
      <c r="I3932" s="24">
        <v>0.0</v>
      </c>
      <c r="J3932" s="24">
        <v>0.0</v>
      </c>
      <c r="K3932" s="23" t="s">
        <v>34</v>
      </c>
      <c r="L3932" s="25">
        <v>40933.897824074076</v>
      </c>
      <c r="M3932" s="26" t="s">
        <v>92</v>
      </c>
      <c r="N3932" s="26" t="s">
        <v>9130</v>
      </c>
      <c r="O3932" s="22" t="str">
        <f>HYPERLINK("https://pbs.twimg.com/profile_images/554503267510525954/286punzz_normal.jpeg","View")</f>
        <v>View</v>
      </c>
      <c r="P3932" s="27"/>
    </row>
    <row r="3933">
      <c r="A3933" s="14">
        <v>43031.247812500005</v>
      </c>
      <c r="B3933" s="20" t="str">
        <f>HYPERLINK("https://twitter.com/soumenkkr","@soumenkkr")</f>
        <v>@soumenkkr</v>
      </c>
      <c r="C3933" s="21" t="s">
        <v>9131</v>
      </c>
      <c r="D3933" s="21" t="s">
        <v>42</v>
      </c>
      <c r="E3933" s="22" t="str">
        <f>HYPERLINK("https://twitter.com/soumenkkr/status/922446722218958849","922446722218958849")</f>
        <v>922446722218958849</v>
      </c>
      <c r="F3933" s="23" t="s">
        <v>33</v>
      </c>
      <c r="G3933" s="24">
        <v>108.0</v>
      </c>
      <c r="H3933" s="24">
        <v>969.0</v>
      </c>
      <c r="I3933" s="24">
        <v>8501.0</v>
      </c>
      <c r="J3933" s="24">
        <v>0.0</v>
      </c>
      <c r="K3933" s="23" t="s">
        <v>34</v>
      </c>
      <c r="L3933" s="25">
        <v>41806.97247685185</v>
      </c>
      <c r="M3933" s="26" t="s">
        <v>9132</v>
      </c>
      <c r="N3933" s="28"/>
      <c r="O3933" s="22" t="str">
        <f>HYPERLINK("https://pbs.twimg.com/profile_images/839678108966006784/DnfrYd7K_normal.jpg","View")</f>
        <v>View</v>
      </c>
      <c r="P3933" s="27"/>
    </row>
    <row r="3934">
      <c r="A3934" s="14">
        <v>43031.24790509259</v>
      </c>
      <c r="B3934" s="20" t="str">
        <f>HYPERLINK("https://twitter.com/seoservicec","@seoservicec")</f>
        <v>@seoservicec</v>
      </c>
      <c r="C3934" s="21" t="s">
        <v>7267</v>
      </c>
      <c r="D3934" s="21" t="s">
        <v>9133</v>
      </c>
      <c r="E3934" s="22" t="str">
        <f>HYPERLINK("https://twitter.com/seoservicec/status/922446757807747072","922446757807747072")</f>
        <v>922446757807747072</v>
      </c>
      <c r="F3934" s="23" t="s">
        <v>91</v>
      </c>
      <c r="G3934" s="24">
        <v>2510.0</v>
      </c>
      <c r="H3934" s="24">
        <v>1809.0</v>
      </c>
      <c r="I3934" s="24">
        <v>0.0</v>
      </c>
      <c r="J3934" s="24">
        <v>0.0</v>
      </c>
      <c r="K3934" s="23" t="s">
        <v>34</v>
      </c>
      <c r="L3934" s="25">
        <v>40628.35826388889</v>
      </c>
      <c r="M3934" s="26" t="s">
        <v>204</v>
      </c>
      <c r="N3934" s="26" t="s">
        <v>7269</v>
      </c>
      <c r="O3934" s="22" t="str">
        <f>HYPERLINK("https://pbs.twimg.com/profile_images/3503665052/7dbff869302c9184660533c524c0daaa_normal.png","View")</f>
        <v>View</v>
      </c>
      <c r="P3934" s="27"/>
    </row>
    <row r="3935">
      <c r="A3935" s="14">
        <v>43031.24793981481</v>
      </c>
      <c r="B3935" s="20" t="str">
        <f>HYPERLINK("https://twitter.com/UcedaEnglish","@UcedaEnglish")</f>
        <v>@UcedaEnglish</v>
      </c>
      <c r="C3935" s="21" t="s">
        <v>9134</v>
      </c>
      <c r="D3935" s="21" t="s">
        <v>9135</v>
      </c>
      <c r="E3935" s="22" t="str">
        <f>HYPERLINK("https://twitter.com/UcedaEnglish/status/922446768234577921","922446768234577921")</f>
        <v>922446768234577921</v>
      </c>
      <c r="F3935" s="30" t="s">
        <v>411</v>
      </c>
      <c r="G3935" s="24">
        <v>2268.0</v>
      </c>
      <c r="H3935" s="24">
        <v>3.0</v>
      </c>
      <c r="I3935" s="24">
        <v>0.0</v>
      </c>
      <c r="J3935" s="24">
        <v>0.0</v>
      </c>
      <c r="K3935" s="23" t="s">
        <v>34</v>
      </c>
      <c r="L3935" s="25">
        <v>40963.616215277776</v>
      </c>
      <c r="M3935" s="28"/>
      <c r="N3935" s="26" t="s">
        <v>9136</v>
      </c>
      <c r="O3935" s="22" t="str">
        <f>HYPERLINK("https://pbs.twimg.com/profile_images/519997839909216257/5WDRiPbH_normal.png","View")</f>
        <v>View</v>
      </c>
      <c r="P3935" s="27"/>
    </row>
    <row r="3936">
      <c r="A3936" s="14">
        <v>43031.247986111106</v>
      </c>
      <c r="B3936" s="20" t="str">
        <f>HYPERLINK("https://twitter.com/ITJobPro","@ITJobPro")</f>
        <v>@ITJobPro</v>
      </c>
      <c r="C3936" s="21" t="s">
        <v>9137</v>
      </c>
      <c r="D3936" s="21" t="s">
        <v>9138</v>
      </c>
      <c r="E3936" s="22" t="str">
        <f>HYPERLINK("https://twitter.com/ITJobPro/status/922446783963324416","922446783963324416")</f>
        <v>922446783963324416</v>
      </c>
      <c r="F3936" s="30" t="s">
        <v>411</v>
      </c>
      <c r="G3936" s="24">
        <v>1542.0</v>
      </c>
      <c r="H3936" s="24">
        <v>1993.0</v>
      </c>
      <c r="I3936" s="24">
        <v>0.0</v>
      </c>
      <c r="J3936" s="24">
        <v>0.0</v>
      </c>
      <c r="K3936" s="23" t="s">
        <v>34</v>
      </c>
      <c r="L3936" s="25">
        <v>40996.568020833336</v>
      </c>
      <c r="M3936" s="26" t="s">
        <v>9139</v>
      </c>
      <c r="N3936" s="26" t="s">
        <v>9140</v>
      </c>
      <c r="O3936" s="22" t="str">
        <f>HYPERLINK("https://pbs.twimg.com/profile_images/908430512514990080/fuWxU2QX_normal.jpg","View")</f>
        <v>View</v>
      </c>
      <c r="P3936" s="27"/>
    </row>
    <row r="3937">
      <c r="A3937" s="14">
        <v>43031.247986111106</v>
      </c>
      <c r="B3937" s="20" t="str">
        <f>HYPERLINK("https://twitter.com/unbonvinblanc","@unbonvinblanc")</f>
        <v>@unbonvinblanc</v>
      </c>
      <c r="C3937" s="21" t="s">
        <v>9141</v>
      </c>
      <c r="D3937" s="21" t="s">
        <v>8665</v>
      </c>
      <c r="E3937" s="22" t="str">
        <f>HYPERLINK("https://twitter.com/unbonvinblanc/status/922446786572070912","922446786572070912")</f>
        <v>922446786572070912</v>
      </c>
      <c r="F3937" s="23" t="s">
        <v>230</v>
      </c>
      <c r="G3937" s="24">
        <v>732.0</v>
      </c>
      <c r="H3937" s="24">
        <v>695.0</v>
      </c>
      <c r="I3937" s="24">
        <v>67.0</v>
      </c>
      <c r="J3937" s="24">
        <v>0.0</v>
      </c>
      <c r="K3937" s="23" t="s">
        <v>34</v>
      </c>
      <c r="L3937" s="25">
        <v>40256.07835648148</v>
      </c>
      <c r="M3937" s="26" t="s">
        <v>9142</v>
      </c>
      <c r="N3937" s="26" t="s">
        <v>9143</v>
      </c>
      <c r="O3937" s="22" t="str">
        <f>HYPERLINK("https://pbs.twimg.com/profile_images/816331029287841792/QhXu1ZPm_normal.jpg","View")</f>
        <v>View</v>
      </c>
      <c r="P3937" s="27"/>
    </row>
    <row r="3938">
      <c r="A3938" s="14">
        <v>43031.248136574075</v>
      </c>
      <c r="B3938" s="20" t="str">
        <f>HYPERLINK("https://twitter.com/T0mpp41","@T0mpp41")</f>
        <v>@T0mpp41</v>
      </c>
      <c r="C3938" s="21" t="s">
        <v>9144</v>
      </c>
      <c r="D3938" s="21" t="s">
        <v>9013</v>
      </c>
      <c r="E3938" s="22" t="str">
        <f>HYPERLINK("https://twitter.com/T0mpp41/status/922446839911153664","922446839911153664")</f>
        <v>922446839911153664</v>
      </c>
      <c r="F3938" s="23" t="s">
        <v>780</v>
      </c>
      <c r="G3938" s="24">
        <v>179.0</v>
      </c>
      <c r="H3938" s="24">
        <v>980.0</v>
      </c>
      <c r="I3938" s="24">
        <v>31.0</v>
      </c>
      <c r="J3938" s="24">
        <v>0.0</v>
      </c>
      <c r="K3938" s="23" t="s">
        <v>34</v>
      </c>
      <c r="L3938" s="25">
        <v>41683.94545138889</v>
      </c>
      <c r="M3938" s="28"/>
      <c r="N3938" s="28"/>
      <c r="O3938" s="22" t="str">
        <f>HYPERLINK("https://abs.twimg.com/sticky/default_profile_images/default_profile_normal.png","View")</f>
        <v>View</v>
      </c>
      <c r="P3938" s="27"/>
    </row>
    <row r="3939">
      <c r="A3939" s="14">
        <v>43031.248206018514</v>
      </c>
      <c r="B3939" s="20" t="str">
        <f>HYPERLINK("https://twitter.com/anselmonadir","@anselmonadir")</f>
        <v>@anselmonadir</v>
      </c>
      <c r="C3939" s="21" t="s">
        <v>9145</v>
      </c>
      <c r="D3939" s="21" t="s">
        <v>9013</v>
      </c>
      <c r="E3939" s="22" t="str">
        <f>HYPERLINK("https://twitter.com/anselmonadir/status/922446865462906882","922446865462906882")</f>
        <v>922446865462906882</v>
      </c>
      <c r="F3939" s="23" t="s">
        <v>33</v>
      </c>
      <c r="G3939" s="24">
        <v>3057.0</v>
      </c>
      <c r="H3939" s="24">
        <v>4590.0</v>
      </c>
      <c r="I3939" s="24">
        <v>31.0</v>
      </c>
      <c r="J3939" s="24">
        <v>0.0</v>
      </c>
      <c r="K3939" s="23" t="s">
        <v>34</v>
      </c>
      <c r="L3939" s="25">
        <v>40484.70827546297</v>
      </c>
      <c r="M3939" s="26" t="s">
        <v>9146</v>
      </c>
      <c r="N3939" s="26" t="s">
        <v>9147</v>
      </c>
      <c r="O3939" s="22" t="str">
        <f>HYPERLINK("https://pbs.twimg.com/profile_images/831956994911248386/WUA5mmMg_normal.jpg","View")</f>
        <v>View</v>
      </c>
      <c r="P3939" s="27"/>
    </row>
    <row r="3940">
      <c r="A3940" s="14">
        <v>43031.24835648148</v>
      </c>
      <c r="B3940" s="20" t="str">
        <f>HYPERLINK("https://twitter.com/VickyNamo","@VickyNamo")</f>
        <v>@VickyNamo</v>
      </c>
      <c r="C3940" s="21" t="s">
        <v>9148</v>
      </c>
      <c r="D3940" s="21" t="s">
        <v>42</v>
      </c>
      <c r="E3940" s="22" t="str">
        <f>HYPERLINK("https://twitter.com/VickyNamo/status/922446919569367041","922446919569367041")</f>
        <v>922446919569367041</v>
      </c>
      <c r="F3940" s="23" t="s">
        <v>33</v>
      </c>
      <c r="G3940" s="24">
        <v>3988.0</v>
      </c>
      <c r="H3940" s="24">
        <v>771.0</v>
      </c>
      <c r="I3940" s="24">
        <v>8501.0</v>
      </c>
      <c r="J3940" s="24">
        <v>0.0</v>
      </c>
      <c r="K3940" s="23" t="s">
        <v>34</v>
      </c>
      <c r="L3940" s="25">
        <v>40995.41645833333</v>
      </c>
      <c r="M3940" s="26" t="s">
        <v>9149</v>
      </c>
      <c r="N3940" s="26" t="s">
        <v>9150</v>
      </c>
      <c r="O3940" s="22" t="str">
        <f>HYPERLINK("https://pbs.twimg.com/profile_images/873538177423728640/O_fuRSy__normal.jpg","View")</f>
        <v>View</v>
      </c>
      <c r="P3940" s="27"/>
    </row>
    <row r="3941">
      <c r="A3941" s="14">
        <v>43031.2484375</v>
      </c>
      <c r="B3941" s="20" t="str">
        <f>HYPERLINK("https://twitter.com/storiesflowcom","@storiesflowcom")</f>
        <v>@storiesflowcom</v>
      </c>
      <c r="C3941" s="29" t="s">
        <v>4963</v>
      </c>
      <c r="D3941" s="21" t="s">
        <v>9151</v>
      </c>
      <c r="E3941" s="22" t="str">
        <f>HYPERLINK("https://twitter.com/storiesflowcom/status/922446947683880960","922446947683880960")</f>
        <v>922446947683880960</v>
      </c>
      <c r="F3941" s="23" t="s">
        <v>4965</v>
      </c>
      <c r="G3941" s="24">
        <v>1229.0</v>
      </c>
      <c r="H3941" s="24">
        <v>212.0</v>
      </c>
      <c r="I3941" s="24">
        <v>0.0</v>
      </c>
      <c r="J3941" s="24">
        <v>0.0</v>
      </c>
      <c r="K3941" s="23" t="s">
        <v>34</v>
      </c>
      <c r="L3941" s="25">
        <v>42334.56871527778</v>
      </c>
      <c r="M3941" s="28"/>
      <c r="N3941" s="26" t="s">
        <v>4966</v>
      </c>
      <c r="O3941" s="22" t="str">
        <f>HYPERLINK("https://pbs.twimg.com/profile_images/917886684649357312/aivZ5Pfc_normal.jpg","View")</f>
        <v>View</v>
      </c>
      <c r="P3941" s="27"/>
    </row>
    <row r="3942">
      <c r="A3942" s="14">
        <v>43031.24866898148</v>
      </c>
      <c r="B3942" s="20" t="str">
        <f>HYPERLINK("https://twitter.com/7675376666rhon","@7675376666rhon")</f>
        <v>@7675376666rhon</v>
      </c>
      <c r="C3942" s="21" t="s">
        <v>9152</v>
      </c>
      <c r="D3942" s="21" t="s">
        <v>67</v>
      </c>
      <c r="E3942" s="22" t="str">
        <f>HYPERLINK("https://twitter.com/7675376666rhon/status/922447031125397506","922447031125397506")</f>
        <v>922447031125397506</v>
      </c>
      <c r="F3942" s="23" t="s">
        <v>39</v>
      </c>
      <c r="G3942" s="24">
        <v>40.0</v>
      </c>
      <c r="H3942" s="24">
        <v>82.0</v>
      </c>
      <c r="I3942" s="24">
        <v>169.0</v>
      </c>
      <c r="J3942" s="24">
        <v>0.0</v>
      </c>
      <c r="K3942" s="23" t="s">
        <v>34</v>
      </c>
      <c r="L3942" s="25">
        <v>42618.71219907407</v>
      </c>
      <c r="M3942" s="26" t="s">
        <v>920</v>
      </c>
      <c r="N3942" s="26" t="s">
        <v>9153</v>
      </c>
      <c r="O3942" s="22" t="str">
        <f>HYPERLINK("https://pbs.twimg.com/profile_images/774620282833297408/WbeGJfm6_normal.jpg","View")</f>
        <v>View</v>
      </c>
      <c r="P3942" s="27"/>
    </row>
    <row r="3943">
      <c r="A3943" s="14">
        <v>43031.24869212963</v>
      </c>
      <c r="B3943" s="20" t="str">
        <f>HYPERLINK("https://twitter.com/petitelibrum","@petitelibrum")</f>
        <v>@petitelibrum</v>
      </c>
      <c r="C3943" s="21" t="s">
        <v>9154</v>
      </c>
      <c r="D3943" s="21" t="s">
        <v>9013</v>
      </c>
      <c r="E3943" s="22" t="str">
        <f>HYPERLINK("https://twitter.com/petitelibrum/status/922447041082507264","922447041082507264")</f>
        <v>922447041082507264</v>
      </c>
      <c r="F3943" s="23" t="s">
        <v>39</v>
      </c>
      <c r="G3943" s="24">
        <v>96.0</v>
      </c>
      <c r="H3943" s="24">
        <v>303.0</v>
      </c>
      <c r="I3943" s="24">
        <v>31.0</v>
      </c>
      <c r="J3943" s="24">
        <v>0.0</v>
      </c>
      <c r="K3943" s="23" t="s">
        <v>34</v>
      </c>
      <c r="L3943" s="25">
        <v>40903.75951388889</v>
      </c>
      <c r="M3943" s="26" t="s">
        <v>4186</v>
      </c>
      <c r="N3943" s="26" t="s">
        <v>9155</v>
      </c>
      <c r="O3943" s="22" t="str">
        <f>HYPERLINK("https://pbs.twimg.com/profile_images/697488648229548032/6CXmgEff_normal.jpg","View")</f>
        <v>View</v>
      </c>
      <c r="P3943" s="27"/>
    </row>
    <row r="3944">
      <c r="A3944" s="14">
        <v>43031.248703703706</v>
      </c>
      <c r="B3944" s="20" t="str">
        <f>HYPERLINK("https://twitter.com/ArikGandhi","@ArikGandhi")</f>
        <v>@ArikGandhi</v>
      </c>
      <c r="C3944" s="21" t="s">
        <v>9156</v>
      </c>
      <c r="D3944" s="21" t="s">
        <v>42</v>
      </c>
      <c r="E3944" s="22" t="str">
        <f>HYPERLINK("https://twitter.com/ArikGandhi/status/922447043695599616","922447043695599616")</f>
        <v>922447043695599616</v>
      </c>
      <c r="F3944" s="23" t="s">
        <v>33</v>
      </c>
      <c r="G3944" s="24">
        <v>2913.0</v>
      </c>
      <c r="H3944" s="24">
        <v>1673.0</v>
      </c>
      <c r="I3944" s="24">
        <v>8501.0</v>
      </c>
      <c r="J3944" s="24">
        <v>0.0</v>
      </c>
      <c r="K3944" s="23" t="s">
        <v>34</v>
      </c>
      <c r="L3944" s="25">
        <v>40696.9796875</v>
      </c>
      <c r="M3944" s="26" t="s">
        <v>7456</v>
      </c>
      <c r="N3944" s="26" t="s">
        <v>9157</v>
      </c>
      <c r="O3944" s="22" t="str">
        <f>HYPERLINK("https://pbs.twimg.com/profile_images/922792640868859905/gvjBDziY_normal.jpg","View")</f>
        <v>View</v>
      </c>
      <c r="P3944" s="27"/>
    </row>
    <row r="3945">
      <c r="A3945" s="14">
        <v>43031.24877314815</v>
      </c>
      <c r="B3945" s="20" t="str">
        <f>HYPERLINK("https://twitter.com/clara111","@clara111")</f>
        <v>@clara111</v>
      </c>
      <c r="C3945" s="21" t="s">
        <v>9158</v>
      </c>
      <c r="D3945" s="21" t="s">
        <v>9159</v>
      </c>
      <c r="E3945" s="22" t="str">
        <f>HYPERLINK("https://twitter.com/clara111/status/922447069910052871","922447069910052871")</f>
        <v>922447069910052871</v>
      </c>
      <c r="F3945" s="23" t="s">
        <v>55</v>
      </c>
      <c r="G3945" s="24">
        <v>8404.0</v>
      </c>
      <c r="H3945" s="24">
        <v>5581.0</v>
      </c>
      <c r="I3945" s="24">
        <v>6.0</v>
      </c>
      <c r="J3945" s="24">
        <v>4.0</v>
      </c>
      <c r="K3945" s="23" t="s">
        <v>34</v>
      </c>
      <c r="L3945" s="25">
        <v>40233.224814814814</v>
      </c>
      <c r="M3945" s="28"/>
      <c r="N3945" s="26" t="s">
        <v>9160</v>
      </c>
      <c r="O3945" s="22" t="str">
        <f>HYPERLINK("https://pbs.twimg.com/profile_images/870158636219236352/Di-Vel_D_normal.jpg","View")</f>
        <v>View</v>
      </c>
      <c r="P3945" s="27"/>
    </row>
    <row r="3946">
      <c r="A3946" s="14">
        <v>43031.248877314814</v>
      </c>
      <c r="B3946" s="20" t="str">
        <f>HYPERLINK("https://twitter.com/VikkyMehra2","@VikkyMehra2")</f>
        <v>@VikkyMehra2</v>
      </c>
      <c r="C3946" s="21" t="s">
        <v>9161</v>
      </c>
      <c r="D3946" s="21" t="s">
        <v>163</v>
      </c>
      <c r="E3946" s="22" t="str">
        <f>HYPERLINK("https://twitter.com/VikkyMehra2/status/922447107872587777","922447107872587777")</f>
        <v>922447107872587777</v>
      </c>
      <c r="F3946" s="23" t="s">
        <v>39</v>
      </c>
      <c r="G3946" s="24">
        <v>90.0</v>
      </c>
      <c r="H3946" s="24">
        <v>357.0</v>
      </c>
      <c r="I3946" s="24">
        <v>1005.0</v>
      </c>
      <c r="J3946" s="24">
        <v>0.0</v>
      </c>
      <c r="K3946" s="23" t="s">
        <v>34</v>
      </c>
      <c r="L3946" s="25">
        <v>42765.27202546297</v>
      </c>
      <c r="M3946" s="26" t="s">
        <v>575</v>
      </c>
      <c r="N3946" s="26" t="s">
        <v>9162</v>
      </c>
      <c r="O3946" s="22" t="str">
        <f>HYPERLINK("https://pbs.twimg.com/profile_images/892464241902403584/xTieBUMZ_normal.jpg","View")</f>
        <v>View</v>
      </c>
      <c r="P3946" s="27"/>
    </row>
    <row r="3947">
      <c r="A3947" s="14">
        <v>43031.248935185184</v>
      </c>
      <c r="B3947" s="20" t="str">
        <f>HYPERLINK("https://twitter.com/kenta67908205","@kenta67908205")</f>
        <v>@kenta67908205</v>
      </c>
      <c r="C3947" s="21" t="s">
        <v>9163</v>
      </c>
      <c r="D3947" s="21" t="s">
        <v>42</v>
      </c>
      <c r="E3947" s="22" t="str">
        <f>HYPERLINK("https://twitter.com/kenta67908205/status/922447127778705408","922447127778705408")</f>
        <v>922447127778705408</v>
      </c>
      <c r="F3947" s="23" t="s">
        <v>39</v>
      </c>
      <c r="G3947" s="24">
        <v>246.0</v>
      </c>
      <c r="H3947" s="24">
        <v>472.0</v>
      </c>
      <c r="I3947" s="24">
        <v>8501.0</v>
      </c>
      <c r="J3947" s="24">
        <v>0.0</v>
      </c>
      <c r="K3947" s="23" t="s">
        <v>34</v>
      </c>
      <c r="L3947" s="25">
        <v>40970.196134259255</v>
      </c>
      <c r="M3947" s="28"/>
      <c r="N3947" s="26" t="s">
        <v>9164</v>
      </c>
      <c r="O3947" s="22" t="str">
        <f>HYPERLINK("https://pbs.twimg.com/profile_images/2633758197/327c57a1b7953b455916a3a443adef23_normal.png","View")</f>
        <v>View</v>
      </c>
      <c r="P3947" s="27"/>
    </row>
    <row r="3948">
      <c r="A3948" s="14">
        <v>43031.24905092592</v>
      </c>
      <c r="B3948" s="20" t="str">
        <f>HYPERLINK("https://twitter.com/Being_Sexy_","@Being_Sexy_")</f>
        <v>@Being_Sexy_</v>
      </c>
      <c r="C3948" s="21" t="s">
        <v>9165</v>
      </c>
      <c r="D3948" s="21" t="s">
        <v>42</v>
      </c>
      <c r="E3948" s="22" t="str">
        <f>HYPERLINK("https://twitter.com/Being_Sexy_/status/922447169591820288","922447169591820288")</f>
        <v>922447169591820288</v>
      </c>
      <c r="F3948" s="23" t="s">
        <v>33</v>
      </c>
      <c r="G3948" s="24">
        <v>2156.0</v>
      </c>
      <c r="H3948" s="24">
        <v>45.0</v>
      </c>
      <c r="I3948" s="24">
        <v>8501.0</v>
      </c>
      <c r="J3948" s="24">
        <v>0.0</v>
      </c>
      <c r="K3948" s="23" t="s">
        <v>34</v>
      </c>
      <c r="L3948" s="25">
        <v>41238.32591435185</v>
      </c>
      <c r="M3948" s="26" t="s">
        <v>9166</v>
      </c>
      <c r="N3948" s="26" t="s">
        <v>9167</v>
      </c>
      <c r="O3948" s="22" t="str">
        <f>HYPERLINK("https://pbs.twimg.com/profile_images/918878045624258560/18xW1Tc6_normal.jpg","View")</f>
        <v>View</v>
      </c>
      <c r="P3948" s="27"/>
    </row>
    <row r="3949">
      <c r="A3949" s="14">
        <v>43031.249201388884</v>
      </c>
      <c r="B3949" s="20" t="str">
        <f>HYPERLINK("https://twitter.com/HaroldVasquezR","@HaroldVasquezR")</f>
        <v>@HaroldVasquezR</v>
      </c>
      <c r="C3949" s="21" t="s">
        <v>9168</v>
      </c>
      <c r="D3949" s="21" t="s">
        <v>7844</v>
      </c>
      <c r="E3949" s="22" t="str">
        <f>HYPERLINK("https://twitter.com/HaroldVasquezR/status/922447224814088193","922447224814088193")</f>
        <v>922447224814088193</v>
      </c>
      <c r="F3949" s="23" t="s">
        <v>39</v>
      </c>
      <c r="G3949" s="24">
        <v>3471.0</v>
      </c>
      <c r="H3949" s="24">
        <v>61.0</v>
      </c>
      <c r="I3949" s="24">
        <v>60.0</v>
      </c>
      <c r="J3949" s="24">
        <v>0.0</v>
      </c>
      <c r="K3949" s="23" t="s">
        <v>34</v>
      </c>
      <c r="L3949" s="25">
        <v>40242.373182870375</v>
      </c>
      <c r="M3949" s="26" t="s">
        <v>9169</v>
      </c>
      <c r="N3949" s="26" t="s">
        <v>9170</v>
      </c>
      <c r="O3949" s="22" t="str">
        <f>HYPERLINK("https://pbs.twimg.com/profile_images/548106578126450690/rrj2mRxy_normal.jpeg","View")</f>
        <v>View</v>
      </c>
      <c r="P3949" s="27"/>
    </row>
    <row r="3950">
      <c r="A3950" s="14">
        <v>43031.249293981484</v>
      </c>
      <c r="B3950" s="20" t="str">
        <f>HYPERLINK("https://twitter.com/IntellectsVoice","@IntellectsVoice")</f>
        <v>@IntellectsVoice</v>
      </c>
      <c r="C3950" s="21" t="s">
        <v>9171</v>
      </c>
      <c r="D3950" s="21" t="s">
        <v>8665</v>
      </c>
      <c r="E3950" s="22" t="str">
        <f>HYPERLINK("https://twitter.com/IntellectsVoice/status/922447258737573889","922447258737573889")</f>
        <v>922447258737573889</v>
      </c>
      <c r="F3950" s="23" t="s">
        <v>39</v>
      </c>
      <c r="G3950" s="24">
        <v>355.0</v>
      </c>
      <c r="H3950" s="24">
        <v>642.0</v>
      </c>
      <c r="I3950" s="24">
        <v>67.0</v>
      </c>
      <c r="J3950" s="24">
        <v>0.0</v>
      </c>
      <c r="K3950" s="23" t="s">
        <v>34</v>
      </c>
      <c r="L3950" s="25">
        <v>41060.71565972222</v>
      </c>
      <c r="M3950" s="28"/>
      <c r="N3950" s="26" t="s">
        <v>9172</v>
      </c>
      <c r="O3950" s="22" t="str">
        <f>HYPERLINK("https://pbs.twimg.com/profile_images/810551220922445825/FgcjqpAn_normal.jpg","View")</f>
        <v>View</v>
      </c>
      <c r="P3950" s="27"/>
    </row>
    <row r="3951">
      <c r="A3951" s="14">
        <v>43031.249444444446</v>
      </c>
      <c r="B3951" s="20" t="str">
        <f>HYPERLINK("https://twitter.com/munjal_ankit","@munjal_ankit")</f>
        <v>@munjal_ankit</v>
      </c>
      <c r="C3951" s="21" t="s">
        <v>9173</v>
      </c>
      <c r="D3951" s="21" t="s">
        <v>42</v>
      </c>
      <c r="E3951" s="22" t="str">
        <f>HYPERLINK("https://twitter.com/munjal_ankit/status/922447312109977600","922447312109977600")</f>
        <v>922447312109977600</v>
      </c>
      <c r="F3951" s="23" t="s">
        <v>39</v>
      </c>
      <c r="G3951" s="24">
        <v>5.0</v>
      </c>
      <c r="H3951" s="24">
        <v>14.0</v>
      </c>
      <c r="I3951" s="24">
        <v>8501.0</v>
      </c>
      <c r="J3951" s="24">
        <v>0.0</v>
      </c>
      <c r="K3951" s="23" t="s">
        <v>34</v>
      </c>
      <c r="L3951" s="25">
        <v>41651.42964120371</v>
      </c>
      <c r="M3951" s="28"/>
      <c r="N3951" s="28"/>
      <c r="O3951" s="22" t="str">
        <f>HYPERLINK("https://abs.twimg.com/sticky/default_profile_images/default_profile_normal.png","View")</f>
        <v>View</v>
      </c>
      <c r="P3951" s="27"/>
    </row>
    <row r="3952">
      <c r="A3952" s="14">
        <v>43031.24946759259</v>
      </c>
      <c r="B3952" s="20" t="str">
        <f>HYPERLINK("https://twitter.com/EdPainter97","@EdPainter97")</f>
        <v>@EdPainter97</v>
      </c>
      <c r="C3952" s="21" t="s">
        <v>9174</v>
      </c>
      <c r="D3952" s="21" t="s">
        <v>6403</v>
      </c>
      <c r="E3952" s="22" t="str">
        <f>HYPERLINK("https://twitter.com/EdPainter97/status/922447321878679555","922447321878679555")</f>
        <v>922447321878679555</v>
      </c>
      <c r="F3952" s="23" t="s">
        <v>39</v>
      </c>
      <c r="G3952" s="24">
        <v>84.0</v>
      </c>
      <c r="H3952" s="24">
        <v>49.0</v>
      </c>
      <c r="I3952" s="24">
        <v>97.0</v>
      </c>
      <c r="J3952" s="24">
        <v>0.0</v>
      </c>
      <c r="K3952" s="23" t="s">
        <v>34</v>
      </c>
      <c r="L3952" s="25">
        <v>42643.4859375</v>
      </c>
      <c r="M3952" s="26" t="s">
        <v>9175</v>
      </c>
      <c r="N3952" s="28"/>
      <c r="O3952" s="22" t="str">
        <f>HYPERLINK("https://pbs.twimg.com/profile_images/847153803241631744/k_31F4SW_normal.jpg","View")</f>
        <v>View</v>
      </c>
      <c r="P3952" s="27"/>
    </row>
    <row r="3953">
      <c r="A3953" s="14">
        <v>43031.24958333334</v>
      </c>
      <c r="B3953" s="20" t="str">
        <f>HYPERLINK("https://twitter.com/EuEthnic","@EuEthnic")</f>
        <v>@EuEthnic</v>
      </c>
      <c r="C3953" s="21" t="s">
        <v>9176</v>
      </c>
      <c r="D3953" s="21" t="s">
        <v>9013</v>
      </c>
      <c r="E3953" s="22" t="str">
        <f>HYPERLINK("https://twitter.com/EuEthnic/status/922447365272932353","922447365272932353")</f>
        <v>922447365272932353</v>
      </c>
      <c r="F3953" s="23" t="s">
        <v>39</v>
      </c>
      <c r="G3953" s="24">
        <v>2394.0</v>
      </c>
      <c r="H3953" s="24">
        <v>5005.0</v>
      </c>
      <c r="I3953" s="24">
        <v>31.0</v>
      </c>
      <c r="J3953" s="24">
        <v>0.0</v>
      </c>
      <c r="K3953" s="23" t="s">
        <v>34</v>
      </c>
      <c r="L3953" s="25">
        <v>42547.067025462966</v>
      </c>
      <c r="M3953" s="26" t="s">
        <v>9177</v>
      </c>
      <c r="N3953" s="26" t="s">
        <v>9178</v>
      </c>
      <c r="O3953" s="22" t="str">
        <f>HYPERLINK("https://pbs.twimg.com/profile_images/819244524123754496/zcMMzkkA_normal.jpg","View")</f>
        <v>View</v>
      </c>
      <c r="P3953" s="27"/>
    </row>
    <row r="3954">
      <c r="A3954" s="14">
        <v>43031.24962962963</v>
      </c>
      <c r="B3954" s="20" t="str">
        <f>HYPERLINK("https://twitter.com/manuco22","@manuco22")</f>
        <v>@manuco22</v>
      </c>
      <c r="C3954" s="21" t="s">
        <v>9179</v>
      </c>
      <c r="D3954" s="21" t="s">
        <v>9180</v>
      </c>
      <c r="E3954" s="22" t="str">
        <f>HYPERLINK("https://twitter.com/manuco22/status/922447380724768768","922447380724768768")</f>
        <v>922447380724768768</v>
      </c>
      <c r="F3954" s="23" t="s">
        <v>39</v>
      </c>
      <c r="G3954" s="24">
        <v>7705.0</v>
      </c>
      <c r="H3954" s="24">
        <v>7017.0</v>
      </c>
      <c r="I3954" s="24">
        <v>0.0</v>
      </c>
      <c r="J3954" s="24">
        <v>0.0</v>
      </c>
      <c r="K3954" s="23" t="s">
        <v>34</v>
      </c>
      <c r="L3954" s="25">
        <v>39925.82200231482</v>
      </c>
      <c r="M3954" s="26" t="s">
        <v>9181</v>
      </c>
      <c r="N3954" s="26" t="s">
        <v>9182</v>
      </c>
      <c r="O3954" s="22" t="str">
        <f>HYPERLINK("https://pbs.twimg.com/profile_images/587793977/manuco_foto_twitter_navidad_normal.jpg","View")</f>
        <v>View</v>
      </c>
      <c r="P3954" s="27"/>
    </row>
    <row r="3955">
      <c r="A3955" s="14">
        <v>43031.24965277778</v>
      </c>
      <c r="B3955" s="20" t="str">
        <f>HYPERLINK("https://twitter.com/mediagirlpro","@mediagirlpro")</f>
        <v>@mediagirlpro</v>
      </c>
      <c r="C3955" s="21" t="s">
        <v>9183</v>
      </c>
      <c r="D3955" s="21" t="s">
        <v>3867</v>
      </c>
      <c r="E3955" s="22" t="str">
        <f>HYPERLINK("https://twitter.com/mediagirlpro/status/922447390904168449","922447390904168449")</f>
        <v>922447390904168449</v>
      </c>
      <c r="F3955" s="23" t="s">
        <v>39</v>
      </c>
      <c r="G3955" s="24">
        <v>738.0</v>
      </c>
      <c r="H3955" s="24">
        <v>1079.0</v>
      </c>
      <c r="I3955" s="24">
        <v>23.0</v>
      </c>
      <c r="J3955" s="24">
        <v>0.0</v>
      </c>
      <c r="K3955" s="23" t="s">
        <v>34</v>
      </c>
      <c r="L3955" s="25">
        <v>40873.568125</v>
      </c>
      <c r="M3955" s="26" t="s">
        <v>9184</v>
      </c>
      <c r="N3955" s="26" t="s">
        <v>9185</v>
      </c>
      <c r="O3955" s="22" t="str">
        <f>HYPERLINK("https://pbs.twimg.com/profile_images/757125409305571330/ma-zgjkF_normal.jpg","View")</f>
        <v>View</v>
      </c>
      <c r="P3955" s="27"/>
    </row>
    <row r="3956">
      <c r="A3956" s="14">
        <v>43031.249826388885</v>
      </c>
      <c r="B3956" s="20" t="str">
        <f>HYPERLINK("https://twitter.com/vivek0choudhary","@vivek0choudhary")</f>
        <v>@vivek0choudhary</v>
      </c>
      <c r="C3956" s="21" t="s">
        <v>9186</v>
      </c>
      <c r="D3956" s="21" t="s">
        <v>42</v>
      </c>
      <c r="E3956" s="22" t="str">
        <f>HYPERLINK("https://twitter.com/vivek0choudhary/status/922447453286121473","922447453286121473")</f>
        <v>922447453286121473</v>
      </c>
      <c r="F3956" s="23" t="s">
        <v>33</v>
      </c>
      <c r="G3956" s="24">
        <v>22.0</v>
      </c>
      <c r="H3956" s="24">
        <v>126.0</v>
      </c>
      <c r="I3956" s="24">
        <v>8501.0</v>
      </c>
      <c r="J3956" s="24">
        <v>0.0</v>
      </c>
      <c r="K3956" s="23" t="s">
        <v>34</v>
      </c>
      <c r="L3956" s="25">
        <v>42796.33915509259</v>
      </c>
      <c r="M3956" s="26" t="s">
        <v>6559</v>
      </c>
      <c r="N3956" s="26" t="s">
        <v>9187</v>
      </c>
      <c r="O3956" s="22" t="str">
        <f>HYPERLINK("https://pbs.twimg.com/profile_images/914470275386707970/uuz7hw9y_normal.jpg","View")</f>
        <v>View</v>
      </c>
      <c r="P3956" s="27"/>
    </row>
    <row r="3957">
      <c r="A3957" s="14">
        <v>43031.249918981484</v>
      </c>
      <c r="B3957" s="20" t="str">
        <f>HYPERLINK("https://twitter.com/DrKynast","@DrKynast")</f>
        <v>@DrKynast</v>
      </c>
      <c r="C3957" s="21" t="s">
        <v>9188</v>
      </c>
      <c r="D3957" s="21" t="s">
        <v>9189</v>
      </c>
      <c r="E3957" s="22" t="str">
        <f>HYPERLINK("https://twitter.com/DrKynast/status/922447485989244928","922447485989244928")</f>
        <v>922447485989244928</v>
      </c>
      <c r="F3957" s="23" t="s">
        <v>43</v>
      </c>
      <c r="G3957" s="24">
        <v>2455.0</v>
      </c>
      <c r="H3957" s="24">
        <v>2607.0</v>
      </c>
      <c r="I3957" s="24">
        <v>1.0</v>
      </c>
      <c r="J3957" s="24">
        <v>0.0</v>
      </c>
      <c r="K3957" s="23" t="s">
        <v>34</v>
      </c>
      <c r="L3957" s="25">
        <v>42619.794016203705</v>
      </c>
      <c r="M3957" s="26" t="s">
        <v>9190</v>
      </c>
      <c r="N3957" s="26" t="s">
        <v>9191</v>
      </c>
      <c r="O3957" s="22" t="str">
        <f>HYPERLINK("https://pbs.twimg.com/profile_images/773512285629345792/2AmdEU5W_normal.jpg","View")</f>
        <v>View</v>
      </c>
      <c r="P3957" s="27"/>
    </row>
    <row r="3958">
      <c r="A3958" s="14">
        <v>43031.249930555554</v>
      </c>
      <c r="B3958" s="20" t="str">
        <f>HYPERLINK("https://twitter.com/Bhayukt","@Bhayukt")</f>
        <v>@Bhayukt</v>
      </c>
      <c r="C3958" s="21" t="s">
        <v>9192</v>
      </c>
      <c r="D3958" s="21" t="s">
        <v>42</v>
      </c>
      <c r="E3958" s="22" t="str">
        <f>HYPERLINK("https://twitter.com/Bhayukt/status/922447489172754433","922447489172754433")</f>
        <v>922447489172754433</v>
      </c>
      <c r="F3958" s="23" t="s">
        <v>33</v>
      </c>
      <c r="G3958" s="24">
        <v>80.0</v>
      </c>
      <c r="H3958" s="24">
        <v>28.0</v>
      </c>
      <c r="I3958" s="24">
        <v>8501.0</v>
      </c>
      <c r="J3958" s="24">
        <v>0.0</v>
      </c>
      <c r="K3958" s="23" t="s">
        <v>34</v>
      </c>
      <c r="L3958" s="25">
        <v>41745.29039351852</v>
      </c>
      <c r="M3958" s="26" t="s">
        <v>227</v>
      </c>
      <c r="N3958" s="26" t="s">
        <v>9193</v>
      </c>
      <c r="O3958" s="22" t="str">
        <f>HYPERLINK("https://pbs.twimg.com/profile_images/478694052661952512/g_M8ZmPw_normal.jpeg","View")</f>
        <v>View</v>
      </c>
      <c r="P3958" s="27"/>
    </row>
    <row r="3959">
      <c r="A3959" s="14">
        <v>43031.24994212963</v>
      </c>
      <c r="B3959" s="20" t="str">
        <f>HYPERLINK("https://twitter.com/SumanKa52474559","@SumanKa52474559")</f>
        <v>@SumanKa52474559</v>
      </c>
      <c r="C3959" s="21" t="s">
        <v>9194</v>
      </c>
      <c r="D3959" s="21" t="s">
        <v>42</v>
      </c>
      <c r="E3959" s="22" t="str">
        <f>HYPERLINK("https://twitter.com/SumanKa52474559/status/922447495229161474","922447495229161474")</f>
        <v>922447495229161474</v>
      </c>
      <c r="F3959" s="23" t="s">
        <v>33</v>
      </c>
      <c r="G3959" s="24">
        <v>0.0</v>
      </c>
      <c r="H3959" s="24">
        <v>23.0</v>
      </c>
      <c r="I3959" s="24">
        <v>8501.0</v>
      </c>
      <c r="J3959" s="24">
        <v>0.0</v>
      </c>
      <c r="K3959" s="23" t="s">
        <v>34</v>
      </c>
      <c r="L3959" s="25">
        <v>43002.896782407406</v>
      </c>
      <c r="M3959" s="28"/>
      <c r="N3959" s="28"/>
      <c r="O3959" s="22" t="str">
        <f>HYPERLINK("https://abs.twimg.com/sticky/default_profile_images/default_profile_normal.png","View")</f>
        <v>View</v>
      </c>
      <c r="P3959" s="27"/>
    </row>
    <row r="3960">
      <c r="A3960" s="14">
        <v>43031.250069444446</v>
      </c>
      <c r="B3960" s="20" t="str">
        <f>HYPERLINK("https://twitter.com/Global___News","@Global___News")</f>
        <v>@Global___News</v>
      </c>
      <c r="C3960" s="21" t="s">
        <v>4191</v>
      </c>
      <c r="D3960" s="21" t="s">
        <v>9195</v>
      </c>
      <c r="E3960" s="22" t="str">
        <f>HYPERLINK("https://twitter.com/Global___News/status/922447540347273216","922447540347273216")</f>
        <v>922447540347273216</v>
      </c>
      <c r="F3960" s="23" t="s">
        <v>4193</v>
      </c>
      <c r="G3960" s="24">
        <v>820.0</v>
      </c>
      <c r="H3960" s="24">
        <v>4.0</v>
      </c>
      <c r="I3960" s="24">
        <v>0.0</v>
      </c>
      <c r="J3960" s="24">
        <v>0.0</v>
      </c>
      <c r="K3960" s="23" t="s">
        <v>34</v>
      </c>
      <c r="L3960" s="25">
        <v>41404.33153935185</v>
      </c>
      <c r="M3960" s="28"/>
      <c r="N3960" s="26" t="s">
        <v>4191</v>
      </c>
      <c r="O3960" s="22" t="str">
        <f>HYPERLINK("https://pbs.twimg.com/profile_images/3640360348/ca3c8990ec800ecd3004b1c1ab4cc462_normal.png","View")</f>
        <v>View</v>
      </c>
      <c r="P3960" s="27"/>
    </row>
    <row r="3961">
      <c r="A3961" s="14">
        <v>43031.250173611115</v>
      </c>
      <c r="B3961" s="20" t="str">
        <f>HYPERLINK("https://twitter.com/adhoyo","@adhoyo")</f>
        <v>@adhoyo</v>
      </c>
      <c r="C3961" s="21" t="s">
        <v>9196</v>
      </c>
      <c r="D3961" s="21" t="s">
        <v>9013</v>
      </c>
      <c r="E3961" s="22" t="str">
        <f>HYPERLINK("https://twitter.com/adhoyo/status/922447575936102401","922447575936102401")</f>
        <v>922447575936102401</v>
      </c>
      <c r="F3961" s="23" t="s">
        <v>39</v>
      </c>
      <c r="G3961" s="24">
        <v>366.0</v>
      </c>
      <c r="H3961" s="24">
        <v>691.0</v>
      </c>
      <c r="I3961" s="24">
        <v>31.0</v>
      </c>
      <c r="J3961" s="24">
        <v>0.0</v>
      </c>
      <c r="K3961" s="23" t="s">
        <v>34</v>
      </c>
      <c r="L3961" s="25">
        <v>39988.33679398148</v>
      </c>
      <c r="M3961" s="26" t="s">
        <v>9197</v>
      </c>
      <c r="N3961" s="26" t="s">
        <v>9198</v>
      </c>
      <c r="O3961" s="22" t="str">
        <f>HYPERLINK("https://pbs.twimg.com/profile_images/917647160946065409/RoHLjqGi_normal.jpg","View")</f>
        <v>View</v>
      </c>
      <c r="P3961" s="27"/>
    </row>
    <row r="3962">
      <c r="A3962" s="14">
        <v>43031.250196759254</v>
      </c>
      <c r="B3962" s="20" t="str">
        <f>HYPERLINK("https://twitter.com/Alex_Dix","@Alex_Dix")</f>
        <v>@Alex_Dix</v>
      </c>
      <c r="C3962" s="21" t="s">
        <v>9199</v>
      </c>
      <c r="D3962" s="21" t="s">
        <v>8665</v>
      </c>
      <c r="E3962" s="22" t="str">
        <f>HYPERLINK("https://twitter.com/Alex_Dix/status/922447586593853441","922447586593853441")</f>
        <v>922447586593853441</v>
      </c>
      <c r="F3962" s="23" t="s">
        <v>33</v>
      </c>
      <c r="G3962" s="24">
        <v>593.0</v>
      </c>
      <c r="H3962" s="24">
        <v>2394.0</v>
      </c>
      <c r="I3962" s="24">
        <v>67.0</v>
      </c>
      <c r="J3962" s="24">
        <v>0.0</v>
      </c>
      <c r="K3962" s="23" t="s">
        <v>34</v>
      </c>
      <c r="L3962" s="25">
        <v>40570.54908564815</v>
      </c>
      <c r="M3962" s="26" t="s">
        <v>9200</v>
      </c>
      <c r="N3962" s="26" t="s">
        <v>9201</v>
      </c>
      <c r="O3962" s="22" t="str">
        <f>HYPERLINK("https://pbs.twimg.com/profile_images/3075265298/1d30fc217186eadede8533eb353e6108_normal.jpeg","View")</f>
        <v>View</v>
      </c>
      <c r="P3962" s="27"/>
    </row>
    <row r="3963">
      <c r="A3963" s="14">
        <v>43031.25032407408</v>
      </c>
      <c r="B3963" s="20" t="str">
        <f>HYPERLINK("https://twitter.com/NieveCecilia","@NieveCecilia")</f>
        <v>@NieveCecilia</v>
      </c>
      <c r="C3963" s="21" t="s">
        <v>9202</v>
      </c>
      <c r="D3963" s="21" t="s">
        <v>8665</v>
      </c>
      <c r="E3963" s="22" t="str">
        <f>HYPERLINK("https://twitter.com/NieveCecilia/status/922447631657439239","922447631657439239")</f>
        <v>922447631657439239</v>
      </c>
      <c r="F3963" s="23" t="s">
        <v>39</v>
      </c>
      <c r="G3963" s="24">
        <v>495.0</v>
      </c>
      <c r="H3963" s="24">
        <v>917.0</v>
      </c>
      <c r="I3963" s="24">
        <v>67.0</v>
      </c>
      <c r="J3963" s="24">
        <v>0.0</v>
      </c>
      <c r="K3963" s="23" t="s">
        <v>34</v>
      </c>
      <c r="L3963" s="25">
        <v>40066.521365740744</v>
      </c>
      <c r="M3963" s="26" t="s">
        <v>9203</v>
      </c>
      <c r="N3963" s="26" t="s">
        <v>9204</v>
      </c>
      <c r="O3963" s="22" t="str">
        <f>HYPERLINK("https://pbs.twimg.com/profile_images/921220906134904833/cTGrQtPX_normal.jpg","View")</f>
        <v>View</v>
      </c>
      <c r="P3963" s="27"/>
    </row>
    <row r="3964">
      <c r="A3964" s="14">
        <v>43031.25041666666</v>
      </c>
      <c r="B3964" s="20" t="str">
        <f>HYPERLINK("https://twitter.com/Social_Media_d7","@Social_Media_d7")</f>
        <v>@Social_Media_d7</v>
      </c>
      <c r="C3964" s="21" t="s">
        <v>9205</v>
      </c>
      <c r="D3964" s="21" t="s">
        <v>9206</v>
      </c>
      <c r="E3964" s="22" t="str">
        <f>HYPERLINK("https://twitter.com/Social_Media_d7/status/922447665379577857","922447665379577857")</f>
        <v>922447665379577857</v>
      </c>
      <c r="F3964" s="23" t="s">
        <v>427</v>
      </c>
      <c r="G3964" s="24">
        <v>7549.0</v>
      </c>
      <c r="H3964" s="24">
        <v>7579.0</v>
      </c>
      <c r="I3964" s="24">
        <v>0.0</v>
      </c>
      <c r="J3964" s="24">
        <v>0.0</v>
      </c>
      <c r="K3964" s="23" t="s">
        <v>34</v>
      </c>
      <c r="L3964" s="25">
        <v>42354.84122685185</v>
      </c>
      <c r="M3964" s="28"/>
      <c r="N3964" s="26" t="s">
        <v>9207</v>
      </c>
      <c r="O3964" s="22" t="str">
        <f>HYPERLINK("https://pbs.twimg.com/profile_images/862975882427682816/UbqQp2NI_normal.jpg","View")</f>
        <v>View</v>
      </c>
      <c r="P3964" s="27"/>
    </row>
    <row r="3965">
      <c r="A3965" s="14">
        <v>43031.25047453704</v>
      </c>
      <c r="B3965" s="20" t="str">
        <f>HYPERLINK("https://twitter.com/tranhieuz24281","@tranhieuz24281")</f>
        <v>@tranhieuz24281</v>
      </c>
      <c r="C3965" s="21" t="s">
        <v>5862</v>
      </c>
      <c r="D3965" s="21" t="s">
        <v>9208</v>
      </c>
      <c r="E3965" s="22" t="str">
        <f>HYPERLINK("https://twitter.com/tranhieuz24281/status/922447686732800001","922447686732800001")</f>
        <v>922447686732800001</v>
      </c>
      <c r="F3965" s="23" t="s">
        <v>91</v>
      </c>
      <c r="G3965" s="24">
        <v>538.0</v>
      </c>
      <c r="H3965" s="24">
        <v>4786.0</v>
      </c>
      <c r="I3965" s="24">
        <v>0.0</v>
      </c>
      <c r="J3965" s="24">
        <v>0.0</v>
      </c>
      <c r="K3965" s="23" t="s">
        <v>34</v>
      </c>
      <c r="L3965" s="25">
        <v>42603.32585648148</v>
      </c>
      <c r="M3965" s="28"/>
      <c r="N3965" s="28"/>
      <c r="O3965" s="22" t="str">
        <f>HYPERLINK("https://pbs.twimg.com/profile_images/782528412304838657/kuTJTdA1_normal.jpg","View")</f>
        <v>View</v>
      </c>
      <c r="P3965" s="27"/>
    </row>
    <row r="3966">
      <c r="A3966" s="14">
        <v>43031.25048611111</v>
      </c>
      <c r="B3966" s="20" t="str">
        <f>HYPERLINK("https://twitter.com/DEVRAHULCSE","@DEVRAHULCSE")</f>
        <v>@DEVRAHULCSE</v>
      </c>
      <c r="C3966" s="21" t="s">
        <v>9209</v>
      </c>
      <c r="D3966" s="21" t="s">
        <v>42</v>
      </c>
      <c r="E3966" s="22" t="str">
        <f>HYPERLINK("https://twitter.com/DEVRAHULCSE/status/922447689597333505","922447689597333505")</f>
        <v>922447689597333505</v>
      </c>
      <c r="F3966" s="23" t="s">
        <v>33</v>
      </c>
      <c r="G3966" s="24">
        <v>1881.0</v>
      </c>
      <c r="H3966" s="24">
        <v>1934.0</v>
      </c>
      <c r="I3966" s="24">
        <v>8501.0</v>
      </c>
      <c r="J3966" s="24">
        <v>0.0</v>
      </c>
      <c r="K3966" s="23" t="s">
        <v>34</v>
      </c>
      <c r="L3966" s="25">
        <v>40782.33304398148</v>
      </c>
      <c r="M3966" s="26" t="s">
        <v>3144</v>
      </c>
      <c r="N3966" s="28"/>
      <c r="O3966" s="22" t="str">
        <f>HYPERLINK("https://pbs.twimg.com/profile_images/880745237945044994/QXRabo2c_normal.jpg","View")</f>
        <v>View</v>
      </c>
      <c r="P3966" s="27"/>
    </row>
    <row r="3967">
      <c r="A3967" s="14">
        <v>43031.25052083333</v>
      </c>
      <c r="B3967" s="20" t="str">
        <f>HYPERLINK("https://twitter.com/yuukokuhyakusho","@yuukokuhyakusho")</f>
        <v>@yuukokuhyakusho</v>
      </c>
      <c r="C3967" s="21" t="s">
        <v>9210</v>
      </c>
      <c r="D3967" s="21" t="s">
        <v>42</v>
      </c>
      <c r="E3967" s="22" t="str">
        <f>HYPERLINK("https://twitter.com/yuukokuhyakusho/status/922447705586089984","922447705586089984")</f>
        <v>922447705586089984</v>
      </c>
      <c r="F3967" s="23" t="s">
        <v>55</v>
      </c>
      <c r="G3967" s="24">
        <v>2554.0</v>
      </c>
      <c r="H3967" s="24">
        <v>2350.0</v>
      </c>
      <c r="I3967" s="24">
        <v>8501.0</v>
      </c>
      <c r="J3967" s="24">
        <v>0.0</v>
      </c>
      <c r="K3967" s="23" t="s">
        <v>34</v>
      </c>
      <c r="L3967" s="25">
        <v>42271.88392361111</v>
      </c>
      <c r="M3967" s="26" t="s">
        <v>9211</v>
      </c>
      <c r="N3967" s="26" t="s">
        <v>9212</v>
      </c>
      <c r="O3967" s="22" t="str">
        <f>HYPERLINK("https://pbs.twimg.com/profile_images/761382367936118785/cWL5xn2H_normal.jpg","View")</f>
        <v>View</v>
      </c>
      <c r="P3967" s="27"/>
    </row>
    <row r="3968">
      <c r="A3968" s="14">
        <v>43031.250543981485</v>
      </c>
      <c r="B3968" s="20" t="str">
        <f>HYPERLINK("https://twitter.com/Sharma292929T","@Sharma292929T")</f>
        <v>@Sharma292929T</v>
      </c>
      <c r="C3968" s="21" t="s">
        <v>9213</v>
      </c>
      <c r="D3968" s="21" t="s">
        <v>42</v>
      </c>
      <c r="E3968" s="22" t="str">
        <f>HYPERLINK("https://twitter.com/Sharma292929T/status/922447710904553472","922447710904553472")</f>
        <v>922447710904553472</v>
      </c>
      <c r="F3968" s="23" t="s">
        <v>33</v>
      </c>
      <c r="G3968" s="24">
        <v>12.0</v>
      </c>
      <c r="H3968" s="24">
        <v>57.0</v>
      </c>
      <c r="I3968" s="24">
        <v>8501.0</v>
      </c>
      <c r="J3968" s="24">
        <v>0.0</v>
      </c>
      <c r="K3968" s="23" t="s">
        <v>34</v>
      </c>
      <c r="L3968" s="25">
        <v>43014.41453703704</v>
      </c>
      <c r="M3968" s="28"/>
      <c r="N3968" s="28"/>
      <c r="O3968" s="22" t="str">
        <f t="shared" ref="O3968:O3969" si="67">HYPERLINK("https://abs.twimg.com/sticky/default_profile_images/default_profile_normal.png","View")</f>
        <v>View</v>
      </c>
      <c r="P3968" s="27"/>
    </row>
    <row r="3969">
      <c r="A3969" s="14">
        <v>43031.25056712963</v>
      </c>
      <c r="B3969" s="20" t="str">
        <f>HYPERLINK("https://twitter.com/ssreddy28","@ssreddy28")</f>
        <v>@ssreddy28</v>
      </c>
      <c r="C3969" s="21" t="s">
        <v>9214</v>
      </c>
      <c r="D3969" s="21" t="s">
        <v>163</v>
      </c>
      <c r="E3969" s="22" t="str">
        <f>HYPERLINK("https://twitter.com/ssreddy28/status/922447718588465153","922447718588465153")</f>
        <v>922447718588465153</v>
      </c>
      <c r="F3969" s="23" t="s">
        <v>33</v>
      </c>
      <c r="G3969" s="24">
        <v>232.0</v>
      </c>
      <c r="H3969" s="24">
        <v>168.0</v>
      </c>
      <c r="I3969" s="24">
        <v>1005.0</v>
      </c>
      <c r="J3969" s="24">
        <v>0.0</v>
      </c>
      <c r="K3969" s="23" t="s">
        <v>34</v>
      </c>
      <c r="L3969" s="25">
        <v>42773.13377314815</v>
      </c>
      <c r="M3969" s="26" t="s">
        <v>167</v>
      </c>
      <c r="N3969" s="26" t="s">
        <v>9215</v>
      </c>
      <c r="O3969" s="22" t="str">
        <f t="shared" si="67"/>
        <v>View</v>
      </c>
      <c r="P3969" s="27"/>
    </row>
    <row r="3970">
      <c r="A3970" s="14">
        <v>43031.25056712963</v>
      </c>
      <c r="B3970" s="20" t="str">
        <f>HYPERLINK("https://twitter.com/priya_gupta01","@priya_gupta01")</f>
        <v>@priya_gupta01</v>
      </c>
      <c r="C3970" s="21" t="s">
        <v>9216</v>
      </c>
      <c r="D3970" s="21" t="s">
        <v>42</v>
      </c>
      <c r="E3970" s="22" t="str">
        <f>HYPERLINK("https://twitter.com/priya_gupta01/status/922447718886252544","922447718886252544")</f>
        <v>922447718886252544</v>
      </c>
      <c r="F3970" s="23" t="s">
        <v>33</v>
      </c>
      <c r="G3970" s="24">
        <v>2229.0</v>
      </c>
      <c r="H3970" s="24">
        <v>1533.0</v>
      </c>
      <c r="I3970" s="24">
        <v>8501.0</v>
      </c>
      <c r="J3970" s="24">
        <v>0.0</v>
      </c>
      <c r="K3970" s="23" t="s">
        <v>34</v>
      </c>
      <c r="L3970" s="25">
        <v>42749.96633101851</v>
      </c>
      <c r="M3970" s="26" t="s">
        <v>204</v>
      </c>
      <c r="N3970" s="26" t="s">
        <v>9217</v>
      </c>
      <c r="O3970" s="22" t="str">
        <f>HYPERLINK("https://pbs.twimg.com/profile_images/922496501934301185/L8RnCcko_normal.jpg","View")</f>
        <v>View</v>
      </c>
      <c r="P3970" s="27"/>
    </row>
    <row r="3971">
      <c r="A3971" s="14">
        <v>43031.25067129629</v>
      </c>
      <c r="B3971" s="20" t="str">
        <f>HYPERLINK("https://twitter.com/Nadeshiko55JP","@Nadeshiko55JP")</f>
        <v>@Nadeshiko55JP</v>
      </c>
      <c r="C3971" s="21" t="s">
        <v>9218</v>
      </c>
      <c r="D3971" s="21" t="s">
        <v>513</v>
      </c>
      <c r="E3971" s="22" t="str">
        <f>HYPERLINK("https://twitter.com/Nadeshiko55JP/status/922447757121486849","922447757121486849")</f>
        <v>922447757121486849</v>
      </c>
      <c r="F3971" s="23" t="s">
        <v>39</v>
      </c>
      <c r="G3971" s="24">
        <v>993.0</v>
      </c>
      <c r="H3971" s="24">
        <v>467.0</v>
      </c>
      <c r="I3971" s="24">
        <v>101.0</v>
      </c>
      <c r="J3971" s="24">
        <v>0.0</v>
      </c>
      <c r="K3971" s="23" t="s">
        <v>34</v>
      </c>
      <c r="L3971" s="25">
        <v>42113.83614583334</v>
      </c>
      <c r="M3971" s="26" t="s">
        <v>8894</v>
      </c>
      <c r="N3971" s="26" t="s">
        <v>9219</v>
      </c>
      <c r="O3971" s="22" t="str">
        <f>HYPERLINK("https://pbs.twimg.com/profile_images/813049050589077504/67vy_or__normal.jpg","View")</f>
        <v>View</v>
      </c>
      <c r="P3971" s="27"/>
    </row>
    <row r="3972">
      <c r="A3972" s="14">
        <v>43031.25068287037</v>
      </c>
      <c r="B3972" s="20" t="str">
        <f>HYPERLINK("https://twitter.com/sdhanotiyaa","@sdhanotiyaa")</f>
        <v>@sdhanotiyaa</v>
      </c>
      <c r="C3972" s="21" t="s">
        <v>9220</v>
      </c>
      <c r="D3972" s="21" t="s">
        <v>42</v>
      </c>
      <c r="E3972" s="22" t="str">
        <f>HYPERLINK("https://twitter.com/sdhanotiyaa/status/922447764507652096","922447764507652096")</f>
        <v>922447764507652096</v>
      </c>
      <c r="F3972" s="23" t="s">
        <v>39</v>
      </c>
      <c r="G3972" s="24">
        <v>158.0</v>
      </c>
      <c r="H3972" s="24">
        <v>922.0</v>
      </c>
      <c r="I3972" s="24">
        <v>8501.0</v>
      </c>
      <c r="J3972" s="24">
        <v>0.0</v>
      </c>
      <c r="K3972" s="23" t="s">
        <v>34</v>
      </c>
      <c r="L3972" s="25">
        <v>40410.01583333333</v>
      </c>
      <c r="M3972" s="26" t="s">
        <v>9221</v>
      </c>
      <c r="N3972" s="28"/>
      <c r="O3972" s="22" t="str">
        <f>HYPERLINK("https://pbs.twimg.com/profile_images/463646409598566401/wgM7wThA_normal.png","View")</f>
        <v>View</v>
      </c>
      <c r="P3972" s="27"/>
    </row>
    <row r="3973">
      <c r="A3973" s="14">
        <v>43031.25072916667</v>
      </c>
      <c r="B3973" s="20" t="str">
        <f>HYPERLINK("https://twitter.com/jatinsagar1972","@jatinsagar1972")</f>
        <v>@jatinsagar1972</v>
      </c>
      <c r="C3973" s="21" t="s">
        <v>9222</v>
      </c>
      <c r="D3973" s="21" t="s">
        <v>42</v>
      </c>
      <c r="E3973" s="22" t="str">
        <f>HYPERLINK("https://twitter.com/jatinsagar1972/status/922447779695169537","922447779695169537")</f>
        <v>922447779695169537</v>
      </c>
      <c r="F3973" s="23" t="s">
        <v>33</v>
      </c>
      <c r="G3973" s="24">
        <v>368.0</v>
      </c>
      <c r="H3973" s="24">
        <v>796.0</v>
      </c>
      <c r="I3973" s="24">
        <v>8501.0</v>
      </c>
      <c r="J3973" s="24">
        <v>0.0</v>
      </c>
      <c r="K3973" s="23" t="s">
        <v>34</v>
      </c>
      <c r="L3973" s="25">
        <v>41369.71938657407</v>
      </c>
      <c r="M3973" s="26" t="s">
        <v>1714</v>
      </c>
      <c r="N3973" s="26" t="s">
        <v>9223</v>
      </c>
      <c r="O3973" s="22" t="str">
        <f>HYPERLINK("https://pbs.twimg.com/profile_images/884863293688614912/gZyc8nCW_normal.jpg","View")</f>
        <v>View</v>
      </c>
      <c r="P3973" s="27"/>
    </row>
    <row r="3974">
      <c r="A3974" s="14">
        <v>43031.25074074074</v>
      </c>
      <c r="B3974" s="20" t="str">
        <f>HYPERLINK("https://twitter.com/sushilpunia","@sushilpunia")</f>
        <v>@sushilpunia</v>
      </c>
      <c r="C3974" s="21" t="s">
        <v>9224</v>
      </c>
      <c r="D3974" s="21" t="s">
        <v>9225</v>
      </c>
      <c r="E3974" s="22" t="str">
        <f>HYPERLINK("https://twitter.com/sushilpunia/status/922447783511986176","922447783511986176")</f>
        <v>922447783511986176</v>
      </c>
      <c r="F3974" s="30" t="s">
        <v>411</v>
      </c>
      <c r="G3974" s="24">
        <v>19535.0</v>
      </c>
      <c r="H3974" s="24">
        <v>10828.0</v>
      </c>
      <c r="I3974" s="24">
        <v>0.0</v>
      </c>
      <c r="J3974" s="24">
        <v>0.0</v>
      </c>
      <c r="K3974" s="23" t="s">
        <v>34</v>
      </c>
      <c r="L3974" s="25">
        <v>40169.19849537037</v>
      </c>
      <c r="M3974" s="26" t="s">
        <v>3003</v>
      </c>
      <c r="N3974" s="28"/>
      <c r="O3974" s="22" t="str">
        <f>HYPERLINK("https://pbs.twimg.com/profile_images/1100645007/41706_100000580800405_8447_q_normal.jpg","View")</f>
        <v>View</v>
      </c>
      <c r="P3974" s="27"/>
    </row>
    <row r="3975">
      <c r="A3975" s="14">
        <v>43031.250752314816</v>
      </c>
      <c r="B3975" s="20" t="str">
        <f>HYPERLINK("https://twitter.com/maxcaterham","@maxcaterham")</f>
        <v>@maxcaterham</v>
      </c>
      <c r="C3975" s="21" t="s">
        <v>9226</v>
      </c>
      <c r="D3975" s="21" t="s">
        <v>9013</v>
      </c>
      <c r="E3975" s="22" t="str">
        <f>HYPERLINK("https://twitter.com/maxcaterham/status/922447788654329856","922447788654329856")</f>
        <v>922447788654329856</v>
      </c>
      <c r="F3975" s="23" t="s">
        <v>33</v>
      </c>
      <c r="G3975" s="24">
        <v>571.0</v>
      </c>
      <c r="H3975" s="24">
        <v>1713.0</v>
      </c>
      <c r="I3975" s="24">
        <v>31.0</v>
      </c>
      <c r="J3975" s="24">
        <v>0.0</v>
      </c>
      <c r="K3975" s="23" t="s">
        <v>34</v>
      </c>
      <c r="L3975" s="25">
        <v>41858.52337962963</v>
      </c>
      <c r="M3975" s="26" t="s">
        <v>9227</v>
      </c>
      <c r="N3975" s="26" t="s">
        <v>9228</v>
      </c>
      <c r="O3975" s="22" t="str">
        <f>HYPERLINK("https://pbs.twimg.com/profile_images/557300579618533376/eFpckaN9_normal.jpeg","View")</f>
        <v>View</v>
      </c>
      <c r="P3975" s="27"/>
    </row>
    <row r="3976">
      <c r="A3976" s="14">
        <v>43031.250810185185</v>
      </c>
      <c r="B3976" s="20" t="str">
        <f>HYPERLINK("https://twitter.com/Nadeshiko55JP","@Nadeshiko55JP")</f>
        <v>@Nadeshiko55JP</v>
      </c>
      <c r="C3976" s="21" t="s">
        <v>9218</v>
      </c>
      <c r="D3976" s="21" t="s">
        <v>9229</v>
      </c>
      <c r="E3976" s="22" t="str">
        <f>HYPERLINK("https://twitter.com/Nadeshiko55JP/status/922447808883392512","922447808883392512")</f>
        <v>922447808883392512</v>
      </c>
      <c r="F3976" s="23" t="s">
        <v>39</v>
      </c>
      <c r="G3976" s="24">
        <v>993.0</v>
      </c>
      <c r="H3976" s="24">
        <v>467.0</v>
      </c>
      <c r="I3976" s="24">
        <v>38.0</v>
      </c>
      <c r="J3976" s="24">
        <v>0.0</v>
      </c>
      <c r="K3976" s="23" t="s">
        <v>34</v>
      </c>
      <c r="L3976" s="25">
        <v>42113.83614583334</v>
      </c>
      <c r="M3976" s="26" t="s">
        <v>8894</v>
      </c>
      <c r="N3976" s="26" t="s">
        <v>9219</v>
      </c>
      <c r="O3976" s="22" t="str">
        <f>HYPERLINK("https://pbs.twimg.com/profile_images/813049050589077504/67vy_or__normal.jpg","View")</f>
        <v>View</v>
      </c>
      <c r="P3976" s="27"/>
    </row>
    <row r="3977">
      <c r="A3977" s="14">
        <v>43031.250868055555</v>
      </c>
      <c r="B3977" s="20" t="str">
        <f>HYPERLINK("https://twitter.com/EIASBrussels","@EIASBrussels")</f>
        <v>@EIASBrussels</v>
      </c>
      <c r="C3977" s="21" t="s">
        <v>9230</v>
      </c>
      <c r="D3977" s="21" t="s">
        <v>8665</v>
      </c>
      <c r="E3977" s="22" t="str">
        <f>HYPERLINK("https://twitter.com/EIASBrussels/status/922447829183991808","922447829183991808")</f>
        <v>922447829183991808</v>
      </c>
      <c r="F3977" s="23" t="s">
        <v>55</v>
      </c>
      <c r="G3977" s="24">
        <v>1257.0</v>
      </c>
      <c r="H3977" s="24">
        <v>777.0</v>
      </c>
      <c r="I3977" s="24">
        <v>67.0</v>
      </c>
      <c r="J3977" s="24">
        <v>0.0</v>
      </c>
      <c r="K3977" s="23" t="s">
        <v>34</v>
      </c>
      <c r="L3977" s="25">
        <v>40823.15162037037</v>
      </c>
      <c r="M3977" s="26" t="s">
        <v>9231</v>
      </c>
      <c r="N3977" s="26" t="s">
        <v>9232</v>
      </c>
      <c r="O3977" s="22" t="str">
        <f>HYPERLINK("https://pbs.twimg.com/profile_images/689395581584744448/oaf-sSPT_normal.jpg","View")</f>
        <v>View</v>
      </c>
      <c r="P3977" s="27"/>
    </row>
    <row r="3978">
      <c r="A3978" s="14">
        <v>43031.2508912037</v>
      </c>
      <c r="B3978" s="20" t="str">
        <f>HYPERLINK("https://twitter.com/positiveindia1","@positiveindia1")</f>
        <v>@positiveindia1</v>
      </c>
      <c r="C3978" s="21" t="s">
        <v>9233</v>
      </c>
      <c r="D3978" s="21" t="s">
        <v>9013</v>
      </c>
      <c r="E3978" s="22" t="str">
        <f>HYPERLINK("https://twitter.com/positiveindia1/status/922447836817498112","922447836817498112")</f>
        <v>922447836817498112</v>
      </c>
      <c r="F3978" s="23" t="s">
        <v>33</v>
      </c>
      <c r="G3978" s="24">
        <v>194.0</v>
      </c>
      <c r="H3978" s="24">
        <v>2149.0</v>
      </c>
      <c r="I3978" s="24">
        <v>31.0</v>
      </c>
      <c r="J3978" s="24">
        <v>0.0</v>
      </c>
      <c r="K3978" s="23" t="s">
        <v>34</v>
      </c>
      <c r="L3978" s="25">
        <v>41942.11723379629</v>
      </c>
      <c r="M3978" s="26" t="s">
        <v>9234</v>
      </c>
      <c r="N3978" s="26" t="s">
        <v>9235</v>
      </c>
      <c r="O3978" s="22" t="str">
        <f>HYPERLINK("https://pbs.twimg.com/profile_images/540498318590091266/x3dpMP-T_normal.jpeg","View")</f>
        <v>View</v>
      </c>
      <c r="P3978" s="27"/>
    </row>
    <row r="3979">
      <c r="A3979" s="14">
        <v>43031.25096064815</v>
      </c>
      <c r="B3979" s="20" t="str">
        <f>HYPERLINK("https://twitter.com/iabmpagarwal","@iabmpagarwal")</f>
        <v>@iabmpagarwal</v>
      </c>
      <c r="C3979" s="21" t="s">
        <v>9236</v>
      </c>
      <c r="D3979" s="21" t="s">
        <v>42</v>
      </c>
      <c r="E3979" s="22" t="str">
        <f>HYPERLINK("https://twitter.com/iabmpagarwal/status/922447864520785920","922447864520785920")</f>
        <v>922447864520785920</v>
      </c>
      <c r="F3979" s="23" t="s">
        <v>33</v>
      </c>
      <c r="G3979" s="24">
        <v>3143.0</v>
      </c>
      <c r="H3979" s="24">
        <v>86.0</v>
      </c>
      <c r="I3979" s="24">
        <v>8501.0</v>
      </c>
      <c r="J3979" s="24">
        <v>0.0</v>
      </c>
      <c r="K3979" s="23" t="s">
        <v>34</v>
      </c>
      <c r="L3979" s="25">
        <v>41090.38787037037</v>
      </c>
      <c r="M3979" s="26" t="s">
        <v>575</v>
      </c>
      <c r="N3979" s="26" t="s">
        <v>9237</v>
      </c>
      <c r="O3979" s="22" t="str">
        <f>HYPERLINK("https://pbs.twimg.com/profile_images/876989784291385346/ZH8Ens3q_normal.jpg","View")</f>
        <v>View</v>
      </c>
      <c r="P3979" s="27"/>
    </row>
    <row r="3980">
      <c r="A3980" s="14">
        <v>43031.25114583333</v>
      </c>
      <c r="B3980" s="20" t="str">
        <f>HYPERLINK("https://twitter.com/antifa_osk","@antifa_osk")</f>
        <v>@antifa_osk</v>
      </c>
      <c r="C3980" s="21" t="s">
        <v>9238</v>
      </c>
      <c r="D3980" s="21" t="s">
        <v>1642</v>
      </c>
      <c r="E3980" s="22" t="str">
        <f>HYPERLINK("https://twitter.com/antifa_osk/status/922447928932818944","922447928932818944")</f>
        <v>922447928932818944</v>
      </c>
      <c r="F3980" s="23" t="s">
        <v>39</v>
      </c>
      <c r="G3980" s="24">
        <v>4555.0</v>
      </c>
      <c r="H3980" s="24">
        <v>662.0</v>
      </c>
      <c r="I3980" s="24">
        <v>199.0</v>
      </c>
      <c r="J3980" s="24">
        <v>0.0</v>
      </c>
      <c r="K3980" s="23" t="s">
        <v>34</v>
      </c>
      <c r="L3980" s="25">
        <v>41621.25424768518</v>
      </c>
      <c r="M3980" s="26" t="s">
        <v>9239</v>
      </c>
      <c r="N3980" s="26" t="s">
        <v>9240</v>
      </c>
      <c r="O3980" s="22" t="str">
        <f>HYPERLINK("https://pbs.twimg.com/profile_images/736063812462247936/rLiXvy10_normal.jpg","View")</f>
        <v>View</v>
      </c>
      <c r="P3980" s="27"/>
    </row>
    <row r="3981">
      <c r="A3981" s="14">
        <v>43031.25137731481</v>
      </c>
      <c r="B3981" s="20" t="str">
        <f>HYPERLINK("https://twitter.com/01_abinash","@01_abinash")</f>
        <v>@01_abinash</v>
      </c>
      <c r="C3981" s="21" t="s">
        <v>9241</v>
      </c>
      <c r="D3981" s="21" t="s">
        <v>42</v>
      </c>
      <c r="E3981" s="22" t="str">
        <f>HYPERLINK("https://twitter.com/01_abinash/status/922448014970466305","922448014970466305")</f>
        <v>922448014970466305</v>
      </c>
      <c r="F3981" s="23" t="s">
        <v>33</v>
      </c>
      <c r="G3981" s="24">
        <v>223.0</v>
      </c>
      <c r="H3981" s="24">
        <v>369.0</v>
      </c>
      <c r="I3981" s="24">
        <v>8501.0</v>
      </c>
      <c r="J3981" s="24">
        <v>0.0</v>
      </c>
      <c r="K3981" s="23" t="s">
        <v>34</v>
      </c>
      <c r="L3981" s="25">
        <v>42393.17192129629</v>
      </c>
      <c r="M3981" s="26" t="s">
        <v>575</v>
      </c>
      <c r="N3981" s="26" t="s">
        <v>9242</v>
      </c>
      <c r="O3981" s="22" t="str">
        <f>HYPERLINK("https://pbs.twimg.com/profile_images/860400484414369792/2u6B1kDx_normal.jpg","View")</f>
        <v>View</v>
      </c>
      <c r="P3981" s="27"/>
    </row>
    <row r="3982">
      <c r="A3982" s="14">
        <v>43031.25166666666</v>
      </c>
      <c r="B3982" s="20" t="str">
        <f>HYPERLINK("https://twitter.com/jackgoesvirtual","@jackgoesvirtual")</f>
        <v>@jackgoesvirtual</v>
      </c>
      <c r="C3982" s="21" t="s">
        <v>9243</v>
      </c>
      <c r="D3982" s="21" t="s">
        <v>9244</v>
      </c>
      <c r="E3982" s="22" t="str">
        <f>HYPERLINK("https://twitter.com/jackgoesvirtual/status/922448121149476864","922448121149476864")</f>
        <v>922448121149476864</v>
      </c>
      <c r="F3982" s="23" t="s">
        <v>39</v>
      </c>
      <c r="G3982" s="24">
        <v>1127.0</v>
      </c>
      <c r="H3982" s="24">
        <v>1630.0</v>
      </c>
      <c r="I3982" s="24">
        <v>0.0</v>
      </c>
      <c r="J3982" s="24">
        <v>0.0</v>
      </c>
      <c r="K3982" s="23" t="s">
        <v>34</v>
      </c>
      <c r="L3982" s="25">
        <v>41127.25483796296</v>
      </c>
      <c r="M3982" s="26" t="s">
        <v>9245</v>
      </c>
      <c r="N3982" s="26" t="s">
        <v>9246</v>
      </c>
      <c r="O3982" s="22" t="str">
        <f>HYPERLINK("https://pbs.twimg.com/profile_images/444220728808722432/fRswbW03_normal.jpeg","View")</f>
        <v>View</v>
      </c>
      <c r="P3982" s="27"/>
    </row>
    <row r="3983">
      <c r="A3983" s="14">
        <v>43031.2518287037</v>
      </c>
      <c r="B3983" s="20" t="str">
        <f>HYPERLINK("https://twitter.com/miyomi34","@miyomi34")</f>
        <v>@miyomi34</v>
      </c>
      <c r="C3983" s="21" t="s">
        <v>9247</v>
      </c>
      <c r="D3983" s="21" t="s">
        <v>1642</v>
      </c>
      <c r="E3983" s="22" t="str">
        <f>HYPERLINK("https://twitter.com/miyomi34/status/922448179546566656","922448179546566656")</f>
        <v>922448179546566656</v>
      </c>
      <c r="F3983" s="23" t="s">
        <v>230</v>
      </c>
      <c r="G3983" s="24">
        <v>2821.0</v>
      </c>
      <c r="H3983" s="24">
        <v>401.0</v>
      </c>
      <c r="I3983" s="24">
        <v>199.0</v>
      </c>
      <c r="J3983" s="24">
        <v>0.0</v>
      </c>
      <c r="K3983" s="23" t="s">
        <v>34</v>
      </c>
      <c r="L3983" s="25">
        <v>41215.066354166665</v>
      </c>
      <c r="M3983" s="26" t="s">
        <v>9248</v>
      </c>
      <c r="N3983" s="26" t="s">
        <v>9249</v>
      </c>
      <c r="O3983" s="22" t="str">
        <f>HYPERLINK("https://pbs.twimg.com/profile_images/917093809757986816/VPtRHBkH_normal.jpg","View")</f>
        <v>View</v>
      </c>
      <c r="P3983" s="27"/>
    </row>
    <row r="3984">
      <c r="A3984" s="14">
        <v>43031.25184027778</v>
      </c>
      <c r="B3984" s="20" t="str">
        <f>HYPERLINK("https://twitter.com/bonja1","@bonja1")</f>
        <v>@bonja1</v>
      </c>
      <c r="C3984" s="21" t="s">
        <v>9250</v>
      </c>
      <c r="D3984" s="21" t="s">
        <v>9251</v>
      </c>
      <c r="E3984" s="22" t="str">
        <f>HYPERLINK("https://twitter.com/bonja1/status/922448180456906752","922448180456906752")</f>
        <v>922448180456906752</v>
      </c>
      <c r="F3984" s="23" t="s">
        <v>39</v>
      </c>
      <c r="G3984" s="24">
        <v>1114.0</v>
      </c>
      <c r="H3984" s="24">
        <v>1058.0</v>
      </c>
      <c r="I3984" s="24">
        <v>0.0</v>
      </c>
      <c r="J3984" s="24">
        <v>2.0</v>
      </c>
      <c r="K3984" s="23" t="s">
        <v>34</v>
      </c>
      <c r="L3984" s="25">
        <v>40618.80684027778</v>
      </c>
      <c r="M3984" s="26" t="s">
        <v>905</v>
      </c>
      <c r="N3984" s="26" t="s">
        <v>9252</v>
      </c>
      <c r="O3984" s="22" t="str">
        <f>HYPERLINK("https://pbs.twimg.com/profile_images/1910919510/longhorns_5_normal.PNG","View")</f>
        <v>View</v>
      </c>
      <c r="P3984" s="27"/>
    </row>
    <row r="3985">
      <c r="A3985" s="14">
        <v>43031.251967592594</v>
      </c>
      <c r="B3985" s="20" t="str">
        <f>HYPERLINK("https://twitter.com/Sinai1st","@Sinai1st")</f>
        <v>@Sinai1st</v>
      </c>
      <c r="C3985" s="21" t="s">
        <v>9253</v>
      </c>
      <c r="D3985" s="21" t="s">
        <v>9013</v>
      </c>
      <c r="E3985" s="22" t="str">
        <f>HYPERLINK("https://twitter.com/Sinai1st/status/922448227789627392","922448227789627392")</f>
        <v>922448227789627392</v>
      </c>
      <c r="F3985" s="23" t="s">
        <v>39</v>
      </c>
      <c r="G3985" s="24">
        <v>40.0</v>
      </c>
      <c r="H3985" s="24">
        <v>274.0</v>
      </c>
      <c r="I3985" s="24">
        <v>31.0</v>
      </c>
      <c r="J3985" s="24">
        <v>0.0</v>
      </c>
      <c r="K3985" s="23" t="s">
        <v>34</v>
      </c>
      <c r="L3985" s="25">
        <v>41667.60099537037</v>
      </c>
      <c r="M3985" s="28"/>
      <c r="N3985" s="28"/>
      <c r="O3985" s="22" t="str">
        <f>HYPERLINK("https://pbs.twimg.com/profile_images/494517087994675200/rwgIIxNF_normal.jpeg","View")</f>
        <v>View</v>
      </c>
      <c r="P3985" s="27"/>
    </row>
    <row r="3986">
      <c r="A3986" s="14">
        <v>43031.25200231481</v>
      </c>
      <c r="B3986" s="20" t="str">
        <f>HYPERLINK("https://twitter.com/SATHYANPALAKKAL","@SATHYANPALAKKAL")</f>
        <v>@SATHYANPALAKKAL</v>
      </c>
      <c r="C3986" s="21" t="s">
        <v>9254</v>
      </c>
      <c r="D3986" s="21" t="s">
        <v>42</v>
      </c>
      <c r="E3986" s="22" t="str">
        <f>HYPERLINK("https://twitter.com/SATHYANPALAKKAL/status/922448240548745217","922448240548745217")</f>
        <v>922448240548745217</v>
      </c>
      <c r="F3986" s="23" t="s">
        <v>33</v>
      </c>
      <c r="G3986" s="24">
        <v>5.0</v>
      </c>
      <c r="H3986" s="24">
        <v>90.0</v>
      </c>
      <c r="I3986" s="24">
        <v>8501.0</v>
      </c>
      <c r="J3986" s="24">
        <v>0.0</v>
      </c>
      <c r="K3986" s="23" t="s">
        <v>34</v>
      </c>
      <c r="L3986" s="25">
        <v>42656.335486111115</v>
      </c>
      <c r="M3986" s="26" t="s">
        <v>3302</v>
      </c>
      <c r="N3986" s="26" t="s">
        <v>9255</v>
      </c>
      <c r="O3986" s="22" t="str">
        <f>HYPERLINK("https://pbs.twimg.com/profile_images/798391856090509313/q-ECMn8X_normal.jpg","View")</f>
        <v>View</v>
      </c>
      <c r="P3986" s="27"/>
    </row>
    <row r="3987">
      <c r="A3987" s="14">
        <v>43031.25203703703</v>
      </c>
      <c r="B3987" s="20" t="str">
        <f t="shared" ref="B3987:B3988" si="68">HYPERLINK("https://twitter.com/Nadeshiko55JP","@Nadeshiko55JP")</f>
        <v>@Nadeshiko55JP</v>
      </c>
      <c r="C3987" s="21" t="s">
        <v>9218</v>
      </c>
      <c r="D3987" s="21" t="s">
        <v>9256</v>
      </c>
      <c r="E3987" s="22" t="str">
        <f>HYPERLINK("https://twitter.com/Nadeshiko55JP/status/922448253836148736","922448253836148736")</f>
        <v>922448253836148736</v>
      </c>
      <c r="F3987" s="23" t="s">
        <v>39</v>
      </c>
      <c r="G3987" s="24">
        <v>993.0</v>
      </c>
      <c r="H3987" s="24">
        <v>467.0</v>
      </c>
      <c r="I3987" s="24">
        <v>30.0</v>
      </c>
      <c r="J3987" s="24">
        <v>0.0</v>
      </c>
      <c r="K3987" s="23" t="s">
        <v>34</v>
      </c>
      <c r="L3987" s="25">
        <v>42113.83614583334</v>
      </c>
      <c r="M3987" s="26" t="s">
        <v>8894</v>
      </c>
      <c r="N3987" s="26" t="s">
        <v>9219</v>
      </c>
      <c r="O3987" s="22" t="str">
        <f t="shared" ref="O3987:O3988" si="69">HYPERLINK("https://pbs.twimg.com/profile_images/813049050589077504/67vy_or__normal.jpg","View")</f>
        <v>View</v>
      </c>
      <c r="P3987" s="27"/>
    </row>
    <row r="3988">
      <c r="A3988" s="14">
        <v>43031.252071759256</v>
      </c>
      <c r="B3988" s="20" t="str">
        <f t="shared" si="68"/>
        <v>@Nadeshiko55JP</v>
      </c>
      <c r="C3988" s="21" t="s">
        <v>9218</v>
      </c>
      <c r="D3988" s="21" t="s">
        <v>523</v>
      </c>
      <c r="E3988" s="22" t="str">
        <f>HYPERLINK("https://twitter.com/Nadeshiko55JP/status/922448266884653057","922448266884653057")</f>
        <v>922448266884653057</v>
      </c>
      <c r="F3988" s="23" t="s">
        <v>39</v>
      </c>
      <c r="G3988" s="24">
        <v>993.0</v>
      </c>
      <c r="H3988" s="24">
        <v>467.0</v>
      </c>
      <c r="I3988" s="24">
        <v>97.0</v>
      </c>
      <c r="J3988" s="24">
        <v>0.0</v>
      </c>
      <c r="K3988" s="23" t="s">
        <v>34</v>
      </c>
      <c r="L3988" s="25">
        <v>42113.83614583334</v>
      </c>
      <c r="M3988" s="26" t="s">
        <v>8894</v>
      </c>
      <c r="N3988" s="26" t="s">
        <v>9219</v>
      </c>
      <c r="O3988" s="22" t="str">
        <f t="shared" si="69"/>
        <v>View</v>
      </c>
      <c r="P3988" s="27"/>
    </row>
    <row r="3989">
      <c r="A3989" s="14">
        <v>43031.25212962963</v>
      </c>
      <c r="B3989" s="20" t="str">
        <f>HYPERLINK("https://twitter.com/bkraina8700","@bkraina8700")</f>
        <v>@bkraina8700</v>
      </c>
      <c r="C3989" s="21" t="s">
        <v>8891</v>
      </c>
      <c r="D3989" s="21" t="s">
        <v>42</v>
      </c>
      <c r="E3989" s="22" t="str">
        <f>HYPERLINK("https://twitter.com/bkraina8700/status/922448286602153984","922448286602153984")</f>
        <v>922448286602153984</v>
      </c>
      <c r="F3989" s="23" t="s">
        <v>33</v>
      </c>
      <c r="G3989" s="24">
        <v>307.0</v>
      </c>
      <c r="H3989" s="24">
        <v>239.0</v>
      </c>
      <c r="I3989" s="24">
        <v>8501.0</v>
      </c>
      <c r="J3989" s="24">
        <v>0.0</v>
      </c>
      <c r="K3989" s="23" t="s">
        <v>34</v>
      </c>
      <c r="L3989" s="25">
        <v>42390.90032407407</v>
      </c>
      <c r="M3989" s="28"/>
      <c r="N3989" s="26" t="s">
        <v>8892</v>
      </c>
      <c r="O3989" s="22" t="str">
        <f>HYPERLINK("https://pbs.twimg.com/profile_images/694424544451231744/jZqiLVgC_normal.jpg","View")</f>
        <v>View</v>
      </c>
      <c r="P3989" s="27"/>
    </row>
    <row r="3990">
      <c r="A3990" s="14">
        <v>43031.25215277778</v>
      </c>
      <c r="B3990" s="20" t="str">
        <f>HYPERLINK("https://twitter.com/kacchanparty75","@kacchanparty75")</f>
        <v>@kacchanparty75</v>
      </c>
      <c r="C3990" s="21" t="s">
        <v>9257</v>
      </c>
      <c r="D3990" s="21" t="s">
        <v>42</v>
      </c>
      <c r="E3990" s="22" t="str">
        <f>HYPERLINK("https://twitter.com/kacchanparty75/status/922448294491521024","922448294491521024")</f>
        <v>922448294491521024</v>
      </c>
      <c r="F3990" s="23" t="s">
        <v>39</v>
      </c>
      <c r="G3990" s="24">
        <v>209.0</v>
      </c>
      <c r="H3990" s="24">
        <v>640.0</v>
      </c>
      <c r="I3990" s="24">
        <v>8501.0</v>
      </c>
      <c r="J3990" s="24">
        <v>0.0</v>
      </c>
      <c r="K3990" s="23" t="s">
        <v>34</v>
      </c>
      <c r="L3990" s="25">
        <v>40576.975960648146</v>
      </c>
      <c r="M3990" s="26" t="s">
        <v>4577</v>
      </c>
      <c r="N3990" s="26" t="s">
        <v>9258</v>
      </c>
      <c r="O3990" s="22" t="str">
        <f>HYPERLINK("https://pbs.twimg.com/profile_images/919082896278798336/g067FJuq_normal.jpg","View")</f>
        <v>View</v>
      </c>
      <c r="P3990" s="27"/>
    </row>
    <row r="3991">
      <c r="A3991" s="14">
        <v>43031.25215277778</v>
      </c>
      <c r="B3991" s="20" t="str">
        <f>HYPERLINK("https://twitter.com/Shuklaaajay","@Shuklaaajay")</f>
        <v>@Shuklaaajay</v>
      </c>
      <c r="C3991" s="21" t="s">
        <v>9259</v>
      </c>
      <c r="D3991" s="21" t="s">
        <v>42</v>
      </c>
      <c r="E3991" s="22" t="str">
        <f>HYPERLINK("https://twitter.com/Shuklaaajay/status/922448297247178752","922448297247178752")</f>
        <v>922448297247178752</v>
      </c>
      <c r="F3991" s="23" t="s">
        <v>33</v>
      </c>
      <c r="G3991" s="24">
        <v>421.0</v>
      </c>
      <c r="H3991" s="24">
        <v>317.0</v>
      </c>
      <c r="I3991" s="24">
        <v>8501.0</v>
      </c>
      <c r="J3991" s="24">
        <v>0.0</v>
      </c>
      <c r="K3991" s="23" t="s">
        <v>34</v>
      </c>
      <c r="L3991" s="25">
        <v>42591.06306712963</v>
      </c>
      <c r="M3991" s="26" t="s">
        <v>195</v>
      </c>
      <c r="N3991" s="28"/>
      <c r="O3991" s="22" t="str">
        <f>HYPERLINK("https://pbs.twimg.com/profile_images/841279518736281600/M3t4mRrK_normal.jpg","View")</f>
        <v>View</v>
      </c>
      <c r="P3991" s="27"/>
    </row>
    <row r="3992">
      <c r="A3992" s="14">
        <v>43031.252187499995</v>
      </c>
      <c r="B3992" s="20" t="str">
        <f>HYPERLINK("https://twitter.com/deCorporateProf","@deCorporateProf")</f>
        <v>@deCorporateProf</v>
      </c>
      <c r="C3992" s="21" t="s">
        <v>9260</v>
      </c>
      <c r="D3992" s="21" t="s">
        <v>9261</v>
      </c>
      <c r="E3992" s="22" t="str">
        <f>HYPERLINK("https://twitter.com/deCorporateProf/status/922448307569512448","922448307569512448")</f>
        <v>922448307569512448</v>
      </c>
      <c r="F3992" s="23" t="s">
        <v>33</v>
      </c>
      <c r="G3992" s="24">
        <v>4331.0</v>
      </c>
      <c r="H3992" s="24">
        <v>4976.0</v>
      </c>
      <c r="I3992" s="24">
        <v>0.0</v>
      </c>
      <c r="J3992" s="24">
        <v>0.0</v>
      </c>
      <c r="K3992" s="23" t="s">
        <v>34</v>
      </c>
      <c r="L3992" s="25">
        <v>41291.826689814814</v>
      </c>
      <c r="M3992" s="28"/>
      <c r="N3992" s="26" t="s">
        <v>9262</v>
      </c>
      <c r="O3992" s="22" t="str">
        <f>HYPERLINK("https://pbs.twimg.com/profile_images/3165293709/a3929a565a59d017c7d21a2a68424d6f_normal.png","View")</f>
        <v>View</v>
      </c>
      <c r="P3992" s="27"/>
    </row>
    <row r="3993">
      <c r="A3993" s="14">
        <v>43031.25222222222</v>
      </c>
      <c r="B3993" s="20" t="str">
        <f>HYPERLINK("https://twitter.com/futuresquares","@futuresquares")</f>
        <v>@futuresquares</v>
      </c>
      <c r="C3993" s="21" t="s">
        <v>9263</v>
      </c>
      <c r="D3993" s="21" t="s">
        <v>6973</v>
      </c>
      <c r="E3993" s="22" t="str">
        <f>HYPERLINK("https://twitter.com/futuresquares/status/922448320022433794","922448320022433794")</f>
        <v>922448320022433794</v>
      </c>
      <c r="F3993" s="23" t="s">
        <v>86</v>
      </c>
      <c r="G3993" s="24">
        <v>17753.0</v>
      </c>
      <c r="H3993" s="24">
        <v>1650.0</v>
      </c>
      <c r="I3993" s="24">
        <v>10.0</v>
      </c>
      <c r="J3993" s="24">
        <v>0.0</v>
      </c>
      <c r="K3993" s="23" t="s">
        <v>34</v>
      </c>
      <c r="L3993" s="25">
        <v>40821.24209490741</v>
      </c>
      <c r="M3993" s="26" t="s">
        <v>1551</v>
      </c>
      <c r="N3993" s="26" t="s">
        <v>9264</v>
      </c>
      <c r="O3993" s="22" t="str">
        <f>HYPERLINK("https://pbs.twimg.com/profile_images/2245918537/greendot_normal.jpg","View")</f>
        <v>View</v>
      </c>
      <c r="P3993" s="27"/>
    </row>
    <row r="3994">
      <c r="A3994" s="14">
        <v>43031.252291666664</v>
      </c>
      <c r="B3994" s="20" t="str">
        <f>HYPERLINK("https://twitter.com/bizzscout","@bizzscout")</f>
        <v>@bizzscout</v>
      </c>
      <c r="C3994" s="21" t="s">
        <v>5953</v>
      </c>
      <c r="D3994" s="21" t="s">
        <v>9265</v>
      </c>
      <c r="E3994" s="22" t="str">
        <f>HYPERLINK("https://twitter.com/bizzscout/status/922448344663896066","922448344663896066")</f>
        <v>922448344663896066</v>
      </c>
      <c r="F3994" s="23" t="s">
        <v>5955</v>
      </c>
      <c r="G3994" s="24">
        <v>1606.0</v>
      </c>
      <c r="H3994" s="24">
        <v>1506.0</v>
      </c>
      <c r="I3994" s="24">
        <v>0.0</v>
      </c>
      <c r="J3994" s="24">
        <v>0.0</v>
      </c>
      <c r="K3994" s="23" t="s">
        <v>34</v>
      </c>
      <c r="L3994" s="25">
        <v>40343.40528935185</v>
      </c>
      <c r="M3994" s="28"/>
      <c r="N3994" s="26" t="s">
        <v>5956</v>
      </c>
      <c r="O3994" s="22" t="str">
        <f>HYPERLINK("https://pbs.twimg.com/profile_images/2292517916/6g8ixud0zd2446bw5pk0_normal.jpeg","View")</f>
        <v>View</v>
      </c>
      <c r="P3994" s="27"/>
    </row>
    <row r="3995">
      <c r="A3995" s="14">
        <v>43031.25232638889</v>
      </c>
      <c r="B3995" s="20" t="str">
        <f>HYPERLINK("https://twitter.com/nekotausagi","@nekotausagi")</f>
        <v>@nekotausagi</v>
      </c>
      <c r="C3995" s="21" t="s">
        <v>9266</v>
      </c>
      <c r="D3995" s="21" t="s">
        <v>1642</v>
      </c>
      <c r="E3995" s="22" t="str">
        <f>HYPERLINK("https://twitter.com/nekotausagi/status/922448358689533952","922448358689533952")</f>
        <v>922448358689533952</v>
      </c>
      <c r="F3995" s="23" t="s">
        <v>55</v>
      </c>
      <c r="G3995" s="24">
        <v>2062.0</v>
      </c>
      <c r="H3995" s="24">
        <v>1248.0</v>
      </c>
      <c r="I3995" s="24">
        <v>199.0</v>
      </c>
      <c r="J3995" s="24">
        <v>0.0</v>
      </c>
      <c r="K3995" s="23" t="s">
        <v>34</v>
      </c>
      <c r="L3995" s="25">
        <v>40048.468819444446</v>
      </c>
      <c r="M3995" s="28"/>
      <c r="N3995" s="26" t="s">
        <v>9267</v>
      </c>
      <c r="O3995" s="22" t="str">
        <f>HYPERLINK("https://pbs.twimg.com/profile_images/2154258330/025_normal.JPG","View")</f>
        <v>View</v>
      </c>
      <c r="P3995" s="27"/>
    </row>
    <row r="3996">
      <c r="A3996" s="14">
        <v>43031.252442129626</v>
      </c>
      <c r="B3996" s="20" t="str">
        <f>HYPERLINK("https://twitter.com/sladewilson_me","@sladewilson_me")</f>
        <v>@sladewilson_me</v>
      </c>
      <c r="C3996" s="21" t="s">
        <v>9268</v>
      </c>
      <c r="D3996" s="21" t="s">
        <v>42</v>
      </c>
      <c r="E3996" s="22" t="str">
        <f>HYPERLINK("https://twitter.com/sladewilson_me/status/922448401383301122","922448401383301122")</f>
        <v>922448401383301122</v>
      </c>
      <c r="F3996" s="23" t="s">
        <v>33</v>
      </c>
      <c r="G3996" s="24">
        <v>66.0</v>
      </c>
      <c r="H3996" s="24">
        <v>297.0</v>
      </c>
      <c r="I3996" s="24">
        <v>8501.0</v>
      </c>
      <c r="J3996" s="24">
        <v>0.0</v>
      </c>
      <c r="K3996" s="23" t="s">
        <v>34</v>
      </c>
      <c r="L3996" s="25">
        <v>42356.978368055556</v>
      </c>
      <c r="M3996" s="26" t="s">
        <v>9269</v>
      </c>
      <c r="N3996" s="26" t="s">
        <v>9270</v>
      </c>
      <c r="O3996" s="22" t="str">
        <f>HYPERLINK("https://pbs.twimg.com/profile_images/901516408877498368/ivsjye1j_normal.jpg","View")</f>
        <v>View</v>
      </c>
      <c r="P3996" s="27"/>
    </row>
    <row r="3997">
      <c r="A3997" s="14">
        <v>43031.252488425926</v>
      </c>
      <c r="B3997" s="20" t="str">
        <f>HYPERLINK("https://twitter.com/miso_max","@miso_max")</f>
        <v>@miso_max</v>
      </c>
      <c r="C3997" s="21" t="s">
        <v>9271</v>
      </c>
      <c r="D3997" s="21" t="s">
        <v>1642</v>
      </c>
      <c r="E3997" s="22" t="str">
        <f>HYPERLINK("https://twitter.com/miso_max/status/922448416986116096","922448416986116096")</f>
        <v>922448416986116096</v>
      </c>
      <c r="F3997" s="23" t="s">
        <v>39</v>
      </c>
      <c r="G3997" s="24">
        <v>1172.0</v>
      </c>
      <c r="H3997" s="24">
        <v>1086.0</v>
      </c>
      <c r="I3997" s="24">
        <v>199.0</v>
      </c>
      <c r="J3997" s="24">
        <v>0.0</v>
      </c>
      <c r="K3997" s="23" t="s">
        <v>34</v>
      </c>
      <c r="L3997" s="25">
        <v>40591.19798611111</v>
      </c>
      <c r="M3997" s="26" t="s">
        <v>9272</v>
      </c>
      <c r="N3997" s="26" t="s">
        <v>9273</v>
      </c>
      <c r="O3997" s="22" t="str">
        <f>HYPERLINK("https://pbs.twimg.com/profile_images/840189634021744645/xewEKjr4_normal.jpg","View")</f>
        <v>View</v>
      </c>
      <c r="P3997" s="27"/>
    </row>
    <row r="3998">
      <c r="A3998" s="14">
        <v>43031.252534722225</v>
      </c>
      <c r="B3998" s="20" t="str">
        <f>HYPERLINK("https://twitter.com/SHC__Youth","@SHC__Youth")</f>
        <v>@SHC__Youth</v>
      </c>
      <c r="C3998" s="21" t="s">
        <v>9274</v>
      </c>
      <c r="D3998" s="21" t="s">
        <v>8950</v>
      </c>
      <c r="E3998" s="22" t="str">
        <f>HYPERLINK("https://twitter.com/SHC__Youth/status/922448432157151232","922448432157151232")</f>
        <v>922448432157151232</v>
      </c>
      <c r="F3998" s="23" t="s">
        <v>33</v>
      </c>
      <c r="G3998" s="24">
        <v>41.0</v>
      </c>
      <c r="H3998" s="24">
        <v>1588.0</v>
      </c>
      <c r="I3998" s="24">
        <v>4.0</v>
      </c>
      <c r="J3998" s="24">
        <v>0.0</v>
      </c>
      <c r="K3998" s="23" t="s">
        <v>34</v>
      </c>
      <c r="L3998" s="25">
        <v>41745.762025462966</v>
      </c>
      <c r="M3998" s="26" t="s">
        <v>9275</v>
      </c>
      <c r="N3998" s="26" t="s">
        <v>9276</v>
      </c>
      <c r="O3998" s="22" t="str">
        <f>HYPERLINK("https://pbs.twimg.com/profile_images/751513569729122304/Y0G5n4T8_normal.jpg","View")</f>
        <v>View</v>
      </c>
      <c r="P3998" s="27"/>
    </row>
    <row r="3999">
      <c r="A3999" s="14">
        <v>43031.25255787037</v>
      </c>
      <c r="B3999" s="20" t="str">
        <f>HYPERLINK("https://twitter.com/itsabhishek2979","@itsabhishek2979")</f>
        <v>@itsabhishek2979</v>
      </c>
      <c r="C3999" s="21" t="s">
        <v>9277</v>
      </c>
      <c r="D3999" s="21" t="s">
        <v>42</v>
      </c>
      <c r="E3999" s="22" t="str">
        <f>HYPERLINK("https://twitter.com/itsabhishek2979/status/922448440453316609","922448440453316609")</f>
        <v>922448440453316609</v>
      </c>
      <c r="F3999" s="23" t="s">
        <v>33</v>
      </c>
      <c r="G3999" s="24">
        <v>40.0</v>
      </c>
      <c r="H3999" s="24">
        <v>102.0</v>
      </c>
      <c r="I3999" s="24">
        <v>8501.0</v>
      </c>
      <c r="J3999" s="24">
        <v>0.0</v>
      </c>
      <c r="K3999" s="23" t="s">
        <v>34</v>
      </c>
      <c r="L3999" s="25">
        <v>42637.304884259254</v>
      </c>
      <c r="M3999" s="26" t="s">
        <v>9278</v>
      </c>
      <c r="N3999" s="26" t="s">
        <v>9279</v>
      </c>
      <c r="O3999" s="22" t="str">
        <f>HYPERLINK("https://pbs.twimg.com/profile_images/794206520124784641/CZOQ-_de_normal.jpg","View")</f>
        <v>View</v>
      </c>
      <c r="P3999" s="27"/>
    </row>
    <row r="4000">
      <c r="A4000" s="14">
        <v>43031.25260416667</v>
      </c>
      <c r="B4000" s="20" t="str">
        <f>HYPERLINK("https://twitter.com/HMP_Troll","@HMP_Troll")</f>
        <v>@HMP_Troll</v>
      </c>
      <c r="C4000" s="21" t="s">
        <v>9280</v>
      </c>
      <c r="D4000" s="21" t="s">
        <v>42</v>
      </c>
      <c r="E4000" s="22" t="str">
        <f>HYPERLINK("https://twitter.com/HMP_Troll/status/922448460246323200","922448460246323200")</f>
        <v>922448460246323200</v>
      </c>
      <c r="F4000" s="23" t="s">
        <v>55</v>
      </c>
      <c r="G4000" s="24">
        <v>65.0</v>
      </c>
      <c r="H4000" s="24">
        <v>199.0</v>
      </c>
      <c r="I4000" s="24">
        <v>8501.0</v>
      </c>
      <c r="J4000" s="24">
        <v>0.0</v>
      </c>
      <c r="K4000" s="23" t="s">
        <v>34</v>
      </c>
      <c r="L4000" s="25">
        <v>41150.162824074076</v>
      </c>
      <c r="M4000" s="28"/>
      <c r="N4000" s="28"/>
      <c r="O4000" s="22" t="str">
        <f>HYPERLINK("https://pbs.twimg.com/profile_images/795597933794107392/h0raDnQ6_normal.jpg","View")</f>
        <v>View</v>
      </c>
      <c r="P4000" s="27"/>
    </row>
    <row r="4001">
      <c r="A4001" s="14">
        <v>43031.25262731481</v>
      </c>
      <c r="B4001" s="20" t="str">
        <f>HYPERLINK("https://twitter.com/rupeshsk","@rupeshsk")</f>
        <v>@rupeshsk</v>
      </c>
      <c r="C4001" s="21" t="s">
        <v>9281</v>
      </c>
      <c r="D4001" s="21" t="s">
        <v>42</v>
      </c>
      <c r="E4001" s="22" t="str">
        <f>HYPERLINK("https://twitter.com/rupeshsk/status/922448466969858048","922448466969858048")</f>
        <v>922448466969858048</v>
      </c>
      <c r="F4001" s="23" t="s">
        <v>39</v>
      </c>
      <c r="G4001" s="24">
        <v>45.0</v>
      </c>
      <c r="H4001" s="24">
        <v>105.0</v>
      </c>
      <c r="I4001" s="24">
        <v>8501.0</v>
      </c>
      <c r="J4001" s="24">
        <v>0.0</v>
      </c>
      <c r="K4001" s="23" t="s">
        <v>34</v>
      </c>
      <c r="L4001" s="25">
        <v>40358.285462962966</v>
      </c>
      <c r="M4001" s="26" t="s">
        <v>1633</v>
      </c>
      <c r="N4001" s="26" t="s">
        <v>9282</v>
      </c>
      <c r="O4001" s="22" t="str">
        <f>HYPERLINK("https://pbs.twimg.com/profile_images/806136990546743301/eF_oK2bf_normal.jpg","View")</f>
        <v>View</v>
      </c>
      <c r="P4001" s="27"/>
    </row>
    <row r="4002">
      <c r="A4002" s="14">
        <v>43031.25262731481</v>
      </c>
      <c r="B4002" s="20" t="str">
        <f>HYPERLINK("https://twitter.com/SAJANBHARDWAJ7","@SAJANBHARDWAJ7")</f>
        <v>@SAJANBHARDWAJ7</v>
      </c>
      <c r="C4002" s="21" t="s">
        <v>9283</v>
      </c>
      <c r="D4002" s="21" t="s">
        <v>9284</v>
      </c>
      <c r="E4002" s="22" t="str">
        <f>HYPERLINK("https://twitter.com/SAJANBHARDWAJ7/status/922448467141599238","922448467141599238")</f>
        <v>922448467141599238</v>
      </c>
      <c r="F4002" s="23" t="s">
        <v>55</v>
      </c>
      <c r="G4002" s="24">
        <v>65.0</v>
      </c>
      <c r="H4002" s="24">
        <v>399.0</v>
      </c>
      <c r="I4002" s="24">
        <v>0.0</v>
      </c>
      <c r="J4002" s="24">
        <v>0.0</v>
      </c>
      <c r="K4002" s="23" t="s">
        <v>34</v>
      </c>
      <c r="L4002" s="25">
        <v>42919.852731481486</v>
      </c>
      <c r="M4002" s="26" t="s">
        <v>8314</v>
      </c>
      <c r="N4002" s="26" t="s">
        <v>9285</v>
      </c>
      <c r="O4002" s="22" t="str">
        <f>HYPERLINK("https://pbs.twimg.com/profile_images/882092955347034112/ztnnvTCt_normal.jpg","View")</f>
        <v>View</v>
      </c>
      <c r="P4002" s="27"/>
    </row>
    <row r="4003">
      <c r="A4003" s="14">
        <v>43031.25287037037</v>
      </c>
      <c r="B4003" s="20" t="str">
        <f>HYPERLINK("https://twitter.com/AxelMerk","@AxelMerk")</f>
        <v>@AxelMerk</v>
      </c>
      <c r="C4003" s="21" t="s">
        <v>9286</v>
      </c>
      <c r="D4003" s="21" t="s">
        <v>9287</v>
      </c>
      <c r="E4003" s="22" t="str">
        <f>HYPERLINK("https://twitter.com/AxelMerk/status/922448553582116864","922448553582116864")</f>
        <v>922448553582116864</v>
      </c>
      <c r="F4003" s="23" t="s">
        <v>55</v>
      </c>
      <c r="G4003" s="24">
        <v>9214.0</v>
      </c>
      <c r="H4003" s="24">
        <v>285.0</v>
      </c>
      <c r="I4003" s="24">
        <v>0.0</v>
      </c>
      <c r="J4003" s="24">
        <v>0.0</v>
      </c>
      <c r="K4003" s="23" t="s">
        <v>34</v>
      </c>
      <c r="L4003" s="25">
        <v>41068.36634259259</v>
      </c>
      <c r="M4003" s="26" t="s">
        <v>9288</v>
      </c>
      <c r="N4003" s="35" t="s">
        <v>9289</v>
      </c>
      <c r="O4003" s="22" t="str">
        <f>HYPERLINK("https://pbs.twimg.com/profile_images/896057309733847041/Ppgxw5on_normal.jpg","View")</f>
        <v>View</v>
      </c>
      <c r="P4003" s="27"/>
    </row>
    <row r="4004">
      <c r="A4004" s="14">
        <v>43031.25288194444</v>
      </c>
      <c r="B4004" s="20" t="str">
        <f>HYPERLINK("https://twitter.com/JustoneK7","@JustoneK7")</f>
        <v>@JustoneK7</v>
      </c>
      <c r="C4004" s="21" t="s">
        <v>9290</v>
      </c>
      <c r="D4004" s="21" t="s">
        <v>4507</v>
      </c>
      <c r="E4004" s="22" t="str">
        <f>HYPERLINK("https://twitter.com/JustoneK7/status/922448558107664384","922448558107664384")</f>
        <v>922448558107664384</v>
      </c>
      <c r="F4004" s="23" t="s">
        <v>55</v>
      </c>
      <c r="G4004" s="24">
        <v>562.0</v>
      </c>
      <c r="H4004" s="24">
        <v>1999.0</v>
      </c>
      <c r="I4004" s="24">
        <v>139.0</v>
      </c>
      <c r="J4004" s="24">
        <v>0.0</v>
      </c>
      <c r="K4004" s="23" t="s">
        <v>34</v>
      </c>
      <c r="L4004" s="25">
        <v>41648.82435185185</v>
      </c>
      <c r="M4004" s="26" t="s">
        <v>9291</v>
      </c>
      <c r="N4004" s="26" t="s">
        <v>9292</v>
      </c>
      <c r="O4004" s="22" t="str">
        <f>HYPERLINK("https://pbs.twimg.com/profile_images/760425583083855873/NoBjRGyN_normal.jpg","View")</f>
        <v>View</v>
      </c>
      <c r="P4004" s="27"/>
    </row>
    <row r="4005">
      <c r="A4005" s="14">
        <v>43031.25288194444</v>
      </c>
      <c r="B4005" s="20" t="str">
        <f>HYPERLINK("https://twitter.com/ChuckDalldorf","@ChuckDalldorf")</f>
        <v>@ChuckDalldorf</v>
      </c>
      <c r="C4005" s="21" t="s">
        <v>9293</v>
      </c>
      <c r="D4005" s="21" t="s">
        <v>9294</v>
      </c>
      <c r="E4005" s="22" t="str">
        <f>HYPERLINK("https://twitter.com/ChuckDalldorf/status/922448558703312902","922448558703312902")</f>
        <v>922448558703312902</v>
      </c>
      <c r="F4005" s="23" t="s">
        <v>55</v>
      </c>
      <c r="G4005" s="24">
        <v>3091.0</v>
      </c>
      <c r="H4005" s="24">
        <v>4042.0</v>
      </c>
      <c r="I4005" s="24">
        <v>0.0</v>
      </c>
      <c r="J4005" s="24">
        <v>0.0</v>
      </c>
      <c r="K4005" s="23" t="s">
        <v>34</v>
      </c>
      <c r="L4005" s="25">
        <v>39876.35068287037</v>
      </c>
      <c r="M4005" s="28"/>
      <c r="N4005" s="26" t="s">
        <v>9295</v>
      </c>
      <c r="O4005" s="22" t="str">
        <f>HYPERLINK("https://pbs.twimg.com/profile_images/515676694116835329/YVm9HRpJ_normal.jpeg","View")</f>
        <v>View</v>
      </c>
      <c r="P4005" s="27"/>
    </row>
    <row r="4006">
      <c r="A4006" s="14">
        <v>43031.25297453704</v>
      </c>
      <c r="B4006" s="20" t="str">
        <f>HYPERLINK("https://twitter.com/border_sw20","@border_sw20")</f>
        <v>@border_sw20</v>
      </c>
      <c r="C4006" s="21" t="s">
        <v>9296</v>
      </c>
      <c r="D4006" s="21" t="s">
        <v>42</v>
      </c>
      <c r="E4006" s="22" t="str">
        <f>HYPERLINK("https://twitter.com/border_sw20/status/922448591100174338","922448591100174338")</f>
        <v>922448591100174338</v>
      </c>
      <c r="F4006" s="23" t="s">
        <v>39</v>
      </c>
      <c r="G4006" s="24">
        <v>170.0</v>
      </c>
      <c r="H4006" s="24">
        <v>355.0</v>
      </c>
      <c r="I4006" s="24">
        <v>8501.0</v>
      </c>
      <c r="J4006" s="24">
        <v>0.0</v>
      </c>
      <c r="K4006" s="23" t="s">
        <v>34</v>
      </c>
      <c r="L4006" s="25">
        <v>42757.138703703706</v>
      </c>
      <c r="M4006" s="28"/>
      <c r="N4006" s="26" t="s">
        <v>9297</v>
      </c>
      <c r="O4006" s="22" t="str">
        <f>HYPERLINK("https://abs.twimg.com/sticky/default_profile_images/default_profile_normal.png","View")</f>
        <v>View</v>
      </c>
      <c r="P4006" s="27"/>
    </row>
    <row r="4007">
      <c r="A4007" s="14">
        <v>43031.25297453704</v>
      </c>
      <c r="B4007" s="20" t="str">
        <f>HYPERLINK("https://twitter.com/RajKuma68016605","@RajKuma68016605")</f>
        <v>@RajKuma68016605</v>
      </c>
      <c r="C4007" s="21" t="s">
        <v>9298</v>
      </c>
      <c r="D4007" s="21" t="s">
        <v>2861</v>
      </c>
      <c r="E4007" s="22" t="str">
        <f>HYPERLINK("https://twitter.com/RajKuma68016605/status/922448594250158081","922448594250158081")</f>
        <v>922448594250158081</v>
      </c>
      <c r="F4007" s="23" t="s">
        <v>33</v>
      </c>
      <c r="G4007" s="24">
        <v>134.0</v>
      </c>
      <c r="H4007" s="24">
        <v>343.0</v>
      </c>
      <c r="I4007" s="24">
        <v>40.0</v>
      </c>
      <c r="J4007" s="24">
        <v>0.0</v>
      </c>
      <c r="K4007" s="23" t="s">
        <v>34</v>
      </c>
      <c r="L4007" s="25">
        <v>42664.82158564815</v>
      </c>
      <c r="M4007" s="26" t="s">
        <v>9299</v>
      </c>
      <c r="N4007" s="26" t="s">
        <v>9300</v>
      </c>
      <c r="O4007" s="22" t="str">
        <f>HYPERLINK("https://pbs.twimg.com/profile_images/792040675235758084/rFvkU-HG_normal.jpg","View")</f>
        <v>View</v>
      </c>
      <c r="P4007" s="27"/>
    </row>
    <row r="4008">
      <c r="A4008" s="14">
        <v>43031.25299768518</v>
      </c>
      <c r="B4008" s="20" t="str">
        <f>HYPERLINK("https://twitter.com/Amitendu1","@Amitendu1")</f>
        <v>@Amitendu1</v>
      </c>
      <c r="C4008" s="21" t="s">
        <v>9301</v>
      </c>
      <c r="D4008" s="21" t="s">
        <v>7198</v>
      </c>
      <c r="E4008" s="22" t="str">
        <f>HYPERLINK("https://twitter.com/Amitendu1/status/922448599648157696","922448599648157696")</f>
        <v>922448599648157696</v>
      </c>
      <c r="F4008" s="23" t="s">
        <v>39</v>
      </c>
      <c r="G4008" s="24">
        <v>190.0</v>
      </c>
      <c r="H4008" s="24">
        <v>122.0</v>
      </c>
      <c r="I4008" s="24">
        <v>11.0</v>
      </c>
      <c r="J4008" s="24">
        <v>0.0</v>
      </c>
      <c r="K4008" s="23" t="s">
        <v>34</v>
      </c>
      <c r="L4008" s="25">
        <v>40653.00628472222</v>
      </c>
      <c r="M4008" s="28"/>
      <c r="N4008" s="26" t="s">
        <v>9302</v>
      </c>
      <c r="O4008" s="22" t="str">
        <f>HYPERLINK("https://pbs.twimg.com/profile_images/770509722503950336/Jx84pY6f_normal.jpg","View")</f>
        <v>View</v>
      </c>
      <c r="P4008" s="27"/>
    </row>
    <row r="4009">
      <c r="A4009" s="14">
        <v>43031.2530324074</v>
      </c>
      <c r="B4009" s="20" t="str">
        <f>HYPERLINK("https://twitter.com/anna_aniko","@anna_aniko")</f>
        <v>@anna_aniko</v>
      </c>
      <c r="C4009" s="21" t="s">
        <v>9303</v>
      </c>
      <c r="D4009" s="21" t="s">
        <v>9304</v>
      </c>
      <c r="E4009" s="22" t="str">
        <f>HYPERLINK("https://twitter.com/anna_aniko/status/922448615016189952","922448615016189952")</f>
        <v>922448615016189952</v>
      </c>
      <c r="F4009" s="23" t="s">
        <v>91</v>
      </c>
      <c r="G4009" s="24">
        <v>7.0</v>
      </c>
      <c r="H4009" s="24">
        <v>43.0</v>
      </c>
      <c r="I4009" s="24">
        <v>0.0</v>
      </c>
      <c r="J4009" s="24">
        <v>0.0</v>
      </c>
      <c r="K4009" s="23" t="s">
        <v>34</v>
      </c>
      <c r="L4009" s="25">
        <v>41942.83131944444</v>
      </c>
      <c r="M4009" s="28"/>
      <c r="N4009" s="28"/>
      <c r="O4009" s="22" t="str">
        <f>HYPERLINK("https://pbs.twimg.com/profile_images/528018304430911489/OaJTpkUL_normal.jpeg","View")</f>
        <v>View</v>
      </c>
      <c r="P4009" s="27"/>
    </row>
    <row r="4010">
      <c r="A4010" s="14">
        <v>43031.25305555556</v>
      </c>
      <c r="B4010" s="20" t="str">
        <f>HYPERLINK("https://twitter.com/CaffeAddicZ","@CaffeAddicZ")</f>
        <v>@CaffeAddicZ</v>
      </c>
      <c r="C4010" s="21" t="s">
        <v>9305</v>
      </c>
      <c r="D4010" s="21" t="s">
        <v>42</v>
      </c>
      <c r="E4010" s="22" t="str">
        <f>HYPERLINK("https://twitter.com/CaffeAddicZ/status/922448621718552576","922448621718552576")</f>
        <v>922448621718552576</v>
      </c>
      <c r="F4010" s="23" t="s">
        <v>33</v>
      </c>
      <c r="G4010" s="24">
        <v>49.0</v>
      </c>
      <c r="H4010" s="24">
        <v>32.0</v>
      </c>
      <c r="I4010" s="24">
        <v>8501.0</v>
      </c>
      <c r="J4010" s="24">
        <v>0.0</v>
      </c>
      <c r="K4010" s="23" t="s">
        <v>34</v>
      </c>
      <c r="L4010" s="25">
        <v>42724.904803240745</v>
      </c>
      <c r="M4010" s="26" t="s">
        <v>9306</v>
      </c>
      <c r="N4010" s="26" t="s">
        <v>9307</v>
      </c>
      <c r="O4010" s="22" t="str">
        <f>HYPERLINK("https://pbs.twimg.com/profile_images/919011259227373568/CAlpaUc7_normal.jpg","View")</f>
        <v>View</v>
      </c>
      <c r="P4010" s="27"/>
    </row>
    <row r="4011">
      <c r="A4011" s="14">
        <v>43031.25309027778</v>
      </c>
      <c r="B4011" s="20" t="str">
        <f>HYPERLINK("https://twitter.com/1DrMahalakshmi","@1DrMahalakshmi")</f>
        <v>@1DrMahalakshmi</v>
      </c>
      <c r="C4011" s="21" t="s">
        <v>9308</v>
      </c>
      <c r="D4011" s="21" t="s">
        <v>42</v>
      </c>
      <c r="E4011" s="22" t="str">
        <f>HYPERLINK("https://twitter.com/1DrMahalakshmi/status/922448633458335745","922448633458335745")</f>
        <v>922448633458335745</v>
      </c>
      <c r="F4011" s="23" t="s">
        <v>33</v>
      </c>
      <c r="G4011" s="24">
        <v>66.0</v>
      </c>
      <c r="H4011" s="24">
        <v>39.0</v>
      </c>
      <c r="I4011" s="24">
        <v>8501.0</v>
      </c>
      <c r="J4011" s="24">
        <v>0.0</v>
      </c>
      <c r="K4011" s="23" t="s">
        <v>34</v>
      </c>
      <c r="L4011" s="25">
        <v>40990.278657407405</v>
      </c>
      <c r="M4011" s="28"/>
      <c r="N4011" s="28"/>
      <c r="O4011" s="22" t="str">
        <f>HYPERLINK("https://abs.twimg.com/sticky/default_profile_images/default_profile_normal.png","View")</f>
        <v>View</v>
      </c>
      <c r="P4011" s="27"/>
    </row>
    <row r="4012">
      <c r="A4012" s="14">
        <v>43031.25310185185</v>
      </c>
      <c r="B4012" s="20" t="str">
        <f>HYPERLINK("https://twitter.com/RajKuma68016605","@RajKuma68016605")</f>
        <v>@RajKuma68016605</v>
      </c>
      <c r="C4012" s="21" t="s">
        <v>9298</v>
      </c>
      <c r="D4012" s="21" t="s">
        <v>42</v>
      </c>
      <c r="E4012" s="22" t="str">
        <f>HYPERLINK("https://twitter.com/RajKuma68016605/status/922448641213763584","922448641213763584")</f>
        <v>922448641213763584</v>
      </c>
      <c r="F4012" s="23" t="s">
        <v>33</v>
      </c>
      <c r="G4012" s="24">
        <v>134.0</v>
      </c>
      <c r="H4012" s="24">
        <v>343.0</v>
      </c>
      <c r="I4012" s="24">
        <v>8501.0</v>
      </c>
      <c r="J4012" s="24">
        <v>0.0</v>
      </c>
      <c r="K4012" s="23" t="s">
        <v>34</v>
      </c>
      <c r="L4012" s="25">
        <v>42664.82158564815</v>
      </c>
      <c r="M4012" s="26" t="s">
        <v>9299</v>
      </c>
      <c r="N4012" s="26" t="s">
        <v>9300</v>
      </c>
      <c r="O4012" s="22" t="str">
        <f>HYPERLINK("https://pbs.twimg.com/profile_images/792040675235758084/rFvkU-HG_normal.jpg","View")</f>
        <v>View</v>
      </c>
      <c r="P4012" s="27"/>
    </row>
    <row r="4013">
      <c r="A4013" s="14">
        <v>43031.25321759259</v>
      </c>
      <c r="B4013" s="20" t="str">
        <f>HYPERLINK("https://twitter.com/SharanLouise","@SharanLouise")</f>
        <v>@SharanLouise</v>
      </c>
      <c r="C4013" s="21" t="s">
        <v>9309</v>
      </c>
      <c r="D4013" s="21" t="s">
        <v>99</v>
      </c>
      <c r="E4013" s="22" t="str">
        <f>HYPERLINK("https://twitter.com/SharanLouise/status/922448679348391936","922448679348391936")</f>
        <v>922448679348391936</v>
      </c>
      <c r="F4013" s="23" t="s">
        <v>33</v>
      </c>
      <c r="G4013" s="24">
        <v>184.0</v>
      </c>
      <c r="H4013" s="24">
        <v>89.0</v>
      </c>
      <c r="I4013" s="24">
        <v>72.0</v>
      </c>
      <c r="J4013" s="24">
        <v>0.0</v>
      </c>
      <c r="K4013" s="23" t="s">
        <v>34</v>
      </c>
      <c r="L4013" s="25">
        <v>40780.383935185186</v>
      </c>
      <c r="M4013" s="26" t="s">
        <v>120</v>
      </c>
      <c r="N4013" s="26" t="s">
        <v>9310</v>
      </c>
      <c r="O4013" s="22" t="str">
        <f>HYPERLINK("https://pbs.twimg.com/profile_images/1513738309/Sharan_s_photo_normal.jpg","View")</f>
        <v>View</v>
      </c>
      <c r="P4013" s="27"/>
    </row>
    <row r="4014">
      <c r="A4014" s="14">
        <v>43031.25324074074</v>
      </c>
      <c r="B4014" s="20" t="str">
        <f>HYPERLINK("https://twitter.com/KewalSingla4","@KewalSingla4")</f>
        <v>@KewalSingla4</v>
      </c>
      <c r="C4014" s="21" t="s">
        <v>9311</v>
      </c>
      <c r="D4014" s="21" t="s">
        <v>42</v>
      </c>
      <c r="E4014" s="22" t="str">
        <f>HYPERLINK("https://twitter.com/KewalSingla4/status/922448687430713344","922448687430713344")</f>
        <v>922448687430713344</v>
      </c>
      <c r="F4014" s="23" t="s">
        <v>33</v>
      </c>
      <c r="G4014" s="24">
        <v>76.0</v>
      </c>
      <c r="H4014" s="24">
        <v>228.0</v>
      </c>
      <c r="I4014" s="24">
        <v>8501.0</v>
      </c>
      <c r="J4014" s="24">
        <v>0.0</v>
      </c>
      <c r="K4014" s="23" t="s">
        <v>34</v>
      </c>
      <c r="L4014" s="25">
        <v>42910.26959490741</v>
      </c>
      <c r="M4014" s="26" t="s">
        <v>9312</v>
      </c>
      <c r="N4014" s="26" t="s">
        <v>9313</v>
      </c>
      <c r="O4014" s="22" t="str">
        <f>HYPERLINK("https://pbs.twimg.com/profile_images/878609220949733376/wAY6kCnZ_normal.jpg","View")</f>
        <v>View</v>
      </c>
      <c r="P4014" s="27"/>
    </row>
    <row r="4015">
      <c r="A4015" s="14">
        <v>43031.25326388889</v>
      </c>
      <c r="B4015" s="20" t="str">
        <f>HYPERLINK("https://twitter.com/lady_smoker_","@lady_smoker_")</f>
        <v>@lady_smoker_</v>
      </c>
      <c r="C4015" s="21" t="s">
        <v>9314</v>
      </c>
      <c r="D4015" s="21" t="s">
        <v>513</v>
      </c>
      <c r="E4015" s="22" t="str">
        <f>HYPERLINK("https://twitter.com/lady_smoker_/status/922448696486195200","922448696486195200")</f>
        <v>922448696486195200</v>
      </c>
      <c r="F4015" s="23" t="s">
        <v>9112</v>
      </c>
      <c r="G4015" s="24">
        <v>3977.0</v>
      </c>
      <c r="H4015" s="24">
        <v>1914.0</v>
      </c>
      <c r="I4015" s="24">
        <v>101.0</v>
      </c>
      <c r="J4015" s="24">
        <v>0.0</v>
      </c>
      <c r="K4015" s="23" t="s">
        <v>34</v>
      </c>
      <c r="L4015" s="25">
        <v>40309.45376157407</v>
      </c>
      <c r="M4015" s="26" t="s">
        <v>9315</v>
      </c>
      <c r="N4015" s="26" t="s">
        <v>9316</v>
      </c>
      <c r="O4015" s="22" t="str">
        <f>HYPERLINK("https://pbs.twimg.com/profile_images/378800000302111051/190710bb74f6c41ba83adeecac2f0122_normal.png","View")</f>
        <v>View</v>
      </c>
      <c r="P4015" s="27"/>
    </row>
    <row r="4016">
      <c r="A4016" s="14">
        <v>43031.25335648148</v>
      </c>
      <c r="B4016" s="20" t="str">
        <f>HYPERLINK("https://twitter.com/RaviGogawle","@RaviGogawle")</f>
        <v>@RaviGogawle</v>
      </c>
      <c r="C4016" s="21" t="s">
        <v>9317</v>
      </c>
      <c r="D4016" s="21" t="s">
        <v>42</v>
      </c>
      <c r="E4016" s="22" t="str">
        <f>HYPERLINK("https://twitter.com/RaviGogawle/status/922448731332517888","922448731332517888")</f>
        <v>922448731332517888</v>
      </c>
      <c r="F4016" s="23" t="s">
        <v>33</v>
      </c>
      <c r="G4016" s="24">
        <v>519.0</v>
      </c>
      <c r="H4016" s="24">
        <v>405.0</v>
      </c>
      <c r="I4016" s="24">
        <v>8501.0</v>
      </c>
      <c r="J4016" s="24">
        <v>0.0</v>
      </c>
      <c r="K4016" s="23" t="s">
        <v>34</v>
      </c>
      <c r="L4016" s="25">
        <v>43027.29166666667</v>
      </c>
      <c r="M4016" s="28"/>
      <c r="N4016" s="26" t="s">
        <v>9318</v>
      </c>
      <c r="O4016" s="22" t="str">
        <f>HYPERLINK("https://pbs.twimg.com/profile_images/921016289371361282/O5PK0NL3_normal.jpg","View")</f>
        <v>View</v>
      </c>
      <c r="P4016" s="27"/>
    </row>
    <row r="4017">
      <c r="A4017" s="14">
        <v>43031.25344907407</v>
      </c>
      <c r="B4017" s="20" t="str">
        <f>HYPERLINK("https://twitter.com/make_the_peace7","@make_the_peace7")</f>
        <v>@make_the_peace7</v>
      </c>
      <c r="C4017" s="21" t="s">
        <v>9319</v>
      </c>
      <c r="D4017" s="21" t="s">
        <v>1642</v>
      </c>
      <c r="E4017" s="22" t="str">
        <f>HYPERLINK("https://twitter.com/make_the_peace7/status/922448766623301632","922448766623301632")</f>
        <v>922448766623301632</v>
      </c>
      <c r="F4017" s="23" t="s">
        <v>55</v>
      </c>
      <c r="G4017" s="24">
        <v>1250.0</v>
      </c>
      <c r="H4017" s="24">
        <v>733.0</v>
      </c>
      <c r="I4017" s="24">
        <v>199.0</v>
      </c>
      <c r="J4017" s="24">
        <v>0.0</v>
      </c>
      <c r="K4017" s="23" t="s">
        <v>34</v>
      </c>
      <c r="L4017" s="25">
        <v>41917.078680555554</v>
      </c>
      <c r="M4017" s="26" t="s">
        <v>9320</v>
      </c>
      <c r="N4017" s="26" t="s">
        <v>9321</v>
      </c>
      <c r="O4017" s="22" t="str">
        <f>HYPERLINK("https://pbs.twimg.com/profile_images/668402020152291328/EkKNkvJp_normal.jpg","View")</f>
        <v>View</v>
      </c>
      <c r="P4017" s="27"/>
    </row>
    <row r="4018">
      <c r="A4018" s="14">
        <v>43031.25347222222</v>
      </c>
      <c r="B4018" s="20" t="str">
        <f>HYPERLINK("https://twitter.com/vtn449","@vtn449")</f>
        <v>@vtn449</v>
      </c>
      <c r="C4018" s="21" t="s">
        <v>9322</v>
      </c>
      <c r="D4018" s="21" t="s">
        <v>42</v>
      </c>
      <c r="E4018" s="22" t="str">
        <f>HYPERLINK("https://twitter.com/vtn449/status/922448772398858241","922448772398858241")</f>
        <v>922448772398858241</v>
      </c>
      <c r="F4018" s="23" t="s">
        <v>55</v>
      </c>
      <c r="G4018" s="24">
        <v>572.0</v>
      </c>
      <c r="H4018" s="24">
        <v>137.0</v>
      </c>
      <c r="I4018" s="24">
        <v>8501.0</v>
      </c>
      <c r="J4018" s="24">
        <v>0.0</v>
      </c>
      <c r="K4018" s="23" t="s">
        <v>34</v>
      </c>
      <c r="L4018" s="25">
        <v>40242.614120370374</v>
      </c>
      <c r="M4018" s="26" t="s">
        <v>1224</v>
      </c>
      <c r="N4018" s="26" t="s">
        <v>9323</v>
      </c>
      <c r="O4018" s="22" t="str">
        <f>HYPERLINK("https://pbs.twimg.com/profile_images/1764956709/390211_215966585155112_151206238297814_485912_1341909967_n_normal.jpg","View")</f>
        <v>View</v>
      </c>
      <c r="P4018" s="27"/>
    </row>
    <row r="4019">
      <c r="A4019" s="14">
        <v>43031.25362268518</v>
      </c>
      <c r="B4019" s="20" t="str">
        <f>HYPERLINK("https://twitter.com/bksachania","@bksachania")</f>
        <v>@bksachania</v>
      </c>
      <c r="C4019" s="21" t="s">
        <v>9324</v>
      </c>
      <c r="D4019" s="21" t="s">
        <v>42</v>
      </c>
      <c r="E4019" s="22" t="str">
        <f>HYPERLINK("https://twitter.com/bksachania/status/922448829575819265","922448829575819265")</f>
        <v>922448829575819265</v>
      </c>
      <c r="F4019" s="23" t="s">
        <v>39</v>
      </c>
      <c r="G4019" s="24">
        <v>9.0</v>
      </c>
      <c r="H4019" s="24">
        <v>86.0</v>
      </c>
      <c r="I4019" s="24">
        <v>8501.0</v>
      </c>
      <c r="J4019" s="24">
        <v>0.0</v>
      </c>
      <c r="K4019" s="23" t="s">
        <v>34</v>
      </c>
      <c r="L4019" s="25">
        <v>40544.34460648148</v>
      </c>
      <c r="M4019" s="26" t="s">
        <v>334</v>
      </c>
      <c r="N4019" s="28"/>
      <c r="O4019" s="22" t="str">
        <f>HYPERLINK("https://pbs.twimg.com/profile_images/631914708258430980/aPdcNS0Y_normal.jpg","View")</f>
        <v>View</v>
      </c>
      <c r="P4019" s="27"/>
    </row>
    <row r="4020">
      <c r="A4020" s="14">
        <v>43031.25363425926</v>
      </c>
      <c r="B4020" s="20" t="str">
        <f>HYPERLINK("https://twitter.com/guysiemiller","@guysiemiller")</f>
        <v>@guysiemiller</v>
      </c>
      <c r="C4020" s="21" t="s">
        <v>9325</v>
      </c>
      <c r="D4020" s="21" t="s">
        <v>9326</v>
      </c>
      <c r="E4020" s="22" t="str">
        <f>HYPERLINK("https://twitter.com/guysiemiller/status/922448832193064965","922448832193064965")</f>
        <v>922448832193064965</v>
      </c>
      <c r="F4020" s="23" t="s">
        <v>55</v>
      </c>
      <c r="G4020" s="24">
        <v>102.0</v>
      </c>
      <c r="H4020" s="24">
        <v>91.0</v>
      </c>
      <c r="I4020" s="24">
        <v>2.0</v>
      </c>
      <c r="J4020" s="24">
        <v>3.0</v>
      </c>
      <c r="K4020" s="23" t="s">
        <v>34</v>
      </c>
      <c r="L4020" s="25">
        <v>42319.39703703704</v>
      </c>
      <c r="M4020" s="26" t="s">
        <v>9327</v>
      </c>
      <c r="N4020" s="26" t="s">
        <v>9328</v>
      </c>
      <c r="O4020" s="22" t="str">
        <f>HYPERLINK("https://pbs.twimg.com/profile_images/670155707174543360/sPqesH6l_normal.jpg","View")</f>
        <v>View</v>
      </c>
      <c r="P4020" s="27"/>
    </row>
    <row r="4021">
      <c r="A4021" s="14">
        <v>43031.25366898148</v>
      </c>
      <c r="B4021" s="20" t="str">
        <f>HYPERLINK("https://twitter.com/worldnewsbox","@worldnewsbox")</f>
        <v>@worldnewsbox</v>
      </c>
      <c r="C4021" s="21" t="s">
        <v>6020</v>
      </c>
      <c r="D4021" s="21" t="s">
        <v>9329</v>
      </c>
      <c r="E4021" s="22" t="str">
        <f>HYPERLINK("https://twitter.com/worldnewsbox/status/922448843920367616","922448843920367616")</f>
        <v>922448843920367616</v>
      </c>
      <c r="F4021" s="23" t="s">
        <v>187</v>
      </c>
      <c r="G4021" s="24">
        <v>139.0</v>
      </c>
      <c r="H4021" s="24">
        <v>0.0</v>
      </c>
      <c r="I4021" s="24">
        <v>0.0</v>
      </c>
      <c r="J4021" s="24">
        <v>0.0</v>
      </c>
      <c r="K4021" s="23" t="s">
        <v>34</v>
      </c>
      <c r="L4021" s="25">
        <v>42048.44263888889</v>
      </c>
      <c r="M4021" s="26" t="s">
        <v>6022</v>
      </c>
      <c r="N4021" s="28"/>
      <c r="O4021" s="22" t="str">
        <f>HYPERLINK("https://pbs.twimg.com/profile_images/566373479780347904/cRWsNt3U_normal.png","View")</f>
        <v>View</v>
      </c>
      <c r="P4021" s="27"/>
    </row>
    <row r="4022">
      <c r="A4022" s="14">
        <v>43031.25375</v>
      </c>
      <c r="B4022" s="20" t="str">
        <f>HYPERLINK("https://twitter.com/Rahul30851882","@Rahul30851882")</f>
        <v>@Rahul30851882</v>
      </c>
      <c r="C4022" s="21" t="s">
        <v>9330</v>
      </c>
      <c r="D4022" s="21" t="s">
        <v>42</v>
      </c>
      <c r="E4022" s="22" t="str">
        <f>HYPERLINK("https://twitter.com/Rahul30851882/status/922448874588880896","922448874588880896")</f>
        <v>922448874588880896</v>
      </c>
      <c r="F4022" s="23" t="s">
        <v>39</v>
      </c>
      <c r="G4022" s="24">
        <v>610.0</v>
      </c>
      <c r="H4022" s="24">
        <v>25.0</v>
      </c>
      <c r="I4022" s="24">
        <v>8501.0</v>
      </c>
      <c r="J4022" s="24">
        <v>0.0</v>
      </c>
      <c r="K4022" s="23" t="s">
        <v>34</v>
      </c>
      <c r="L4022" s="25">
        <v>42459.34495370371</v>
      </c>
      <c r="M4022" s="26" t="s">
        <v>1189</v>
      </c>
      <c r="N4022" s="26" t="s">
        <v>9331</v>
      </c>
      <c r="O4022" s="22" t="str">
        <f>HYPERLINK("https://pbs.twimg.com/profile_images/918923548969725952/o7l7nRxd_normal.jpg","View")</f>
        <v>View</v>
      </c>
      <c r="P4022" s="27"/>
    </row>
    <row r="4023">
      <c r="A4023" s="14">
        <v>43031.25377314815</v>
      </c>
      <c r="B4023" s="20" t="str">
        <f>HYPERLINK("https://twitter.com/runmiyaji","@runmiyaji")</f>
        <v>@runmiyaji</v>
      </c>
      <c r="C4023" s="21" t="s">
        <v>9332</v>
      </c>
      <c r="D4023" s="21" t="s">
        <v>1642</v>
      </c>
      <c r="E4023" s="22" t="str">
        <f>HYPERLINK("https://twitter.com/runmiyaji/status/922448881677361153","922448881677361153")</f>
        <v>922448881677361153</v>
      </c>
      <c r="F4023" s="23" t="s">
        <v>43</v>
      </c>
      <c r="G4023" s="24">
        <v>24.0</v>
      </c>
      <c r="H4023" s="24">
        <v>44.0</v>
      </c>
      <c r="I4023" s="24">
        <v>199.0</v>
      </c>
      <c r="J4023" s="24">
        <v>0.0</v>
      </c>
      <c r="K4023" s="23" t="s">
        <v>34</v>
      </c>
      <c r="L4023" s="25">
        <v>43013.95972222222</v>
      </c>
      <c r="M4023" s="26" t="s">
        <v>9333</v>
      </c>
      <c r="N4023" s="26" t="s">
        <v>9334</v>
      </c>
      <c r="O4023" s="22" t="str">
        <f>HYPERLINK("https://pbs.twimg.com/profile_images/916573016565235712/naZ9jYyt_normal.jpg","View")</f>
        <v>View</v>
      </c>
      <c r="P4023" s="27"/>
    </row>
    <row r="4024">
      <c r="A4024" s="14">
        <v>43031.25381944445</v>
      </c>
      <c r="B4024" s="20" t="str">
        <f>HYPERLINK("https://twitter.com/7cqAzxLVqn5wyn3","@7cqAzxLVqn5wyn3")</f>
        <v>@7cqAzxLVqn5wyn3</v>
      </c>
      <c r="C4024" s="21" t="s">
        <v>9335</v>
      </c>
      <c r="D4024" s="21" t="s">
        <v>8782</v>
      </c>
      <c r="E4024" s="22" t="str">
        <f>HYPERLINK("https://twitter.com/7cqAzxLVqn5wyn3/status/922448898848731137","922448898848731137")</f>
        <v>922448898848731137</v>
      </c>
      <c r="F4024" s="23" t="s">
        <v>33</v>
      </c>
      <c r="G4024" s="24">
        <v>556.0</v>
      </c>
      <c r="H4024" s="24">
        <v>337.0</v>
      </c>
      <c r="I4024" s="24">
        <v>20.0</v>
      </c>
      <c r="J4024" s="24">
        <v>0.0</v>
      </c>
      <c r="K4024" s="23" t="s">
        <v>34</v>
      </c>
      <c r="L4024" s="25">
        <v>42972.177500000005</v>
      </c>
      <c r="M4024" s="26" t="s">
        <v>9336</v>
      </c>
      <c r="N4024" s="26" t="s">
        <v>9337</v>
      </c>
      <c r="O4024" s="22" t="str">
        <f>HYPERLINK("https://pbs.twimg.com/profile_images/901453507613544448/IRXIc2T0_normal.jpg","View")</f>
        <v>View</v>
      </c>
      <c r="P4024" s="27"/>
    </row>
    <row r="4025">
      <c r="A4025" s="14">
        <v>43031.25387731481</v>
      </c>
      <c r="B4025" s="20" t="str">
        <f>HYPERLINK("https://twitter.com/crustacean6","@crustacean6")</f>
        <v>@crustacean6</v>
      </c>
      <c r="C4025" s="21" t="s">
        <v>9338</v>
      </c>
      <c r="D4025" s="21" t="s">
        <v>1642</v>
      </c>
      <c r="E4025" s="22" t="str">
        <f>HYPERLINK("https://twitter.com/crustacean6/status/922448920374009856","922448920374009856")</f>
        <v>922448920374009856</v>
      </c>
      <c r="F4025" s="23" t="s">
        <v>55</v>
      </c>
      <c r="G4025" s="24">
        <v>517.0</v>
      </c>
      <c r="H4025" s="24">
        <v>848.0</v>
      </c>
      <c r="I4025" s="24">
        <v>199.0</v>
      </c>
      <c r="J4025" s="24">
        <v>0.0</v>
      </c>
      <c r="K4025" s="23" t="s">
        <v>34</v>
      </c>
      <c r="L4025" s="25">
        <v>41544.02652777778</v>
      </c>
      <c r="M4025" s="28"/>
      <c r="N4025" s="26" t="s">
        <v>9339</v>
      </c>
      <c r="O4025" s="22" t="str">
        <f>HYPERLINK("https://pbs.twimg.com/profile_images/875725670181027840/eUmGiOM8_normal.jpg","View")</f>
        <v>View</v>
      </c>
      <c r="P4025" s="27"/>
    </row>
    <row r="4026">
      <c r="A4026" s="14">
        <v>43031.253900462965</v>
      </c>
      <c r="B4026" s="20" t="str">
        <f>HYPERLINK("https://twitter.com/Regulus83","@Regulus83")</f>
        <v>@Regulus83</v>
      </c>
      <c r="C4026" s="21" t="s">
        <v>9340</v>
      </c>
      <c r="D4026" s="21" t="s">
        <v>513</v>
      </c>
      <c r="E4026" s="22" t="str">
        <f>HYPERLINK("https://twitter.com/Regulus83/status/922448927932039170","922448927932039170")</f>
        <v>922448927932039170</v>
      </c>
      <c r="F4026" s="23" t="s">
        <v>33</v>
      </c>
      <c r="G4026" s="24">
        <v>1095.0</v>
      </c>
      <c r="H4026" s="24">
        <v>1293.0</v>
      </c>
      <c r="I4026" s="24">
        <v>101.0</v>
      </c>
      <c r="J4026" s="24">
        <v>0.0</v>
      </c>
      <c r="K4026" s="23" t="s">
        <v>34</v>
      </c>
      <c r="L4026" s="25">
        <v>40633.22929398148</v>
      </c>
      <c r="M4026" s="28"/>
      <c r="N4026" s="26" t="s">
        <v>9341</v>
      </c>
      <c r="O4026" s="22" t="str">
        <f>HYPERLINK("https://pbs.twimg.com/profile_images/735069660710768641/QdWghz7z_normal.jpg","View")</f>
        <v>View</v>
      </c>
      <c r="P4026" s="27"/>
    </row>
    <row r="4027">
      <c r="A4027" s="14">
        <v>43031.25402777777</v>
      </c>
      <c r="B4027" s="20" t="str">
        <f>HYPERLINK("https://twitter.com/pBdDz5tSKyGPBCC","@pBdDz5tSKyGPBCC")</f>
        <v>@pBdDz5tSKyGPBCC</v>
      </c>
      <c r="C4027" s="21" t="s">
        <v>3426</v>
      </c>
      <c r="D4027" s="21" t="s">
        <v>9342</v>
      </c>
      <c r="E4027" s="22" t="str">
        <f>HYPERLINK("https://twitter.com/pBdDz5tSKyGPBCC/status/922448974325280774","922448974325280774")</f>
        <v>922448974325280774</v>
      </c>
      <c r="F4027" s="23" t="s">
        <v>33</v>
      </c>
      <c r="G4027" s="24">
        <v>454.0</v>
      </c>
      <c r="H4027" s="24">
        <v>994.0</v>
      </c>
      <c r="I4027" s="24">
        <v>6.0</v>
      </c>
      <c r="J4027" s="24">
        <v>0.0</v>
      </c>
      <c r="K4027" s="23" t="s">
        <v>34</v>
      </c>
      <c r="L4027" s="25">
        <v>42837.87670138889</v>
      </c>
      <c r="M4027" s="26" t="s">
        <v>3427</v>
      </c>
      <c r="N4027" s="26" t="s">
        <v>3428</v>
      </c>
      <c r="O4027" s="22" t="str">
        <f>HYPERLINK("https://pbs.twimg.com/profile_images/859852584609304576/Gjs-Vfav_normal.jpg","View")</f>
        <v>View</v>
      </c>
      <c r="P4027" s="27"/>
    </row>
    <row r="4028">
      <c r="A4028" s="14">
        <v>43031.254166666666</v>
      </c>
      <c r="B4028" s="20" t="str">
        <f>HYPERLINK("https://twitter.com/EllisInvesGroup","@EllisInvesGroup")</f>
        <v>@EllisInvesGroup</v>
      </c>
      <c r="C4028" s="21" t="s">
        <v>8952</v>
      </c>
      <c r="D4028" s="21" t="s">
        <v>9343</v>
      </c>
      <c r="E4028" s="22" t="str">
        <f>HYPERLINK("https://twitter.com/EllisInvesGroup/status/922449025357570048","922449025357570048")</f>
        <v>922449025357570048</v>
      </c>
      <c r="F4028" s="23" t="s">
        <v>427</v>
      </c>
      <c r="G4028" s="24">
        <v>192149.0</v>
      </c>
      <c r="H4028" s="24">
        <v>58682.0</v>
      </c>
      <c r="I4028" s="24">
        <v>0.0</v>
      </c>
      <c r="J4028" s="24">
        <v>0.0</v>
      </c>
      <c r="K4028" s="23" t="s">
        <v>34</v>
      </c>
      <c r="L4028" s="25">
        <v>39886.44366898148</v>
      </c>
      <c r="M4028" s="26" t="s">
        <v>8954</v>
      </c>
      <c r="N4028" s="26" t="s">
        <v>8955</v>
      </c>
      <c r="O4028" s="22" t="str">
        <f>HYPERLINK("https://pbs.twimg.com/profile_images/785459318908973056/mxrd1Z9n_normal.jpg","View")</f>
        <v>View</v>
      </c>
      <c r="P4028" s="27"/>
    </row>
    <row r="4029">
      <c r="A4029" s="14">
        <v>43031.25421296296</v>
      </c>
      <c r="B4029" s="20" t="str">
        <f>HYPERLINK("https://twitter.com/JAYANT136","@JAYANT136")</f>
        <v>@JAYANT136</v>
      </c>
      <c r="C4029" s="21" t="s">
        <v>9344</v>
      </c>
      <c r="D4029" s="21" t="s">
        <v>42</v>
      </c>
      <c r="E4029" s="22" t="str">
        <f>HYPERLINK("https://twitter.com/JAYANT136/status/922449040230424576","922449040230424576")</f>
        <v>922449040230424576</v>
      </c>
      <c r="F4029" s="23" t="s">
        <v>43</v>
      </c>
      <c r="G4029" s="24">
        <v>82.0</v>
      </c>
      <c r="H4029" s="24">
        <v>144.0</v>
      </c>
      <c r="I4029" s="24">
        <v>8501.0</v>
      </c>
      <c r="J4029" s="24">
        <v>0.0</v>
      </c>
      <c r="K4029" s="23" t="s">
        <v>34</v>
      </c>
      <c r="L4029" s="25">
        <v>40614.87525462963</v>
      </c>
      <c r="M4029" s="28"/>
      <c r="N4029" s="28"/>
      <c r="O4029" s="22" t="str">
        <f>HYPERLINK("https://pbs.twimg.com/profile_images/713230203783254017/v3A2cvhF_normal.jpg","View")</f>
        <v>View</v>
      </c>
      <c r="P4029" s="27"/>
    </row>
    <row r="4030">
      <c r="A4030" s="14">
        <v>43031.25429398148</v>
      </c>
      <c r="B4030" s="20" t="str">
        <f>HYPERLINK("https://twitter.com/Spanishcountry","@Spanishcountry")</f>
        <v>@Spanishcountry</v>
      </c>
      <c r="C4030" s="21" t="s">
        <v>9345</v>
      </c>
      <c r="D4030" s="21" t="s">
        <v>9346</v>
      </c>
      <c r="E4030" s="22" t="str">
        <f>HYPERLINK("https://twitter.com/Spanishcountry/status/922449071826235392","922449071826235392")</f>
        <v>922449071826235392</v>
      </c>
      <c r="F4030" s="23" t="s">
        <v>55</v>
      </c>
      <c r="G4030" s="24">
        <v>667.0</v>
      </c>
      <c r="H4030" s="24">
        <v>845.0</v>
      </c>
      <c r="I4030" s="24">
        <v>0.0</v>
      </c>
      <c r="J4030" s="24">
        <v>0.0</v>
      </c>
      <c r="K4030" s="23" t="s">
        <v>34</v>
      </c>
      <c r="L4030" s="25">
        <v>40074.44260416667</v>
      </c>
      <c r="M4030" s="26" t="s">
        <v>9347</v>
      </c>
      <c r="N4030" s="26" t="s">
        <v>9348</v>
      </c>
      <c r="O4030" s="22" t="str">
        <f>HYPERLINK("https://pbs.twimg.com/profile_images/854434970269609985/QH3-9K9u_normal.jpg","View")</f>
        <v>View</v>
      </c>
      <c r="P4030" s="27"/>
    </row>
    <row r="4031">
      <c r="A4031" s="14">
        <v>43031.25434027778</v>
      </c>
      <c r="B4031" s="20" t="str">
        <f>HYPERLINK("https://twitter.com/OmSingh61","@OmSingh61")</f>
        <v>@OmSingh61</v>
      </c>
      <c r="C4031" s="21" t="s">
        <v>9349</v>
      </c>
      <c r="D4031" s="21" t="s">
        <v>9350</v>
      </c>
      <c r="E4031" s="22" t="str">
        <f>HYPERLINK("https://twitter.com/OmSingh61/status/922449087739215877","922449087739215877")</f>
        <v>922449087739215877</v>
      </c>
      <c r="F4031" s="23" t="s">
        <v>33</v>
      </c>
      <c r="G4031" s="24">
        <v>7.0</v>
      </c>
      <c r="H4031" s="24">
        <v>41.0</v>
      </c>
      <c r="I4031" s="24">
        <v>0.0</v>
      </c>
      <c r="J4031" s="24">
        <v>0.0</v>
      </c>
      <c r="K4031" s="23" t="s">
        <v>34</v>
      </c>
      <c r="L4031" s="25">
        <v>41267.37799768519</v>
      </c>
      <c r="M4031" s="26" t="s">
        <v>4605</v>
      </c>
      <c r="N4031" s="26" t="s">
        <v>9351</v>
      </c>
      <c r="O4031" s="22" t="str">
        <f>HYPERLINK("https://pbs.twimg.com/profile_images/725202507392118784/jvtQE2Ez_normal.jpg","View")</f>
        <v>View</v>
      </c>
      <c r="P4031" s="27"/>
    </row>
    <row r="4032">
      <c r="A4032" s="14">
        <v>43031.25436342593</v>
      </c>
      <c r="B4032" s="20" t="str">
        <f>HYPERLINK("https://twitter.com/sakura2675kiku","@sakura2675kiku")</f>
        <v>@sakura2675kiku</v>
      </c>
      <c r="C4032" s="21" t="s">
        <v>9352</v>
      </c>
      <c r="D4032" s="21" t="s">
        <v>42</v>
      </c>
      <c r="E4032" s="22" t="str">
        <f>HYPERLINK("https://twitter.com/sakura2675kiku/status/922449094424981504","922449094424981504")</f>
        <v>922449094424981504</v>
      </c>
      <c r="F4032" s="23" t="s">
        <v>33</v>
      </c>
      <c r="G4032" s="24">
        <v>231.0</v>
      </c>
      <c r="H4032" s="24">
        <v>205.0</v>
      </c>
      <c r="I4032" s="24">
        <v>8501.0</v>
      </c>
      <c r="J4032" s="24">
        <v>0.0</v>
      </c>
      <c r="K4032" s="23" t="s">
        <v>34</v>
      </c>
      <c r="L4032" s="25">
        <v>42196.127291666664</v>
      </c>
      <c r="M4032" s="26" t="s">
        <v>9353</v>
      </c>
      <c r="N4032" s="26" t="s">
        <v>9354</v>
      </c>
      <c r="O4032" s="22" t="str">
        <f>HYPERLINK("https://abs.twimg.com/sticky/default_profile_images/default_profile_normal.png","View")</f>
        <v>View</v>
      </c>
      <c r="P4032" s="27"/>
    </row>
    <row r="4033">
      <c r="A4033" s="14">
        <v>43031.25436342593</v>
      </c>
      <c r="B4033" s="20" t="str">
        <f>HYPERLINK("https://twitter.com/seika_ny","@seika_ny")</f>
        <v>@seika_ny</v>
      </c>
      <c r="C4033" s="21" t="s">
        <v>2434</v>
      </c>
      <c r="D4033" s="21" t="s">
        <v>1642</v>
      </c>
      <c r="E4033" s="22" t="str">
        <f>HYPERLINK("https://twitter.com/seika_ny/status/922449095209377792","922449095209377792")</f>
        <v>922449095209377792</v>
      </c>
      <c r="F4033" s="23" t="s">
        <v>39</v>
      </c>
      <c r="G4033" s="24">
        <v>37.0</v>
      </c>
      <c r="H4033" s="24">
        <v>182.0</v>
      </c>
      <c r="I4033" s="24">
        <v>199.0</v>
      </c>
      <c r="J4033" s="24">
        <v>0.0</v>
      </c>
      <c r="K4033" s="23" t="s">
        <v>34</v>
      </c>
      <c r="L4033" s="25">
        <v>39939.382986111115</v>
      </c>
      <c r="M4033" s="28"/>
      <c r="N4033" s="26" t="s">
        <v>9355</v>
      </c>
      <c r="O4033" s="22" t="str">
        <f>HYPERLINK("https://pbs.twimg.com/profile_images/774186121802555392/9u_jT3hN_normal.jpg","View")</f>
        <v>View</v>
      </c>
      <c r="P4033" s="27"/>
    </row>
    <row r="4034">
      <c r="A4034" s="14">
        <v>43031.25449074074</v>
      </c>
      <c r="B4034" s="20" t="str">
        <f>HYPERLINK("https://twitter.com/prashant4239","@prashant4239")</f>
        <v>@prashant4239</v>
      </c>
      <c r="C4034" s="21" t="s">
        <v>9356</v>
      </c>
      <c r="D4034" s="21" t="s">
        <v>513</v>
      </c>
      <c r="E4034" s="22" t="str">
        <f>HYPERLINK("https://twitter.com/prashant4239/status/922449140738609152","922449140738609152")</f>
        <v>922449140738609152</v>
      </c>
      <c r="F4034" s="23" t="s">
        <v>3895</v>
      </c>
      <c r="G4034" s="24">
        <v>85.0</v>
      </c>
      <c r="H4034" s="24">
        <v>45.0</v>
      </c>
      <c r="I4034" s="24">
        <v>101.0</v>
      </c>
      <c r="J4034" s="24">
        <v>0.0</v>
      </c>
      <c r="K4034" s="23" t="s">
        <v>34</v>
      </c>
      <c r="L4034" s="25">
        <v>40432.417291666665</v>
      </c>
      <c r="M4034" s="28"/>
      <c r="N4034" s="28"/>
      <c r="O4034" s="22" t="str">
        <f>HYPERLINK("https://pbs.twimg.com/profile_images/669769364758011904/rqRj-plb_normal.jpg","View")</f>
        <v>View</v>
      </c>
      <c r="P4034" s="27"/>
    </row>
    <row r="4035">
      <c r="A4035" s="14">
        <v>43031.25449074074</v>
      </c>
      <c r="B4035" s="20" t="str">
        <f>HYPERLINK("https://twitter.com/yadavpuneet","@yadavpuneet")</f>
        <v>@yadavpuneet</v>
      </c>
      <c r="C4035" s="21" t="s">
        <v>9357</v>
      </c>
      <c r="D4035" s="21" t="s">
        <v>42</v>
      </c>
      <c r="E4035" s="22" t="str">
        <f>HYPERLINK("https://twitter.com/yadavpuneet/status/922449142789500929","922449142789500929")</f>
        <v>922449142789500929</v>
      </c>
      <c r="F4035" s="23" t="s">
        <v>39</v>
      </c>
      <c r="G4035" s="24">
        <v>275.0</v>
      </c>
      <c r="H4035" s="24">
        <v>110.0</v>
      </c>
      <c r="I4035" s="24">
        <v>8501.0</v>
      </c>
      <c r="J4035" s="24">
        <v>0.0</v>
      </c>
      <c r="K4035" s="23" t="s">
        <v>34</v>
      </c>
      <c r="L4035" s="25">
        <v>39943.4675462963</v>
      </c>
      <c r="M4035" s="26" t="s">
        <v>96</v>
      </c>
      <c r="N4035" s="26" t="s">
        <v>9358</v>
      </c>
      <c r="O4035" s="22" t="str">
        <f>HYPERLINK("https://pbs.twimg.com/profile_images/613396212985651200/0o0vSSPD_normal.jpg","View")</f>
        <v>View</v>
      </c>
      <c r="P4035" s="27"/>
    </row>
    <row r="4036">
      <c r="A4036" s="14">
        <v>43031.25458333333</v>
      </c>
      <c r="B4036" s="20" t="str">
        <f>HYPERLINK("https://twitter.com/AmerPride777","@AmerPride777")</f>
        <v>@AmerPride777</v>
      </c>
      <c r="C4036" s="21" t="s">
        <v>9359</v>
      </c>
      <c r="D4036" s="21" t="s">
        <v>42</v>
      </c>
      <c r="E4036" s="22" t="str">
        <f>HYPERLINK("https://twitter.com/AmerPride777/status/922449175836491776","922449175836491776")</f>
        <v>922449175836491776</v>
      </c>
      <c r="F4036" s="23" t="s">
        <v>33</v>
      </c>
      <c r="G4036" s="24">
        <v>3326.0</v>
      </c>
      <c r="H4036" s="24">
        <v>2245.0</v>
      </c>
      <c r="I4036" s="24">
        <v>8501.0</v>
      </c>
      <c r="J4036" s="24">
        <v>0.0</v>
      </c>
      <c r="K4036" s="23" t="s">
        <v>34</v>
      </c>
      <c r="L4036" s="25">
        <v>42582.328043981484</v>
      </c>
      <c r="M4036" s="28"/>
      <c r="N4036" s="26" t="s">
        <v>9360</v>
      </c>
      <c r="O4036" s="22" t="str">
        <f>HYPERLINK("https://pbs.twimg.com/profile_images/770059860864008193/gyCiVI-B_normal.jpg","View")</f>
        <v>View</v>
      </c>
      <c r="P4036" s="27"/>
    </row>
    <row r="4037">
      <c r="A4037" s="14">
        <v>43031.25458333333</v>
      </c>
      <c r="B4037" s="20" t="str">
        <f>HYPERLINK("https://twitter.com/Rastra_Prahari","@Rastra_Prahari")</f>
        <v>@Rastra_Prahari</v>
      </c>
      <c r="C4037" s="21" t="s">
        <v>9361</v>
      </c>
      <c r="D4037" s="21" t="s">
        <v>42</v>
      </c>
      <c r="E4037" s="22" t="str">
        <f>HYPERLINK("https://twitter.com/Rastra_Prahari/status/922449175978983424","922449175978983424")</f>
        <v>922449175978983424</v>
      </c>
      <c r="F4037" s="23" t="s">
        <v>33</v>
      </c>
      <c r="G4037" s="24">
        <v>46.0</v>
      </c>
      <c r="H4037" s="24">
        <v>112.0</v>
      </c>
      <c r="I4037" s="24">
        <v>8501.0</v>
      </c>
      <c r="J4037" s="24">
        <v>0.0</v>
      </c>
      <c r="K4037" s="23" t="s">
        <v>34</v>
      </c>
      <c r="L4037" s="25">
        <v>42814.93178240741</v>
      </c>
      <c r="M4037" s="28"/>
      <c r="N4037" s="26" t="s">
        <v>9362</v>
      </c>
      <c r="O4037" s="22" t="str">
        <f>HYPERLINK("https://pbs.twimg.com/profile_images/844057526610071553/Gu63A7cC_normal.jpg","View")</f>
        <v>View</v>
      </c>
      <c r="P4037" s="27"/>
    </row>
    <row r="4038">
      <c r="A4038" s="14">
        <v>43031.254629629635</v>
      </c>
      <c r="B4038" s="20" t="str">
        <f>HYPERLINK("https://twitter.com/SpeakerAnil","@SpeakerAnil")</f>
        <v>@SpeakerAnil</v>
      </c>
      <c r="C4038" s="21" t="s">
        <v>9363</v>
      </c>
      <c r="D4038" s="21" t="s">
        <v>42</v>
      </c>
      <c r="E4038" s="22" t="str">
        <f>HYPERLINK("https://twitter.com/SpeakerAnil/status/922449194543038464","922449194543038464")</f>
        <v>922449194543038464</v>
      </c>
      <c r="F4038" s="23" t="s">
        <v>33</v>
      </c>
      <c r="G4038" s="24">
        <v>417.0</v>
      </c>
      <c r="H4038" s="24">
        <v>81.0</v>
      </c>
      <c r="I4038" s="24">
        <v>8501.0</v>
      </c>
      <c r="J4038" s="24">
        <v>0.0</v>
      </c>
      <c r="K4038" s="23" t="s">
        <v>34</v>
      </c>
      <c r="L4038" s="25">
        <v>42727.105578703704</v>
      </c>
      <c r="M4038" s="26" t="s">
        <v>575</v>
      </c>
      <c r="N4038" s="26" t="s">
        <v>9364</v>
      </c>
      <c r="O4038" s="22" t="str">
        <f>HYPERLINK("https://pbs.twimg.com/profile_images/915996183595687936/9_wjpis9_normal.jpg","View")</f>
        <v>View</v>
      </c>
      <c r="P4038" s="27"/>
    </row>
    <row r="4039">
      <c r="A4039" s="14">
        <v>43031.254641203705</v>
      </c>
      <c r="B4039" s="20" t="str">
        <f>HYPERLINK("https://twitter.com/reach_anuradha","@reach_anuradha")</f>
        <v>@reach_anuradha</v>
      </c>
      <c r="C4039" s="21" t="s">
        <v>9365</v>
      </c>
      <c r="D4039" s="21" t="s">
        <v>54</v>
      </c>
      <c r="E4039" s="22" t="str">
        <f>HYPERLINK("https://twitter.com/reach_anuradha/status/922449197923631105","922449197923631105")</f>
        <v>922449197923631105</v>
      </c>
      <c r="F4039" s="23" t="s">
        <v>43</v>
      </c>
      <c r="G4039" s="24">
        <v>457.0</v>
      </c>
      <c r="H4039" s="24">
        <v>806.0</v>
      </c>
      <c r="I4039" s="24">
        <v>21.0</v>
      </c>
      <c r="J4039" s="24">
        <v>0.0</v>
      </c>
      <c r="K4039" s="23" t="s">
        <v>34</v>
      </c>
      <c r="L4039" s="25">
        <v>41567.31903935185</v>
      </c>
      <c r="M4039" s="28"/>
      <c r="N4039" s="26" t="s">
        <v>9366</v>
      </c>
      <c r="O4039" s="22" t="str">
        <f>HYPERLINK("https://pbs.twimg.com/profile_images/378800000623687558/cca6e365132cf82fbb24e5275b6733ab_normal.jpeg","View")</f>
        <v>View</v>
      </c>
      <c r="P4039" s="27"/>
    </row>
    <row r="4040">
      <c r="A4040" s="14">
        <v>43031.25467592593</v>
      </c>
      <c r="B4040" s="20" t="str">
        <f>HYPERLINK("https://twitter.com/Shiv_Pargonde","@Shiv_Pargonde")</f>
        <v>@Shiv_Pargonde</v>
      </c>
      <c r="C4040" s="21" t="s">
        <v>9367</v>
      </c>
      <c r="D4040" s="21" t="s">
        <v>42</v>
      </c>
      <c r="E4040" s="22" t="str">
        <f>HYPERLINK("https://twitter.com/Shiv_Pargonde/status/922449210489917440","922449210489917440")</f>
        <v>922449210489917440</v>
      </c>
      <c r="F4040" s="23" t="s">
        <v>43</v>
      </c>
      <c r="G4040" s="24">
        <v>41.0</v>
      </c>
      <c r="H4040" s="24">
        <v>82.0</v>
      </c>
      <c r="I4040" s="24">
        <v>8501.0</v>
      </c>
      <c r="J4040" s="24">
        <v>0.0</v>
      </c>
      <c r="K4040" s="23" t="s">
        <v>34</v>
      </c>
      <c r="L4040" s="25">
        <v>40238.015914351854</v>
      </c>
      <c r="M4040" s="26" t="s">
        <v>531</v>
      </c>
      <c r="N4040" s="28"/>
      <c r="O4040" s="22" t="str">
        <f>HYPERLINK("https://pbs.twimg.com/profile_images/471348534277447681/aWYDjp19_normal.jpeg","View")</f>
        <v>View</v>
      </c>
      <c r="P4040" s="27"/>
    </row>
    <row r="4041">
      <c r="A4041" s="14">
        <v>43031.25471064815</v>
      </c>
      <c r="B4041" s="20" t="str">
        <f>HYPERLINK("https://twitter.com/mako114106","@mako114106")</f>
        <v>@mako114106</v>
      </c>
      <c r="C4041" s="21" t="s">
        <v>9368</v>
      </c>
      <c r="D4041" s="21" t="s">
        <v>2555</v>
      </c>
      <c r="E4041" s="22" t="str">
        <f>HYPERLINK("https://twitter.com/mako114106/status/922449222854569985","922449222854569985")</f>
        <v>922449222854569985</v>
      </c>
      <c r="F4041" s="23" t="s">
        <v>39</v>
      </c>
      <c r="G4041" s="24">
        <v>25.0</v>
      </c>
      <c r="H4041" s="24">
        <v>107.0</v>
      </c>
      <c r="I4041" s="24">
        <v>58.0</v>
      </c>
      <c r="J4041" s="24">
        <v>0.0</v>
      </c>
      <c r="K4041" s="23" t="s">
        <v>34</v>
      </c>
      <c r="L4041" s="25">
        <v>42648.25546296296</v>
      </c>
      <c r="M4041" s="26" t="s">
        <v>8012</v>
      </c>
      <c r="N4041" s="26" t="s">
        <v>9369</v>
      </c>
      <c r="O4041" s="22" t="str">
        <f>HYPERLINK("https://pbs.twimg.com/profile_images/920086101741658112/SpRZEyPX_normal.jpg","View")</f>
        <v>View</v>
      </c>
      <c r="P4041" s="27"/>
    </row>
    <row r="4042">
      <c r="A4042" s="14">
        <v>43031.25472222222</v>
      </c>
      <c r="B4042" s="20" t="str">
        <f>HYPERLINK("https://twitter.com/nikunj_mall","@nikunj_mall")</f>
        <v>@nikunj_mall</v>
      </c>
      <c r="C4042" s="21" t="s">
        <v>9370</v>
      </c>
      <c r="D4042" s="21" t="s">
        <v>42</v>
      </c>
      <c r="E4042" s="22" t="str">
        <f>HYPERLINK("https://twitter.com/nikunj_mall/status/922449224410763264","922449224410763264")</f>
        <v>922449224410763264</v>
      </c>
      <c r="F4042" s="23" t="s">
        <v>33</v>
      </c>
      <c r="G4042" s="24">
        <v>21.0</v>
      </c>
      <c r="H4042" s="24">
        <v>154.0</v>
      </c>
      <c r="I4042" s="24">
        <v>8501.0</v>
      </c>
      <c r="J4042" s="24">
        <v>0.0</v>
      </c>
      <c r="K4042" s="23" t="s">
        <v>34</v>
      </c>
      <c r="L4042" s="25">
        <v>42383.32809027778</v>
      </c>
      <c r="M4042" s="28"/>
      <c r="N4042" s="28"/>
      <c r="O4042" s="22" t="str">
        <f>HYPERLINK("https://abs.twimg.com/sticky/default_profile_images/default_profile_normal.png","View")</f>
        <v>View</v>
      </c>
      <c r="P4042" s="27"/>
    </row>
    <row r="4043">
      <c r="A4043" s="14">
        <v>43031.254803240736</v>
      </c>
      <c r="B4043" s="20" t="str">
        <f>HYPERLINK("https://twitter.com/bansei01","@bansei01")</f>
        <v>@bansei01</v>
      </c>
      <c r="C4043" s="21" t="s">
        <v>9371</v>
      </c>
      <c r="D4043" s="21" t="s">
        <v>42</v>
      </c>
      <c r="E4043" s="22" t="str">
        <f>HYPERLINK("https://twitter.com/bansei01/status/922449256513810432","922449256513810432")</f>
        <v>922449256513810432</v>
      </c>
      <c r="F4043" s="23" t="s">
        <v>39</v>
      </c>
      <c r="G4043" s="24">
        <v>1983.0</v>
      </c>
      <c r="H4043" s="24">
        <v>2726.0</v>
      </c>
      <c r="I4043" s="24">
        <v>8501.0</v>
      </c>
      <c r="J4043" s="24">
        <v>0.0</v>
      </c>
      <c r="K4043" s="23" t="s">
        <v>34</v>
      </c>
      <c r="L4043" s="25">
        <v>40317.449537037035</v>
      </c>
      <c r="M4043" s="28"/>
      <c r="N4043" s="28"/>
      <c r="O4043" s="22" t="str">
        <f>HYPERLINK("https://pbs.twimg.com/profile_images/378800000582271201/d27993c13183f5c076c2ab95eef7c085_normal.jpeg","View")</f>
        <v>View</v>
      </c>
      <c r="P4043" s="27"/>
    </row>
    <row r="4044">
      <c r="A4044" s="14">
        <v>43031.254907407405</v>
      </c>
      <c r="B4044" s="20" t="str">
        <f>HYPERLINK("https://twitter.com/Peaches89652","@Peaches89652")</f>
        <v>@Peaches89652</v>
      </c>
      <c r="C4044" s="21" t="s">
        <v>9372</v>
      </c>
      <c r="D4044" s="21" t="s">
        <v>2369</v>
      </c>
      <c r="E4044" s="22" t="str">
        <f>HYPERLINK("https://twitter.com/Peaches89652/status/922449292526346240","922449292526346240")</f>
        <v>922449292526346240</v>
      </c>
      <c r="F4044" s="23" t="s">
        <v>33</v>
      </c>
      <c r="G4044" s="24">
        <v>59.0</v>
      </c>
      <c r="H4044" s="24">
        <v>2295.0</v>
      </c>
      <c r="I4044" s="24">
        <v>23.0</v>
      </c>
      <c r="J4044" s="24">
        <v>0.0</v>
      </c>
      <c r="K4044" s="23" t="s">
        <v>34</v>
      </c>
      <c r="L4044" s="25">
        <v>40933.48315972222</v>
      </c>
      <c r="M4044" s="26" t="s">
        <v>9373</v>
      </c>
      <c r="N4044" s="28"/>
      <c r="O4044" s="22" t="str">
        <f>HYPERLINK("https://pbs.twimg.com/profile_images/770337881751744513/Y5-80J78_normal.jpg","View")</f>
        <v>View</v>
      </c>
      <c r="P4044" s="27"/>
    </row>
    <row r="4045">
      <c r="A4045" s="14">
        <v>43031.25494212963</v>
      </c>
      <c r="B4045" s="20" t="str">
        <f>HYPERLINK("https://twitter.com/owuoraustin","@owuoraustin")</f>
        <v>@owuoraustin</v>
      </c>
      <c r="C4045" s="21" t="s">
        <v>9374</v>
      </c>
      <c r="D4045" s="21" t="s">
        <v>32</v>
      </c>
      <c r="E4045" s="22" t="str">
        <f>HYPERLINK("https://twitter.com/owuoraustin/status/922449305155391488","922449305155391488")</f>
        <v>922449305155391488</v>
      </c>
      <c r="F4045" s="23" t="s">
        <v>33</v>
      </c>
      <c r="G4045" s="24">
        <v>798.0</v>
      </c>
      <c r="H4045" s="24">
        <v>1266.0</v>
      </c>
      <c r="I4045" s="24">
        <v>471.0</v>
      </c>
      <c r="J4045" s="24">
        <v>0.0</v>
      </c>
      <c r="K4045" s="23" t="s">
        <v>34</v>
      </c>
      <c r="L4045" s="25">
        <v>40704.246296296296</v>
      </c>
      <c r="M4045" s="26" t="s">
        <v>385</v>
      </c>
      <c r="N4045" s="26" t="s">
        <v>9375</v>
      </c>
      <c r="O4045" s="22" t="str">
        <f>HYPERLINK("https://pbs.twimg.com/profile_images/894565954256031744/NrMB0ALZ_normal.jpg","View")</f>
        <v>View</v>
      </c>
      <c r="P4045" s="27"/>
    </row>
    <row r="4046">
      <c r="A4046" s="14">
        <v>43031.25503472222</v>
      </c>
      <c r="B4046" s="20" t="str">
        <f>HYPERLINK("https://twitter.com/Mr_AlVil","@Mr_AlVil")</f>
        <v>@Mr_AlVil</v>
      </c>
      <c r="C4046" s="21" t="s">
        <v>9376</v>
      </c>
      <c r="D4046" s="21" t="s">
        <v>9377</v>
      </c>
      <c r="E4046" s="22" t="str">
        <f>HYPERLINK("https://twitter.com/Mr_AlVil/status/922449337782808576","922449337782808576")</f>
        <v>922449337782808576</v>
      </c>
      <c r="F4046" s="23" t="s">
        <v>187</v>
      </c>
      <c r="G4046" s="24">
        <v>353.0</v>
      </c>
      <c r="H4046" s="24">
        <v>51.0</v>
      </c>
      <c r="I4046" s="24">
        <v>0.0</v>
      </c>
      <c r="J4046" s="24">
        <v>0.0</v>
      </c>
      <c r="K4046" s="23" t="s">
        <v>34</v>
      </c>
      <c r="L4046" s="25">
        <v>40205.53454861111</v>
      </c>
      <c r="M4046" s="26" t="s">
        <v>9378</v>
      </c>
      <c r="N4046" s="26" t="s">
        <v>9379</v>
      </c>
      <c r="O4046" s="22" t="str">
        <f>HYPERLINK("https://pbs.twimg.com/profile_images/857577668967108609/KAXMKfpy_normal.jpg","View")</f>
        <v>View</v>
      </c>
      <c r="P4046" s="27"/>
    </row>
    <row r="4047">
      <c r="A4047" s="14">
        <v>43031.25515046297</v>
      </c>
      <c r="B4047" s="20" t="str">
        <f>HYPERLINK("https://twitter.com/KartikAthreya","@KartikAthreya")</f>
        <v>@KartikAthreya</v>
      </c>
      <c r="C4047" s="21" t="s">
        <v>9380</v>
      </c>
      <c r="D4047" s="21" t="s">
        <v>42</v>
      </c>
      <c r="E4047" s="22" t="str">
        <f>HYPERLINK("https://twitter.com/KartikAthreya/status/922449381495783424","922449381495783424")</f>
        <v>922449381495783424</v>
      </c>
      <c r="F4047" s="23" t="s">
        <v>39</v>
      </c>
      <c r="G4047" s="24">
        <v>125.0</v>
      </c>
      <c r="H4047" s="24">
        <v>122.0</v>
      </c>
      <c r="I4047" s="24">
        <v>8501.0</v>
      </c>
      <c r="J4047" s="24">
        <v>0.0</v>
      </c>
      <c r="K4047" s="23" t="s">
        <v>34</v>
      </c>
      <c r="L4047" s="25">
        <v>41544.84773148148</v>
      </c>
      <c r="M4047" s="28"/>
      <c r="N4047" s="26" t="s">
        <v>9381</v>
      </c>
      <c r="O4047" s="22" t="str">
        <f>HYPERLINK("https://pbs.twimg.com/profile_images/378800000517446377/5175480c455e1ac1426efa13e177e93e_normal.jpeg","View")</f>
        <v>View</v>
      </c>
      <c r="P4047" s="27"/>
    </row>
    <row r="4048">
      <c r="A4048" s="14">
        <v>43031.25515046297</v>
      </c>
      <c r="B4048" s="20" t="str">
        <f>HYPERLINK("https://twitter.com/all_newsonline1","@all_newsonline1")</f>
        <v>@all_newsonline1</v>
      </c>
      <c r="C4048" s="21" t="s">
        <v>9382</v>
      </c>
      <c r="D4048" s="21" t="s">
        <v>9383</v>
      </c>
      <c r="E4048" s="22" t="str">
        <f>HYPERLINK("https://twitter.com/all_newsonline1/status/922449383098126337","922449383098126337")</f>
        <v>922449383098126337</v>
      </c>
      <c r="F4048" s="23" t="s">
        <v>187</v>
      </c>
      <c r="G4048" s="24">
        <v>894.0</v>
      </c>
      <c r="H4048" s="24">
        <v>589.0</v>
      </c>
      <c r="I4048" s="24">
        <v>0.0</v>
      </c>
      <c r="J4048" s="24">
        <v>0.0</v>
      </c>
      <c r="K4048" s="23" t="s">
        <v>34</v>
      </c>
      <c r="L4048" s="25">
        <v>42724.341574074075</v>
      </c>
      <c r="M4048" s="28"/>
      <c r="N4048" s="26" t="s">
        <v>9384</v>
      </c>
      <c r="O4048" s="22" t="str">
        <f>HYPERLINK("https://pbs.twimg.com/profile_images/811251050716004352/I8BfZXTc_normal.jpg","View")</f>
        <v>View</v>
      </c>
      <c r="P4048" s="27"/>
    </row>
    <row r="4049">
      <c r="A4049" s="14">
        <v>43031.25534722222</v>
      </c>
      <c r="B4049" s="20" t="str">
        <f>HYPERLINK("https://twitter.com/Ompraka56232100","@Ompraka56232100")</f>
        <v>@Ompraka56232100</v>
      </c>
      <c r="C4049" s="21" t="s">
        <v>9385</v>
      </c>
      <c r="D4049" s="21" t="s">
        <v>42</v>
      </c>
      <c r="E4049" s="22" t="str">
        <f>HYPERLINK("https://twitter.com/Ompraka56232100/status/922449452178202624","922449452178202624")</f>
        <v>922449452178202624</v>
      </c>
      <c r="F4049" s="23" t="s">
        <v>33</v>
      </c>
      <c r="G4049" s="24">
        <v>0.0</v>
      </c>
      <c r="H4049" s="24">
        <v>79.0</v>
      </c>
      <c r="I4049" s="24">
        <v>8501.0</v>
      </c>
      <c r="J4049" s="24">
        <v>0.0</v>
      </c>
      <c r="K4049" s="23" t="s">
        <v>34</v>
      </c>
      <c r="L4049" s="25">
        <v>43029.355844907404</v>
      </c>
      <c r="M4049" s="28"/>
      <c r="N4049" s="28"/>
      <c r="O4049" s="22" t="str">
        <f>HYPERLINK("https://abs.twimg.com/sticky/default_profile_images/default_profile_normal.png","View")</f>
        <v>View</v>
      </c>
      <c r="P4049" s="27"/>
    </row>
    <row r="4050">
      <c r="A4050" s="14">
        <v>43031.25534722222</v>
      </c>
      <c r="B4050" s="20" t="str">
        <f>HYPERLINK("https://twitter.com/ymreiser1","@ymreiser1")</f>
        <v>@ymreiser1</v>
      </c>
      <c r="C4050" s="21" t="s">
        <v>9386</v>
      </c>
      <c r="D4050" s="21" t="s">
        <v>8553</v>
      </c>
      <c r="E4050" s="22" t="str">
        <f>HYPERLINK("https://twitter.com/ymreiser1/status/922449452811436032","922449452811436032")</f>
        <v>922449452811436032</v>
      </c>
      <c r="F4050" s="23" t="s">
        <v>55</v>
      </c>
      <c r="G4050" s="24">
        <v>318.0</v>
      </c>
      <c r="H4050" s="24">
        <v>479.0</v>
      </c>
      <c r="I4050" s="24">
        <v>31.0</v>
      </c>
      <c r="J4050" s="24">
        <v>0.0</v>
      </c>
      <c r="K4050" s="23" t="s">
        <v>34</v>
      </c>
      <c r="L4050" s="25">
        <v>42511.59506944445</v>
      </c>
      <c r="M4050" s="28"/>
      <c r="N4050" s="28"/>
      <c r="O4050" s="22" t="str">
        <f>HYPERLINK("https://pbs.twimg.com/profile_images/734138346209873922/gnwPGs10_normal.jpg","View")</f>
        <v>View</v>
      </c>
      <c r="P4050" s="27"/>
    </row>
    <row r="4051">
      <c r="A4051" s="14">
        <v>43031.25545138889</v>
      </c>
      <c r="B4051" s="20" t="str">
        <f>HYPERLINK("https://twitter.com/SeemaSa31272207","@SeemaSa31272207")</f>
        <v>@SeemaSa31272207</v>
      </c>
      <c r="C4051" s="21" t="s">
        <v>9387</v>
      </c>
      <c r="D4051" s="21" t="s">
        <v>42</v>
      </c>
      <c r="E4051" s="22" t="str">
        <f>HYPERLINK("https://twitter.com/SeemaSa31272207/status/922449489251639297","922449489251639297")</f>
        <v>922449489251639297</v>
      </c>
      <c r="F4051" s="23" t="s">
        <v>33</v>
      </c>
      <c r="G4051" s="24">
        <v>30.0</v>
      </c>
      <c r="H4051" s="24">
        <v>128.0</v>
      </c>
      <c r="I4051" s="24">
        <v>8501.0</v>
      </c>
      <c r="J4051" s="24">
        <v>0.0</v>
      </c>
      <c r="K4051" s="23" t="s">
        <v>34</v>
      </c>
      <c r="L4051" s="25">
        <v>42937.23501157407</v>
      </c>
      <c r="M4051" s="26" t="s">
        <v>9388</v>
      </c>
      <c r="N4051" s="26" t="s">
        <v>9389</v>
      </c>
      <c r="O4051" s="22" t="str">
        <f>HYPERLINK("https://pbs.twimg.com/profile_images/890438656799907841/pI8XycTb_normal.jpg","View")</f>
        <v>View</v>
      </c>
      <c r="P4051" s="27"/>
    </row>
    <row r="4052">
      <c r="A4052" s="14">
        <v>43031.25554398148</v>
      </c>
      <c r="B4052" s="20" t="str">
        <f>HYPERLINK("https://twitter.com/kaushalsingla2k","@kaushalsingla2k")</f>
        <v>@kaushalsingla2k</v>
      </c>
      <c r="C4052" s="21" t="s">
        <v>9390</v>
      </c>
      <c r="D4052" s="21" t="s">
        <v>42</v>
      </c>
      <c r="E4052" s="22" t="str">
        <f>HYPERLINK("https://twitter.com/kaushalsingla2k/status/922449522487304194","922449522487304194")</f>
        <v>922449522487304194</v>
      </c>
      <c r="F4052" s="23" t="s">
        <v>39</v>
      </c>
      <c r="G4052" s="24">
        <v>508.0</v>
      </c>
      <c r="H4052" s="24">
        <v>2349.0</v>
      </c>
      <c r="I4052" s="24">
        <v>8501.0</v>
      </c>
      <c r="J4052" s="24">
        <v>0.0</v>
      </c>
      <c r="K4052" s="23" t="s">
        <v>34</v>
      </c>
      <c r="L4052" s="25">
        <v>40325.13421296296</v>
      </c>
      <c r="M4052" s="28"/>
      <c r="N4052" s="26" t="s">
        <v>9391</v>
      </c>
      <c r="O4052" s="22" t="str">
        <f>HYPERLINK("https://pbs.twimg.com/profile_images/912133132366647296/WUDFXlMr_normal.jpg","View")</f>
        <v>View</v>
      </c>
      <c r="P4052" s="27"/>
    </row>
    <row r="4053">
      <c r="A4053" s="14">
        <v>43031.255740740744</v>
      </c>
      <c r="B4053" s="20" t="str">
        <f>HYPERLINK("https://twitter.com/Felix3S","@Felix3S")</f>
        <v>@Felix3S</v>
      </c>
      <c r="C4053" s="21" t="s">
        <v>9392</v>
      </c>
      <c r="D4053" s="21" t="s">
        <v>9393</v>
      </c>
      <c r="E4053" s="22" t="str">
        <f>HYPERLINK("https://twitter.com/Felix3S/status/922449596097466368","922449596097466368")</f>
        <v>922449596097466368</v>
      </c>
      <c r="F4053" s="23" t="s">
        <v>55</v>
      </c>
      <c r="G4053" s="24">
        <v>2803.0</v>
      </c>
      <c r="H4053" s="24">
        <v>76.0</v>
      </c>
      <c r="I4053" s="24">
        <v>2.0</v>
      </c>
      <c r="J4053" s="24">
        <v>0.0</v>
      </c>
      <c r="K4053" s="23" t="s">
        <v>34</v>
      </c>
      <c r="L4053" s="25">
        <v>41249.99048611111</v>
      </c>
      <c r="M4053" s="26" t="s">
        <v>9327</v>
      </c>
      <c r="N4053" s="26" t="s">
        <v>9394</v>
      </c>
      <c r="O4053" s="22" t="str">
        <f>HYPERLINK("https://pbs.twimg.com/profile_images/2942689591/c096cb84b45f7c2d20b46ce578013ace_normal.jpeg","View")</f>
        <v>View</v>
      </c>
      <c r="P4053" s="27"/>
    </row>
    <row r="4054">
      <c r="A4054" s="14">
        <v>43031.25575231481</v>
      </c>
      <c r="B4054" s="20" t="str">
        <f>HYPERLINK("https://twitter.com/SonaMan","@SonaMan")</f>
        <v>@SonaMan</v>
      </c>
      <c r="C4054" s="21" t="s">
        <v>9395</v>
      </c>
      <c r="D4054" s="21" t="s">
        <v>42</v>
      </c>
      <c r="E4054" s="22" t="str">
        <f>HYPERLINK("https://twitter.com/SonaMan/status/922449599561793536","922449599561793536")</f>
        <v>922449599561793536</v>
      </c>
      <c r="F4054" s="23" t="s">
        <v>33</v>
      </c>
      <c r="G4054" s="24">
        <v>259.0</v>
      </c>
      <c r="H4054" s="24">
        <v>139.0</v>
      </c>
      <c r="I4054" s="24">
        <v>8501.0</v>
      </c>
      <c r="J4054" s="24">
        <v>0.0</v>
      </c>
      <c r="K4054" s="23" t="s">
        <v>34</v>
      </c>
      <c r="L4054" s="25">
        <v>42231.4749537037</v>
      </c>
      <c r="M4054" s="28"/>
      <c r="N4054" s="26" t="s">
        <v>9396</v>
      </c>
      <c r="O4054" s="22" t="str">
        <f>HYPERLINK("https://pbs.twimg.com/profile_images/919219547793584129/AGyUXNNQ_normal.jpg","View")</f>
        <v>View</v>
      </c>
      <c r="P4054" s="27"/>
    </row>
    <row r="4055">
      <c r="A4055" s="14">
        <v>43031.25587962963</v>
      </c>
      <c r="B4055" s="20" t="str">
        <f>HYPERLINK("https://twitter.com/sirowatamusume","@sirowatamusume")</f>
        <v>@sirowatamusume</v>
      </c>
      <c r="C4055" s="21" t="s">
        <v>9397</v>
      </c>
      <c r="D4055" s="21" t="s">
        <v>42</v>
      </c>
      <c r="E4055" s="22" t="str">
        <f>HYPERLINK("https://twitter.com/sirowatamusume/status/922449647313895424","922449647313895424")</f>
        <v>922449647313895424</v>
      </c>
      <c r="F4055" s="23" t="s">
        <v>33</v>
      </c>
      <c r="G4055" s="24">
        <v>90.0</v>
      </c>
      <c r="H4055" s="24">
        <v>283.0</v>
      </c>
      <c r="I4055" s="24">
        <v>8501.0</v>
      </c>
      <c r="J4055" s="24">
        <v>0.0</v>
      </c>
      <c r="K4055" s="23" t="s">
        <v>34</v>
      </c>
      <c r="L4055" s="25">
        <v>41888.25255787037</v>
      </c>
      <c r="M4055" s="28"/>
      <c r="N4055" s="26" t="s">
        <v>9398</v>
      </c>
      <c r="O4055" s="22" t="str">
        <f>HYPERLINK("https://pbs.twimg.com/profile_images/885874863419736064/Ykr-v1OD_normal.jpg","View")</f>
        <v>View</v>
      </c>
      <c r="P4055" s="27"/>
    </row>
    <row r="4056">
      <c r="A4056" s="14">
        <v>43031.2559375</v>
      </c>
      <c r="B4056" s="20" t="str">
        <f t="shared" ref="B4056:B4058" si="70">HYPERLINK("https://twitter.com/Advisory4Travel","@Advisory4Travel")</f>
        <v>@Advisory4Travel</v>
      </c>
      <c r="C4056" s="21" t="s">
        <v>9399</v>
      </c>
      <c r="D4056" s="21" t="s">
        <v>9400</v>
      </c>
      <c r="E4056" s="22" t="str">
        <f>HYPERLINK("https://twitter.com/Advisory4Travel/status/922449668633759745","922449668633759745")</f>
        <v>922449668633759745</v>
      </c>
      <c r="F4056" s="23" t="s">
        <v>187</v>
      </c>
      <c r="G4056" s="24">
        <v>229.0</v>
      </c>
      <c r="H4056" s="24">
        <v>26.0</v>
      </c>
      <c r="I4056" s="24">
        <v>0.0</v>
      </c>
      <c r="J4056" s="24">
        <v>0.0</v>
      </c>
      <c r="K4056" s="23" t="s">
        <v>34</v>
      </c>
      <c r="L4056" s="25">
        <v>42405.811840277776</v>
      </c>
      <c r="M4056" s="28"/>
      <c r="N4056" s="26" t="s">
        <v>9401</v>
      </c>
      <c r="O4056" s="22" t="str">
        <f t="shared" ref="O4056:O4058" si="71">HYPERLINK("https://pbs.twimg.com/profile_images/695834348486930432/0U32ia3f_normal.jpg","View")</f>
        <v>View</v>
      </c>
      <c r="P4056" s="27"/>
    </row>
    <row r="4057">
      <c r="A4057" s="14">
        <v>43031.25596064815</v>
      </c>
      <c r="B4057" s="20" t="str">
        <f t="shared" si="70"/>
        <v>@Advisory4Travel</v>
      </c>
      <c r="C4057" s="21" t="s">
        <v>9399</v>
      </c>
      <c r="D4057" s="21" t="s">
        <v>9402</v>
      </c>
      <c r="E4057" s="22" t="str">
        <f>HYPERLINK("https://twitter.com/Advisory4Travel/status/922449674287636480","922449674287636480")</f>
        <v>922449674287636480</v>
      </c>
      <c r="F4057" s="23" t="s">
        <v>187</v>
      </c>
      <c r="G4057" s="24">
        <v>229.0</v>
      </c>
      <c r="H4057" s="24">
        <v>26.0</v>
      </c>
      <c r="I4057" s="24">
        <v>0.0</v>
      </c>
      <c r="J4057" s="24">
        <v>0.0</v>
      </c>
      <c r="K4057" s="23" t="s">
        <v>34</v>
      </c>
      <c r="L4057" s="25">
        <v>42405.811840277776</v>
      </c>
      <c r="M4057" s="28"/>
      <c r="N4057" s="26" t="s">
        <v>9401</v>
      </c>
      <c r="O4057" s="22" t="str">
        <f t="shared" si="71"/>
        <v>View</v>
      </c>
      <c r="P4057" s="27"/>
    </row>
    <row r="4058">
      <c r="A4058" s="14">
        <v>43031.2559837963</v>
      </c>
      <c r="B4058" s="20" t="str">
        <f t="shared" si="70"/>
        <v>@Advisory4Travel</v>
      </c>
      <c r="C4058" s="21" t="s">
        <v>9399</v>
      </c>
      <c r="D4058" s="21" t="s">
        <v>9403</v>
      </c>
      <c r="E4058" s="22" t="str">
        <f>HYPERLINK("https://twitter.com/Advisory4Travel/status/922449681581473792","922449681581473792")</f>
        <v>922449681581473792</v>
      </c>
      <c r="F4058" s="23" t="s">
        <v>187</v>
      </c>
      <c r="G4058" s="24">
        <v>229.0</v>
      </c>
      <c r="H4058" s="24">
        <v>26.0</v>
      </c>
      <c r="I4058" s="24">
        <v>0.0</v>
      </c>
      <c r="J4058" s="24">
        <v>0.0</v>
      </c>
      <c r="K4058" s="23" t="s">
        <v>34</v>
      </c>
      <c r="L4058" s="25">
        <v>42405.811840277776</v>
      </c>
      <c r="M4058" s="28"/>
      <c r="N4058" s="26" t="s">
        <v>9401</v>
      </c>
      <c r="O4058" s="22" t="str">
        <f t="shared" si="71"/>
        <v>View</v>
      </c>
      <c r="P4058" s="27"/>
    </row>
    <row r="4059">
      <c r="A4059" s="14">
        <v>43031.256018518514</v>
      </c>
      <c r="B4059" s="20" t="str">
        <f>HYPERLINK("https://twitter.com/sandi_childs","@sandi_childs")</f>
        <v>@sandi_childs</v>
      </c>
      <c r="C4059" s="21" t="s">
        <v>9404</v>
      </c>
      <c r="D4059" s="21" t="s">
        <v>108</v>
      </c>
      <c r="E4059" s="22" t="str">
        <f>HYPERLINK("https://twitter.com/sandi_childs/status/922449695921790977","922449695921790977")</f>
        <v>922449695921790977</v>
      </c>
      <c r="F4059" s="23" t="s">
        <v>39</v>
      </c>
      <c r="G4059" s="24">
        <v>2447.0</v>
      </c>
      <c r="H4059" s="24">
        <v>3815.0</v>
      </c>
      <c r="I4059" s="24">
        <v>88.0</v>
      </c>
      <c r="J4059" s="24">
        <v>0.0</v>
      </c>
      <c r="K4059" s="23" t="s">
        <v>34</v>
      </c>
      <c r="L4059" s="25">
        <v>41594.161898148144</v>
      </c>
      <c r="M4059" s="26" t="s">
        <v>9405</v>
      </c>
      <c r="N4059" s="26" t="s">
        <v>9406</v>
      </c>
      <c r="O4059" s="22" t="str">
        <f>HYPERLINK("https://pbs.twimg.com/profile_images/810013492480643072/fSC_6Jgm_normal.jpg","View")</f>
        <v>View</v>
      </c>
      <c r="P4059" s="27"/>
    </row>
    <row r="4060">
      <c r="A4060" s="14">
        <v>43031.256064814814</v>
      </c>
      <c r="B4060" s="20" t="str">
        <f>HYPERLINK("https://twitter.com/Mr_Subha_Jit","@Mr_Subha_Jit")</f>
        <v>@Mr_Subha_Jit</v>
      </c>
      <c r="C4060" s="21" t="s">
        <v>9407</v>
      </c>
      <c r="D4060" s="21" t="s">
        <v>42</v>
      </c>
      <c r="E4060" s="22" t="str">
        <f>HYPERLINK("https://twitter.com/Mr_Subha_Jit/status/922449712229310469","922449712229310469")</f>
        <v>922449712229310469</v>
      </c>
      <c r="F4060" s="23" t="s">
        <v>33</v>
      </c>
      <c r="G4060" s="24">
        <v>150.0</v>
      </c>
      <c r="H4060" s="24">
        <v>859.0</v>
      </c>
      <c r="I4060" s="24">
        <v>8501.0</v>
      </c>
      <c r="J4060" s="24">
        <v>0.0</v>
      </c>
      <c r="K4060" s="23" t="s">
        <v>34</v>
      </c>
      <c r="L4060" s="25">
        <v>42902.41875</v>
      </c>
      <c r="M4060" s="26" t="s">
        <v>1137</v>
      </c>
      <c r="N4060" s="26" t="s">
        <v>9408</v>
      </c>
      <c r="O4060" s="22" t="str">
        <f>HYPERLINK("https://pbs.twimg.com/profile_images/897681005238210562/kifOMk8D_normal.jpg","View")</f>
        <v>View</v>
      </c>
      <c r="P4060" s="27"/>
    </row>
    <row r="4061">
      <c r="A4061" s="14">
        <v>43031.25607638889</v>
      </c>
      <c r="B4061" s="20" t="str">
        <f>HYPERLINK("https://twitter.com/DavidLHathaway","@DavidLHathaway")</f>
        <v>@DavidLHathaway</v>
      </c>
      <c r="C4061" s="21" t="s">
        <v>9409</v>
      </c>
      <c r="D4061" s="21" t="s">
        <v>9410</v>
      </c>
      <c r="E4061" s="22" t="str">
        <f>HYPERLINK("https://twitter.com/DavidLHathaway/status/922449718256590848","922449718256590848")</f>
        <v>922449718256590848</v>
      </c>
      <c r="F4061" s="23" t="s">
        <v>33</v>
      </c>
      <c r="G4061" s="24">
        <v>206.0</v>
      </c>
      <c r="H4061" s="24">
        <v>286.0</v>
      </c>
      <c r="I4061" s="24">
        <v>0.0</v>
      </c>
      <c r="J4061" s="24">
        <v>0.0</v>
      </c>
      <c r="K4061" s="23" t="s">
        <v>34</v>
      </c>
      <c r="L4061" s="25">
        <v>40441.33555555555</v>
      </c>
      <c r="M4061" s="26" t="s">
        <v>9411</v>
      </c>
      <c r="N4061" s="26" t="s">
        <v>9412</v>
      </c>
      <c r="O4061" s="22" t="str">
        <f>HYPERLINK("https://pbs.twimg.com/profile_images/726865812066328576/XN4biK34_normal.jpg","View")</f>
        <v>View</v>
      </c>
      <c r="P4061" s="27"/>
    </row>
    <row r="4062">
      <c r="A4062" s="14">
        <v>43031.25608796296</v>
      </c>
      <c r="B4062" s="20" t="str">
        <f>HYPERLINK("https://twitter.com/ssmalakar","@ssmalakar")</f>
        <v>@ssmalakar</v>
      </c>
      <c r="C4062" s="21" t="s">
        <v>9413</v>
      </c>
      <c r="D4062" s="21" t="s">
        <v>42</v>
      </c>
      <c r="E4062" s="22" t="str">
        <f>HYPERLINK("https://twitter.com/ssmalakar/status/922449721951641600","922449721951641600")</f>
        <v>922449721951641600</v>
      </c>
      <c r="F4062" s="23" t="s">
        <v>33</v>
      </c>
      <c r="G4062" s="24">
        <v>71.0</v>
      </c>
      <c r="H4062" s="24">
        <v>239.0</v>
      </c>
      <c r="I4062" s="24">
        <v>8501.0</v>
      </c>
      <c r="J4062" s="24">
        <v>0.0</v>
      </c>
      <c r="K4062" s="23" t="s">
        <v>34</v>
      </c>
      <c r="L4062" s="25">
        <v>40744.395891203705</v>
      </c>
      <c r="M4062" s="26" t="s">
        <v>9414</v>
      </c>
      <c r="N4062" s="28"/>
      <c r="O4062" s="22" t="str">
        <f>HYPERLINK("https://pbs.twimg.com/profile_images/777845772586921985/T4th6Gmj_normal.jpg","View")</f>
        <v>View</v>
      </c>
      <c r="P4062" s="27"/>
    </row>
    <row r="4063">
      <c r="A4063" s="14">
        <v>43031.25619212963</v>
      </c>
      <c r="B4063" s="20" t="str">
        <f>HYPERLINK("https://twitter.com/drdhars","@drdhars")</f>
        <v>@drdhars</v>
      </c>
      <c r="C4063" s="21" t="s">
        <v>9415</v>
      </c>
      <c r="D4063" s="21" t="s">
        <v>42</v>
      </c>
      <c r="E4063" s="22" t="str">
        <f>HYPERLINK("https://twitter.com/drdhars/status/922449760572801024","922449760572801024")</f>
        <v>922449760572801024</v>
      </c>
      <c r="F4063" s="23" t="s">
        <v>33</v>
      </c>
      <c r="G4063" s="24">
        <v>122.0</v>
      </c>
      <c r="H4063" s="24">
        <v>260.0</v>
      </c>
      <c r="I4063" s="24">
        <v>8501.0</v>
      </c>
      <c r="J4063" s="24">
        <v>0.0</v>
      </c>
      <c r="K4063" s="23" t="s">
        <v>34</v>
      </c>
      <c r="L4063" s="25">
        <v>42164.11225694444</v>
      </c>
      <c r="M4063" s="26" t="s">
        <v>9416</v>
      </c>
      <c r="N4063" s="26" t="s">
        <v>9417</v>
      </c>
      <c r="O4063" s="22" t="str">
        <f>HYPERLINK("https://pbs.twimg.com/profile_images/766639355754610688/xP-ZFtSN_normal.jpg","View")</f>
        <v>View</v>
      </c>
      <c r="P4063" s="27"/>
    </row>
    <row r="4064">
      <c r="A4064" s="14">
        <v>43031.25621527778</v>
      </c>
      <c r="B4064" s="20" t="str">
        <f>HYPERLINK("https://twitter.com/Rabinarayana75","@Rabinarayana75")</f>
        <v>@Rabinarayana75</v>
      </c>
      <c r="C4064" s="21" t="s">
        <v>9418</v>
      </c>
      <c r="D4064" s="21" t="s">
        <v>42</v>
      </c>
      <c r="E4064" s="22" t="str">
        <f>HYPERLINK("https://twitter.com/Rabinarayana75/status/922449766822289408","922449766822289408")</f>
        <v>922449766822289408</v>
      </c>
      <c r="F4064" s="23" t="s">
        <v>33</v>
      </c>
      <c r="G4064" s="24">
        <v>5.0</v>
      </c>
      <c r="H4064" s="24">
        <v>49.0</v>
      </c>
      <c r="I4064" s="24">
        <v>8501.0</v>
      </c>
      <c r="J4064" s="24">
        <v>0.0</v>
      </c>
      <c r="K4064" s="23" t="s">
        <v>34</v>
      </c>
      <c r="L4064" s="25">
        <v>42702.89674768518</v>
      </c>
      <c r="M4064" s="28"/>
      <c r="N4064" s="28"/>
      <c r="O4064" s="22" t="str">
        <f>HYPERLINK("https://abs.twimg.com/sticky/default_profile_images/default_profile_normal.png","View")</f>
        <v>View</v>
      </c>
      <c r="P4064" s="27"/>
    </row>
    <row r="4065">
      <c r="A4065" s="14">
        <v>43031.256319444445</v>
      </c>
      <c r="B4065" s="20" t="str">
        <f>HYPERLINK("https://twitter.com/RealTimeHack","@RealTimeHack")</f>
        <v>@RealTimeHack</v>
      </c>
      <c r="C4065" s="21" t="s">
        <v>3773</v>
      </c>
      <c r="D4065" s="21" t="s">
        <v>9419</v>
      </c>
      <c r="E4065" s="22" t="str">
        <f>HYPERLINK("https://twitter.com/RealTimeHack/status/922449806064275457","922449806064275457")</f>
        <v>922449806064275457</v>
      </c>
      <c r="F4065" s="23" t="s">
        <v>187</v>
      </c>
      <c r="G4065" s="24">
        <v>2189.0</v>
      </c>
      <c r="H4065" s="24">
        <v>1282.0</v>
      </c>
      <c r="I4065" s="24">
        <v>0.0</v>
      </c>
      <c r="J4065" s="24">
        <v>0.0</v>
      </c>
      <c r="K4065" s="23" t="s">
        <v>34</v>
      </c>
      <c r="L4065" s="25">
        <v>40641.39920138889</v>
      </c>
      <c r="M4065" s="26" t="s">
        <v>3775</v>
      </c>
      <c r="N4065" s="26" t="s">
        <v>3776</v>
      </c>
      <c r="O4065" s="22" t="str">
        <f>HYPERLINK("https://pbs.twimg.com/profile_images/1304602852/Nuke_Egg_normal.gif","View")</f>
        <v>View</v>
      </c>
      <c r="P4065" s="27"/>
    </row>
    <row r="4066">
      <c r="A4066" s="14">
        <v>43031.256365740745</v>
      </c>
      <c r="B4066" s="20" t="str">
        <f>HYPERLINK("https://twitter.com/DrErRafiaFZ","@DrErRafiaFZ")</f>
        <v>@DrErRafiaFZ</v>
      </c>
      <c r="C4066" s="21" t="s">
        <v>9420</v>
      </c>
      <c r="D4066" s="21" t="s">
        <v>9421</v>
      </c>
      <c r="E4066" s="22" t="str">
        <f>HYPERLINK("https://twitter.com/DrErRafiaFZ/status/922449821495123968","922449821495123968")</f>
        <v>922449821495123968</v>
      </c>
      <c r="F4066" s="23" t="s">
        <v>39</v>
      </c>
      <c r="G4066" s="24">
        <v>1018.0</v>
      </c>
      <c r="H4066" s="24">
        <v>1123.0</v>
      </c>
      <c r="I4066" s="24">
        <v>4.0</v>
      </c>
      <c r="J4066" s="24">
        <v>5.0</v>
      </c>
      <c r="K4066" s="23" t="s">
        <v>34</v>
      </c>
      <c r="L4066" s="25">
        <v>42688.52506944444</v>
      </c>
      <c r="M4066" s="26" t="s">
        <v>9422</v>
      </c>
      <c r="N4066" s="26" t="s">
        <v>9423</v>
      </c>
      <c r="O4066" s="22" t="str">
        <f>HYPERLINK("https://pbs.twimg.com/profile_images/883480162968502273/4ql8ZOLZ_normal.jpg","View")</f>
        <v>View</v>
      </c>
      <c r="P4066" s="27"/>
    </row>
    <row r="4067">
      <c r="A4067" s="14">
        <v>43031.25641203704</v>
      </c>
      <c r="B4067" s="20" t="str">
        <f>HYPERLINK("https://twitter.com/sandi_childs","@sandi_childs")</f>
        <v>@sandi_childs</v>
      </c>
      <c r="C4067" s="21" t="s">
        <v>9404</v>
      </c>
      <c r="D4067" s="21" t="s">
        <v>760</v>
      </c>
      <c r="E4067" s="22" t="str">
        <f>HYPERLINK("https://twitter.com/sandi_childs/status/922449838364508160","922449838364508160")</f>
        <v>922449838364508160</v>
      </c>
      <c r="F4067" s="23" t="s">
        <v>39</v>
      </c>
      <c r="G4067" s="24">
        <v>2447.0</v>
      </c>
      <c r="H4067" s="24">
        <v>3815.0</v>
      </c>
      <c r="I4067" s="24">
        <v>62.0</v>
      </c>
      <c r="J4067" s="24">
        <v>0.0</v>
      </c>
      <c r="K4067" s="23" t="s">
        <v>34</v>
      </c>
      <c r="L4067" s="25">
        <v>41594.161898148144</v>
      </c>
      <c r="M4067" s="26" t="s">
        <v>9405</v>
      </c>
      <c r="N4067" s="26" t="s">
        <v>9406</v>
      </c>
      <c r="O4067" s="22" t="str">
        <f>HYPERLINK("https://pbs.twimg.com/profile_images/810013492480643072/fSC_6Jgm_normal.jpg","View")</f>
        <v>View</v>
      </c>
      <c r="P4067" s="27"/>
    </row>
    <row r="4068">
      <c r="A4068" s="14">
        <v>43031.25642361111</v>
      </c>
      <c r="B4068" s="20" t="str">
        <f>HYPERLINK("https://twitter.com/bitcoinnewsapp","@bitcoinnewsapp")</f>
        <v>@bitcoinnewsapp</v>
      </c>
      <c r="C4068" s="21" t="s">
        <v>9424</v>
      </c>
      <c r="D4068" s="21" t="s">
        <v>9425</v>
      </c>
      <c r="E4068" s="22" t="str">
        <f>HYPERLINK("https://twitter.com/bitcoinnewsapp/status/922449843938881536","922449843938881536")</f>
        <v>922449843938881536</v>
      </c>
      <c r="F4068" s="30" t="s">
        <v>191</v>
      </c>
      <c r="G4068" s="24">
        <v>14.0</v>
      </c>
      <c r="H4068" s="24">
        <v>50.0</v>
      </c>
      <c r="I4068" s="24">
        <v>0.0</v>
      </c>
      <c r="J4068" s="24">
        <v>0.0</v>
      </c>
      <c r="K4068" s="23" t="s">
        <v>34</v>
      </c>
      <c r="L4068" s="25">
        <v>42970.08954861111</v>
      </c>
      <c r="M4068" s="26" t="s">
        <v>9426</v>
      </c>
      <c r="N4068" s="26" t="s">
        <v>9427</v>
      </c>
      <c r="O4068" s="22" t="str">
        <f>HYPERLINK("https://pbs.twimg.com/profile_images/901348990574252032/vB-c-fTR_normal.jpg","View")</f>
        <v>View</v>
      </c>
      <c r="P4068" s="27"/>
    </row>
    <row r="4069">
      <c r="A4069" s="14">
        <v>43031.25643518519</v>
      </c>
      <c r="B4069" s="20" t="str">
        <f>HYPERLINK("https://twitter.com/Averyatswanpond","@Averyatswanpond")</f>
        <v>@Averyatswanpond</v>
      </c>
      <c r="C4069" s="21" t="s">
        <v>9428</v>
      </c>
      <c r="D4069" s="21" t="s">
        <v>1345</v>
      </c>
      <c r="E4069" s="22" t="str">
        <f>HYPERLINK("https://twitter.com/Averyatswanpond/status/922449849127264256","922449849127264256")</f>
        <v>922449849127264256</v>
      </c>
      <c r="F4069" s="23" t="s">
        <v>33</v>
      </c>
      <c r="G4069" s="24">
        <v>837.0</v>
      </c>
      <c r="H4069" s="24">
        <v>1375.0</v>
      </c>
      <c r="I4069" s="24">
        <v>22.0</v>
      </c>
      <c r="J4069" s="24">
        <v>0.0</v>
      </c>
      <c r="K4069" s="23" t="s">
        <v>34</v>
      </c>
      <c r="L4069" s="25">
        <v>40572.75714120371</v>
      </c>
      <c r="M4069" s="26" t="s">
        <v>987</v>
      </c>
      <c r="N4069" s="26" t="s">
        <v>9429</v>
      </c>
      <c r="O4069" s="22" t="str">
        <f>HYPERLINK("https://abs.twimg.com/sticky/default_profile_images/default_profile_normal.png","View")</f>
        <v>View</v>
      </c>
      <c r="P4069" s="27"/>
    </row>
    <row r="4070">
      <c r="A4070" s="14">
        <v>43031.25644675926</v>
      </c>
      <c r="B4070" s="20" t="str">
        <f>HYPERLINK("https://twitter.com/all_newsonline1","@all_newsonline1")</f>
        <v>@all_newsonline1</v>
      </c>
      <c r="C4070" s="21" t="s">
        <v>9382</v>
      </c>
      <c r="D4070" s="21" t="s">
        <v>9430</v>
      </c>
      <c r="E4070" s="22" t="str">
        <f>HYPERLINK("https://twitter.com/all_newsonline1/status/922449850339418112","922449850339418112")</f>
        <v>922449850339418112</v>
      </c>
      <c r="F4070" s="23" t="s">
        <v>187</v>
      </c>
      <c r="G4070" s="24">
        <v>894.0</v>
      </c>
      <c r="H4070" s="24">
        <v>589.0</v>
      </c>
      <c r="I4070" s="24">
        <v>0.0</v>
      </c>
      <c r="J4070" s="24">
        <v>0.0</v>
      </c>
      <c r="K4070" s="23" t="s">
        <v>34</v>
      </c>
      <c r="L4070" s="25">
        <v>42724.341574074075</v>
      </c>
      <c r="M4070" s="28"/>
      <c r="N4070" s="26" t="s">
        <v>9384</v>
      </c>
      <c r="O4070" s="22" t="str">
        <f>HYPERLINK("https://pbs.twimg.com/profile_images/811251050716004352/I8BfZXTc_normal.jpg","View")</f>
        <v>View</v>
      </c>
      <c r="P4070" s="27"/>
    </row>
    <row r="4071">
      <c r="A4071" s="14">
        <v>43031.25649305555</v>
      </c>
      <c r="B4071" s="20" t="str">
        <f>HYPERLINK("https://twitter.com/KanahiyaSingh3","@KanahiyaSingh3")</f>
        <v>@KanahiyaSingh3</v>
      </c>
      <c r="C4071" s="21" t="s">
        <v>9431</v>
      </c>
      <c r="D4071" s="21" t="s">
        <v>42</v>
      </c>
      <c r="E4071" s="22" t="str">
        <f>HYPERLINK("https://twitter.com/KanahiyaSingh3/status/922449867355537408","922449867355537408")</f>
        <v>922449867355537408</v>
      </c>
      <c r="F4071" s="23" t="s">
        <v>33</v>
      </c>
      <c r="G4071" s="24">
        <v>192.0</v>
      </c>
      <c r="H4071" s="24">
        <v>133.0</v>
      </c>
      <c r="I4071" s="24">
        <v>8501.0</v>
      </c>
      <c r="J4071" s="24">
        <v>0.0</v>
      </c>
      <c r="K4071" s="23" t="s">
        <v>34</v>
      </c>
      <c r="L4071" s="25">
        <v>42376.83982638889</v>
      </c>
      <c r="M4071" s="26" t="s">
        <v>9432</v>
      </c>
      <c r="N4071" s="26" t="s">
        <v>9433</v>
      </c>
      <c r="O4071" s="22" t="str">
        <f>HYPERLINK("https://pbs.twimg.com/profile_images/919552030410080256/I8wiH8Rj_normal.jpg","View")</f>
        <v>View</v>
      </c>
      <c r="P4071" s="27"/>
    </row>
    <row r="4072">
      <c r="A4072" s="14">
        <v>43031.25660879629</v>
      </c>
      <c r="B4072" s="20" t="str">
        <f>HYPERLINK("https://twitter.com/abhishekdalal09","@abhishekdalal09")</f>
        <v>@abhishekdalal09</v>
      </c>
      <c r="C4072" s="21" t="s">
        <v>9434</v>
      </c>
      <c r="D4072" s="21" t="s">
        <v>1444</v>
      </c>
      <c r="E4072" s="22" t="str">
        <f>HYPERLINK("https://twitter.com/abhishekdalal09/status/922449908161970176","922449908161970176")</f>
        <v>922449908161970176</v>
      </c>
      <c r="F4072" s="23" t="s">
        <v>39</v>
      </c>
      <c r="G4072" s="24">
        <v>79.0</v>
      </c>
      <c r="H4072" s="24">
        <v>410.0</v>
      </c>
      <c r="I4072" s="24">
        <v>50.0</v>
      </c>
      <c r="J4072" s="24">
        <v>0.0</v>
      </c>
      <c r="K4072" s="23" t="s">
        <v>34</v>
      </c>
      <c r="L4072" s="25">
        <v>40202.290555555555</v>
      </c>
      <c r="M4072" s="26" t="s">
        <v>2619</v>
      </c>
      <c r="N4072" s="26" t="s">
        <v>9435</v>
      </c>
      <c r="O4072" s="22" t="str">
        <f>HYPERLINK("https://pbs.twimg.com/profile_images/907301145735041025/c_HoDVHK_normal.jpg","View")</f>
        <v>View</v>
      </c>
      <c r="P4072" s="27"/>
    </row>
    <row r="4073">
      <c r="A4073" s="14">
        <v>43031.25670138889</v>
      </c>
      <c r="B4073" s="20" t="str">
        <f>HYPERLINK("https://twitter.com/preetamks","@preetamks")</f>
        <v>@preetamks</v>
      </c>
      <c r="C4073" s="21" t="s">
        <v>9436</v>
      </c>
      <c r="D4073" s="21" t="s">
        <v>42</v>
      </c>
      <c r="E4073" s="22" t="str">
        <f>HYPERLINK("https://twitter.com/preetamks/status/922449944606261253","922449944606261253")</f>
        <v>922449944606261253</v>
      </c>
      <c r="F4073" s="23" t="s">
        <v>33</v>
      </c>
      <c r="G4073" s="24">
        <v>809.0</v>
      </c>
      <c r="H4073" s="24">
        <v>5001.0</v>
      </c>
      <c r="I4073" s="24">
        <v>8501.0</v>
      </c>
      <c r="J4073" s="24">
        <v>0.0</v>
      </c>
      <c r="K4073" s="23" t="s">
        <v>34</v>
      </c>
      <c r="L4073" s="25">
        <v>40190.57579861111</v>
      </c>
      <c r="M4073" s="26" t="s">
        <v>9437</v>
      </c>
      <c r="N4073" s="26" t="s">
        <v>9438</v>
      </c>
      <c r="O4073" s="22" t="str">
        <f>HYPERLINK("https://pbs.twimg.com/profile_images/858407706805141505/bQq_DSFZ_normal.jpg","View")</f>
        <v>View</v>
      </c>
      <c r="P4073" s="27"/>
    </row>
    <row r="4074">
      <c r="A4074" s="14">
        <v>43031.25671296296</v>
      </c>
      <c r="B4074" s="20" t="str">
        <f>HYPERLINK("https://twitter.com/render_pc","@render_pc")</f>
        <v>@render_pc</v>
      </c>
      <c r="C4074" s="21" t="s">
        <v>9439</v>
      </c>
      <c r="D4074" s="21" t="s">
        <v>9440</v>
      </c>
      <c r="E4074" s="22" t="str">
        <f>HYPERLINK("https://twitter.com/render_pc/status/922449949140365312","922449949140365312")</f>
        <v>922449949140365312</v>
      </c>
      <c r="F4074" s="23" t="s">
        <v>187</v>
      </c>
      <c r="G4074" s="24">
        <v>55.0</v>
      </c>
      <c r="H4074" s="24">
        <v>156.0</v>
      </c>
      <c r="I4074" s="24">
        <v>0.0</v>
      </c>
      <c r="J4074" s="24">
        <v>0.0</v>
      </c>
      <c r="K4074" s="23" t="s">
        <v>34</v>
      </c>
      <c r="L4074" s="25">
        <v>42963.4015162037</v>
      </c>
      <c r="M4074" s="28"/>
      <c r="N4074" s="28"/>
      <c r="O4074" s="22" t="str">
        <f>HYPERLINK("https://pbs.twimg.com/profile_images/899283960731025408/eDTkVdkM_normal.jpg","View")</f>
        <v>View</v>
      </c>
      <c r="P4074" s="27"/>
    </row>
    <row r="4075">
      <c r="A4075" s="14">
        <v>43031.25686342592</v>
      </c>
      <c r="B4075" s="20" t="str">
        <f>HYPERLINK("https://twitter.com/LaddersNG","@LaddersNG")</f>
        <v>@LaddersNG</v>
      </c>
      <c r="C4075" s="21" t="s">
        <v>9441</v>
      </c>
      <c r="D4075" s="21" t="s">
        <v>9442</v>
      </c>
      <c r="E4075" s="22" t="str">
        <f>HYPERLINK("https://twitter.com/LaddersNG/status/922450001380413440","922450001380413440")</f>
        <v>922450001380413440</v>
      </c>
      <c r="F4075" s="23" t="s">
        <v>55</v>
      </c>
      <c r="G4075" s="24">
        <v>103.0</v>
      </c>
      <c r="H4075" s="24">
        <v>179.0</v>
      </c>
      <c r="I4075" s="24">
        <v>0.0</v>
      </c>
      <c r="J4075" s="24">
        <v>0.0</v>
      </c>
      <c r="K4075" s="23" t="s">
        <v>34</v>
      </c>
      <c r="L4075" s="25">
        <v>42887.0933912037</v>
      </c>
      <c r="M4075" s="26" t="s">
        <v>3331</v>
      </c>
      <c r="N4075" s="26" t="s">
        <v>9443</v>
      </c>
      <c r="O4075" s="22" t="str">
        <f>HYPERLINK("https://pbs.twimg.com/profile_images/870223430184038400/yj5lXBTc_normal.jpg","View")</f>
        <v>View</v>
      </c>
      <c r="P4075" s="27"/>
    </row>
    <row r="4076">
      <c r="A4076" s="14">
        <v>43031.256875</v>
      </c>
      <c r="B4076" s="20" t="str">
        <f>HYPERLINK("https://twitter.com/MUFISA_MUBS","@MUFISA_MUBS")</f>
        <v>@MUFISA_MUBS</v>
      </c>
      <c r="C4076" s="21" t="s">
        <v>9444</v>
      </c>
      <c r="D4076" s="21" t="s">
        <v>9445</v>
      </c>
      <c r="E4076" s="22" t="str">
        <f>HYPERLINK("https://twitter.com/MUFISA_MUBS/status/922450006535262208","922450006535262208")</f>
        <v>922450006535262208</v>
      </c>
      <c r="F4076" s="23" t="s">
        <v>33</v>
      </c>
      <c r="G4076" s="24">
        <v>162.0</v>
      </c>
      <c r="H4076" s="24">
        <v>1575.0</v>
      </c>
      <c r="I4076" s="24">
        <v>3.0</v>
      </c>
      <c r="J4076" s="24">
        <v>0.0</v>
      </c>
      <c r="K4076" s="23" t="s">
        <v>34</v>
      </c>
      <c r="L4076" s="25">
        <v>42791.43480324074</v>
      </c>
      <c r="M4076" s="26" t="s">
        <v>9446</v>
      </c>
      <c r="N4076" s="26" t="s">
        <v>9447</v>
      </c>
      <c r="O4076" s="22" t="str">
        <f>HYPERLINK("https://pbs.twimg.com/profile_images/862699707386277889/Wb4xHt_w_normal.jpg","View")</f>
        <v>View</v>
      </c>
      <c r="P4076" s="27"/>
    </row>
    <row r="4077">
      <c r="A4077" s="14">
        <v>43031.257002314815</v>
      </c>
      <c r="B4077" s="20" t="str">
        <f>HYPERLINK("https://twitter.com/ravizdname","@ravizdname")</f>
        <v>@ravizdname</v>
      </c>
      <c r="C4077" s="21" t="s">
        <v>9448</v>
      </c>
      <c r="D4077" s="21" t="s">
        <v>42</v>
      </c>
      <c r="E4077" s="22" t="str">
        <f>HYPERLINK("https://twitter.com/ravizdname/status/922450050696884225","922450050696884225")</f>
        <v>922450050696884225</v>
      </c>
      <c r="F4077" s="23" t="s">
        <v>33</v>
      </c>
      <c r="G4077" s="24">
        <v>3.0</v>
      </c>
      <c r="H4077" s="24">
        <v>70.0</v>
      </c>
      <c r="I4077" s="24">
        <v>8501.0</v>
      </c>
      <c r="J4077" s="24">
        <v>0.0</v>
      </c>
      <c r="K4077" s="23" t="s">
        <v>34</v>
      </c>
      <c r="L4077" s="25">
        <v>42689.54016203704</v>
      </c>
      <c r="M4077" s="26" t="s">
        <v>3295</v>
      </c>
      <c r="N4077" s="28"/>
      <c r="O4077" s="22" t="str">
        <f>HYPERLINK("https://pbs.twimg.com/profile_images/921843791790620672/WOw2SmJU_normal.jpg","View")</f>
        <v>View</v>
      </c>
      <c r="P4077" s="27"/>
    </row>
    <row r="4078">
      <c r="A4078" s="14">
        <v>43031.257013888884</v>
      </c>
      <c r="B4078" s="20" t="str">
        <f>HYPERLINK("https://twitter.com/tweetnewsfeeds","@tweetnewsfeeds")</f>
        <v>@tweetnewsfeeds</v>
      </c>
      <c r="C4078" s="21" t="s">
        <v>7607</v>
      </c>
      <c r="D4078" s="21" t="s">
        <v>9449</v>
      </c>
      <c r="E4078" s="22" t="str">
        <f>HYPERLINK("https://twitter.com/tweetnewsfeeds/status/922450058196455424","922450058196455424")</f>
        <v>922450058196455424</v>
      </c>
      <c r="F4078" s="23" t="s">
        <v>91</v>
      </c>
      <c r="G4078" s="24">
        <v>502.0</v>
      </c>
      <c r="H4078" s="24">
        <v>285.0</v>
      </c>
      <c r="I4078" s="24">
        <v>1.0</v>
      </c>
      <c r="J4078" s="24">
        <v>0.0</v>
      </c>
      <c r="K4078" s="23" t="s">
        <v>34</v>
      </c>
      <c r="L4078" s="25">
        <v>41344.28519675926</v>
      </c>
      <c r="M4078" s="28"/>
      <c r="N4078" s="26" t="s">
        <v>7609</v>
      </c>
      <c r="O4078" s="22" t="str">
        <f>HYPERLINK("https://pbs.twimg.com/profile_images/3366648794/d336fcda4d7e97889528c6aaf95e1866_normal.jpeg","View")</f>
        <v>View</v>
      </c>
      <c r="P4078" s="27"/>
    </row>
    <row r="4079">
      <c r="A4079" s="14">
        <v>43031.25702546297</v>
      </c>
      <c r="B4079" s="20" t="str">
        <f>HYPERLINK("https://twitter.com/newscenterPHL1","@newscenterPHL1")</f>
        <v>@newscenterPHL1</v>
      </c>
      <c r="C4079" s="21" t="s">
        <v>9450</v>
      </c>
      <c r="D4079" s="21" t="s">
        <v>3178</v>
      </c>
      <c r="E4079" s="22" t="str">
        <f>HYPERLINK("https://twitter.com/newscenterPHL1/status/922450060624801792","922450060624801792")</f>
        <v>922450060624801792</v>
      </c>
      <c r="F4079" s="23" t="s">
        <v>39</v>
      </c>
      <c r="G4079" s="24">
        <v>686.0</v>
      </c>
      <c r="H4079" s="24">
        <v>1968.0</v>
      </c>
      <c r="I4079" s="24">
        <v>6.0</v>
      </c>
      <c r="J4079" s="24">
        <v>0.0</v>
      </c>
      <c r="K4079" s="23" t="s">
        <v>34</v>
      </c>
      <c r="L4079" s="25">
        <v>40585.01021990741</v>
      </c>
      <c r="M4079" s="28"/>
      <c r="N4079" s="28"/>
      <c r="O4079" s="22" t="str">
        <f>HYPERLINK("https://abs.twimg.com/sticky/default_profile_images/default_profile_normal.png","View")</f>
        <v>View</v>
      </c>
      <c r="P4079" s="27"/>
    </row>
    <row r="4080">
      <c r="A4080" s="14">
        <v>43031.25703703704</v>
      </c>
      <c r="B4080" s="20" t="str">
        <f>HYPERLINK("https://twitter.com/KkimooK","@KkimooK")</f>
        <v>@KkimooK</v>
      </c>
      <c r="C4080" s="21" t="s">
        <v>9451</v>
      </c>
      <c r="D4080" s="21" t="s">
        <v>9452</v>
      </c>
      <c r="E4080" s="22" t="str">
        <f>HYPERLINK("https://twitter.com/KkimooK/status/922450063816720385","922450063816720385")</f>
        <v>922450063816720385</v>
      </c>
      <c r="F4080" s="23" t="s">
        <v>9453</v>
      </c>
      <c r="G4080" s="24">
        <v>465.0</v>
      </c>
      <c r="H4080" s="24">
        <v>2.0</v>
      </c>
      <c r="I4080" s="24">
        <v>0.0</v>
      </c>
      <c r="J4080" s="24">
        <v>0.0</v>
      </c>
      <c r="K4080" s="23" t="s">
        <v>34</v>
      </c>
      <c r="L4080" s="25">
        <v>41582.09607638889</v>
      </c>
      <c r="M4080" s="28"/>
      <c r="N4080" s="26" t="s">
        <v>9454</v>
      </c>
      <c r="O4080" s="22" t="str">
        <f>HYPERLINK("https://pbs.twimg.com/profile_images/378800000692850571/0e43c8832a899f7cc2fa5556fa545211_normal.jpeg","View")</f>
        <v>View</v>
      </c>
      <c r="P4080" s="27"/>
    </row>
    <row r="4081">
      <c r="A4081" s="14">
        <v>43031.25708333333</v>
      </c>
      <c r="B4081" s="20" t="str">
        <f>HYPERLINK("https://twitter.com/rajpatel63","@rajpatel63")</f>
        <v>@rajpatel63</v>
      </c>
      <c r="C4081" s="21" t="s">
        <v>9455</v>
      </c>
      <c r="D4081" s="21" t="s">
        <v>42</v>
      </c>
      <c r="E4081" s="22" t="str">
        <f>HYPERLINK("https://twitter.com/rajpatel63/status/922450081126678529","922450081126678529")</f>
        <v>922450081126678529</v>
      </c>
      <c r="F4081" s="23" t="s">
        <v>55</v>
      </c>
      <c r="G4081" s="24">
        <v>470.0</v>
      </c>
      <c r="H4081" s="24">
        <v>660.0</v>
      </c>
      <c r="I4081" s="24">
        <v>8501.0</v>
      </c>
      <c r="J4081" s="24">
        <v>0.0</v>
      </c>
      <c r="K4081" s="23" t="s">
        <v>34</v>
      </c>
      <c r="L4081" s="25">
        <v>39910.566724537035</v>
      </c>
      <c r="M4081" s="26" t="s">
        <v>9456</v>
      </c>
      <c r="N4081" s="26" t="s">
        <v>9457</v>
      </c>
      <c r="O4081" s="22" t="str">
        <f>HYPERLINK("https://pbs.twimg.com/profile_images/901111693710897152/Am-xeNnE_normal.jpg","View")</f>
        <v>View</v>
      </c>
      <c r="P4081" s="27"/>
    </row>
    <row r="4082">
      <c r="A4082" s="14">
        <v>43031.25714120371</v>
      </c>
      <c r="B4082" s="20" t="str">
        <f>HYPERLINK("https://twitter.com/isnki","@isnki")</f>
        <v>@isnki</v>
      </c>
      <c r="C4082" s="21" t="s">
        <v>9458</v>
      </c>
      <c r="D4082" s="21" t="s">
        <v>1642</v>
      </c>
      <c r="E4082" s="22" t="str">
        <f>HYPERLINK("https://twitter.com/isnki/status/922450103566262272","922450103566262272")</f>
        <v>922450103566262272</v>
      </c>
      <c r="F4082" s="23" t="s">
        <v>55</v>
      </c>
      <c r="G4082" s="24">
        <v>129.0</v>
      </c>
      <c r="H4082" s="24">
        <v>336.0</v>
      </c>
      <c r="I4082" s="24">
        <v>199.0</v>
      </c>
      <c r="J4082" s="24">
        <v>0.0</v>
      </c>
      <c r="K4082" s="23" t="s">
        <v>34</v>
      </c>
      <c r="L4082" s="25">
        <v>42971.95024305556</v>
      </c>
      <c r="M4082" s="26" t="s">
        <v>9459</v>
      </c>
      <c r="N4082" s="26" t="s">
        <v>9460</v>
      </c>
      <c r="O4082" s="22" t="str">
        <f>HYPERLINK("https://pbs.twimg.com/profile_images/905510610795974657/ChPb7fGl_normal.jpg","View")</f>
        <v>View</v>
      </c>
      <c r="P4082" s="27"/>
    </row>
    <row r="4083">
      <c r="A4083" s="14">
        <v>43031.257152777776</v>
      </c>
      <c r="B4083" s="20" t="str">
        <f>HYPERLINK("https://twitter.com/SCMP_News","@SCMP_News")</f>
        <v>@SCMP_News</v>
      </c>
      <c r="C4083" s="21" t="s">
        <v>5484</v>
      </c>
      <c r="D4083" s="21" t="s">
        <v>9461</v>
      </c>
      <c r="E4083" s="22" t="str">
        <f>HYPERLINK("https://twitter.com/SCMP_News/status/922450107823480832","922450107823480832")</f>
        <v>922450107823480832</v>
      </c>
      <c r="F4083" s="23" t="s">
        <v>4619</v>
      </c>
      <c r="G4083" s="24">
        <v>505566.0</v>
      </c>
      <c r="H4083" s="24">
        <v>345.0</v>
      </c>
      <c r="I4083" s="24">
        <v>4.0</v>
      </c>
      <c r="J4083" s="24">
        <v>5.0</v>
      </c>
      <c r="K4083" s="23" t="s">
        <v>34</v>
      </c>
      <c r="L4083" s="25">
        <v>39884.07766203704</v>
      </c>
      <c r="M4083" s="26" t="s">
        <v>2185</v>
      </c>
      <c r="N4083" s="26" t="s">
        <v>5486</v>
      </c>
      <c r="O4083" s="22" t="str">
        <f>HYPERLINK("https://pbs.twimg.com/profile_images/593315521707159552/nSAjByJO_normal.png","View")</f>
        <v>View</v>
      </c>
      <c r="P4083" s="27"/>
    </row>
    <row r="4084">
      <c r="A4084" s="14">
        <v>43031.25728009259</v>
      </c>
      <c r="B4084" s="20" t="str">
        <f>HYPERLINK("https://twitter.com/tanselerdem4242","@tanselerdem4242")</f>
        <v>@tanselerdem4242</v>
      </c>
      <c r="C4084" s="21" t="s">
        <v>9462</v>
      </c>
      <c r="D4084" s="21" t="s">
        <v>9463</v>
      </c>
      <c r="E4084" s="22" t="str">
        <f>HYPERLINK("https://twitter.com/tanselerdem4242/status/922450153503588352","922450153503588352")</f>
        <v>922450153503588352</v>
      </c>
      <c r="F4084" s="23" t="s">
        <v>55</v>
      </c>
      <c r="G4084" s="24">
        <v>2924.0</v>
      </c>
      <c r="H4084" s="24">
        <v>3815.0</v>
      </c>
      <c r="I4084" s="24">
        <v>4.0</v>
      </c>
      <c r="J4084" s="24">
        <v>0.0</v>
      </c>
      <c r="K4084" s="23" t="s">
        <v>34</v>
      </c>
      <c r="L4084" s="25">
        <v>42110.22134259259</v>
      </c>
      <c r="M4084" s="28"/>
      <c r="N4084" s="26" t="s">
        <v>9464</v>
      </c>
      <c r="O4084" s="22" t="str">
        <f>HYPERLINK("https://pbs.twimg.com/profile_images/860973584864464897/BB_mhxeV_normal.jpg","View")</f>
        <v>View</v>
      </c>
      <c r="P4084" s="27"/>
    </row>
    <row r="4085">
      <c r="A4085" s="14">
        <v>43031.257314814815</v>
      </c>
      <c r="B4085" s="20" t="str">
        <f>HYPERLINK("https://twitter.com/cosgood957","@cosgood957")</f>
        <v>@cosgood957</v>
      </c>
      <c r="C4085" s="21" t="s">
        <v>9465</v>
      </c>
      <c r="D4085" s="21" t="s">
        <v>8665</v>
      </c>
      <c r="E4085" s="22" t="str">
        <f>HYPERLINK("https://twitter.com/cosgood957/status/922450166665367553","922450166665367553")</f>
        <v>922450166665367553</v>
      </c>
      <c r="F4085" s="23" t="s">
        <v>33</v>
      </c>
      <c r="G4085" s="24">
        <v>27.0</v>
      </c>
      <c r="H4085" s="24">
        <v>399.0</v>
      </c>
      <c r="I4085" s="24">
        <v>67.0</v>
      </c>
      <c r="J4085" s="24">
        <v>0.0</v>
      </c>
      <c r="K4085" s="23" t="s">
        <v>34</v>
      </c>
      <c r="L4085" s="25">
        <v>42064.45724537037</v>
      </c>
      <c r="M4085" s="28"/>
      <c r="N4085" s="26" t="s">
        <v>9466</v>
      </c>
      <c r="O4085" s="22" t="str">
        <f>HYPERLINK("https://pbs.twimg.com/profile_images/765248349972881408/KcVc_nhR_normal.jpg","View")</f>
        <v>View</v>
      </c>
      <c r="P4085" s="27"/>
    </row>
    <row r="4086">
      <c r="A4086" s="14">
        <v>43031.25733796296</v>
      </c>
      <c r="B4086" s="20" t="str">
        <f>HYPERLINK("https://twitter.com/gmkrishna","@gmkrishna")</f>
        <v>@gmkrishna</v>
      </c>
      <c r="C4086" s="21" t="s">
        <v>9467</v>
      </c>
      <c r="D4086" s="21" t="s">
        <v>163</v>
      </c>
      <c r="E4086" s="22" t="str">
        <f>HYPERLINK("https://twitter.com/gmkrishna/status/922450175003521024","922450175003521024")</f>
        <v>922450175003521024</v>
      </c>
      <c r="F4086" s="23" t="s">
        <v>33</v>
      </c>
      <c r="G4086" s="24">
        <v>2140.0</v>
      </c>
      <c r="H4086" s="24">
        <v>3328.0</v>
      </c>
      <c r="I4086" s="24">
        <v>1005.0</v>
      </c>
      <c r="J4086" s="24">
        <v>0.0</v>
      </c>
      <c r="K4086" s="23" t="s">
        <v>34</v>
      </c>
      <c r="L4086" s="25">
        <v>39981.328680555554</v>
      </c>
      <c r="M4086" s="26" t="s">
        <v>9468</v>
      </c>
      <c r="N4086" s="26" t="s">
        <v>9469</v>
      </c>
      <c r="O4086" s="22" t="str">
        <f>HYPERLINK("https://pbs.twimg.com/profile_images/574993059282182145/vXDw6bfp_normal.jpeg","View")</f>
        <v>View</v>
      </c>
      <c r="P4086" s="27"/>
    </row>
    <row r="4087">
      <c r="A4087" s="14">
        <v>43031.257361111115</v>
      </c>
      <c r="B4087" s="20" t="str">
        <f>HYPERLINK("https://twitter.com/AJITKUMARCHAND","@AJITKUMARCHAND")</f>
        <v>@AJITKUMARCHAND</v>
      </c>
      <c r="C4087" s="21" t="s">
        <v>9470</v>
      </c>
      <c r="D4087" s="21" t="s">
        <v>42</v>
      </c>
      <c r="E4087" s="22" t="str">
        <f>HYPERLINK("https://twitter.com/AJITKUMARCHAND/status/922450181194260480","922450181194260480")</f>
        <v>922450181194260480</v>
      </c>
      <c r="F4087" s="23" t="s">
        <v>43</v>
      </c>
      <c r="G4087" s="24">
        <v>33.0</v>
      </c>
      <c r="H4087" s="24">
        <v>772.0</v>
      </c>
      <c r="I4087" s="24">
        <v>8501.0</v>
      </c>
      <c r="J4087" s="24">
        <v>0.0</v>
      </c>
      <c r="K4087" s="23" t="s">
        <v>34</v>
      </c>
      <c r="L4087" s="25">
        <v>42388.396898148145</v>
      </c>
      <c r="M4087" s="26" t="s">
        <v>9471</v>
      </c>
      <c r="N4087" s="26" t="s">
        <v>9472</v>
      </c>
      <c r="O4087" s="22" t="str">
        <f>HYPERLINK("https://pbs.twimg.com/profile_images/825216215056523266/UVKQgEw-_normal.jpg","View")</f>
        <v>View</v>
      </c>
      <c r="P4087" s="27"/>
    </row>
    <row r="4088">
      <c r="A4088" s="14">
        <v>43031.257361111115</v>
      </c>
      <c r="B4088" s="20" t="str">
        <f>HYPERLINK("https://twitter.com/rbr6000","@rbr6000")</f>
        <v>@rbr6000</v>
      </c>
      <c r="C4088" s="21" t="s">
        <v>9473</v>
      </c>
      <c r="D4088" s="21" t="s">
        <v>163</v>
      </c>
      <c r="E4088" s="22" t="str">
        <f>HYPERLINK("https://twitter.com/rbr6000/status/922450183073308673","922450183073308673")</f>
        <v>922450183073308673</v>
      </c>
      <c r="F4088" s="23" t="s">
        <v>33</v>
      </c>
      <c r="G4088" s="24">
        <v>1199.0</v>
      </c>
      <c r="H4088" s="24">
        <v>1331.0</v>
      </c>
      <c r="I4088" s="24">
        <v>1005.0</v>
      </c>
      <c r="J4088" s="24">
        <v>0.0</v>
      </c>
      <c r="K4088" s="23" t="s">
        <v>34</v>
      </c>
      <c r="L4088" s="25">
        <v>41873.35690972222</v>
      </c>
      <c r="M4088" s="26" t="s">
        <v>204</v>
      </c>
      <c r="N4088" s="26" t="s">
        <v>9474</v>
      </c>
      <c r="O4088" s="22" t="str">
        <f>HYPERLINK("https://pbs.twimg.com/profile_images/803272679629303808/M3hFPgmr_normal.jpg","View")</f>
        <v>View</v>
      </c>
      <c r="P4088" s="27"/>
    </row>
    <row r="4089">
      <c r="A4089" s="14">
        <v>43031.25739583334</v>
      </c>
      <c r="B4089" s="20" t="str">
        <f>HYPERLINK("https://twitter.com/kishan13g","@kishan13g")</f>
        <v>@kishan13g</v>
      </c>
      <c r="C4089" s="21" t="s">
        <v>9475</v>
      </c>
      <c r="D4089" s="21" t="s">
        <v>42</v>
      </c>
      <c r="E4089" s="22" t="str">
        <f>HYPERLINK("https://twitter.com/kishan13g/status/922450194393849861","922450194393849861")</f>
        <v>922450194393849861</v>
      </c>
      <c r="F4089" s="23" t="s">
        <v>33</v>
      </c>
      <c r="G4089" s="24">
        <v>967.0</v>
      </c>
      <c r="H4089" s="24">
        <v>3266.0</v>
      </c>
      <c r="I4089" s="24">
        <v>8501.0</v>
      </c>
      <c r="J4089" s="24">
        <v>0.0</v>
      </c>
      <c r="K4089" s="23" t="s">
        <v>34</v>
      </c>
      <c r="L4089" s="25">
        <v>40173.30908564815</v>
      </c>
      <c r="M4089" s="26" t="s">
        <v>2967</v>
      </c>
      <c r="N4089" s="26" t="s">
        <v>9476</v>
      </c>
      <c r="O4089" s="22" t="str">
        <f>HYPERLINK("https://pbs.twimg.com/profile_images/916872276670214144/wHqfk9RS_normal.jpg","View")</f>
        <v>View</v>
      </c>
      <c r="P4089" s="27"/>
    </row>
    <row r="4090">
      <c r="A4090" s="14">
        <v>43031.25759259259</v>
      </c>
      <c r="B4090" s="20" t="str">
        <f>HYPERLINK("https://twitter.com/tynernews1","@tynernews1")</f>
        <v>@tynernews1</v>
      </c>
      <c r="C4090" s="21" t="s">
        <v>7702</v>
      </c>
      <c r="D4090" s="21" t="s">
        <v>9477</v>
      </c>
      <c r="E4090" s="22" t="str">
        <f>HYPERLINK("https://twitter.com/tynernews1/status/922450265982324736","922450265982324736")</f>
        <v>922450265982324736</v>
      </c>
      <c r="F4090" s="23" t="s">
        <v>1799</v>
      </c>
      <c r="G4090" s="24">
        <v>323.0</v>
      </c>
      <c r="H4090" s="24">
        <v>664.0</v>
      </c>
      <c r="I4090" s="24">
        <v>1.0</v>
      </c>
      <c r="J4090" s="24">
        <v>0.0</v>
      </c>
      <c r="K4090" s="23" t="s">
        <v>34</v>
      </c>
      <c r="L4090" s="25">
        <v>42345.68918981482</v>
      </c>
      <c r="M4090" s="28"/>
      <c r="N4090" s="26" t="s">
        <v>7704</v>
      </c>
      <c r="O4090" s="22" t="str">
        <f>HYPERLINK("https://pbs.twimg.com/profile_images/674024238865588224/oAM6pYow_normal.jpg","View")</f>
        <v>View</v>
      </c>
      <c r="P4090" s="27"/>
    </row>
    <row r="4091">
      <c r="A4091" s="14">
        <v>43031.257627314815</v>
      </c>
      <c r="B4091" s="20" t="str">
        <f>HYPERLINK("https://twitter.com/Frm34Dog","@Frm34Dog")</f>
        <v>@Frm34Dog</v>
      </c>
      <c r="C4091" s="21" t="s">
        <v>9478</v>
      </c>
      <c r="D4091" s="21" t="s">
        <v>32</v>
      </c>
      <c r="E4091" s="22" t="str">
        <f>HYPERLINK("https://twitter.com/Frm34Dog/status/922450277306982401","922450277306982401")</f>
        <v>922450277306982401</v>
      </c>
      <c r="F4091" s="23" t="s">
        <v>43</v>
      </c>
      <c r="G4091" s="24">
        <v>157.0</v>
      </c>
      <c r="H4091" s="24">
        <v>383.0</v>
      </c>
      <c r="I4091" s="24">
        <v>471.0</v>
      </c>
      <c r="J4091" s="24">
        <v>0.0</v>
      </c>
      <c r="K4091" s="23" t="s">
        <v>34</v>
      </c>
      <c r="L4091" s="25">
        <v>42493.23125</v>
      </c>
      <c r="M4091" s="26" t="s">
        <v>9479</v>
      </c>
      <c r="N4091" s="26" t="s">
        <v>9480</v>
      </c>
      <c r="O4091" s="22" t="str">
        <f>HYPERLINK("https://pbs.twimg.com/profile_images/913722723863547910/x2YI9Zgp_normal.jpg","View")</f>
        <v>View</v>
      </c>
      <c r="P4091" s="27"/>
    </row>
    <row r="4092">
      <c r="A4092" s="14">
        <v>43031.257627314815</v>
      </c>
      <c r="B4092" s="20" t="str">
        <f>HYPERLINK("https://twitter.com/jzca1l","@jzca1l")</f>
        <v>@jzca1l</v>
      </c>
      <c r="C4092" s="21" t="s">
        <v>7691</v>
      </c>
      <c r="D4092" s="21" t="s">
        <v>9481</v>
      </c>
      <c r="E4092" s="22" t="str">
        <f>HYPERLINK("https://twitter.com/jzca1l/status/922450281081716736","922450281081716736")</f>
        <v>922450281081716736</v>
      </c>
      <c r="F4092" s="23" t="s">
        <v>55</v>
      </c>
      <c r="G4092" s="24">
        <v>6.0</v>
      </c>
      <c r="H4092" s="24">
        <v>45.0</v>
      </c>
      <c r="I4092" s="24">
        <v>4.0</v>
      </c>
      <c r="J4092" s="24">
        <v>0.0</v>
      </c>
      <c r="K4092" s="23" t="s">
        <v>34</v>
      </c>
      <c r="L4092" s="25">
        <v>43002.06971064815</v>
      </c>
      <c r="M4092" s="26" t="s">
        <v>7693</v>
      </c>
      <c r="N4092" s="26" t="s">
        <v>7694</v>
      </c>
      <c r="O4092" s="22" t="str">
        <f>HYPERLINK("https://pbs.twimg.com/profile_images/911873755105837056/GuymLny2_normal.jpg","View")</f>
        <v>View</v>
      </c>
      <c r="P4092" s="27"/>
    </row>
    <row r="4093">
      <c r="A4093" s="14">
        <v>43031.25783564815</v>
      </c>
      <c r="B4093" s="20" t="str">
        <f>HYPERLINK("https://twitter.com/TJPTerryeP1","@TJPTerryeP1")</f>
        <v>@TJPTerryeP1</v>
      </c>
      <c r="C4093" s="21" t="s">
        <v>9482</v>
      </c>
      <c r="D4093" s="21" t="s">
        <v>760</v>
      </c>
      <c r="E4093" s="22" t="str">
        <f>HYPERLINK("https://twitter.com/TJPTerryeP1/status/922450355094507520","922450355094507520")</f>
        <v>922450355094507520</v>
      </c>
      <c r="F4093" s="23" t="s">
        <v>39</v>
      </c>
      <c r="G4093" s="24">
        <v>98.0</v>
      </c>
      <c r="H4093" s="24">
        <v>216.0</v>
      </c>
      <c r="I4093" s="24">
        <v>62.0</v>
      </c>
      <c r="J4093" s="24">
        <v>0.0</v>
      </c>
      <c r="K4093" s="23" t="s">
        <v>34</v>
      </c>
      <c r="L4093" s="25">
        <v>42916.292071759264</v>
      </c>
      <c r="M4093" s="26" t="s">
        <v>4411</v>
      </c>
      <c r="N4093" s="28"/>
      <c r="O4093" s="22" t="str">
        <f>HYPERLINK("https://pbs.twimg.com/profile_images/880808517661335552/LVbxCJfI_normal.jpg","View")</f>
        <v>View</v>
      </c>
      <c r="P4093" s="27"/>
    </row>
    <row r="4094">
      <c r="A4094" s="14">
        <v>43031.25784722222</v>
      </c>
      <c r="B4094" s="20" t="str">
        <f>HYPERLINK("https://twitter.com/dheerajr604","@dheerajr604")</f>
        <v>@dheerajr604</v>
      </c>
      <c r="C4094" s="21" t="s">
        <v>9483</v>
      </c>
      <c r="D4094" s="21" t="s">
        <v>42</v>
      </c>
      <c r="E4094" s="22" t="str">
        <f>HYPERLINK("https://twitter.com/dheerajr604/status/922450357015363584","922450357015363584")</f>
        <v>922450357015363584</v>
      </c>
      <c r="F4094" s="23" t="s">
        <v>33</v>
      </c>
      <c r="G4094" s="24">
        <v>84.0</v>
      </c>
      <c r="H4094" s="24">
        <v>457.0</v>
      </c>
      <c r="I4094" s="24">
        <v>8501.0</v>
      </c>
      <c r="J4094" s="24">
        <v>0.0</v>
      </c>
      <c r="K4094" s="23" t="s">
        <v>34</v>
      </c>
      <c r="L4094" s="25">
        <v>42413.139131944445</v>
      </c>
      <c r="M4094" s="26" t="s">
        <v>9484</v>
      </c>
      <c r="N4094" s="26" t="s">
        <v>9485</v>
      </c>
      <c r="O4094" s="22" t="str">
        <f>HYPERLINK("https://pbs.twimg.com/profile_images/920680467254337537/PA4pCKVn_normal.jpg","View")</f>
        <v>View</v>
      </c>
      <c r="P4094" s="27"/>
    </row>
    <row r="4095">
      <c r="A4095" s="14">
        <v>43031.25791666667</v>
      </c>
      <c r="B4095" s="20" t="str">
        <f>HYPERLINK("https://twitter.com/Chilhon2016Lap","@Chilhon2016Lap")</f>
        <v>@Chilhon2016Lap</v>
      </c>
      <c r="C4095" s="21" t="s">
        <v>9486</v>
      </c>
      <c r="D4095" s="21" t="s">
        <v>5309</v>
      </c>
      <c r="E4095" s="22" t="str">
        <f>HYPERLINK("https://twitter.com/Chilhon2016Lap/status/922450383028580352","922450383028580352")</f>
        <v>922450383028580352</v>
      </c>
      <c r="F4095" s="23" t="s">
        <v>39</v>
      </c>
      <c r="G4095" s="24">
        <v>3466.0</v>
      </c>
      <c r="H4095" s="24">
        <v>5001.0</v>
      </c>
      <c r="I4095" s="24">
        <v>22.0</v>
      </c>
      <c r="J4095" s="24">
        <v>0.0</v>
      </c>
      <c r="K4095" s="23" t="s">
        <v>34</v>
      </c>
      <c r="L4095" s="25">
        <v>42471.7478587963</v>
      </c>
      <c r="M4095" s="26" t="s">
        <v>5053</v>
      </c>
      <c r="N4095" s="26" t="s">
        <v>9487</v>
      </c>
      <c r="O4095" s="22" t="str">
        <f>HYPERLINK("https://pbs.twimg.com/profile_images/719693004949360641/vweVq-L2_normal.jpg","View")</f>
        <v>View</v>
      </c>
      <c r="P4095" s="27"/>
    </row>
    <row r="4096">
      <c r="A4096" s="14">
        <v>43031.257997685185</v>
      </c>
      <c r="B4096" s="20" t="str">
        <f>HYPERLINK("https://twitter.com/tt2590153taro","@tt2590153taro")</f>
        <v>@tt2590153taro</v>
      </c>
      <c r="C4096" s="21" t="s">
        <v>9488</v>
      </c>
      <c r="D4096" s="21" t="s">
        <v>9481</v>
      </c>
      <c r="E4096" s="22" t="str">
        <f>HYPERLINK("https://twitter.com/tt2590153taro/status/922450413705617409","922450413705617409")</f>
        <v>922450413705617409</v>
      </c>
      <c r="F4096" s="23" t="s">
        <v>3572</v>
      </c>
      <c r="G4096" s="24">
        <v>613.0</v>
      </c>
      <c r="H4096" s="24">
        <v>477.0</v>
      </c>
      <c r="I4096" s="24">
        <v>4.0</v>
      </c>
      <c r="J4096" s="24">
        <v>0.0</v>
      </c>
      <c r="K4096" s="23" t="s">
        <v>34</v>
      </c>
      <c r="L4096" s="25">
        <v>40357.12003472222</v>
      </c>
      <c r="M4096" s="26" t="s">
        <v>9489</v>
      </c>
      <c r="N4096" s="26" t="s">
        <v>9490</v>
      </c>
      <c r="O4096" s="22" t="str">
        <f>HYPERLINK("https://pbs.twimg.com/profile_images/870443279879258112/UEa_ReLA_normal.jpg","View")</f>
        <v>View</v>
      </c>
      <c r="P4096" s="27"/>
    </row>
    <row r="4097">
      <c r="A4097" s="14">
        <v>43031.25804398148</v>
      </c>
      <c r="B4097" s="20" t="str">
        <f>HYPERLINK("https://twitter.com/Chilhon2016Lap","@Chilhon2016Lap")</f>
        <v>@Chilhon2016Lap</v>
      </c>
      <c r="C4097" s="21" t="s">
        <v>9486</v>
      </c>
      <c r="D4097" s="21" t="s">
        <v>3867</v>
      </c>
      <c r="E4097" s="22" t="str">
        <f>HYPERLINK("https://twitter.com/Chilhon2016Lap/status/922450429568585729","922450429568585729")</f>
        <v>922450429568585729</v>
      </c>
      <c r="F4097" s="23" t="s">
        <v>39</v>
      </c>
      <c r="G4097" s="24">
        <v>3466.0</v>
      </c>
      <c r="H4097" s="24">
        <v>5001.0</v>
      </c>
      <c r="I4097" s="24">
        <v>23.0</v>
      </c>
      <c r="J4097" s="24">
        <v>0.0</v>
      </c>
      <c r="K4097" s="23" t="s">
        <v>34</v>
      </c>
      <c r="L4097" s="25">
        <v>42471.7478587963</v>
      </c>
      <c r="M4097" s="26" t="s">
        <v>5053</v>
      </c>
      <c r="N4097" s="26" t="s">
        <v>9487</v>
      </c>
      <c r="O4097" s="22" t="str">
        <f>HYPERLINK("https://pbs.twimg.com/profile_images/719693004949360641/vweVq-L2_normal.jpg","View")</f>
        <v>View</v>
      </c>
      <c r="P4097" s="27"/>
    </row>
    <row r="4098">
      <c r="A4098" s="14">
        <v>43031.25806712963</v>
      </c>
      <c r="B4098" s="20" t="str">
        <f>HYPERLINK("https://twitter.com/No_One_ARYA","@No_One_ARYA")</f>
        <v>@No_One_ARYA</v>
      </c>
      <c r="C4098" s="21" t="s">
        <v>9491</v>
      </c>
      <c r="D4098" s="21" t="s">
        <v>42</v>
      </c>
      <c r="E4098" s="22" t="str">
        <f>HYPERLINK("https://twitter.com/No_One_ARYA/status/922450438833635329","922450438833635329")</f>
        <v>922450438833635329</v>
      </c>
      <c r="F4098" s="23" t="s">
        <v>33</v>
      </c>
      <c r="G4098" s="24">
        <v>99.0</v>
      </c>
      <c r="H4098" s="24">
        <v>40.0</v>
      </c>
      <c r="I4098" s="24">
        <v>8501.0</v>
      </c>
      <c r="J4098" s="24">
        <v>0.0</v>
      </c>
      <c r="K4098" s="23" t="s">
        <v>34</v>
      </c>
      <c r="L4098" s="25">
        <v>41954.181180555555</v>
      </c>
      <c r="M4098" s="28"/>
      <c r="N4098" s="28"/>
      <c r="O4098" s="22" t="str">
        <f>HYPERLINK("https://pbs.twimg.com/profile_images/906039260284719104/gGHgeuYj_normal.jpg","View")</f>
        <v>View</v>
      </c>
      <c r="P4098" s="27"/>
    </row>
    <row r="4099">
      <c r="A4099" s="14">
        <v>43031.2580787037</v>
      </c>
      <c r="B4099" s="20" t="str">
        <f>HYPERLINK("https://twitter.com/purpleibby","@purpleibby")</f>
        <v>@purpleibby</v>
      </c>
      <c r="C4099" s="21" t="s">
        <v>9492</v>
      </c>
      <c r="D4099" s="21" t="s">
        <v>42</v>
      </c>
      <c r="E4099" s="22" t="str">
        <f>HYPERLINK("https://twitter.com/purpleibby/status/922450440670851072","922450440670851072")</f>
        <v>922450440670851072</v>
      </c>
      <c r="F4099" s="23" t="s">
        <v>55</v>
      </c>
      <c r="G4099" s="24">
        <v>1071.0</v>
      </c>
      <c r="H4099" s="24">
        <v>1302.0</v>
      </c>
      <c r="I4099" s="24">
        <v>8501.0</v>
      </c>
      <c r="J4099" s="24">
        <v>0.0</v>
      </c>
      <c r="K4099" s="23" t="s">
        <v>34</v>
      </c>
      <c r="L4099" s="25">
        <v>42461.86460648148</v>
      </c>
      <c r="M4099" s="28"/>
      <c r="N4099" s="26" t="s">
        <v>9493</v>
      </c>
      <c r="O4099" s="22" t="str">
        <f>HYPERLINK("https://pbs.twimg.com/profile_images/716113649459290112/O4sgIw6m_normal.jpg","View")</f>
        <v>View</v>
      </c>
      <c r="P4099" s="27"/>
    </row>
    <row r="4100">
      <c r="A4100" s="14">
        <v>43031.25813657408</v>
      </c>
      <c r="B4100" s="20" t="str">
        <f>HYPERLINK("https://twitter.com/sudeepjaiswal7","@sudeepjaiswal7")</f>
        <v>@sudeepjaiswal7</v>
      </c>
      <c r="C4100" s="21" t="s">
        <v>9494</v>
      </c>
      <c r="D4100" s="21" t="s">
        <v>42</v>
      </c>
      <c r="E4100" s="22" t="str">
        <f>HYPERLINK("https://twitter.com/sudeepjaiswal7/status/922450463307415552","922450463307415552")</f>
        <v>922450463307415552</v>
      </c>
      <c r="F4100" s="23" t="s">
        <v>33</v>
      </c>
      <c r="G4100" s="24">
        <v>134.0</v>
      </c>
      <c r="H4100" s="24">
        <v>121.0</v>
      </c>
      <c r="I4100" s="24">
        <v>8501.0</v>
      </c>
      <c r="J4100" s="24">
        <v>0.0</v>
      </c>
      <c r="K4100" s="23" t="s">
        <v>34</v>
      </c>
      <c r="L4100" s="25">
        <v>42394.92325231481</v>
      </c>
      <c r="M4100" s="28"/>
      <c r="N4100" s="28"/>
      <c r="O4100" s="22" t="str">
        <f>HYPERLINK("https://pbs.twimg.com/profile_images/877789942021328897/aK-BV3qg_normal.jpg","View")</f>
        <v>View</v>
      </c>
      <c r="P4100" s="27"/>
    </row>
    <row r="4101">
      <c r="A4101" s="14">
        <v>43031.25813657408</v>
      </c>
      <c r="B4101" s="20" t="str">
        <f>HYPERLINK("https://twitter.com/akira449944","@akira449944")</f>
        <v>@akira449944</v>
      </c>
      <c r="C4101" s="21" t="s">
        <v>9495</v>
      </c>
      <c r="D4101" s="21" t="s">
        <v>42</v>
      </c>
      <c r="E4101" s="22" t="str">
        <f>HYPERLINK("https://twitter.com/akira449944/status/922450463412203520","922450463412203520")</f>
        <v>922450463412203520</v>
      </c>
      <c r="F4101" s="23" t="s">
        <v>39</v>
      </c>
      <c r="G4101" s="24">
        <v>459.0</v>
      </c>
      <c r="H4101" s="24">
        <v>603.0</v>
      </c>
      <c r="I4101" s="24">
        <v>8501.0</v>
      </c>
      <c r="J4101" s="24">
        <v>0.0</v>
      </c>
      <c r="K4101" s="23" t="s">
        <v>34</v>
      </c>
      <c r="L4101" s="25">
        <v>40544.8612037037</v>
      </c>
      <c r="M4101" s="26" t="s">
        <v>71</v>
      </c>
      <c r="N4101" s="26" t="s">
        <v>9496</v>
      </c>
      <c r="O4101" s="22" t="str">
        <f>HYPERLINK("https://pbs.twimg.com/profile_images/825662279312035840/Vd0QBEuE_normal.jpg","View")</f>
        <v>View</v>
      </c>
      <c r="P4101" s="27"/>
    </row>
    <row r="4102">
      <c r="A4102" s="14">
        <v>43031.25813657408</v>
      </c>
      <c r="B4102" s="20" t="str">
        <f>HYPERLINK("https://twitter.com/ChinChanKaka","@ChinChanKaka")</f>
        <v>@ChinChanKaka</v>
      </c>
      <c r="C4102" s="21" t="s">
        <v>9497</v>
      </c>
      <c r="D4102" s="21" t="s">
        <v>42</v>
      </c>
      <c r="E4102" s="22" t="str">
        <f>HYPERLINK("https://twitter.com/ChinChanKaka/status/922450465706557441","922450465706557441")</f>
        <v>922450465706557441</v>
      </c>
      <c r="F4102" s="23" t="s">
        <v>33</v>
      </c>
      <c r="G4102" s="24">
        <v>150.0</v>
      </c>
      <c r="H4102" s="24">
        <v>41.0</v>
      </c>
      <c r="I4102" s="24">
        <v>8501.0</v>
      </c>
      <c r="J4102" s="24">
        <v>0.0</v>
      </c>
      <c r="K4102" s="23" t="s">
        <v>34</v>
      </c>
      <c r="L4102" s="25">
        <v>40734.16270833333</v>
      </c>
      <c r="M4102" s="28"/>
      <c r="N4102" s="26" t="s">
        <v>9498</v>
      </c>
      <c r="O4102" s="22" t="str">
        <f>HYPERLINK("https://pbs.twimg.com/profile_images/919919562967040004/LA4c3Npa_normal.jpg","View")</f>
        <v>View</v>
      </c>
      <c r="P4102" s="27"/>
    </row>
    <row r="4103">
      <c r="A4103" s="14">
        <v>43031.258252314816</v>
      </c>
      <c r="B4103" s="20" t="str">
        <f>HYPERLINK("https://twitter.com/AbutoDerric","@AbutoDerric")</f>
        <v>@AbutoDerric</v>
      </c>
      <c r="C4103" s="21" t="s">
        <v>9499</v>
      </c>
      <c r="D4103" s="21" t="s">
        <v>32</v>
      </c>
      <c r="E4103" s="22" t="str">
        <f>HYPERLINK("https://twitter.com/AbutoDerric/status/922450505908895745","922450505908895745")</f>
        <v>922450505908895745</v>
      </c>
      <c r="F4103" s="23" t="s">
        <v>33</v>
      </c>
      <c r="G4103" s="24">
        <v>253.0</v>
      </c>
      <c r="H4103" s="24">
        <v>507.0</v>
      </c>
      <c r="I4103" s="24">
        <v>471.0</v>
      </c>
      <c r="J4103" s="24">
        <v>0.0</v>
      </c>
      <c r="K4103" s="23" t="s">
        <v>34</v>
      </c>
      <c r="L4103" s="25">
        <v>41991.53202546296</v>
      </c>
      <c r="M4103" s="26" t="s">
        <v>114</v>
      </c>
      <c r="N4103" s="26" t="s">
        <v>9500</v>
      </c>
      <c r="O4103" s="22" t="str">
        <f>HYPERLINK("https://pbs.twimg.com/profile_images/891943924041994240/GKT7L4be_normal.jpg","View")</f>
        <v>View</v>
      </c>
      <c r="P4103" s="27"/>
    </row>
    <row r="4104">
      <c r="A4104" s="14">
        <v>43031.25833333333</v>
      </c>
      <c r="B4104" s="20" t="str">
        <f>HYPERLINK("https://twitter.com/bonja1","@bonja1")</f>
        <v>@bonja1</v>
      </c>
      <c r="C4104" s="21" t="s">
        <v>9250</v>
      </c>
      <c r="D4104" s="21" t="s">
        <v>42</v>
      </c>
      <c r="E4104" s="22" t="str">
        <f>HYPERLINK("https://twitter.com/bonja1/status/922450534895890434","922450534895890434")</f>
        <v>922450534895890434</v>
      </c>
      <c r="F4104" s="23" t="s">
        <v>39</v>
      </c>
      <c r="G4104" s="24">
        <v>1114.0</v>
      </c>
      <c r="H4104" s="24">
        <v>1058.0</v>
      </c>
      <c r="I4104" s="24">
        <v>8501.0</v>
      </c>
      <c r="J4104" s="24">
        <v>0.0</v>
      </c>
      <c r="K4104" s="23" t="s">
        <v>34</v>
      </c>
      <c r="L4104" s="25">
        <v>40618.80684027778</v>
      </c>
      <c r="M4104" s="26" t="s">
        <v>905</v>
      </c>
      <c r="N4104" s="26" t="s">
        <v>9252</v>
      </c>
      <c r="O4104" s="22" t="str">
        <f>HYPERLINK("https://pbs.twimg.com/profile_images/1910919510/longhorns_5_normal.PNG","View")</f>
        <v>View</v>
      </c>
      <c r="P4104" s="27"/>
    </row>
    <row r="4105">
      <c r="A4105" s="14">
        <v>43031.25833333333</v>
      </c>
      <c r="B4105" s="20" t="str">
        <f>HYPERLINK("https://twitter.com/ahluwalia_dev","@ahluwalia_dev")</f>
        <v>@ahluwalia_dev</v>
      </c>
      <c r="C4105" s="21" t="s">
        <v>9501</v>
      </c>
      <c r="D4105" s="21" t="s">
        <v>42</v>
      </c>
      <c r="E4105" s="22" t="str">
        <f>HYPERLINK("https://twitter.com/ahluwalia_dev/status/922450536531509249","922450536531509249")</f>
        <v>922450536531509249</v>
      </c>
      <c r="F4105" s="23" t="s">
        <v>33</v>
      </c>
      <c r="G4105" s="24">
        <v>4.0</v>
      </c>
      <c r="H4105" s="24">
        <v>15.0</v>
      </c>
      <c r="I4105" s="24">
        <v>8501.0</v>
      </c>
      <c r="J4105" s="24">
        <v>0.0</v>
      </c>
      <c r="K4105" s="23" t="s">
        <v>34</v>
      </c>
      <c r="L4105" s="25">
        <v>42332.34359953704</v>
      </c>
      <c r="M4105" s="26" t="s">
        <v>9502</v>
      </c>
      <c r="N4105" s="28"/>
      <c r="O4105" s="22" t="str">
        <f>HYPERLINK("https://pbs.twimg.com/profile_images/674249223546601472/aAy_xR4w_normal.jpg","View")</f>
        <v>View</v>
      </c>
      <c r="P4105" s="27"/>
    </row>
    <row r="4106">
      <c r="A4106" s="14">
        <v>43031.258368055554</v>
      </c>
      <c r="B4106" s="20" t="str">
        <f>HYPERLINK("https://twitter.com/kamalmehadia59","@kamalmehadia59")</f>
        <v>@kamalmehadia59</v>
      </c>
      <c r="C4106" s="21" t="s">
        <v>9503</v>
      </c>
      <c r="D4106" s="21" t="s">
        <v>42</v>
      </c>
      <c r="E4106" s="22" t="str">
        <f>HYPERLINK("https://twitter.com/kamalmehadia59/status/922450547340279808","922450547340279808")</f>
        <v>922450547340279808</v>
      </c>
      <c r="F4106" s="23" t="s">
        <v>33</v>
      </c>
      <c r="G4106" s="24">
        <v>5.0</v>
      </c>
      <c r="H4106" s="24">
        <v>14.0</v>
      </c>
      <c r="I4106" s="24">
        <v>8501.0</v>
      </c>
      <c r="J4106" s="24">
        <v>0.0</v>
      </c>
      <c r="K4106" s="23" t="s">
        <v>34</v>
      </c>
      <c r="L4106" s="25">
        <v>41490.4422337963</v>
      </c>
      <c r="M4106" s="26" t="s">
        <v>9504</v>
      </c>
      <c r="N4106" s="28"/>
      <c r="O4106" s="22" t="str">
        <f>HYPERLINK("https://abs.twimg.com/sticky/default_profile_images/default_profile_normal.png","View")</f>
        <v>View</v>
      </c>
      <c r="P4106" s="27"/>
    </row>
    <row r="4107">
      <c r="A4107" s="14">
        <v>43031.25839120371</v>
      </c>
      <c r="B4107" s="20" t="str">
        <f>HYPERLINK("https://twitter.com/jeffers75109741","@jeffers75109741")</f>
        <v>@jeffers75109741</v>
      </c>
      <c r="C4107" s="21" t="s">
        <v>7695</v>
      </c>
      <c r="D4107" s="21" t="s">
        <v>9481</v>
      </c>
      <c r="E4107" s="22" t="str">
        <f>HYPERLINK("https://twitter.com/jeffers75109741/status/922450554260930561","922450554260930561")</f>
        <v>922450554260930561</v>
      </c>
      <c r="F4107" s="23" t="s">
        <v>55</v>
      </c>
      <c r="G4107" s="24">
        <v>3.0</v>
      </c>
      <c r="H4107" s="24">
        <v>52.0</v>
      </c>
      <c r="I4107" s="24">
        <v>4.0</v>
      </c>
      <c r="J4107" s="24">
        <v>0.0</v>
      </c>
      <c r="K4107" s="23" t="s">
        <v>34</v>
      </c>
      <c r="L4107" s="25">
        <v>43020.28111111111</v>
      </c>
      <c r="M4107" s="28"/>
      <c r="N4107" s="28"/>
      <c r="O4107" s="22" t="str">
        <f>HYPERLINK("https://pbs.twimg.com/profile_images/920298934626426882/2opxO_ju_normal.jpg","View")</f>
        <v>View</v>
      </c>
      <c r="P4107" s="27"/>
    </row>
    <row r="4108">
      <c r="A4108" s="14">
        <v>43031.25846064815</v>
      </c>
      <c r="B4108" s="20" t="str">
        <f>HYPERLINK("https://twitter.com/katyballs","@katyballs")</f>
        <v>@katyballs</v>
      </c>
      <c r="C4108" s="21" t="s">
        <v>9505</v>
      </c>
      <c r="D4108" s="21" t="s">
        <v>9506</v>
      </c>
      <c r="E4108" s="22" t="str">
        <f>HYPERLINK("https://twitter.com/katyballs/status/922450582409043968","922450582409043968")</f>
        <v>922450582409043968</v>
      </c>
      <c r="F4108" s="23" t="s">
        <v>769</v>
      </c>
      <c r="G4108" s="24">
        <v>5924.0</v>
      </c>
      <c r="H4108" s="24">
        <v>1334.0</v>
      </c>
      <c r="I4108" s="24">
        <v>0.0</v>
      </c>
      <c r="J4108" s="24">
        <v>1.0</v>
      </c>
      <c r="K4108" s="23" t="s">
        <v>34</v>
      </c>
      <c r="L4108" s="25">
        <v>40427.358622685184</v>
      </c>
      <c r="M4108" s="28"/>
      <c r="N4108" s="26" t="s">
        <v>9507</v>
      </c>
      <c r="O4108" s="22" t="str">
        <f>HYPERLINK("https://pbs.twimg.com/profile_images/863029968271548416/1S-NMj-g_normal.jpg","View")</f>
        <v>View</v>
      </c>
      <c r="P4108" s="27"/>
    </row>
    <row r="4109">
      <c r="A4109" s="14">
        <v>43031.25854166667</v>
      </c>
      <c r="B4109" s="20" t="str">
        <f>HYPERLINK("https://twitter.com/siddhantbhard27","@siddhantbhard27")</f>
        <v>@siddhantbhard27</v>
      </c>
      <c r="C4109" s="21" t="s">
        <v>9508</v>
      </c>
      <c r="D4109" s="21" t="s">
        <v>42</v>
      </c>
      <c r="E4109" s="22" t="str">
        <f>HYPERLINK("https://twitter.com/siddhantbhard27/status/922450609311309825","922450609311309825")</f>
        <v>922450609311309825</v>
      </c>
      <c r="F4109" s="23" t="s">
        <v>33</v>
      </c>
      <c r="G4109" s="24">
        <v>209.0</v>
      </c>
      <c r="H4109" s="24">
        <v>2087.0</v>
      </c>
      <c r="I4109" s="24">
        <v>8501.0</v>
      </c>
      <c r="J4109" s="24">
        <v>0.0</v>
      </c>
      <c r="K4109" s="23" t="s">
        <v>34</v>
      </c>
      <c r="L4109" s="25">
        <v>42937.406701388885</v>
      </c>
      <c r="M4109" s="26" t="s">
        <v>227</v>
      </c>
      <c r="N4109" s="26" t="s">
        <v>9509</v>
      </c>
      <c r="O4109" s="22" t="str">
        <f>HYPERLINK("https://pbs.twimg.com/profile_images/888442993350279169/miDyeN___normal.jpg","View")</f>
        <v>View</v>
      </c>
      <c r="P4109" s="27"/>
    </row>
    <row r="4110">
      <c r="A4110" s="14">
        <v>43031.258564814816</v>
      </c>
      <c r="B4110" s="20" t="str">
        <f>HYPERLINK("https://twitter.com/kei130662649546","@kei130662649546")</f>
        <v>@kei130662649546</v>
      </c>
      <c r="C4110" s="21" t="s">
        <v>9510</v>
      </c>
      <c r="D4110" s="21" t="s">
        <v>42</v>
      </c>
      <c r="E4110" s="22" t="str">
        <f>HYPERLINK("https://twitter.com/kei130662649546/status/922450617070579720","922450617070579720")</f>
        <v>922450617070579720</v>
      </c>
      <c r="F4110" s="23" t="s">
        <v>33</v>
      </c>
      <c r="G4110" s="24">
        <v>3499.0</v>
      </c>
      <c r="H4110" s="24">
        <v>3412.0</v>
      </c>
      <c r="I4110" s="24">
        <v>8501.0</v>
      </c>
      <c r="J4110" s="24">
        <v>0.0</v>
      </c>
      <c r="K4110" s="23" t="s">
        <v>34</v>
      </c>
      <c r="L4110" s="25">
        <v>41945.08236111111</v>
      </c>
      <c r="M4110" s="26" t="s">
        <v>9511</v>
      </c>
      <c r="N4110" s="26" t="s">
        <v>9512</v>
      </c>
      <c r="O4110" s="22" t="str">
        <f>HYPERLINK("https://pbs.twimg.com/profile_images/876760555884748801/S4pHq1zj_normal.jpg","View")</f>
        <v>View</v>
      </c>
      <c r="P4110" s="27"/>
    </row>
    <row r="4111">
      <c r="A4111" s="14">
        <v>43031.258611111116</v>
      </c>
      <c r="B4111" s="20" t="str">
        <f>HYPERLINK("https://twitter.com/jb_houriez","@jb_houriez")</f>
        <v>@jb_houriez</v>
      </c>
      <c r="C4111" s="21" t="s">
        <v>9513</v>
      </c>
      <c r="D4111" s="21" t="s">
        <v>9514</v>
      </c>
      <c r="E4111" s="22" t="str">
        <f>HYPERLINK("https://twitter.com/jb_houriez/status/922450636679106560","922450636679106560")</f>
        <v>922450636679106560</v>
      </c>
      <c r="F4111" s="23" t="s">
        <v>39</v>
      </c>
      <c r="G4111" s="24">
        <v>280.0</v>
      </c>
      <c r="H4111" s="24">
        <v>957.0</v>
      </c>
      <c r="I4111" s="24">
        <v>7.0</v>
      </c>
      <c r="J4111" s="24">
        <v>0.0</v>
      </c>
      <c r="K4111" s="23" t="s">
        <v>34</v>
      </c>
      <c r="L4111" s="25">
        <v>39939.26903935185</v>
      </c>
      <c r="M4111" s="26" t="s">
        <v>246</v>
      </c>
      <c r="N4111" s="26" t="s">
        <v>9515</v>
      </c>
      <c r="O4111" s="22" t="str">
        <f>HYPERLINK("https://pbs.twimg.com/profile_images/897547510373388289/kgsKPJgF_normal.jpg","View")</f>
        <v>View</v>
      </c>
      <c r="P4111" s="27"/>
    </row>
    <row r="4112">
      <c r="A4112" s="14">
        <v>43031.25885416666</v>
      </c>
      <c r="B4112" s="20" t="str">
        <f>HYPERLINK("https://twitter.com/weijgenberger","@weijgenberger")</f>
        <v>@weijgenberger</v>
      </c>
      <c r="C4112" s="21" t="s">
        <v>9516</v>
      </c>
      <c r="D4112" s="21" t="s">
        <v>9517</v>
      </c>
      <c r="E4112" s="22" t="str">
        <f>HYPERLINK("https://twitter.com/weijgenberger/status/922450721668202496","922450721668202496")</f>
        <v>922450721668202496</v>
      </c>
      <c r="F4112" s="23" t="s">
        <v>55</v>
      </c>
      <c r="G4112" s="24">
        <v>65.0</v>
      </c>
      <c r="H4112" s="24">
        <v>48.0</v>
      </c>
      <c r="I4112" s="24">
        <v>0.0</v>
      </c>
      <c r="J4112" s="24">
        <v>0.0</v>
      </c>
      <c r="K4112" s="23" t="s">
        <v>34</v>
      </c>
      <c r="L4112" s="25">
        <v>40102.06650462963</v>
      </c>
      <c r="M4112" s="28"/>
      <c r="N4112" s="28"/>
      <c r="O4112" s="22" t="str">
        <f>HYPERLINK("https://pbs.twimg.com/profile_images/561184975697895425/oEUJ3Hjt_normal.jpeg","View")</f>
        <v>View</v>
      </c>
      <c r="P4112" s="27"/>
    </row>
    <row r="4113">
      <c r="A4113" s="14">
        <v>43031.258935185186</v>
      </c>
      <c r="B4113" s="20" t="str">
        <f>HYPERLINK("https://twitter.com/toxic_saint","@toxic_saint")</f>
        <v>@toxic_saint</v>
      </c>
      <c r="C4113" s="21" t="s">
        <v>9518</v>
      </c>
      <c r="D4113" s="21" t="s">
        <v>42</v>
      </c>
      <c r="E4113" s="22" t="str">
        <f>HYPERLINK("https://twitter.com/toxic_saint/status/922450752198524929","922450752198524929")</f>
        <v>922450752198524929</v>
      </c>
      <c r="F4113" s="23" t="s">
        <v>39</v>
      </c>
      <c r="G4113" s="24">
        <v>1804.0</v>
      </c>
      <c r="H4113" s="24">
        <v>222.0</v>
      </c>
      <c r="I4113" s="24">
        <v>8501.0</v>
      </c>
      <c r="J4113" s="24">
        <v>0.0</v>
      </c>
      <c r="K4113" s="23" t="s">
        <v>34</v>
      </c>
      <c r="L4113" s="25">
        <v>40233.884259259255</v>
      </c>
      <c r="M4113" s="26" t="s">
        <v>9519</v>
      </c>
      <c r="N4113" s="26" t="s">
        <v>9520</v>
      </c>
      <c r="O4113" s="22" t="str">
        <f>HYPERLINK("https://pbs.twimg.com/profile_images/685175116502728704/_vJBMX53_normal.jpg","View")</f>
        <v>View</v>
      </c>
      <c r="P4113" s="27"/>
    </row>
    <row r="4114">
      <c r="A4114" s="14">
        <v>43031.25896990741</v>
      </c>
      <c r="B4114" s="20" t="str">
        <f>HYPERLINK("https://twitter.com/komachi3_m","@komachi3_m")</f>
        <v>@komachi3_m</v>
      </c>
      <c r="C4114" s="21" t="s">
        <v>9521</v>
      </c>
      <c r="D4114" s="21" t="s">
        <v>1642</v>
      </c>
      <c r="E4114" s="22" t="str">
        <f>HYPERLINK("https://twitter.com/komachi3_m/status/922450765603418112","922450765603418112")</f>
        <v>922450765603418112</v>
      </c>
      <c r="F4114" s="23" t="s">
        <v>39</v>
      </c>
      <c r="G4114" s="24">
        <v>264.0</v>
      </c>
      <c r="H4114" s="24">
        <v>1096.0</v>
      </c>
      <c r="I4114" s="24">
        <v>199.0</v>
      </c>
      <c r="J4114" s="24">
        <v>0.0</v>
      </c>
      <c r="K4114" s="23" t="s">
        <v>34</v>
      </c>
      <c r="L4114" s="25">
        <v>39871.13025462963</v>
      </c>
      <c r="M4114" s="26" t="s">
        <v>271</v>
      </c>
      <c r="N4114" s="26" t="s">
        <v>9522</v>
      </c>
      <c r="O4114" s="22" t="str">
        <f>HYPERLINK("https://pbs.twimg.com/profile_images/557782846044397570/EPFw5U9Z_normal.jpeg","View")</f>
        <v>View</v>
      </c>
      <c r="P4114" s="27"/>
    </row>
    <row r="4115">
      <c r="A4115" s="14">
        <v>43031.258981481486</v>
      </c>
      <c r="B4115" s="20" t="str">
        <f>HYPERLINK("https://twitter.com/FOXHOUNDER1014","@FOXHOUNDER1014")</f>
        <v>@FOXHOUNDER1014</v>
      </c>
      <c r="C4115" s="21" t="s">
        <v>9523</v>
      </c>
      <c r="D4115" s="21" t="s">
        <v>9524</v>
      </c>
      <c r="E4115" s="22" t="str">
        <f>HYPERLINK("https://twitter.com/FOXHOUNDER1014/status/922450771559383040","922450771559383040")</f>
        <v>922450771559383040</v>
      </c>
      <c r="F4115" s="23" t="s">
        <v>55</v>
      </c>
      <c r="G4115" s="24">
        <v>1201.0</v>
      </c>
      <c r="H4115" s="24">
        <v>3262.0</v>
      </c>
      <c r="I4115" s="24">
        <v>0.0</v>
      </c>
      <c r="J4115" s="24">
        <v>0.0</v>
      </c>
      <c r="K4115" s="23" t="s">
        <v>34</v>
      </c>
      <c r="L4115" s="25">
        <v>41451.74486111111</v>
      </c>
      <c r="M4115" s="26" t="s">
        <v>9525</v>
      </c>
      <c r="N4115" s="26" t="s">
        <v>9526</v>
      </c>
      <c r="O4115" s="22" t="str">
        <f>HYPERLINK("https://pbs.twimg.com/profile_images/881539404061220864/lgkfobLg_normal.jpg","View")</f>
        <v>View</v>
      </c>
      <c r="P4115" s="27"/>
    </row>
    <row r="4116">
      <c r="A4116" s="14">
        <v>43031.25918981481</v>
      </c>
      <c r="B4116" s="20" t="str">
        <f>HYPERLINK("https://twitter.com/SPieragastini","@SPieragastini")</f>
        <v>@SPieragastini</v>
      </c>
      <c r="C4116" s="21" t="s">
        <v>9527</v>
      </c>
      <c r="D4116" s="21" t="s">
        <v>9528</v>
      </c>
      <c r="E4116" s="22" t="str">
        <f>HYPERLINK("https://twitter.com/SPieragastini/status/922450844456538113","922450844456538113")</f>
        <v>922450844456538113</v>
      </c>
      <c r="F4116" s="23" t="s">
        <v>33</v>
      </c>
      <c r="G4116" s="24">
        <v>65.0</v>
      </c>
      <c r="H4116" s="24">
        <v>275.0</v>
      </c>
      <c r="I4116" s="24">
        <v>3.0</v>
      </c>
      <c r="J4116" s="24">
        <v>0.0</v>
      </c>
      <c r="K4116" s="23" t="s">
        <v>34</v>
      </c>
      <c r="L4116" s="25">
        <v>41507.38144675926</v>
      </c>
      <c r="M4116" s="26" t="s">
        <v>2619</v>
      </c>
      <c r="N4116" s="26" t="s">
        <v>9529</v>
      </c>
      <c r="O4116" s="22" t="str">
        <f>HYPERLINK("https://pbs.twimg.com/profile_images/378800000335974249/4eb3e79b55c42049e82f9bbd3f4697ca_normal.jpeg","View")</f>
        <v>View</v>
      </c>
      <c r="P4116" s="27"/>
    </row>
    <row r="4117">
      <c r="A4117" s="14">
        <v>43031.25918981481</v>
      </c>
      <c r="B4117" s="20" t="str">
        <f>HYPERLINK("https://twitter.com/Raakrishnan","@Raakrishnan")</f>
        <v>@Raakrishnan</v>
      </c>
      <c r="C4117" s="21" t="s">
        <v>9530</v>
      </c>
      <c r="D4117" s="21" t="s">
        <v>42</v>
      </c>
      <c r="E4117" s="22" t="str">
        <f>HYPERLINK("https://twitter.com/Raakrishnan/status/922450847329525761","922450847329525761")</f>
        <v>922450847329525761</v>
      </c>
      <c r="F4117" s="23" t="s">
        <v>33</v>
      </c>
      <c r="G4117" s="24">
        <v>82.0</v>
      </c>
      <c r="H4117" s="24">
        <v>43.0</v>
      </c>
      <c r="I4117" s="24">
        <v>8501.0</v>
      </c>
      <c r="J4117" s="24">
        <v>0.0</v>
      </c>
      <c r="K4117" s="23" t="s">
        <v>34</v>
      </c>
      <c r="L4117" s="25">
        <v>40241.3608912037</v>
      </c>
      <c r="M4117" s="28"/>
      <c r="N4117" s="28"/>
      <c r="O4117" s="22" t="str">
        <f>HYPERLINK("https://abs.twimg.com/sticky/default_profile_images/default_profile_normal.png","View")</f>
        <v>View</v>
      </c>
      <c r="P4117" s="27"/>
    </row>
    <row r="4118">
      <c r="A4118" s="14">
        <v>43031.25931712963</v>
      </c>
      <c r="B4118" s="20" t="str">
        <f>HYPERLINK("https://twitter.com/bettie72725","@bettie72725")</f>
        <v>@bettie72725</v>
      </c>
      <c r="C4118" s="21" t="s">
        <v>9531</v>
      </c>
      <c r="D4118" s="21" t="s">
        <v>1642</v>
      </c>
      <c r="E4118" s="22" t="str">
        <f>HYPERLINK("https://twitter.com/bettie72725/status/922450890774134784","922450890774134784")</f>
        <v>922450890774134784</v>
      </c>
      <c r="F4118" s="23" t="s">
        <v>230</v>
      </c>
      <c r="G4118" s="24">
        <v>591.0</v>
      </c>
      <c r="H4118" s="24">
        <v>410.0</v>
      </c>
      <c r="I4118" s="24">
        <v>199.0</v>
      </c>
      <c r="J4118" s="24">
        <v>0.0</v>
      </c>
      <c r="K4118" s="23" t="s">
        <v>34</v>
      </c>
      <c r="L4118" s="25">
        <v>41716.237164351856</v>
      </c>
      <c r="M4118" s="26" t="s">
        <v>9532</v>
      </c>
      <c r="N4118" s="26" t="s">
        <v>9533</v>
      </c>
      <c r="O4118" s="22" t="str">
        <f>HYPERLINK("https://pbs.twimg.com/profile_images/869009081545117696/kZHAGb1K_normal.jpg","View")</f>
        <v>View</v>
      </c>
      <c r="P4118" s="27"/>
    </row>
    <row r="4119">
      <c r="A4119" s="14">
        <v>43031.2593287037</v>
      </c>
      <c r="B4119" s="20" t="str">
        <f>HYPERLINK("https://twitter.com/VitalAnon","@VitalAnon")</f>
        <v>@VitalAnon</v>
      </c>
      <c r="C4119" s="21" t="s">
        <v>9534</v>
      </c>
      <c r="D4119" s="21" t="s">
        <v>9535</v>
      </c>
      <c r="E4119" s="22" t="str">
        <f>HYPERLINK("https://twitter.com/VitalAnon/status/922450896776257536","922450896776257536")</f>
        <v>922450896776257536</v>
      </c>
      <c r="F4119" s="23" t="s">
        <v>187</v>
      </c>
      <c r="G4119" s="24">
        <v>1651.0</v>
      </c>
      <c r="H4119" s="24">
        <v>1755.0</v>
      </c>
      <c r="I4119" s="24">
        <v>0.0</v>
      </c>
      <c r="J4119" s="24">
        <v>0.0</v>
      </c>
      <c r="K4119" s="23" t="s">
        <v>34</v>
      </c>
      <c r="L4119" s="25">
        <v>42150.543599537035</v>
      </c>
      <c r="M4119" s="26" t="s">
        <v>9536</v>
      </c>
      <c r="N4119" s="26" t="s">
        <v>9537</v>
      </c>
      <c r="O4119" s="22" t="str">
        <f>HYPERLINK("https://pbs.twimg.com/profile_images/891487456251576321/AKnxDA8v_normal.jpg","View")</f>
        <v>View</v>
      </c>
      <c r="P4119" s="27"/>
    </row>
    <row r="4120">
      <c r="A4120" s="14">
        <v>43031.259351851855</v>
      </c>
      <c r="B4120" s="20" t="str">
        <f>HYPERLINK("https://twitter.com/natasya_EN","@natasya_EN")</f>
        <v>@natasya_EN</v>
      </c>
      <c r="C4120" s="21" t="s">
        <v>9538</v>
      </c>
      <c r="D4120" s="21" t="s">
        <v>5309</v>
      </c>
      <c r="E4120" s="22" t="str">
        <f>HYPERLINK("https://twitter.com/natasya_EN/status/922450903235358720","922450903235358720")</f>
        <v>922450903235358720</v>
      </c>
      <c r="F4120" s="23" t="s">
        <v>33</v>
      </c>
      <c r="G4120" s="24">
        <v>631.0</v>
      </c>
      <c r="H4120" s="24">
        <v>210.0</v>
      </c>
      <c r="I4120" s="24">
        <v>22.0</v>
      </c>
      <c r="J4120" s="24">
        <v>0.0</v>
      </c>
      <c r="K4120" s="23" t="s">
        <v>34</v>
      </c>
      <c r="L4120" s="25">
        <v>41019.222129629634</v>
      </c>
      <c r="M4120" s="26" t="s">
        <v>9539</v>
      </c>
      <c r="N4120" s="26" t="s">
        <v>9540</v>
      </c>
      <c r="O4120" s="22" t="str">
        <f>HYPERLINK("https://pbs.twimg.com/profile_images/767657372063977472/K7OT-Fj3_normal.jpg","View")</f>
        <v>View</v>
      </c>
      <c r="P4120" s="27"/>
    </row>
    <row r="4121">
      <c r="A4121" s="14">
        <v>43031.2594212963</v>
      </c>
      <c r="B4121" s="20" t="str">
        <f>HYPERLINK("https://twitter.com/nagaryashwant","@nagaryashwant")</f>
        <v>@nagaryashwant</v>
      </c>
      <c r="C4121" s="21" t="s">
        <v>9541</v>
      </c>
      <c r="D4121" s="21" t="s">
        <v>42</v>
      </c>
      <c r="E4121" s="22" t="str">
        <f>HYPERLINK("https://twitter.com/nagaryashwant/status/922450927260336128","922450927260336128")</f>
        <v>922450927260336128</v>
      </c>
      <c r="F4121" s="23" t="s">
        <v>33</v>
      </c>
      <c r="G4121" s="24">
        <v>17.0</v>
      </c>
      <c r="H4121" s="24">
        <v>40.0</v>
      </c>
      <c r="I4121" s="24">
        <v>8501.0</v>
      </c>
      <c r="J4121" s="24">
        <v>0.0</v>
      </c>
      <c r="K4121" s="23" t="s">
        <v>34</v>
      </c>
      <c r="L4121" s="25">
        <v>41618.198692129634</v>
      </c>
      <c r="M4121" s="26" t="s">
        <v>9542</v>
      </c>
      <c r="N4121" s="28"/>
      <c r="O4121" s="22" t="str">
        <f>HYPERLINK("https://pbs.twimg.com/profile_images/378800000857435895/jqdi_LQU_normal.jpeg","View")</f>
        <v>View</v>
      </c>
      <c r="P4121" s="27"/>
    </row>
    <row r="4122">
      <c r="A4122" s="14">
        <v>43031.25949074074</v>
      </c>
      <c r="B4122" s="20" t="str">
        <f>HYPERLINK("https://twitter.com/ichiroyanagawa","@ichiroyanagawa")</f>
        <v>@ichiroyanagawa</v>
      </c>
      <c r="C4122" s="21" t="s">
        <v>9543</v>
      </c>
      <c r="D4122" s="21" t="s">
        <v>9544</v>
      </c>
      <c r="E4122" s="22" t="str">
        <f>HYPERLINK("https://twitter.com/ichiroyanagawa/status/922450955035127808","922450955035127808")</f>
        <v>922450955035127808</v>
      </c>
      <c r="F4122" s="23" t="s">
        <v>1570</v>
      </c>
      <c r="G4122" s="24">
        <v>478.0</v>
      </c>
      <c r="H4122" s="24">
        <v>874.0</v>
      </c>
      <c r="I4122" s="24">
        <v>0.0</v>
      </c>
      <c r="J4122" s="24">
        <v>0.0</v>
      </c>
      <c r="K4122" s="23" t="s">
        <v>34</v>
      </c>
      <c r="L4122" s="25">
        <v>41746.98780092593</v>
      </c>
      <c r="M4122" s="26" t="s">
        <v>9545</v>
      </c>
      <c r="N4122" s="26" t="s">
        <v>9546</v>
      </c>
      <c r="O4122" s="22" t="str">
        <f>HYPERLINK("https://pbs.twimg.com/profile_images/457049687531352064/Xiz02uO__normal.jpeg","View")</f>
        <v>View</v>
      </c>
      <c r="P4122" s="27"/>
    </row>
    <row r="4123">
      <c r="A4123" s="14">
        <v>43031.25950231482</v>
      </c>
      <c r="B4123" s="20" t="str">
        <f>HYPERLINK("https://twitter.com/NewsBlogged","@NewsBlogged")</f>
        <v>@NewsBlogged</v>
      </c>
      <c r="C4123" s="21" t="s">
        <v>9547</v>
      </c>
      <c r="D4123" s="21" t="s">
        <v>9548</v>
      </c>
      <c r="E4123" s="22" t="str">
        <f>HYPERLINK("https://twitter.com/NewsBlogged/status/922450960055750658","922450960055750658")</f>
        <v>922450960055750658</v>
      </c>
      <c r="F4123" s="23" t="s">
        <v>91</v>
      </c>
      <c r="G4123" s="24">
        <v>1337.0</v>
      </c>
      <c r="H4123" s="24">
        <v>12.0</v>
      </c>
      <c r="I4123" s="24">
        <v>0.0</v>
      </c>
      <c r="J4123" s="24">
        <v>0.0</v>
      </c>
      <c r="K4123" s="23" t="s">
        <v>34</v>
      </c>
      <c r="L4123" s="25">
        <v>39718.68494212963</v>
      </c>
      <c r="M4123" s="26" t="s">
        <v>3507</v>
      </c>
      <c r="N4123" s="26" t="s">
        <v>9549</v>
      </c>
      <c r="O4123" s="22" t="str">
        <f>HYPERLINK("https://pbs.twimg.com/profile_images/1369746354/800px-World_Map_flat_Mercator_bigger_normal.png","View")</f>
        <v>View</v>
      </c>
      <c r="P4123" s="27"/>
    </row>
    <row r="4124">
      <c r="A4124" s="14">
        <v>43031.25951388889</v>
      </c>
      <c r="B4124" s="20" t="str">
        <f>HYPERLINK("https://twitter.com/tarokunugi","@tarokunugi")</f>
        <v>@tarokunugi</v>
      </c>
      <c r="C4124" s="21" t="s">
        <v>9550</v>
      </c>
      <c r="D4124" s="21" t="s">
        <v>42</v>
      </c>
      <c r="E4124" s="22" t="str">
        <f>HYPERLINK("https://twitter.com/tarokunugi/status/922450961959870465","922450961959870465")</f>
        <v>922450961959870465</v>
      </c>
      <c r="F4124" s="23" t="s">
        <v>55</v>
      </c>
      <c r="G4124" s="24">
        <v>11.0</v>
      </c>
      <c r="H4124" s="24">
        <v>81.0</v>
      </c>
      <c r="I4124" s="24">
        <v>8501.0</v>
      </c>
      <c r="J4124" s="24">
        <v>0.0</v>
      </c>
      <c r="K4124" s="23" t="s">
        <v>34</v>
      </c>
      <c r="L4124" s="25">
        <v>39931.34923611111</v>
      </c>
      <c r="M4124" s="28"/>
      <c r="N4124" s="26" t="s">
        <v>9551</v>
      </c>
      <c r="O4124" s="22" t="str">
        <f>HYPERLINK("https://pbs.twimg.com/profile_images/919447225868025856/6n4QqDih_normal.jpg","View")</f>
        <v>View</v>
      </c>
      <c r="P4124" s="27"/>
    </row>
    <row r="4125">
      <c r="A4125" s="14">
        <v>43031.25965277778</v>
      </c>
      <c r="B4125" s="20" t="str">
        <f>HYPERLINK("https://twitter.com/samaritan2709","@samaritan2709")</f>
        <v>@samaritan2709</v>
      </c>
      <c r="C4125" s="21" t="s">
        <v>9552</v>
      </c>
      <c r="D4125" s="21" t="s">
        <v>42</v>
      </c>
      <c r="E4125" s="22" t="str">
        <f>HYPERLINK("https://twitter.com/samaritan2709/status/922451011968548864","922451011968548864")</f>
        <v>922451011968548864</v>
      </c>
      <c r="F4125" s="23" t="s">
        <v>33</v>
      </c>
      <c r="G4125" s="24">
        <v>221.0</v>
      </c>
      <c r="H4125" s="24">
        <v>620.0</v>
      </c>
      <c r="I4125" s="24">
        <v>8501.0</v>
      </c>
      <c r="J4125" s="24">
        <v>0.0</v>
      </c>
      <c r="K4125" s="23" t="s">
        <v>34</v>
      </c>
      <c r="L4125" s="25">
        <v>41095.04158564815</v>
      </c>
      <c r="M4125" s="26" t="s">
        <v>9553</v>
      </c>
      <c r="N4125" s="26" t="s">
        <v>9554</v>
      </c>
      <c r="O4125" s="22" t="str">
        <f>HYPERLINK("https://pbs.twimg.com/profile_images/920376021966249984/R9K2Wwk4_normal.jpg","View")</f>
        <v>View</v>
      </c>
      <c r="P4125" s="27"/>
    </row>
    <row r="4126">
      <c r="A4126" s="14">
        <v>43031.259722222225</v>
      </c>
      <c r="B4126" s="20" t="str">
        <f>HYPERLINK("https://twitter.com/srikanthmp2010","@srikanthmp2010")</f>
        <v>@srikanthmp2010</v>
      </c>
      <c r="C4126" s="21" t="s">
        <v>9555</v>
      </c>
      <c r="D4126" s="21" t="s">
        <v>163</v>
      </c>
      <c r="E4126" s="22" t="str">
        <f>HYPERLINK("https://twitter.com/srikanthmp2010/status/922451037990010880","922451037990010880")</f>
        <v>922451037990010880</v>
      </c>
      <c r="F4126" s="23" t="s">
        <v>33</v>
      </c>
      <c r="G4126" s="24">
        <v>37.0</v>
      </c>
      <c r="H4126" s="24">
        <v>81.0</v>
      </c>
      <c r="I4126" s="24">
        <v>1005.0</v>
      </c>
      <c r="J4126" s="24">
        <v>0.0</v>
      </c>
      <c r="K4126" s="23" t="s">
        <v>34</v>
      </c>
      <c r="L4126" s="25">
        <v>40540.90193287037</v>
      </c>
      <c r="M4126" s="26" t="s">
        <v>1991</v>
      </c>
      <c r="N4126" s="28"/>
      <c r="O4126" s="22" t="str">
        <f>HYPERLINK("https://pbs.twimg.com/profile_images/604221138265210880/trI4851q_normal.jpg","View")</f>
        <v>View</v>
      </c>
      <c r="P4126" s="27"/>
    </row>
    <row r="4127">
      <c r="A4127" s="14">
        <v>43031.259733796294</v>
      </c>
      <c r="B4127" s="20" t="str">
        <f>HYPERLINK("https://twitter.com/caroltpsworld","@caroltpsworld")</f>
        <v>@caroltpsworld</v>
      </c>
      <c r="C4127" s="21" t="s">
        <v>9556</v>
      </c>
      <c r="D4127" s="21" t="s">
        <v>8665</v>
      </c>
      <c r="E4127" s="22" t="str">
        <f>HYPERLINK("https://twitter.com/caroltpsworld/status/922451043799023616","922451043799023616")</f>
        <v>922451043799023616</v>
      </c>
      <c r="F4127" s="23" t="s">
        <v>39</v>
      </c>
      <c r="G4127" s="24">
        <v>4386.0</v>
      </c>
      <c r="H4127" s="24">
        <v>3799.0</v>
      </c>
      <c r="I4127" s="24">
        <v>67.0</v>
      </c>
      <c r="J4127" s="24">
        <v>0.0</v>
      </c>
      <c r="K4127" s="23" t="s">
        <v>34</v>
      </c>
      <c r="L4127" s="25">
        <v>40480.318657407406</v>
      </c>
      <c r="M4127" s="28"/>
      <c r="N4127" s="26" t="s">
        <v>9557</v>
      </c>
      <c r="O4127" s="22" t="str">
        <f>HYPERLINK("https://pbs.twimg.com/profile_images/670346825421840384/5FH2v0cM_normal.jpg","View")</f>
        <v>View</v>
      </c>
      <c r="P4127" s="27"/>
    </row>
    <row r="4128">
      <c r="A4128" s="14">
        <v>43031.259780092594</v>
      </c>
      <c r="B4128" s="20" t="str">
        <f>HYPERLINK("https://twitter.com/kiyosato316","@kiyosato316")</f>
        <v>@kiyosato316</v>
      </c>
      <c r="C4128" s="21" t="s">
        <v>9558</v>
      </c>
      <c r="D4128" s="21" t="s">
        <v>42</v>
      </c>
      <c r="E4128" s="22" t="str">
        <f>HYPERLINK("https://twitter.com/kiyosato316/status/922451059884175361","922451059884175361")</f>
        <v>922451059884175361</v>
      </c>
      <c r="F4128" s="23" t="s">
        <v>33</v>
      </c>
      <c r="G4128" s="24">
        <v>1459.0</v>
      </c>
      <c r="H4128" s="24">
        <v>1571.0</v>
      </c>
      <c r="I4128" s="24">
        <v>8501.0</v>
      </c>
      <c r="J4128" s="24">
        <v>0.0</v>
      </c>
      <c r="K4128" s="23" t="s">
        <v>34</v>
      </c>
      <c r="L4128" s="25">
        <v>41703.048321759255</v>
      </c>
      <c r="M4128" s="28"/>
      <c r="N4128" s="26" t="s">
        <v>9559</v>
      </c>
      <c r="O4128" s="22" t="str">
        <f>HYPERLINK("https://pbs.twimg.com/profile_images/450174010735591425/EuUqXv9c_normal.jpeg","View")</f>
        <v>View</v>
      </c>
      <c r="P4128" s="27"/>
    </row>
    <row r="4129">
      <c r="A4129" s="14">
        <v>43031.259826388894</v>
      </c>
      <c r="B4129" s="20" t="str">
        <f>HYPERLINK("https://twitter.com/manoranjanjnv","@manoranjanjnv")</f>
        <v>@manoranjanjnv</v>
      </c>
      <c r="C4129" s="21" t="s">
        <v>9560</v>
      </c>
      <c r="D4129" s="21" t="s">
        <v>430</v>
      </c>
      <c r="E4129" s="22" t="str">
        <f>HYPERLINK("https://twitter.com/manoranjanjnv/status/922451077911298048","922451077911298048")</f>
        <v>922451077911298048</v>
      </c>
      <c r="F4129" s="23" t="s">
        <v>33</v>
      </c>
      <c r="G4129" s="24">
        <v>1006.0</v>
      </c>
      <c r="H4129" s="24">
        <v>4029.0</v>
      </c>
      <c r="I4129" s="24">
        <v>62.0</v>
      </c>
      <c r="J4129" s="24">
        <v>0.0</v>
      </c>
      <c r="K4129" s="23" t="s">
        <v>34</v>
      </c>
      <c r="L4129" s="25">
        <v>40787.17003472222</v>
      </c>
      <c r="M4129" s="26" t="s">
        <v>9561</v>
      </c>
      <c r="N4129" s="26" t="s">
        <v>9562</v>
      </c>
      <c r="O4129" s="22" t="str">
        <f>HYPERLINK("https://pbs.twimg.com/profile_images/862539704578781184/vgjaE0sz_normal.jpg","View")</f>
        <v>View</v>
      </c>
      <c r="P4129" s="27"/>
    </row>
    <row r="4130">
      <c r="A4130" s="14">
        <v>43031.25984953703</v>
      </c>
      <c r="B4130" s="20" t="str">
        <f>HYPERLINK("https://twitter.com/raashibha","@raashibha")</f>
        <v>@raashibha</v>
      </c>
      <c r="C4130" s="21" t="s">
        <v>9563</v>
      </c>
      <c r="D4130" s="21" t="s">
        <v>9013</v>
      </c>
      <c r="E4130" s="22" t="str">
        <f>HYPERLINK("https://twitter.com/raashibha/status/922451084362203136","922451084362203136")</f>
        <v>922451084362203136</v>
      </c>
      <c r="F4130" s="23" t="s">
        <v>33</v>
      </c>
      <c r="G4130" s="24">
        <v>513.0</v>
      </c>
      <c r="H4130" s="24">
        <v>350.0</v>
      </c>
      <c r="I4130" s="24">
        <v>31.0</v>
      </c>
      <c r="J4130" s="24">
        <v>0.0</v>
      </c>
      <c r="K4130" s="23" t="s">
        <v>34</v>
      </c>
      <c r="L4130" s="25">
        <v>40220.07099537037</v>
      </c>
      <c r="M4130" s="26" t="s">
        <v>9564</v>
      </c>
      <c r="N4130" s="26" t="s">
        <v>9565</v>
      </c>
      <c r="O4130" s="22" t="str">
        <f>HYPERLINK("https://pbs.twimg.com/profile_images/909210295012179968/tfrFUqNN_normal.jpg","View")</f>
        <v>View</v>
      </c>
      <c r="P4130" s="27"/>
    </row>
    <row r="4131">
      <c r="A4131" s="14">
        <v>43031.25986111111</v>
      </c>
      <c r="B4131" s="20" t="str">
        <f>HYPERLINK("https://twitter.com/YogarajahSgy","@YogarajahSgy")</f>
        <v>@YogarajahSgy</v>
      </c>
      <c r="C4131" s="21" t="s">
        <v>9566</v>
      </c>
      <c r="D4131" s="21" t="s">
        <v>42</v>
      </c>
      <c r="E4131" s="22" t="str">
        <f>HYPERLINK("https://twitter.com/YogarajahSgy/status/922451087897923584","922451087897923584")</f>
        <v>922451087897923584</v>
      </c>
      <c r="F4131" s="23" t="s">
        <v>33</v>
      </c>
      <c r="G4131" s="24">
        <v>36.0</v>
      </c>
      <c r="H4131" s="24">
        <v>472.0</v>
      </c>
      <c r="I4131" s="24">
        <v>8501.0</v>
      </c>
      <c r="J4131" s="24">
        <v>0.0</v>
      </c>
      <c r="K4131" s="23" t="s">
        <v>34</v>
      </c>
      <c r="L4131" s="25">
        <v>42993.34174768519</v>
      </c>
      <c r="M4131" s="28"/>
      <c r="N4131" s="28"/>
      <c r="O4131" s="22" t="str">
        <f>HYPERLINK("https://abs.twimg.com/sticky/default_profile_images/default_profile_normal.png","View")</f>
        <v>View</v>
      </c>
      <c r="P4131" s="27"/>
    </row>
    <row r="4132">
      <c r="A4132" s="14">
        <v>43031.25991898148</v>
      </c>
      <c r="B4132" s="20" t="str">
        <f>HYPERLINK("https://twitter.com/MFAThai","@MFAThai")</f>
        <v>@MFAThai</v>
      </c>
      <c r="C4132" s="21" t="s">
        <v>9567</v>
      </c>
      <c r="D4132" s="21" t="s">
        <v>9568</v>
      </c>
      <c r="E4132" s="22" t="str">
        <f>HYPERLINK("https://twitter.com/MFAThai/status/922451108991139840","922451108991139840")</f>
        <v>922451108991139840</v>
      </c>
      <c r="F4132" s="23" t="s">
        <v>39</v>
      </c>
      <c r="G4132" s="24">
        <v>83339.0</v>
      </c>
      <c r="H4132" s="24">
        <v>487.0</v>
      </c>
      <c r="I4132" s="24">
        <v>5.0</v>
      </c>
      <c r="J4132" s="24">
        <v>6.0</v>
      </c>
      <c r="K4132" s="23" t="s">
        <v>34</v>
      </c>
      <c r="L4132" s="25">
        <v>40290.063310185185</v>
      </c>
      <c r="M4132" s="26" t="s">
        <v>1735</v>
      </c>
      <c r="N4132" s="26" t="s">
        <v>9569</v>
      </c>
      <c r="O4132" s="22" t="str">
        <f>HYPERLINK("https://pbs.twimg.com/profile_images/788575844516044800/5wp0UNMK_normal.jpg","View")</f>
        <v>View</v>
      </c>
      <c r="P4132" s="27"/>
    </row>
    <row r="4133">
      <c r="A4133" s="14">
        <v>43031.259976851856</v>
      </c>
      <c r="B4133" s="20" t="str">
        <f>HYPERLINK("https://twitter.com/deepakpaib","@deepakpaib")</f>
        <v>@deepakpaib</v>
      </c>
      <c r="C4133" s="21" t="s">
        <v>9570</v>
      </c>
      <c r="D4133" s="21" t="s">
        <v>42</v>
      </c>
      <c r="E4133" s="22" t="str">
        <f>HYPERLINK("https://twitter.com/deepakpaib/status/922451130533244929","922451130533244929")</f>
        <v>922451130533244929</v>
      </c>
      <c r="F4133" s="23" t="s">
        <v>33</v>
      </c>
      <c r="G4133" s="24">
        <v>53.0</v>
      </c>
      <c r="H4133" s="24">
        <v>82.0</v>
      </c>
      <c r="I4133" s="24">
        <v>8501.0</v>
      </c>
      <c r="J4133" s="24">
        <v>0.0</v>
      </c>
      <c r="K4133" s="23" t="s">
        <v>34</v>
      </c>
      <c r="L4133" s="25">
        <v>41446.0125462963</v>
      </c>
      <c r="M4133" s="28"/>
      <c r="N4133" s="28"/>
      <c r="O4133" s="22" t="str">
        <f>HYPERLINK("https://pbs.twimg.com/profile_images/378800000285149372/308a20e119a614bfce9f1901159826f8_normal.jpeg","View")</f>
        <v>View</v>
      </c>
      <c r="P4133" s="27"/>
    </row>
    <row r="4134">
      <c r="A4134" s="14">
        <v>43031.26005787037</v>
      </c>
      <c r="B4134" s="20" t="str">
        <f>HYPERLINK("https://twitter.com/chiragrawal2","@chiragrawal2")</f>
        <v>@chiragrawal2</v>
      </c>
      <c r="C4134" s="21" t="s">
        <v>9571</v>
      </c>
      <c r="D4134" s="21" t="s">
        <v>42</v>
      </c>
      <c r="E4134" s="22" t="str">
        <f>HYPERLINK("https://twitter.com/chiragrawal2/status/922451161357090816","922451161357090816")</f>
        <v>922451161357090816</v>
      </c>
      <c r="F4134" s="23" t="s">
        <v>33</v>
      </c>
      <c r="G4134" s="24">
        <v>268.0</v>
      </c>
      <c r="H4134" s="24">
        <v>527.0</v>
      </c>
      <c r="I4134" s="24">
        <v>8501.0</v>
      </c>
      <c r="J4134" s="24">
        <v>0.0</v>
      </c>
      <c r="K4134" s="23" t="s">
        <v>34</v>
      </c>
      <c r="L4134" s="25">
        <v>40785.22381944444</v>
      </c>
      <c r="M4134" s="26" t="s">
        <v>246</v>
      </c>
      <c r="N4134" s="26" t="s">
        <v>9572</v>
      </c>
      <c r="O4134" s="22" t="str">
        <f>HYPERLINK("https://pbs.twimg.com/profile_images/815264490765873152/2pJoh34h_normal.jpg","View")</f>
        <v>View</v>
      </c>
      <c r="P4134" s="27"/>
    </row>
    <row r="4135">
      <c r="A4135" s="14">
        <v>43031.26006944444</v>
      </c>
      <c r="B4135" s="20" t="str">
        <f>HYPERLINK("https://twitter.com/sumitrana1","@sumitrana1")</f>
        <v>@sumitrana1</v>
      </c>
      <c r="C4135" s="21" t="s">
        <v>9573</v>
      </c>
      <c r="D4135" s="21" t="s">
        <v>42</v>
      </c>
      <c r="E4135" s="22" t="str">
        <f>HYPERLINK("https://twitter.com/sumitrana1/status/922451164938977280","922451164938977280")</f>
        <v>922451164938977280</v>
      </c>
      <c r="F4135" s="23" t="s">
        <v>33</v>
      </c>
      <c r="G4135" s="24">
        <v>2483.0</v>
      </c>
      <c r="H4135" s="24">
        <v>229.0</v>
      </c>
      <c r="I4135" s="24">
        <v>8501.0</v>
      </c>
      <c r="J4135" s="24">
        <v>0.0</v>
      </c>
      <c r="K4135" s="23" t="s">
        <v>34</v>
      </c>
      <c r="L4135" s="25">
        <v>40006.17559027778</v>
      </c>
      <c r="M4135" s="26" t="s">
        <v>4398</v>
      </c>
      <c r="N4135" s="26" t="s">
        <v>9574</v>
      </c>
      <c r="O4135" s="22" t="str">
        <f>HYPERLINK("https://pbs.twimg.com/profile_images/2551637079/he47h3oa91jy7xjnmlvj_normal.jpeg","View")</f>
        <v>View</v>
      </c>
      <c r="P4135" s="27"/>
    </row>
    <row r="4136">
      <c r="A4136" s="14">
        <v>43031.26011574074</v>
      </c>
      <c r="B4136" s="20" t="str">
        <f>HYPERLINK("https://twitter.com/CDKOOMAR","@CDKOOMAR")</f>
        <v>@CDKOOMAR</v>
      </c>
      <c r="C4136" s="21" t="s">
        <v>9575</v>
      </c>
      <c r="D4136" s="21" t="s">
        <v>42</v>
      </c>
      <c r="E4136" s="22" t="str">
        <f>HYPERLINK("https://twitter.com/CDKOOMAR/status/922451181359656961","922451181359656961")</f>
        <v>922451181359656961</v>
      </c>
      <c r="F4136" s="23" t="s">
        <v>33</v>
      </c>
      <c r="G4136" s="24">
        <v>117.0</v>
      </c>
      <c r="H4136" s="24">
        <v>36.0</v>
      </c>
      <c r="I4136" s="24">
        <v>8501.0</v>
      </c>
      <c r="J4136" s="24">
        <v>0.0</v>
      </c>
      <c r="K4136" s="23" t="s">
        <v>34</v>
      </c>
      <c r="L4136" s="25">
        <v>42814.15541666667</v>
      </c>
      <c r="M4136" s="26" t="s">
        <v>227</v>
      </c>
      <c r="N4136" s="26" t="s">
        <v>9576</v>
      </c>
      <c r="O4136" s="22" t="str">
        <f>HYPERLINK("https://pbs.twimg.com/profile_images/922843627990147072/T3qfEsvr_normal.jpg","View")</f>
        <v>View</v>
      </c>
      <c r="P4136" s="27"/>
    </row>
    <row r="4137">
      <c r="A4137" s="14">
        <v>43031.26018518519</v>
      </c>
      <c r="B4137" s="20" t="str">
        <f>HYPERLINK("https://twitter.com/jadounrahul74","@jadounrahul74")</f>
        <v>@jadounrahul74</v>
      </c>
      <c r="C4137" s="21" t="s">
        <v>9577</v>
      </c>
      <c r="D4137" s="21" t="s">
        <v>42</v>
      </c>
      <c r="E4137" s="22" t="str">
        <f>HYPERLINK("https://twitter.com/jadounrahul74/status/922451208123572226","922451208123572226")</f>
        <v>922451208123572226</v>
      </c>
      <c r="F4137" s="23" t="s">
        <v>33</v>
      </c>
      <c r="G4137" s="24">
        <v>402.0</v>
      </c>
      <c r="H4137" s="24">
        <v>757.0</v>
      </c>
      <c r="I4137" s="24">
        <v>8501.0</v>
      </c>
      <c r="J4137" s="24">
        <v>0.0</v>
      </c>
      <c r="K4137" s="23" t="s">
        <v>34</v>
      </c>
      <c r="L4137" s="25">
        <v>42558.919537037036</v>
      </c>
      <c r="M4137" s="26" t="s">
        <v>9578</v>
      </c>
      <c r="N4137" s="26" t="s">
        <v>9579</v>
      </c>
      <c r="O4137" s="22" t="str">
        <f>HYPERLINK("https://pbs.twimg.com/profile_images/864503095077650432/9G9vUvrj_normal.jpg","View")</f>
        <v>View</v>
      </c>
      <c r="P4137" s="27"/>
    </row>
    <row r="4138">
      <c r="A4138" s="14">
        <v>43031.26020833333</v>
      </c>
      <c r="B4138" s="20" t="str">
        <f>HYPERLINK("https://twitter.com/joshjp0rter","@joshjp0rter")</f>
        <v>@joshjp0rter</v>
      </c>
      <c r="C4138" s="21" t="s">
        <v>9580</v>
      </c>
      <c r="D4138" s="21" t="s">
        <v>8950</v>
      </c>
      <c r="E4138" s="22" t="str">
        <f>HYPERLINK("https://twitter.com/joshjp0rter/status/922451213047644160","922451213047644160")</f>
        <v>922451213047644160</v>
      </c>
      <c r="F4138" s="23" t="s">
        <v>33</v>
      </c>
      <c r="G4138" s="24">
        <v>33.0</v>
      </c>
      <c r="H4138" s="24">
        <v>1288.0</v>
      </c>
      <c r="I4138" s="24">
        <v>4.0</v>
      </c>
      <c r="J4138" s="24">
        <v>0.0</v>
      </c>
      <c r="K4138" s="23" t="s">
        <v>34</v>
      </c>
      <c r="L4138" s="25">
        <v>41740.017071759255</v>
      </c>
      <c r="M4138" s="26" t="s">
        <v>9581</v>
      </c>
      <c r="N4138" s="26" t="s">
        <v>9582</v>
      </c>
      <c r="O4138" s="22" t="str">
        <f>HYPERLINK("https://pbs.twimg.com/profile_images/749755721877684224/aVmaOZ7w_normal.jpg","View")</f>
        <v>View</v>
      </c>
      <c r="P4138" s="27"/>
    </row>
    <row r="4139">
      <c r="A4139" s="14">
        <v>43031.26020833333</v>
      </c>
      <c r="B4139" s="20" t="str">
        <f>HYPERLINK("https://twitter.com/sourabhAglave","@sourabhAglave")</f>
        <v>@sourabhAglave</v>
      </c>
      <c r="C4139" s="21" t="s">
        <v>9583</v>
      </c>
      <c r="D4139" s="21" t="s">
        <v>42</v>
      </c>
      <c r="E4139" s="22" t="str">
        <f>HYPERLINK("https://twitter.com/sourabhAglave/status/922451214356193280","922451214356193280")</f>
        <v>922451214356193280</v>
      </c>
      <c r="F4139" s="23" t="s">
        <v>33</v>
      </c>
      <c r="G4139" s="24">
        <v>90.0</v>
      </c>
      <c r="H4139" s="24">
        <v>518.0</v>
      </c>
      <c r="I4139" s="24">
        <v>8501.0</v>
      </c>
      <c r="J4139" s="24">
        <v>0.0</v>
      </c>
      <c r="K4139" s="23" t="s">
        <v>34</v>
      </c>
      <c r="L4139" s="25">
        <v>41173.10214120371</v>
      </c>
      <c r="M4139" s="26" t="s">
        <v>531</v>
      </c>
      <c r="N4139" s="26" t="s">
        <v>9584</v>
      </c>
      <c r="O4139" s="22" t="str">
        <f>HYPERLINK("https://pbs.twimg.com/profile_images/676012480372457472/DGreVMti_normal.jpg","View")</f>
        <v>View</v>
      </c>
      <c r="P4139" s="27"/>
    </row>
    <row r="4140">
      <c r="A4140" s="14">
        <v>43031.2603125</v>
      </c>
      <c r="B4140" s="20" t="str">
        <f>HYPERLINK("https://twitter.com/Meshsi1502Kn","@Meshsi1502Kn")</f>
        <v>@Meshsi1502Kn</v>
      </c>
      <c r="C4140" s="21" t="s">
        <v>9585</v>
      </c>
      <c r="D4140" s="21" t="s">
        <v>163</v>
      </c>
      <c r="E4140" s="22" t="str">
        <f>HYPERLINK("https://twitter.com/Meshsi1502Kn/status/922451252109131776","922451252109131776")</f>
        <v>922451252109131776</v>
      </c>
      <c r="F4140" s="23" t="s">
        <v>55</v>
      </c>
      <c r="G4140" s="24">
        <v>39.0</v>
      </c>
      <c r="H4140" s="24">
        <v>68.0</v>
      </c>
      <c r="I4140" s="24">
        <v>1005.0</v>
      </c>
      <c r="J4140" s="24">
        <v>0.0</v>
      </c>
      <c r="K4140" s="23" t="s">
        <v>34</v>
      </c>
      <c r="L4140" s="25">
        <v>42428.86373842593</v>
      </c>
      <c r="M4140" s="28"/>
      <c r="N4140" s="28"/>
      <c r="O4140" s="22" t="str">
        <f>HYPERLINK("https://pbs.twimg.com/profile_images/878951431767703556/H2ywI5rV_normal.jpg","View")</f>
        <v>View</v>
      </c>
      <c r="P4140" s="27"/>
    </row>
    <row r="4141">
      <c r="A4141" s="14">
        <v>43031.2603125</v>
      </c>
      <c r="B4141" s="20" t="str">
        <f>HYPERLINK("https://twitter.com/yeuxqui","@yeuxqui")</f>
        <v>@yeuxqui</v>
      </c>
      <c r="C4141" s="21" t="s">
        <v>9586</v>
      </c>
      <c r="D4141" s="21" t="s">
        <v>1642</v>
      </c>
      <c r="E4141" s="22" t="str">
        <f>HYPERLINK("https://twitter.com/yeuxqui/status/922451252914487297","922451252914487297")</f>
        <v>922451252914487297</v>
      </c>
      <c r="F4141" s="23" t="s">
        <v>55</v>
      </c>
      <c r="G4141" s="24">
        <v>4868.0</v>
      </c>
      <c r="H4141" s="24">
        <v>1144.0</v>
      </c>
      <c r="I4141" s="24">
        <v>199.0</v>
      </c>
      <c r="J4141" s="24">
        <v>0.0</v>
      </c>
      <c r="K4141" s="23" t="s">
        <v>34</v>
      </c>
      <c r="L4141" s="25">
        <v>39187.98921296296</v>
      </c>
      <c r="M4141" s="26" t="s">
        <v>9587</v>
      </c>
      <c r="N4141" s="26" t="s">
        <v>9588</v>
      </c>
      <c r="O4141" s="22" t="str">
        <f>HYPERLINK("https://pbs.twimg.com/profile_images/570412397743968256/kguoK2a5_normal.jpeg","View")</f>
        <v>View</v>
      </c>
      <c r="P4141" s="27"/>
    </row>
    <row r="4142">
      <c r="A4142" s="14">
        <v>43031.260358796295</v>
      </c>
      <c r="B4142" s="20" t="str">
        <f>HYPERLINK("https://twitter.com/magicdmw","@magicdmw")</f>
        <v>@magicdmw</v>
      </c>
      <c r="C4142" s="21" t="s">
        <v>9589</v>
      </c>
      <c r="D4142" s="21" t="s">
        <v>2555</v>
      </c>
      <c r="E4142" s="22" t="str">
        <f>HYPERLINK("https://twitter.com/magicdmw/status/922451267141689344","922451267141689344")</f>
        <v>922451267141689344</v>
      </c>
      <c r="F4142" s="23" t="s">
        <v>39</v>
      </c>
      <c r="G4142" s="24">
        <v>3383.0</v>
      </c>
      <c r="H4142" s="24">
        <v>5000.0</v>
      </c>
      <c r="I4142" s="24">
        <v>58.0</v>
      </c>
      <c r="J4142" s="24">
        <v>0.0</v>
      </c>
      <c r="K4142" s="23" t="s">
        <v>34</v>
      </c>
      <c r="L4142" s="25">
        <v>41170.555509259255</v>
      </c>
      <c r="M4142" s="26" t="s">
        <v>334</v>
      </c>
      <c r="N4142" s="26" t="s">
        <v>9590</v>
      </c>
      <c r="O4142" s="22" t="str">
        <f>HYPERLINK("https://pbs.twimg.com/profile_images/900271545578344448/DE5PFcUB_normal.jpg","View")</f>
        <v>View</v>
      </c>
      <c r="P4142" s="27"/>
    </row>
    <row r="4143">
      <c r="A4143" s="14">
        <v>43031.26042824074</v>
      </c>
      <c r="B4143" s="20" t="str">
        <f>HYPERLINK("https://twitter.com/JustinBertin23","@JustinBertin23")</f>
        <v>@JustinBertin23</v>
      </c>
      <c r="C4143" s="21" t="s">
        <v>9591</v>
      </c>
      <c r="D4143" s="21" t="s">
        <v>9592</v>
      </c>
      <c r="E4143" s="22" t="str">
        <f>HYPERLINK("https://twitter.com/JustinBertin23/status/922451293267881985","922451293267881985")</f>
        <v>922451293267881985</v>
      </c>
      <c r="F4143" s="23" t="s">
        <v>55</v>
      </c>
      <c r="G4143" s="24">
        <v>29.0</v>
      </c>
      <c r="H4143" s="24">
        <v>117.0</v>
      </c>
      <c r="I4143" s="24">
        <v>0.0</v>
      </c>
      <c r="J4143" s="24">
        <v>0.0</v>
      </c>
      <c r="K4143" s="23" t="s">
        <v>34</v>
      </c>
      <c r="L4143" s="25">
        <v>42845.03340277778</v>
      </c>
      <c r="M4143" s="26" t="s">
        <v>9593</v>
      </c>
      <c r="N4143" s="28"/>
      <c r="O4143" s="22" t="str">
        <f>HYPERLINK("https://pbs.twimg.com/profile_images/875833994478100480/Fn8GaZV4_normal.jpg","View")</f>
        <v>View</v>
      </c>
      <c r="P4143" s="27"/>
    </row>
    <row r="4144">
      <c r="A4144" s="14">
        <v>43031.260462962964</v>
      </c>
      <c r="B4144" s="20" t="str">
        <f>HYPERLINK("https://twitter.com/sylvain25","@sylvain25")</f>
        <v>@sylvain25</v>
      </c>
      <c r="C4144" s="21" t="s">
        <v>9594</v>
      </c>
      <c r="D4144" s="21" t="s">
        <v>9595</v>
      </c>
      <c r="E4144" s="22" t="str">
        <f>HYPERLINK("https://twitter.com/sylvain25/status/922451305196597248","922451305196597248")</f>
        <v>922451305196597248</v>
      </c>
      <c r="F4144" s="23" t="s">
        <v>48</v>
      </c>
      <c r="G4144" s="24">
        <v>137.0</v>
      </c>
      <c r="H4144" s="24">
        <v>287.0</v>
      </c>
      <c r="I4144" s="24">
        <v>0.0</v>
      </c>
      <c r="J4144" s="24">
        <v>0.0</v>
      </c>
      <c r="K4144" s="23" t="s">
        <v>34</v>
      </c>
      <c r="L4144" s="25">
        <v>39853.6621875</v>
      </c>
      <c r="M4144" s="26" t="s">
        <v>1110</v>
      </c>
      <c r="N4144" s="28"/>
      <c r="O4144" s="22" t="str">
        <f>HYPERLINK("https://pbs.twimg.com/profile_images/463064624452366336/_ViuVE-f_normal.jpeg","View")</f>
        <v>View</v>
      </c>
      <c r="P4144" s="27"/>
    </row>
    <row r="4145">
      <c r="A4145" s="14">
        <v>43031.26048611111</v>
      </c>
      <c r="B4145" s="20" t="str">
        <f>HYPERLINK("https://twitter.com/DesikanSelvaraj","@DesikanSelvaraj")</f>
        <v>@DesikanSelvaraj</v>
      </c>
      <c r="C4145" s="21" t="s">
        <v>9596</v>
      </c>
      <c r="D4145" s="21" t="s">
        <v>42</v>
      </c>
      <c r="E4145" s="22" t="str">
        <f>HYPERLINK("https://twitter.com/DesikanSelvaraj/status/922451314549936128","922451314549936128")</f>
        <v>922451314549936128</v>
      </c>
      <c r="F4145" s="23" t="s">
        <v>33</v>
      </c>
      <c r="G4145" s="24">
        <v>3.0</v>
      </c>
      <c r="H4145" s="24">
        <v>99.0</v>
      </c>
      <c r="I4145" s="24">
        <v>8501.0</v>
      </c>
      <c r="J4145" s="24">
        <v>0.0</v>
      </c>
      <c r="K4145" s="23" t="s">
        <v>34</v>
      </c>
      <c r="L4145" s="25">
        <v>42992.48050925926</v>
      </c>
      <c r="M4145" s="26" t="s">
        <v>4620</v>
      </c>
      <c r="N4145" s="26" t="s">
        <v>9597</v>
      </c>
      <c r="O4145" s="22" t="str">
        <f>HYPERLINK("https://pbs.twimg.com/profile_images/909760514011656193/n-3Dxwky_normal.jpg","View")</f>
        <v>View</v>
      </c>
      <c r="P4145" s="27"/>
    </row>
    <row r="4146">
      <c r="A4146" s="14">
        <v>43031.26052083333</v>
      </c>
      <c r="B4146" s="20" t="str">
        <f>HYPERLINK("https://twitter.com/OccuWorld","@OccuWorld")</f>
        <v>@OccuWorld</v>
      </c>
      <c r="C4146" s="21" t="s">
        <v>929</v>
      </c>
      <c r="D4146" s="21" t="s">
        <v>9598</v>
      </c>
      <c r="E4146" s="22" t="str">
        <f>HYPERLINK("https://twitter.com/OccuWorld/status/922451326809853953","922451326809853953")</f>
        <v>922451326809853953</v>
      </c>
      <c r="F4146" s="23" t="s">
        <v>931</v>
      </c>
      <c r="G4146" s="24">
        <v>7744.0</v>
      </c>
      <c r="H4146" s="24">
        <v>981.0</v>
      </c>
      <c r="I4146" s="24">
        <v>0.0</v>
      </c>
      <c r="J4146" s="24">
        <v>0.0</v>
      </c>
      <c r="K4146" s="23" t="s">
        <v>34</v>
      </c>
      <c r="L4146" s="25">
        <v>41319.360625</v>
      </c>
      <c r="M4146" s="26" t="s">
        <v>92</v>
      </c>
      <c r="N4146" s="26" t="s">
        <v>932</v>
      </c>
      <c r="O4146" s="22" t="str">
        <f>HYPERLINK("https://pbs.twimg.com/profile_images/563724232287211520/sEoE-N6j_normal.jpeg","View")</f>
        <v>View</v>
      </c>
      <c r="P4146" s="27"/>
    </row>
    <row r="4147">
      <c r="A4147" s="14">
        <v>43031.26063657408</v>
      </c>
      <c r="B4147" s="20" t="str">
        <f>HYPERLINK("https://twitter.com/lu1114122","@lu1114122")</f>
        <v>@lu1114122</v>
      </c>
      <c r="C4147" s="21" t="s">
        <v>9599</v>
      </c>
      <c r="D4147" s="21" t="s">
        <v>6991</v>
      </c>
      <c r="E4147" s="22" t="str">
        <f>HYPERLINK("https://twitter.com/lu1114122/status/922451369591574528","922451369591574528")</f>
        <v>922451369591574528</v>
      </c>
      <c r="F4147" s="23" t="s">
        <v>55</v>
      </c>
      <c r="G4147" s="24">
        <v>116.0</v>
      </c>
      <c r="H4147" s="24">
        <v>385.0</v>
      </c>
      <c r="I4147" s="24">
        <v>22.0</v>
      </c>
      <c r="J4147" s="24">
        <v>0.0</v>
      </c>
      <c r="K4147" s="23" t="s">
        <v>34</v>
      </c>
      <c r="L4147" s="25">
        <v>42265.428935185184</v>
      </c>
      <c r="M4147" s="26" t="s">
        <v>71</v>
      </c>
      <c r="N4147" s="26" t="s">
        <v>9600</v>
      </c>
      <c r="O4147" s="22" t="str">
        <f>HYPERLINK("https://pbs.twimg.com/profile_images/847385125000105988/mwsP9SDX_normal.jpg","View")</f>
        <v>View</v>
      </c>
      <c r="P4147" s="27"/>
    </row>
    <row r="4148">
      <c r="A4148" s="14">
        <v>43031.26064814815</v>
      </c>
      <c r="B4148" s="20" t="str">
        <f>HYPERLINK("https://twitter.com/himdevs","@himdevs")</f>
        <v>@himdevs</v>
      </c>
      <c r="C4148" s="21" t="s">
        <v>9601</v>
      </c>
      <c r="D4148" s="21" t="s">
        <v>42</v>
      </c>
      <c r="E4148" s="22" t="str">
        <f>HYPERLINK("https://twitter.com/himdevs/status/922451372460539905","922451372460539905")</f>
        <v>922451372460539905</v>
      </c>
      <c r="F4148" s="23" t="s">
        <v>33</v>
      </c>
      <c r="G4148" s="24">
        <v>630.0</v>
      </c>
      <c r="H4148" s="24">
        <v>1217.0</v>
      </c>
      <c r="I4148" s="24">
        <v>8501.0</v>
      </c>
      <c r="J4148" s="24">
        <v>0.0</v>
      </c>
      <c r="K4148" s="23" t="s">
        <v>34</v>
      </c>
      <c r="L4148" s="25">
        <v>40226.91540509259</v>
      </c>
      <c r="M4148" s="26" t="s">
        <v>1991</v>
      </c>
      <c r="N4148" s="26" t="s">
        <v>9602</v>
      </c>
      <c r="O4148" s="22" t="str">
        <f>HYPERLINK("https://pbs.twimg.com/profile_images/738718800468545536/-0W09AR0_normal.jpg","View")</f>
        <v>View</v>
      </c>
      <c r="P4148" s="27"/>
    </row>
    <row r="4149">
      <c r="A4149" s="14">
        <v>43031.26064814815</v>
      </c>
      <c r="B4149" s="20" t="str">
        <f>HYPERLINK("https://twitter.com/dubvNOW","@dubvNOW")</f>
        <v>@dubvNOW</v>
      </c>
      <c r="C4149" s="21" t="s">
        <v>9603</v>
      </c>
      <c r="D4149" s="21" t="s">
        <v>9604</v>
      </c>
      <c r="E4149" s="22" t="str">
        <f>HYPERLINK("https://twitter.com/dubvNOW/status/922451375690305536","922451375690305536")</f>
        <v>922451375690305536</v>
      </c>
      <c r="F4149" s="23" t="s">
        <v>427</v>
      </c>
      <c r="G4149" s="24">
        <v>12077.0</v>
      </c>
      <c r="H4149" s="24">
        <v>13293.0</v>
      </c>
      <c r="I4149" s="24">
        <v>0.0</v>
      </c>
      <c r="J4149" s="24">
        <v>0.0</v>
      </c>
      <c r="K4149" s="23" t="s">
        <v>34</v>
      </c>
      <c r="L4149" s="25">
        <v>40986.75157407408</v>
      </c>
      <c r="M4149" s="26" t="s">
        <v>9605</v>
      </c>
      <c r="N4149" s="26" t="s">
        <v>9606</v>
      </c>
      <c r="O4149" s="22" t="str">
        <f>HYPERLINK("https://pbs.twimg.com/profile_images/2513196551/fs87b97sd7vcve4wrv50_normal.jpeg","View")</f>
        <v>View</v>
      </c>
      <c r="P4149" s="27"/>
    </row>
    <row r="4150">
      <c r="A4150" s="14">
        <v>43031.26069444444</v>
      </c>
      <c r="B4150" s="20" t="str">
        <f>HYPERLINK("https://twitter.com/gorichangblog","@gorichangblog")</f>
        <v>@gorichangblog</v>
      </c>
      <c r="C4150" s="21" t="s">
        <v>9607</v>
      </c>
      <c r="D4150" s="21" t="s">
        <v>42</v>
      </c>
      <c r="E4150" s="22" t="str">
        <f>HYPERLINK("https://twitter.com/gorichangblog/status/922451389623627776","922451389623627776")</f>
        <v>922451389623627776</v>
      </c>
      <c r="F4150" s="23" t="s">
        <v>39</v>
      </c>
      <c r="G4150" s="24">
        <v>30.0</v>
      </c>
      <c r="H4150" s="24">
        <v>28.0</v>
      </c>
      <c r="I4150" s="24">
        <v>8501.0</v>
      </c>
      <c r="J4150" s="24">
        <v>0.0</v>
      </c>
      <c r="K4150" s="23" t="s">
        <v>34</v>
      </c>
      <c r="L4150" s="25">
        <v>41757.19993055556</v>
      </c>
      <c r="M4150" s="26" t="s">
        <v>9608</v>
      </c>
      <c r="N4150" s="26" t="s">
        <v>9609</v>
      </c>
      <c r="O4150" s="22" t="str">
        <f>HYPERLINK("https://pbs.twimg.com/profile_images/472517778084093952/GXkrg76U_normal.jpeg","View")</f>
        <v>View</v>
      </c>
      <c r="P4150" s="27"/>
    </row>
    <row r="4151">
      <c r="A4151" s="14">
        <v>43031.260717592595</v>
      </c>
      <c r="B4151" s="20" t="str">
        <f>HYPERLINK("https://twitter.com/simranb01268468","@simranb01268468")</f>
        <v>@simranb01268468</v>
      </c>
      <c r="C4151" s="21" t="s">
        <v>9610</v>
      </c>
      <c r="D4151" s="21" t="s">
        <v>42</v>
      </c>
      <c r="E4151" s="22" t="str">
        <f>HYPERLINK("https://twitter.com/simranb01268468/status/922451401069887489","922451401069887489")</f>
        <v>922451401069887489</v>
      </c>
      <c r="F4151" s="23" t="s">
        <v>43</v>
      </c>
      <c r="G4151" s="24">
        <v>32.0</v>
      </c>
      <c r="H4151" s="24">
        <v>31.0</v>
      </c>
      <c r="I4151" s="24">
        <v>8501.0</v>
      </c>
      <c r="J4151" s="24">
        <v>0.0</v>
      </c>
      <c r="K4151" s="23" t="s">
        <v>34</v>
      </c>
      <c r="L4151" s="25">
        <v>41854.02883101852</v>
      </c>
      <c r="M4151" s="26" t="s">
        <v>2461</v>
      </c>
      <c r="N4151" s="26" t="s">
        <v>9611</v>
      </c>
      <c r="O4151" s="22" t="str">
        <f>HYPERLINK("https://pbs.twimg.com/profile_images/921328896573706245/1W29khKU_normal.jpg","View")</f>
        <v>View</v>
      </c>
      <c r="P4151" s="27"/>
    </row>
    <row r="4152">
      <c r="A4152" s="14">
        <v>43031.26075231482</v>
      </c>
      <c r="B4152" s="20" t="str">
        <f>HYPERLINK("https://twitter.com/IanMolony","@IanMolony")</f>
        <v>@IanMolony</v>
      </c>
      <c r="C4152" s="21" t="s">
        <v>9612</v>
      </c>
      <c r="D4152" s="21" t="s">
        <v>8665</v>
      </c>
      <c r="E4152" s="22" t="str">
        <f>HYPERLINK("https://twitter.com/IanMolony/status/922451411161550848","922451411161550848")</f>
        <v>922451411161550848</v>
      </c>
      <c r="F4152" s="23" t="s">
        <v>55</v>
      </c>
      <c r="G4152" s="24">
        <v>5234.0</v>
      </c>
      <c r="H4152" s="24">
        <v>4949.0</v>
      </c>
      <c r="I4152" s="24">
        <v>67.0</v>
      </c>
      <c r="J4152" s="24">
        <v>0.0</v>
      </c>
      <c r="K4152" s="23" t="s">
        <v>34</v>
      </c>
      <c r="L4152" s="25">
        <v>41742.78045138889</v>
      </c>
      <c r="M4152" s="26" t="s">
        <v>9613</v>
      </c>
      <c r="N4152" s="26" t="s">
        <v>9614</v>
      </c>
      <c r="O4152" s="22" t="str">
        <f>HYPERLINK("https://pbs.twimg.com/profile_images/720747793275580418/-u5ov2vT_normal.jpg","View")</f>
        <v>View</v>
      </c>
      <c r="P4152" s="27"/>
    </row>
    <row r="4153">
      <c r="A4153" s="14">
        <v>43031.26079861111</v>
      </c>
      <c r="B4153" s="20" t="str">
        <f>HYPERLINK("https://twitter.com/OrigShyWriter","@OrigShyWriter")</f>
        <v>@OrigShyWriter</v>
      </c>
      <c r="C4153" s="21" t="s">
        <v>9615</v>
      </c>
      <c r="D4153" s="21" t="s">
        <v>9616</v>
      </c>
      <c r="E4153" s="22" t="str">
        <f>HYPERLINK("https://twitter.com/OrigShyWriter/status/922451426529431552","922451426529431552")</f>
        <v>922451426529431552</v>
      </c>
      <c r="F4153" s="23" t="s">
        <v>55</v>
      </c>
      <c r="G4153" s="24">
        <v>301.0</v>
      </c>
      <c r="H4153" s="24">
        <v>289.0</v>
      </c>
      <c r="I4153" s="24">
        <v>0.0</v>
      </c>
      <c r="J4153" s="24">
        <v>1.0</v>
      </c>
      <c r="K4153" s="23" t="s">
        <v>34</v>
      </c>
      <c r="L4153" s="25">
        <v>40604.61840277778</v>
      </c>
      <c r="M4153" s="26" t="s">
        <v>6241</v>
      </c>
      <c r="N4153" s="26" t="s">
        <v>9617</v>
      </c>
      <c r="O4153" s="22" t="str">
        <f>HYPERLINK("https://pbs.twimg.com/profile_images/860985790993768449/gv0lohsP_normal.jpg","View")</f>
        <v>View</v>
      </c>
      <c r="P4153" s="27"/>
    </row>
    <row r="4154">
      <c r="A4154" s="14">
        <v>43031.26081018518</v>
      </c>
      <c r="B4154" s="20" t="str">
        <f>HYPERLINK("https://twitter.com/humansystem","@humansystem")</f>
        <v>@humansystem</v>
      </c>
      <c r="C4154" s="21" t="s">
        <v>9618</v>
      </c>
      <c r="D4154" s="21" t="s">
        <v>8665</v>
      </c>
      <c r="E4154" s="22" t="str">
        <f>HYPERLINK("https://twitter.com/humansystem/status/922451434234298368","922451434234298368")</f>
        <v>922451434234298368</v>
      </c>
      <c r="F4154" s="23" t="s">
        <v>39</v>
      </c>
      <c r="G4154" s="24">
        <v>770.0</v>
      </c>
      <c r="H4154" s="24">
        <v>393.0</v>
      </c>
      <c r="I4154" s="24">
        <v>67.0</v>
      </c>
      <c r="J4154" s="24">
        <v>0.0</v>
      </c>
      <c r="K4154" s="23" t="s">
        <v>34</v>
      </c>
      <c r="L4154" s="25">
        <v>39997.325335648144</v>
      </c>
      <c r="M4154" s="26" t="s">
        <v>923</v>
      </c>
      <c r="N4154" s="26" t="s">
        <v>9619</v>
      </c>
      <c r="O4154" s="22" t="str">
        <f>HYPERLINK("https://pbs.twimg.com/profile_images/913419462581223425/JLu5rs9F_normal.jpg","View")</f>
        <v>View</v>
      </c>
      <c r="P4154" s="27"/>
    </row>
    <row r="4155">
      <c r="A4155" s="14">
        <v>43031.2609375</v>
      </c>
      <c r="B4155" s="20" t="str">
        <f>HYPERLINK("https://twitter.com/VerredeMiroir","@VerredeMiroir")</f>
        <v>@VerredeMiroir</v>
      </c>
      <c r="C4155" s="21" t="s">
        <v>8034</v>
      </c>
      <c r="D4155" s="21" t="s">
        <v>9620</v>
      </c>
      <c r="E4155" s="22" t="str">
        <f>HYPERLINK("https://twitter.com/VerredeMiroir/status/922451478215823365","922451478215823365")</f>
        <v>922451478215823365</v>
      </c>
      <c r="F4155" s="23" t="s">
        <v>187</v>
      </c>
      <c r="G4155" s="24">
        <v>2141.0</v>
      </c>
      <c r="H4155" s="24">
        <v>65.0</v>
      </c>
      <c r="I4155" s="24">
        <v>0.0</v>
      </c>
      <c r="J4155" s="24">
        <v>0.0</v>
      </c>
      <c r="K4155" s="23" t="s">
        <v>34</v>
      </c>
      <c r="L4155" s="25">
        <v>42667.16033564815</v>
      </c>
      <c r="M4155" s="26" t="s">
        <v>8036</v>
      </c>
      <c r="N4155" s="26" t="s">
        <v>8037</v>
      </c>
      <c r="O4155" s="22" t="str">
        <f>HYPERLINK("https://pbs.twimg.com/profile_images/855366207578529793/PFgZqSUD_normal.jpg","View")</f>
        <v>View</v>
      </c>
      <c r="P4155" s="27"/>
    </row>
    <row r="4156">
      <c r="A4156" s="14">
        <v>43031.26105324074</v>
      </c>
      <c r="B4156" s="20" t="str">
        <f>HYPERLINK("https://twitter.com/SiddharthSingh0","@SiddharthSingh0")</f>
        <v>@SiddharthSingh0</v>
      </c>
      <c r="C4156" s="21" t="s">
        <v>9621</v>
      </c>
      <c r="D4156" s="21" t="s">
        <v>42</v>
      </c>
      <c r="E4156" s="22" t="str">
        <f>HYPERLINK("https://twitter.com/SiddharthSingh0/status/922451520196460546","922451520196460546")</f>
        <v>922451520196460546</v>
      </c>
      <c r="F4156" s="23" t="s">
        <v>33</v>
      </c>
      <c r="G4156" s="24">
        <v>15281.0</v>
      </c>
      <c r="H4156" s="24">
        <v>3266.0</v>
      </c>
      <c r="I4156" s="24">
        <v>8501.0</v>
      </c>
      <c r="J4156" s="24">
        <v>0.0</v>
      </c>
      <c r="K4156" s="23" t="s">
        <v>34</v>
      </c>
      <c r="L4156" s="25">
        <v>40778.30391203704</v>
      </c>
      <c r="M4156" s="26" t="s">
        <v>575</v>
      </c>
      <c r="N4156" s="26" t="s">
        <v>9622</v>
      </c>
      <c r="O4156" s="22" t="str">
        <f>HYPERLINK("https://pbs.twimg.com/profile_images/887888664545513474/VnzOwviF_normal.jpg","View")</f>
        <v>View</v>
      </c>
      <c r="P4156" s="27"/>
    </row>
    <row r="4157">
      <c r="A4157" s="14">
        <v>43031.26118055556</v>
      </c>
      <c r="B4157" s="20" t="str">
        <f>HYPERLINK("https://twitter.com/StudyCIMA","@StudyCIMA")</f>
        <v>@StudyCIMA</v>
      </c>
      <c r="C4157" s="21" t="s">
        <v>9623</v>
      </c>
      <c r="D4157" s="21" t="s">
        <v>9624</v>
      </c>
      <c r="E4157" s="22" t="str">
        <f>HYPERLINK("https://twitter.com/StudyCIMA/status/922451566728175619","922451566728175619")</f>
        <v>922451566728175619</v>
      </c>
      <c r="F4157" s="23" t="s">
        <v>48</v>
      </c>
      <c r="G4157" s="24">
        <v>4684.0</v>
      </c>
      <c r="H4157" s="24">
        <v>3779.0</v>
      </c>
      <c r="I4157" s="24">
        <v>0.0</v>
      </c>
      <c r="J4157" s="24">
        <v>0.0</v>
      </c>
      <c r="K4157" s="23" t="s">
        <v>34</v>
      </c>
      <c r="L4157" s="25">
        <v>41890.30666666667</v>
      </c>
      <c r="M4157" s="28"/>
      <c r="N4157" s="26" t="s">
        <v>9625</v>
      </c>
      <c r="O4157" s="22" t="str">
        <f>HYPERLINK("https://pbs.twimg.com/profile_images/552329776958951424/pbbFOjaq_normal.png","View")</f>
        <v>View</v>
      </c>
      <c r="P4157" s="27"/>
    </row>
    <row r="4158">
      <c r="A4158" s="14">
        <v>43031.2612037037</v>
      </c>
      <c r="B4158" s="20" t="str">
        <f>HYPERLINK("https://twitter.com/ATULG18","@ATULG18")</f>
        <v>@ATULG18</v>
      </c>
      <c r="C4158" s="21" t="s">
        <v>9626</v>
      </c>
      <c r="D4158" s="21" t="s">
        <v>42</v>
      </c>
      <c r="E4158" s="22" t="str">
        <f>HYPERLINK("https://twitter.com/ATULG18/status/922451577088045057","922451577088045057")</f>
        <v>922451577088045057</v>
      </c>
      <c r="F4158" s="23" t="s">
        <v>33</v>
      </c>
      <c r="G4158" s="24">
        <v>593.0</v>
      </c>
      <c r="H4158" s="24">
        <v>1429.0</v>
      </c>
      <c r="I4158" s="24">
        <v>8501.0</v>
      </c>
      <c r="J4158" s="24">
        <v>0.0</v>
      </c>
      <c r="K4158" s="23" t="s">
        <v>34</v>
      </c>
      <c r="L4158" s="25">
        <v>40764.32648148148</v>
      </c>
      <c r="M4158" s="26" t="s">
        <v>9627</v>
      </c>
      <c r="N4158" s="26" t="s">
        <v>9628</v>
      </c>
      <c r="O4158" s="22" t="str">
        <f>HYPERLINK("https://pbs.twimg.com/profile_images/922530550241411072/I5Sr5JRa_normal.jpg","View")</f>
        <v>View</v>
      </c>
      <c r="P4158" s="27"/>
    </row>
    <row r="4159">
      <c r="A4159" s="14">
        <v>43031.261249999996</v>
      </c>
      <c r="B4159" s="20" t="str">
        <f>HYPERLINK("https://twitter.com/OmPali18","@OmPali18")</f>
        <v>@OmPali18</v>
      </c>
      <c r="C4159" s="21" t="s">
        <v>9629</v>
      </c>
      <c r="D4159" s="21" t="s">
        <v>42</v>
      </c>
      <c r="E4159" s="22" t="str">
        <f>HYPERLINK("https://twitter.com/OmPali18/status/922451593508749312","922451593508749312")</f>
        <v>922451593508749312</v>
      </c>
      <c r="F4159" s="23" t="s">
        <v>39</v>
      </c>
      <c r="G4159" s="24">
        <v>160.0</v>
      </c>
      <c r="H4159" s="24">
        <v>27.0</v>
      </c>
      <c r="I4159" s="24">
        <v>8501.0</v>
      </c>
      <c r="J4159" s="24">
        <v>0.0</v>
      </c>
      <c r="K4159" s="23" t="s">
        <v>34</v>
      </c>
      <c r="L4159" s="25">
        <v>42698.437256944446</v>
      </c>
      <c r="M4159" s="26" t="s">
        <v>9630</v>
      </c>
      <c r="N4159" s="26" t="s">
        <v>9631</v>
      </c>
      <c r="O4159" s="22" t="str">
        <f>HYPERLINK("https://pbs.twimg.com/profile_images/830446915095556097/skxsOMEo_normal.jpg","View")</f>
        <v>View</v>
      </c>
      <c r="P4159" s="27"/>
    </row>
    <row r="4160">
      <c r="A4160" s="14">
        <v>43031.26128472222</v>
      </c>
      <c r="B4160" s="20" t="str">
        <f>HYPERLINK("https://twitter.com/kusum1012","@kusum1012")</f>
        <v>@kusum1012</v>
      </c>
      <c r="C4160" s="21" t="s">
        <v>9632</v>
      </c>
      <c r="D4160" s="21" t="s">
        <v>42</v>
      </c>
      <c r="E4160" s="22" t="str">
        <f>HYPERLINK("https://twitter.com/kusum1012/status/922451604690706432","922451604690706432")</f>
        <v>922451604690706432</v>
      </c>
      <c r="F4160" s="23" t="s">
        <v>33</v>
      </c>
      <c r="G4160" s="24">
        <v>427.0</v>
      </c>
      <c r="H4160" s="24">
        <v>137.0</v>
      </c>
      <c r="I4160" s="24">
        <v>8501.0</v>
      </c>
      <c r="J4160" s="24">
        <v>0.0</v>
      </c>
      <c r="K4160" s="23" t="s">
        <v>34</v>
      </c>
      <c r="L4160" s="25">
        <v>42353.46710648148</v>
      </c>
      <c r="M4160" s="28"/>
      <c r="N4160" s="28"/>
      <c r="O4160" s="22" t="str">
        <f>HYPERLINK("https://abs.twimg.com/sticky/default_profile_images/default_profile_normal.png","View")</f>
        <v>View</v>
      </c>
      <c r="P4160" s="27"/>
    </row>
    <row r="4161">
      <c r="A4161" s="14">
        <v>43031.26140046296</v>
      </c>
      <c r="B4161" s="20" t="str">
        <f>HYPERLINK("https://twitter.com/archivist_kyoto","@archivist_kyoto")</f>
        <v>@archivist_kyoto</v>
      </c>
      <c r="C4161" s="21" t="s">
        <v>9633</v>
      </c>
      <c r="D4161" s="21" t="s">
        <v>1642</v>
      </c>
      <c r="E4161" s="22" t="str">
        <f>HYPERLINK("https://twitter.com/archivist_kyoto/status/922451646357028864","922451646357028864")</f>
        <v>922451646357028864</v>
      </c>
      <c r="F4161" s="23" t="s">
        <v>33</v>
      </c>
      <c r="G4161" s="24">
        <v>2613.0</v>
      </c>
      <c r="H4161" s="24">
        <v>1551.0</v>
      </c>
      <c r="I4161" s="24">
        <v>199.0</v>
      </c>
      <c r="J4161" s="24">
        <v>0.0</v>
      </c>
      <c r="K4161" s="23" t="s">
        <v>34</v>
      </c>
      <c r="L4161" s="25">
        <v>40146.477118055554</v>
      </c>
      <c r="M4161" s="26" t="s">
        <v>9634</v>
      </c>
      <c r="N4161" s="26" t="s">
        <v>9635</v>
      </c>
      <c r="O4161" s="22" t="str">
        <f>HYPERLINK("https://pbs.twimg.com/profile_images/378800000424760732/a04f576d4ecd75ff1788ac893fab60dc_normal.jpeg","View")</f>
        <v>View</v>
      </c>
      <c r="P4161" s="27"/>
    </row>
    <row r="4162">
      <c r="A4162" s="14">
        <v>43031.26142361111</v>
      </c>
      <c r="B4162" s="20" t="str">
        <f>HYPERLINK("https://twitter.com/Tretayug","@Tretayug")</f>
        <v>@Tretayug</v>
      </c>
      <c r="C4162" s="21" t="s">
        <v>203</v>
      </c>
      <c r="D4162" s="21" t="s">
        <v>9636</v>
      </c>
      <c r="E4162" s="22" t="str">
        <f>HYPERLINK("https://twitter.com/Tretayug/status/922451654334586880","922451654334586880")</f>
        <v>922451654334586880</v>
      </c>
      <c r="F4162" s="23" t="s">
        <v>55</v>
      </c>
      <c r="G4162" s="24">
        <v>421.0</v>
      </c>
      <c r="H4162" s="24">
        <v>1471.0</v>
      </c>
      <c r="I4162" s="24">
        <v>0.0</v>
      </c>
      <c r="J4162" s="24">
        <v>0.0</v>
      </c>
      <c r="K4162" s="23" t="s">
        <v>34</v>
      </c>
      <c r="L4162" s="25">
        <v>42013.1465625</v>
      </c>
      <c r="M4162" s="26" t="s">
        <v>204</v>
      </c>
      <c r="N4162" s="26" t="s">
        <v>205</v>
      </c>
      <c r="O4162" s="22" t="str">
        <f>HYPERLINK("https://pbs.twimg.com/profile_images/921976959390928896/YbOouC6v_normal.jpg","View")</f>
        <v>View</v>
      </c>
      <c r="P4162" s="27"/>
    </row>
    <row r="4163">
      <c r="A4163" s="14">
        <v>43031.26155092593</v>
      </c>
      <c r="B4163" s="20" t="str">
        <f>HYPERLINK("https://twitter.com/dpsingh_dev","@dpsingh_dev")</f>
        <v>@dpsingh_dev</v>
      </c>
      <c r="C4163" s="21" t="s">
        <v>9637</v>
      </c>
      <c r="D4163" s="21" t="s">
        <v>42</v>
      </c>
      <c r="E4163" s="22" t="str">
        <f>HYPERLINK("https://twitter.com/dpsingh_dev/status/922451700740325381","922451700740325381")</f>
        <v>922451700740325381</v>
      </c>
      <c r="F4163" s="23" t="s">
        <v>55</v>
      </c>
      <c r="G4163" s="24">
        <v>217.0</v>
      </c>
      <c r="H4163" s="24">
        <v>150.0</v>
      </c>
      <c r="I4163" s="24">
        <v>8501.0</v>
      </c>
      <c r="J4163" s="24">
        <v>0.0</v>
      </c>
      <c r="K4163" s="23" t="s">
        <v>34</v>
      </c>
      <c r="L4163" s="25">
        <v>40094.20284722222</v>
      </c>
      <c r="M4163" s="26" t="s">
        <v>9638</v>
      </c>
      <c r="N4163" s="26" t="s">
        <v>9639</v>
      </c>
      <c r="O4163" s="22" t="str">
        <f>HYPERLINK("https://pbs.twimg.com/profile_images/425461226865324032/UIsFuxJA_normal.jpeg","View")</f>
        <v>View</v>
      </c>
      <c r="P4163" s="27"/>
    </row>
    <row r="4164">
      <c r="A4164" s="14">
        <v>43031.26157407407</v>
      </c>
      <c r="B4164" s="20" t="str">
        <f>HYPERLINK("https://twitter.com/TheMediaIgnores","@TheMediaIgnores")</f>
        <v>@TheMediaIgnores</v>
      </c>
      <c r="C4164" s="21" t="s">
        <v>1369</v>
      </c>
      <c r="D4164" s="21" t="s">
        <v>9640</v>
      </c>
      <c r="E4164" s="22" t="str">
        <f>HYPERLINK("https://twitter.com/TheMediaIgnores/status/922451707891802112","922451707891802112")</f>
        <v>922451707891802112</v>
      </c>
      <c r="F4164" s="23" t="s">
        <v>187</v>
      </c>
      <c r="G4164" s="24">
        <v>4167.0</v>
      </c>
      <c r="H4164" s="24">
        <v>3931.0</v>
      </c>
      <c r="I4164" s="24">
        <v>0.0</v>
      </c>
      <c r="J4164" s="24">
        <v>0.0</v>
      </c>
      <c r="K4164" s="23" t="s">
        <v>34</v>
      </c>
      <c r="L4164" s="25">
        <v>39989.104375</v>
      </c>
      <c r="M4164" s="28"/>
      <c r="N4164" s="28"/>
      <c r="O4164" s="22" t="str">
        <f>HYPERLINK("https://pbs.twimg.com/profile_images/580918345215688704/RY-H6QSt_normal.jpg","View")</f>
        <v>View</v>
      </c>
      <c r="P4164" s="27"/>
    </row>
    <row r="4165">
      <c r="A4165" s="14">
        <v>43031.26159722223</v>
      </c>
      <c r="B4165" s="20" t="str">
        <f>HYPERLINK("https://twitter.com/kumi_kumiJP","@kumi_kumiJP")</f>
        <v>@kumi_kumiJP</v>
      </c>
      <c r="C4165" s="21" t="s">
        <v>9641</v>
      </c>
      <c r="D4165" s="21" t="s">
        <v>42</v>
      </c>
      <c r="E4165" s="22" t="str">
        <f>HYPERLINK("https://twitter.com/kumi_kumiJP/status/922451717035253761","922451717035253761")</f>
        <v>922451717035253761</v>
      </c>
      <c r="F4165" s="23" t="s">
        <v>86</v>
      </c>
      <c r="G4165" s="24">
        <v>7348.0</v>
      </c>
      <c r="H4165" s="24">
        <v>8009.0</v>
      </c>
      <c r="I4165" s="24">
        <v>8501.0</v>
      </c>
      <c r="J4165" s="24">
        <v>0.0</v>
      </c>
      <c r="K4165" s="23" t="s">
        <v>34</v>
      </c>
      <c r="L4165" s="25">
        <v>41343.00819444445</v>
      </c>
      <c r="M4165" s="26" t="s">
        <v>4577</v>
      </c>
      <c r="N4165" s="26" t="s">
        <v>9642</v>
      </c>
      <c r="O4165" s="22" t="str">
        <f>HYPERLINK("https://pbs.twimg.com/profile_images/448761428950802432/fBddRCGD_normal.png","View")</f>
        <v>View</v>
      </c>
      <c r="P4165" s="27"/>
    </row>
    <row r="4166">
      <c r="A4166" s="14">
        <v>43031.26165509259</v>
      </c>
      <c r="B4166" s="20" t="str">
        <f>HYPERLINK("https://twitter.com/ModiFan95916","@ModiFan95916")</f>
        <v>@ModiFan95916</v>
      </c>
      <c r="C4166" s="21" t="s">
        <v>9643</v>
      </c>
      <c r="D4166" s="21" t="s">
        <v>42</v>
      </c>
      <c r="E4166" s="22" t="str">
        <f>HYPERLINK("https://twitter.com/ModiFan95916/status/922451740271656960","922451740271656960")</f>
        <v>922451740271656960</v>
      </c>
      <c r="F4166" s="23" t="s">
        <v>33</v>
      </c>
      <c r="G4166" s="24">
        <v>56.0</v>
      </c>
      <c r="H4166" s="24">
        <v>126.0</v>
      </c>
      <c r="I4166" s="24">
        <v>8501.0</v>
      </c>
      <c r="J4166" s="24">
        <v>0.0</v>
      </c>
      <c r="K4166" s="23" t="s">
        <v>34</v>
      </c>
      <c r="L4166" s="25">
        <v>42854.30944444444</v>
      </c>
      <c r="M4166" s="26" t="s">
        <v>9644</v>
      </c>
      <c r="N4166" s="28"/>
      <c r="O4166" s="22" t="str">
        <f>HYPERLINK("https://pbs.twimg.com/profile_images/858330882121314304/2UiW83FJ_normal.jpg","View")</f>
        <v>View</v>
      </c>
      <c r="P4166" s="27"/>
    </row>
    <row r="4167">
      <c r="A4167" s="14">
        <v>43031.261666666665</v>
      </c>
      <c r="B4167" s="20" t="str">
        <f>HYPERLINK("https://twitter.com/SmithBronson","@SmithBronson")</f>
        <v>@SmithBronson</v>
      </c>
      <c r="C4167" s="21" t="s">
        <v>9645</v>
      </c>
      <c r="D4167" s="21" t="s">
        <v>32</v>
      </c>
      <c r="E4167" s="22" t="str">
        <f>HYPERLINK("https://twitter.com/SmithBronson/status/922451741802663937","922451741802663937")</f>
        <v>922451741802663937</v>
      </c>
      <c r="F4167" s="23" t="s">
        <v>33</v>
      </c>
      <c r="G4167" s="24">
        <v>423.0</v>
      </c>
      <c r="H4167" s="24">
        <v>839.0</v>
      </c>
      <c r="I4167" s="24">
        <v>471.0</v>
      </c>
      <c r="J4167" s="24">
        <v>0.0</v>
      </c>
      <c r="K4167" s="23" t="s">
        <v>34</v>
      </c>
      <c r="L4167" s="25">
        <v>40943.27327546296</v>
      </c>
      <c r="M4167" s="26" t="s">
        <v>282</v>
      </c>
      <c r="N4167" s="26" t="s">
        <v>9646</v>
      </c>
      <c r="O4167" s="22" t="str">
        <f>HYPERLINK("https://pbs.twimg.com/profile_images/889419359831064576/VC4Prriv_normal.jpg","View")</f>
        <v>View</v>
      </c>
      <c r="P4167" s="27"/>
    </row>
    <row r="4168">
      <c r="A4168" s="14">
        <v>43031.26174768519</v>
      </c>
      <c r="B4168" s="20" t="str">
        <f>HYPERLINK("https://twitter.com/Magepa","@Magepa")</f>
        <v>@Magepa</v>
      </c>
      <c r="C4168" s="21" t="s">
        <v>9647</v>
      </c>
      <c r="D4168" s="21" t="s">
        <v>1642</v>
      </c>
      <c r="E4168" s="22" t="str">
        <f>HYPERLINK("https://twitter.com/Magepa/status/922451772051824641","922451772051824641")</f>
        <v>922451772051824641</v>
      </c>
      <c r="F4168" s="23" t="s">
        <v>55</v>
      </c>
      <c r="G4168" s="24">
        <v>723.0</v>
      </c>
      <c r="H4168" s="24">
        <v>612.0</v>
      </c>
      <c r="I4168" s="24">
        <v>199.0</v>
      </c>
      <c r="J4168" s="24">
        <v>0.0</v>
      </c>
      <c r="K4168" s="23" t="s">
        <v>34</v>
      </c>
      <c r="L4168" s="25">
        <v>39997.06064814815</v>
      </c>
      <c r="M4168" s="26" t="s">
        <v>9648</v>
      </c>
      <c r="N4168" s="26" t="s">
        <v>9649</v>
      </c>
      <c r="O4168" s="22" t="str">
        <f>HYPERLINK("https://pbs.twimg.com/profile_images/711573993916997633/yiY0FsB3_normal.jpg","View")</f>
        <v>View</v>
      </c>
      <c r="P4168" s="27"/>
    </row>
    <row r="4169">
      <c r="A4169" s="14">
        <v>43031.26174768519</v>
      </c>
      <c r="B4169" s="20" t="str">
        <f>HYPERLINK("https://twitter.com/priyankpanda","@priyankpanda")</f>
        <v>@priyankpanda</v>
      </c>
      <c r="C4169" s="21" t="s">
        <v>9650</v>
      </c>
      <c r="D4169" s="21" t="s">
        <v>163</v>
      </c>
      <c r="E4169" s="22" t="str">
        <f>HYPERLINK("https://twitter.com/priyankpanda/status/922451772559388673","922451772559388673")</f>
        <v>922451772559388673</v>
      </c>
      <c r="F4169" s="23" t="s">
        <v>33</v>
      </c>
      <c r="G4169" s="24">
        <v>1046.0</v>
      </c>
      <c r="H4169" s="24">
        <v>2380.0</v>
      </c>
      <c r="I4169" s="24">
        <v>1005.0</v>
      </c>
      <c r="J4169" s="24">
        <v>0.0</v>
      </c>
      <c r="K4169" s="23" t="s">
        <v>34</v>
      </c>
      <c r="L4169" s="25">
        <v>40175.316724537035</v>
      </c>
      <c r="M4169" s="26" t="s">
        <v>9651</v>
      </c>
      <c r="N4169" s="26" t="s">
        <v>9652</v>
      </c>
      <c r="O4169" s="22" t="str">
        <f>HYPERLINK("https://pbs.twimg.com/profile_images/834490243415994368/TdgSy0SK_normal.jpg","View")</f>
        <v>View</v>
      </c>
      <c r="P4169" s="27"/>
    </row>
    <row r="4170">
      <c r="A4170" s="14">
        <v>43031.26211805556</v>
      </c>
      <c r="B4170" s="20" t="str">
        <f>HYPERLINK("https://twitter.com/cancan_revue","@cancan_revue")</f>
        <v>@cancan_revue</v>
      </c>
      <c r="C4170" s="21" t="s">
        <v>9653</v>
      </c>
      <c r="D4170" s="21" t="s">
        <v>1642</v>
      </c>
      <c r="E4170" s="22" t="str">
        <f>HYPERLINK("https://twitter.com/cancan_revue/status/922451907490209793","922451907490209793")</f>
        <v>922451907490209793</v>
      </c>
      <c r="F4170" s="23" t="s">
        <v>39</v>
      </c>
      <c r="G4170" s="24">
        <v>68.0</v>
      </c>
      <c r="H4170" s="24">
        <v>152.0</v>
      </c>
      <c r="I4170" s="24">
        <v>199.0</v>
      </c>
      <c r="J4170" s="24">
        <v>0.0</v>
      </c>
      <c r="K4170" s="23" t="s">
        <v>34</v>
      </c>
      <c r="L4170" s="25">
        <v>41813.17438657407</v>
      </c>
      <c r="M4170" s="28"/>
      <c r="N4170" s="26" t="s">
        <v>9654</v>
      </c>
      <c r="O4170" s="22" t="str">
        <f>HYPERLINK("https://pbs.twimg.com/profile_images/667293987418476545/5sh7rr5q_normal.jpg","View")</f>
        <v>View</v>
      </c>
      <c r="P4170" s="27"/>
    </row>
    <row r="4171">
      <c r="A4171" s="14">
        <v>43031.26212962963</v>
      </c>
      <c r="B4171" s="20" t="str">
        <f>HYPERLINK("https://twitter.com/amitsidd1195","@amitsidd1195")</f>
        <v>@amitsidd1195</v>
      </c>
      <c r="C4171" s="21" t="s">
        <v>9655</v>
      </c>
      <c r="D4171" s="21" t="s">
        <v>42</v>
      </c>
      <c r="E4171" s="22" t="str">
        <f>HYPERLINK("https://twitter.com/amitsidd1195/status/922451909620809728","922451909620809728")</f>
        <v>922451909620809728</v>
      </c>
      <c r="F4171" s="23" t="s">
        <v>33</v>
      </c>
      <c r="G4171" s="24">
        <v>227.0</v>
      </c>
      <c r="H4171" s="24">
        <v>977.0</v>
      </c>
      <c r="I4171" s="24">
        <v>8501.0</v>
      </c>
      <c r="J4171" s="24">
        <v>0.0</v>
      </c>
      <c r="K4171" s="23" t="s">
        <v>34</v>
      </c>
      <c r="L4171" s="25">
        <v>41543.10795138889</v>
      </c>
      <c r="M4171" s="26" t="s">
        <v>575</v>
      </c>
      <c r="N4171" s="26" t="s">
        <v>9656</v>
      </c>
      <c r="O4171" s="22" t="str">
        <f>HYPERLINK("https://pbs.twimg.com/profile_images/909135672736342016/Zrpg2XEJ_normal.jpg","View")</f>
        <v>View</v>
      </c>
      <c r="P4171" s="27"/>
    </row>
    <row r="4172">
      <c r="A4172" s="14">
        <v>43031.26212962963</v>
      </c>
      <c r="B4172" s="20" t="str">
        <f>HYPERLINK("https://twitter.com/manu_et_mente","@manu_et_mente")</f>
        <v>@manu_et_mente</v>
      </c>
      <c r="C4172" s="21" t="s">
        <v>9657</v>
      </c>
      <c r="D4172" s="21" t="s">
        <v>42</v>
      </c>
      <c r="E4172" s="22" t="str">
        <f>HYPERLINK("https://twitter.com/manu_et_mente/status/922451911860559872","922451911860559872")</f>
        <v>922451911860559872</v>
      </c>
      <c r="F4172" s="23" t="s">
        <v>55</v>
      </c>
      <c r="G4172" s="24">
        <v>131.0</v>
      </c>
      <c r="H4172" s="24">
        <v>162.0</v>
      </c>
      <c r="I4172" s="24">
        <v>8501.0</v>
      </c>
      <c r="J4172" s="24">
        <v>0.0</v>
      </c>
      <c r="K4172" s="23" t="s">
        <v>34</v>
      </c>
      <c r="L4172" s="25">
        <v>39932.97939814815</v>
      </c>
      <c r="M4172" s="26" t="s">
        <v>9658</v>
      </c>
      <c r="N4172" s="26" t="s">
        <v>9659</v>
      </c>
      <c r="O4172" s="22" t="str">
        <f>HYPERLINK("https://pbs.twimg.com/profile_images/909284593131413504/5QU6CiVl_normal.jpg","View")</f>
        <v>View</v>
      </c>
      <c r="P4172" s="27"/>
    </row>
    <row r="4173">
      <c r="A4173" s="14">
        <v>43031.26228009259</v>
      </c>
      <c r="B4173" s="20" t="str">
        <f>HYPERLINK("https://twitter.com/WorldwideNewsTu","@WorldwideNewsTu")</f>
        <v>@WorldwideNewsTu</v>
      </c>
      <c r="C4173" s="21" t="s">
        <v>9660</v>
      </c>
      <c r="D4173" s="21" t="s">
        <v>9661</v>
      </c>
      <c r="E4173" s="22" t="str">
        <f>HYPERLINK("https://twitter.com/WorldwideNewsTu/status/922451963589079040","922451963589079040")</f>
        <v>922451963589079040</v>
      </c>
      <c r="F4173" s="23" t="s">
        <v>187</v>
      </c>
      <c r="G4173" s="24">
        <v>1524.0</v>
      </c>
      <c r="H4173" s="24">
        <v>1308.0</v>
      </c>
      <c r="I4173" s="24">
        <v>0.0</v>
      </c>
      <c r="J4173" s="24">
        <v>0.0</v>
      </c>
      <c r="K4173" s="23" t="s">
        <v>34</v>
      </c>
      <c r="L4173" s="25">
        <v>41603.70724537037</v>
      </c>
      <c r="M4173" s="26" t="s">
        <v>3783</v>
      </c>
      <c r="N4173" s="26" t="s">
        <v>9662</v>
      </c>
      <c r="O4173" s="22" t="str">
        <f>HYPERLINK("https://pbs.twimg.com/profile_images/742169399646257153/8rtUUEuM_normal.jpg","View")</f>
        <v>View</v>
      </c>
      <c r="P4173" s="27"/>
    </row>
    <row r="4174">
      <c r="A4174" s="14">
        <v>43031.26228009259</v>
      </c>
      <c r="B4174" s="20" t="str">
        <f>HYPERLINK("https://twitter.com/shahsuneel","@shahsuneel")</f>
        <v>@shahsuneel</v>
      </c>
      <c r="C4174" s="21" t="s">
        <v>9663</v>
      </c>
      <c r="D4174" s="21" t="s">
        <v>42</v>
      </c>
      <c r="E4174" s="22" t="str">
        <f>HYPERLINK("https://twitter.com/shahsuneel/status/922451966936211457","922451966936211457")</f>
        <v>922451966936211457</v>
      </c>
      <c r="F4174" s="23" t="s">
        <v>33</v>
      </c>
      <c r="G4174" s="24">
        <v>978.0</v>
      </c>
      <c r="H4174" s="24">
        <v>2626.0</v>
      </c>
      <c r="I4174" s="24">
        <v>8501.0</v>
      </c>
      <c r="J4174" s="24">
        <v>0.0</v>
      </c>
      <c r="K4174" s="23" t="s">
        <v>34</v>
      </c>
      <c r="L4174" s="25">
        <v>40642.05174768518</v>
      </c>
      <c r="M4174" s="26" t="s">
        <v>9664</v>
      </c>
      <c r="N4174" s="26" t="s">
        <v>9665</v>
      </c>
      <c r="O4174" s="22" t="str">
        <f>HYPERLINK("https://pbs.twimg.com/profile_images/2438406693/e4n9sc0lyq2b5voxn0fj_normal.jpeg","View")</f>
        <v>View</v>
      </c>
      <c r="P4174" s="27"/>
    </row>
    <row r="4175">
      <c r="A4175" s="14">
        <v>43031.26256944444</v>
      </c>
      <c r="B4175" s="20" t="str">
        <f>HYPERLINK("https://twitter.com/LivingOnChi","@LivingOnChi")</f>
        <v>@LivingOnChi</v>
      </c>
      <c r="C4175" s="21" t="s">
        <v>9666</v>
      </c>
      <c r="D4175" s="21" t="s">
        <v>9667</v>
      </c>
      <c r="E4175" s="22" t="str">
        <f>HYPERLINK("https://twitter.com/LivingOnChi/status/922452071080759296","922452071080759296")</f>
        <v>922452071080759296</v>
      </c>
      <c r="F4175" s="23" t="s">
        <v>55</v>
      </c>
      <c r="G4175" s="24">
        <v>15314.0</v>
      </c>
      <c r="H4175" s="24">
        <v>2574.0</v>
      </c>
      <c r="I4175" s="24">
        <v>4.0</v>
      </c>
      <c r="J4175" s="24">
        <v>3.0</v>
      </c>
      <c r="K4175" s="23" t="s">
        <v>34</v>
      </c>
      <c r="L4175" s="25">
        <v>42094.67599537037</v>
      </c>
      <c r="M4175" s="26" t="s">
        <v>567</v>
      </c>
      <c r="N4175" s="26" t="s">
        <v>9668</v>
      </c>
      <c r="O4175" s="22" t="str">
        <f>HYPERLINK("https://pbs.twimg.com/profile_images/896112045204131840/AzzTG4oZ_normal.jpg","View")</f>
        <v>View</v>
      </c>
      <c r="P4175" s="27"/>
    </row>
    <row r="4176">
      <c r="A4176" s="14">
        <v>43031.2625925926</v>
      </c>
      <c r="B4176" s="20" t="str">
        <f>HYPERLINK("https://twitter.com/choudh_indra","@choudh_indra")</f>
        <v>@choudh_indra</v>
      </c>
      <c r="C4176" s="21" t="s">
        <v>9669</v>
      </c>
      <c r="D4176" s="21" t="s">
        <v>42</v>
      </c>
      <c r="E4176" s="22" t="str">
        <f>HYPERLINK("https://twitter.com/choudh_indra/status/922452078953316352","922452078953316352")</f>
        <v>922452078953316352</v>
      </c>
      <c r="F4176" s="23" t="s">
        <v>33</v>
      </c>
      <c r="G4176" s="24">
        <v>7.0</v>
      </c>
      <c r="H4176" s="24">
        <v>64.0</v>
      </c>
      <c r="I4176" s="24">
        <v>8501.0</v>
      </c>
      <c r="J4176" s="24">
        <v>0.0</v>
      </c>
      <c r="K4176" s="23" t="s">
        <v>34</v>
      </c>
      <c r="L4176" s="25">
        <v>42997.88712962963</v>
      </c>
      <c r="M4176" s="26" t="s">
        <v>9670</v>
      </c>
      <c r="N4176" s="26" t="s">
        <v>9671</v>
      </c>
      <c r="O4176" s="22" t="str">
        <f>HYPERLINK("https://pbs.twimg.com/profile_images/910360347449729025/tXV0TSYu_normal.jpg","View")</f>
        <v>View</v>
      </c>
      <c r="P4176" s="27"/>
    </row>
    <row r="4177">
      <c r="A4177" s="14">
        <v>43031.26280092592</v>
      </c>
      <c r="B4177" s="20" t="str">
        <f>HYPERLINK("https://twitter.com/vaidyabr","@vaidyabr")</f>
        <v>@vaidyabr</v>
      </c>
      <c r="C4177" s="21" t="s">
        <v>9672</v>
      </c>
      <c r="D4177" s="21" t="s">
        <v>163</v>
      </c>
      <c r="E4177" s="22" t="str">
        <f>HYPERLINK("https://twitter.com/vaidyabr/status/922452151967739904","922452151967739904")</f>
        <v>922452151967739904</v>
      </c>
      <c r="F4177" s="23" t="s">
        <v>33</v>
      </c>
      <c r="G4177" s="24">
        <v>162.0</v>
      </c>
      <c r="H4177" s="24">
        <v>237.0</v>
      </c>
      <c r="I4177" s="24">
        <v>1005.0</v>
      </c>
      <c r="J4177" s="24">
        <v>0.0</v>
      </c>
      <c r="K4177" s="23" t="s">
        <v>34</v>
      </c>
      <c r="L4177" s="25">
        <v>41749.052395833336</v>
      </c>
      <c r="M4177" s="28"/>
      <c r="N4177" s="28"/>
      <c r="O4177" s="22" t="str">
        <f>HYPERLINK("https://pbs.twimg.com/profile_images/750580524956127234/HgNTSUR6_normal.jpg","View")</f>
        <v>View</v>
      </c>
      <c r="P4177" s="27"/>
    </row>
    <row r="4178">
      <c r="A4178" s="14">
        <v>43031.262824074074</v>
      </c>
      <c r="B4178" s="20" t="str">
        <f>HYPERLINK("https://twitter.com/RaboEconomics","@RaboEconomics")</f>
        <v>@RaboEconomics</v>
      </c>
      <c r="C4178" s="21" t="s">
        <v>9673</v>
      </c>
      <c r="D4178" s="21" t="s">
        <v>9674</v>
      </c>
      <c r="E4178" s="22" t="str">
        <f>HYPERLINK("https://twitter.com/RaboEconomics/status/922452162327793667","922452162327793667")</f>
        <v>922452162327793667</v>
      </c>
      <c r="F4178" s="23" t="s">
        <v>55</v>
      </c>
      <c r="G4178" s="24">
        <v>750.0</v>
      </c>
      <c r="H4178" s="24">
        <v>0.0</v>
      </c>
      <c r="I4178" s="24">
        <v>0.0</v>
      </c>
      <c r="J4178" s="24">
        <v>1.0</v>
      </c>
      <c r="K4178" s="23" t="s">
        <v>34</v>
      </c>
      <c r="L4178" s="25">
        <v>42244.038877314815</v>
      </c>
      <c r="M4178" s="26" t="s">
        <v>9675</v>
      </c>
      <c r="N4178" s="26" t="s">
        <v>9676</v>
      </c>
      <c r="O4178" s="22" t="str">
        <f>HYPERLINK("https://pbs.twimg.com/profile_images/913382474167803904/XfO5BWP2_normal.jpg","View")</f>
        <v>View</v>
      </c>
      <c r="P4178" s="27"/>
    </row>
    <row r="4179">
      <c r="A4179" s="14">
        <v>43031.26289351852</v>
      </c>
      <c r="B4179" s="20" t="str">
        <f>HYPERLINK("https://twitter.com/BrettonWoodsCom","@BrettonWoodsCom")</f>
        <v>@BrettonWoodsCom</v>
      </c>
      <c r="C4179" s="21" t="s">
        <v>9677</v>
      </c>
      <c r="D4179" s="21" t="s">
        <v>9678</v>
      </c>
      <c r="E4179" s="22" t="str">
        <f>HYPERLINK("https://twitter.com/BrettonWoodsCom/status/922452189632659456","922452189632659456")</f>
        <v>922452189632659456</v>
      </c>
      <c r="F4179" s="23" t="s">
        <v>769</v>
      </c>
      <c r="G4179" s="24">
        <v>1522.0</v>
      </c>
      <c r="H4179" s="24">
        <v>490.0</v>
      </c>
      <c r="I4179" s="24">
        <v>0.0</v>
      </c>
      <c r="J4179" s="24">
        <v>0.0</v>
      </c>
      <c r="K4179" s="23" t="s">
        <v>34</v>
      </c>
      <c r="L4179" s="25">
        <v>40897.44496527778</v>
      </c>
      <c r="M4179" s="26" t="s">
        <v>4225</v>
      </c>
      <c r="N4179" s="26" t="s">
        <v>9679</v>
      </c>
      <c r="O4179" s="22" t="str">
        <f>HYPERLINK("https://pbs.twimg.com/profile_images/634075380781944832/jXL_WaqC_normal.jpg","View")</f>
        <v>View</v>
      </c>
      <c r="P4179" s="27"/>
    </row>
    <row r="4180">
      <c r="A4180" s="14">
        <v>43031.26292824074</v>
      </c>
      <c r="B4180" s="20" t="str">
        <f>HYPERLINK("https://twitter.com/koganehakogame","@koganehakogame")</f>
        <v>@koganehakogame</v>
      </c>
      <c r="C4180" s="21" t="s">
        <v>9680</v>
      </c>
      <c r="D4180" s="21" t="s">
        <v>523</v>
      </c>
      <c r="E4180" s="22" t="str">
        <f>HYPERLINK("https://twitter.com/koganehakogame/status/922452199925465088","922452199925465088")</f>
        <v>922452199925465088</v>
      </c>
      <c r="F4180" s="23" t="s">
        <v>55</v>
      </c>
      <c r="G4180" s="24">
        <v>2095.0</v>
      </c>
      <c r="H4180" s="24">
        <v>1914.0</v>
      </c>
      <c r="I4180" s="24">
        <v>97.0</v>
      </c>
      <c r="J4180" s="24">
        <v>0.0</v>
      </c>
      <c r="K4180" s="23" t="s">
        <v>34</v>
      </c>
      <c r="L4180" s="25">
        <v>40201.21233796296</v>
      </c>
      <c r="M4180" s="26" t="s">
        <v>9681</v>
      </c>
      <c r="N4180" s="26" t="s">
        <v>9682</v>
      </c>
      <c r="O4180" s="22" t="str">
        <f>HYPERLINK("https://pbs.twimg.com/profile_images/903967587729473536/7YMofIsJ_normal.jpg","View")</f>
        <v>View</v>
      </c>
      <c r="P4180" s="27"/>
    </row>
    <row r="4181">
      <c r="A4181" s="14">
        <v>43031.26292824074</v>
      </c>
      <c r="B4181" s="20" t="str">
        <f>HYPERLINK("https://twitter.com/SatyamNishtha","@SatyamNishtha")</f>
        <v>@SatyamNishtha</v>
      </c>
      <c r="C4181" s="21" t="s">
        <v>9683</v>
      </c>
      <c r="D4181" s="21" t="s">
        <v>42</v>
      </c>
      <c r="E4181" s="22" t="str">
        <f>HYPERLINK("https://twitter.com/SatyamNishtha/status/922452201934503938","922452201934503938")</f>
        <v>922452201934503938</v>
      </c>
      <c r="F4181" s="23" t="s">
        <v>33</v>
      </c>
      <c r="G4181" s="24">
        <v>391.0</v>
      </c>
      <c r="H4181" s="24">
        <v>158.0</v>
      </c>
      <c r="I4181" s="24">
        <v>8501.0</v>
      </c>
      <c r="J4181" s="24">
        <v>0.0</v>
      </c>
      <c r="K4181" s="23" t="s">
        <v>34</v>
      </c>
      <c r="L4181" s="25">
        <v>41251.8275</v>
      </c>
      <c r="M4181" s="26" t="s">
        <v>136</v>
      </c>
      <c r="N4181" s="26" t="s">
        <v>9684</v>
      </c>
      <c r="O4181" s="22" t="str">
        <f>HYPERLINK("https://pbs.twimg.com/profile_images/378800000697402882/a29b41377a384da573caafbd925a3f9d_normal.jpeg","View")</f>
        <v>View</v>
      </c>
      <c r="P4181" s="27"/>
    </row>
    <row r="4182">
      <c r="A4182" s="14">
        <v>43031.26293981481</v>
      </c>
      <c r="B4182" s="20" t="str">
        <f>HYPERLINK("https://twitter.com/i__Global","@i__Global")</f>
        <v>@i__Global</v>
      </c>
      <c r="C4182" s="21" t="s">
        <v>9685</v>
      </c>
      <c r="D4182" s="21" t="s">
        <v>9686</v>
      </c>
      <c r="E4182" s="22" t="str">
        <f>HYPERLINK("https://twitter.com/i__Global/status/922452203633303553","922452203633303553")</f>
        <v>922452203633303553</v>
      </c>
      <c r="F4182" s="23" t="s">
        <v>187</v>
      </c>
      <c r="G4182" s="24">
        <v>320.0</v>
      </c>
      <c r="H4182" s="24">
        <v>541.0</v>
      </c>
      <c r="I4182" s="24">
        <v>0.0</v>
      </c>
      <c r="J4182" s="24">
        <v>0.0</v>
      </c>
      <c r="K4182" s="23" t="s">
        <v>34</v>
      </c>
      <c r="L4182" s="25">
        <v>41975.42964120371</v>
      </c>
      <c r="M4182" s="26" t="s">
        <v>2068</v>
      </c>
      <c r="N4182" s="28"/>
      <c r="O4182" s="22" t="str">
        <f>HYPERLINK("https://pbs.twimg.com/profile_images/539846499421532160/RQ0XgLb__normal.png","View")</f>
        <v>View</v>
      </c>
      <c r="P4182" s="27"/>
    </row>
    <row r="4183">
      <c r="A4183" s="14">
        <v>43031.26296296297</v>
      </c>
      <c r="B4183" s="20" t="str">
        <f>HYPERLINK("https://twitter.com/USPressWorld","@USPressWorld")</f>
        <v>@USPressWorld</v>
      </c>
      <c r="C4183" s="21" t="s">
        <v>6586</v>
      </c>
      <c r="D4183" s="21" t="s">
        <v>9687</v>
      </c>
      <c r="E4183" s="22" t="str">
        <f>HYPERLINK("https://twitter.com/USPressWorld/status/922452210813894657","922452210813894657")</f>
        <v>922452210813894657</v>
      </c>
      <c r="F4183" s="23" t="s">
        <v>6588</v>
      </c>
      <c r="G4183" s="24">
        <v>12280.0</v>
      </c>
      <c r="H4183" s="24">
        <v>12373.0</v>
      </c>
      <c r="I4183" s="24">
        <v>0.0</v>
      </c>
      <c r="J4183" s="24">
        <v>0.0</v>
      </c>
      <c r="K4183" s="23" t="s">
        <v>34</v>
      </c>
      <c r="L4183" s="25">
        <v>41218.808217592596</v>
      </c>
      <c r="M4183" s="26" t="s">
        <v>6589</v>
      </c>
      <c r="N4183" s="26" t="s">
        <v>6590</v>
      </c>
      <c r="O4183" s="22" t="str">
        <f>HYPERLINK("https://pbs.twimg.com/profile_images/692071485813440512/MxuoxAoC_normal.png","View")</f>
        <v>View</v>
      </c>
      <c r="P4183" s="27"/>
    </row>
    <row r="4184">
      <c r="A4184" s="14">
        <v>43031.262974537036</v>
      </c>
      <c r="B4184" s="20" t="str">
        <f>HYPERLINK("https://twitter.com/dougstuber","@dougstuber")</f>
        <v>@dougstuber</v>
      </c>
      <c r="C4184" s="21" t="s">
        <v>9688</v>
      </c>
      <c r="D4184" s="21" t="s">
        <v>9689</v>
      </c>
      <c r="E4184" s="22" t="str">
        <f>HYPERLINK("https://twitter.com/dougstuber/status/922452215503245313","922452215503245313")</f>
        <v>922452215503245313</v>
      </c>
      <c r="F4184" s="23" t="s">
        <v>39</v>
      </c>
      <c r="G4184" s="24">
        <v>715.0</v>
      </c>
      <c r="H4184" s="24">
        <v>2052.0</v>
      </c>
      <c r="I4184" s="24">
        <v>4.0</v>
      </c>
      <c r="J4184" s="24">
        <v>0.0</v>
      </c>
      <c r="K4184" s="23" t="s">
        <v>34</v>
      </c>
      <c r="L4184" s="25">
        <v>41057.40149305556</v>
      </c>
      <c r="M4184" s="26" t="s">
        <v>9690</v>
      </c>
      <c r="N4184" s="26" t="s">
        <v>9691</v>
      </c>
      <c r="O4184" s="22" t="str">
        <f>HYPERLINK("https://pbs.twimg.com/profile_images/2533140249/p04m0wdsydwk8seo59aj_normal.jpeg","View")</f>
        <v>View</v>
      </c>
      <c r="P4184" s="27"/>
    </row>
    <row r="4185">
      <c r="A4185" s="14">
        <v>43031.263125</v>
      </c>
      <c r="B4185" s="20" t="str">
        <f>HYPERLINK("https://twitter.com/DeepakK31985230","@DeepakK31985230")</f>
        <v>@DeepakK31985230</v>
      </c>
      <c r="C4185" s="21" t="s">
        <v>9692</v>
      </c>
      <c r="D4185" s="21" t="s">
        <v>42</v>
      </c>
      <c r="E4185" s="22" t="str">
        <f>HYPERLINK("https://twitter.com/DeepakK31985230/status/922452273422143488","922452273422143488")</f>
        <v>922452273422143488</v>
      </c>
      <c r="F4185" s="23" t="s">
        <v>33</v>
      </c>
      <c r="G4185" s="24">
        <v>84.0</v>
      </c>
      <c r="H4185" s="24">
        <v>274.0</v>
      </c>
      <c r="I4185" s="24">
        <v>8501.0</v>
      </c>
      <c r="J4185" s="24">
        <v>0.0</v>
      </c>
      <c r="K4185" s="23" t="s">
        <v>34</v>
      </c>
      <c r="L4185" s="25">
        <v>42872.004432870366</v>
      </c>
      <c r="M4185" s="26" t="s">
        <v>9693</v>
      </c>
      <c r="N4185" s="28"/>
      <c r="O4185" s="22" t="str">
        <f>HYPERLINK("https://pbs.twimg.com/profile_images/864743484728762370/6AE_-3f2_normal.jpg","View")</f>
        <v>View</v>
      </c>
      <c r="P4185" s="27"/>
    </row>
    <row r="4186">
      <c r="A4186" s="14">
        <v>43031.26320601851</v>
      </c>
      <c r="B4186" s="20" t="str">
        <f>HYPERLINK("https://twitter.com/okayasu_y","@okayasu_y")</f>
        <v>@okayasu_y</v>
      </c>
      <c r="C4186" s="21" t="s">
        <v>9694</v>
      </c>
      <c r="D4186" s="21" t="s">
        <v>8782</v>
      </c>
      <c r="E4186" s="22" t="str">
        <f>HYPERLINK("https://twitter.com/okayasu_y/status/922452301431816195","922452301431816195")</f>
        <v>922452301431816195</v>
      </c>
      <c r="F4186" s="23" t="s">
        <v>39</v>
      </c>
      <c r="G4186" s="24">
        <v>589.0</v>
      </c>
      <c r="H4186" s="24">
        <v>1123.0</v>
      </c>
      <c r="I4186" s="24">
        <v>20.0</v>
      </c>
      <c r="J4186" s="24">
        <v>0.0</v>
      </c>
      <c r="K4186" s="23" t="s">
        <v>34</v>
      </c>
      <c r="L4186" s="25">
        <v>41591.12278935185</v>
      </c>
      <c r="M4186" s="26" t="s">
        <v>9695</v>
      </c>
      <c r="N4186" s="26" t="s">
        <v>9696</v>
      </c>
      <c r="O4186" s="22" t="str">
        <f>HYPERLINK("https://pbs.twimg.com/profile_images/752144756344430592/OCaR8_Fl_normal.jpg","View")</f>
        <v>View</v>
      </c>
      <c r="P4186" s="27"/>
    </row>
    <row r="4187">
      <c r="A4187" s="14">
        <v>43031.2632175926</v>
      </c>
      <c r="B4187" s="20" t="str">
        <f>HYPERLINK("https://twitter.com/Gizm0u","@Gizm0u")</f>
        <v>@Gizm0u</v>
      </c>
      <c r="C4187" s="21" t="s">
        <v>9697</v>
      </c>
      <c r="D4187" s="21" t="s">
        <v>9698</v>
      </c>
      <c r="E4187" s="22" t="str">
        <f>HYPERLINK("https://twitter.com/Gizm0u/status/922452303487094787","922452303487094787")</f>
        <v>922452303487094787</v>
      </c>
      <c r="F4187" s="23" t="s">
        <v>33</v>
      </c>
      <c r="G4187" s="24">
        <v>52.0</v>
      </c>
      <c r="H4187" s="24">
        <v>220.0</v>
      </c>
      <c r="I4187" s="24">
        <v>5.0</v>
      </c>
      <c r="J4187" s="24">
        <v>0.0</v>
      </c>
      <c r="K4187" s="23" t="s">
        <v>34</v>
      </c>
      <c r="L4187" s="25">
        <v>40171.43078703704</v>
      </c>
      <c r="M4187" s="28"/>
      <c r="N4187" s="26" t="s">
        <v>9699</v>
      </c>
      <c r="O4187" s="22" t="str">
        <f>HYPERLINK("https://pbs.twimg.com/profile_images/378800000142149058/f5db0df090fecb1a9c895cc9533ac799_normal.png","View")</f>
        <v>View</v>
      </c>
      <c r="P4187" s="27"/>
    </row>
    <row r="4188">
      <c r="A4188" s="14">
        <v>43031.26322916667</v>
      </c>
      <c r="B4188" s="20" t="str">
        <f>HYPERLINK("https://twitter.com/koganehakogame","@koganehakogame")</f>
        <v>@koganehakogame</v>
      </c>
      <c r="C4188" s="21" t="s">
        <v>9680</v>
      </c>
      <c r="D4188" s="21" t="s">
        <v>9700</v>
      </c>
      <c r="E4188" s="22" t="str">
        <f>HYPERLINK("https://twitter.com/koganehakogame/status/922452308406935555","922452308406935555")</f>
        <v>922452308406935555</v>
      </c>
      <c r="F4188" s="23" t="s">
        <v>55</v>
      </c>
      <c r="G4188" s="24">
        <v>2095.0</v>
      </c>
      <c r="H4188" s="24">
        <v>1914.0</v>
      </c>
      <c r="I4188" s="24">
        <v>46.0</v>
      </c>
      <c r="J4188" s="24">
        <v>0.0</v>
      </c>
      <c r="K4188" s="23" t="s">
        <v>34</v>
      </c>
      <c r="L4188" s="25">
        <v>40201.21233796296</v>
      </c>
      <c r="M4188" s="26" t="s">
        <v>9681</v>
      </c>
      <c r="N4188" s="26" t="s">
        <v>9682</v>
      </c>
      <c r="O4188" s="22" t="str">
        <f>HYPERLINK("https://pbs.twimg.com/profile_images/903967587729473536/7YMofIsJ_normal.jpg","View")</f>
        <v>View</v>
      </c>
      <c r="P4188" s="27"/>
    </row>
    <row r="4189">
      <c r="A4189" s="14">
        <v>43031.26331018518</v>
      </c>
      <c r="B4189" s="20" t="str">
        <f>HYPERLINK("https://twitter.com/newsvideosfeed","@newsvideosfeed")</f>
        <v>@newsvideosfeed</v>
      </c>
      <c r="C4189" s="21" t="s">
        <v>9701</v>
      </c>
      <c r="D4189" s="21" t="s">
        <v>9702</v>
      </c>
      <c r="E4189" s="22" t="str">
        <f>HYPERLINK("https://twitter.com/newsvideosfeed/status/922452340266946560","922452340266946560")</f>
        <v>922452340266946560</v>
      </c>
      <c r="F4189" s="23" t="s">
        <v>91</v>
      </c>
      <c r="G4189" s="24">
        <v>20.0</v>
      </c>
      <c r="H4189" s="24">
        <v>0.0</v>
      </c>
      <c r="I4189" s="24">
        <v>0.0</v>
      </c>
      <c r="J4189" s="24">
        <v>0.0</v>
      </c>
      <c r="K4189" s="23" t="s">
        <v>34</v>
      </c>
      <c r="L4189" s="25">
        <v>42555.40059027778</v>
      </c>
      <c r="M4189" s="28"/>
      <c r="N4189" s="28"/>
      <c r="O4189" s="22" t="str">
        <f>HYPERLINK("https://pbs.twimg.com/profile_images/750038609156341760/6i6MJaj0_normal.jpg","View")</f>
        <v>View</v>
      </c>
      <c r="P4189" s="27"/>
    </row>
    <row r="4190">
      <c r="A4190" s="14">
        <v>43031.26341435185</v>
      </c>
      <c r="B4190" s="20" t="str">
        <f>HYPERLINK("https://twitter.com/Saffronwing1","@Saffronwing1")</f>
        <v>@Saffronwing1</v>
      </c>
      <c r="C4190" s="21" t="s">
        <v>9703</v>
      </c>
      <c r="D4190" s="21" t="s">
        <v>42</v>
      </c>
      <c r="E4190" s="22" t="str">
        <f>HYPERLINK("https://twitter.com/Saffronwing1/status/922452374270099456","922452374270099456")</f>
        <v>922452374270099456</v>
      </c>
      <c r="F4190" s="23" t="s">
        <v>33</v>
      </c>
      <c r="G4190" s="24">
        <v>230.0</v>
      </c>
      <c r="H4190" s="24">
        <v>197.0</v>
      </c>
      <c r="I4190" s="24">
        <v>8501.0</v>
      </c>
      <c r="J4190" s="24">
        <v>0.0</v>
      </c>
      <c r="K4190" s="23" t="s">
        <v>34</v>
      </c>
      <c r="L4190" s="25">
        <v>40813.35037037037</v>
      </c>
      <c r="M4190" s="26" t="s">
        <v>423</v>
      </c>
      <c r="N4190" s="26" t="s">
        <v>9704</v>
      </c>
      <c r="O4190" s="22" t="str">
        <f>HYPERLINK("https://pbs.twimg.com/profile_images/887943330348191744/r-5-6j0w_normal.jpg","View")</f>
        <v>View</v>
      </c>
      <c r="P4190" s="27"/>
    </row>
    <row r="4191">
      <c r="A4191" s="14">
        <v>43031.263460648144</v>
      </c>
      <c r="B4191" s="20" t="str">
        <f>HYPERLINK("https://twitter.com/Shan25k","@Shan25k")</f>
        <v>@Shan25k</v>
      </c>
      <c r="C4191" s="21" t="s">
        <v>1314</v>
      </c>
      <c r="D4191" s="21" t="s">
        <v>163</v>
      </c>
      <c r="E4191" s="22" t="str">
        <f>HYPERLINK("https://twitter.com/Shan25k/status/922452393693868033","922452393693868033")</f>
        <v>922452393693868033</v>
      </c>
      <c r="F4191" s="23" t="s">
        <v>39</v>
      </c>
      <c r="G4191" s="24">
        <v>145.0</v>
      </c>
      <c r="H4191" s="24">
        <v>153.0</v>
      </c>
      <c r="I4191" s="24">
        <v>1005.0</v>
      </c>
      <c r="J4191" s="24">
        <v>0.0</v>
      </c>
      <c r="K4191" s="23" t="s">
        <v>34</v>
      </c>
      <c r="L4191" s="25">
        <v>41135.096400462964</v>
      </c>
      <c r="M4191" s="28"/>
      <c r="N4191" s="26" t="s">
        <v>1315</v>
      </c>
      <c r="O4191" s="22" t="str">
        <f>HYPERLINK("https://pbs.twimg.com/profile_images/804195913195405312/Q1a3BBIK_normal.jpg","View")</f>
        <v>View</v>
      </c>
      <c r="P4191" s="27"/>
    </row>
    <row r="4192">
      <c r="A4192" s="14">
        <v>43031.26349537037</v>
      </c>
      <c r="B4192" s="20" t="str">
        <f>HYPERLINK("https://twitter.com/anupamd00567654","@anupamd00567654")</f>
        <v>@anupamd00567654</v>
      </c>
      <c r="C4192" s="21" t="s">
        <v>9705</v>
      </c>
      <c r="D4192" s="21" t="s">
        <v>42</v>
      </c>
      <c r="E4192" s="22" t="str">
        <f>HYPERLINK("https://twitter.com/anupamd00567654/status/922452406570487808","922452406570487808")</f>
        <v>922452406570487808</v>
      </c>
      <c r="F4192" s="23" t="s">
        <v>55</v>
      </c>
      <c r="G4192" s="24">
        <v>179.0</v>
      </c>
      <c r="H4192" s="24">
        <v>590.0</v>
      </c>
      <c r="I4192" s="24">
        <v>8501.0</v>
      </c>
      <c r="J4192" s="24">
        <v>0.0</v>
      </c>
      <c r="K4192" s="23" t="s">
        <v>34</v>
      </c>
      <c r="L4192" s="25">
        <v>42719.272986111115</v>
      </c>
      <c r="M4192" s="26" t="s">
        <v>9706</v>
      </c>
      <c r="N4192" s="26" t="s">
        <v>9707</v>
      </c>
      <c r="O4192" s="22" t="str">
        <f>HYPERLINK("https://pbs.twimg.com/profile_images/867462188591656961/XX8lY08Y_normal.jpg","View")</f>
        <v>View</v>
      </c>
      <c r="P4192" s="27"/>
    </row>
    <row r="4193">
      <c r="A4193" s="14">
        <v>43031.263553240744</v>
      </c>
      <c r="B4193" s="20" t="str">
        <f>HYPERLINK("https://twitter.com/phaccess_ssa","@phaccess_ssa")</f>
        <v>@phaccess_ssa</v>
      </c>
      <c r="C4193" s="21" t="s">
        <v>9708</v>
      </c>
      <c r="D4193" s="21" t="s">
        <v>9709</v>
      </c>
      <c r="E4193" s="22" t="str">
        <f>HYPERLINK("https://twitter.com/phaccess_ssa/status/922452427424587777","922452427424587777")</f>
        <v>922452427424587777</v>
      </c>
      <c r="F4193" s="23" t="s">
        <v>55</v>
      </c>
      <c r="G4193" s="24">
        <v>1666.0</v>
      </c>
      <c r="H4193" s="24">
        <v>2347.0</v>
      </c>
      <c r="I4193" s="24">
        <v>1.0</v>
      </c>
      <c r="J4193" s="24">
        <v>0.0</v>
      </c>
      <c r="K4193" s="23" t="s">
        <v>34</v>
      </c>
      <c r="L4193" s="25">
        <v>42810.1253125</v>
      </c>
      <c r="M4193" s="26" t="s">
        <v>9710</v>
      </c>
      <c r="N4193" s="26" t="s">
        <v>9711</v>
      </c>
      <c r="O4193" s="22" t="str">
        <f>HYPERLINK("https://pbs.twimg.com/profile_images/842317758780055552/vCr2CI5N_normal.jpg","View")</f>
        <v>View</v>
      </c>
      <c r="P4193" s="27"/>
    </row>
    <row r="4194">
      <c r="A4194" s="14">
        <v>43031.26375</v>
      </c>
      <c r="B4194" s="20" t="str">
        <f>HYPERLINK("https://twitter.com/DoomsdaysCW","@DoomsdaysCW")</f>
        <v>@DoomsdaysCW</v>
      </c>
      <c r="C4194" s="21" t="s">
        <v>9712</v>
      </c>
      <c r="D4194" s="21" t="s">
        <v>9689</v>
      </c>
      <c r="E4194" s="22" t="str">
        <f>HYPERLINK("https://twitter.com/DoomsdaysCW/status/922452497993789440","922452497993789440")</f>
        <v>922452497993789440</v>
      </c>
      <c r="F4194" s="23" t="s">
        <v>55</v>
      </c>
      <c r="G4194" s="24">
        <v>3595.0</v>
      </c>
      <c r="H4194" s="24">
        <v>3935.0</v>
      </c>
      <c r="I4194" s="24">
        <v>4.0</v>
      </c>
      <c r="J4194" s="24">
        <v>0.0</v>
      </c>
      <c r="K4194" s="23" t="s">
        <v>34</v>
      </c>
      <c r="L4194" s="25">
        <v>41605.824224537035</v>
      </c>
      <c r="M4194" s="26" t="s">
        <v>5280</v>
      </c>
      <c r="N4194" s="26" t="s">
        <v>9713</v>
      </c>
      <c r="O4194" s="22" t="str">
        <f>HYPERLINK("https://pbs.twimg.com/profile_images/802295526263635968/Hi-vs-Rh_normal.jpg","View")</f>
        <v>View</v>
      </c>
      <c r="P4194" s="27"/>
    </row>
    <row r="4195">
      <c r="A4195" s="14">
        <v>43031.26378472222</v>
      </c>
      <c r="B4195" s="20" t="str">
        <f>HYPERLINK("https://twitter.com/bksachania","@bksachania")</f>
        <v>@bksachania</v>
      </c>
      <c r="C4195" s="21" t="s">
        <v>9324</v>
      </c>
      <c r="D4195" s="21" t="s">
        <v>9714</v>
      </c>
      <c r="E4195" s="22" t="str">
        <f>HYPERLINK("https://twitter.com/bksachania/status/922452511428096001","922452511428096001")</f>
        <v>922452511428096001</v>
      </c>
      <c r="F4195" s="23" t="s">
        <v>39</v>
      </c>
      <c r="G4195" s="24">
        <v>9.0</v>
      </c>
      <c r="H4195" s="24">
        <v>86.0</v>
      </c>
      <c r="I4195" s="24">
        <v>4.0</v>
      </c>
      <c r="J4195" s="24">
        <v>0.0</v>
      </c>
      <c r="K4195" s="23" t="s">
        <v>34</v>
      </c>
      <c r="L4195" s="25">
        <v>40544.34460648148</v>
      </c>
      <c r="M4195" s="26" t="s">
        <v>334</v>
      </c>
      <c r="N4195" s="28"/>
      <c r="O4195" s="22" t="str">
        <f>HYPERLINK("https://pbs.twimg.com/profile_images/631914708258430980/aPdcNS0Y_normal.jpg","View")</f>
        <v>View</v>
      </c>
      <c r="P4195" s="27"/>
    </row>
    <row r="4196">
      <c r="A4196" s="14">
        <v>43031.2637962963</v>
      </c>
      <c r="B4196" s="20" t="str">
        <f>HYPERLINK("https://twitter.com/Namasake1","@Namasake1")</f>
        <v>@Namasake1</v>
      </c>
      <c r="C4196" s="21" t="s">
        <v>9715</v>
      </c>
      <c r="D4196" s="21" t="s">
        <v>32</v>
      </c>
      <c r="E4196" s="22" t="str">
        <f>HYPERLINK("https://twitter.com/Namasake1/status/922452512761896960","922452512761896960")</f>
        <v>922452512761896960</v>
      </c>
      <c r="F4196" s="23" t="s">
        <v>33</v>
      </c>
      <c r="G4196" s="24">
        <v>204.0</v>
      </c>
      <c r="H4196" s="24">
        <v>605.0</v>
      </c>
      <c r="I4196" s="24">
        <v>471.0</v>
      </c>
      <c r="J4196" s="24">
        <v>0.0</v>
      </c>
      <c r="K4196" s="23" t="s">
        <v>34</v>
      </c>
      <c r="L4196" s="25">
        <v>42790.043865740736</v>
      </c>
      <c r="M4196" s="26" t="s">
        <v>114</v>
      </c>
      <c r="N4196" s="26" t="s">
        <v>9716</v>
      </c>
      <c r="O4196" s="22" t="str">
        <f>HYPERLINK("https://pbs.twimg.com/profile_images/835057282136276992/MHE7LC5Z_normal.jpg","View")</f>
        <v>View</v>
      </c>
      <c r="P4196" s="27"/>
    </row>
    <row r="4197">
      <c r="A4197" s="14">
        <v>43031.2638425926</v>
      </c>
      <c r="B4197" s="20" t="str">
        <f>HYPERLINK("https://twitter.com/danwibg","@danwibg")</f>
        <v>@danwibg</v>
      </c>
      <c r="C4197" s="21" t="s">
        <v>9717</v>
      </c>
      <c r="D4197" s="21" t="s">
        <v>9718</v>
      </c>
      <c r="E4197" s="22" t="str">
        <f>HYPERLINK("https://twitter.com/danwibg/status/922452533305634816","922452533305634816")</f>
        <v>922452533305634816</v>
      </c>
      <c r="F4197" s="23" t="s">
        <v>55</v>
      </c>
      <c r="G4197" s="24">
        <v>2639.0</v>
      </c>
      <c r="H4197" s="24">
        <v>1733.0</v>
      </c>
      <c r="I4197" s="24">
        <v>0.0</v>
      </c>
      <c r="J4197" s="24">
        <v>0.0</v>
      </c>
      <c r="K4197" s="23" t="s">
        <v>34</v>
      </c>
      <c r="L4197" s="25">
        <v>40007.349328703705</v>
      </c>
      <c r="M4197" s="26" t="s">
        <v>9719</v>
      </c>
      <c r="N4197" s="26" t="s">
        <v>9720</v>
      </c>
      <c r="O4197" s="22" t="str">
        <f>HYPERLINK("https://pbs.twimg.com/profile_images/734801644836249600/azsNv75c_normal.jpg","View")</f>
        <v>View</v>
      </c>
      <c r="P4197" s="27"/>
    </row>
    <row r="4198">
      <c r="A4198" s="14">
        <v>43031.26392361111</v>
      </c>
      <c r="B4198" s="20" t="str">
        <f>HYPERLINK("https://twitter.com/Mt_violaki","@Mt_violaki")</f>
        <v>@Mt_violaki</v>
      </c>
      <c r="C4198" s="21" t="s">
        <v>9721</v>
      </c>
      <c r="D4198" s="21" t="s">
        <v>1642</v>
      </c>
      <c r="E4198" s="22" t="str">
        <f>HYPERLINK("https://twitter.com/Mt_violaki/status/922452560480317440","922452560480317440")</f>
        <v>922452560480317440</v>
      </c>
      <c r="F4198" s="23" t="s">
        <v>33</v>
      </c>
      <c r="G4198" s="24">
        <v>284.0</v>
      </c>
      <c r="H4198" s="24">
        <v>280.0</v>
      </c>
      <c r="I4198" s="24">
        <v>199.0</v>
      </c>
      <c r="J4198" s="24">
        <v>0.0</v>
      </c>
      <c r="K4198" s="23" t="s">
        <v>34</v>
      </c>
      <c r="L4198" s="25">
        <v>41046.35275462963</v>
      </c>
      <c r="M4198" s="26" t="s">
        <v>9722</v>
      </c>
      <c r="N4198" s="26" t="s">
        <v>9723</v>
      </c>
      <c r="O4198" s="22" t="str">
        <f>HYPERLINK("https://pbs.twimg.com/profile_images/826794546881126400/kaRvHNfO_normal.jpg","View")</f>
        <v>View</v>
      </c>
      <c r="P4198" s="27"/>
    </row>
    <row r="4199">
      <c r="A4199" s="14">
        <v>43031.26398148148</v>
      </c>
      <c r="B4199" s="20" t="str">
        <f>HYPERLINK("https://twitter.com/PoliticsZone","@PoliticsZone")</f>
        <v>@PoliticsZone</v>
      </c>
      <c r="C4199" s="21" t="s">
        <v>5553</v>
      </c>
      <c r="D4199" s="21" t="s">
        <v>9724</v>
      </c>
      <c r="E4199" s="22" t="str">
        <f>HYPERLINK("https://twitter.com/PoliticsZone/status/922452580730654720","922452580730654720")</f>
        <v>922452580730654720</v>
      </c>
      <c r="F4199" s="23" t="s">
        <v>39</v>
      </c>
      <c r="G4199" s="24">
        <v>56.0</v>
      </c>
      <c r="H4199" s="24">
        <v>8.0</v>
      </c>
      <c r="I4199" s="24">
        <v>0.0</v>
      </c>
      <c r="J4199" s="24">
        <v>0.0</v>
      </c>
      <c r="K4199" s="23" t="s">
        <v>34</v>
      </c>
      <c r="L4199" s="25">
        <v>40915.683171296296</v>
      </c>
      <c r="M4199" s="28"/>
      <c r="N4199" s="28"/>
      <c r="O4199" s="22" t="str">
        <f>HYPERLINK("https://pbs.twimg.com/profile_images/708359203832909824/5l4v9w-o_normal.jpg","View")</f>
        <v>View</v>
      </c>
      <c r="P4199" s="27"/>
    </row>
    <row r="4200">
      <c r="A4200" s="14">
        <v>43031.26402777778</v>
      </c>
      <c r="B4200" s="20" t="str">
        <f>HYPERLINK("https://twitter.com/kalyan_proud","@kalyan_proud")</f>
        <v>@kalyan_proud</v>
      </c>
      <c r="C4200" s="21" t="s">
        <v>9725</v>
      </c>
      <c r="D4200" s="21" t="s">
        <v>42</v>
      </c>
      <c r="E4200" s="22" t="str">
        <f>HYPERLINK("https://twitter.com/kalyan_proud/status/922452599655120897","922452599655120897")</f>
        <v>922452599655120897</v>
      </c>
      <c r="F4200" s="23" t="s">
        <v>33</v>
      </c>
      <c r="G4200" s="24">
        <v>31.0</v>
      </c>
      <c r="H4200" s="24">
        <v>636.0</v>
      </c>
      <c r="I4200" s="24">
        <v>8501.0</v>
      </c>
      <c r="J4200" s="24">
        <v>0.0</v>
      </c>
      <c r="K4200" s="23" t="s">
        <v>34</v>
      </c>
      <c r="L4200" s="25">
        <v>42417.356585648144</v>
      </c>
      <c r="M4200" s="26" t="s">
        <v>167</v>
      </c>
      <c r="N4200" s="26" t="s">
        <v>9726</v>
      </c>
      <c r="O4200" s="22" t="str">
        <f>HYPERLINK("https://pbs.twimg.com/profile_images/915620998115766272/A0zcI_u5_normal.jpg","View")</f>
        <v>View</v>
      </c>
      <c r="P4200" s="27"/>
    </row>
    <row r="4201">
      <c r="A4201" s="14">
        <v>43031.26424768519</v>
      </c>
      <c r="B4201" s="20" t="str">
        <f>HYPERLINK("https://twitter.com/chietherabbit","@chietherabbit")</f>
        <v>@chietherabbit</v>
      </c>
      <c r="C4201" s="21" t="s">
        <v>9727</v>
      </c>
      <c r="D4201" s="21" t="s">
        <v>1642</v>
      </c>
      <c r="E4201" s="22" t="str">
        <f>HYPERLINK("https://twitter.com/chietherabbit/status/922452678147416064","922452678147416064")</f>
        <v>922452678147416064</v>
      </c>
      <c r="F4201" s="23" t="s">
        <v>39</v>
      </c>
      <c r="G4201" s="24">
        <v>823.0</v>
      </c>
      <c r="H4201" s="24">
        <v>236.0</v>
      </c>
      <c r="I4201" s="24">
        <v>199.0</v>
      </c>
      <c r="J4201" s="24">
        <v>0.0</v>
      </c>
      <c r="K4201" s="23" t="s">
        <v>34</v>
      </c>
      <c r="L4201" s="25">
        <v>39990.81380787037</v>
      </c>
      <c r="M4201" s="26" t="s">
        <v>853</v>
      </c>
      <c r="N4201" s="26" t="s">
        <v>9728</v>
      </c>
      <c r="O4201" s="22" t="str">
        <f>HYPERLINK("https://pbs.twimg.com/profile_images/886144100776333313/1JlfaHr9_normal.jpg","View")</f>
        <v>View</v>
      </c>
      <c r="P4201" s="27"/>
    </row>
    <row r="4202">
      <c r="A4202" s="14">
        <v>43031.26428240741</v>
      </c>
      <c r="B4202" s="20" t="str">
        <f>HYPERLINK("https://twitter.com/Parabneelam","@Parabneelam")</f>
        <v>@Parabneelam</v>
      </c>
      <c r="C4202" s="21" t="s">
        <v>9729</v>
      </c>
      <c r="D4202" s="21" t="s">
        <v>42</v>
      </c>
      <c r="E4202" s="22" t="str">
        <f>HYPERLINK("https://twitter.com/Parabneelam/status/922452688788324352","922452688788324352")</f>
        <v>922452688788324352</v>
      </c>
      <c r="F4202" s="23" t="s">
        <v>33</v>
      </c>
      <c r="G4202" s="24">
        <v>7.0</v>
      </c>
      <c r="H4202" s="24">
        <v>87.0</v>
      </c>
      <c r="I4202" s="24">
        <v>8501.0</v>
      </c>
      <c r="J4202" s="24">
        <v>0.0</v>
      </c>
      <c r="K4202" s="23" t="s">
        <v>34</v>
      </c>
      <c r="L4202" s="25">
        <v>43002.13670138889</v>
      </c>
      <c r="M4202" s="28"/>
      <c r="N4202" s="28"/>
      <c r="O4202" s="22" t="str">
        <f>HYPERLINK("https://abs.twimg.com/sticky/default_profile_images/default_profile_normal.png","View")</f>
        <v>View</v>
      </c>
      <c r="P4202" s="27"/>
    </row>
    <row r="4203">
      <c r="A4203" s="14">
        <v>43031.26439814815</v>
      </c>
      <c r="B4203" s="20" t="str">
        <f>HYPERLINK("https://twitter.com/at2rty","@at2rty")</f>
        <v>@at2rty</v>
      </c>
      <c r="C4203" s="21" t="s">
        <v>9730</v>
      </c>
      <c r="D4203" s="21" t="s">
        <v>9731</v>
      </c>
      <c r="E4203" s="22" t="str">
        <f>HYPERLINK("https://twitter.com/at2rty/status/922452732501549056","922452732501549056")</f>
        <v>922452732501549056</v>
      </c>
      <c r="F4203" s="23" t="s">
        <v>48</v>
      </c>
      <c r="G4203" s="24">
        <v>635.0</v>
      </c>
      <c r="H4203" s="24">
        <v>2311.0</v>
      </c>
      <c r="I4203" s="24">
        <v>0.0</v>
      </c>
      <c r="J4203" s="24">
        <v>0.0</v>
      </c>
      <c r="K4203" s="23" t="s">
        <v>34</v>
      </c>
      <c r="L4203" s="25">
        <v>39875.22524305555</v>
      </c>
      <c r="M4203" s="26" t="s">
        <v>9732</v>
      </c>
      <c r="N4203" s="26" t="s">
        <v>9733</v>
      </c>
      <c r="O4203" s="22" t="str">
        <f>HYPERLINK("https://pbs.twimg.com/profile_images/192439443/globe_normal.jpg","View")</f>
        <v>View</v>
      </c>
      <c r="P4203" s="27"/>
    </row>
    <row r="4204">
      <c r="A4204" s="14">
        <v>43031.26440972222</v>
      </c>
      <c r="B4204" s="20" t="str">
        <f>HYPERLINK("https://twitter.com/Shubham11759378","@Shubham11759378")</f>
        <v>@Shubham11759378</v>
      </c>
      <c r="C4204" s="21" t="s">
        <v>9734</v>
      </c>
      <c r="D4204" s="21" t="s">
        <v>42</v>
      </c>
      <c r="E4204" s="22" t="str">
        <f>HYPERLINK("https://twitter.com/Shubham11759378/status/922452739048615936","922452739048615936")</f>
        <v>922452739048615936</v>
      </c>
      <c r="F4204" s="23" t="s">
        <v>33</v>
      </c>
      <c r="G4204" s="24">
        <v>2.0</v>
      </c>
      <c r="H4204" s="24">
        <v>77.0</v>
      </c>
      <c r="I4204" s="24">
        <v>8501.0</v>
      </c>
      <c r="J4204" s="24">
        <v>0.0</v>
      </c>
      <c r="K4204" s="23" t="s">
        <v>34</v>
      </c>
      <c r="L4204" s="25">
        <v>42969.7784837963</v>
      </c>
      <c r="M4204" s="28"/>
      <c r="N4204" s="28"/>
      <c r="O4204" s="22" t="str">
        <f>HYPERLINK("https://abs.twimg.com/sticky/default_profile_images/default_profile_normal.png","View")</f>
        <v>View</v>
      </c>
      <c r="P4204" s="27"/>
    </row>
    <row r="4205">
      <c r="A4205" s="14">
        <v>43031.26447916667</v>
      </c>
      <c r="B4205" s="20" t="str">
        <f>HYPERLINK("https://twitter.com/wengerballboy","@wengerballboy")</f>
        <v>@wengerballboy</v>
      </c>
      <c r="C4205" s="21" t="s">
        <v>9735</v>
      </c>
      <c r="D4205" s="21" t="s">
        <v>42</v>
      </c>
      <c r="E4205" s="22" t="str">
        <f>HYPERLINK("https://twitter.com/wengerballboy/status/922452761869926400","922452761869926400")</f>
        <v>922452761869926400</v>
      </c>
      <c r="F4205" s="23" t="s">
        <v>33</v>
      </c>
      <c r="G4205" s="24">
        <v>17.0</v>
      </c>
      <c r="H4205" s="24">
        <v>90.0</v>
      </c>
      <c r="I4205" s="24">
        <v>8501.0</v>
      </c>
      <c r="J4205" s="24">
        <v>0.0</v>
      </c>
      <c r="K4205" s="23" t="s">
        <v>34</v>
      </c>
      <c r="L4205" s="25">
        <v>42954.33231481482</v>
      </c>
      <c r="M4205" s="28"/>
      <c r="N4205" s="26" t="s">
        <v>9736</v>
      </c>
      <c r="O4205" s="22" t="str">
        <f>HYPERLINK("https://pbs.twimg.com/profile_images/894575131879653381/1acLYxwB_normal.jpg","View")</f>
        <v>View</v>
      </c>
      <c r="P4205" s="27"/>
    </row>
    <row r="4206">
      <c r="A4206" s="14">
        <v>43031.26453703704</v>
      </c>
      <c r="B4206" s="20" t="str">
        <f>HYPERLINK("https://twitter.com/yymods","@yymods")</f>
        <v>@yymods</v>
      </c>
      <c r="C4206" s="21" t="s">
        <v>9737</v>
      </c>
      <c r="D4206" s="21" t="s">
        <v>6670</v>
      </c>
      <c r="E4206" s="22" t="str">
        <f>HYPERLINK("https://twitter.com/yymods/status/922452782656790529","922452782656790529")</f>
        <v>922452782656790529</v>
      </c>
      <c r="F4206" s="23" t="s">
        <v>230</v>
      </c>
      <c r="G4206" s="24">
        <v>1832.0</v>
      </c>
      <c r="H4206" s="24">
        <v>3539.0</v>
      </c>
      <c r="I4206" s="24">
        <v>18.0</v>
      </c>
      <c r="J4206" s="24">
        <v>0.0</v>
      </c>
      <c r="K4206" s="23" t="s">
        <v>34</v>
      </c>
      <c r="L4206" s="25">
        <v>41378.39474537037</v>
      </c>
      <c r="M4206" s="26" t="s">
        <v>9738</v>
      </c>
      <c r="N4206" s="26" t="s">
        <v>9739</v>
      </c>
      <c r="O4206" s="22" t="str">
        <f>HYPERLINK("https://pbs.twimg.com/profile_images/3521385686/d4856309211867680329bf2c8256afc2_normal.jpeg","View")</f>
        <v>View</v>
      </c>
      <c r="P4206" s="27"/>
    </row>
    <row r="4207">
      <c r="A4207" s="14">
        <v>43031.26457175926</v>
      </c>
      <c r="B4207" s="20" t="str">
        <f>HYPERLINK("https://twitter.com/Lokeshmx","@Lokeshmx")</f>
        <v>@Lokeshmx</v>
      </c>
      <c r="C4207" s="21" t="s">
        <v>9740</v>
      </c>
      <c r="D4207" s="21" t="s">
        <v>42</v>
      </c>
      <c r="E4207" s="22" t="str">
        <f>HYPERLINK("https://twitter.com/Lokeshmx/status/922452796120629255","922452796120629255")</f>
        <v>922452796120629255</v>
      </c>
      <c r="F4207" s="23" t="s">
        <v>33</v>
      </c>
      <c r="G4207" s="24">
        <v>39.0</v>
      </c>
      <c r="H4207" s="24">
        <v>204.0</v>
      </c>
      <c r="I4207" s="24">
        <v>8501.0</v>
      </c>
      <c r="J4207" s="24">
        <v>0.0</v>
      </c>
      <c r="K4207" s="23" t="s">
        <v>34</v>
      </c>
      <c r="L4207" s="25">
        <v>40225.88988425926</v>
      </c>
      <c r="M4207" s="28"/>
      <c r="N4207" s="28"/>
      <c r="O4207" s="22" t="str">
        <f>HYPERLINK("https://abs.twimg.com/sticky/default_profile_images/default_profile_normal.png","View")</f>
        <v>View</v>
      </c>
      <c r="P4207" s="27"/>
    </row>
    <row r="4208">
      <c r="A4208" s="14">
        <v>43031.26458333334</v>
      </c>
      <c r="B4208" s="20" t="str">
        <f>HYPERLINK("https://twitter.com/BearsViews","@BearsViews")</f>
        <v>@BearsViews</v>
      </c>
      <c r="C4208" s="21" t="s">
        <v>9741</v>
      </c>
      <c r="D4208" s="21" t="s">
        <v>9742</v>
      </c>
      <c r="E4208" s="22" t="str">
        <f>HYPERLINK("https://twitter.com/BearsViews/status/922452798436007936","922452798436007936")</f>
        <v>922452798436007936</v>
      </c>
      <c r="F4208" s="23" t="s">
        <v>1119</v>
      </c>
      <c r="G4208" s="24">
        <v>2254.0</v>
      </c>
      <c r="H4208" s="24">
        <v>947.0</v>
      </c>
      <c r="I4208" s="24">
        <v>0.0</v>
      </c>
      <c r="J4208" s="24">
        <v>0.0</v>
      </c>
      <c r="K4208" s="23" t="s">
        <v>34</v>
      </c>
      <c r="L4208" s="25">
        <v>42043.75833333333</v>
      </c>
      <c r="M4208" s="28"/>
      <c r="N4208" s="26" t="s">
        <v>9743</v>
      </c>
      <c r="O4208" s="22" t="str">
        <f>HYPERLINK("https://pbs.twimg.com/profile_images/570774558194429952/ircy4eCi_normal.png","View")</f>
        <v>View</v>
      </c>
      <c r="P4208" s="27"/>
    </row>
    <row r="4209">
      <c r="A4209" s="14">
        <v>43031.2647337963</v>
      </c>
      <c r="B4209" s="20" t="str">
        <f>HYPERLINK("https://twitter.com/dumanserhan","@dumanserhan")</f>
        <v>@dumanserhan</v>
      </c>
      <c r="C4209" s="21" t="s">
        <v>9744</v>
      </c>
      <c r="D4209" s="21" t="s">
        <v>82</v>
      </c>
      <c r="E4209" s="22" t="str">
        <f>HYPERLINK("https://twitter.com/dumanserhan/status/922452854371225601","922452854371225601")</f>
        <v>922452854371225601</v>
      </c>
      <c r="F4209" s="23" t="s">
        <v>33</v>
      </c>
      <c r="G4209" s="24">
        <v>393.0</v>
      </c>
      <c r="H4209" s="24">
        <v>2837.0</v>
      </c>
      <c r="I4209" s="24">
        <v>38.0</v>
      </c>
      <c r="J4209" s="24">
        <v>0.0</v>
      </c>
      <c r="K4209" s="23" t="s">
        <v>34</v>
      </c>
      <c r="L4209" s="25">
        <v>40538.413773148146</v>
      </c>
      <c r="M4209" s="28"/>
      <c r="N4209" s="26" t="s">
        <v>9745</v>
      </c>
      <c r="O4209" s="22" t="str">
        <f>HYPERLINK("https://pbs.twimg.com/profile_images/1455714187/n656013636_808828_4027_normal.jpg","View")</f>
        <v>View</v>
      </c>
      <c r="P4209" s="27"/>
    </row>
    <row r="4210">
      <c r="A4210" s="14">
        <v>43031.26483796297</v>
      </c>
      <c r="B4210" s="20" t="str">
        <f>HYPERLINK("https://twitter.com/pareshcoolguy","@pareshcoolguy")</f>
        <v>@pareshcoolguy</v>
      </c>
      <c r="C4210" s="21" t="s">
        <v>9746</v>
      </c>
      <c r="D4210" s="21" t="s">
        <v>42</v>
      </c>
      <c r="E4210" s="22" t="str">
        <f>HYPERLINK("https://twitter.com/pareshcoolguy/status/922452892161679360","922452892161679360")</f>
        <v>922452892161679360</v>
      </c>
      <c r="F4210" s="23" t="s">
        <v>33</v>
      </c>
      <c r="G4210" s="24">
        <v>461.0</v>
      </c>
      <c r="H4210" s="24">
        <v>1403.0</v>
      </c>
      <c r="I4210" s="24">
        <v>8501.0</v>
      </c>
      <c r="J4210" s="24">
        <v>0.0</v>
      </c>
      <c r="K4210" s="23" t="s">
        <v>34</v>
      </c>
      <c r="L4210" s="25">
        <v>40892.13675925926</v>
      </c>
      <c r="M4210" s="26" t="s">
        <v>224</v>
      </c>
      <c r="N4210" s="26" t="s">
        <v>9747</v>
      </c>
      <c r="O4210" s="22" t="str">
        <f>HYPERLINK("https://pbs.twimg.com/profile_images/920560196937662464/fkRtEMdj_normal.jpg","View")</f>
        <v>View</v>
      </c>
      <c r="P4210" s="27"/>
    </row>
    <row r="4211">
      <c r="A4211" s="14">
        <v>43031.26490740741</v>
      </c>
      <c r="B4211" s="20" t="str">
        <f>HYPERLINK("https://twitter.com/AnuragP15036895","@AnuragP15036895")</f>
        <v>@AnuragP15036895</v>
      </c>
      <c r="C4211" s="21" t="s">
        <v>9748</v>
      </c>
      <c r="D4211" s="21" t="s">
        <v>42</v>
      </c>
      <c r="E4211" s="22" t="str">
        <f>HYPERLINK("https://twitter.com/AnuragP15036895/status/922452917763710977","922452917763710977")</f>
        <v>922452917763710977</v>
      </c>
      <c r="F4211" s="23" t="s">
        <v>33</v>
      </c>
      <c r="G4211" s="24">
        <v>90.0</v>
      </c>
      <c r="H4211" s="24">
        <v>678.0</v>
      </c>
      <c r="I4211" s="24">
        <v>8501.0</v>
      </c>
      <c r="J4211" s="24">
        <v>0.0</v>
      </c>
      <c r="K4211" s="23" t="s">
        <v>34</v>
      </c>
      <c r="L4211" s="25">
        <v>42974.0152662037</v>
      </c>
      <c r="M4211" s="26" t="s">
        <v>9749</v>
      </c>
      <c r="N4211" s="26" t="s">
        <v>9750</v>
      </c>
      <c r="O4211" s="22" t="str">
        <f>HYPERLINK("https://pbs.twimg.com/profile_images/919983361749221376/FArsJKvO_normal.jpg","View")</f>
        <v>View</v>
      </c>
      <c r="P4211" s="27"/>
    </row>
    <row r="4212">
      <c r="A4212" s="14">
        <v>43031.26497685185</v>
      </c>
      <c r="B4212" s="20" t="str">
        <f>HYPERLINK("https://twitter.com/harish_purohit","@harish_purohit")</f>
        <v>@harish_purohit</v>
      </c>
      <c r="C4212" s="21" t="s">
        <v>9751</v>
      </c>
      <c r="D4212" s="21" t="s">
        <v>163</v>
      </c>
      <c r="E4212" s="22" t="str">
        <f>HYPERLINK("https://twitter.com/harish_purohit/status/922452941134471168","922452941134471168")</f>
        <v>922452941134471168</v>
      </c>
      <c r="F4212" s="23" t="s">
        <v>33</v>
      </c>
      <c r="G4212" s="24">
        <v>18672.0</v>
      </c>
      <c r="H4212" s="24">
        <v>5873.0</v>
      </c>
      <c r="I4212" s="24">
        <v>1005.0</v>
      </c>
      <c r="J4212" s="24">
        <v>0.0</v>
      </c>
      <c r="K4212" s="23" t="s">
        <v>34</v>
      </c>
      <c r="L4212" s="25">
        <v>40272.51099537037</v>
      </c>
      <c r="M4212" s="28"/>
      <c r="N4212" s="26" t="s">
        <v>9752</v>
      </c>
      <c r="O4212" s="22" t="str">
        <f>HYPERLINK("https://pbs.twimg.com/profile_images/832158664786006017/TUQsb_jf_normal.jpg","View")</f>
        <v>View</v>
      </c>
      <c r="P4212" s="27"/>
    </row>
    <row r="4213">
      <c r="A4213" s="14">
        <v>43031.265</v>
      </c>
      <c r="B4213" s="20" t="str">
        <f>HYPERLINK("https://twitter.com/PocoMs_Fukumaru","@PocoMs_Fukumaru")</f>
        <v>@PocoMs_Fukumaru</v>
      </c>
      <c r="C4213" s="21" t="s">
        <v>9753</v>
      </c>
      <c r="D4213" s="21" t="s">
        <v>1642</v>
      </c>
      <c r="E4213" s="22" t="str">
        <f>HYPERLINK("https://twitter.com/PocoMs_Fukumaru/status/922452949132914688","922452949132914688")</f>
        <v>922452949132914688</v>
      </c>
      <c r="F4213" s="23" t="s">
        <v>39</v>
      </c>
      <c r="G4213" s="24">
        <v>446.0</v>
      </c>
      <c r="H4213" s="24">
        <v>635.0</v>
      </c>
      <c r="I4213" s="24">
        <v>199.0</v>
      </c>
      <c r="J4213" s="24">
        <v>0.0</v>
      </c>
      <c r="K4213" s="23" t="s">
        <v>34</v>
      </c>
      <c r="L4213" s="25">
        <v>41814.860810185186</v>
      </c>
      <c r="M4213" s="26" t="s">
        <v>9754</v>
      </c>
      <c r="N4213" s="26" t="s">
        <v>9755</v>
      </c>
      <c r="O4213" s="22" t="str">
        <f>HYPERLINK("https://pbs.twimg.com/profile_images/768851923906629636/QfoDIo-R_normal.jpg","View")</f>
        <v>View</v>
      </c>
      <c r="P4213" s="27"/>
    </row>
    <row r="4214">
      <c r="A4214" s="14">
        <v>43031.26502314815</v>
      </c>
      <c r="B4214" s="20" t="str">
        <f>HYPERLINK("https://twitter.com/Harikri38344189","@Harikri38344189")</f>
        <v>@Harikri38344189</v>
      </c>
      <c r="C4214" s="21" t="s">
        <v>9756</v>
      </c>
      <c r="D4214" s="21" t="s">
        <v>42</v>
      </c>
      <c r="E4214" s="22" t="str">
        <f>HYPERLINK("https://twitter.com/Harikri38344189/status/922452960281485313","922452960281485313")</f>
        <v>922452960281485313</v>
      </c>
      <c r="F4214" s="23" t="s">
        <v>33</v>
      </c>
      <c r="G4214" s="24">
        <v>35.0</v>
      </c>
      <c r="H4214" s="24">
        <v>126.0</v>
      </c>
      <c r="I4214" s="24">
        <v>8501.0</v>
      </c>
      <c r="J4214" s="24">
        <v>0.0</v>
      </c>
      <c r="K4214" s="23" t="s">
        <v>34</v>
      </c>
      <c r="L4214" s="25">
        <v>43002.968206018515</v>
      </c>
      <c r="M4214" s="26" t="s">
        <v>9757</v>
      </c>
      <c r="N4214" s="26" t="s">
        <v>9758</v>
      </c>
      <c r="O4214" s="22" t="str">
        <f>HYPERLINK("https://pbs.twimg.com/profile_images/912205328002904064/55RGK-6a_normal.jpg","View")</f>
        <v>View</v>
      </c>
      <c r="P4214" s="27"/>
    </row>
    <row r="4215">
      <c r="A4215" s="14">
        <v>43031.26504629629</v>
      </c>
      <c r="B4215" s="20" t="str">
        <f>HYPERLINK("https://twitter.com/MyHistoryMaster","@MyHistoryMaster")</f>
        <v>@MyHistoryMaster</v>
      </c>
      <c r="C4215" s="21" t="s">
        <v>9759</v>
      </c>
      <c r="D4215" s="21" t="s">
        <v>7594</v>
      </c>
      <c r="E4215" s="22" t="str">
        <f>HYPERLINK("https://twitter.com/MyHistoryMaster/status/922452967155957760","922452967155957760")</f>
        <v>922452967155957760</v>
      </c>
      <c r="F4215" s="23" t="s">
        <v>55</v>
      </c>
      <c r="G4215" s="24">
        <v>46.0</v>
      </c>
      <c r="H4215" s="24">
        <v>98.0</v>
      </c>
      <c r="I4215" s="24">
        <v>10.0</v>
      </c>
      <c r="J4215" s="24">
        <v>0.0</v>
      </c>
      <c r="K4215" s="23" t="s">
        <v>34</v>
      </c>
      <c r="L4215" s="25">
        <v>42000.60366898148</v>
      </c>
      <c r="M4215" s="26" t="s">
        <v>920</v>
      </c>
      <c r="N4215" s="26" t="s">
        <v>9760</v>
      </c>
      <c r="O4215" s="22" t="str">
        <f>HYPERLINK("https://pbs.twimg.com/profile_images/823025688957419520/4_lFVc05_normal.jpg","View")</f>
        <v>View</v>
      </c>
      <c r="P4215" s="27"/>
    </row>
    <row r="4216">
      <c r="A4216" s="14">
        <v>43031.26523148148</v>
      </c>
      <c r="B4216" s="20" t="str">
        <f>HYPERLINK("https://twitter.com/haz_y","@haz_y")</f>
        <v>@haz_y</v>
      </c>
      <c r="C4216" s="21" t="s">
        <v>9761</v>
      </c>
      <c r="D4216" s="21" t="s">
        <v>4857</v>
      </c>
      <c r="E4216" s="22" t="str">
        <f>HYPERLINK("https://twitter.com/haz_y/status/922453033811820544","922453033811820544")</f>
        <v>922453033811820544</v>
      </c>
      <c r="F4216" s="23" t="s">
        <v>55</v>
      </c>
      <c r="G4216" s="24">
        <v>228.0</v>
      </c>
      <c r="H4216" s="24">
        <v>278.0</v>
      </c>
      <c r="I4216" s="24">
        <v>55.0</v>
      </c>
      <c r="J4216" s="24">
        <v>0.0</v>
      </c>
      <c r="K4216" s="23" t="s">
        <v>34</v>
      </c>
      <c r="L4216" s="25">
        <v>40621.87516203704</v>
      </c>
      <c r="M4216" s="26" t="s">
        <v>9762</v>
      </c>
      <c r="N4216" s="26" t="s">
        <v>9763</v>
      </c>
      <c r="O4216" s="22" t="str">
        <f>HYPERLINK("https://pbs.twimg.com/profile_images/1290383996/017_normal.jpg","View")</f>
        <v>View</v>
      </c>
      <c r="P4216" s="27"/>
    </row>
    <row r="4217">
      <c r="A4217" s="14">
        <v>43031.26530092592</v>
      </c>
      <c r="B4217" s="20" t="str">
        <f>HYPERLINK("https://twitter.com/shure_geru","@shure_geru")</f>
        <v>@shure_geru</v>
      </c>
      <c r="C4217" s="21" t="s">
        <v>9764</v>
      </c>
      <c r="D4217" s="21" t="s">
        <v>1642</v>
      </c>
      <c r="E4217" s="22" t="str">
        <f>HYPERLINK("https://twitter.com/shure_geru/status/922453058528862208","922453058528862208")</f>
        <v>922453058528862208</v>
      </c>
      <c r="F4217" s="23" t="s">
        <v>39</v>
      </c>
      <c r="G4217" s="24">
        <v>417.0</v>
      </c>
      <c r="H4217" s="24">
        <v>685.0</v>
      </c>
      <c r="I4217" s="24">
        <v>199.0</v>
      </c>
      <c r="J4217" s="24">
        <v>0.0</v>
      </c>
      <c r="K4217" s="23" t="s">
        <v>34</v>
      </c>
      <c r="L4217" s="25">
        <v>40618.04975694444</v>
      </c>
      <c r="M4217" s="26" t="s">
        <v>9765</v>
      </c>
      <c r="N4217" s="26" t="s">
        <v>9766</v>
      </c>
      <c r="O4217" s="22" t="str">
        <f>HYPERLINK("https://pbs.twimg.com/profile_images/476286445573795840/K1aQdLWG_normal.png","View")</f>
        <v>View</v>
      </c>
      <c r="P4217" s="27"/>
    </row>
    <row r="4218">
      <c r="A4218" s="14">
        <v>43031.26541666666</v>
      </c>
      <c r="B4218" s="20" t="str">
        <f>HYPERLINK("https://twitter.com/SittuJayal","@SittuJayal")</f>
        <v>@SittuJayal</v>
      </c>
      <c r="C4218" s="21" t="s">
        <v>9767</v>
      </c>
      <c r="D4218" s="21" t="s">
        <v>42</v>
      </c>
      <c r="E4218" s="22" t="str">
        <f>HYPERLINK("https://twitter.com/SittuJayal/status/922453102816509953","922453102816509953")</f>
        <v>922453102816509953</v>
      </c>
      <c r="F4218" s="23" t="s">
        <v>33</v>
      </c>
      <c r="G4218" s="24">
        <v>2769.0</v>
      </c>
      <c r="H4218" s="24">
        <v>1353.0</v>
      </c>
      <c r="I4218" s="24">
        <v>8501.0</v>
      </c>
      <c r="J4218" s="24">
        <v>0.0</v>
      </c>
      <c r="K4218" s="23" t="s">
        <v>34</v>
      </c>
      <c r="L4218" s="25">
        <v>42411.70636574074</v>
      </c>
      <c r="M4218" s="26" t="s">
        <v>8314</v>
      </c>
      <c r="N4218" s="26" t="s">
        <v>9768</v>
      </c>
      <c r="O4218" s="22" t="str">
        <f>HYPERLINK("https://pbs.twimg.com/profile_images/869809149277818880/AIJQyB_D_normal.jpg","View")</f>
        <v>View</v>
      </c>
      <c r="P4218" s="27"/>
    </row>
    <row r="4219">
      <c r="A4219" s="14">
        <v>43031.26552083333</v>
      </c>
      <c r="B4219" s="20" t="str">
        <f>HYPERLINK("https://twitter.com/kajalkhambra","@kajalkhambra")</f>
        <v>@kajalkhambra</v>
      </c>
      <c r="C4219" s="21" t="s">
        <v>9769</v>
      </c>
      <c r="D4219" s="21" t="s">
        <v>42</v>
      </c>
      <c r="E4219" s="22" t="str">
        <f>HYPERLINK("https://twitter.com/kajalkhambra/status/922453139415953409","922453139415953409")</f>
        <v>922453139415953409</v>
      </c>
      <c r="F4219" s="23" t="s">
        <v>33</v>
      </c>
      <c r="G4219" s="24">
        <v>54.0</v>
      </c>
      <c r="H4219" s="24">
        <v>16.0</v>
      </c>
      <c r="I4219" s="24">
        <v>8501.0</v>
      </c>
      <c r="J4219" s="24">
        <v>0.0</v>
      </c>
      <c r="K4219" s="23" t="s">
        <v>34</v>
      </c>
      <c r="L4219" s="25">
        <v>42719.90909722222</v>
      </c>
      <c r="M4219" s="28"/>
      <c r="N4219" s="28"/>
      <c r="O4219" s="22" t="str">
        <f>HYPERLINK("https://pbs.twimg.com/profile_images/838783344729030656/X1cZt4Vb_normal.jpg","View")</f>
        <v>View</v>
      </c>
      <c r="P4219" s="27"/>
    </row>
    <row r="4220">
      <c r="A4220" s="14">
        <v>43031.265555555554</v>
      </c>
      <c r="B4220" s="20" t="str">
        <f>HYPERLINK("https://twitter.com/qwertymcn","@qwertymcn")</f>
        <v>@qwertymcn</v>
      </c>
      <c r="C4220" s="21" t="s">
        <v>9770</v>
      </c>
      <c r="D4220" s="21" t="s">
        <v>1642</v>
      </c>
      <c r="E4220" s="22" t="str">
        <f>HYPERLINK("https://twitter.com/qwertymcn/status/922453150904094720","922453150904094720")</f>
        <v>922453150904094720</v>
      </c>
      <c r="F4220" s="23" t="s">
        <v>9771</v>
      </c>
      <c r="G4220" s="24">
        <v>503.0</v>
      </c>
      <c r="H4220" s="24">
        <v>502.0</v>
      </c>
      <c r="I4220" s="24">
        <v>199.0</v>
      </c>
      <c r="J4220" s="24">
        <v>0.0</v>
      </c>
      <c r="K4220" s="23" t="s">
        <v>34</v>
      </c>
      <c r="L4220" s="25">
        <v>40051.32560185185</v>
      </c>
      <c r="M4220" s="26" t="s">
        <v>9772</v>
      </c>
      <c r="N4220" s="26" t="s">
        <v>9773</v>
      </c>
      <c r="O4220" s="22" t="str">
        <f>HYPERLINK("https://pbs.twimg.com/profile_images/592339011282153472/YHWVi2LJ_normal.jpg","View")</f>
        <v>View</v>
      </c>
      <c r="P4220" s="27"/>
    </row>
    <row r="4221">
      <c r="A4221" s="14">
        <v>43031.265555555554</v>
      </c>
      <c r="B4221" s="20" t="str">
        <f>HYPERLINK("https://twitter.com/WallStreetShark","@WallStreetShark")</f>
        <v>@WallStreetShark</v>
      </c>
      <c r="C4221" s="21" t="s">
        <v>9774</v>
      </c>
      <c r="D4221" s="21" t="s">
        <v>9775</v>
      </c>
      <c r="E4221" s="22" t="str">
        <f>HYPERLINK("https://twitter.com/WallStreetShark/status/922453153337004032","922453153337004032")</f>
        <v>922453153337004032</v>
      </c>
      <c r="F4221" s="23" t="s">
        <v>187</v>
      </c>
      <c r="G4221" s="24">
        <v>556.0</v>
      </c>
      <c r="H4221" s="24">
        <v>116.0</v>
      </c>
      <c r="I4221" s="24">
        <v>0.0</v>
      </c>
      <c r="J4221" s="24">
        <v>0.0</v>
      </c>
      <c r="K4221" s="23" t="s">
        <v>34</v>
      </c>
      <c r="L4221" s="25">
        <v>41679.321921296294</v>
      </c>
      <c r="M4221" s="26" t="s">
        <v>6423</v>
      </c>
      <c r="N4221" s="26" t="s">
        <v>9776</v>
      </c>
      <c r="O4221" s="22" t="str">
        <f>HYPERLINK("https://pbs.twimg.com/profile_images/432544328485834752/5FnJyG36_normal.png","View")</f>
        <v>View</v>
      </c>
      <c r="P4221" s="27"/>
    </row>
    <row r="4222">
      <c r="A4222" s="14">
        <v>43031.265625</v>
      </c>
      <c r="B4222" s="20" t="str">
        <f>HYPERLINK("https://twitter.com/LatreesL","@LatreesL")</f>
        <v>@LatreesL</v>
      </c>
      <c r="C4222" s="21" t="s">
        <v>9777</v>
      </c>
      <c r="D4222" s="21" t="s">
        <v>42</v>
      </c>
      <c r="E4222" s="22" t="str">
        <f>HYPERLINK("https://twitter.com/LatreesL/status/922453175772352512","922453175772352512")</f>
        <v>922453175772352512</v>
      </c>
      <c r="F4222" s="23" t="s">
        <v>33</v>
      </c>
      <c r="G4222" s="24">
        <v>375.0</v>
      </c>
      <c r="H4222" s="24">
        <v>2545.0</v>
      </c>
      <c r="I4222" s="24">
        <v>8501.0</v>
      </c>
      <c r="J4222" s="24">
        <v>0.0</v>
      </c>
      <c r="K4222" s="23" t="s">
        <v>34</v>
      </c>
      <c r="L4222" s="25">
        <v>42897.50517361111</v>
      </c>
      <c r="M4222" s="28"/>
      <c r="N4222" s="26" t="s">
        <v>9778</v>
      </c>
      <c r="O4222" s="22" t="str">
        <f>HYPERLINK("https://pbs.twimg.com/profile_images/918045072956051456/gmRUR6K1_normal.jpg","View")</f>
        <v>View</v>
      </c>
      <c r="P4222" s="27"/>
    </row>
    <row r="4223">
      <c r="A4223" s="14">
        <v>43031.265810185185</v>
      </c>
      <c r="B4223" s="20" t="str">
        <f>HYPERLINK("https://twitter.com/gohinaresh","@gohinaresh")</f>
        <v>@gohinaresh</v>
      </c>
      <c r="C4223" s="21" t="s">
        <v>9779</v>
      </c>
      <c r="D4223" s="21" t="s">
        <v>42</v>
      </c>
      <c r="E4223" s="22" t="str">
        <f>HYPERLINK("https://twitter.com/gohinaresh/status/922453243937955840","922453243937955840")</f>
        <v>922453243937955840</v>
      </c>
      <c r="F4223" s="23" t="s">
        <v>33</v>
      </c>
      <c r="G4223" s="24">
        <v>137.0</v>
      </c>
      <c r="H4223" s="24">
        <v>405.0</v>
      </c>
      <c r="I4223" s="24">
        <v>8501.0</v>
      </c>
      <c r="J4223" s="24">
        <v>0.0</v>
      </c>
      <c r="K4223" s="23" t="s">
        <v>34</v>
      </c>
      <c r="L4223" s="25">
        <v>40408.5234375</v>
      </c>
      <c r="M4223" s="26" t="s">
        <v>7689</v>
      </c>
      <c r="N4223" s="26" t="s">
        <v>9780</v>
      </c>
      <c r="O4223" s="22" t="str">
        <f>HYPERLINK("https://pbs.twimg.com/profile_images/870684937417924613/Zh5S1n5w_normal.jpg","View")</f>
        <v>View</v>
      </c>
      <c r="P4223" s="27"/>
    </row>
    <row r="4224">
      <c r="A4224" s="14">
        <v>43031.26585648148</v>
      </c>
      <c r="B4224" s="20" t="str">
        <f>HYPERLINK("https://twitter.com/imhimanshprr","@imhimanshprr")</f>
        <v>@imhimanshprr</v>
      </c>
      <c r="C4224" s="21" t="s">
        <v>9781</v>
      </c>
      <c r="D4224" s="21" t="s">
        <v>42</v>
      </c>
      <c r="E4224" s="22" t="str">
        <f>HYPERLINK("https://twitter.com/imhimanshprr/status/922453260820144128","922453260820144128")</f>
        <v>922453260820144128</v>
      </c>
      <c r="F4224" s="23" t="s">
        <v>33</v>
      </c>
      <c r="G4224" s="24">
        <v>258.0</v>
      </c>
      <c r="H4224" s="24">
        <v>255.0</v>
      </c>
      <c r="I4224" s="24">
        <v>8501.0</v>
      </c>
      <c r="J4224" s="24">
        <v>0.0</v>
      </c>
      <c r="K4224" s="23" t="s">
        <v>34</v>
      </c>
      <c r="L4224" s="25">
        <v>42070.089953703704</v>
      </c>
      <c r="M4224" s="26" t="s">
        <v>472</v>
      </c>
      <c r="N4224" s="28"/>
      <c r="O4224" s="22" t="str">
        <f>HYPERLINK("https://pbs.twimg.com/profile_images/883664765448597504/-y5vQiEl_normal.jpg","View")</f>
        <v>View</v>
      </c>
      <c r="P4224" s="27"/>
    </row>
    <row r="4225">
      <c r="A4225" s="14">
        <v>43031.26585648148</v>
      </c>
      <c r="B4225" s="20" t="str">
        <f>HYPERLINK("https://twitter.com/moneyLadYouTube","@moneyLadYouTube")</f>
        <v>@moneyLadYouTube</v>
      </c>
      <c r="C4225" s="21" t="s">
        <v>9782</v>
      </c>
      <c r="D4225" s="21" t="s">
        <v>42</v>
      </c>
      <c r="E4225" s="22" t="str">
        <f>HYPERLINK("https://twitter.com/moneyLadYouTube/status/922453261960937472","922453261960937472")</f>
        <v>922453261960937472</v>
      </c>
      <c r="F4225" s="23" t="s">
        <v>43</v>
      </c>
      <c r="G4225" s="24">
        <v>72.0</v>
      </c>
      <c r="H4225" s="24">
        <v>618.0</v>
      </c>
      <c r="I4225" s="24">
        <v>8501.0</v>
      </c>
      <c r="J4225" s="24">
        <v>0.0</v>
      </c>
      <c r="K4225" s="23" t="s">
        <v>34</v>
      </c>
      <c r="L4225" s="25">
        <v>42021.84721064815</v>
      </c>
      <c r="M4225" s="28"/>
      <c r="N4225" s="28"/>
      <c r="O4225" s="22" t="str">
        <f>HYPERLINK("https://pbs.twimg.com/profile_images/635349680436609025/jW1EP6av_normal.jpg","View")</f>
        <v>View</v>
      </c>
      <c r="P4225" s="27"/>
    </row>
    <row r="4226">
      <c r="A4226" s="14">
        <v>43031.26600694444</v>
      </c>
      <c r="B4226" s="20" t="str">
        <f>HYPERLINK("https://twitter.com/hedgefundsanta","@hedgefundsanta")</f>
        <v>@hedgefundsanta</v>
      </c>
      <c r="C4226" s="21" t="s">
        <v>9783</v>
      </c>
      <c r="D4226" s="21" t="s">
        <v>1109</v>
      </c>
      <c r="E4226" s="22" t="str">
        <f>HYPERLINK("https://twitter.com/hedgefundsanta/status/922453314201112577","922453314201112577")</f>
        <v>922453314201112577</v>
      </c>
      <c r="F4226" s="23" t="s">
        <v>39</v>
      </c>
      <c r="G4226" s="24">
        <v>208.0</v>
      </c>
      <c r="H4226" s="24">
        <v>491.0</v>
      </c>
      <c r="I4226" s="24">
        <v>71.0</v>
      </c>
      <c r="J4226" s="24">
        <v>0.0</v>
      </c>
      <c r="K4226" s="23" t="s">
        <v>34</v>
      </c>
      <c r="L4226" s="25">
        <v>42362.278807870374</v>
      </c>
      <c r="M4226" s="26" t="s">
        <v>2534</v>
      </c>
      <c r="N4226" s="26" t="s">
        <v>9784</v>
      </c>
      <c r="O4226" s="22" t="str">
        <f>HYPERLINK("https://pbs.twimg.com/profile_images/809792267980509184/Nz_RTo72_normal.jpg","View")</f>
        <v>View</v>
      </c>
      <c r="P4226" s="27"/>
    </row>
    <row r="4227">
      <c r="A4227" s="14">
        <v>43031.26614583333</v>
      </c>
      <c r="B4227" s="20" t="str">
        <f>HYPERLINK("https://twitter.com/Dogra1973","@Dogra1973")</f>
        <v>@Dogra1973</v>
      </c>
      <c r="C4227" s="21" t="s">
        <v>9785</v>
      </c>
      <c r="D4227" s="21" t="s">
        <v>42</v>
      </c>
      <c r="E4227" s="22" t="str">
        <f>HYPERLINK("https://twitter.com/Dogra1973/status/922453366189449216","922453366189449216")</f>
        <v>922453366189449216</v>
      </c>
      <c r="F4227" s="23" t="s">
        <v>39</v>
      </c>
      <c r="G4227" s="24">
        <v>40.0</v>
      </c>
      <c r="H4227" s="24">
        <v>298.0</v>
      </c>
      <c r="I4227" s="24">
        <v>8501.0</v>
      </c>
      <c r="J4227" s="24">
        <v>0.0</v>
      </c>
      <c r="K4227" s="23" t="s">
        <v>34</v>
      </c>
      <c r="L4227" s="25">
        <v>41082.389016203706</v>
      </c>
      <c r="M4227" s="28"/>
      <c r="N4227" s="28"/>
      <c r="O4227" s="22" t="str">
        <f>HYPERLINK("https://pbs.twimg.com/profile_images/685526050701357056/PqI3eWsA_normal.jpg","View")</f>
        <v>View</v>
      </c>
      <c r="P4227" s="27"/>
    </row>
    <row r="4228">
      <c r="A4228" s="14">
        <v>43031.26619212963</v>
      </c>
      <c r="B4228" s="20" t="str">
        <f>HYPERLINK("https://twitter.com/divyeshpadaman1","@divyeshpadaman1")</f>
        <v>@divyeshpadaman1</v>
      </c>
      <c r="C4228" s="21" t="s">
        <v>9786</v>
      </c>
      <c r="D4228" s="21" t="s">
        <v>42</v>
      </c>
      <c r="E4228" s="22" t="str">
        <f>HYPERLINK("https://twitter.com/divyeshpadaman1/status/922453384094875648","922453384094875648")</f>
        <v>922453384094875648</v>
      </c>
      <c r="F4228" s="23" t="s">
        <v>33</v>
      </c>
      <c r="G4228" s="24">
        <v>1.0</v>
      </c>
      <c r="H4228" s="24">
        <v>93.0</v>
      </c>
      <c r="I4228" s="24">
        <v>8501.0</v>
      </c>
      <c r="J4228" s="24">
        <v>0.0</v>
      </c>
      <c r="K4228" s="23" t="s">
        <v>34</v>
      </c>
      <c r="L4228" s="25">
        <v>42995.23826388889</v>
      </c>
      <c r="M4228" s="28"/>
      <c r="N4228" s="28"/>
      <c r="O4228" s="22" t="str">
        <f>HYPERLINK("https://abs.twimg.com/sticky/default_profile_images/default_profile_normal.png","View")</f>
        <v>View</v>
      </c>
      <c r="P4228" s="27"/>
    </row>
    <row r="4229">
      <c r="A4229" s="14">
        <v>43031.26631944445</v>
      </c>
      <c r="B4229" s="20" t="str">
        <f>HYPERLINK("https://twitter.com/AnuragP15036895","@AnuragP15036895")</f>
        <v>@AnuragP15036895</v>
      </c>
      <c r="C4229" s="21" t="s">
        <v>9748</v>
      </c>
      <c r="D4229" s="21" t="s">
        <v>430</v>
      </c>
      <c r="E4229" s="22" t="str">
        <f>HYPERLINK("https://twitter.com/AnuragP15036895/status/922453429586296832","922453429586296832")</f>
        <v>922453429586296832</v>
      </c>
      <c r="F4229" s="23" t="s">
        <v>33</v>
      </c>
      <c r="G4229" s="24">
        <v>90.0</v>
      </c>
      <c r="H4229" s="24">
        <v>678.0</v>
      </c>
      <c r="I4229" s="24">
        <v>62.0</v>
      </c>
      <c r="J4229" s="24">
        <v>0.0</v>
      </c>
      <c r="K4229" s="23" t="s">
        <v>34</v>
      </c>
      <c r="L4229" s="25">
        <v>42974.0152662037</v>
      </c>
      <c r="M4229" s="26" t="s">
        <v>9749</v>
      </c>
      <c r="N4229" s="26" t="s">
        <v>9750</v>
      </c>
      <c r="O4229" s="22" t="str">
        <f>HYPERLINK("https://pbs.twimg.com/profile_images/919983361749221376/FArsJKvO_normal.jpg","View")</f>
        <v>View</v>
      </c>
      <c r="P4229" s="27"/>
    </row>
    <row r="4230">
      <c r="A4230" s="14">
        <v>43031.26635416667</v>
      </c>
      <c r="B4230" s="20" t="str">
        <f>HYPERLINK("https://twitter.com/drpatfarrell","@drpatfarrell")</f>
        <v>@drpatfarrell</v>
      </c>
      <c r="C4230" s="21" t="s">
        <v>9787</v>
      </c>
      <c r="D4230" s="21" t="s">
        <v>9788</v>
      </c>
      <c r="E4230" s="22" t="str">
        <f>HYPERLINK("https://twitter.com/drpatfarrell/status/922453440952971264","922453440952971264")</f>
        <v>922453440952971264</v>
      </c>
      <c r="F4230" s="23" t="s">
        <v>55</v>
      </c>
      <c r="G4230" s="24">
        <v>6879.0</v>
      </c>
      <c r="H4230" s="24">
        <v>3926.0</v>
      </c>
      <c r="I4230" s="24">
        <v>0.0</v>
      </c>
      <c r="J4230" s="24">
        <v>0.0</v>
      </c>
      <c r="K4230" s="23" t="s">
        <v>34</v>
      </c>
      <c r="L4230" s="25">
        <v>39959.398981481485</v>
      </c>
      <c r="M4230" s="26" t="s">
        <v>68</v>
      </c>
      <c r="N4230" s="26" t="s">
        <v>9789</v>
      </c>
      <c r="O4230" s="22" t="str">
        <f>HYPERLINK("https://pbs.twimg.com/profile_images/887116390808911872/mnwYiZyU_normal.jpg","View")</f>
        <v>View</v>
      </c>
      <c r="P4230" s="27"/>
    </row>
    <row r="4231">
      <c r="A4231" s="14">
        <v>43031.26636574074</v>
      </c>
      <c r="B4231" s="20" t="str">
        <f>HYPERLINK("https://twitter.com/matglobal","@matglobal")</f>
        <v>@matglobal</v>
      </c>
      <c r="C4231" s="21" t="s">
        <v>9790</v>
      </c>
      <c r="D4231" s="21" t="s">
        <v>9791</v>
      </c>
      <c r="E4231" s="22" t="str">
        <f>HYPERLINK("https://twitter.com/matglobal/status/922453444723605505","922453444723605505")</f>
        <v>922453444723605505</v>
      </c>
      <c r="F4231" s="23" t="s">
        <v>91</v>
      </c>
      <c r="G4231" s="24">
        <v>1530.0</v>
      </c>
      <c r="H4231" s="24">
        <v>1476.0</v>
      </c>
      <c r="I4231" s="24">
        <v>0.0</v>
      </c>
      <c r="J4231" s="24">
        <v>0.0</v>
      </c>
      <c r="K4231" s="23" t="s">
        <v>34</v>
      </c>
      <c r="L4231" s="25">
        <v>40887.22835648148</v>
      </c>
      <c r="M4231" s="26" t="s">
        <v>9792</v>
      </c>
      <c r="N4231" s="26" t="s">
        <v>9793</v>
      </c>
      <c r="O4231" s="22" t="str">
        <f>HYPERLINK("https://pbs.twimg.com/profile_images/673814548684652544/cha7Er5K_normal.png","View")</f>
        <v>View</v>
      </c>
      <c r="P4231" s="27"/>
    </row>
    <row r="4232">
      <c r="A4232" s="14">
        <v>43031.266423611116</v>
      </c>
      <c r="B4232" s="20" t="str">
        <f>HYPERLINK("https://twitter.com/Santoshkodays","@Santoshkodays")</f>
        <v>@Santoshkodays</v>
      </c>
      <c r="C4232" s="21" t="s">
        <v>9794</v>
      </c>
      <c r="D4232" s="21" t="s">
        <v>42</v>
      </c>
      <c r="E4232" s="22" t="str">
        <f>HYPERLINK("https://twitter.com/Santoshkodays/status/922453466458472449","922453466458472449")</f>
        <v>922453466458472449</v>
      </c>
      <c r="F4232" s="23" t="s">
        <v>43</v>
      </c>
      <c r="G4232" s="24">
        <v>26.0</v>
      </c>
      <c r="H4232" s="24">
        <v>119.0</v>
      </c>
      <c r="I4232" s="24">
        <v>8501.0</v>
      </c>
      <c r="J4232" s="24">
        <v>0.0</v>
      </c>
      <c r="K4232" s="23" t="s">
        <v>34</v>
      </c>
      <c r="L4232" s="25">
        <v>41597.92177083333</v>
      </c>
      <c r="M4232" s="26" t="s">
        <v>603</v>
      </c>
      <c r="N4232" s="28"/>
      <c r="O4232" s="22" t="str">
        <f>HYPERLINK("https://pbs.twimg.com/profile_images/833298593582718976/4X49OsBw_normal.jpg","View")</f>
        <v>View</v>
      </c>
      <c r="P4232" s="27"/>
    </row>
    <row r="4233">
      <c r="A4233" s="14">
        <v>43031.26646990741</v>
      </c>
      <c r="B4233" s="20" t="str">
        <f>HYPERLINK("https://twitter.com/JediSpiceGissia","@JediSpiceGissia")</f>
        <v>@JediSpiceGissia</v>
      </c>
      <c r="C4233" s="21" t="s">
        <v>9795</v>
      </c>
      <c r="D4233" s="21" t="s">
        <v>99</v>
      </c>
      <c r="E4233" s="22" t="str">
        <f>HYPERLINK("https://twitter.com/JediSpiceGissia/status/922453483407708165","922453483407708165")</f>
        <v>922453483407708165</v>
      </c>
      <c r="F4233" s="23" t="s">
        <v>33</v>
      </c>
      <c r="G4233" s="24">
        <v>319.0</v>
      </c>
      <c r="H4233" s="24">
        <v>1005.0</v>
      </c>
      <c r="I4233" s="24">
        <v>72.0</v>
      </c>
      <c r="J4233" s="24">
        <v>0.0</v>
      </c>
      <c r="K4233" s="23" t="s">
        <v>34</v>
      </c>
      <c r="L4233" s="25">
        <v>39965.674525462964</v>
      </c>
      <c r="M4233" s="26" t="s">
        <v>9796</v>
      </c>
      <c r="N4233" s="26" t="s">
        <v>9797</v>
      </c>
      <c r="O4233" s="22" t="str">
        <f>HYPERLINK("https://pbs.twimg.com/profile_images/890017348526198786/zXpYnV4c_normal.jpg","View")</f>
        <v>View</v>
      </c>
      <c r="P4233" s="27"/>
    </row>
    <row r="4234">
      <c r="A4234" s="14">
        <v>43031.26657407408</v>
      </c>
      <c r="B4234" s="20" t="str">
        <f>HYPERLINK("https://twitter.com/Al250167","@Al250167")</f>
        <v>@Al250167</v>
      </c>
      <c r="C4234" s="21" t="s">
        <v>9798</v>
      </c>
      <c r="D4234" s="21" t="s">
        <v>8665</v>
      </c>
      <c r="E4234" s="22" t="str">
        <f>HYPERLINK("https://twitter.com/Al250167/status/922453522280599553","922453522280599553")</f>
        <v>922453522280599553</v>
      </c>
      <c r="F4234" s="23" t="s">
        <v>39</v>
      </c>
      <c r="G4234" s="24">
        <v>213.0</v>
      </c>
      <c r="H4234" s="24">
        <v>284.0</v>
      </c>
      <c r="I4234" s="24">
        <v>67.0</v>
      </c>
      <c r="J4234" s="24">
        <v>0.0</v>
      </c>
      <c r="K4234" s="23" t="s">
        <v>34</v>
      </c>
      <c r="L4234" s="25">
        <v>42803.21685185185</v>
      </c>
      <c r="M4234" s="28"/>
      <c r="N4234" s="28"/>
      <c r="O4234" s="22" t="str">
        <f>HYPERLINK("https://pbs.twimg.com/profile_images/846343443177771008/iL1VKTvK_normal.jpg","View")</f>
        <v>View</v>
      </c>
      <c r="P4234" s="27"/>
    </row>
    <row r="4235">
      <c r="A4235" s="14">
        <v>43031.26671296296</v>
      </c>
      <c r="B4235" s="20" t="str">
        <f>HYPERLINK("https://twitter.com/Franck_g_DAVID","@Franck_g_DAVID")</f>
        <v>@Franck_g_DAVID</v>
      </c>
      <c r="C4235" s="21" t="s">
        <v>9799</v>
      </c>
      <c r="D4235" s="21" t="s">
        <v>7768</v>
      </c>
      <c r="E4235" s="22" t="str">
        <f>HYPERLINK("https://twitter.com/Franck_g_DAVID/status/922453571622150149","922453571622150149")</f>
        <v>922453571622150149</v>
      </c>
      <c r="F4235" s="23" t="s">
        <v>33</v>
      </c>
      <c r="G4235" s="24">
        <v>640.0</v>
      </c>
      <c r="H4235" s="24">
        <v>403.0</v>
      </c>
      <c r="I4235" s="24">
        <v>43.0</v>
      </c>
      <c r="J4235" s="24">
        <v>0.0</v>
      </c>
      <c r="K4235" s="23" t="s">
        <v>34</v>
      </c>
      <c r="L4235" s="25">
        <v>41574.26760416667</v>
      </c>
      <c r="M4235" s="28"/>
      <c r="N4235" s="28"/>
      <c r="O4235" s="22" t="str">
        <f>HYPERLINK("https://pbs.twimg.com/profile_images/378800000683855892/e8a931d9ba5d1538ac13e0be85a4298d_normal.jpeg","View")</f>
        <v>View</v>
      </c>
      <c r="P4235" s="27"/>
    </row>
    <row r="4236">
      <c r="A4236" s="14">
        <v>43031.26673611111</v>
      </c>
      <c r="B4236" s="20" t="str">
        <f>HYPERLINK("https://twitter.com/France24_en","@France24_en")</f>
        <v>@France24_en</v>
      </c>
      <c r="C4236" s="21" t="s">
        <v>9800</v>
      </c>
      <c r="D4236" s="21" t="s">
        <v>9801</v>
      </c>
      <c r="E4236" s="22" t="str">
        <f>HYPERLINK("https://twitter.com/France24_en/status/922453579259977728","922453579259977728")</f>
        <v>922453579259977728</v>
      </c>
      <c r="F4236" s="30" t="s">
        <v>411</v>
      </c>
      <c r="G4236" s="24">
        <v>179833.0</v>
      </c>
      <c r="H4236" s="24">
        <v>1194.0</v>
      </c>
      <c r="I4236" s="24">
        <v>4.0</v>
      </c>
      <c r="J4236" s="24">
        <v>3.0</v>
      </c>
      <c r="K4236" s="23" t="s">
        <v>34</v>
      </c>
      <c r="L4236" s="25">
        <v>39890.09923611111</v>
      </c>
      <c r="M4236" s="26" t="s">
        <v>9802</v>
      </c>
      <c r="N4236" s="26" t="s">
        <v>9803</v>
      </c>
      <c r="O4236" s="22" t="str">
        <f>HYPERLINK("https://pbs.twimg.com/profile_images/875653339530182656/LJAMkNY5_normal.jpg","View")</f>
        <v>View</v>
      </c>
      <c r="P4236" s="27"/>
    </row>
    <row r="4237">
      <c r="A4237" s="14">
        <v>43031.26675925926</v>
      </c>
      <c r="B4237" s="20" t="str">
        <f>HYPERLINK("https://twitter.com/kvs1247","@kvs1247")</f>
        <v>@kvs1247</v>
      </c>
      <c r="C4237" s="21" t="s">
        <v>9804</v>
      </c>
      <c r="D4237" s="21" t="s">
        <v>163</v>
      </c>
      <c r="E4237" s="22" t="str">
        <f>HYPERLINK("https://twitter.com/kvs1247/status/922453588760080384","922453588760080384")</f>
        <v>922453588760080384</v>
      </c>
      <c r="F4237" s="23" t="s">
        <v>33</v>
      </c>
      <c r="G4237" s="24">
        <v>248.0</v>
      </c>
      <c r="H4237" s="24">
        <v>603.0</v>
      </c>
      <c r="I4237" s="24">
        <v>1005.0</v>
      </c>
      <c r="J4237" s="24">
        <v>0.0</v>
      </c>
      <c r="K4237" s="23" t="s">
        <v>34</v>
      </c>
      <c r="L4237" s="25">
        <v>40009.79497685185</v>
      </c>
      <c r="M4237" s="26" t="s">
        <v>9805</v>
      </c>
      <c r="N4237" s="26" t="s">
        <v>9806</v>
      </c>
      <c r="O4237" s="22" t="str">
        <f>HYPERLINK("https://pbs.twimg.com/profile_images/980544859/subbu_normal.JPG","View")</f>
        <v>View</v>
      </c>
      <c r="P4237" s="27"/>
    </row>
    <row r="4238">
      <c r="A4238" s="14">
        <v>43031.26682870371</v>
      </c>
      <c r="B4238" s="20" t="str">
        <f>HYPERLINK("https://twitter.com/K_SRautela","@K_SRautela")</f>
        <v>@K_SRautela</v>
      </c>
      <c r="C4238" s="21" t="s">
        <v>9807</v>
      </c>
      <c r="D4238" s="21" t="s">
        <v>42</v>
      </c>
      <c r="E4238" s="22" t="str">
        <f>HYPERLINK("https://twitter.com/K_SRautela/status/922453612466499585","922453612466499585")</f>
        <v>922453612466499585</v>
      </c>
      <c r="F4238" s="23" t="s">
        <v>33</v>
      </c>
      <c r="G4238" s="24">
        <v>187.0</v>
      </c>
      <c r="H4238" s="24">
        <v>2195.0</v>
      </c>
      <c r="I4238" s="24">
        <v>8501.0</v>
      </c>
      <c r="J4238" s="24">
        <v>0.0</v>
      </c>
      <c r="K4238" s="23" t="s">
        <v>34</v>
      </c>
      <c r="L4238" s="25">
        <v>42307.948113425926</v>
      </c>
      <c r="M4238" s="26" t="s">
        <v>204</v>
      </c>
      <c r="N4238" s="26" t="s">
        <v>9808</v>
      </c>
      <c r="O4238" s="22" t="str">
        <f>HYPERLINK("https://pbs.twimg.com/profile_images/837568148719067136/9YsqfTJU_normal.jpg","View")</f>
        <v>View</v>
      </c>
      <c r="P4238" s="27"/>
    </row>
    <row r="4239">
      <c r="A4239" s="14">
        <v>43031.266863425924</v>
      </c>
      <c r="B4239" s="20" t="str">
        <f>HYPERLINK("https://twitter.com/kisungu_plamedi","@kisungu_plamedi")</f>
        <v>@kisungu_plamedi</v>
      </c>
      <c r="C4239" s="21" t="s">
        <v>9809</v>
      </c>
      <c r="D4239" s="21" t="s">
        <v>9810</v>
      </c>
      <c r="E4239" s="22" t="str">
        <f>HYPERLINK("https://twitter.com/kisungu_plamedi/status/922453626479697921","922453626479697921")</f>
        <v>922453626479697921</v>
      </c>
      <c r="F4239" s="23" t="s">
        <v>39</v>
      </c>
      <c r="G4239" s="24">
        <v>346.0</v>
      </c>
      <c r="H4239" s="24">
        <v>2172.0</v>
      </c>
      <c r="I4239" s="24">
        <v>4.0</v>
      </c>
      <c r="J4239" s="24">
        <v>0.0</v>
      </c>
      <c r="K4239" s="23" t="s">
        <v>34</v>
      </c>
      <c r="L4239" s="25">
        <v>42295.27711805556</v>
      </c>
      <c r="M4239" s="26" t="s">
        <v>9811</v>
      </c>
      <c r="N4239" s="26" t="s">
        <v>9812</v>
      </c>
      <c r="O4239" s="22" t="str">
        <f>HYPERLINK("https://pbs.twimg.com/profile_images/922375806420217856/4y5GRzlv_normal.jpg","View")</f>
        <v>View</v>
      </c>
      <c r="P4239" s="27"/>
    </row>
    <row r="4240">
      <c r="A4240" s="14">
        <v>43031.26700231481</v>
      </c>
      <c r="B4240" s="20" t="str">
        <f>HYPERLINK("https://twitter.com/KusaiKedri","@KusaiKedri")</f>
        <v>@KusaiKedri</v>
      </c>
      <c r="C4240" s="21" t="s">
        <v>9813</v>
      </c>
      <c r="D4240" s="21" t="s">
        <v>9814</v>
      </c>
      <c r="E4240" s="22" t="str">
        <f>HYPERLINK("https://twitter.com/KusaiKedri/status/922453676651933696","922453676651933696")</f>
        <v>922453676651933696</v>
      </c>
      <c r="F4240" s="23" t="s">
        <v>55</v>
      </c>
      <c r="G4240" s="24">
        <v>4072.0</v>
      </c>
      <c r="H4240" s="24">
        <v>613.0</v>
      </c>
      <c r="I4240" s="24">
        <v>0.0</v>
      </c>
      <c r="J4240" s="24">
        <v>0.0</v>
      </c>
      <c r="K4240" s="23" t="s">
        <v>34</v>
      </c>
      <c r="L4240" s="25">
        <v>39979.52046296296</v>
      </c>
      <c r="M4240" s="26" t="s">
        <v>1110</v>
      </c>
      <c r="N4240" s="26" t="s">
        <v>9815</v>
      </c>
      <c r="O4240" s="22" t="str">
        <f>HYPERLINK("https://pbs.twimg.com/profile_images/845519250416717824/Q-C5en4S_normal.jpg","View")</f>
        <v>View</v>
      </c>
      <c r="P4240" s="27"/>
    </row>
    <row r="4241">
      <c r="A4241" s="14">
        <v>43031.26709490741</v>
      </c>
      <c r="B4241" s="20" t="str">
        <f>HYPERLINK("https://twitter.com/Al250167","@Al250167")</f>
        <v>@Al250167</v>
      </c>
      <c r="C4241" s="21" t="s">
        <v>9798</v>
      </c>
      <c r="D4241" s="21" t="s">
        <v>3321</v>
      </c>
      <c r="E4241" s="22" t="str">
        <f>HYPERLINK("https://twitter.com/Al250167/status/922453710101450753","922453710101450753")</f>
        <v>922453710101450753</v>
      </c>
      <c r="F4241" s="23" t="s">
        <v>39</v>
      </c>
      <c r="G4241" s="24">
        <v>213.0</v>
      </c>
      <c r="H4241" s="24">
        <v>284.0</v>
      </c>
      <c r="I4241" s="24">
        <v>64.0</v>
      </c>
      <c r="J4241" s="24">
        <v>0.0</v>
      </c>
      <c r="K4241" s="23" t="s">
        <v>34</v>
      </c>
      <c r="L4241" s="25">
        <v>42803.21685185185</v>
      </c>
      <c r="M4241" s="28"/>
      <c r="N4241" s="28"/>
      <c r="O4241" s="22" t="str">
        <f>HYPERLINK("https://pbs.twimg.com/profile_images/846343443177771008/iL1VKTvK_normal.jpg","View")</f>
        <v>View</v>
      </c>
      <c r="P4241" s="27"/>
    </row>
    <row r="4242">
      <c r="A4242" s="14">
        <v>43031.2671875</v>
      </c>
      <c r="B4242" s="20" t="str">
        <f>HYPERLINK("https://twitter.com/TacticalFM","@TacticalFM")</f>
        <v>@TacticalFM</v>
      </c>
      <c r="C4242" s="21" t="s">
        <v>9816</v>
      </c>
      <c r="D4242" s="21" t="s">
        <v>9817</v>
      </c>
      <c r="E4242" s="22" t="str">
        <f>HYPERLINK("https://twitter.com/TacticalFM/status/922453745690034176","922453745690034176")</f>
        <v>922453745690034176</v>
      </c>
      <c r="F4242" s="23" t="s">
        <v>9816</v>
      </c>
      <c r="G4242" s="24">
        <v>305.0</v>
      </c>
      <c r="H4242" s="24">
        <v>2.0</v>
      </c>
      <c r="I4242" s="24">
        <v>0.0</v>
      </c>
      <c r="J4242" s="24">
        <v>0.0</v>
      </c>
      <c r="K4242" s="23" t="s">
        <v>34</v>
      </c>
      <c r="L4242" s="25">
        <v>40080.201319444444</v>
      </c>
      <c r="M4242" s="26" t="s">
        <v>920</v>
      </c>
      <c r="N4242" s="26" t="s">
        <v>9818</v>
      </c>
      <c r="O4242" s="22" t="str">
        <f>HYPERLINK("https://pbs.twimg.com/profile_images/761676631605936128/UAqa9tXK_normal.jpg","View")</f>
        <v>View</v>
      </c>
      <c r="P4242" s="27"/>
    </row>
    <row r="4243">
      <c r="A4243" s="14">
        <v>43031.26747685185</v>
      </c>
      <c r="B4243" s="20" t="str">
        <f>HYPERLINK("https://twitter.com/FD_News","@FD_News")</f>
        <v>@FD_News</v>
      </c>
      <c r="C4243" s="21" t="s">
        <v>1214</v>
      </c>
      <c r="D4243" s="21" t="s">
        <v>9819</v>
      </c>
      <c r="E4243" s="22" t="str">
        <f>HYPERLINK("https://twitter.com/FD_News/status/922453848161177600","922453848161177600")</f>
        <v>922453848161177600</v>
      </c>
      <c r="F4243" s="23" t="s">
        <v>1216</v>
      </c>
      <c r="G4243" s="24">
        <v>77.0</v>
      </c>
      <c r="H4243" s="24">
        <v>0.0</v>
      </c>
      <c r="I4243" s="24">
        <v>0.0</v>
      </c>
      <c r="J4243" s="24">
        <v>0.0</v>
      </c>
      <c r="K4243" s="23" t="s">
        <v>34</v>
      </c>
      <c r="L4243" s="25">
        <v>42288.49700231482</v>
      </c>
      <c r="M4243" s="28"/>
      <c r="N4243" s="28"/>
      <c r="O4243" s="22" t="str">
        <f>HYPERLINK("https://pbs.twimg.com/profile_images/653285147169558528/ArEhmzZz_normal.jpg","View")</f>
        <v>View</v>
      </c>
      <c r="P4243" s="27"/>
    </row>
    <row r="4244">
      <c r="A4244" s="14">
        <v>43031.2675</v>
      </c>
      <c r="B4244" s="20" t="str">
        <f>HYPERLINK("https://twitter.com/BCNewsWire","@BCNewsWire")</f>
        <v>@BCNewsWire</v>
      </c>
      <c r="C4244" s="21" t="s">
        <v>9820</v>
      </c>
      <c r="D4244" s="21" t="s">
        <v>9821</v>
      </c>
      <c r="E4244" s="22" t="str">
        <f>HYPERLINK("https://twitter.com/BCNewsWire/status/922453856411377664","922453856411377664")</f>
        <v>922453856411377664</v>
      </c>
      <c r="F4244" s="23" t="s">
        <v>55</v>
      </c>
      <c r="G4244" s="24">
        <v>3322.0</v>
      </c>
      <c r="H4244" s="24">
        <v>414.0</v>
      </c>
      <c r="I4244" s="24">
        <v>1.0</v>
      </c>
      <c r="J4244" s="24">
        <v>0.0</v>
      </c>
      <c r="K4244" s="23" t="s">
        <v>34</v>
      </c>
      <c r="L4244" s="25">
        <v>40216.62092592593</v>
      </c>
      <c r="M4244" s="26" t="s">
        <v>920</v>
      </c>
      <c r="N4244" s="26" t="s">
        <v>9822</v>
      </c>
      <c r="O4244" s="22" t="str">
        <f>HYPERLINK("https://pbs.twimg.com/profile_images/506627832173170688/5YRC8kMr_normal.jpeg","View")</f>
        <v>View</v>
      </c>
      <c r="P4244" s="27"/>
    </row>
    <row r="4245">
      <c r="A4245" s="14">
        <v>43031.2675</v>
      </c>
      <c r="B4245" s="20" t="str">
        <f>HYPERLINK("https://twitter.com/Onattukarayil","@Onattukarayil")</f>
        <v>@Onattukarayil</v>
      </c>
      <c r="C4245" s="21" t="s">
        <v>9823</v>
      </c>
      <c r="D4245" s="21" t="s">
        <v>42</v>
      </c>
      <c r="E4245" s="22" t="str">
        <f>HYPERLINK("https://twitter.com/Onattukarayil/status/922453857619337216","922453857619337216")</f>
        <v>922453857619337216</v>
      </c>
      <c r="F4245" s="23" t="s">
        <v>33</v>
      </c>
      <c r="G4245" s="24">
        <v>45.0</v>
      </c>
      <c r="H4245" s="24">
        <v>607.0</v>
      </c>
      <c r="I4245" s="24">
        <v>8501.0</v>
      </c>
      <c r="J4245" s="24">
        <v>0.0</v>
      </c>
      <c r="K4245" s="23" t="s">
        <v>34</v>
      </c>
      <c r="L4245" s="25">
        <v>42419.35701388889</v>
      </c>
      <c r="M4245" s="28"/>
      <c r="N4245" s="26" t="s">
        <v>9824</v>
      </c>
      <c r="O4245" s="22" t="str">
        <f>HYPERLINK("https://pbs.twimg.com/profile_images/700721771666755584/nvBhbAEq_normal.jpg","View")</f>
        <v>View</v>
      </c>
      <c r="P4245" s="27"/>
    </row>
    <row r="4246">
      <c r="A4246" s="14">
        <v>43031.267696759256</v>
      </c>
      <c r="B4246" s="20" t="str">
        <f>HYPERLINK("https://twitter.com/MEDIABOXSTORE","@MEDIABOXSTORE")</f>
        <v>@MEDIABOXSTORE</v>
      </c>
      <c r="C4246" s="21" t="s">
        <v>9825</v>
      </c>
      <c r="D4246" s="21" t="s">
        <v>9826</v>
      </c>
      <c r="E4246" s="22" t="str">
        <f>HYPERLINK("https://twitter.com/MEDIABOXSTORE/status/922453929023111168","922453929023111168")</f>
        <v>922453929023111168</v>
      </c>
      <c r="F4246" s="23" t="s">
        <v>9827</v>
      </c>
      <c r="G4246" s="24">
        <v>23115.0</v>
      </c>
      <c r="H4246" s="24">
        <v>5365.0</v>
      </c>
      <c r="I4246" s="24">
        <v>0.0</v>
      </c>
      <c r="J4246" s="24">
        <v>0.0</v>
      </c>
      <c r="K4246" s="23" t="s">
        <v>34</v>
      </c>
      <c r="L4246" s="25">
        <v>40642.15619212963</v>
      </c>
      <c r="M4246" s="26" t="s">
        <v>9828</v>
      </c>
      <c r="N4246" s="26" t="s">
        <v>9829</v>
      </c>
      <c r="O4246" s="22" t="str">
        <f>HYPERLINK("https://pbs.twimg.com/profile_images/460772493095993345/5g2epH0K_normal.jpeg","View")</f>
        <v>View</v>
      </c>
      <c r="P4246" s="27"/>
    </row>
    <row r="4247">
      <c r="A4247" s="14">
        <v>43031.26770833333</v>
      </c>
      <c r="B4247" s="20" t="str">
        <f>HYPERLINK("https://twitter.com/CharlesMuhammad","@CharlesMuhammad")</f>
        <v>@CharlesMuhammad</v>
      </c>
      <c r="C4247" s="21" t="s">
        <v>9830</v>
      </c>
      <c r="D4247" s="21" t="s">
        <v>9831</v>
      </c>
      <c r="E4247" s="22" t="str">
        <f>HYPERLINK("https://twitter.com/CharlesMuhammad/status/922453933745782785","922453933745782785")</f>
        <v>922453933745782785</v>
      </c>
      <c r="F4247" s="23" t="s">
        <v>769</v>
      </c>
      <c r="G4247" s="24">
        <v>1004.0</v>
      </c>
      <c r="H4247" s="24">
        <v>535.0</v>
      </c>
      <c r="I4247" s="24">
        <v>1.0</v>
      </c>
      <c r="J4247" s="24">
        <v>0.0</v>
      </c>
      <c r="K4247" s="23" t="s">
        <v>34</v>
      </c>
      <c r="L4247" s="25">
        <v>39826.188125</v>
      </c>
      <c r="M4247" s="28"/>
      <c r="N4247" s="26" t="s">
        <v>9832</v>
      </c>
      <c r="O4247" s="22" t="str">
        <f>HYPERLINK("https://pbs.twimg.com/profile_images/908635978893451264/koOzBmJf_normal.jpg","View")</f>
        <v>View</v>
      </c>
      <c r="P4247" s="27"/>
    </row>
    <row r="4248">
      <c r="A4248" s="14">
        <v>43031.267743055556</v>
      </c>
      <c r="B4248" s="20" t="str">
        <f>HYPERLINK("https://twitter.com/deenaut007","@deenaut007")</f>
        <v>@deenaut007</v>
      </c>
      <c r="C4248" s="21" t="s">
        <v>9833</v>
      </c>
      <c r="D4248" s="21" t="s">
        <v>42</v>
      </c>
      <c r="E4248" s="22" t="str">
        <f>HYPERLINK("https://twitter.com/deenaut007/status/922453944785408005","922453944785408005")</f>
        <v>922453944785408005</v>
      </c>
      <c r="F4248" s="23" t="s">
        <v>55</v>
      </c>
      <c r="G4248" s="24">
        <v>95.0</v>
      </c>
      <c r="H4248" s="24">
        <v>581.0</v>
      </c>
      <c r="I4248" s="24">
        <v>8501.0</v>
      </c>
      <c r="J4248" s="24">
        <v>0.0</v>
      </c>
      <c r="K4248" s="23" t="s">
        <v>34</v>
      </c>
      <c r="L4248" s="25">
        <v>42085.388969907406</v>
      </c>
      <c r="M4248" s="26" t="s">
        <v>2534</v>
      </c>
      <c r="N4248" s="26" t="s">
        <v>9834</v>
      </c>
      <c r="O4248" s="22" t="str">
        <f>HYPERLINK("https://pbs.twimg.com/profile_images/874449807087210496/BNOj5UIC_normal.jpg","View")</f>
        <v>View</v>
      </c>
      <c r="P4248" s="27"/>
    </row>
    <row r="4249">
      <c r="A4249" s="14">
        <v>43031.26775462963</v>
      </c>
      <c r="B4249" s="20" t="str">
        <f>HYPERLINK("https://twitter.com/omdubey97","@omdubey97")</f>
        <v>@omdubey97</v>
      </c>
      <c r="C4249" s="21" t="s">
        <v>9835</v>
      </c>
      <c r="D4249" s="21" t="s">
        <v>42</v>
      </c>
      <c r="E4249" s="22" t="str">
        <f>HYPERLINK("https://twitter.com/omdubey97/status/922453950464278529","922453950464278529")</f>
        <v>922453950464278529</v>
      </c>
      <c r="F4249" s="23" t="s">
        <v>780</v>
      </c>
      <c r="G4249" s="24">
        <v>21.0</v>
      </c>
      <c r="H4249" s="24">
        <v>62.0</v>
      </c>
      <c r="I4249" s="24">
        <v>8501.0</v>
      </c>
      <c r="J4249" s="24">
        <v>0.0</v>
      </c>
      <c r="K4249" s="23" t="s">
        <v>34</v>
      </c>
      <c r="L4249" s="25">
        <v>42183.31607638889</v>
      </c>
      <c r="M4249" s="26" t="s">
        <v>9836</v>
      </c>
      <c r="N4249" s="26" t="s">
        <v>9837</v>
      </c>
      <c r="O4249" s="22" t="str">
        <f>HYPERLINK("https://pbs.twimg.com/profile_images/843839222192648192/oRY2-a3I_normal.jpg","View")</f>
        <v>View</v>
      </c>
      <c r="P4249" s="27"/>
    </row>
    <row r="4250">
      <c r="A4250" s="14">
        <v>43031.2677662037</v>
      </c>
      <c r="B4250" s="20" t="str">
        <f>HYPERLINK("https://twitter.com/abdulmalig","@abdulmalig")</f>
        <v>@abdulmalig</v>
      </c>
      <c r="C4250" s="21" t="s">
        <v>9838</v>
      </c>
      <c r="D4250" s="21" t="s">
        <v>9839</v>
      </c>
      <c r="E4250" s="22" t="str">
        <f>HYPERLINK("https://twitter.com/abdulmalig/status/922453954964873216","922453954964873216")</f>
        <v>922453954964873216</v>
      </c>
      <c r="F4250" s="23" t="s">
        <v>39</v>
      </c>
      <c r="G4250" s="24">
        <v>243.0</v>
      </c>
      <c r="H4250" s="24">
        <v>1817.0</v>
      </c>
      <c r="I4250" s="24">
        <v>5.0</v>
      </c>
      <c r="J4250" s="24">
        <v>0.0</v>
      </c>
      <c r="K4250" s="23" t="s">
        <v>34</v>
      </c>
      <c r="L4250" s="25">
        <v>40028.03226851852</v>
      </c>
      <c r="M4250" s="26" t="s">
        <v>9840</v>
      </c>
      <c r="N4250" s="28"/>
      <c r="O4250" s="22" t="str">
        <f>HYPERLINK("https://pbs.twimg.com/profile_images/918723628094517250/aE1dLYSE_normal.jpg","View")</f>
        <v>View</v>
      </c>
      <c r="P4250" s="27"/>
    </row>
    <row r="4251">
      <c r="A4251" s="14">
        <v>43031.26777777778</v>
      </c>
      <c r="B4251" s="20" t="str">
        <f>HYPERLINK("https://twitter.com/Parveen07061985","@Parveen07061985")</f>
        <v>@Parveen07061985</v>
      </c>
      <c r="C4251" s="21" t="s">
        <v>9841</v>
      </c>
      <c r="D4251" s="21" t="s">
        <v>42</v>
      </c>
      <c r="E4251" s="22" t="str">
        <f>HYPERLINK("https://twitter.com/Parveen07061985/status/922453956898508800","922453956898508800")</f>
        <v>922453956898508800</v>
      </c>
      <c r="F4251" s="23" t="s">
        <v>39</v>
      </c>
      <c r="G4251" s="24">
        <v>1.0</v>
      </c>
      <c r="H4251" s="24">
        <v>27.0</v>
      </c>
      <c r="I4251" s="24">
        <v>8501.0</v>
      </c>
      <c r="J4251" s="24">
        <v>0.0</v>
      </c>
      <c r="K4251" s="23" t="s">
        <v>34</v>
      </c>
      <c r="L4251" s="25">
        <v>42987.041238425925</v>
      </c>
      <c r="M4251" s="26" t="s">
        <v>5118</v>
      </c>
      <c r="N4251" s="26" t="s">
        <v>9842</v>
      </c>
      <c r="O4251" s="22" t="str">
        <f>HYPERLINK("https://pbs.twimg.com/profile_images/909403985811005441/QRTZ9-il_normal.jpg","View")</f>
        <v>View</v>
      </c>
      <c r="P4251" s="27"/>
    </row>
    <row r="4252">
      <c r="A4252" s="14">
        <v>43031.26784722222</v>
      </c>
      <c r="B4252" s="20" t="str">
        <f>HYPERLINK("https://twitter.com/sandi_childs","@sandi_childs")</f>
        <v>@sandi_childs</v>
      </c>
      <c r="C4252" s="21" t="s">
        <v>9404</v>
      </c>
      <c r="D4252" s="21" t="s">
        <v>2157</v>
      </c>
      <c r="E4252" s="22" t="str">
        <f>HYPERLINK("https://twitter.com/sandi_childs/status/922453981934137344","922453981934137344")</f>
        <v>922453981934137344</v>
      </c>
      <c r="F4252" s="23" t="s">
        <v>39</v>
      </c>
      <c r="G4252" s="24">
        <v>2447.0</v>
      </c>
      <c r="H4252" s="24">
        <v>3815.0</v>
      </c>
      <c r="I4252" s="24">
        <v>12.0</v>
      </c>
      <c r="J4252" s="24">
        <v>0.0</v>
      </c>
      <c r="K4252" s="23" t="s">
        <v>34</v>
      </c>
      <c r="L4252" s="25">
        <v>41594.161898148144</v>
      </c>
      <c r="M4252" s="26" t="s">
        <v>9405</v>
      </c>
      <c r="N4252" s="26" t="s">
        <v>9406</v>
      </c>
      <c r="O4252" s="22" t="str">
        <f>HYPERLINK("https://pbs.twimg.com/profile_images/810013492480643072/fSC_6Jgm_normal.jpg","View")</f>
        <v>View</v>
      </c>
      <c r="P4252" s="27"/>
    </row>
    <row r="4253">
      <c r="A4253" s="14">
        <v>43031.26809027778</v>
      </c>
      <c r="B4253" s="20" t="str">
        <f>HYPERLINK("https://twitter.com/neginabe014","@neginabe014")</f>
        <v>@neginabe014</v>
      </c>
      <c r="C4253" s="21" t="s">
        <v>9843</v>
      </c>
      <c r="D4253" s="21" t="s">
        <v>42</v>
      </c>
      <c r="E4253" s="22" t="str">
        <f>HYPERLINK("https://twitter.com/neginabe014/status/922454072824696837","922454072824696837")</f>
        <v>922454072824696837</v>
      </c>
      <c r="F4253" s="23" t="s">
        <v>33</v>
      </c>
      <c r="G4253" s="24">
        <v>236.0</v>
      </c>
      <c r="H4253" s="24">
        <v>33.0</v>
      </c>
      <c r="I4253" s="24">
        <v>8501.0</v>
      </c>
      <c r="J4253" s="24">
        <v>0.0</v>
      </c>
      <c r="K4253" s="23" t="s">
        <v>34</v>
      </c>
      <c r="L4253" s="25">
        <v>42581.17486111111</v>
      </c>
      <c r="M4253" s="28"/>
      <c r="N4253" s="26" t="s">
        <v>9844</v>
      </c>
      <c r="O4253" s="22" t="str">
        <f>HYPERLINK("https://pbs.twimg.com/profile_images/764657559491846144/ASuHUqX4_normal.jpg","View")</f>
        <v>View</v>
      </c>
      <c r="P4253" s="27"/>
    </row>
    <row r="4254">
      <c r="A4254" s="14">
        <v>43031.26810185185</v>
      </c>
      <c r="B4254" s="20" t="str">
        <f>HYPERLINK("https://twitter.com/DineshN15687887","@DineshN15687887")</f>
        <v>@DineshN15687887</v>
      </c>
      <c r="C4254" s="21" t="s">
        <v>9845</v>
      </c>
      <c r="D4254" s="21" t="s">
        <v>42</v>
      </c>
      <c r="E4254" s="22" t="str">
        <f>HYPERLINK("https://twitter.com/DineshN15687887/status/922454074259259392","922454074259259392")</f>
        <v>922454074259259392</v>
      </c>
      <c r="F4254" s="23" t="s">
        <v>33</v>
      </c>
      <c r="G4254" s="24">
        <v>30.0</v>
      </c>
      <c r="H4254" s="24">
        <v>106.0</v>
      </c>
      <c r="I4254" s="24">
        <v>8501.0</v>
      </c>
      <c r="J4254" s="24">
        <v>0.0</v>
      </c>
      <c r="K4254" s="23" t="s">
        <v>34</v>
      </c>
      <c r="L4254" s="25">
        <v>42410.04074074074</v>
      </c>
      <c r="M4254" s="26" t="s">
        <v>204</v>
      </c>
      <c r="N4254" s="26" t="s">
        <v>9846</v>
      </c>
      <c r="O4254" s="22" t="str">
        <f>HYPERLINK("https://pbs.twimg.com/profile_images/701837542476283905/feiKbUbQ_normal.jpg","View")</f>
        <v>View</v>
      </c>
      <c r="P4254" s="27"/>
    </row>
    <row r="4255">
      <c r="A4255" s="14">
        <v>43031.26833333333</v>
      </c>
      <c r="B4255" s="20" t="str">
        <f>HYPERLINK("https://twitter.com/PHLNewsInsider","@PHLNewsInsider")</f>
        <v>@PHLNewsInsider</v>
      </c>
      <c r="C4255" s="21" t="s">
        <v>9847</v>
      </c>
      <c r="D4255" s="21" t="s">
        <v>9848</v>
      </c>
      <c r="E4255" s="22" t="str">
        <f>HYPERLINK("https://twitter.com/PHLNewsInsider/status/922454156886999045","922454156886999045")</f>
        <v>922454156886999045</v>
      </c>
      <c r="F4255" s="23" t="s">
        <v>39</v>
      </c>
      <c r="G4255" s="24">
        <v>822.0</v>
      </c>
      <c r="H4255" s="24">
        <v>1937.0</v>
      </c>
      <c r="I4255" s="24">
        <v>6.0</v>
      </c>
      <c r="J4255" s="24">
        <v>0.0</v>
      </c>
      <c r="K4255" s="23" t="s">
        <v>34</v>
      </c>
      <c r="L4255" s="25">
        <v>40598.78375</v>
      </c>
      <c r="M4255" s="28"/>
      <c r="N4255" s="28"/>
      <c r="O4255" s="22" t="str">
        <f>HYPERLINK("https://pbs.twimg.com/profile_images/823775893529071616/QHNGhqV__normal.jpg","View")</f>
        <v>View</v>
      </c>
      <c r="P4255" s="27"/>
    </row>
    <row r="4256">
      <c r="A4256" s="14">
        <v>43031.26836805556</v>
      </c>
      <c r="B4256" s="20" t="str">
        <f>HYPERLINK("https://twitter.com/reindheer8","@reindheer8")</f>
        <v>@reindheer8</v>
      </c>
      <c r="C4256" s="21" t="s">
        <v>9849</v>
      </c>
      <c r="D4256" s="21" t="s">
        <v>42</v>
      </c>
      <c r="E4256" s="22" t="str">
        <f>HYPERLINK("https://twitter.com/reindheer8/status/922454173098033153","922454173098033153")</f>
        <v>922454173098033153</v>
      </c>
      <c r="F4256" s="23" t="s">
        <v>33</v>
      </c>
      <c r="G4256" s="24">
        <v>19.0</v>
      </c>
      <c r="H4256" s="24">
        <v>131.0</v>
      </c>
      <c r="I4256" s="24">
        <v>8501.0</v>
      </c>
      <c r="J4256" s="24">
        <v>0.0</v>
      </c>
      <c r="K4256" s="23" t="s">
        <v>34</v>
      </c>
      <c r="L4256" s="25">
        <v>41430.2027662037</v>
      </c>
      <c r="M4256" s="26" t="s">
        <v>4120</v>
      </c>
      <c r="N4256" s="26" t="s">
        <v>9850</v>
      </c>
      <c r="O4256" s="22" t="str">
        <f>HYPERLINK("https://abs.twimg.com/sticky/default_profile_images/default_profile_normal.png","View")</f>
        <v>View</v>
      </c>
      <c r="P4256" s="27"/>
    </row>
    <row r="4257">
      <c r="A4257" s="14">
        <v>43031.2683912037</v>
      </c>
      <c r="B4257" s="20" t="str">
        <f>HYPERLINK("https://twitter.com/Adil59281220","@Adil59281220")</f>
        <v>@Adil59281220</v>
      </c>
      <c r="C4257" s="21" t="s">
        <v>9851</v>
      </c>
      <c r="D4257" s="21" t="s">
        <v>42</v>
      </c>
      <c r="E4257" s="22" t="str">
        <f>HYPERLINK("https://twitter.com/Adil59281220/status/922454180303745024","922454180303745024")</f>
        <v>922454180303745024</v>
      </c>
      <c r="F4257" s="23" t="s">
        <v>33</v>
      </c>
      <c r="G4257" s="24">
        <v>3.0</v>
      </c>
      <c r="H4257" s="24">
        <v>21.0</v>
      </c>
      <c r="I4257" s="24">
        <v>8501.0</v>
      </c>
      <c r="J4257" s="24">
        <v>0.0</v>
      </c>
      <c r="K4257" s="23" t="s">
        <v>34</v>
      </c>
      <c r="L4257" s="25">
        <v>42988.01296296297</v>
      </c>
      <c r="M4257" s="26" t="s">
        <v>9852</v>
      </c>
      <c r="N4257" s="26" t="s">
        <v>9853</v>
      </c>
      <c r="O4257" s="22" t="str">
        <f>HYPERLINK("https://pbs.twimg.com/profile_images/906907131684691969/u4MDNQvO_normal.jpg","View")</f>
        <v>View</v>
      </c>
      <c r="P4257" s="27"/>
    </row>
    <row r="4258">
      <c r="A4258" s="14">
        <v>43031.26846064815</v>
      </c>
      <c r="B4258" s="20" t="str">
        <f>HYPERLINK("https://twitter.com/DrKynast","@DrKynast")</f>
        <v>@DrKynast</v>
      </c>
      <c r="C4258" s="21" t="s">
        <v>9188</v>
      </c>
      <c r="D4258" s="21" t="s">
        <v>7403</v>
      </c>
      <c r="E4258" s="22" t="str">
        <f>HYPERLINK("https://twitter.com/DrKynast/status/922454205054554112","922454205054554112")</f>
        <v>922454205054554112</v>
      </c>
      <c r="F4258" s="23" t="s">
        <v>43</v>
      </c>
      <c r="G4258" s="24">
        <v>2455.0</v>
      </c>
      <c r="H4258" s="24">
        <v>2607.0</v>
      </c>
      <c r="I4258" s="24">
        <v>29.0</v>
      </c>
      <c r="J4258" s="24">
        <v>0.0</v>
      </c>
      <c r="K4258" s="23" t="s">
        <v>34</v>
      </c>
      <c r="L4258" s="25">
        <v>42619.794016203705</v>
      </c>
      <c r="M4258" s="26" t="s">
        <v>9190</v>
      </c>
      <c r="N4258" s="26" t="s">
        <v>9191</v>
      </c>
      <c r="O4258" s="22" t="str">
        <f>HYPERLINK("https://pbs.twimg.com/profile_images/773512285629345792/2AmdEU5W_normal.jpg","View")</f>
        <v>View</v>
      </c>
      <c r="P4258" s="27"/>
    </row>
    <row r="4259">
      <c r="A4259" s="14">
        <v>43031.268541666665</v>
      </c>
      <c r="B4259" s="20" t="str">
        <f>HYPERLINK("https://twitter.com/MEDIABOXSTORE","@MEDIABOXSTORE")</f>
        <v>@MEDIABOXSTORE</v>
      </c>
      <c r="C4259" s="21" t="s">
        <v>9825</v>
      </c>
      <c r="D4259" s="21" t="s">
        <v>9854</v>
      </c>
      <c r="E4259" s="22" t="str">
        <f>HYPERLINK("https://twitter.com/MEDIABOXSTORE/status/922454233206722560","922454233206722560")</f>
        <v>922454233206722560</v>
      </c>
      <c r="F4259" s="23" t="s">
        <v>91</v>
      </c>
      <c r="G4259" s="24">
        <v>23115.0</v>
      </c>
      <c r="H4259" s="24">
        <v>5365.0</v>
      </c>
      <c r="I4259" s="24">
        <v>0.0</v>
      </c>
      <c r="J4259" s="24">
        <v>0.0</v>
      </c>
      <c r="K4259" s="23" t="s">
        <v>34</v>
      </c>
      <c r="L4259" s="25">
        <v>40642.15619212963</v>
      </c>
      <c r="M4259" s="26" t="s">
        <v>9828</v>
      </c>
      <c r="N4259" s="26" t="s">
        <v>9829</v>
      </c>
      <c r="O4259" s="22" t="str">
        <f>HYPERLINK("https://pbs.twimg.com/profile_images/460772493095993345/5g2epH0K_normal.jpeg","View")</f>
        <v>View</v>
      </c>
      <c r="P4259" s="27"/>
    </row>
    <row r="4260">
      <c r="A4260" s="14">
        <v>43031.26857638889</v>
      </c>
      <c r="B4260" s="20" t="str">
        <f>HYPERLINK("https://twitter.com/ashish1purey","@ashish1purey")</f>
        <v>@ashish1purey</v>
      </c>
      <c r="C4260" s="21" t="s">
        <v>9855</v>
      </c>
      <c r="D4260" s="21" t="s">
        <v>42</v>
      </c>
      <c r="E4260" s="22" t="str">
        <f>HYPERLINK("https://twitter.com/ashish1purey/status/922454247983034368","922454247983034368")</f>
        <v>922454247983034368</v>
      </c>
      <c r="F4260" s="23" t="s">
        <v>33</v>
      </c>
      <c r="G4260" s="24">
        <v>48.0</v>
      </c>
      <c r="H4260" s="24">
        <v>27.0</v>
      </c>
      <c r="I4260" s="24">
        <v>8501.0</v>
      </c>
      <c r="J4260" s="24">
        <v>0.0</v>
      </c>
      <c r="K4260" s="23" t="s">
        <v>34</v>
      </c>
      <c r="L4260" s="25">
        <v>42793.19782407407</v>
      </c>
      <c r="M4260" s="28"/>
      <c r="N4260" s="28"/>
      <c r="O4260" s="22" t="str">
        <f>HYPERLINK("https://abs.twimg.com/sticky/default_profile_images/default_profile_normal.png","View")</f>
        <v>View</v>
      </c>
      <c r="P4260" s="27"/>
    </row>
    <row r="4261">
      <c r="A4261" s="14">
        <v>43031.26862268518</v>
      </c>
      <c r="B4261" s="20" t="str">
        <f>HYPERLINK("https://twitter.com/sushilkr74","@sushilkr74")</f>
        <v>@sushilkr74</v>
      </c>
      <c r="C4261" s="21" t="s">
        <v>9856</v>
      </c>
      <c r="D4261" s="21" t="s">
        <v>42</v>
      </c>
      <c r="E4261" s="22" t="str">
        <f>HYPERLINK("https://twitter.com/sushilkr74/status/922454262239522818","922454262239522818")</f>
        <v>922454262239522818</v>
      </c>
      <c r="F4261" s="23" t="s">
        <v>33</v>
      </c>
      <c r="G4261" s="24">
        <v>74.0</v>
      </c>
      <c r="H4261" s="24">
        <v>67.0</v>
      </c>
      <c r="I4261" s="24">
        <v>8501.0</v>
      </c>
      <c r="J4261" s="24">
        <v>0.0</v>
      </c>
      <c r="K4261" s="23" t="s">
        <v>34</v>
      </c>
      <c r="L4261" s="25">
        <v>42793.34210648148</v>
      </c>
      <c r="M4261" s="28"/>
      <c r="N4261" s="26" t="s">
        <v>9857</v>
      </c>
      <c r="O4261" s="22" t="str">
        <f>HYPERLINK("https://pbs.twimg.com/profile_images/903620939161550848/lRFWUxSq_normal.jpg","View")</f>
        <v>View</v>
      </c>
      <c r="P4261" s="27"/>
    </row>
    <row r="4262">
      <c r="A4262" s="14">
        <v>43031.268634259264</v>
      </c>
      <c r="B4262" s="20" t="str">
        <f>HYPERLINK("https://twitter.com/Dr_spsgill","@Dr_spsgill")</f>
        <v>@Dr_spsgill</v>
      </c>
      <c r="C4262" s="21" t="s">
        <v>9858</v>
      </c>
      <c r="D4262" s="21" t="s">
        <v>42</v>
      </c>
      <c r="E4262" s="22" t="str">
        <f>HYPERLINK("https://twitter.com/Dr_spsgill/status/922454269927751680","922454269927751680")</f>
        <v>922454269927751680</v>
      </c>
      <c r="F4262" s="23" t="s">
        <v>230</v>
      </c>
      <c r="G4262" s="24">
        <v>440.0</v>
      </c>
      <c r="H4262" s="24">
        <v>562.0</v>
      </c>
      <c r="I4262" s="24">
        <v>8501.0</v>
      </c>
      <c r="J4262" s="24">
        <v>0.0</v>
      </c>
      <c r="K4262" s="23" t="s">
        <v>34</v>
      </c>
      <c r="L4262" s="25">
        <v>40188.24686342593</v>
      </c>
      <c r="M4262" s="26" t="s">
        <v>9859</v>
      </c>
      <c r="N4262" s="26" t="s">
        <v>9860</v>
      </c>
      <c r="O4262" s="22" t="str">
        <f>HYPERLINK("https://pbs.twimg.com/profile_images/748379457711443970/4h95fqAW_normal.jpg","View")</f>
        <v>View</v>
      </c>
      <c r="P4262" s="27"/>
    </row>
    <row r="4263">
      <c r="A4263" s="14">
        <v>43031.26877314815</v>
      </c>
      <c r="B4263" s="20" t="str">
        <f>HYPERLINK("https://twitter.com/kimubert","@kimubert")</f>
        <v>@kimubert</v>
      </c>
      <c r="C4263" s="21" t="s">
        <v>9861</v>
      </c>
      <c r="D4263" s="21" t="s">
        <v>9862</v>
      </c>
      <c r="E4263" s="22" t="str">
        <f>HYPERLINK("https://twitter.com/kimubert/status/922454318388723713","922454318388723713")</f>
        <v>922454318388723713</v>
      </c>
      <c r="F4263" s="23" t="s">
        <v>230</v>
      </c>
      <c r="G4263" s="24">
        <v>675.0</v>
      </c>
      <c r="H4263" s="24">
        <v>1099.0</v>
      </c>
      <c r="I4263" s="24">
        <v>0.0</v>
      </c>
      <c r="J4263" s="24">
        <v>0.0</v>
      </c>
      <c r="K4263" s="23" t="s">
        <v>34</v>
      </c>
      <c r="L4263" s="25">
        <v>39207.859375</v>
      </c>
      <c r="M4263" s="26" t="s">
        <v>9863</v>
      </c>
      <c r="N4263" s="26" t="s">
        <v>9864</v>
      </c>
      <c r="O4263" s="22" t="str">
        <f>HYPERLINK("https://pbs.twimg.com/profile_images/27006502/ukelele_cat_normal.jpg","View")</f>
        <v>View</v>
      </c>
      <c r="P4263" s="27"/>
    </row>
    <row r="4264">
      <c r="A4264" s="14">
        <v>43031.26881944445</v>
      </c>
      <c r="B4264" s="20" t="str">
        <f>HYPERLINK("https://twitter.com/monta_neko","@monta_neko")</f>
        <v>@monta_neko</v>
      </c>
      <c r="C4264" s="21" t="s">
        <v>9865</v>
      </c>
      <c r="D4264" s="21" t="s">
        <v>1642</v>
      </c>
      <c r="E4264" s="22" t="str">
        <f>HYPERLINK("https://twitter.com/monta_neko/status/922454335342235649","922454335342235649")</f>
        <v>922454335342235649</v>
      </c>
      <c r="F4264" s="23" t="s">
        <v>230</v>
      </c>
      <c r="G4264" s="24">
        <v>1694.0</v>
      </c>
      <c r="H4264" s="24">
        <v>798.0</v>
      </c>
      <c r="I4264" s="24">
        <v>199.0</v>
      </c>
      <c r="J4264" s="24">
        <v>0.0</v>
      </c>
      <c r="K4264" s="23" t="s">
        <v>34</v>
      </c>
      <c r="L4264" s="25">
        <v>39965.8169212963</v>
      </c>
      <c r="M4264" s="26" t="s">
        <v>9866</v>
      </c>
      <c r="N4264" s="26" t="s">
        <v>9867</v>
      </c>
      <c r="O4264" s="22" t="str">
        <f>HYPERLINK("https://pbs.twimg.com/profile_images/245639489/DSC01146_normal.jpg","View")</f>
        <v>View</v>
      </c>
      <c r="P4264" s="27"/>
    </row>
    <row r="4265">
      <c r="A4265" s="14">
        <v>43031.26913194444</v>
      </c>
      <c r="B4265" s="20" t="str">
        <f>HYPERLINK("https://twitter.com/Abhishe04372674","@Abhishe04372674")</f>
        <v>@Abhishe04372674</v>
      </c>
      <c r="C4265" s="21" t="s">
        <v>9868</v>
      </c>
      <c r="D4265" s="21" t="s">
        <v>42</v>
      </c>
      <c r="E4265" s="22" t="str">
        <f>HYPERLINK("https://twitter.com/Abhishe04372674/status/922454448739311616","922454448739311616")</f>
        <v>922454448739311616</v>
      </c>
      <c r="F4265" s="23" t="s">
        <v>33</v>
      </c>
      <c r="G4265" s="24">
        <v>137.0</v>
      </c>
      <c r="H4265" s="24">
        <v>543.0</v>
      </c>
      <c r="I4265" s="24">
        <v>8501.0</v>
      </c>
      <c r="J4265" s="24">
        <v>0.0</v>
      </c>
      <c r="K4265" s="23" t="s">
        <v>34</v>
      </c>
      <c r="L4265" s="25">
        <v>42631.34335648148</v>
      </c>
      <c r="M4265" s="26" t="s">
        <v>3955</v>
      </c>
      <c r="N4265" s="28"/>
      <c r="O4265" s="22" t="str">
        <f>HYPERLINK("https://pbs.twimg.com/profile_images/893703710685020160/IEoVZZYq_normal.jpg","View")</f>
        <v>View</v>
      </c>
      <c r="P4265" s="27"/>
    </row>
    <row r="4266">
      <c r="A4266" s="14">
        <v>43031.26921296296</v>
      </c>
      <c r="B4266" s="20" t="str">
        <f>HYPERLINK("https://twitter.com/santhoshkothala","@santhoshkothala")</f>
        <v>@santhoshkothala</v>
      </c>
      <c r="C4266" s="21" t="s">
        <v>9869</v>
      </c>
      <c r="D4266" s="21" t="s">
        <v>163</v>
      </c>
      <c r="E4266" s="22" t="str">
        <f>HYPERLINK("https://twitter.com/santhoshkothala/status/922454476052672512","922454476052672512")</f>
        <v>922454476052672512</v>
      </c>
      <c r="F4266" s="23" t="s">
        <v>33</v>
      </c>
      <c r="G4266" s="24">
        <v>26.0</v>
      </c>
      <c r="H4266" s="24">
        <v>652.0</v>
      </c>
      <c r="I4266" s="24">
        <v>1005.0</v>
      </c>
      <c r="J4266" s="24">
        <v>0.0</v>
      </c>
      <c r="K4266" s="23" t="s">
        <v>34</v>
      </c>
      <c r="L4266" s="25">
        <v>40082.295</v>
      </c>
      <c r="M4266" s="26" t="s">
        <v>204</v>
      </c>
      <c r="N4266" s="28"/>
      <c r="O4266" s="22" t="str">
        <f>HYPERLINK("https://pbs.twimg.com/profile_images/563181687/santosh_cari_normal.jpg","View")</f>
        <v>View</v>
      </c>
      <c r="P4266" s="27"/>
    </row>
    <row r="4267">
      <c r="A4267" s="14">
        <v>43031.269270833334</v>
      </c>
      <c r="B4267" s="20" t="str">
        <f>HYPERLINK("https://twitter.com/kingthump3r","@kingthump3r")</f>
        <v>@kingthump3r</v>
      </c>
      <c r="C4267" s="21" t="s">
        <v>9870</v>
      </c>
      <c r="D4267" s="21" t="s">
        <v>9871</v>
      </c>
      <c r="E4267" s="22" t="str">
        <f>HYPERLINK("https://twitter.com/kingthump3r/status/922454496810237952","922454496810237952")</f>
        <v>922454496810237952</v>
      </c>
      <c r="F4267" s="23" t="s">
        <v>187</v>
      </c>
      <c r="G4267" s="24">
        <v>287.0</v>
      </c>
      <c r="H4267" s="24">
        <v>382.0</v>
      </c>
      <c r="I4267" s="24">
        <v>0.0</v>
      </c>
      <c r="J4267" s="24">
        <v>1.0</v>
      </c>
      <c r="K4267" s="23" t="s">
        <v>34</v>
      </c>
      <c r="L4267" s="25">
        <v>41086.49920138889</v>
      </c>
      <c r="M4267" s="26" t="s">
        <v>68</v>
      </c>
      <c r="N4267" s="26" t="s">
        <v>9872</v>
      </c>
      <c r="O4267" s="22" t="str">
        <f>HYPERLINK("https://pbs.twimg.com/profile_images/870792902036692992/o8CZpg5u_normal.jpg","View")</f>
        <v>View</v>
      </c>
      <c r="P4267" s="27"/>
    </row>
    <row r="4268">
      <c r="A4268" s="14">
        <v>43031.26929398148</v>
      </c>
      <c r="B4268" s="20" t="str">
        <f>HYPERLINK("https://twitter.com/UraniumEnergy","@UraniumEnergy")</f>
        <v>@UraniumEnergy</v>
      </c>
      <c r="C4268" s="21" t="s">
        <v>9873</v>
      </c>
      <c r="D4268" s="21" t="s">
        <v>9874</v>
      </c>
      <c r="E4268" s="22" t="str">
        <f>HYPERLINK("https://twitter.com/UraniumEnergy/status/922454505353908224","922454505353908224")</f>
        <v>922454505353908224</v>
      </c>
      <c r="F4268" s="23" t="s">
        <v>55</v>
      </c>
      <c r="G4268" s="24">
        <v>2274.0</v>
      </c>
      <c r="H4268" s="24">
        <v>342.0</v>
      </c>
      <c r="I4268" s="24">
        <v>20.0</v>
      </c>
      <c r="J4268" s="24">
        <v>0.0</v>
      </c>
      <c r="K4268" s="23" t="s">
        <v>34</v>
      </c>
      <c r="L4268" s="25">
        <v>40017.30315972222</v>
      </c>
      <c r="M4268" s="26" t="s">
        <v>9875</v>
      </c>
      <c r="N4268" s="26" t="s">
        <v>9876</v>
      </c>
      <c r="O4268" s="22" t="str">
        <f>HYPERLINK("https://pbs.twimg.com/profile_images/706185225/ueclogo-twitter_normal.jpg","View")</f>
        <v>View</v>
      </c>
      <c r="P4268" s="27"/>
    </row>
    <row r="4269">
      <c r="A4269" s="14">
        <v>43031.26930555556</v>
      </c>
      <c r="B4269" s="20" t="str">
        <f>HYPERLINK("https://twitter.com/XaniaNews_com","@XaniaNews_com")</f>
        <v>@XaniaNews_com</v>
      </c>
      <c r="C4269" s="21" t="s">
        <v>9877</v>
      </c>
      <c r="D4269" s="21" t="s">
        <v>9878</v>
      </c>
      <c r="E4269" s="22" t="str">
        <f>HYPERLINK("https://twitter.com/XaniaNews_com/status/922454511867740160","922454511867740160")</f>
        <v>922454511867740160</v>
      </c>
      <c r="F4269" s="23" t="s">
        <v>9879</v>
      </c>
      <c r="G4269" s="24">
        <v>2657.0</v>
      </c>
      <c r="H4269" s="24">
        <v>2468.0</v>
      </c>
      <c r="I4269" s="24">
        <v>0.0</v>
      </c>
      <c r="J4269" s="24">
        <v>0.0</v>
      </c>
      <c r="K4269" s="23" t="s">
        <v>34</v>
      </c>
      <c r="L4269" s="25">
        <v>42490.24996527778</v>
      </c>
      <c r="M4269" s="28"/>
      <c r="N4269" s="26" t="s">
        <v>9880</v>
      </c>
      <c r="O4269" s="22" t="str">
        <f>HYPERLINK("https://pbs.twimg.com/profile_images/875616308653457408/nOYrQgE7_normal.jpg","View")</f>
        <v>View</v>
      </c>
      <c r="P4269" s="27"/>
    </row>
    <row r="4270">
      <c r="A4270" s="14">
        <v>43031.26939814815</v>
      </c>
      <c r="B4270" s="20" t="str">
        <f>HYPERLINK("https://twitter.com/mikstar997","@mikstar997")</f>
        <v>@mikstar997</v>
      </c>
      <c r="C4270" s="21" t="s">
        <v>9881</v>
      </c>
      <c r="D4270" s="21" t="s">
        <v>42</v>
      </c>
      <c r="E4270" s="22" t="str">
        <f>HYPERLINK("https://twitter.com/mikstar997/status/922454543274672133","922454543274672133")</f>
        <v>922454543274672133</v>
      </c>
      <c r="F4270" s="23" t="s">
        <v>33</v>
      </c>
      <c r="G4270" s="24">
        <v>1096.0</v>
      </c>
      <c r="H4270" s="24">
        <v>1142.0</v>
      </c>
      <c r="I4270" s="24">
        <v>8501.0</v>
      </c>
      <c r="J4270" s="24">
        <v>0.0</v>
      </c>
      <c r="K4270" s="23" t="s">
        <v>34</v>
      </c>
      <c r="L4270" s="25">
        <v>41789.716307870374</v>
      </c>
      <c r="M4270" s="26" t="s">
        <v>71</v>
      </c>
      <c r="N4270" s="26" t="s">
        <v>9882</v>
      </c>
      <c r="O4270" s="22" t="str">
        <f>HYPERLINK("https://pbs.twimg.com/profile_images/472596693939023873/2zOkRHWb_normal.jpeg","View")</f>
        <v>View</v>
      </c>
      <c r="P4270" s="27"/>
    </row>
    <row r="4271">
      <c r="A4271" s="14">
        <v>43031.269432870366</v>
      </c>
      <c r="B4271" s="20" t="str">
        <f>HYPERLINK("https://twitter.com/AdityaK94487834","@AdityaK94487834")</f>
        <v>@AdityaK94487834</v>
      </c>
      <c r="C4271" s="21" t="s">
        <v>9883</v>
      </c>
      <c r="D4271" s="21" t="s">
        <v>42</v>
      </c>
      <c r="E4271" s="22" t="str">
        <f>HYPERLINK("https://twitter.com/AdityaK94487834/status/922454556247592961","922454556247592961")</f>
        <v>922454556247592961</v>
      </c>
      <c r="F4271" s="23" t="s">
        <v>33</v>
      </c>
      <c r="G4271" s="24">
        <v>62.0</v>
      </c>
      <c r="H4271" s="24">
        <v>198.0</v>
      </c>
      <c r="I4271" s="24">
        <v>8501.0</v>
      </c>
      <c r="J4271" s="24">
        <v>0.0</v>
      </c>
      <c r="K4271" s="23" t="s">
        <v>34</v>
      </c>
      <c r="L4271" s="25">
        <v>43014.876539351855</v>
      </c>
      <c r="M4271" s="26" t="s">
        <v>2335</v>
      </c>
      <c r="N4271" s="26" t="s">
        <v>9884</v>
      </c>
      <c r="O4271" s="22" t="str">
        <f>HYPERLINK("https://pbs.twimg.com/profile_images/919000221983563776/kmofDBKO_normal.jpg","View")</f>
        <v>View</v>
      </c>
      <c r="P4271" s="27"/>
    </row>
    <row r="4272">
      <c r="A4272" s="14">
        <v>43031.269432870366</v>
      </c>
      <c r="B4272" s="20" t="str">
        <f>HYPERLINK("https://twitter.com/anoopbharatam","@anoopbharatam")</f>
        <v>@anoopbharatam</v>
      </c>
      <c r="C4272" s="21" t="s">
        <v>9885</v>
      </c>
      <c r="D4272" s="21" t="s">
        <v>163</v>
      </c>
      <c r="E4272" s="22" t="str">
        <f>HYPERLINK("https://twitter.com/anoopbharatam/status/922454557568978944","922454557568978944")</f>
        <v>922454557568978944</v>
      </c>
      <c r="F4272" s="23" t="s">
        <v>39</v>
      </c>
      <c r="G4272" s="24">
        <v>872.0</v>
      </c>
      <c r="H4272" s="24">
        <v>935.0</v>
      </c>
      <c r="I4272" s="24">
        <v>1005.0</v>
      </c>
      <c r="J4272" s="24">
        <v>0.0</v>
      </c>
      <c r="K4272" s="23" t="s">
        <v>34</v>
      </c>
      <c r="L4272" s="25">
        <v>40607.91577546296</v>
      </c>
      <c r="M4272" s="26" t="s">
        <v>1024</v>
      </c>
      <c r="N4272" s="26" t="s">
        <v>9886</v>
      </c>
      <c r="O4272" s="22" t="str">
        <f>HYPERLINK("https://pbs.twimg.com/profile_images/902718161333608448/7N_S5TMW_normal.jpg","View")</f>
        <v>View</v>
      </c>
      <c r="P4272" s="27"/>
    </row>
    <row r="4273">
      <c r="A4273" s="14">
        <v>43031.26944444445</v>
      </c>
      <c r="B4273" s="20" t="str">
        <f>HYPERLINK("https://twitter.com/KnightzCode","@KnightzCode")</f>
        <v>@KnightzCode</v>
      </c>
      <c r="C4273" s="21" t="s">
        <v>9887</v>
      </c>
      <c r="D4273" s="21" t="s">
        <v>9888</v>
      </c>
      <c r="E4273" s="22" t="str">
        <f>HYPERLINK("https://twitter.com/KnightzCode/status/922454563059269633","922454563059269633")</f>
        <v>922454563059269633</v>
      </c>
      <c r="F4273" s="23" t="s">
        <v>33</v>
      </c>
      <c r="G4273" s="24">
        <v>629.0</v>
      </c>
      <c r="H4273" s="24">
        <v>958.0</v>
      </c>
      <c r="I4273" s="24">
        <v>7.0</v>
      </c>
      <c r="J4273" s="24">
        <v>0.0</v>
      </c>
      <c r="K4273" s="23" t="s">
        <v>34</v>
      </c>
      <c r="L4273" s="25">
        <v>39935.36189814815</v>
      </c>
      <c r="M4273" s="26" t="s">
        <v>9889</v>
      </c>
      <c r="N4273" s="26" t="s">
        <v>9890</v>
      </c>
      <c r="O4273" s="22" t="str">
        <f>HYPERLINK("https://pbs.twimg.com/profile_images/751426173331054592/W80kmclA_normal.jpg","View")</f>
        <v>View</v>
      </c>
      <c r="P4273" s="27"/>
    </row>
    <row r="4274">
      <c r="A4274" s="14">
        <v>43031.26967592593</v>
      </c>
      <c r="B4274" s="20" t="str">
        <f>HYPERLINK("https://twitter.com/har_dik_","@har_dik_")</f>
        <v>@har_dik_</v>
      </c>
      <c r="C4274" s="21" t="s">
        <v>9891</v>
      </c>
      <c r="D4274" s="21" t="s">
        <v>42</v>
      </c>
      <c r="E4274" s="22" t="str">
        <f>HYPERLINK("https://twitter.com/har_dik_/status/922454647129935872","922454647129935872")</f>
        <v>922454647129935872</v>
      </c>
      <c r="F4274" s="23" t="s">
        <v>33</v>
      </c>
      <c r="G4274" s="24">
        <v>747.0</v>
      </c>
      <c r="H4274" s="24">
        <v>1790.0</v>
      </c>
      <c r="I4274" s="24">
        <v>8501.0</v>
      </c>
      <c r="J4274" s="24">
        <v>0.0</v>
      </c>
      <c r="K4274" s="23" t="s">
        <v>34</v>
      </c>
      <c r="L4274" s="25">
        <v>41544.97289351852</v>
      </c>
      <c r="M4274" s="26" t="s">
        <v>9892</v>
      </c>
      <c r="N4274" s="26" t="s">
        <v>9893</v>
      </c>
      <c r="O4274" s="22" t="str">
        <f>HYPERLINK("https://pbs.twimg.com/profile_images/849184807141744640/V5ptDTWW_normal.jpg","View")</f>
        <v>View</v>
      </c>
      <c r="P4274" s="27"/>
    </row>
    <row r="4275">
      <c r="A4275" s="14">
        <v>43031.26969907407</v>
      </c>
      <c r="B4275" s="20" t="str">
        <f>HYPERLINK("https://twitter.com/TrendingNewsTV","@TrendingNewsTV")</f>
        <v>@TrendingNewsTV</v>
      </c>
      <c r="C4275" s="21" t="s">
        <v>6380</v>
      </c>
      <c r="D4275" s="21" t="s">
        <v>9894</v>
      </c>
      <c r="E4275" s="22" t="str">
        <f>HYPERLINK("https://twitter.com/TrendingNewsTV/status/922454655749312512","922454655749312512")</f>
        <v>922454655749312512</v>
      </c>
      <c r="F4275" s="23" t="s">
        <v>187</v>
      </c>
      <c r="G4275" s="24">
        <v>157.0</v>
      </c>
      <c r="H4275" s="24">
        <v>16.0</v>
      </c>
      <c r="I4275" s="24">
        <v>0.0</v>
      </c>
      <c r="J4275" s="24">
        <v>0.0</v>
      </c>
      <c r="K4275" s="23" t="s">
        <v>34</v>
      </c>
      <c r="L4275" s="25">
        <v>42873.31518518519</v>
      </c>
      <c r="M4275" s="26" t="s">
        <v>6382</v>
      </c>
      <c r="N4275" s="26" t="s">
        <v>6383</v>
      </c>
      <c r="O4275" s="22" t="str">
        <f>HYPERLINK("https://pbs.twimg.com/profile_images/870695993104252929/yk2g-5OO_normal.jpg","View")</f>
        <v>View</v>
      </c>
      <c r="P4275" s="27"/>
    </row>
    <row r="4276">
      <c r="A4276" s="14">
        <v>43031.26972222222</v>
      </c>
      <c r="B4276" s="20" t="str">
        <f>HYPERLINK("https://twitter.com/perlette_13","@perlette_13")</f>
        <v>@perlette_13</v>
      </c>
      <c r="C4276" s="21" t="s">
        <v>9895</v>
      </c>
      <c r="D4276" s="21" t="s">
        <v>42</v>
      </c>
      <c r="E4276" s="22" t="str">
        <f>HYPERLINK("https://twitter.com/perlette_13/status/922454663387078658","922454663387078658")</f>
        <v>922454663387078658</v>
      </c>
      <c r="F4276" s="23" t="s">
        <v>33</v>
      </c>
      <c r="G4276" s="24">
        <v>23.0</v>
      </c>
      <c r="H4276" s="24">
        <v>37.0</v>
      </c>
      <c r="I4276" s="24">
        <v>8501.0</v>
      </c>
      <c r="J4276" s="24">
        <v>0.0</v>
      </c>
      <c r="K4276" s="23" t="s">
        <v>34</v>
      </c>
      <c r="L4276" s="25">
        <v>42907.340625</v>
      </c>
      <c r="M4276" s="28"/>
      <c r="N4276" s="26" t="s">
        <v>9896</v>
      </c>
      <c r="O4276" s="22" t="str">
        <f>HYPERLINK("https://pbs.twimg.com/profile_images/922056668883636224/1SfFxi-i_normal.jpg","View")</f>
        <v>View</v>
      </c>
      <c r="P4276" s="27"/>
    </row>
    <row r="4277">
      <c r="A4277" s="14">
        <v>43031.26975694444</v>
      </c>
      <c r="B4277" s="20" t="str">
        <f>HYPERLINK("https://twitter.com/ParkashPawar2","@ParkashPawar2")</f>
        <v>@ParkashPawar2</v>
      </c>
      <c r="C4277" s="21" t="s">
        <v>9897</v>
      </c>
      <c r="D4277" s="21" t="s">
        <v>42</v>
      </c>
      <c r="E4277" s="22" t="str">
        <f>HYPERLINK("https://twitter.com/ParkashPawar2/status/922454673285681153","922454673285681153")</f>
        <v>922454673285681153</v>
      </c>
      <c r="F4277" s="23" t="s">
        <v>33</v>
      </c>
      <c r="G4277" s="24">
        <v>26.0</v>
      </c>
      <c r="H4277" s="24">
        <v>127.0</v>
      </c>
      <c r="I4277" s="24">
        <v>8501.0</v>
      </c>
      <c r="J4277" s="24">
        <v>0.0</v>
      </c>
      <c r="K4277" s="23" t="s">
        <v>34</v>
      </c>
      <c r="L4277" s="25">
        <v>42710.05898148148</v>
      </c>
      <c r="M4277" s="26" t="s">
        <v>1714</v>
      </c>
      <c r="N4277" s="28"/>
      <c r="O4277" s="22" t="str">
        <f>HYPERLINK("https://pbs.twimg.com/profile_images/921298421960663040/alrIrv9E_normal.jpg","View")</f>
        <v>View</v>
      </c>
      <c r="P4277" s="27"/>
    </row>
    <row r="4278">
      <c r="A4278" s="14">
        <v>43031.26983796296</v>
      </c>
      <c r="B4278" s="20" t="str">
        <f>HYPERLINK("https://twitter.com/NarrendraM","@NarrendraM")</f>
        <v>@NarrendraM</v>
      </c>
      <c r="C4278" s="21" t="s">
        <v>2654</v>
      </c>
      <c r="D4278" s="21" t="s">
        <v>9898</v>
      </c>
      <c r="E4278" s="22" t="str">
        <f>HYPERLINK("https://twitter.com/NarrendraM/status/922454705502121984","922454705502121984")</f>
        <v>922454705502121984</v>
      </c>
      <c r="F4278" s="23" t="s">
        <v>187</v>
      </c>
      <c r="G4278" s="24">
        <v>2003.0</v>
      </c>
      <c r="H4278" s="24">
        <v>252.0</v>
      </c>
      <c r="I4278" s="24">
        <v>0.0</v>
      </c>
      <c r="J4278" s="24">
        <v>0.0</v>
      </c>
      <c r="K4278" s="23" t="s">
        <v>34</v>
      </c>
      <c r="L4278" s="25">
        <v>42471.0737037037</v>
      </c>
      <c r="M4278" s="26" t="s">
        <v>246</v>
      </c>
      <c r="N4278" s="26" t="s">
        <v>2656</v>
      </c>
      <c r="O4278" s="22" t="str">
        <f>HYPERLINK("https://pbs.twimg.com/profile_images/743939643738034176/WkGloI0u_normal.jpg","View")</f>
        <v>View</v>
      </c>
      <c r="P4278" s="27"/>
    </row>
    <row r="4279">
      <c r="A4279" s="14">
        <v>43031.269895833335</v>
      </c>
      <c r="B4279" s="20" t="str">
        <f>HYPERLINK("https://twitter.com/financeworld1","@financeworld1")</f>
        <v>@financeworld1</v>
      </c>
      <c r="C4279" s="21" t="s">
        <v>9899</v>
      </c>
      <c r="D4279" s="21" t="s">
        <v>9900</v>
      </c>
      <c r="E4279" s="22" t="str">
        <f>HYPERLINK("https://twitter.com/financeworld1/status/922454726901411840","922454726901411840")</f>
        <v>922454726901411840</v>
      </c>
      <c r="F4279" s="23" t="s">
        <v>9901</v>
      </c>
      <c r="G4279" s="24">
        <v>2484.0</v>
      </c>
      <c r="H4279" s="24">
        <v>4414.0</v>
      </c>
      <c r="I4279" s="24">
        <v>1.0</v>
      </c>
      <c r="J4279" s="24">
        <v>0.0</v>
      </c>
      <c r="K4279" s="23" t="s">
        <v>34</v>
      </c>
      <c r="L4279" s="25">
        <v>42297.41353009259</v>
      </c>
      <c r="M4279" s="28"/>
      <c r="N4279" s="28"/>
      <c r="O4279" s="22" t="str">
        <f>HYPERLINK("https://pbs.twimg.com/profile_images/657957875130564609/qbGIQ2Te_normal.jpg","View")</f>
        <v>View</v>
      </c>
      <c r="P4279" s="27"/>
    </row>
    <row r="4280">
      <c r="A4280" s="14">
        <v>43031.26991898148</v>
      </c>
      <c r="B4280" s="20" t="str">
        <f>HYPERLINK("https://twitter.com/majjed20142","@majjed20142")</f>
        <v>@majjed20142</v>
      </c>
      <c r="C4280" s="21" t="s">
        <v>9902</v>
      </c>
      <c r="D4280" s="21" t="s">
        <v>9903</v>
      </c>
      <c r="E4280" s="22" t="str">
        <f>HYPERLINK("https://twitter.com/majjed20142/status/922454732123398144","922454732123398144")</f>
        <v>922454732123398144</v>
      </c>
      <c r="F4280" s="23" t="s">
        <v>9904</v>
      </c>
      <c r="G4280" s="24">
        <v>1271.0</v>
      </c>
      <c r="H4280" s="24">
        <v>4609.0</v>
      </c>
      <c r="I4280" s="24">
        <v>0.0</v>
      </c>
      <c r="J4280" s="24">
        <v>0.0</v>
      </c>
      <c r="K4280" s="23" t="s">
        <v>34</v>
      </c>
      <c r="L4280" s="25">
        <v>42304.84857638889</v>
      </c>
      <c r="M4280" s="28"/>
      <c r="N4280" s="28"/>
      <c r="O4280" s="22" t="str">
        <f>HYPERLINK("https://pbs.twimg.com/profile_images/660019078430638080/ll5V8XWW_normal.jpg","View")</f>
        <v>View</v>
      </c>
      <c r="P4280" s="27"/>
    </row>
    <row r="4281">
      <c r="A4281" s="14">
        <v>43031.26998842593</v>
      </c>
      <c r="B4281" s="20" t="str">
        <f>HYPERLINK("https://twitter.com/USAGOLD","@USAGOLD")</f>
        <v>@USAGOLD</v>
      </c>
      <c r="C4281" s="21" t="s">
        <v>9052</v>
      </c>
      <c r="D4281" s="21" t="s">
        <v>9905</v>
      </c>
      <c r="E4281" s="22" t="str">
        <f>HYPERLINK("https://twitter.com/USAGOLD/status/922454758257860608","922454758257860608")</f>
        <v>922454758257860608</v>
      </c>
      <c r="F4281" s="23" t="s">
        <v>769</v>
      </c>
      <c r="G4281" s="24">
        <v>3959.0</v>
      </c>
      <c r="H4281" s="24">
        <v>170.0</v>
      </c>
      <c r="I4281" s="24">
        <v>1.0</v>
      </c>
      <c r="J4281" s="24">
        <v>0.0</v>
      </c>
      <c r="K4281" s="23" t="s">
        <v>34</v>
      </c>
      <c r="L4281" s="25">
        <v>39792.46030092593</v>
      </c>
      <c r="M4281" s="26" t="s">
        <v>9053</v>
      </c>
      <c r="N4281" s="26" t="s">
        <v>9054</v>
      </c>
      <c r="O4281" s="22" t="str">
        <f>HYPERLINK("https://pbs.twimg.com/profile_images/1638967045/usagold_normal.jpg","View")</f>
        <v>View</v>
      </c>
      <c r="P4281" s="27"/>
    </row>
    <row r="4282">
      <c r="A4282" s="14">
        <v>43031.270104166666</v>
      </c>
      <c r="B4282" s="20" t="str">
        <f>HYPERLINK("https://twitter.com/shreyasdaytrade","@shreyasdaytrade")</f>
        <v>@shreyasdaytrade</v>
      </c>
      <c r="C4282" s="21" t="s">
        <v>9906</v>
      </c>
      <c r="D4282" s="21" t="s">
        <v>42</v>
      </c>
      <c r="E4282" s="22" t="str">
        <f>HYPERLINK("https://twitter.com/shreyasdaytrade/status/922454802121945088","922454802121945088")</f>
        <v>922454802121945088</v>
      </c>
      <c r="F4282" s="23" t="s">
        <v>39</v>
      </c>
      <c r="G4282" s="24">
        <v>24.0</v>
      </c>
      <c r="H4282" s="24">
        <v>197.0</v>
      </c>
      <c r="I4282" s="24">
        <v>8501.0</v>
      </c>
      <c r="J4282" s="24">
        <v>0.0</v>
      </c>
      <c r="K4282" s="23" t="s">
        <v>34</v>
      </c>
      <c r="L4282" s="25">
        <v>42300.383981481486</v>
      </c>
      <c r="M4282" s="28"/>
      <c r="N4282" s="28"/>
      <c r="O4282" s="22" t="str">
        <f>HYPERLINK("https://pbs.twimg.com/profile_images/917962936634789889/EAUQuV1J_normal.jpg","View")</f>
        <v>View</v>
      </c>
      <c r="P4282" s="27"/>
    </row>
    <row r="4283">
      <c r="A4283" s="14">
        <v>43031.27024305555</v>
      </c>
      <c r="B4283" s="20" t="str">
        <f>HYPERLINK("https://twitter.com/Somasekharanpi3","@Somasekharanpi3")</f>
        <v>@Somasekharanpi3</v>
      </c>
      <c r="C4283" s="21" t="s">
        <v>9907</v>
      </c>
      <c r="D4283" s="21" t="s">
        <v>42</v>
      </c>
      <c r="E4283" s="22" t="str">
        <f>HYPERLINK("https://twitter.com/Somasekharanpi3/status/922454850486517760","922454850486517760")</f>
        <v>922454850486517760</v>
      </c>
      <c r="F4283" s="23" t="s">
        <v>33</v>
      </c>
      <c r="G4283" s="24">
        <v>0.0</v>
      </c>
      <c r="H4283" s="24">
        <v>2.0</v>
      </c>
      <c r="I4283" s="24">
        <v>8501.0</v>
      </c>
      <c r="J4283" s="24">
        <v>0.0</v>
      </c>
      <c r="K4283" s="23" t="s">
        <v>34</v>
      </c>
      <c r="L4283" s="25">
        <v>42827.8206712963</v>
      </c>
      <c r="M4283" s="28"/>
      <c r="N4283" s="28"/>
      <c r="O4283" s="22" t="str">
        <f>HYPERLINK("https://abs.twimg.com/sticky/default_profile_images/default_profile_normal.png","View")</f>
        <v>View</v>
      </c>
      <c r="P4283" s="27"/>
    </row>
    <row r="4284">
      <c r="A4284" s="14">
        <v>43031.2703125</v>
      </c>
      <c r="B4284" s="20" t="str">
        <f>HYPERLINK("https://twitter.com/UdaySha96007746","@UdaySha96007746")</f>
        <v>@UdaySha96007746</v>
      </c>
      <c r="C4284" s="21" t="s">
        <v>9908</v>
      </c>
      <c r="D4284" s="21" t="s">
        <v>42</v>
      </c>
      <c r="E4284" s="22" t="str">
        <f>HYPERLINK("https://twitter.com/UdaySha96007746/status/922454874922541057","922454874922541057")</f>
        <v>922454874922541057</v>
      </c>
      <c r="F4284" s="23" t="s">
        <v>33</v>
      </c>
      <c r="G4284" s="24">
        <v>2.0</v>
      </c>
      <c r="H4284" s="24">
        <v>69.0</v>
      </c>
      <c r="I4284" s="24">
        <v>8501.0</v>
      </c>
      <c r="J4284" s="24">
        <v>0.0</v>
      </c>
      <c r="K4284" s="23" t="s">
        <v>34</v>
      </c>
      <c r="L4284" s="25">
        <v>43021.790347222224</v>
      </c>
      <c r="M4284" s="26" t="s">
        <v>204</v>
      </c>
      <c r="N4284" s="28"/>
      <c r="O4284" s="22" t="str">
        <f>HYPERLINK("https://pbs.twimg.com/profile_images/921070662013272064/xk72BCrb_normal.jpg","View")</f>
        <v>View</v>
      </c>
      <c r="P4284" s="27"/>
    </row>
    <row r="4285">
      <c r="A4285" s="14">
        <v>43031.27034722222</v>
      </c>
      <c r="B4285" s="20" t="str">
        <f>HYPERLINK("https://twitter.com/SyunsukeOno","@SyunsukeOno")</f>
        <v>@SyunsukeOno</v>
      </c>
      <c r="C4285" s="21" t="s">
        <v>9909</v>
      </c>
      <c r="D4285" s="21" t="s">
        <v>1642</v>
      </c>
      <c r="E4285" s="22" t="str">
        <f>HYPERLINK("https://twitter.com/SyunsukeOno/status/922454890441404416","922454890441404416")</f>
        <v>922454890441404416</v>
      </c>
      <c r="F4285" s="23" t="s">
        <v>39</v>
      </c>
      <c r="G4285" s="24">
        <v>498.0</v>
      </c>
      <c r="H4285" s="24">
        <v>514.0</v>
      </c>
      <c r="I4285" s="24">
        <v>199.0</v>
      </c>
      <c r="J4285" s="24">
        <v>0.0</v>
      </c>
      <c r="K4285" s="23" t="s">
        <v>34</v>
      </c>
      <c r="L4285" s="25">
        <v>40630.967939814815</v>
      </c>
      <c r="M4285" s="26" t="s">
        <v>9910</v>
      </c>
      <c r="N4285" s="26" t="s">
        <v>9911</v>
      </c>
      <c r="O4285" s="22" t="str">
        <f>HYPERLINK("https://pbs.twimg.com/profile_images/780826720693739525/Vg0DLiAT_normal.jpg","View")</f>
        <v>View</v>
      </c>
      <c r="P4285" s="27"/>
    </row>
    <row r="4286">
      <c r="A4286" s="14">
        <v>43031.2704050926</v>
      </c>
      <c r="B4286" s="20" t="str">
        <f>HYPERLINK("https://twitter.com/MathyosAdvisory","@MathyosAdvisory")</f>
        <v>@MathyosAdvisory</v>
      </c>
      <c r="C4286" s="21" t="s">
        <v>9912</v>
      </c>
      <c r="D4286" s="21" t="s">
        <v>42</v>
      </c>
      <c r="E4286" s="22" t="str">
        <f>HYPERLINK("https://twitter.com/MathyosAdvisory/status/922454910574125056","922454910574125056")</f>
        <v>922454910574125056</v>
      </c>
      <c r="F4286" s="23" t="s">
        <v>33</v>
      </c>
      <c r="G4286" s="24">
        <v>839.0</v>
      </c>
      <c r="H4286" s="24">
        <v>4903.0</v>
      </c>
      <c r="I4286" s="24">
        <v>8501.0</v>
      </c>
      <c r="J4286" s="24">
        <v>0.0</v>
      </c>
      <c r="K4286" s="23" t="s">
        <v>34</v>
      </c>
      <c r="L4286" s="25">
        <v>41820.71679398148</v>
      </c>
      <c r="M4286" s="26" t="s">
        <v>853</v>
      </c>
      <c r="N4286" s="26" t="s">
        <v>9913</v>
      </c>
      <c r="O4286" s="22" t="str">
        <f>HYPERLINK("https://pbs.twimg.com/profile_images/495864542098755584/BI_mQxmc_normal.jpeg","View")</f>
        <v>View</v>
      </c>
      <c r="P4286" s="27"/>
    </row>
    <row r="4287">
      <c r="A4287" s="14">
        <v>43031.27043981482</v>
      </c>
      <c r="B4287" s="20" t="str">
        <f>HYPERLINK("https://twitter.com/SendaiIzumi1976","@SendaiIzumi1976")</f>
        <v>@SendaiIzumi1976</v>
      </c>
      <c r="C4287" s="21" t="s">
        <v>9914</v>
      </c>
      <c r="D4287" s="21" t="s">
        <v>42</v>
      </c>
      <c r="E4287" s="22" t="str">
        <f>HYPERLINK("https://twitter.com/SendaiIzumi1976/status/922454922557132803","922454922557132803")</f>
        <v>922454922557132803</v>
      </c>
      <c r="F4287" s="23" t="s">
        <v>33</v>
      </c>
      <c r="G4287" s="24">
        <v>602.0</v>
      </c>
      <c r="H4287" s="24">
        <v>743.0</v>
      </c>
      <c r="I4287" s="24">
        <v>8501.0</v>
      </c>
      <c r="J4287" s="24">
        <v>0.0</v>
      </c>
      <c r="K4287" s="23" t="s">
        <v>34</v>
      </c>
      <c r="L4287" s="25">
        <v>42907.047071759254</v>
      </c>
      <c r="M4287" s="26" t="s">
        <v>9915</v>
      </c>
      <c r="N4287" s="26" t="s">
        <v>9916</v>
      </c>
      <c r="O4287" s="22" t="str">
        <f>HYPERLINK("https://pbs.twimg.com/profile_images/910457003788582912/ov3qcgH6_normal.jpg","View")</f>
        <v>View</v>
      </c>
      <c r="P4287" s="27"/>
    </row>
    <row r="4288">
      <c r="A4288" s="14">
        <v>43031.270578703705</v>
      </c>
      <c r="B4288" s="20" t="str">
        <f>HYPERLINK("https://twitter.com/AshokKSingh13","@AshokKSingh13")</f>
        <v>@AshokKSingh13</v>
      </c>
      <c r="C4288" s="21" t="s">
        <v>9917</v>
      </c>
      <c r="D4288" s="21" t="s">
        <v>9918</v>
      </c>
      <c r="E4288" s="22" t="str">
        <f>HYPERLINK("https://twitter.com/AshokKSingh13/status/922454973803147267","922454973803147267")</f>
        <v>922454973803147267</v>
      </c>
      <c r="F4288" s="23" t="s">
        <v>39</v>
      </c>
      <c r="G4288" s="24">
        <v>317.0</v>
      </c>
      <c r="H4288" s="24">
        <v>95.0</v>
      </c>
      <c r="I4288" s="24">
        <v>62.0</v>
      </c>
      <c r="J4288" s="24">
        <v>0.0</v>
      </c>
      <c r="K4288" s="23" t="s">
        <v>34</v>
      </c>
      <c r="L4288" s="25">
        <v>41503.069814814815</v>
      </c>
      <c r="M4288" s="28"/>
      <c r="N4288" s="26" t="s">
        <v>9919</v>
      </c>
      <c r="O4288" s="22" t="str">
        <f>HYPERLINK("https://pbs.twimg.com/profile_images/851366583435841536/wwKxvTmN_normal.jpg","View")</f>
        <v>View</v>
      </c>
      <c r="P4288" s="27"/>
    </row>
    <row r="4289">
      <c r="A4289" s="14">
        <v>43031.270787037036</v>
      </c>
      <c r="B4289" s="20" t="str">
        <f>HYPERLINK("https://twitter.com/sharmatoshi007","@sharmatoshi007")</f>
        <v>@sharmatoshi007</v>
      </c>
      <c r="C4289" s="21" t="s">
        <v>9920</v>
      </c>
      <c r="D4289" s="21" t="s">
        <v>42</v>
      </c>
      <c r="E4289" s="22" t="str">
        <f>HYPERLINK("https://twitter.com/sharmatoshi007/status/922455048516497410","922455048516497410")</f>
        <v>922455048516497410</v>
      </c>
      <c r="F4289" s="23" t="s">
        <v>33</v>
      </c>
      <c r="G4289" s="24">
        <v>551.0</v>
      </c>
      <c r="H4289" s="24">
        <v>948.0</v>
      </c>
      <c r="I4289" s="24">
        <v>8501.0</v>
      </c>
      <c r="J4289" s="24">
        <v>0.0</v>
      </c>
      <c r="K4289" s="23" t="s">
        <v>34</v>
      </c>
      <c r="L4289" s="25">
        <v>41998.299942129626</v>
      </c>
      <c r="M4289" s="26" t="s">
        <v>9921</v>
      </c>
      <c r="N4289" s="26" t="s">
        <v>9922</v>
      </c>
      <c r="O4289" s="22" t="str">
        <f>HYPERLINK("https://pbs.twimg.com/profile_images/921632702700441600/BP98v36W_normal.jpg","View")</f>
        <v>View</v>
      </c>
      <c r="P4289" s="27"/>
    </row>
    <row r="4290">
      <c r="A4290" s="14">
        <v>43031.270902777775</v>
      </c>
      <c r="B4290" s="20" t="str">
        <f>HYPERLINK("https://twitter.com/jaideepgupta84","@jaideepgupta84")</f>
        <v>@jaideepgupta84</v>
      </c>
      <c r="C4290" s="21" t="s">
        <v>9923</v>
      </c>
      <c r="D4290" s="21" t="s">
        <v>42</v>
      </c>
      <c r="E4290" s="22" t="str">
        <f>HYPERLINK("https://twitter.com/jaideepgupta84/status/922455091923132417","922455091923132417")</f>
        <v>922455091923132417</v>
      </c>
      <c r="F4290" s="23" t="s">
        <v>33</v>
      </c>
      <c r="G4290" s="24">
        <v>22.0</v>
      </c>
      <c r="H4290" s="24">
        <v>84.0</v>
      </c>
      <c r="I4290" s="24">
        <v>8501.0</v>
      </c>
      <c r="J4290" s="24">
        <v>0.0</v>
      </c>
      <c r="K4290" s="23" t="s">
        <v>34</v>
      </c>
      <c r="L4290" s="25">
        <v>40107.209189814814</v>
      </c>
      <c r="M4290" s="26" t="s">
        <v>9924</v>
      </c>
      <c r="N4290" s="28"/>
      <c r="O4290" s="22" t="str">
        <f>HYPERLINK("https://pbs.twimg.com/profile_images/2375142094/bpdndq39dipy4bstnbpi_normal.jpeg","View")</f>
        <v>View</v>
      </c>
      <c r="P4290" s="27"/>
    </row>
    <row r="4291">
      <c r="A4291" s="14">
        <v>43031.27092592593</v>
      </c>
      <c r="B4291" s="20" t="str">
        <f>HYPERLINK("https://twitter.com/TOIWorld","@TOIWorld")</f>
        <v>@TOIWorld</v>
      </c>
      <c r="C4291" s="21" t="s">
        <v>9925</v>
      </c>
      <c r="D4291" s="21" t="s">
        <v>9926</v>
      </c>
      <c r="E4291" s="22" t="str">
        <f>HYPERLINK("https://twitter.com/TOIWorld/status/922455099007426560","922455099007426560")</f>
        <v>922455099007426560</v>
      </c>
      <c r="F4291" s="23" t="s">
        <v>9927</v>
      </c>
      <c r="G4291" s="24">
        <v>53204.0</v>
      </c>
      <c r="H4291" s="24">
        <v>16.0</v>
      </c>
      <c r="I4291" s="24">
        <v>1.0</v>
      </c>
      <c r="J4291" s="24">
        <v>1.0</v>
      </c>
      <c r="K4291" s="23" t="s">
        <v>34</v>
      </c>
      <c r="L4291" s="25">
        <v>39912.15511574074</v>
      </c>
      <c r="M4291" s="28"/>
      <c r="N4291" s="26" t="s">
        <v>9928</v>
      </c>
      <c r="O4291" s="22" t="str">
        <f>HYPERLINK("https://pbs.twimg.com/profile_images/1282408104/icon_512_normal.png","View")</f>
        <v>View</v>
      </c>
      <c r="P4291" s="27"/>
    </row>
    <row r="4292">
      <c r="A4292" s="14">
        <v>43031.271006944444</v>
      </c>
      <c r="B4292" s="20" t="str">
        <f>HYPERLINK("https://twitter.com/FinanzLinksWELT","@FinanzLinksWELT")</f>
        <v>@FinanzLinksWELT</v>
      </c>
      <c r="C4292" s="21" t="s">
        <v>9929</v>
      </c>
      <c r="D4292" s="21" t="s">
        <v>9930</v>
      </c>
      <c r="E4292" s="22" t="str">
        <f>HYPERLINK("https://twitter.com/FinanzLinksWELT/status/922455128396808194","922455128396808194")</f>
        <v>922455128396808194</v>
      </c>
      <c r="F4292" s="30" t="s">
        <v>411</v>
      </c>
      <c r="G4292" s="24">
        <v>1110.0</v>
      </c>
      <c r="H4292" s="24">
        <v>107.0</v>
      </c>
      <c r="I4292" s="24">
        <v>0.0</v>
      </c>
      <c r="J4292" s="24">
        <v>0.0</v>
      </c>
      <c r="K4292" s="23" t="s">
        <v>34</v>
      </c>
      <c r="L4292" s="25">
        <v>41002.07945601852</v>
      </c>
      <c r="M4292" s="28"/>
      <c r="N4292" s="28"/>
      <c r="O4292" s="22" t="str">
        <f>HYPERLINK("https://pbs.twimg.com/profile_images/2663090680/84622704a435b154762becdd7f32396f_normal.png","View")</f>
        <v>View</v>
      </c>
      <c r="P4292" s="27"/>
    </row>
    <row r="4293">
      <c r="A4293" s="14">
        <v>43031.271099537036</v>
      </c>
      <c r="B4293" s="20" t="str">
        <f>HYPERLINK("https://twitter.com/TheNewsGlobe","@TheNewsGlobe")</f>
        <v>@TheNewsGlobe</v>
      </c>
      <c r="C4293" s="21" t="s">
        <v>1836</v>
      </c>
      <c r="D4293" s="21" t="s">
        <v>9931</v>
      </c>
      <c r="E4293" s="22" t="str">
        <f>HYPERLINK("https://twitter.com/TheNewsGlobe/status/922455160374341632","922455160374341632")</f>
        <v>922455160374341632</v>
      </c>
      <c r="F4293" s="23" t="s">
        <v>1836</v>
      </c>
      <c r="G4293" s="24">
        <v>2712.0</v>
      </c>
      <c r="H4293" s="24">
        <v>1771.0</v>
      </c>
      <c r="I4293" s="24">
        <v>0.0</v>
      </c>
      <c r="J4293" s="24">
        <v>0.0</v>
      </c>
      <c r="K4293" s="23" t="s">
        <v>34</v>
      </c>
      <c r="L4293" s="25">
        <v>41092.105520833335</v>
      </c>
      <c r="M4293" s="28"/>
      <c r="N4293" s="26" t="s">
        <v>1838</v>
      </c>
      <c r="O4293" s="22" t="str">
        <f>HYPERLINK("https://pbs.twimg.com/profile_images/2360227980/lvt33yxxfyarwobshu9k_normal.jpeg","View")</f>
        <v>View</v>
      </c>
      <c r="P4293" s="27"/>
    </row>
    <row r="4294">
      <c r="A4294" s="14">
        <v>43031.27118055556</v>
      </c>
      <c r="B4294" s="20" t="str">
        <f>HYPERLINK("https://twitter.com/KeskinenIL","@KeskinenIL")</f>
        <v>@KeskinenIL</v>
      </c>
      <c r="C4294" s="21" t="s">
        <v>9932</v>
      </c>
      <c r="D4294" s="21" t="s">
        <v>9810</v>
      </c>
      <c r="E4294" s="22" t="str">
        <f>HYPERLINK("https://twitter.com/KeskinenIL/status/922455190049120256","922455190049120256")</f>
        <v>922455190049120256</v>
      </c>
      <c r="F4294" s="23" t="s">
        <v>55</v>
      </c>
      <c r="G4294" s="24">
        <v>3221.0</v>
      </c>
      <c r="H4294" s="24">
        <v>870.0</v>
      </c>
      <c r="I4294" s="24">
        <v>4.0</v>
      </c>
      <c r="J4294" s="24">
        <v>0.0</v>
      </c>
      <c r="K4294" s="23" t="s">
        <v>34</v>
      </c>
      <c r="L4294" s="25">
        <v>41752.49408564815</v>
      </c>
      <c r="M4294" s="26" t="s">
        <v>9933</v>
      </c>
      <c r="N4294" s="26" t="s">
        <v>9934</v>
      </c>
      <c r="O4294" s="22" t="str">
        <f>HYPERLINK("https://pbs.twimg.com/profile_images/459043072349700096/ziFUMbKR_normal.jpeg","View")</f>
        <v>View</v>
      </c>
      <c r="P4294" s="27"/>
    </row>
    <row r="4295">
      <c r="A4295" s="14">
        <v>43031.27121527778</v>
      </c>
      <c r="B4295" s="20" t="str">
        <f>HYPERLINK("https://twitter.com/nmitch","@nmitch")</f>
        <v>@nmitch</v>
      </c>
      <c r="C4295" s="21" t="s">
        <v>9935</v>
      </c>
      <c r="D4295" s="21" t="s">
        <v>9936</v>
      </c>
      <c r="E4295" s="22" t="str">
        <f>HYPERLINK("https://twitter.com/nmitch/status/922455203764490240","922455203764490240")</f>
        <v>922455203764490240</v>
      </c>
      <c r="F4295" s="23" t="s">
        <v>427</v>
      </c>
      <c r="G4295" s="24">
        <v>8123.0</v>
      </c>
      <c r="H4295" s="24">
        <v>8545.0</v>
      </c>
      <c r="I4295" s="24">
        <v>0.0</v>
      </c>
      <c r="J4295" s="24">
        <v>0.0</v>
      </c>
      <c r="K4295" s="23" t="s">
        <v>34</v>
      </c>
      <c r="L4295" s="25">
        <v>39534.56783564815</v>
      </c>
      <c r="M4295" s="26" t="s">
        <v>905</v>
      </c>
      <c r="N4295" s="26" t="s">
        <v>9937</v>
      </c>
      <c r="O4295" s="22" t="str">
        <f>HYPERLINK("https://pbs.twimg.com/profile_images/2625325828/mana940nu3nkv3pi3dg0_normal.png","View")</f>
        <v>View</v>
      </c>
      <c r="P4295" s="27"/>
    </row>
    <row r="4296">
      <c r="A4296" s="14">
        <v>43031.27134259259</v>
      </c>
      <c r="B4296" s="20" t="str">
        <f>HYPERLINK("https://twitter.com/Social_Media_a5","@Social_Media_a5")</f>
        <v>@Social_Media_a5</v>
      </c>
      <c r="C4296" s="21" t="s">
        <v>425</v>
      </c>
      <c r="D4296" s="21" t="s">
        <v>9938</v>
      </c>
      <c r="E4296" s="22" t="str">
        <f>HYPERLINK("https://twitter.com/Social_Media_a5/status/922455249952165888","922455249952165888")</f>
        <v>922455249952165888</v>
      </c>
      <c r="F4296" s="23" t="s">
        <v>427</v>
      </c>
      <c r="G4296" s="24">
        <v>5874.0</v>
      </c>
      <c r="H4296" s="24">
        <v>5990.0</v>
      </c>
      <c r="I4296" s="24">
        <v>0.0</v>
      </c>
      <c r="J4296" s="24">
        <v>0.0</v>
      </c>
      <c r="K4296" s="23" t="s">
        <v>34</v>
      </c>
      <c r="L4296" s="25">
        <v>42349.77346064815</v>
      </c>
      <c r="M4296" s="28"/>
      <c r="N4296" s="26" t="s">
        <v>428</v>
      </c>
      <c r="O4296" s="22" t="str">
        <f>HYPERLINK("https://pbs.twimg.com/profile_images/858601654098083841/VMggQGH-_normal.jpg","View")</f>
        <v>View</v>
      </c>
      <c r="P4296" s="27"/>
    </row>
    <row r="4297">
      <c r="A4297" s="14">
        <v>43031.27135416667</v>
      </c>
      <c r="B4297" s="20" t="str">
        <f>HYPERLINK("https://twitter.com/DylanHunt2017","@DylanHunt2017")</f>
        <v>@DylanHunt2017</v>
      </c>
      <c r="C4297" s="21" t="s">
        <v>9939</v>
      </c>
      <c r="D4297" s="21" t="s">
        <v>9940</v>
      </c>
      <c r="E4297" s="22" t="str">
        <f>HYPERLINK("https://twitter.com/DylanHunt2017/status/922455252053446657","922455252053446657")</f>
        <v>922455252053446657</v>
      </c>
      <c r="F4297" s="23" t="s">
        <v>33</v>
      </c>
      <c r="G4297" s="24">
        <v>8384.0</v>
      </c>
      <c r="H4297" s="24">
        <v>8790.0</v>
      </c>
      <c r="I4297" s="24">
        <v>27.0</v>
      </c>
      <c r="J4297" s="24">
        <v>0.0</v>
      </c>
      <c r="K4297" s="23" t="s">
        <v>34</v>
      </c>
      <c r="L4297" s="25">
        <v>40263.40834490741</v>
      </c>
      <c r="M4297" s="26" t="s">
        <v>9941</v>
      </c>
      <c r="N4297" s="26" t="s">
        <v>9942</v>
      </c>
      <c r="O4297" s="22" t="str">
        <f>HYPERLINK("https://pbs.twimg.com/profile_images/920698387166629888/P8gG594O_normal.jpg","View")</f>
        <v>View</v>
      </c>
      <c r="P4297" s="27"/>
    </row>
    <row r="4298">
      <c r="A4298" s="14">
        <v>43031.271365740744</v>
      </c>
      <c r="B4298" s="20" t="str">
        <f>HYPERLINK("https://twitter.com/Social_Media_f3","@Social_Media_f3")</f>
        <v>@Social_Media_f3</v>
      </c>
      <c r="C4298" s="21" t="s">
        <v>437</v>
      </c>
      <c r="D4298" s="21" t="s">
        <v>9943</v>
      </c>
      <c r="E4298" s="22" t="str">
        <f>HYPERLINK("https://twitter.com/Social_Media_f3/status/922455256872767488","922455256872767488")</f>
        <v>922455256872767488</v>
      </c>
      <c r="F4298" s="23" t="s">
        <v>427</v>
      </c>
      <c r="G4298" s="24">
        <v>13875.0</v>
      </c>
      <c r="H4298" s="24">
        <v>13574.0</v>
      </c>
      <c r="I4298" s="24">
        <v>0.0</v>
      </c>
      <c r="J4298" s="24">
        <v>0.0</v>
      </c>
      <c r="K4298" s="23" t="s">
        <v>34</v>
      </c>
      <c r="L4298" s="25">
        <v>42261.14559027778</v>
      </c>
      <c r="M4298" s="28"/>
      <c r="N4298" s="26" t="s">
        <v>439</v>
      </c>
      <c r="O4298" s="22" t="str">
        <f>HYPERLINK("https://pbs.twimg.com/profile_images/859707448764100608/chxzN7x7_normal.jpg","View")</f>
        <v>View</v>
      </c>
      <c r="P4298" s="27"/>
    </row>
    <row r="4299">
      <c r="A4299" s="14">
        <v>43031.27137731481</v>
      </c>
      <c r="B4299" s="20" t="str">
        <f>HYPERLINK("https://twitter.com/Social_Media_e6","@Social_Media_e6")</f>
        <v>@Social_Media_e6</v>
      </c>
      <c r="C4299" s="21" t="s">
        <v>443</v>
      </c>
      <c r="D4299" s="21" t="s">
        <v>9944</v>
      </c>
      <c r="E4299" s="22" t="str">
        <f>HYPERLINK("https://twitter.com/Social_Media_e6/status/922455263654895616","922455263654895616")</f>
        <v>922455263654895616</v>
      </c>
      <c r="F4299" s="23" t="s">
        <v>427</v>
      </c>
      <c r="G4299" s="24">
        <v>5144.0</v>
      </c>
      <c r="H4299" s="24">
        <v>5494.0</v>
      </c>
      <c r="I4299" s="24">
        <v>0.0</v>
      </c>
      <c r="J4299" s="24">
        <v>0.0</v>
      </c>
      <c r="K4299" s="23" t="s">
        <v>34</v>
      </c>
      <c r="L4299" s="25">
        <v>42355.51105324074</v>
      </c>
      <c r="M4299" s="28"/>
      <c r="N4299" s="26" t="s">
        <v>445</v>
      </c>
      <c r="O4299" s="22" t="str">
        <f>HYPERLINK("https://pbs.twimg.com/profile_images/871235235211431936/ICOAHuwW_normal.jpg","View")</f>
        <v>View</v>
      </c>
      <c r="P4299" s="27"/>
    </row>
    <row r="4300">
      <c r="A4300" s="14">
        <v>43031.2716087963</v>
      </c>
      <c r="B4300" s="20" t="str">
        <f>HYPERLINK("https://twitter.com/dehydratedpaani","@dehydratedpaani")</f>
        <v>@dehydratedpaani</v>
      </c>
      <c r="C4300" s="21" t="s">
        <v>9945</v>
      </c>
      <c r="D4300" s="21" t="s">
        <v>8665</v>
      </c>
      <c r="E4300" s="22" t="str">
        <f>HYPERLINK("https://twitter.com/dehydratedpaani/status/922455346546745344","922455346546745344")</f>
        <v>922455346546745344</v>
      </c>
      <c r="F4300" s="23" t="s">
        <v>55</v>
      </c>
      <c r="G4300" s="24">
        <v>999.0</v>
      </c>
      <c r="H4300" s="24">
        <v>245.0</v>
      </c>
      <c r="I4300" s="24">
        <v>67.0</v>
      </c>
      <c r="J4300" s="24">
        <v>0.0</v>
      </c>
      <c r="K4300" s="23" t="s">
        <v>34</v>
      </c>
      <c r="L4300" s="25">
        <v>40598.278715277775</v>
      </c>
      <c r="M4300" s="28"/>
      <c r="N4300" s="26" t="s">
        <v>9946</v>
      </c>
      <c r="O4300" s="22" t="str">
        <f>HYPERLINK("https://pbs.twimg.com/profile_images/906945011975036928/NXaxOUBj_normal.jpg","View")</f>
        <v>View</v>
      </c>
      <c r="P4300" s="27"/>
    </row>
    <row r="4301">
      <c r="A4301" s="14">
        <v>43031.271631944444</v>
      </c>
      <c r="B4301" s="20" t="str">
        <f>HYPERLINK("https://twitter.com/Stormtroepen","@Stormtroepen")</f>
        <v>@Stormtroepen</v>
      </c>
      <c r="C4301" s="21" t="s">
        <v>9947</v>
      </c>
      <c r="D4301" s="21" t="s">
        <v>9948</v>
      </c>
      <c r="E4301" s="22" t="str">
        <f>HYPERLINK("https://twitter.com/Stormtroepen/status/922455353878564869","922455353878564869")</f>
        <v>922455353878564869</v>
      </c>
      <c r="F4301" s="23" t="s">
        <v>33</v>
      </c>
      <c r="G4301" s="24">
        <v>2120.0</v>
      </c>
      <c r="H4301" s="24">
        <v>1741.0</v>
      </c>
      <c r="I4301" s="24">
        <v>1.0</v>
      </c>
      <c r="J4301" s="24">
        <v>0.0</v>
      </c>
      <c r="K4301" s="23" t="s">
        <v>34</v>
      </c>
      <c r="L4301" s="25">
        <v>40430.120624999996</v>
      </c>
      <c r="M4301" s="28"/>
      <c r="N4301" s="26" t="s">
        <v>9949</v>
      </c>
      <c r="O4301" s="22" t="str">
        <f>HYPERLINK("https://pbs.twimg.com/profile_images/842292490954772480/IsTQ84ns_normal.jpg","View")</f>
        <v>View</v>
      </c>
      <c r="P4301" s="27"/>
    </row>
    <row r="4302">
      <c r="A4302" s="14">
        <v>43031.271643518514</v>
      </c>
      <c r="B4302" s="20" t="str">
        <f>HYPERLINK("https://twitter.com/george_9925","@george_9925")</f>
        <v>@george_9925</v>
      </c>
      <c r="C4302" s="21" t="s">
        <v>9950</v>
      </c>
      <c r="D4302" s="21" t="s">
        <v>5262</v>
      </c>
      <c r="E4302" s="22" t="str">
        <f>HYPERLINK("https://twitter.com/george_9925/status/922455358962126848","922455358962126848")</f>
        <v>922455358962126848</v>
      </c>
      <c r="F4302" s="23" t="s">
        <v>39</v>
      </c>
      <c r="G4302" s="24">
        <v>1526.0</v>
      </c>
      <c r="H4302" s="24">
        <v>2406.0</v>
      </c>
      <c r="I4302" s="24">
        <v>22.0</v>
      </c>
      <c r="J4302" s="24">
        <v>0.0</v>
      </c>
      <c r="K4302" s="23" t="s">
        <v>34</v>
      </c>
      <c r="L4302" s="25">
        <v>40421.43763888889</v>
      </c>
      <c r="M4302" s="26" t="s">
        <v>9951</v>
      </c>
      <c r="N4302" s="26" t="s">
        <v>9952</v>
      </c>
      <c r="O4302" s="22" t="str">
        <f>HYPERLINK("https://pbs.twimg.com/profile_images/811609947582631937/2LS0CEeq_normal.jpg","View")</f>
        <v>View</v>
      </c>
      <c r="P4302" s="27"/>
    </row>
    <row r="4303">
      <c r="A4303" s="14">
        <v>43031.27173611111</v>
      </c>
      <c r="B4303" s="20" t="str">
        <f>HYPERLINK("https://twitter.com/NewsDingo","@NewsDingo")</f>
        <v>@NewsDingo</v>
      </c>
      <c r="C4303" s="21" t="s">
        <v>3313</v>
      </c>
      <c r="D4303" s="21" t="s">
        <v>9953</v>
      </c>
      <c r="E4303" s="22" t="str">
        <f>HYPERLINK("https://twitter.com/NewsDingo/status/922455393388892160","922455393388892160")</f>
        <v>922455393388892160</v>
      </c>
      <c r="F4303" s="23" t="s">
        <v>3315</v>
      </c>
      <c r="G4303" s="24">
        <v>140.0</v>
      </c>
      <c r="H4303" s="24">
        <v>55.0</v>
      </c>
      <c r="I4303" s="24">
        <v>0.0</v>
      </c>
      <c r="J4303" s="24">
        <v>0.0</v>
      </c>
      <c r="K4303" s="23" t="s">
        <v>34</v>
      </c>
      <c r="L4303" s="25">
        <v>40282.52636574074</v>
      </c>
      <c r="M4303" s="26" t="s">
        <v>3316</v>
      </c>
      <c r="N4303" s="26" t="s">
        <v>3317</v>
      </c>
      <c r="O4303" s="22" t="str">
        <f>HYPERLINK("https://pbs.twimg.com/profile_images/823485261/news_dingo_48_normal.gif","View")</f>
        <v>View</v>
      </c>
      <c r="P4303" s="27"/>
    </row>
    <row r="4304">
      <c r="A4304" s="14">
        <v>43031.27175925926</v>
      </c>
      <c r="B4304" s="20" t="str">
        <f>HYPERLINK("https://twitter.com/Praveen77113217","@Praveen77113217")</f>
        <v>@Praveen77113217</v>
      </c>
      <c r="C4304" s="21" t="s">
        <v>9954</v>
      </c>
      <c r="D4304" s="21" t="s">
        <v>42</v>
      </c>
      <c r="E4304" s="22" t="str">
        <f>HYPERLINK("https://twitter.com/Praveen77113217/status/922455399025950721","922455399025950721")</f>
        <v>922455399025950721</v>
      </c>
      <c r="F4304" s="23" t="s">
        <v>39</v>
      </c>
      <c r="G4304" s="24">
        <v>14.0</v>
      </c>
      <c r="H4304" s="24">
        <v>38.0</v>
      </c>
      <c r="I4304" s="24">
        <v>8501.0</v>
      </c>
      <c r="J4304" s="24">
        <v>0.0</v>
      </c>
      <c r="K4304" s="23" t="s">
        <v>34</v>
      </c>
      <c r="L4304" s="25">
        <v>42966.44956018518</v>
      </c>
      <c r="M4304" s="26" t="s">
        <v>575</v>
      </c>
      <c r="N4304" s="26" t="s">
        <v>9955</v>
      </c>
      <c r="O4304" s="22" t="str">
        <f>HYPERLINK("https://pbs.twimg.com/profile_images/905464362625753088/6HjY7HE6_normal.jpg","View")</f>
        <v>View</v>
      </c>
      <c r="P4304" s="27"/>
    </row>
    <row r="4305">
      <c r="A4305" s="14">
        <v>43031.27180555556</v>
      </c>
      <c r="B4305" s="20" t="str">
        <f>HYPERLINK("https://twitter.com/chitraspapa","@chitraspapa")</f>
        <v>@chitraspapa</v>
      </c>
      <c r="C4305" s="21" t="s">
        <v>9956</v>
      </c>
      <c r="D4305" s="21" t="s">
        <v>42</v>
      </c>
      <c r="E4305" s="22" t="str">
        <f>HYPERLINK("https://twitter.com/chitraspapa/status/922455415731863552","922455415731863552")</f>
        <v>922455415731863552</v>
      </c>
      <c r="F4305" s="23" t="s">
        <v>33</v>
      </c>
      <c r="G4305" s="24">
        <v>105.0</v>
      </c>
      <c r="H4305" s="24">
        <v>59.0</v>
      </c>
      <c r="I4305" s="24">
        <v>8501.0</v>
      </c>
      <c r="J4305" s="24">
        <v>0.0</v>
      </c>
      <c r="K4305" s="23" t="s">
        <v>34</v>
      </c>
      <c r="L4305" s="25">
        <v>41001.12287037037</v>
      </c>
      <c r="M4305" s="28"/>
      <c r="N4305" s="26" t="s">
        <v>9957</v>
      </c>
      <c r="O4305" s="22" t="str">
        <f>HYPERLINK("https://pbs.twimg.com/profile_images/842083709159366660/X0m3UHdB_normal.jpg","View")</f>
        <v>View</v>
      </c>
      <c r="P4305" s="27"/>
    </row>
    <row r="4306">
      <c r="A4306" s="14">
        <v>43031.27180555556</v>
      </c>
      <c r="B4306" s="20" t="str">
        <f>HYPERLINK("https://twitter.com/anilshukla_1986","@anilshukla_1986")</f>
        <v>@anilshukla_1986</v>
      </c>
      <c r="C4306" s="21" t="s">
        <v>9958</v>
      </c>
      <c r="D4306" s="21" t="s">
        <v>42</v>
      </c>
      <c r="E4306" s="22" t="str">
        <f>HYPERLINK("https://twitter.com/anilshukla_1986/status/922455418286174209","922455418286174209")</f>
        <v>922455418286174209</v>
      </c>
      <c r="F4306" s="23" t="s">
        <v>33</v>
      </c>
      <c r="G4306" s="24">
        <v>1141.0</v>
      </c>
      <c r="H4306" s="24">
        <v>1146.0</v>
      </c>
      <c r="I4306" s="24">
        <v>8501.0</v>
      </c>
      <c r="J4306" s="24">
        <v>0.0</v>
      </c>
      <c r="K4306" s="23" t="s">
        <v>34</v>
      </c>
      <c r="L4306" s="25">
        <v>42134.115393518514</v>
      </c>
      <c r="M4306" s="26" t="s">
        <v>5241</v>
      </c>
      <c r="N4306" s="26" t="s">
        <v>9959</v>
      </c>
      <c r="O4306" s="22" t="str">
        <f>HYPERLINK("https://pbs.twimg.com/profile_images/819234951929282561/bIRhJ1a8_normal.jpg","View")</f>
        <v>View</v>
      </c>
      <c r="P4306" s="27"/>
    </row>
    <row r="4307">
      <c r="A4307" s="14">
        <v>43031.271898148145</v>
      </c>
      <c r="B4307" s="20" t="str">
        <f>HYPERLINK("https://twitter.com/smart_mehta","@smart_mehta")</f>
        <v>@smart_mehta</v>
      </c>
      <c r="C4307" s="21" t="s">
        <v>9960</v>
      </c>
      <c r="D4307" s="21" t="s">
        <v>42</v>
      </c>
      <c r="E4307" s="22" t="str">
        <f>HYPERLINK("https://twitter.com/smart_mehta/status/922455449332535296","922455449332535296")</f>
        <v>922455449332535296</v>
      </c>
      <c r="F4307" s="23" t="s">
        <v>39</v>
      </c>
      <c r="G4307" s="24">
        <v>67.0</v>
      </c>
      <c r="H4307" s="24">
        <v>385.0</v>
      </c>
      <c r="I4307" s="24">
        <v>8501.0</v>
      </c>
      <c r="J4307" s="24">
        <v>0.0</v>
      </c>
      <c r="K4307" s="23" t="s">
        <v>34</v>
      </c>
      <c r="L4307" s="25">
        <v>40234.65454861111</v>
      </c>
      <c r="M4307" s="26" t="s">
        <v>9961</v>
      </c>
      <c r="N4307" s="26" t="s">
        <v>9962</v>
      </c>
      <c r="O4307" s="22" t="str">
        <f>HYPERLINK("https://pbs.twimg.com/profile_images/810994768251617280/ZpUe5Azk_normal.jpg","View")</f>
        <v>View</v>
      </c>
      <c r="P4307" s="27"/>
    </row>
    <row r="4308">
      <c r="A4308" s="14">
        <v>43031.27190972222</v>
      </c>
      <c r="B4308" s="20" t="str">
        <f>HYPERLINK("https://twitter.com/KeskinenIL","@KeskinenIL")</f>
        <v>@KeskinenIL</v>
      </c>
      <c r="C4308" s="21" t="s">
        <v>9932</v>
      </c>
      <c r="D4308" s="21" t="s">
        <v>9963</v>
      </c>
      <c r="E4308" s="22" t="str">
        <f>HYPERLINK("https://twitter.com/KeskinenIL/status/922455454403489792","922455454403489792")</f>
        <v>922455454403489792</v>
      </c>
      <c r="F4308" s="23" t="s">
        <v>55</v>
      </c>
      <c r="G4308" s="24">
        <v>3221.0</v>
      </c>
      <c r="H4308" s="24">
        <v>870.0</v>
      </c>
      <c r="I4308" s="24">
        <v>0.0</v>
      </c>
      <c r="J4308" s="24">
        <v>0.0</v>
      </c>
      <c r="K4308" s="23" t="s">
        <v>34</v>
      </c>
      <c r="L4308" s="25">
        <v>41752.49408564815</v>
      </c>
      <c r="M4308" s="26" t="s">
        <v>9933</v>
      </c>
      <c r="N4308" s="26" t="s">
        <v>9934</v>
      </c>
      <c r="O4308" s="22" t="str">
        <f>HYPERLINK("https://pbs.twimg.com/profile_images/459043072349700096/ziFUMbKR_normal.jpeg","View")</f>
        <v>View</v>
      </c>
      <c r="P4308" s="27"/>
    </row>
    <row r="4309">
      <c r="A4309" s="14">
        <v>43031.27190972222</v>
      </c>
      <c r="B4309" s="20" t="str">
        <f>HYPERLINK("https://twitter.com/MediaFlood","@MediaFlood")</f>
        <v>@MediaFlood</v>
      </c>
      <c r="C4309" s="21" t="s">
        <v>9964</v>
      </c>
      <c r="D4309" s="21" t="s">
        <v>9965</v>
      </c>
      <c r="E4309" s="22" t="str">
        <f>HYPERLINK("https://twitter.com/MediaFlood/status/922455455401725953","922455455401725953")</f>
        <v>922455455401725953</v>
      </c>
      <c r="F4309" s="23" t="s">
        <v>9964</v>
      </c>
      <c r="G4309" s="24">
        <v>227.0</v>
      </c>
      <c r="H4309" s="24">
        <v>1.0</v>
      </c>
      <c r="I4309" s="24">
        <v>0.0</v>
      </c>
      <c r="J4309" s="24">
        <v>0.0</v>
      </c>
      <c r="K4309" s="23" t="s">
        <v>34</v>
      </c>
      <c r="L4309" s="25">
        <v>40119.60537037037</v>
      </c>
      <c r="M4309" s="28"/>
      <c r="N4309" s="26" t="s">
        <v>9966</v>
      </c>
      <c r="O4309" s="22" t="str">
        <f>HYPERLINK("https://pbs.twimg.com/profile_images/633937938548547584/wUFigLVm_normal.png","View")</f>
        <v>View</v>
      </c>
      <c r="P4309" s="27"/>
    </row>
    <row r="4310">
      <c r="A4310" s="14">
        <v>43031.27197916667</v>
      </c>
      <c r="B4310" s="20" t="str">
        <f>HYPERLINK("https://twitter.com/Kaede_Doumyozi","@Kaede_Doumyozi")</f>
        <v>@Kaede_Doumyozi</v>
      </c>
      <c r="C4310" s="21" t="s">
        <v>9967</v>
      </c>
      <c r="D4310" s="21" t="s">
        <v>42</v>
      </c>
      <c r="E4310" s="22" t="str">
        <f>HYPERLINK("https://twitter.com/Kaede_Doumyozi/status/922455481443958790","922455481443958790")</f>
        <v>922455481443958790</v>
      </c>
      <c r="F4310" s="23" t="s">
        <v>33</v>
      </c>
      <c r="G4310" s="24">
        <v>346.0</v>
      </c>
      <c r="H4310" s="24">
        <v>388.0</v>
      </c>
      <c r="I4310" s="24">
        <v>8501.0</v>
      </c>
      <c r="J4310" s="24">
        <v>0.0</v>
      </c>
      <c r="K4310" s="23" t="s">
        <v>34</v>
      </c>
      <c r="L4310" s="25">
        <v>42324.91222222222</v>
      </c>
      <c r="M4310" s="28"/>
      <c r="N4310" s="28"/>
      <c r="O4310" s="22" t="str">
        <f>HYPERLINK("https://pbs.twimg.com/profile_images/694172243232821248/2fwrk-9p_normal.jpg","View")</f>
        <v>View</v>
      </c>
      <c r="P4310" s="27"/>
    </row>
    <row r="4311">
      <c r="A4311" s="14">
        <v>43031.272002314814</v>
      </c>
      <c r="B4311" s="20" t="str">
        <f>HYPERLINK("https://twitter.com/MadhupMohta","@MadhupMohta")</f>
        <v>@MadhupMohta</v>
      </c>
      <c r="C4311" s="21" t="s">
        <v>9968</v>
      </c>
      <c r="D4311" s="21" t="s">
        <v>42</v>
      </c>
      <c r="E4311" s="22" t="str">
        <f>HYPERLINK("https://twitter.com/MadhupMohta/status/922455490197561347","922455490197561347")</f>
        <v>922455490197561347</v>
      </c>
      <c r="F4311" s="23" t="s">
        <v>39</v>
      </c>
      <c r="G4311" s="24">
        <v>418.0</v>
      </c>
      <c r="H4311" s="24">
        <v>662.0</v>
      </c>
      <c r="I4311" s="24">
        <v>8501.0</v>
      </c>
      <c r="J4311" s="24">
        <v>0.0</v>
      </c>
      <c r="K4311" s="23" t="s">
        <v>34</v>
      </c>
      <c r="L4311" s="25">
        <v>40589.5438425926</v>
      </c>
      <c r="M4311" s="26" t="s">
        <v>164</v>
      </c>
      <c r="N4311" s="26" t="s">
        <v>9969</v>
      </c>
      <c r="O4311" s="22" t="str">
        <f>HYPERLINK("https://pbs.twimg.com/profile_images/726469893432942594/jDy-PMdb_normal.jpg","View")</f>
        <v>View</v>
      </c>
      <c r="P4311" s="27"/>
    </row>
    <row r="4312">
      <c r="A4312" s="14">
        <v>43031.27204861111</v>
      </c>
      <c r="B4312" s="20" t="str">
        <f>HYPERLINK("https://twitter.com/looker_89","@looker_89")</f>
        <v>@looker_89</v>
      </c>
      <c r="C4312" s="21" t="s">
        <v>9970</v>
      </c>
      <c r="D4312" s="21" t="s">
        <v>42</v>
      </c>
      <c r="E4312" s="22" t="str">
        <f>HYPERLINK("https://twitter.com/looker_89/status/922455504466493440","922455504466493440")</f>
        <v>922455504466493440</v>
      </c>
      <c r="F4312" s="23" t="s">
        <v>33</v>
      </c>
      <c r="G4312" s="24">
        <v>19.0</v>
      </c>
      <c r="H4312" s="24">
        <v>53.0</v>
      </c>
      <c r="I4312" s="24">
        <v>8501.0</v>
      </c>
      <c r="J4312" s="24">
        <v>0.0</v>
      </c>
      <c r="K4312" s="23" t="s">
        <v>34</v>
      </c>
      <c r="L4312" s="25">
        <v>40667.009097222224</v>
      </c>
      <c r="M4312" s="28"/>
      <c r="N4312" s="28"/>
      <c r="O4312" s="22" t="str">
        <f>HYPERLINK("https://abs.twimg.com/sticky/default_profile_images/default_profile_normal.png","View")</f>
        <v>View</v>
      </c>
      <c r="P4312" s="27"/>
    </row>
    <row r="4313">
      <c r="A4313" s="14">
        <v>43031.27207175926</v>
      </c>
      <c r="B4313" s="20" t="str">
        <f>HYPERLINK("https://twitter.com/Admiralowen","@Admiralowen")</f>
        <v>@Admiralowen</v>
      </c>
      <c r="C4313" s="21" t="s">
        <v>9971</v>
      </c>
      <c r="D4313" s="21" t="s">
        <v>9972</v>
      </c>
      <c r="E4313" s="22" t="str">
        <f>HYPERLINK("https://twitter.com/Admiralowen/status/922455512129646593","922455512129646593")</f>
        <v>922455512129646593</v>
      </c>
      <c r="F4313" s="23" t="s">
        <v>55</v>
      </c>
      <c r="G4313" s="24">
        <v>1039.0</v>
      </c>
      <c r="H4313" s="24">
        <v>1509.0</v>
      </c>
      <c r="I4313" s="24">
        <v>0.0</v>
      </c>
      <c r="J4313" s="24">
        <v>0.0</v>
      </c>
      <c r="K4313" s="23" t="s">
        <v>34</v>
      </c>
      <c r="L4313" s="25">
        <v>39582.56699074074</v>
      </c>
      <c r="M4313" s="26" t="s">
        <v>9973</v>
      </c>
      <c r="N4313" s="26" t="s">
        <v>9974</v>
      </c>
      <c r="O4313" s="22" t="str">
        <f>HYPERLINK("https://pbs.twimg.com/profile_images/808017084353388544/BYWjSZFC_normal.png","View")</f>
        <v>View</v>
      </c>
      <c r="P4313" s="27"/>
    </row>
    <row r="4314">
      <c r="A4314" s="14">
        <v>43031.27229166667</v>
      </c>
      <c r="B4314" s="20" t="str">
        <f>HYPERLINK("https://twitter.com/kanaram190","@kanaram190")</f>
        <v>@kanaram190</v>
      </c>
      <c r="C4314" s="21" t="s">
        <v>9975</v>
      </c>
      <c r="D4314" s="21" t="s">
        <v>42</v>
      </c>
      <c r="E4314" s="22" t="str">
        <f>HYPERLINK("https://twitter.com/kanaram190/status/922455594488885249","922455594488885249")</f>
        <v>922455594488885249</v>
      </c>
      <c r="F4314" s="23" t="s">
        <v>43</v>
      </c>
      <c r="G4314" s="24">
        <v>136.0</v>
      </c>
      <c r="H4314" s="24">
        <v>199.0</v>
      </c>
      <c r="I4314" s="24">
        <v>8501.0</v>
      </c>
      <c r="J4314" s="24">
        <v>0.0</v>
      </c>
      <c r="K4314" s="23" t="s">
        <v>34</v>
      </c>
      <c r="L4314" s="25">
        <v>41549.387835648144</v>
      </c>
      <c r="M4314" s="28"/>
      <c r="N4314" s="26" t="s">
        <v>9976</v>
      </c>
      <c r="O4314" s="22" t="str">
        <f>HYPERLINK("https://pbs.twimg.com/profile_images/431055160589049856/hwKfuGkA_normal.jpeg","View")</f>
        <v>View</v>
      </c>
      <c r="P4314" s="27"/>
    </row>
    <row r="4315">
      <c r="A4315" s="14">
        <v>43031.27240740741</v>
      </c>
      <c r="B4315" s="20" t="str">
        <f>HYPERLINK("https://twitter.com/AdEffectors","@AdEffectors")</f>
        <v>@AdEffectors</v>
      </c>
      <c r="C4315" s="21" t="s">
        <v>9977</v>
      </c>
      <c r="D4315" s="21" t="s">
        <v>9978</v>
      </c>
      <c r="E4315" s="22" t="str">
        <f>HYPERLINK("https://twitter.com/AdEffectors/status/922455634703925249","922455634703925249")</f>
        <v>922455634703925249</v>
      </c>
      <c r="F4315" s="23" t="s">
        <v>33</v>
      </c>
      <c r="G4315" s="24">
        <v>98.0</v>
      </c>
      <c r="H4315" s="24">
        <v>694.0</v>
      </c>
      <c r="I4315" s="24">
        <v>3.0</v>
      </c>
      <c r="J4315" s="24">
        <v>0.0</v>
      </c>
      <c r="K4315" s="23" t="s">
        <v>34</v>
      </c>
      <c r="L4315" s="25">
        <v>42837.21128472222</v>
      </c>
      <c r="M4315" s="28"/>
      <c r="N4315" s="26" t="s">
        <v>9979</v>
      </c>
      <c r="O4315" s="22" t="str">
        <f>HYPERLINK("https://pbs.twimg.com/profile_images/881891442964090880/9FBRS5rY_normal.jpg","View")</f>
        <v>View</v>
      </c>
      <c r="P4315" s="27"/>
    </row>
    <row r="4316">
      <c r="A4316" s="14">
        <v>43031.27240740741</v>
      </c>
      <c r="B4316" s="20" t="str">
        <f>HYPERLINK("https://twitter.com/SandraHalifax","@SandraHalifax")</f>
        <v>@SandraHalifax</v>
      </c>
      <c r="C4316" s="21" t="s">
        <v>9980</v>
      </c>
      <c r="D4316" s="21" t="s">
        <v>6403</v>
      </c>
      <c r="E4316" s="22" t="str">
        <f>HYPERLINK("https://twitter.com/SandraHalifax/status/922455635333210112","922455635333210112")</f>
        <v>922455635333210112</v>
      </c>
      <c r="F4316" s="23" t="s">
        <v>39</v>
      </c>
      <c r="G4316" s="24">
        <v>380.0</v>
      </c>
      <c r="H4316" s="24">
        <v>202.0</v>
      </c>
      <c r="I4316" s="24">
        <v>97.0</v>
      </c>
      <c r="J4316" s="24">
        <v>0.0</v>
      </c>
      <c r="K4316" s="23" t="s">
        <v>34</v>
      </c>
      <c r="L4316" s="25">
        <v>41661.67381944445</v>
      </c>
      <c r="M4316" s="26" t="s">
        <v>9981</v>
      </c>
      <c r="N4316" s="26" t="s">
        <v>9982</v>
      </c>
      <c r="O4316" s="22" t="str">
        <f>HYPERLINK("https://pbs.twimg.com/profile_images/672913105601634304/4CTZi3f0_normal.jpg","View")</f>
        <v>View</v>
      </c>
      <c r="P4316" s="27"/>
    </row>
    <row r="4317">
      <c r="A4317" s="14">
        <v>43031.272511574076</v>
      </c>
      <c r="B4317" s="20" t="str">
        <f>HYPERLINK("https://twitter.com/tasks_s","@tasks_s")</f>
        <v>@tasks_s</v>
      </c>
      <c r="C4317" s="21" t="s">
        <v>9983</v>
      </c>
      <c r="D4317" s="21" t="s">
        <v>42</v>
      </c>
      <c r="E4317" s="22" t="str">
        <f>HYPERLINK("https://twitter.com/tasks_s/status/922455672431636480","922455672431636480")</f>
        <v>922455672431636480</v>
      </c>
      <c r="F4317" s="23" t="s">
        <v>33</v>
      </c>
      <c r="G4317" s="24">
        <v>627.0</v>
      </c>
      <c r="H4317" s="24">
        <v>847.0</v>
      </c>
      <c r="I4317" s="24">
        <v>8501.0</v>
      </c>
      <c r="J4317" s="24">
        <v>0.0</v>
      </c>
      <c r="K4317" s="23" t="s">
        <v>34</v>
      </c>
      <c r="L4317" s="25">
        <v>40879.314942129626</v>
      </c>
      <c r="M4317" s="28"/>
      <c r="N4317" s="26" t="s">
        <v>9984</v>
      </c>
      <c r="O4317" s="22" t="str">
        <f>HYPERLINK("https://pbs.twimg.com/profile_images/492312606988713985/eaCOjwJR_normal.jpeg","View")</f>
        <v>View</v>
      </c>
      <c r="P4317" s="27"/>
    </row>
    <row r="4318">
      <c r="A4318" s="14">
        <v>43031.27253472222</v>
      </c>
      <c r="B4318" s="20" t="str">
        <f>HYPERLINK("https://twitter.com/manoj_gupta007","@manoj_gupta007")</f>
        <v>@manoj_gupta007</v>
      </c>
      <c r="C4318" s="21" t="s">
        <v>3855</v>
      </c>
      <c r="D4318" s="21" t="s">
        <v>42</v>
      </c>
      <c r="E4318" s="22" t="str">
        <f>HYPERLINK("https://twitter.com/manoj_gupta007/status/922455680010764289","922455680010764289")</f>
        <v>922455680010764289</v>
      </c>
      <c r="F4318" s="23" t="s">
        <v>33</v>
      </c>
      <c r="G4318" s="24">
        <v>79.0</v>
      </c>
      <c r="H4318" s="24">
        <v>373.0</v>
      </c>
      <c r="I4318" s="24">
        <v>8501.0</v>
      </c>
      <c r="J4318" s="24">
        <v>0.0</v>
      </c>
      <c r="K4318" s="23" t="s">
        <v>34</v>
      </c>
      <c r="L4318" s="25">
        <v>40204.242685185185</v>
      </c>
      <c r="M4318" s="26" t="s">
        <v>9985</v>
      </c>
      <c r="N4318" s="28"/>
      <c r="O4318" s="22" t="str">
        <f>HYPERLINK("https://pbs.twimg.com/profile_images/856178813251665921/6G4WREio_normal.jpg","View")</f>
        <v>View</v>
      </c>
      <c r="P4318" s="27"/>
    </row>
    <row r="4319">
      <c r="A4319" s="14">
        <v>43031.27270833333</v>
      </c>
      <c r="B4319" s="20" t="str">
        <f>HYPERLINK("https://twitter.com/megazala687","@megazala687")</f>
        <v>@megazala687</v>
      </c>
      <c r="C4319" s="21" t="s">
        <v>9986</v>
      </c>
      <c r="D4319" s="21" t="s">
        <v>42</v>
      </c>
      <c r="E4319" s="22" t="str">
        <f>HYPERLINK("https://twitter.com/megazala687/status/922455743109799937","922455743109799937")</f>
        <v>922455743109799937</v>
      </c>
      <c r="F4319" s="23" t="s">
        <v>33</v>
      </c>
      <c r="G4319" s="24">
        <v>491.0</v>
      </c>
      <c r="H4319" s="24">
        <v>528.0</v>
      </c>
      <c r="I4319" s="24">
        <v>8501.0</v>
      </c>
      <c r="J4319" s="24">
        <v>0.0</v>
      </c>
      <c r="K4319" s="23" t="s">
        <v>34</v>
      </c>
      <c r="L4319" s="25">
        <v>41859.81989583334</v>
      </c>
      <c r="M4319" s="26" t="s">
        <v>9987</v>
      </c>
      <c r="N4319" s="26" t="s">
        <v>9988</v>
      </c>
      <c r="O4319" s="22" t="str">
        <f>HYPERLINK("https://pbs.twimg.com/profile_images/913666227674914817/kx2pnnkv_normal.jpg","View")</f>
        <v>View</v>
      </c>
      <c r="P4319" s="27"/>
    </row>
    <row r="4320">
      <c r="A4320" s="14">
        <v>43031.27270833333</v>
      </c>
      <c r="B4320" s="20" t="str">
        <f>HYPERLINK("https://twitter.com/2274709853734ef","@2274709853734ef")</f>
        <v>@2274709853734ef</v>
      </c>
      <c r="C4320" s="21" t="s">
        <v>9989</v>
      </c>
      <c r="D4320" s="21" t="s">
        <v>42</v>
      </c>
      <c r="E4320" s="22" t="str">
        <f>HYPERLINK("https://twitter.com/2274709853734ef/status/922455744720416768","922455744720416768")</f>
        <v>922455744720416768</v>
      </c>
      <c r="F4320" s="23" t="s">
        <v>39</v>
      </c>
      <c r="G4320" s="24">
        <v>152.0</v>
      </c>
      <c r="H4320" s="24">
        <v>567.0</v>
      </c>
      <c r="I4320" s="24">
        <v>8501.0</v>
      </c>
      <c r="J4320" s="24">
        <v>0.0</v>
      </c>
      <c r="K4320" s="23" t="s">
        <v>34</v>
      </c>
      <c r="L4320" s="25">
        <v>42047.2680324074</v>
      </c>
      <c r="M4320" s="26" t="s">
        <v>96</v>
      </c>
      <c r="N4320" s="26" t="s">
        <v>9990</v>
      </c>
      <c r="O4320" s="22" t="str">
        <f>HYPERLINK("https://pbs.twimg.com/profile_images/669515298244923392/WrMuBcR1_normal.jpg","View")</f>
        <v>View</v>
      </c>
      <c r="P4320" s="27"/>
    </row>
    <row r="4321">
      <c r="A4321" s="14">
        <v>43031.27271990741</v>
      </c>
      <c r="B4321" s="20" t="str">
        <f>HYPERLINK("https://twitter.com/marionwakasa","@marionwakasa")</f>
        <v>@marionwakasa</v>
      </c>
      <c r="C4321" s="21" t="s">
        <v>9991</v>
      </c>
      <c r="D4321" s="21" t="s">
        <v>32</v>
      </c>
      <c r="E4321" s="22" t="str">
        <f>HYPERLINK("https://twitter.com/marionwakasa/status/922455749162340352","922455749162340352")</f>
        <v>922455749162340352</v>
      </c>
      <c r="F4321" s="23" t="s">
        <v>33</v>
      </c>
      <c r="G4321" s="24">
        <v>1317.0</v>
      </c>
      <c r="H4321" s="24">
        <v>1148.0</v>
      </c>
      <c r="I4321" s="24">
        <v>471.0</v>
      </c>
      <c r="J4321" s="24">
        <v>0.0</v>
      </c>
      <c r="K4321" s="23" t="s">
        <v>34</v>
      </c>
      <c r="L4321" s="25">
        <v>41076.15791666666</v>
      </c>
      <c r="M4321" s="26" t="s">
        <v>114</v>
      </c>
      <c r="N4321" s="26" t="s">
        <v>9992</v>
      </c>
      <c r="O4321" s="22" t="str">
        <f>HYPERLINK("https://pbs.twimg.com/profile_images/901536802988851200/lp1oah_U_normal.jpg","View")</f>
        <v>View</v>
      </c>
      <c r="P4321" s="27"/>
    </row>
    <row r="4322">
      <c r="A4322" s="14">
        <v>43031.27284722222</v>
      </c>
      <c r="B4322" s="20" t="str">
        <f>HYPERLINK("https://twitter.com/benki_season","@benki_season")</f>
        <v>@benki_season</v>
      </c>
      <c r="C4322" s="21" t="s">
        <v>9993</v>
      </c>
      <c r="D4322" s="21" t="s">
        <v>1642</v>
      </c>
      <c r="E4322" s="22" t="str">
        <f>HYPERLINK("https://twitter.com/benki_season/status/922455794573905920","922455794573905920")</f>
        <v>922455794573905920</v>
      </c>
      <c r="F4322" s="23" t="s">
        <v>39</v>
      </c>
      <c r="G4322" s="24">
        <v>110.0</v>
      </c>
      <c r="H4322" s="24">
        <v>91.0</v>
      </c>
      <c r="I4322" s="24">
        <v>199.0</v>
      </c>
      <c r="J4322" s="24">
        <v>0.0</v>
      </c>
      <c r="K4322" s="23" t="s">
        <v>34</v>
      </c>
      <c r="L4322" s="25">
        <v>42797.31045138889</v>
      </c>
      <c r="M4322" s="28"/>
      <c r="N4322" s="26" t="s">
        <v>9994</v>
      </c>
      <c r="O4322" s="22" t="str">
        <f>HYPERLINK("https://pbs.twimg.com/profile_images/907562077593600000/fugg5MR0_normal.jpg","View")</f>
        <v>View</v>
      </c>
      <c r="P4322" s="27"/>
    </row>
    <row r="4323">
      <c r="A4323" s="14">
        <v>43031.272893518515</v>
      </c>
      <c r="B4323" s="20" t="str">
        <f>HYPERLINK("https://twitter.com/Brajesh58974536","@Brajesh58974536")</f>
        <v>@Brajesh58974536</v>
      </c>
      <c r="C4323" s="21" t="s">
        <v>9995</v>
      </c>
      <c r="D4323" s="21" t="s">
        <v>42</v>
      </c>
      <c r="E4323" s="22" t="str">
        <f>HYPERLINK("https://twitter.com/Brajesh58974536/status/922455811879612416","922455811879612416")</f>
        <v>922455811879612416</v>
      </c>
      <c r="F4323" s="23" t="s">
        <v>33</v>
      </c>
      <c r="G4323" s="24">
        <v>9.0</v>
      </c>
      <c r="H4323" s="24">
        <v>56.0</v>
      </c>
      <c r="I4323" s="24">
        <v>8501.0</v>
      </c>
      <c r="J4323" s="24">
        <v>0.0</v>
      </c>
      <c r="K4323" s="23" t="s">
        <v>34</v>
      </c>
      <c r="L4323" s="25">
        <v>42961.162870370375</v>
      </c>
      <c r="M4323" s="28"/>
      <c r="N4323" s="28"/>
      <c r="O4323" s="22" t="str">
        <f>HYPERLINK("https://pbs.twimg.com/profile_images/897051161500319746/vXv1BwNf_normal.jpg","View")</f>
        <v>View</v>
      </c>
      <c r="P4323" s="27"/>
    </row>
    <row r="4324">
      <c r="A4324" s="14">
        <v>43031.27290509259</v>
      </c>
      <c r="B4324" s="20" t="str">
        <f>HYPERLINK("https://twitter.com/gopalsharma201","@gopalsharma201")</f>
        <v>@gopalsharma201</v>
      </c>
      <c r="C4324" s="21" t="s">
        <v>9996</v>
      </c>
      <c r="D4324" s="21" t="s">
        <v>42</v>
      </c>
      <c r="E4324" s="22" t="str">
        <f>HYPERLINK("https://twitter.com/gopalsharma201/status/922455814551437312","922455814551437312")</f>
        <v>922455814551437312</v>
      </c>
      <c r="F4324" s="23" t="s">
        <v>33</v>
      </c>
      <c r="G4324" s="24">
        <v>411.0</v>
      </c>
      <c r="H4324" s="24">
        <v>1029.0</v>
      </c>
      <c r="I4324" s="24">
        <v>8501.0</v>
      </c>
      <c r="J4324" s="24">
        <v>0.0</v>
      </c>
      <c r="K4324" s="23" t="s">
        <v>34</v>
      </c>
      <c r="L4324" s="25">
        <v>41135.34753472223</v>
      </c>
      <c r="M4324" s="26" t="s">
        <v>9997</v>
      </c>
      <c r="N4324" s="28"/>
      <c r="O4324" s="22" t="str">
        <f>HYPERLINK("https://pbs.twimg.com/profile_images/906363145303629824/86V1AbRv_normal.jpg","View")</f>
        <v>View</v>
      </c>
      <c r="P4324" s="27"/>
    </row>
    <row r="4325">
      <c r="A4325" s="14">
        <v>43031.27300925926</v>
      </c>
      <c r="B4325" s="20" t="str">
        <f>HYPERLINK("https://twitter.com/franglophonic","@franglophonic")</f>
        <v>@franglophonic</v>
      </c>
      <c r="C4325" s="21" t="s">
        <v>9998</v>
      </c>
      <c r="D4325" s="21" t="s">
        <v>67</v>
      </c>
      <c r="E4325" s="22" t="str">
        <f>HYPERLINK("https://twitter.com/franglophonic/status/922455855383154690","922455855383154690")</f>
        <v>922455855383154690</v>
      </c>
      <c r="F4325" s="23" t="s">
        <v>39</v>
      </c>
      <c r="G4325" s="24">
        <v>2404.0</v>
      </c>
      <c r="H4325" s="24">
        <v>988.0</v>
      </c>
      <c r="I4325" s="24">
        <v>169.0</v>
      </c>
      <c r="J4325" s="24">
        <v>0.0</v>
      </c>
      <c r="K4325" s="23" t="s">
        <v>34</v>
      </c>
      <c r="L4325" s="25">
        <v>41425.692291666666</v>
      </c>
      <c r="M4325" s="28"/>
      <c r="N4325" s="28"/>
      <c r="O4325" s="22" t="str">
        <f>HYPERLINK("https://pbs.twimg.com/profile_images/900438125998219264/zqd25RLf_normal.jpg","View")</f>
        <v>View</v>
      </c>
      <c r="P4325" s="27"/>
    </row>
    <row r="4326">
      <c r="A4326" s="14">
        <v>43031.27306712963</v>
      </c>
      <c r="B4326" s="20" t="str">
        <f>HYPERLINK("https://twitter.com/Nagoyablogger","@Nagoyablogger")</f>
        <v>@Nagoyablogger</v>
      </c>
      <c r="C4326" s="21" t="s">
        <v>9999</v>
      </c>
      <c r="D4326" s="21" t="s">
        <v>10000</v>
      </c>
      <c r="E4326" s="22" t="str">
        <f>HYPERLINK("https://twitter.com/Nagoyablogger/status/922455876027502592","922455876027502592")</f>
        <v>922455876027502592</v>
      </c>
      <c r="F4326" s="23" t="s">
        <v>1119</v>
      </c>
      <c r="G4326" s="24">
        <v>1955.0</v>
      </c>
      <c r="H4326" s="24">
        <v>2115.0</v>
      </c>
      <c r="I4326" s="24">
        <v>0.0</v>
      </c>
      <c r="J4326" s="24">
        <v>0.0</v>
      </c>
      <c r="K4326" s="23" t="s">
        <v>34</v>
      </c>
      <c r="L4326" s="25">
        <v>41394.531851851854</v>
      </c>
      <c r="M4326" s="26" t="s">
        <v>10001</v>
      </c>
      <c r="N4326" s="26" t="s">
        <v>10002</v>
      </c>
      <c r="O4326" s="22" t="str">
        <f>HYPERLINK("https://pbs.twimg.com/profile_images/687567908181020673/MISIS9TO_normal.jpg","View")</f>
        <v>View</v>
      </c>
      <c r="P4326" s="27"/>
    </row>
    <row r="4327">
      <c r="A4327" s="14">
        <v>43031.273194444446</v>
      </c>
      <c r="B4327" s="20" t="str">
        <f>HYPERLINK("https://twitter.com/Chi312Chi","@Chi312Chi")</f>
        <v>@Chi312Chi</v>
      </c>
      <c r="C4327" s="21" t="s">
        <v>478</v>
      </c>
      <c r="D4327" s="21" t="s">
        <v>9848</v>
      </c>
      <c r="E4327" s="22" t="str">
        <f>HYPERLINK("https://twitter.com/Chi312Chi/status/922455920541622274","922455920541622274")</f>
        <v>922455920541622274</v>
      </c>
      <c r="F4327" s="23" t="s">
        <v>3031</v>
      </c>
      <c r="G4327" s="24">
        <v>541.0</v>
      </c>
      <c r="H4327" s="24">
        <v>2430.0</v>
      </c>
      <c r="I4327" s="24">
        <v>6.0</v>
      </c>
      <c r="J4327" s="24">
        <v>0.0</v>
      </c>
      <c r="K4327" s="23" t="s">
        <v>34</v>
      </c>
      <c r="L4327" s="25">
        <v>41645.81662037037</v>
      </c>
      <c r="M4327" s="28"/>
      <c r="N4327" s="28"/>
      <c r="O4327" s="22" t="str">
        <f>HYPERLINK("https://pbs.twimg.com/profile_images/918940173085413376/0qeHPlF8_normal.jpg","View")</f>
        <v>View</v>
      </c>
      <c r="P4327" s="27"/>
    </row>
    <row r="4328">
      <c r="A4328" s="14">
        <v>43031.27328703704</v>
      </c>
      <c r="B4328" s="20" t="str">
        <f>HYPERLINK("https://twitter.com/CaseyBillX","@CaseyBillX")</f>
        <v>@CaseyBillX</v>
      </c>
      <c r="C4328" s="21" t="s">
        <v>3108</v>
      </c>
      <c r="D4328" s="21" t="s">
        <v>9848</v>
      </c>
      <c r="E4328" s="22" t="str">
        <f>HYPERLINK("https://twitter.com/CaseyBillX/status/922455955568148480","922455955568148480")</f>
        <v>922455955568148480</v>
      </c>
      <c r="F4328" s="23" t="s">
        <v>3109</v>
      </c>
      <c r="G4328" s="24">
        <v>2332.0</v>
      </c>
      <c r="H4328" s="24">
        <v>5001.0</v>
      </c>
      <c r="I4328" s="24">
        <v>6.0</v>
      </c>
      <c r="J4328" s="24">
        <v>0.0</v>
      </c>
      <c r="K4328" s="23" t="s">
        <v>34</v>
      </c>
      <c r="L4328" s="25">
        <v>42997.15302083333</v>
      </c>
      <c r="M4328" s="28"/>
      <c r="N4328" s="28"/>
      <c r="O4328" s="22" t="str">
        <f>HYPERLINK("https://pbs.twimg.com/profile_images/910103474003525633/_kzNa9NX_normal.jpg","View")</f>
        <v>View</v>
      </c>
      <c r="P4328" s="27"/>
    </row>
    <row r="4329">
      <c r="A4329" s="14">
        <v>43031.27329861111</v>
      </c>
      <c r="B4329" s="20" t="str">
        <f>HYPERLINK("https://twitter.com/Editor_Orbat","@Editor_Orbat")</f>
        <v>@Editor_Orbat</v>
      </c>
      <c r="C4329" s="21" t="s">
        <v>10003</v>
      </c>
      <c r="D4329" s="21" t="s">
        <v>10004</v>
      </c>
      <c r="E4329" s="22" t="str">
        <f>HYPERLINK("https://twitter.com/Editor_Orbat/status/922455958051270656","922455958051270656")</f>
        <v>922455958051270656</v>
      </c>
      <c r="F4329" s="23" t="s">
        <v>55</v>
      </c>
      <c r="G4329" s="24">
        <v>348.0</v>
      </c>
      <c r="H4329" s="24">
        <v>3.0</v>
      </c>
      <c r="I4329" s="24">
        <v>0.0</v>
      </c>
      <c r="J4329" s="24">
        <v>0.0</v>
      </c>
      <c r="K4329" s="23" t="s">
        <v>34</v>
      </c>
      <c r="L4329" s="25">
        <v>40773.36996527778</v>
      </c>
      <c r="M4329" s="28"/>
      <c r="N4329" s="28"/>
      <c r="O4329" s="22" t="str">
        <f>HYPERLINK("https://pbs.twimg.com/profile_images/2105759292/1062136-Clipart-Chubby-Teddy-Bear-Royalty-Free-Vector-Illustration_normal.jpg","View")</f>
        <v>View</v>
      </c>
      <c r="P4329" s="27"/>
    </row>
    <row r="4330">
      <c r="A4330" s="14">
        <v>43031.27357638889</v>
      </c>
      <c r="B4330" s="20" t="str">
        <f>HYPERLINK("https://twitter.com/sid221B","@sid221B")</f>
        <v>@sid221B</v>
      </c>
      <c r="C4330" s="21" t="s">
        <v>10005</v>
      </c>
      <c r="D4330" s="21" t="s">
        <v>42</v>
      </c>
      <c r="E4330" s="22" t="str">
        <f>HYPERLINK("https://twitter.com/sid221B/status/922456057833590785","922456057833590785")</f>
        <v>922456057833590785</v>
      </c>
      <c r="F4330" s="23" t="s">
        <v>33</v>
      </c>
      <c r="G4330" s="24">
        <v>93.0</v>
      </c>
      <c r="H4330" s="24">
        <v>365.0</v>
      </c>
      <c r="I4330" s="24">
        <v>8501.0</v>
      </c>
      <c r="J4330" s="24">
        <v>0.0</v>
      </c>
      <c r="K4330" s="23" t="s">
        <v>34</v>
      </c>
      <c r="L4330" s="25">
        <v>42822.454097222224</v>
      </c>
      <c r="M4330" s="26" t="s">
        <v>204</v>
      </c>
      <c r="N4330" s="26" t="s">
        <v>10006</v>
      </c>
      <c r="O4330" s="22" t="str">
        <f>HYPERLINK("https://pbs.twimg.com/profile_images/918874585495322624/3QcHv_O1_normal.jpg","View")</f>
        <v>View</v>
      </c>
      <c r="P4330" s="27"/>
    </row>
    <row r="4331">
      <c r="A4331" s="14">
        <v>43031.273622685185</v>
      </c>
      <c r="B4331" s="20" t="str">
        <f>HYPERLINK("https://twitter.com/CyndieAnnett","@CyndieAnnett")</f>
        <v>@CyndieAnnett</v>
      </c>
      <c r="C4331" s="21" t="s">
        <v>10007</v>
      </c>
      <c r="D4331" s="21" t="s">
        <v>10008</v>
      </c>
      <c r="E4331" s="22" t="str">
        <f>HYPERLINK("https://twitter.com/CyndieAnnett/status/922456077471379456","922456077471379456")</f>
        <v>922456077471379456</v>
      </c>
      <c r="F4331" s="23" t="s">
        <v>33</v>
      </c>
      <c r="G4331" s="24">
        <v>1630.0</v>
      </c>
      <c r="H4331" s="24">
        <v>4453.0</v>
      </c>
      <c r="I4331" s="24">
        <v>0.0</v>
      </c>
      <c r="J4331" s="24">
        <v>0.0</v>
      </c>
      <c r="K4331" s="23" t="s">
        <v>34</v>
      </c>
      <c r="L4331" s="25">
        <v>40155.462222222224</v>
      </c>
      <c r="M4331" s="26" t="s">
        <v>10009</v>
      </c>
      <c r="N4331" s="26" t="s">
        <v>10010</v>
      </c>
      <c r="O4331" s="22" t="str">
        <f>HYPERLINK("https://pbs.twimg.com/profile_images/472503795025338369/cnyAAb9c_normal.jpeg","View")</f>
        <v>View</v>
      </c>
      <c r="P4331" s="27"/>
    </row>
    <row r="4332">
      <c r="A4332" s="14">
        <v>43031.27365740741</v>
      </c>
      <c r="B4332" s="20" t="str">
        <f>HYPERLINK("https://twitter.com/Chi312Chi","@Chi312Chi")</f>
        <v>@Chi312Chi</v>
      </c>
      <c r="C4332" s="21" t="s">
        <v>478</v>
      </c>
      <c r="D4332" s="21" t="s">
        <v>2313</v>
      </c>
      <c r="E4332" s="22" t="str">
        <f>HYPERLINK("https://twitter.com/Chi312Chi/status/922456088217292800","922456088217292800")</f>
        <v>922456088217292800</v>
      </c>
      <c r="F4332" s="23" t="s">
        <v>3031</v>
      </c>
      <c r="G4332" s="24">
        <v>541.0</v>
      </c>
      <c r="H4332" s="24">
        <v>2430.0</v>
      </c>
      <c r="I4332" s="24">
        <v>10.0</v>
      </c>
      <c r="J4332" s="24">
        <v>0.0</v>
      </c>
      <c r="K4332" s="23" t="s">
        <v>34</v>
      </c>
      <c r="L4332" s="25">
        <v>41645.81662037037</v>
      </c>
      <c r="M4332" s="28"/>
      <c r="N4332" s="28"/>
      <c r="O4332" s="22" t="str">
        <f>HYPERLINK("https://pbs.twimg.com/profile_images/918940173085413376/0qeHPlF8_normal.jpg","View")</f>
        <v>View</v>
      </c>
      <c r="P4332" s="27"/>
    </row>
    <row r="4333">
      <c r="A4333" s="14">
        <v>43031.273726851854</v>
      </c>
      <c r="B4333" s="20" t="str">
        <f>HYPERLINK("https://twitter.com/YuzoAkakura","@YuzoAkakura")</f>
        <v>@YuzoAkakura</v>
      </c>
      <c r="C4333" s="21" t="s">
        <v>10011</v>
      </c>
      <c r="D4333" s="21" t="s">
        <v>5126</v>
      </c>
      <c r="E4333" s="22" t="str">
        <f>HYPERLINK("https://twitter.com/YuzoAkakura/status/922456113299075072","922456113299075072")</f>
        <v>922456113299075072</v>
      </c>
      <c r="F4333" s="23" t="s">
        <v>39</v>
      </c>
      <c r="G4333" s="24">
        <v>1192.0</v>
      </c>
      <c r="H4333" s="24">
        <v>252.0</v>
      </c>
      <c r="I4333" s="24">
        <v>7.0</v>
      </c>
      <c r="J4333" s="24">
        <v>0.0</v>
      </c>
      <c r="K4333" s="23" t="s">
        <v>34</v>
      </c>
      <c r="L4333" s="25">
        <v>40055.32462962963</v>
      </c>
      <c r="M4333" s="26" t="s">
        <v>10012</v>
      </c>
      <c r="N4333" s="26" t="s">
        <v>10013</v>
      </c>
      <c r="O4333" s="22" t="str">
        <f>HYPERLINK("https://pbs.twimg.com/profile_images/447033316877684736/hZj4HyK0_normal.png","View")</f>
        <v>View</v>
      </c>
      <c r="P4333" s="27"/>
    </row>
    <row r="4334">
      <c r="A4334" s="14">
        <v>43031.27373842592</v>
      </c>
      <c r="B4334" s="20" t="str">
        <f>HYPERLINK("https://twitter.com/kirik","@kirik")</f>
        <v>@kirik</v>
      </c>
      <c r="C4334" s="21" t="s">
        <v>10014</v>
      </c>
      <c r="D4334" s="21" t="s">
        <v>213</v>
      </c>
      <c r="E4334" s="22" t="str">
        <f>HYPERLINK("https://twitter.com/kirik/status/922456116415434752","922456116415434752")</f>
        <v>922456116415434752</v>
      </c>
      <c r="F4334" s="23" t="s">
        <v>55</v>
      </c>
      <c r="G4334" s="24">
        <v>114186.0</v>
      </c>
      <c r="H4334" s="24">
        <v>186.0</v>
      </c>
      <c r="I4334" s="24">
        <v>94.0</v>
      </c>
      <c r="J4334" s="24">
        <v>0.0</v>
      </c>
      <c r="K4334" s="23" t="s">
        <v>34</v>
      </c>
      <c r="L4334" s="25">
        <v>39190.94519675926</v>
      </c>
      <c r="M4334" s="26" t="s">
        <v>10015</v>
      </c>
      <c r="N4334" s="26" t="s">
        <v>10016</v>
      </c>
      <c r="O4334" s="22" t="str">
        <f>HYPERLINK("https://pbs.twimg.com/profile_images/671948353190555648/W8RujqPt_normal.jpg","View")</f>
        <v>View</v>
      </c>
      <c r="P4334" s="27"/>
    </row>
    <row r="4335">
      <c r="A4335" s="14">
        <v>43031.27373842592</v>
      </c>
      <c r="B4335" s="20" t="str">
        <f>HYPERLINK("https://twitter.com/JeetuKu61010152","@JeetuKu61010152")</f>
        <v>@JeetuKu61010152</v>
      </c>
      <c r="C4335" s="21" t="s">
        <v>10017</v>
      </c>
      <c r="D4335" s="21" t="s">
        <v>42</v>
      </c>
      <c r="E4335" s="22" t="str">
        <f>HYPERLINK("https://twitter.com/JeetuKu61010152/status/922456119540310016","922456119540310016")</f>
        <v>922456119540310016</v>
      </c>
      <c r="F4335" s="23" t="s">
        <v>33</v>
      </c>
      <c r="G4335" s="24">
        <v>171.0</v>
      </c>
      <c r="H4335" s="24">
        <v>382.0</v>
      </c>
      <c r="I4335" s="24">
        <v>8501.0</v>
      </c>
      <c r="J4335" s="24">
        <v>0.0</v>
      </c>
      <c r="K4335" s="23" t="s">
        <v>34</v>
      </c>
      <c r="L4335" s="25">
        <v>42811.30688657408</v>
      </c>
      <c r="M4335" s="26" t="s">
        <v>10018</v>
      </c>
      <c r="N4335" s="26" t="s">
        <v>10019</v>
      </c>
      <c r="O4335" s="22" t="str">
        <f>HYPERLINK("https://pbs.twimg.com/profile_images/922152212213596165/9AOr4NAP_normal.jpg","View")</f>
        <v>View</v>
      </c>
      <c r="P4335" s="27"/>
    </row>
    <row r="4336">
      <c r="A4336" s="14">
        <v>43031.27375</v>
      </c>
      <c r="B4336" s="20" t="str">
        <f>HYPERLINK("https://twitter.com/CaseyBillX","@CaseyBillX")</f>
        <v>@CaseyBillX</v>
      </c>
      <c r="C4336" s="21" t="s">
        <v>3108</v>
      </c>
      <c r="D4336" s="21" t="s">
        <v>2313</v>
      </c>
      <c r="E4336" s="22" t="str">
        <f>HYPERLINK("https://twitter.com/CaseyBillX/status/922456123319320577","922456123319320577")</f>
        <v>922456123319320577</v>
      </c>
      <c r="F4336" s="23" t="s">
        <v>3109</v>
      </c>
      <c r="G4336" s="24">
        <v>2332.0</v>
      </c>
      <c r="H4336" s="24">
        <v>5001.0</v>
      </c>
      <c r="I4336" s="24">
        <v>10.0</v>
      </c>
      <c r="J4336" s="24">
        <v>0.0</v>
      </c>
      <c r="K4336" s="23" t="s">
        <v>34</v>
      </c>
      <c r="L4336" s="25">
        <v>42997.15302083333</v>
      </c>
      <c r="M4336" s="28"/>
      <c r="N4336" s="28"/>
      <c r="O4336" s="22" t="str">
        <f>HYPERLINK("https://pbs.twimg.com/profile_images/910103474003525633/_kzNa9NX_normal.jpg","View")</f>
        <v>View</v>
      </c>
      <c r="P4336" s="27"/>
    </row>
    <row r="4337">
      <c r="A4337" s="14">
        <v>43031.27376157408</v>
      </c>
      <c r="B4337" s="20" t="str">
        <f>HYPERLINK("https://twitter.com/sanjayvashist20","@sanjayvashist20")</f>
        <v>@sanjayvashist20</v>
      </c>
      <c r="C4337" s="21" t="s">
        <v>10020</v>
      </c>
      <c r="D4337" s="21" t="s">
        <v>42</v>
      </c>
      <c r="E4337" s="22" t="str">
        <f>HYPERLINK("https://twitter.com/sanjayvashist20/status/922456127664668672","922456127664668672")</f>
        <v>922456127664668672</v>
      </c>
      <c r="F4337" s="23" t="s">
        <v>3895</v>
      </c>
      <c r="G4337" s="24">
        <v>69.0</v>
      </c>
      <c r="H4337" s="24">
        <v>191.0</v>
      </c>
      <c r="I4337" s="24">
        <v>8501.0</v>
      </c>
      <c r="J4337" s="24">
        <v>0.0</v>
      </c>
      <c r="K4337" s="23" t="s">
        <v>34</v>
      </c>
      <c r="L4337" s="25">
        <v>42996.94072916667</v>
      </c>
      <c r="M4337" s="28"/>
      <c r="N4337" s="28"/>
      <c r="O4337" s="22" t="str">
        <f>HYPERLINK("https://pbs.twimg.com/profile_images/915149686008188928/ccy-gK3b_normal.jpg","View")</f>
        <v>View</v>
      </c>
      <c r="P4337" s="27"/>
    </row>
    <row r="4338">
      <c r="A4338" s="14">
        <v>43031.27376157408</v>
      </c>
      <c r="B4338" s="20" t="str">
        <f>HYPERLINK("https://twitter.com/France24_en","@France24_en")</f>
        <v>@France24_en</v>
      </c>
      <c r="C4338" s="21" t="s">
        <v>9800</v>
      </c>
      <c r="D4338" s="21" t="s">
        <v>10021</v>
      </c>
      <c r="E4338" s="22" t="str">
        <f>HYPERLINK("https://twitter.com/France24_en/status/922456127928799232","922456127928799232")</f>
        <v>922456127928799232</v>
      </c>
      <c r="F4338" s="30" t="s">
        <v>411</v>
      </c>
      <c r="G4338" s="24">
        <v>179833.0</v>
      </c>
      <c r="H4338" s="24">
        <v>1194.0</v>
      </c>
      <c r="I4338" s="24">
        <v>4.0</v>
      </c>
      <c r="J4338" s="24">
        <v>5.0</v>
      </c>
      <c r="K4338" s="23" t="s">
        <v>34</v>
      </c>
      <c r="L4338" s="25">
        <v>39890.09923611111</v>
      </c>
      <c r="M4338" s="26" t="s">
        <v>9802</v>
      </c>
      <c r="N4338" s="26" t="s">
        <v>9803</v>
      </c>
      <c r="O4338" s="22" t="str">
        <f>HYPERLINK("https://pbs.twimg.com/profile_images/875653339530182656/LJAMkNY5_normal.jpg","View")</f>
        <v>View</v>
      </c>
      <c r="P4338" s="27"/>
    </row>
    <row r="4339">
      <c r="A4339" s="14">
        <v>43031.27383101852</v>
      </c>
      <c r="B4339" s="20" t="str">
        <f>HYPERLINK("https://twitter.com/ManojYadav8888","@ManojYadav8888")</f>
        <v>@ManojYadav8888</v>
      </c>
      <c r="C4339" s="21" t="s">
        <v>10022</v>
      </c>
      <c r="D4339" s="21" t="s">
        <v>42</v>
      </c>
      <c r="E4339" s="22" t="str">
        <f>HYPERLINK("https://twitter.com/ManojYadav8888/status/922456151756742656","922456151756742656")</f>
        <v>922456151756742656</v>
      </c>
      <c r="F4339" s="23" t="s">
        <v>33</v>
      </c>
      <c r="G4339" s="24">
        <v>15.0</v>
      </c>
      <c r="H4339" s="24">
        <v>831.0</v>
      </c>
      <c r="I4339" s="24">
        <v>8501.0</v>
      </c>
      <c r="J4339" s="24">
        <v>0.0</v>
      </c>
      <c r="K4339" s="23" t="s">
        <v>34</v>
      </c>
      <c r="L4339" s="25">
        <v>43021.46388888889</v>
      </c>
      <c r="M4339" s="26" t="s">
        <v>10023</v>
      </c>
      <c r="N4339" s="26" t="s">
        <v>10024</v>
      </c>
      <c r="O4339" s="22" t="str">
        <f>HYPERLINK("https://pbs.twimg.com/profile_images/918906410359910400/W9rq8lBl_normal.jpg","View")</f>
        <v>View</v>
      </c>
      <c r="P4339" s="27"/>
    </row>
    <row r="4340">
      <c r="A4340" s="14">
        <v>43031.27385416666</v>
      </c>
      <c r="B4340" s="20" t="str">
        <f>HYPERLINK("https://twitter.com/avinashmoon4","@avinashmoon4")</f>
        <v>@avinashmoon4</v>
      </c>
      <c r="C4340" s="21" t="s">
        <v>10025</v>
      </c>
      <c r="D4340" s="21" t="s">
        <v>42</v>
      </c>
      <c r="E4340" s="22" t="str">
        <f>HYPERLINK("https://twitter.com/avinashmoon4/status/922456159558148097","922456159558148097")</f>
        <v>922456159558148097</v>
      </c>
      <c r="F4340" s="23" t="s">
        <v>33</v>
      </c>
      <c r="G4340" s="24">
        <v>18.0</v>
      </c>
      <c r="H4340" s="24">
        <v>160.0</v>
      </c>
      <c r="I4340" s="24">
        <v>8501.0</v>
      </c>
      <c r="J4340" s="24">
        <v>0.0</v>
      </c>
      <c r="K4340" s="23" t="s">
        <v>34</v>
      </c>
      <c r="L4340" s="25">
        <v>42311.467777777776</v>
      </c>
      <c r="M4340" s="26" t="s">
        <v>3904</v>
      </c>
      <c r="N4340" s="26" t="s">
        <v>10026</v>
      </c>
      <c r="O4340" s="22" t="str">
        <f>HYPERLINK("https://pbs.twimg.com/profile_images/661684482387218432/k_kXSWJa_normal.jpg","View")</f>
        <v>View</v>
      </c>
      <c r="P4340" s="27"/>
    </row>
    <row r="4341">
      <c r="A4341" s="14">
        <v>43031.27392361111</v>
      </c>
      <c r="B4341" s="20" t="str">
        <f>HYPERLINK("https://twitter.com/vatsaljaychauh1","@vatsaljaychauh1")</f>
        <v>@vatsaljaychauh1</v>
      </c>
      <c r="C4341" s="21" t="s">
        <v>10027</v>
      </c>
      <c r="D4341" s="21" t="s">
        <v>9848</v>
      </c>
      <c r="E4341" s="22" t="str">
        <f>HYPERLINK("https://twitter.com/vatsaljaychauh1/status/922456183876620289","922456183876620289")</f>
        <v>922456183876620289</v>
      </c>
      <c r="F4341" s="23" t="s">
        <v>55</v>
      </c>
      <c r="G4341" s="24">
        <v>1835.0</v>
      </c>
      <c r="H4341" s="24">
        <v>4285.0</v>
      </c>
      <c r="I4341" s="24">
        <v>6.0</v>
      </c>
      <c r="J4341" s="24">
        <v>0.0</v>
      </c>
      <c r="K4341" s="23" t="s">
        <v>34</v>
      </c>
      <c r="L4341" s="25">
        <v>41978.30490740741</v>
      </c>
      <c r="M4341" s="26" t="s">
        <v>575</v>
      </c>
      <c r="N4341" s="26" t="s">
        <v>10028</v>
      </c>
      <c r="O4341" s="22" t="str">
        <f>HYPERLINK("https://pbs.twimg.com/profile_images/922757280256245760/JaeOP_B-_normal.jpg","View")</f>
        <v>View</v>
      </c>
      <c r="P4341" s="27"/>
    </row>
    <row r="4342">
      <c r="A4342" s="14">
        <v>43031.27415509259</v>
      </c>
      <c r="B4342" s="20" t="str">
        <f>HYPERLINK("https://twitter.com/sbsharma25","@sbsharma25")</f>
        <v>@sbsharma25</v>
      </c>
      <c r="C4342" s="21" t="s">
        <v>10029</v>
      </c>
      <c r="D4342" s="21" t="s">
        <v>42</v>
      </c>
      <c r="E4342" s="22" t="str">
        <f>HYPERLINK("https://twitter.com/sbsharma25/status/922456267074998275","922456267074998275")</f>
        <v>922456267074998275</v>
      </c>
      <c r="F4342" s="23" t="s">
        <v>33</v>
      </c>
      <c r="G4342" s="24">
        <v>615.0</v>
      </c>
      <c r="H4342" s="24">
        <v>290.0</v>
      </c>
      <c r="I4342" s="24">
        <v>8501.0</v>
      </c>
      <c r="J4342" s="24">
        <v>0.0</v>
      </c>
      <c r="K4342" s="23" t="s">
        <v>34</v>
      </c>
      <c r="L4342" s="25">
        <v>41831.3134375</v>
      </c>
      <c r="M4342" s="26" t="s">
        <v>3955</v>
      </c>
      <c r="N4342" s="26" t="s">
        <v>10030</v>
      </c>
      <c r="O4342" s="22" t="str">
        <f>HYPERLINK("https://pbs.twimg.com/profile_images/487610786768900097/FnzRJFNz_normal.jpeg","View")</f>
        <v>View</v>
      </c>
      <c r="P4342" s="27"/>
    </row>
    <row r="4343">
      <c r="A4343" s="14">
        <v>43031.27415509259</v>
      </c>
      <c r="B4343" s="20" t="str">
        <f>HYPERLINK("https://twitter.com/subbu001","@subbu001")</f>
        <v>@subbu001</v>
      </c>
      <c r="C4343" s="21" t="s">
        <v>10031</v>
      </c>
      <c r="D4343" s="21" t="s">
        <v>42</v>
      </c>
      <c r="E4343" s="22" t="str">
        <f>HYPERLINK("https://twitter.com/subbu001/status/922456270556119040","922456270556119040")</f>
        <v>922456270556119040</v>
      </c>
      <c r="F4343" s="23" t="s">
        <v>39</v>
      </c>
      <c r="G4343" s="24">
        <v>252.0</v>
      </c>
      <c r="H4343" s="24">
        <v>1192.0</v>
      </c>
      <c r="I4343" s="24">
        <v>8501.0</v>
      </c>
      <c r="J4343" s="24">
        <v>0.0</v>
      </c>
      <c r="K4343" s="23" t="s">
        <v>34</v>
      </c>
      <c r="L4343" s="25">
        <v>40001.30216435185</v>
      </c>
      <c r="M4343" s="28"/>
      <c r="N4343" s="26" t="s">
        <v>10032</v>
      </c>
      <c r="O4343" s="22" t="str">
        <f>HYPERLINK("https://abs.twimg.com/sticky/default_profile_images/default_profile_normal.png","View")</f>
        <v>View</v>
      </c>
      <c r="P4343" s="27"/>
    </row>
    <row r="4344">
      <c r="A4344" s="14">
        <v>43031.27416666667</v>
      </c>
      <c r="B4344" s="20" t="str">
        <f>HYPERLINK("https://twitter.com/solis_msolis","@solis_msolis")</f>
        <v>@solis_msolis</v>
      </c>
      <c r="C4344" s="21" t="s">
        <v>10033</v>
      </c>
      <c r="D4344" s="21" t="s">
        <v>10034</v>
      </c>
      <c r="E4344" s="22" t="str">
        <f>HYPERLINK("https://twitter.com/solis_msolis/status/922456271877558272","922456271877558272")</f>
        <v>922456271877558272</v>
      </c>
      <c r="F4344" s="23" t="s">
        <v>55</v>
      </c>
      <c r="G4344" s="24">
        <v>1427.0</v>
      </c>
      <c r="H4344" s="24">
        <v>177.0</v>
      </c>
      <c r="I4344" s="24">
        <v>0.0</v>
      </c>
      <c r="J4344" s="24">
        <v>1.0</v>
      </c>
      <c r="K4344" s="23" t="s">
        <v>34</v>
      </c>
      <c r="L4344" s="25">
        <v>41410.3387037037</v>
      </c>
      <c r="M4344" s="26" t="s">
        <v>4225</v>
      </c>
      <c r="N4344" s="26" t="s">
        <v>10035</v>
      </c>
      <c r="O4344" s="22" t="str">
        <f>HYPERLINK("https://pbs.twimg.com/profile_images/3750921448/4cdaa060f503e4af3be3ff7cea36a557_normal.jpeg","View")</f>
        <v>View</v>
      </c>
      <c r="P4344" s="27"/>
    </row>
    <row r="4345">
      <c r="A4345" s="14">
        <v>43031.274236111116</v>
      </c>
      <c r="B4345" s="20" t="str">
        <f>HYPERLINK("https://twitter.com/DineshS12840884","@DineshS12840884")</f>
        <v>@DineshS12840884</v>
      </c>
      <c r="C4345" s="21" t="s">
        <v>10036</v>
      </c>
      <c r="D4345" s="21" t="s">
        <v>42</v>
      </c>
      <c r="E4345" s="22" t="str">
        <f>HYPERLINK("https://twitter.com/DineshS12840884/status/922456298184044544","922456298184044544")</f>
        <v>922456298184044544</v>
      </c>
      <c r="F4345" s="23" t="s">
        <v>33</v>
      </c>
      <c r="G4345" s="24">
        <v>0.0</v>
      </c>
      <c r="H4345" s="24">
        <v>117.0</v>
      </c>
      <c r="I4345" s="24">
        <v>8501.0</v>
      </c>
      <c r="J4345" s="24">
        <v>0.0</v>
      </c>
      <c r="K4345" s="23" t="s">
        <v>34</v>
      </c>
      <c r="L4345" s="25">
        <v>43026.01972222222</v>
      </c>
      <c r="M4345" s="28"/>
      <c r="N4345" s="28"/>
      <c r="O4345" s="22" t="str">
        <f>HYPERLINK("https://abs.twimg.com/sticky/default_profile_images/default_profile_normal.png","View")</f>
        <v>View</v>
      </c>
      <c r="P4345" s="27"/>
    </row>
    <row r="4346">
      <c r="A4346" s="14">
        <v>43031.274259259255</v>
      </c>
      <c r="B4346" s="20" t="str">
        <f>HYPERLINK("https://twitter.com/tiondriaa","@tiondriaa")</f>
        <v>@tiondriaa</v>
      </c>
      <c r="C4346" s="21" t="s">
        <v>10037</v>
      </c>
      <c r="D4346" s="21" t="s">
        <v>2595</v>
      </c>
      <c r="E4346" s="22" t="str">
        <f>HYPERLINK("https://twitter.com/tiondriaa/status/922456304433750016","922456304433750016")</f>
        <v>922456304433750016</v>
      </c>
      <c r="F4346" s="23" t="s">
        <v>39</v>
      </c>
      <c r="G4346" s="24">
        <v>5831.0</v>
      </c>
      <c r="H4346" s="24">
        <v>5801.0</v>
      </c>
      <c r="I4346" s="24">
        <v>170.0</v>
      </c>
      <c r="J4346" s="24">
        <v>0.0</v>
      </c>
      <c r="K4346" s="23" t="s">
        <v>34</v>
      </c>
      <c r="L4346" s="25">
        <v>40542.540625</v>
      </c>
      <c r="M4346" s="26" t="s">
        <v>6939</v>
      </c>
      <c r="N4346" s="26" t="s">
        <v>10038</v>
      </c>
      <c r="O4346" s="22" t="str">
        <f>HYPERLINK("https://pbs.twimg.com/profile_images/920808848646172672/IlyHQo9F_normal.jpg","View")</f>
        <v>View</v>
      </c>
      <c r="P4346" s="27"/>
    </row>
    <row r="4347">
      <c r="A4347" s="14">
        <v>43031.27431712963</v>
      </c>
      <c r="B4347" s="20" t="str">
        <f>HYPERLINK("https://twitter.com/kelownascott","@kelownascott")</f>
        <v>@kelownascott</v>
      </c>
      <c r="C4347" s="21" t="s">
        <v>10039</v>
      </c>
      <c r="D4347" s="21" t="s">
        <v>10040</v>
      </c>
      <c r="E4347" s="22" t="str">
        <f>HYPERLINK("https://twitter.com/kelownascott/status/922456328781438977","922456328781438977")</f>
        <v>922456328781438977</v>
      </c>
      <c r="F4347" s="23" t="s">
        <v>55</v>
      </c>
      <c r="G4347" s="24">
        <v>3582.0</v>
      </c>
      <c r="H4347" s="24">
        <v>3778.0</v>
      </c>
      <c r="I4347" s="24">
        <v>1.0</v>
      </c>
      <c r="J4347" s="24">
        <v>0.0</v>
      </c>
      <c r="K4347" s="23" t="s">
        <v>34</v>
      </c>
      <c r="L4347" s="25">
        <v>40991.82125</v>
      </c>
      <c r="M4347" s="26" t="s">
        <v>10041</v>
      </c>
      <c r="N4347" s="26" t="s">
        <v>10042</v>
      </c>
      <c r="O4347" s="22" t="str">
        <f>HYPERLINK("https://pbs.twimg.com/profile_images/852911734830489601/T7jAP8EU_normal.jpg","View")</f>
        <v>View</v>
      </c>
      <c r="P4347" s="27"/>
    </row>
    <row r="4348">
      <c r="A4348" s="14">
        <v>43031.274363425924</v>
      </c>
      <c r="B4348" s="20" t="str">
        <f>HYPERLINK("https://twitter.com/vivian_e","@vivian_e")</f>
        <v>@vivian_e</v>
      </c>
      <c r="C4348" s="21" t="s">
        <v>10043</v>
      </c>
      <c r="D4348" s="21" t="s">
        <v>8665</v>
      </c>
      <c r="E4348" s="22" t="str">
        <f>HYPERLINK("https://twitter.com/vivian_e/status/922456344220917761","922456344220917761")</f>
        <v>922456344220917761</v>
      </c>
      <c r="F4348" s="23" t="s">
        <v>39</v>
      </c>
      <c r="G4348" s="24">
        <v>13798.0</v>
      </c>
      <c r="H4348" s="24">
        <v>2042.0</v>
      </c>
      <c r="I4348" s="24">
        <v>67.0</v>
      </c>
      <c r="J4348" s="24">
        <v>0.0</v>
      </c>
      <c r="K4348" s="23" t="s">
        <v>34</v>
      </c>
      <c r="L4348" s="25">
        <v>39465.184537037036</v>
      </c>
      <c r="M4348" s="26" t="s">
        <v>10044</v>
      </c>
      <c r="N4348" s="26" t="s">
        <v>10045</v>
      </c>
      <c r="O4348" s="22" t="str">
        <f>HYPERLINK("https://pbs.twimg.com/profile_images/315343839/The_red_apple_normal.jpg","View")</f>
        <v>View</v>
      </c>
      <c r="P4348" s="27"/>
    </row>
    <row r="4349">
      <c r="A4349" s="14">
        <v>43031.27449074074</v>
      </c>
      <c r="B4349" s="20" t="str">
        <f>HYPERLINK("https://twitter.com/RahulRo04894059","@RahulRo04894059")</f>
        <v>@RahulRo04894059</v>
      </c>
      <c r="C4349" s="21" t="s">
        <v>10046</v>
      </c>
      <c r="D4349" s="21" t="s">
        <v>42</v>
      </c>
      <c r="E4349" s="22" t="str">
        <f>HYPERLINK("https://twitter.com/RahulRo04894059/status/922456389510991874","922456389510991874")</f>
        <v>922456389510991874</v>
      </c>
      <c r="F4349" s="23" t="s">
        <v>33</v>
      </c>
      <c r="G4349" s="24">
        <v>14.0</v>
      </c>
      <c r="H4349" s="24">
        <v>29.0</v>
      </c>
      <c r="I4349" s="24">
        <v>8501.0</v>
      </c>
      <c r="J4349" s="24">
        <v>0.0</v>
      </c>
      <c r="K4349" s="23" t="s">
        <v>34</v>
      </c>
      <c r="L4349" s="25">
        <v>42992.82388888889</v>
      </c>
      <c r="M4349" s="26" t="s">
        <v>204</v>
      </c>
      <c r="N4349" s="26" t="s">
        <v>10047</v>
      </c>
      <c r="O4349" s="22" t="str">
        <f>HYPERLINK("https://pbs.twimg.com/profile_images/912767918315683840/oFAycaw5_normal.jpg","View")</f>
        <v>View</v>
      </c>
      <c r="P4349" s="27"/>
    </row>
    <row r="4350">
      <c r="A4350" s="14">
        <v>43031.27457175926</v>
      </c>
      <c r="B4350" s="20" t="str">
        <f>HYPERLINK("https://twitter.com/punjabimodern1","@punjabimodern1")</f>
        <v>@punjabimodern1</v>
      </c>
      <c r="C4350" s="21" t="s">
        <v>10048</v>
      </c>
      <c r="D4350" s="21" t="s">
        <v>10049</v>
      </c>
      <c r="E4350" s="22" t="str">
        <f>HYPERLINK("https://twitter.com/punjabimodern1/status/922456419428962304","922456419428962304")</f>
        <v>922456419428962304</v>
      </c>
      <c r="F4350" s="23" t="s">
        <v>55</v>
      </c>
      <c r="G4350" s="24">
        <v>1244.0</v>
      </c>
      <c r="H4350" s="24">
        <v>1442.0</v>
      </c>
      <c r="I4350" s="24">
        <v>4.0</v>
      </c>
      <c r="J4350" s="24">
        <v>0.0</v>
      </c>
      <c r="K4350" s="23" t="s">
        <v>34</v>
      </c>
      <c r="L4350" s="25">
        <v>41656.53048611111</v>
      </c>
      <c r="M4350" s="28"/>
      <c r="N4350" s="28"/>
      <c r="O4350" s="22" t="str">
        <f>HYPERLINK("https://pbs.twimg.com/profile_images/912014863718903813/qPjp9kdx_normal.jpg","View")</f>
        <v>View</v>
      </c>
      <c r="P4350" s="27"/>
    </row>
    <row r="4351">
      <c r="A4351" s="14">
        <v>43031.274606481486</v>
      </c>
      <c r="B4351" s="20" t="str">
        <f>HYPERLINK("https://twitter.com/tokyo_0","@tokyo_0")</f>
        <v>@tokyo_0</v>
      </c>
      <c r="C4351" s="21" t="s">
        <v>10050</v>
      </c>
      <c r="D4351" s="21" t="s">
        <v>42</v>
      </c>
      <c r="E4351" s="22" t="str">
        <f>HYPERLINK("https://twitter.com/tokyo_0/status/922456432108171265","922456432108171265")</f>
        <v>922456432108171265</v>
      </c>
      <c r="F4351" s="23" t="s">
        <v>55</v>
      </c>
      <c r="G4351" s="24">
        <v>2391.0</v>
      </c>
      <c r="H4351" s="24">
        <v>3216.0</v>
      </c>
      <c r="I4351" s="24">
        <v>8501.0</v>
      </c>
      <c r="J4351" s="24">
        <v>0.0</v>
      </c>
      <c r="K4351" s="23" t="s">
        <v>34</v>
      </c>
      <c r="L4351" s="25">
        <v>40501.135925925926</v>
      </c>
      <c r="M4351" s="26" t="s">
        <v>923</v>
      </c>
      <c r="N4351" s="26" t="s">
        <v>10051</v>
      </c>
      <c r="O4351" s="22" t="str">
        <f>HYPERLINK("https://pbs.twimg.com/profile_images/878869037094100994/AasGZbdV_normal.jpg","View")</f>
        <v>View</v>
      </c>
      <c r="P4351" s="27"/>
    </row>
    <row r="4352">
      <c r="A4352" s="14">
        <v>43031.274629629625</v>
      </c>
      <c r="B4352" s="20" t="str">
        <f>HYPERLINK("https://twitter.com/Divraniya123","@Divraniya123")</f>
        <v>@Divraniya123</v>
      </c>
      <c r="C4352" s="21" t="s">
        <v>10052</v>
      </c>
      <c r="D4352" s="21" t="s">
        <v>42</v>
      </c>
      <c r="E4352" s="22" t="str">
        <f>HYPERLINK("https://twitter.com/Divraniya123/status/922456440270401536","922456440270401536")</f>
        <v>922456440270401536</v>
      </c>
      <c r="F4352" s="23" t="s">
        <v>33</v>
      </c>
      <c r="G4352" s="24">
        <v>5.0</v>
      </c>
      <c r="H4352" s="24">
        <v>98.0</v>
      </c>
      <c r="I4352" s="24">
        <v>8501.0</v>
      </c>
      <c r="J4352" s="24">
        <v>0.0</v>
      </c>
      <c r="K4352" s="23" t="s">
        <v>34</v>
      </c>
      <c r="L4352" s="25">
        <v>43031.27068287037</v>
      </c>
      <c r="M4352" s="28"/>
      <c r="N4352" s="28"/>
      <c r="O4352" s="22" t="str">
        <f>HYPERLINK("https://abs.twimg.com/sticky/default_profile_images/default_profile_normal.png","View")</f>
        <v>View</v>
      </c>
      <c r="P4352" s="27"/>
    </row>
    <row r="4353">
      <c r="A4353" s="14">
        <v>43031.27494212963</v>
      </c>
      <c r="B4353" s="20" t="str">
        <f>HYPERLINK("https://twitter.com/skshastri1983","@skshastri1983")</f>
        <v>@skshastri1983</v>
      </c>
      <c r="C4353" s="21" t="s">
        <v>10053</v>
      </c>
      <c r="D4353" s="21" t="s">
        <v>42</v>
      </c>
      <c r="E4353" s="22" t="str">
        <f>HYPERLINK("https://twitter.com/skshastri1983/status/922456555814928388","922456555814928388")</f>
        <v>922456555814928388</v>
      </c>
      <c r="F4353" s="23" t="s">
        <v>33</v>
      </c>
      <c r="G4353" s="24">
        <v>262.0</v>
      </c>
      <c r="H4353" s="24">
        <v>416.0</v>
      </c>
      <c r="I4353" s="24">
        <v>8501.0</v>
      </c>
      <c r="J4353" s="24">
        <v>0.0</v>
      </c>
      <c r="K4353" s="23" t="s">
        <v>34</v>
      </c>
      <c r="L4353" s="25">
        <v>42695.38622685186</v>
      </c>
      <c r="M4353" s="26" t="s">
        <v>575</v>
      </c>
      <c r="N4353" s="26" t="s">
        <v>10054</v>
      </c>
      <c r="O4353" s="22" t="str">
        <f>HYPERLINK("https://pbs.twimg.com/profile_images/860459667654197249/lKHysJdP_normal.jpg","View")</f>
        <v>View</v>
      </c>
      <c r="P4353" s="27"/>
    </row>
    <row r="4354">
      <c r="A4354" s="14">
        <v>43031.27502314815</v>
      </c>
      <c r="B4354" s="20" t="str">
        <f>HYPERLINK("https://twitter.com/tetsuo_yoshida","@tetsuo_yoshida")</f>
        <v>@tetsuo_yoshida</v>
      </c>
      <c r="C4354" s="21" t="s">
        <v>10055</v>
      </c>
      <c r="D4354" s="21" t="s">
        <v>10056</v>
      </c>
      <c r="E4354" s="22" t="str">
        <f>HYPERLINK("https://twitter.com/tetsuo_yoshida/status/922456584499863552","922456584499863552")</f>
        <v>922456584499863552</v>
      </c>
      <c r="F4354" s="23" t="s">
        <v>55</v>
      </c>
      <c r="G4354" s="24">
        <v>1576.0</v>
      </c>
      <c r="H4354" s="24">
        <v>4931.0</v>
      </c>
      <c r="I4354" s="24">
        <v>0.0</v>
      </c>
      <c r="J4354" s="24">
        <v>0.0</v>
      </c>
      <c r="K4354" s="23" t="s">
        <v>34</v>
      </c>
      <c r="L4354" s="25">
        <v>42062.237488425926</v>
      </c>
      <c r="M4354" s="26" t="s">
        <v>10057</v>
      </c>
      <c r="N4354" s="26" t="s">
        <v>10058</v>
      </c>
      <c r="O4354" s="22" t="str">
        <f>HYPERLINK("https://pbs.twimg.com/profile_images/571304569401901056/5lHrgzPa_normal.jpeg","View")</f>
        <v>View</v>
      </c>
      <c r="P4354" s="27"/>
    </row>
    <row r="4355">
      <c r="A4355" s="14">
        <v>43031.275092592594</v>
      </c>
      <c r="B4355" s="20" t="str">
        <f>HYPERLINK("https://twitter.com/LItllisa119","@LItllisa119")</f>
        <v>@LItllisa119</v>
      </c>
      <c r="C4355" s="21" t="s">
        <v>10059</v>
      </c>
      <c r="D4355" s="21" t="s">
        <v>99</v>
      </c>
      <c r="E4355" s="22" t="str">
        <f>HYPERLINK("https://twitter.com/LItllisa119/status/922456609867157504","922456609867157504")</f>
        <v>922456609867157504</v>
      </c>
      <c r="F4355" s="23" t="s">
        <v>39</v>
      </c>
      <c r="G4355" s="24">
        <v>196.0</v>
      </c>
      <c r="H4355" s="24">
        <v>184.0</v>
      </c>
      <c r="I4355" s="24">
        <v>72.0</v>
      </c>
      <c r="J4355" s="24">
        <v>0.0</v>
      </c>
      <c r="K4355" s="23" t="s">
        <v>34</v>
      </c>
      <c r="L4355" s="25">
        <v>42248.53778935185</v>
      </c>
      <c r="M4355" s="28"/>
      <c r="N4355" s="26" t="s">
        <v>10060</v>
      </c>
      <c r="O4355" s="22" t="str">
        <f>HYPERLINK("https://pbs.twimg.com/profile_images/899488410343223296/E4c-wyhL_normal.jpg","View")</f>
        <v>View</v>
      </c>
      <c r="P4355" s="27"/>
    </row>
    <row r="4356">
      <c r="A4356" s="14">
        <v>43031.275243055556</v>
      </c>
      <c r="B4356" s="20" t="str">
        <f>HYPERLINK("https://twitter.com/smukai","@smukai")</f>
        <v>@smukai</v>
      </c>
      <c r="C4356" s="21" t="s">
        <v>10061</v>
      </c>
      <c r="D4356" s="21" t="s">
        <v>213</v>
      </c>
      <c r="E4356" s="22" t="str">
        <f>HYPERLINK("https://twitter.com/smukai/status/922456662929170432","922456662929170432")</f>
        <v>922456662929170432</v>
      </c>
      <c r="F4356" s="23" t="s">
        <v>55</v>
      </c>
      <c r="G4356" s="24">
        <v>717.0</v>
      </c>
      <c r="H4356" s="24">
        <v>627.0</v>
      </c>
      <c r="I4356" s="24">
        <v>94.0</v>
      </c>
      <c r="J4356" s="24">
        <v>0.0</v>
      </c>
      <c r="K4356" s="23" t="s">
        <v>34</v>
      </c>
      <c r="L4356" s="25">
        <v>39778.9657175926</v>
      </c>
      <c r="M4356" s="26" t="s">
        <v>10062</v>
      </c>
      <c r="N4356" s="26" t="s">
        <v>10063</v>
      </c>
      <c r="O4356" s="22" t="str">
        <f>HYPERLINK("https://pbs.twimg.com/profile_images/718596595458007040/K5Xnd3Bp_normal.jpg","View")</f>
        <v>View</v>
      </c>
      <c r="P4356" s="27"/>
    </row>
    <row r="4357">
      <c r="A4357" s="14">
        <v>43031.275300925925</v>
      </c>
      <c r="B4357" s="20" t="str">
        <f>HYPERLINK("https://twitter.com/thalavikram1","@thalavikram1")</f>
        <v>@thalavikram1</v>
      </c>
      <c r="C4357" s="21" t="s">
        <v>10064</v>
      </c>
      <c r="D4357" s="21" t="s">
        <v>42</v>
      </c>
      <c r="E4357" s="22" t="str">
        <f>HYPERLINK("https://twitter.com/thalavikram1/status/922456684986896384","922456684986896384")</f>
        <v>922456684986896384</v>
      </c>
      <c r="F4357" s="23" t="s">
        <v>33</v>
      </c>
      <c r="G4357" s="24">
        <v>20.0</v>
      </c>
      <c r="H4357" s="24">
        <v>144.0</v>
      </c>
      <c r="I4357" s="24">
        <v>8501.0</v>
      </c>
      <c r="J4357" s="24">
        <v>0.0</v>
      </c>
      <c r="K4357" s="23" t="s">
        <v>34</v>
      </c>
      <c r="L4357" s="25">
        <v>41019.1766087963</v>
      </c>
      <c r="M4357" s="26" t="s">
        <v>10065</v>
      </c>
      <c r="N4357" s="28"/>
      <c r="O4357" s="22" t="str">
        <f>HYPERLINK("https://pbs.twimg.com/profile_images/922460964955373571/6ULnOMup_normal.jpg","View")</f>
        <v>View</v>
      </c>
      <c r="P4357" s="27"/>
    </row>
    <row r="4358">
      <c r="A4358" s="14">
        <v>43031.27537037037</v>
      </c>
      <c r="B4358" s="20" t="str">
        <f>HYPERLINK("https://twitter.com/ankitdey89","@ankitdey89")</f>
        <v>@ankitdey89</v>
      </c>
      <c r="C4358" s="21" t="s">
        <v>10066</v>
      </c>
      <c r="D4358" s="21" t="s">
        <v>42</v>
      </c>
      <c r="E4358" s="22" t="str">
        <f>HYPERLINK("https://twitter.com/ankitdey89/status/922456708068397057","922456708068397057")</f>
        <v>922456708068397057</v>
      </c>
      <c r="F4358" s="23" t="s">
        <v>33</v>
      </c>
      <c r="G4358" s="24">
        <v>204.0</v>
      </c>
      <c r="H4358" s="24">
        <v>1231.0</v>
      </c>
      <c r="I4358" s="24">
        <v>8501.0</v>
      </c>
      <c r="J4358" s="24">
        <v>0.0</v>
      </c>
      <c r="K4358" s="23" t="s">
        <v>34</v>
      </c>
      <c r="L4358" s="25">
        <v>40852.14423611111</v>
      </c>
      <c r="M4358" s="26" t="s">
        <v>10067</v>
      </c>
      <c r="N4358" s="28"/>
      <c r="O4358" s="22" t="str">
        <f>HYPERLINK("https://pbs.twimg.com/profile_images/660751766611435520/nohYmyMP_normal.jpg","View")</f>
        <v>View</v>
      </c>
      <c r="P4358" s="27"/>
    </row>
    <row r="4359">
      <c r="A4359" s="14">
        <v>43031.275555555556</v>
      </c>
      <c r="B4359" s="20" t="str">
        <f>HYPERLINK("https://twitter.com/OnlyforNaMo","@OnlyforNaMo")</f>
        <v>@OnlyforNaMo</v>
      </c>
      <c r="C4359" s="21" t="s">
        <v>10068</v>
      </c>
      <c r="D4359" s="21" t="s">
        <v>42</v>
      </c>
      <c r="E4359" s="22" t="str">
        <f>HYPERLINK("https://twitter.com/OnlyforNaMo/status/922456777102278657","922456777102278657")</f>
        <v>922456777102278657</v>
      </c>
      <c r="F4359" s="23" t="s">
        <v>33</v>
      </c>
      <c r="G4359" s="24">
        <v>18.0</v>
      </c>
      <c r="H4359" s="24">
        <v>11.0</v>
      </c>
      <c r="I4359" s="24">
        <v>8501.0</v>
      </c>
      <c r="J4359" s="24">
        <v>0.0</v>
      </c>
      <c r="K4359" s="23" t="s">
        <v>34</v>
      </c>
      <c r="L4359" s="25">
        <v>42920.418217592596</v>
      </c>
      <c r="M4359" s="28"/>
      <c r="N4359" s="26" t="s">
        <v>10069</v>
      </c>
      <c r="O4359" s="22" t="str">
        <f>HYPERLINK("https://pbs.twimg.com/profile_images/882665307000713217/43Fl0uFe_normal.jpg","View")</f>
        <v>View</v>
      </c>
      <c r="P4359" s="27"/>
    </row>
    <row r="4360">
      <c r="A4360" s="14">
        <v>43031.27564814815</v>
      </c>
      <c r="B4360" s="20" t="str">
        <f>HYPERLINK("https://twitter.com/UnitedNewsofUSA","@UnitedNewsofUSA")</f>
        <v>@UnitedNewsofUSA</v>
      </c>
      <c r="C4360" s="21" t="s">
        <v>10070</v>
      </c>
      <c r="D4360" s="21" t="s">
        <v>10071</v>
      </c>
      <c r="E4360" s="22" t="str">
        <f>HYPERLINK("https://twitter.com/UnitedNewsofUSA/status/922456809939587072","922456809939587072")</f>
        <v>922456809939587072</v>
      </c>
      <c r="F4360" s="23" t="s">
        <v>91</v>
      </c>
      <c r="G4360" s="24">
        <v>829.0</v>
      </c>
      <c r="H4360" s="24">
        <v>353.0</v>
      </c>
      <c r="I4360" s="24">
        <v>0.0</v>
      </c>
      <c r="J4360" s="24">
        <v>0.0</v>
      </c>
      <c r="K4360" s="23" t="s">
        <v>34</v>
      </c>
      <c r="L4360" s="25">
        <v>40484.91976851852</v>
      </c>
      <c r="M4360" s="26" t="s">
        <v>5253</v>
      </c>
      <c r="N4360" s="26" t="s">
        <v>10072</v>
      </c>
      <c r="O4360" s="22" t="str">
        <f>HYPERLINK("https://pbs.twimg.com/profile_images/1158652175/Avatar250x250_normal.jpg","View")</f>
        <v>View</v>
      </c>
      <c r="P4360" s="27"/>
    </row>
    <row r="4361">
      <c r="A4361" s="14">
        <v>43031.27565972222</v>
      </c>
      <c r="B4361" s="20" t="str">
        <f>HYPERLINK("https://twitter.com/Manojschordiya","@Manojschordiya")</f>
        <v>@Manojschordiya</v>
      </c>
      <c r="C4361" s="21" t="s">
        <v>10073</v>
      </c>
      <c r="D4361" s="21" t="s">
        <v>42</v>
      </c>
      <c r="E4361" s="22" t="str">
        <f>HYPERLINK("https://twitter.com/Manojschordiya/status/922456812422512640","922456812422512640")</f>
        <v>922456812422512640</v>
      </c>
      <c r="F4361" s="23" t="s">
        <v>33</v>
      </c>
      <c r="G4361" s="24">
        <v>19.0</v>
      </c>
      <c r="H4361" s="24">
        <v>69.0</v>
      </c>
      <c r="I4361" s="24">
        <v>8501.0</v>
      </c>
      <c r="J4361" s="24">
        <v>0.0</v>
      </c>
      <c r="K4361" s="23" t="s">
        <v>34</v>
      </c>
      <c r="L4361" s="25">
        <v>40910.87268518518</v>
      </c>
      <c r="M4361" s="28"/>
      <c r="N4361" s="28"/>
      <c r="O4361" s="22" t="str">
        <f>HYPERLINK("https://pbs.twimg.com/profile_images/569167342257446912/_DFtz4t9_normal.jpeg","View")</f>
        <v>View</v>
      </c>
      <c r="P4361" s="27"/>
    </row>
    <row r="4362">
      <c r="A4362" s="14">
        <v>43031.27570601852</v>
      </c>
      <c r="B4362" s="20" t="str">
        <f>HYPERLINK("https://twitter.com/cement_403fb","@cement_403fb")</f>
        <v>@cement_403fb</v>
      </c>
      <c r="C4362" s="21" t="s">
        <v>10074</v>
      </c>
      <c r="D4362" s="21" t="s">
        <v>10049</v>
      </c>
      <c r="E4362" s="22" t="str">
        <f>HYPERLINK("https://twitter.com/cement_403fb/status/922456831292669953","922456831292669953")</f>
        <v>922456831292669953</v>
      </c>
      <c r="F4362" s="23" t="s">
        <v>5256</v>
      </c>
      <c r="G4362" s="24">
        <v>149.0</v>
      </c>
      <c r="H4362" s="24">
        <v>168.0</v>
      </c>
      <c r="I4362" s="24">
        <v>4.0</v>
      </c>
      <c r="J4362" s="24">
        <v>0.0</v>
      </c>
      <c r="K4362" s="23" t="s">
        <v>34</v>
      </c>
      <c r="L4362" s="25">
        <v>40559.19421296296</v>
      </c>
      <c r="M4362" s="26" t="s">
        <v>10075</v>
      </c>
      <c r="N4362" s="26" t="s">
        <v>10076</v>
      </c>
      <c r="O4362" s="22" t="str">
        <f>HYPERLINK("https://pbs.twimg.com/profile_images/848191353842356224/u8cextDr_normal.jpg","View")</f>
        <v>View</v>
      </c>
      <c r="P4362" s="27"/>
    </row>
    <row r="4363">
      <c r="A4363" s="14">
        <v>43031.27581018519</v>
      </c>
      <c r="B4363" s="20" t="str">
        <f>HYPERLINK("https://twitter.com/sichiri","@sichiri")</f>
        <v>@sichiri</v>
      </c>
      <c r="C4363" s="21" t="s">
        <v>10077</v>
      </c>
      <c r="D4363" s="21" t="s">
        <v>1642</v>
      </c>
      <c r="E4363" s="22" t="str">
        <f>HYPERLINK("https://twitter.com/sichiri/status/922456867523014656","922456867523014656")</f>
        <v>922456867523014656</v>
      </c>
      <c r="F4363" s="23" t="s">
        <v>39</v>
      </c>
      <c r="G4363" s="24">
        <v>472.0</v>
      </c>
      <c r="H4363" s="24">
        <v>411.0</v>
      </c>
      <c r="I4363" s="24">
        <v>199.0</v>
      </c>
      <c r="J4363" s="24">
        <v>0.0</v>
      </c>
      <c r="K4363" s="23" t="s">
        <v>34</v>
      </c>
      <c r="L4363" s="25">
        <v>39196.30133101852</v>
      </c>
      <c r="M4363" s="26" t="s">
        <v>10078</v>
      </c>
      <c r="N4363" s="26" t="s">
        <v>10079</v>
      </c>
      <c r="O4363" s="22" t="str">
        <f>HYPERLINK("https://pbs.twimg.com/profile_images/871840904499183616/C851mVZ7_normal.jpg","View")</f>
        <v>View</v>
      </c>
      <c r="P4363" s="27"/>
    </row>
    <row r="4364">
      <c r="A4364" s="14">
        <v>43031.27596064815</v>
      </c>
      <c r="B4364" s="20" t="str">
        <f>HYPERLINK("https://twitter.com/ilynalvarez","@ilynalvarez")</f>
        <v>@ilynalvarez</v>
      </c>
      <c r="C4364" s="21" t="s">
        <v>10080</v>
      </c>
      <c r="D4364" s="21" t="s">
        <v>170</v>
      </c>
      <c r="E4364" s="22" t="str">
        <f>HYPERLINK("https://twitter.com/ilynalvarez/status/922456924003606528","922456924003606528")</f>
        <v>922456924003606528</v>
      </c>
      <c r="F4364" s="23" t="s">
        <v>230</v>
      </c>
      <c r="G4364" s="24">
        <v>17.0</v>
      </c>
      <c r="H4364" s="24">
        <v>336.0</v>
      </c>
      <c r="I4364" s="24">
        <v>9.0</v>
      </c>
      <c r="J4364" s="24">
        <v>0.0</v>
      </c>
      <c r="K4364" s="23" t="s">
        <v>34</v>
      </c>
      <c r="L4364" s="25">
        <v>41298.26709490741</v>
      </c>
      <c r="M4364" s="28"/>
      <c r="N4364" s="28"/>
      <c r="O4364" s="22" t="str">
        <f>HYPERLINK("https://pbs.twimg.com/profile_images/920320270833012736/H0AeBk9k_normal.jpg","View")</f>
        <v>View</v>
      </c>
      <c r="P4364" s="27"/>
    </row>
    <row r="4365">
      <c r="A4365" s="14">
        <v>43031.27601851852</v>
      </c>
      <c r="B4365" s="20" t="str">
        <f>HYPERLINK("https://twitter.com/makisstasinos","@makisstasinos")</f>
        <v>@makisstasinos</v>
      </c>
      <c r="C4365" s="21" t="s">
        <v>10081</v>
      </c>
      <c r="D4365" s="21" t="s">
        <v>10082</v>
      </c>
      <c r="E4365" s="22" t="str">
        <f>HYPERLINK("https://twitter.com/makisstasinos/status/922456944010514432","922456944010514432")</f>
        <v>922456944010514432</v>
      </c>
      <c r="F4365" s="23" t="s">
        <v>230</v>
      </c>
      <c r="G4365" s="24">
        <v>455.0</v>
      </c>
      <c r="H4365" s="24">
        <v>498.0</v>
      </c>
      <c r="I4365" s="24">
        <v>0.0</v>
      </c>
      <c r="J4365" s="24">
        <v>0.0</v>
      </c>
      <c r="K4365" s="23" t="s">
        <v>34</v>
      </c>
      <c r="L4365" s="25">
        <v>41119.42024305556</v>
      </c>
      <c r="M4365" s="26" t="s">
        <v>10083</v>
      </c>
      <c r="N4365" s="26" t="s">
        <v>10084</v>
      </c>
      <c r="O4365" s="22" t="str">
        <f>HYPERLINK("https://pbs.twimg.com/profile_images/378800000524335150/ee36ec3215ee61bc1d3a1f0476348c69_normal.jpeg","View")</f>
        <v>View</v>
      </c>
      <c r="P4365" s="27"/>
    </row>
    <row r="4366">
      <c r="A4366" s="14">
        <v>43031.27605324074</v>
      </c>
      <c r="B4366" s="20" t="str">
        <f>HYPERLINK("https://twitter.com/LilaFlw","@LilaFlw")</f>
        <v>@LilaFlw</v>
      </c>
      <c r="C4366" s="21" t="s">
        <v>10085</v>
      </c>
      <c r="D4366" s="21" t="s">
        <v>9978</v>
      </c>
      <c r="E4366" s="22" t="str">
        <f>HYPERLINK("https://twitter.com/LilaFlw/status/922456955104514050","922456955104514050")</f>
        <v>922456955104514050</v>
      </c>
      <c r="F4366" s="23" t="s">
        <v>39</v>
      </c>
      <c r="G4366" s="24">
        <v>482.0</v>
      </c>
      <c r="H4366" s="24">
        <v>359.0</v>
      </c>
      <c r="I4366" s="24">
        <v>3.0</v>
      </c>
      <c r="J4366" s="24">
        <v>0.0</v>
      </c>
      <c r="K4366" s="23" t="s">
        <v>34</v>
      </c>
      <c r="L4366" s="25">
        <v>40946.47457175926</v>
      </c>
      <c r="M4366" s="26" t="s">
        <v>68</v>
      </c>
      <c r="N4366" s="26" t="s">
        <v>10086</v>
      </c>
      <c r="O4366" s="22" t="str">
        <f>HYPERLINK("https://pbs.twimg.com/profile_images/581436924650528768/2sthejQd_normal.jpg","View")</f>
        <v>View</v>
      </c>
      <c r="P4366" s="27"/>
    </row>
    <row r="4367">
      <c r="A4367" s="14">
        <v>43031.27607638889</v>
      </c>
      <c r="B4367" s="20" t="str">
        <f>HYPERLINK("https://twitter.com/sonuverma123654","@sonuverma123654")</f>
        <v>@sonuverma123654</v>
      </c>
      <c r="C4367" s="21" t="s">
        <v>10087</v>
      </c>
      <c r="D4367" s="21" t="s">
        <v>42</v>
      </c>
      <c r="E4367" s="22" t="str">
        <f>HYPERLINK("https://twitter.com/sonuverma123654/status/922456964000395264","922456964000395264")</f>
        <v>922456964000395264</v>
      </c>
      <c r="F4367" s="23" t="s">
        <v>33</v>
      </c>
      <c r="G4367" s="24">
        <v>8.0</v>
      </c>
      <c r="H4367" s="24">
        <v>129.0</v>
      </c>
      <c r="I4367" s="24">
        <v>8501.0</v>
      </c>
      <c r="J4367" s="24">
        <v>0.0</v>
      </c>
      <c r="K4367" s="23" t="s">
        <v>34</v>
      </c>
      <c r="L4367" s="25">
        <v>42844.45006944444</v>
      </c>
      <c r="M4367" s="26" t="s">
        <v>10088</v>
      </c>
      <c r="N4367" s="28"/>
      <c r="O4367" s="22" t="str">
        <f>HYPERLINK("https://abs.twimg.com/sticky/default_profile_images/default_profile_normal.png","View")</f>
        <v>View</v>
      </c>
      <c r="P4367" s="27"/>
    </row>
    <row r="4368">
      <c r="A4368" s="14">
        <v>43031.27611111111</v>
      </c>
      <c r="B4368" s="20" t="str">
        <f>HYPERLINK("https://twitter.com/karenchristino","@karenchristino")</f>
        <v>@karenchristino</v>
      </c>
      <c r="C4368" s="21" t="s">
        <v>10089</v>
      </c>
      <c r="D4368" s="21" t="s">
        <v>10090</v>
      </c>
      <c r="E4368" s="22" t="str">
        <f>HYPERLINK("https://twitter.com/karenchristino/status/922456976994590721","922456976994590721")</f>
        <v>922456976994590721</v>
      </c>
      <c r="F4368" s="23" t="s">
        <v>55</v>
      </c>
      <c r="G4368" s="24">
        <v>168.0</v>
      </c>
      <c r="H4368" s="24">
        <v>79.0</v>
      </c>
      <c r="I4368" s="24">
        <v>0.0</v>
      </c>
      <c r="J4368" s="24">
        <v>2.0</v>
      </c>
      <c r="K4368" s="23" t="s">
        <v>34</v>
      </c>
      <c r="L4368" s="25">
        <v>42436.49458333333</v>
      </c>
      <c r="M4368" s="26" t="s">
        <v>7142</v>
      </c>
      <c r="N4368" s="26" t="s">
        <v>10091</v>
      </c>
      <c r="O4368" s="22" t="str">
        <f>HYPERLINK("https://pbs.twimg.com/profile_images/714146539883642881/9z2Wj0Ta_normal.jpg","View")</f>
        <v>View</v>
      </c>
      <c r="P4368" s="27"/>
    </row>
    <row r="4369">
      <c r="A4369" s="14">
        <v>43031.2762037037</v>
      </c>
      <c r="B4369" s="20" t="str">
        <f>HYPERLINK("https://twitter.com/BouChan__","@BouChan__")</f>
        <v>@BouChan__</v>
      </c>
      <c r="C4369" s="21" t="s">
        <v>10092</v>
      </c>
      <c r="D4369" s="21" t="s">
        <v>10093</v>
      </c>
      <c r="E4369" s="22" t="str">
        <f>HYPERLINK("https://twitter.com/BouChan__/status/922457012109115393","922457012109115393")</f>
        <v>922457012109115393</v>
      </c>
      <c r="F4369" s="23" t="s">
        <v>2697</v>
      </c>
      <c r="G4369" s="24">
        <v>1119.0</v>
      </c>
      <c r="H4369" s="24">
        <v>1271.0</v>
      </c>
      <c r="I4369" s="24">
        <v>0.0</v>
      </c>
      <c r="J4369" s="24">
        <v>0.0</v>
      </c>
      <c r="K4369" s="23" t="s">
        <v>34</v>
      </c>
      <c r="L4369" s="25">
        <v>41772.04582175926</v>
      </c>
      <c r="M4369" s="26" t="s">
        <v>10094</v>
      </c>
      <c r="N4369" s="26" t="s">
        <v>10095</v>
      </c>
      <c r="O4369" s="22" t="str">
        <f>HYPERLINK("https://pbs.twimg.com/profile_images/901078418061578240/SEizY9ky_normal.jpg","View")</f>
        <v>View</v>
      </c>
      <c r="P4369" s="27"/>
    </row>
    <row r="4370">
      <c r="A4370" s="14">
        <v>43031.27630787037</v>
      </c>
      <c r="B4370" s="20" t="str">
        <f>HYPERLINK("https://twitter.com/yuki_kbs","@yuki_kbs")</f>
        <v>@yuki_kbs</v>
      </c>
      <c r="C4370" s="21" t="s">
        <v>10096</v>
      </c>
      <c r="D4370" s="21" t="s">
        <v>42</v>
      </c>
      <c r="E4370" s="22" t="str">
        <f>HYPERLINK("https://twitter.com/yuki_kbs/status/922457049224527872","922457049224527872")</f>
        <v>922457049224527872</v>
      </c>
      <c r="F4370" s="23" t="s">
        <v>43</v>
      </c>
      <c r="G4370" s="24">
        <v>60.0</v>
      </c>
      <c r="H4370" s="24">
        <v>83.0</v>
      </c>
      <c r="I4370" s="24">
        <v>8501.0</v>
      </c>
      <c r="J4370" s="24">
        <v>0.0</v>
      </c>
      <c r="K4370" s="23" t="s">
        <v>34</v>
      </c>
      <c r="L4370" s="25">
        <v>41432.96810185185</v>
      </c>
      <c r="M4370" s="26" t="s">
        <v>71</v>
      </c>
      <c r="N4370" s="26" t="s">
        <v>10097</v>
      </c>
      <c r="O4370" s="22" t="str">
        <f>HYPERLINK("https://pbs.twimg.com/profile_images/3770642471/4db51e06625513370d89ea595d60fc17_normal.jpeg","View")</f>
        <v>View</v>
      </c>
      <c r="P4370" s="27"/>
    </row>
    <row r="4371">
      <c r="A4371" s="14">
        <v>43031.27641203704</v>
      </c>
      <c r="B4371" s="20" t="str">
        <f>HYPERLINK("https://twitter.com/lakccollado","@lakccollado")</f>
        <v>@lakccollado</v>
      </c>
      <c r="C4371" s="21" t="s">
        <v>10098</v>
      </c>
      <c r="D4371" s="21" t="s">
        <v>2595</v>
      </c>
      <c r="E4371" s="22" t="str">
        <f>HYPERLINK("https://twitter.com/lakccollado/status/922457087363502091","922457087363502091")</f>
        <v>922457087363502091</v>
      </c>
      <c r="F4371" s="23" t="s">
        <v>39</v>
      </c>
      <c r="G4371" s="24">
        <v>560.0</v>
      </c>
      <c r="H4371" s="24">
        <v>507.0</v>
      </c>
      <c r="I4371" s="24">
        <v>170.0</v>
      </c>
      <c r="J4371" s="24">
        <v>0.0</v>
      </c>
      <c r="K4371" s="23" t="s">
        <v>34</v>
      </c>
      <c r="L4371" s="25">
        <v>40021.58665509259</v>
      </c>
      <c r="M4371" s="26" t="s">
        <v>10099</v>
      </c>
      <c r="N4371" s="26" t="s">
        <v>10100</v>
      </c>
      <c r="O4371" s="22" t="str">
        <f>HYPERLINK("https://pbs.twimg.com/profile_images/922843671619362816/GTrcAqKg_normal.jpg","View")</f>
        <v>View</v>
      </c>
      <c r="P4371" s="27"/>
    </row>
    <row r="4372">
      <c r="A4372" s="14">
        <v>43031.276446759264</v>
      </c>
      <c r="B4372" s="20" t="str">
        <f>HYPERLINK("https://twitter.com/HemanthyuviYuvi","@HemanthyuviYuvi")</f>
        <v>@HemanthyuviYuvi</v>
      </c>
      <c r="C4372" s="21" t="s">
        <v>10101</v>
      </c>
      <c r="D4372" s="21" t="s">
        <v>42</v>
      </c>
      <c r="E4372" s="22" t="str">
        <f>HYPERLINK("https://twitter.com/HemanthyuviYuvi/status/922457097190731776","922457097190731776")</f>
        <v>922457097190731776</v>
      </c>
      <c r="F4372" s="23" t="s">
        <v>33</v>
      </c>
      <c r="G4372" s="24">
        <v>19.0</v>
      </c>
      <c r="H4372" s="24">
        <v>44.0</v>
      </c>
      <c r="I4372" s="24">
        <v>8501.0</v>
      </c>
      <c r="J4372" s="24">
        <v>0.0</v>
      </c>
      <c r="K4372" s="23" t="s">
        <v>34</v>
      </c>
      <c r="L4372" s="25">
        <v>42182.1580787037</v>
      </c>
      <c r="M4372" s="28"/>
      <c r="N4372" s="28"/>
      <c r="O4372" s="22" t="str">
        <f>HYPERLINK("https://pbs.twimg.com/profile_images/820093794062389248/RgHsji8O_normal.jpg","View")</f>
        <v>View</v>
      </c>
      <c r="P4372" s="27"/>
    </row>
    <row r="4373">
      <c r="A4373" s="14">
        <v>43031.276458333334</v>
      </c>
      <c r="B4373" s="20" t="str">
        <f>HYPERLINK("https://twitter.com/iChinadian","@iChinadian")</f>
        <v>@iChinadian</v>
      </c>
      <c r="C4373" s="21" t="s">
        <v>10102</v>
      </c>
      <c r="D4373" s="21" t="s">
        <v>10103</v>
      </c>
      <c r="E4373" s="22" t="str">
        <f>HYPERLINK("https://twitter.com/iChinadian/status/922457101200269314","922457101200269314")</f>
        <v>922457101200269314</v>
      </c>
      <c r="F4373" s="23" t="s">
        <v>55</v>
      </c>
      <c r="G4373" s="24">
        <v>1388.0</v>
      </c>
      <c r="H4373" s="24">
        <v>629.0</v>
      </c>
      <c r="I4373" s="24">
        <v>1.0</v>
      </c>
      <c r="J4373" s="24">
        <v>1.0</v>
      </c>
      <c r="K4373" s="23" t="s">
        <v>34</v>
      </c>
      <c r="L4373" s="25">
        <v>40934.60733796297</v>
      </c>
      <c r="M4373" s="26" t="s">
        <v>10104</v>
      </c>
      <c r="N4373" s="26" t="s">
        <v>10105</v>
      </c>
      <c r="O4373" s="22" t="str">
        <f>HYPERLINK("https://pbs.twimg.com/profile_images/889222632796827648/jJByLL60_normal.jpg","View")</f>
        <v>View</v>
      </c>
      <c r="P4373" s="27"/>
    </row>
    <row r="4374">
      <c r="A4374" s="14">
        <v>43031.2765162037</v>
      </c>
      <c r="B4374" s="20" t="str">
        <f>HYPERLINK("https://twitter.com/Traveller_dev","@Traveller_dev")</f>
        <v>@Traveller_dev</v>
      </c>
      <c r="C4374" s="21" t="s">
        <v>10106</v>
      </c>
      <c r="D4374" s="21" t="s">
        <v>42</v>
      </c>
      <c r="E4374" s="22" t="str">
        <f>HYPERLINK("https://twitter.com/Traveller_dev/status/922457125586006016","922457125586006016")</f>
        <v>922457125586006016</v>
      </c>
      <c r="F4374" s="23" t="s">
        <v>33</v>
      </c>
      <c r="G4374" s="24">
        <v>13.0</v>
      </c>
      <c r="H4374" s="24">
        <v>760.0</v>
      </c>
      <c r="I4374" s="24">
        <v>8501.0</v>
      </c>
      <c r="J4374" s="24">
        <v>0.0</v>
      </c>
      <c r="K4374" s="23" t="s">
        <v>34</v>
      </c>
      <c r="L4374" s="25">
        <v>42101.29724537037</v>
      </c>
      <c r="M4374" s="26" t="s">
        <v>9859</v>
      </c>
      <c r="N4374" s="26" t="s">
        <v>10107</v>
      </c>
      <c r="O4374" s="22" t="str">
        <f>HYPERLINK("https://pbs.twimg.com/profile_images/922476989574889472/kNYjPpI3_normal.jpg","View")</f>
        <v>View</v>
      </c>
      <c r="P4374" s="27"/>
    </row>
    <row r="4375">
      <c r="A4375" s="14">
        <v>43031.27663194445</v>
      </c>
      <c r="B4375" s="20" t="str">
        <f>HYPERLINK("https://twitter.com/ShivamM25225757","@ShivamM25225757")</f>
        <v>@ShivamM25225757</v>
      </c>
      <c r="C4375" s="21" t="s">
        <v>10108</v>
      </c>
      <c r="D4375" s="21" t="s">
        <v>42</v>
      </c>
      <c r="E4375" s="22" t="str">
        <f>HYPERLINK("https://twitter.com/ShivamM25225757/status/922457164706279424","922457164706279424")</f>
        <v>922457164706279424</v>
      </c>
      <c r="F4375" s="23" t="s">
        <v>33</v>
      </c>
      <c r="G4375" s="24">
        <v>4.0</v>
      </c>
      <c r="H4375" s="24">
        <v>77.0</v>
      </c>
      <c r="I4375" s="24">
        <v>8501.0</v>
      </c>
      <c r="J4375" s="24">
        <v>0.0</v>
      </c>
      <c r="K4375" s="23" t="s">
        <v>34</v>
      </c>
      <c r="L4375" s="25">
        <v>42949.44134259259</v>
      </c>
      <c r="M4375" s="28"/>
      <c r="N4375" s="28"/>
      <c r="O4375" s="22" t="str">
        <f>HYPERLINK("https://pbs.twimg.com/profile_images/912705100732235776/ifpXFXXh_normal.jpg","View")</f>
        <v>View</v>
      </c>
      <c r="P4375" s="27"/>
    </row>
    <row r="4376">
      <c r="A4376" s="14">
        <v>43031.27670138889</v>
      </c>
      <c r="B4376" s="20" t="str">
        <f>HYPERLINK("https://twitter.com/SatishTraderji","@SatishTraderji")</f>
        <v>@SatishTraderji</v>
      </c>
      <c r="C4376" s="21" t="s">
        <v>10109</v>
      </c>
      <c r="D4376" s="21" t="s">
        <v>42</v>
      </c>
      <c r="E4376" s="22" t="str">
        <f>HYPERLINK("https://twitter.com/SatishTraderji/status/922457190316646400","922457190316646400")</f>
        <v>922457190316646400</v>
      </c>
      <c r="F4376" s="23" t="s">
        <v>33</v>
      </c>
      <c r="G4376" s="24">
        <v>50.0</v>
      </c>
      <c r="H4376" s="24">
        <v>255.0</v>
      </c>
      <c r="I4376" s="24">
        <v>8501.0</v>
      </c>
      <c r="J4376" s="24">
        <v>0.0</v>
      </c>
      <c r="K4376" s="23" t="s">
        <v>34</v>
      </c>
      <c r="L4376" s="25">
        <v>42215.79048611112</v>
      </c>
      <c r="M4376" s="28"/>
      <c r="N4376" s="26" t="s">
        <v>10110</v>
      </c>
      <c r="O4376" s="22" t="str">
        <f>HYPERLINK("https://pbs.twimg.com/profile_images/626936747109167105/OjDPPvVy_normal.jpg","View")</f>
        <v>View</v>
      </c>
      <c r="P4376" s="27"/>
    </row>
    <row r="4377">
      <c r="A4377" s="14">
        <v>43031.27673611111</v>
      </c>
      <c r="B4377" s="20" t="str">
        <f>HYPERLINK("https://twitter.com/baekxxx0506","@baekxxx0506")</f>
        <v>@baekxxx0506</v>
      </c>
      <c r="C4377" s="21" t="s">
        <v>10111</v>
      </c>
      <c r="D4377" s="21" t="s">
        <v>1642</v>
      </c>
      <c r="E4377" s="22" t="str">
        <f>HYPERLINK("https://twitter.com/baekxxx0506/status/922457202731794435","922457202731794435")</f>
        <v>922457202731794435</v>
      </c>
      <c r="F4377" s="23" t="s">
        <v>39</v>
      </c>
      <c r="G4377" s="24">
        <v>121.0</v>
      </c>
      <c r="H4377" s="24">
        <v>225.0</v>
      </c>
      <c r="I4377" s="24">
        <v>199.0</v>
      </c>
      <c r="J4377" s="24">
        <v>0.0</v>
      </c>
      <c r="K4377" s="23" t="s">
        <v>34</v>
      </c>
      <c r="L4377" s="25">
        <v>40854.182708333334</v>
      </c>
      <c r="M4377" s="28"/>
      <c r="N4377" s="26" t="s">
        <v>10112</v>
      </c>
      <c r="O4377" s="22" t="str">
        <f>HYPERLINK("https://pbs.twimg.com/profile_images/909351347484450816/VaxzdJXI_normal.jpg","View")</f>
        <v>View</v>
      </c>
      <c r="P4377" s="27"/>
    </row>
    <row r="4378">
      <c r="A4378" s="14">
        <v>43031.27673611111</v>
      </c>
      <c r="B4378" s="20" t="str">
        <f>HYPERLINK("https://twitter.com/LilaFlw","@LilaFlw")</f>
        <v>@LilaFlw</v>
      </c>
      <c r="C4378" s="21" t="s">
        <v>10085</v>
      </c>
      <c r="D4378" s="21" t="s">
        <v>7844</v>
      </c>
      <c r="E4378" s="22" t="str">
        <f>HYPERLINK("https://twitter.com/LilaFlw/status/922457203575083008","922457203575083008")</f>
        <v>922457203575083008</v>
      </c>
      <c r="F4378" s="23" t="s">
        <v>39</v>
      </c>
      <c r="G4378" s="24">
        <v>482.0</v>
      </c>
      <c r="H4378" s="24">
        <v>359.0</v>
      </c>
      <c r="I4378" s="24">
        <v>60.0</v>
      </c>
      <c r="J4378" s="24">
        <v>0.0</v>
      </c>
      <c r="K4378" s="23" t="s">
        <v>34</v>
      </c>
      <c r="L4378" s="25">
        <v>40946.47457175926</v>
      </c>
      <c r="M4378" s="26" t="s">
        <v>68</v>
      </c>
      <c r="N4378" s="26" t="s">
        <v>10086</v>
      </c>
      <c r="O4378" s="22" t="str">
        <f>HYPERLINK("https://pbs.twimg.com/profile_images/581436924650528768/2sthejQd_normal.jpg","View")</f>
        <v>View</v>
      </c>
      <c r="P4378" s="27"/>
    </row>
    <row r="4379">
      <c r="A4379" s="14">
        <v>43031.276770833334</v>
      </c>
      <c r="B4379" s="20" t="str">
        <f>HYPERLINK("https://twitter.com/NarrendraM","@NarrendraM")</f>
        <v>@NarrendraM</v>
      </c>
      <c r="C4379" s="21" t="s">
        <v>2654</v>
      </c>
      <c r="D4379" s="21" t="s">
        <v>10113</v>
      </c>
      <c r="E4379" s="22" t="str">
        <f>HYPERLINK("https://twitter.com/NarrendraM/status/922457217667944448","922457217667944448")</f>
        <v>922457217667944448</v>
      </c>
      <c r="F4379" s="23" t="s">
        <v>187</v>
      </c>
      <c r="G4379" s="24">
        <v>2003.0</v>
      </c>
      <c r="H4379" s="24">
        <v>252.0</v>
      </c>
      <c r="I4379" s="24">
        <v>0.0</v>
      </c>
      <c r="J4379" s="24">
        <v>0.0</v>
      </c>
      <c r="K4379" s="23" t="s">
        <v>34</v>
      </c>
      <c r="L4379" s="25">
        <v>42471.0737037037</v>
      </c>
      <c r="M4379" s="26" t="s">
        <v>246</v>
      </c>
      <c r="N4379" s="26" t="s">
        <v>2656</v>
      </c>
      <c r="O4379" s="22" t="str">
        <f>HYPERLINK("https://pbs.twimg.com/profile_images/743939643738034176/WkGloI0u_normal.jpg","View")</f>
        <v>View</v>
      </c>
      <c r="P4379" s="27"/>
    </row>
    <row r="4380">
      <c r="A4380" s="14">
        <v>43031.2768287037</v>
      </c>
      <c r="B4380" s="20" t="str">
        <f>HYPERLINK("https://twitter.com/ZwErgVex","@ZwErgVex")</f>
        <v>@ZwErgVex</v>
      </c>
      <c r="C4380" s="21" t="s">
        <v>10114</v>
      </c>
      <c r="D4380" s="21" t="s">
        <v>42</v>
      </c>
      <c r="E4380" s="22" t="str">
        <f>HYPERLINK("https://twitter.com/ZwErgVex/status/922457236776947712","922457236776947712")</f>
        <v>922457236776947712</v>
      </c>
      <c r="F4380" s="23" t="s">
        <v>55</v>
      </c>
      <c r="G4380" s="24">
        <v>1035.0</v>
      </c>
      <c r="H4380" s="24">
        <v>386.0</v>
      </c>
      <c r="I4380" s="24">
        <v>8501.0</v>
      </c>
      <c r="J4380" s="24">
        <v>0.0</v>
      </c>
      <c r="K4380" s="23" t="s">
        <v>34</v>
      </c>
      <c r="L4380" s="25">
        <v>41700.35287037037</v>
      </c>
      <c r="M4380" s="28"/>
      <c r="N4380" s="26" t="s">
        <v>10115</v>
      </c>
      <c r="O4380" s="22" t="str">
        <f>HYPERLINK("https://pbs.twimg.com/profile_images/823153384446267392/QNsBpXTb_normal.jpg","View")</f>
        <v>View</v>
      </c>
      <c r="P4380" s="27"/>
    </row>
    <row r="4381">
      <c r="A4381" s="14">
        <v>43031.27685185186</v>
      </c>
      <c r="B4381" s="20" t="str">
        <f>HYPERLINK("https://twitter.com/tarunynorzo","@tarunynorzo")</f>
        <v>@tarunynorzo</v>
      </c>
      <c r="C4381" s="21" t="s">
        <v>10116</v>
      </c>
      <c r="D4381" s="21" t="s">
        <v>1642</v>
      </c>
      <c r="E4381" s="22" t="str">
        <f>HYPERLINK("https://twitter.com/tarunynorzo/status/922457243819261952","922457243819261952")</f>
        <v>922457243819261952</v>
      </c>
      <c r="F4381" s="23" t="s">
        <v>55</v>
      </c>
      <c r="G4381" s="24">
        <v>457.0</v>
      </c>
      <c r="H4381" s="24">
        <v>279.0</v>
      </c>
      <c r="I4381" s="24">
        <v>199.0</v>
      </c>
      <c r="J4381" s="24">
        <v>0.0</v>
      </c>
      <c r="K4381" s="23" t="s">
        <v>34</v>
      </c>
      <c r="L4381" s="25">
        <v>42027.50373842593</v>
      </c>
      <c r="M4381" s="26" t="s">
        <v>10117</v>
      </c>
      <c r="N4381" s="26" t="s">
        <v>10118</v>
      </c>
      <c r="O4381" s="22" t="str">
        <f>HYPERLINK("https://pbs.twimg.com/profile_images/563858810830204928/OJ3f9Ui8_normal.jpeg","View")</f>
        <v>View</v>
      </c>
      <c r="P4381" s="27"/>
    </row>
    <row r="4382">
      <c r="A4382" s="14">
        <v>43031.27688657407</v>
      </c>
      <c r="B4382" s="20" t="str">
        <f>HYPERLINK("https://twitter.com/PeachyCheryl","@PeachyCheryl")</f>
        <v>@PeachyCheryl</v>
      </c>
      <c r="C4382" s="21" t="s">
        <v>10119</v>
      </c>
      <c r="D4382" s="21" t="s">
        <v>9810</v>
      </c>
      <c r="E4382" s="22" t="str">
        <f>HYPERLINK("https://twitter.com/PeachyCheryl/status/922457257715093504","922457257715093504")</f>
        <v>922457257715093504</v>
      </c>
      <c r="F4382" s="23" t="s">
        <v>230</v>
      </c>
      <c r="G4382" s="24">
        <v>517.0</v>
      </c>
      <c r="H4382" s="24">
        <v>1064.0</v>
      </c>
      <c r="I4382" s="24">
        <v>4.0</v>
      </c>
      <c r="J4382" s="24">
        <v>0.0</v>
      </c>
      <c r="K4382" s="23" t="s">
        <v>34</v>
      </c>
      <c r="L4382" s="25">
        <v>42469.33</v>
      </c>
      <c r="M4382" s="28"/>
      <c r="N4382" s="26" t="s">
        <v>10120</v>
      </c>
      <c r="O4382" s="22" t="str">
        <f>HYPERLINK("https://pbs.twimg.com/profile_images/720687814472368128/y6ELMOm6_normal.jpg","View")</f>
        <v>View</v>
      </c>
      <c r="P4382" s="27"/>
    </row>
    <row r="4383">
      <c r="A4383" s="14">
        <v>43031.27688657407</v>
      </c>
      <c r="B4383" s="20" t="str">
        <f>HYPERLINK("https://twitter.com/LilaFlw","@LilaFlw")</f>
        <v>@LilaFlw</v>
      </c>
      <c r="C4383" s="21" t="s">
        <v>10085</v>
      </c>
      <c r="D4383" s="21" t="s">
        <v>9229</v>
      </c>
      <c r="E4383" s="22" t="str">
        <f>HYPERLINK("https://twitter.com/LilaFlw/status/922457259917168640","922457259917168640")</f>
        <v>922457259917168640</v>
      </c>
      <c r="F4383" s="23" t="s">
        <v>39</v>
      </c>
      <c r="G4383" s="24">
        <v>482.0</v>
      </c>
      <c r="H4383" s="24">
        <v>359.0</v>
      </c>
      <c r="I4383" s="24">
        <v>38.0</v>
      </c>
      <c r="J4383" s="24">
        <v>0.0</v>
      </c>
      <c r="K4383" s="23" t="s">
        <v>34</v>
      </c>
      <c r="L4383" s="25">
        <v>40946.47457175926</v>
      </c>
      <c r="M4383" s="26" t="s">
        <v>68</v>
      </c>
      <c r="N4383" s="26" t="s">
        <v>10086</v>
      </c>
      <c r="O4383" s="22" t="str">
        <f>HYPERLINK("https://pbs.twimg.com/profile_images/581436924650528768/2sthejQd_normal.jpg","View")</f>
        <v>View</v>
      </c>
      <c r="P4383" s="27"/>
    </row>
    <row r="4384">
      <c r="A4384" s="14">
        <v>43031.27694444444</v>
      </c>
      <c r="B4384" s="20" t="str">
        <f>HYPERLINK("https://twitter.com/makisstasinos","@makisstasinos")</f>
        <v>@makisstasinos</v>
      </c>
      <c r="C4384" s="21" t="s">
        <v>10081</v>
      </c>
      <c r="D4384" s="21" t="s">
        <v>10121</v>
      </c>
      <c r="E4384" s="22" t="str">
        <f>HYPERLINK("https://twitter.com/makisstasinos/status/922457279303176192","922457279303176192")</f>
        <v>922457279303176192</v>
      </c>
      <c r="F4384" s="23" t="s">
        <v>230</v>
      </c>
      <c r="G4384" s="24">
        <v>455.0</v>
      </c>
      <c r="H4384" s="24">
        <v>498.0</v>
      </c>
      <c r="I4384" s="24">
        <v>0.0</v>
      </c>
      <c r="J4384" s="24">
        <v>0.0</v>
      </c>
      <c r="K4384" s="23" t="s">
        <v>34</v>
      </c>
      <c r="L4384" s="25">
        <v>41119.42024305556</v>
      </c>
      <c r="M4384" s="26" t="s">
        <v>10083</v>
      </c>
      <c r="N4384" s="26" t="s">
        <v>10084</v>
      </c>
      <c r="O4384" s="22" t="str">
        <f>HYPERLINK("https://pbs.twimg.com/profile_images/378800000524335150/ee36ec3215ee61bc1d3a1f0476348c69_normal.jpeg","View")</f>
        <v>View</v>
      </c>
      <c r="P4384" s="27"/>
    </row>
    <row r="4385">
      <c r="A4385" s="14">
        <v>43031.27694444444</v>
      </c>
      <c r="B4385" s="20" t="str">
        <f>HYPERLINK("https://twitter.com/maxwalden_","@maxwalden_")</f>
        <v>@maxwalden_</v>
      </c>
      <c r="C4385" s="21" t="s">
        <v>10122</v>
      </c>
      <c r="D4385" s="21" t="s">
        <v>10123</v>
      </c>
      <c r="E4385" s="22" t="str">
        <f>HYPERLINK("https://twitter.com/maxwalden_/status/922457280158711808","922457280158711808")</f>
        <v>922457280158711808</v>
      </c>
      <c r="F4385" s="23" t="s">
        <v>39</v>
      </c>
      <c r="G4385" s="24">
        <v>2920.0</v>
      </c>
      <c r="H4385" s="24">
        <v>1860.0</v>
      </c>
      <c r="I4385" s="24">
        <v>1.0</v>
      </c>
      <c r="J4385" s="24">
        <v>0.0</v>
      </c>
      <c r="K4385" s="23" t="s">
        <v>34</v>
      </c>
      <c r="L4385" s="25">
        <v>41767.674108796295</v>
      </c>
      <c r="M4385" s="26" t="s">
        <v>10124</v>
      </c>
      <c r="N4385" s="26" t="s">
        <v>10125</v>
      </c>
      <c r="O4385" s="22" t="str">
        <f>HYPERLINK("https://pbs.twimg.com/profile_images/923055759260229632/P5FB7zdw_normal.jpg","View")</f>
        <v>View</v>
      </c>
      <c r="P4385" s="27"/>
    </row>
    <row r="4386">
      <c r="A4386" s="14">
        <v>43031.27695601852</v>
      </c>
      <c r="B4386" s="20" t="str">
        <f>HYPERLINK("https://twitter.com/SignalsMe","@SignalsMe")</f>
        <v>@SignalsMe</v>
      </c>
      <c r="C4386" s="29" t="s">
        <v>10126</v>
      </c>
      <c r="D4386" s="21" t="s">
        <v>10127</v>
      </c>
      <c r="E4386" s="22" t="str">
        <f>HYPERLINK("https://twitter.com/SignalsMe/status/922457285615587334","922457285615587334")</f>
        <v>922457285615587334</v>
      </c>
      <c r="F4386" s="23" t="s">
        <v>187</v>
      </c>
      <c r="G4386" s="24">
        <v>47981.0</v>
      </c>
      <c r="H4386" s="24">
        <v>10411.0</v>
      </c>
      <c r="I4386" s="24">
        <v>0.0</v>
      </c>
      <c r="J4386" s="24">
        <v>0.0</v>
      </c>
      <c r="K4386" s="23" t="s">
        <v>34</v>
      </c>
      <c r="L4386" s="25">
        <v>42339.150879629626</v>
      </c>
      <c r="M4386" s="28"/>
      <c r="N4386" s="26" t="s">
        <v>10128</v>
      </c>
      <c r="O4386" s="22" t="str">
        <f>HYPERLINK("https://pbs.twimg.com/profile_images/686123587200143360/hr4lhxxx_normal.png","View")</f>
        <v>View</v>
      </c>
      <c r="P4386" s="27"/>
    </row>
    <row r="4387">
      <c r="A4387" s="14">
        <v>43031.27699074074</v>
      </c>
      <c r="B4387" s="20" t="str">
        <f>HYPERLINK("https://twitter.com/CitywireMoney","@CitywireMoney")</f>
        <v>@CitywireMoney</v>
      </c>
      <c r="C4387" s="21" t="s">
        <v>10129</v>
      </c>
      <c r="D4387" s="21" t="s">
        <v>10130</v>
      </c>
      <c r="E4387" s="22" t="str">
        <f>HYPERLINK("https://twitter.com/CitywireMoney/status/922457295556096000","922457295556096000")</f>
        <v>922457295556096000</v>
      </c>
      <c r="F4387" s="23" t="s">
        <v>187</v>
      </c>
      <c r="G4387" s="24">
        <v>7084.0</v>
      </c>
      <c r="H4387" s="24">
        <v>256.0</v>
      </c>
      <c r="I4387" s="24">
        <v>0.0</v>
      </c>
      <c r="J4387" s="24">
        <v>0.0</v>
      </c>
      <c r="K4387" s="23" t="s">
        <v>34</v>
      </c>
      <c r="L4387" s="25">
        <v>40070.064930555556</v>
      </c>
      <c r="M4387" s="26" t="s">
        <v>10131</v>
      </c>
      <c r="N4387" s="26" t="s">
        <v>10132</v>
      </c>
      <c r="O4387" s="22" t="str">
        <f>HYPERLINK("https://pbs.twimg.com/profile_images/683970316238888960/MwgiOJFW_normal.png","View")</f>
        <v>View</v>
      </c>
      <c r="P4387" s="27"/>
    </row>
    <row r="4388">
      <c r="A4388" s="14">
        <v>43031.27711805556</v>
      </c>
      <c r="B4388" s="20" t="str">
        <f>HYPERLINK("https://twitter.com/httprohi","@httprohi")</f>
        <v>@httprohi</v>
      </c>
      <c r="C4388" s="21" t="s">
        <v>10133</v>
      </c>
      <c r="D4388" s="21" t="s">
        <v>42</v>
      </c>
      <c r="E4388" s="22" t="str">
        <f>HYPERLINK("https://twitter.com/httprohi/status/922457343920447488","922457343920447488")</f>
        <v>922457343920447488</v>
      </c>
      <c r="F4388" s="23" t="s">
        <v>33</v>
      </c>
      <c r="G4388" s="24">
        <v>45.0</v>
      </c>
      <c r="H4388" s="24">
        <v>112.0</v>
      </c>
      <c r="I4388" s="24">
        <v>8501.0</v>
      </c>
      <c r="J4388" s="24">
        <v>0.0</v>
      </c>
      <c r="K4388" s="23" t="s">
        <v>34</v>
      </c>
      <c r="L4388" s="25">
        <v>40117.080925925926</v>
      </c>
      <c r="M4388" s="26" t="s">
        <v>5429</v>
      </c>
      <c r="N4388" s="28"/>
      <c r="O4388" s="22" t="str">
        <f>HYPERLINK("https://pbs.twimg.com/profile_images/792787024600109057/89mKh5tQ_normal.jpg","View")</f>
        <v>View</v>
      </c>
      <c r="P4388" s="27"/>
    </row>
    <row r="4389">
      <c r="A4389" s="14">
        <v>43031.27712962963</v>
      </c>
      <c r="B4389" s="20" t="str">
        <f t="shared" ref="B4389:B4390" si="72">HYPERLINK("https://twitter.com/njslea","@njslea")</f>
        <v>@njslea</v>
      </c>
      <c r="C4389" s="21" t="s">
        <v>10134</v>
      </c>
      <c r="D4389" s="21" t="s">
        <v>10135</v>
      </c>
      <c r="E4389" s="22" t="str">
        <f>HYPERLINK("https://twitter.com/njslea/status/922457347666018304","922457347666018304")</f>
        <v>922457347666018304</v>
      </c>
      <c r="F4389" s="30" t="s">
        <v>411</v>
      </c>
      <c r="G4389" s="24">
        <v>689.0</v>
      </c>
      <c r="H4389" s="24">
        <v>0.0</v>
      </c>
      <c r="I4389" s="24">
        <v>0.0</v>
      </c>
      <c r="J4389" s="24">
        <v>0.0</v>
      </c>
      <c r="K4389" s="23" t="s">
        <v>34</v>
      </c>
      <c r="L4389" s="25">
        <v>40284.83300925926</v>
      </c>
      <c r="M4389" s="28"/>
      <c r="N4389" s="26" t="s">
        <v>10136</v>
      </c>
      <c r="O4389" s="22" t="str">
        <f t="shared" ref="O4389:O4390" si="73">HYPERLINK("https://pbs.twimg.com/profile_images/829337535/AmericaIsraelFlag_normal.jpg","View")</f>
        <v>View</v>
      </c>
      <c r="P4389" s="27"/>
    </row>
    <row r="4390">
      <c r="A4390" s="14">
        <v>43031.2771875</v>
      </c>
      <c r="B4390" s="20" t="str">
        <f t="shared" si="72"/>
        <v>@njslea</v>
      </c>
      <c r="C4390" s="21" t="s">
        <v>10134</v>
      </c>
      <c r="D4390" s="21" t="s">
        <v>10137</v>
      </c>
      <c r="E4390" s="22" t="str">
        <f>HYPERLINK("https://twitter.com/njslea/status/922457366930472962","922457366930472962")</f>
        <v>922457366930472962</v>
      </c>
      <c r="F4390" s="30" t="s">
        <v>411</v>
      </c>
      <c r="G4390" s="24">
        <v>689.0</v>
      </c>
      <c r="H4390" s="24">
        <v>0.0</v>
      </c>
      <c r="I4390" s="24">
        <v>0.0</v>
      </c>
      <c r="J4390" s="24">
        <v>0.0</v>
      </c>
      <c r="K4390" s="23" t="s">
        <v>34</v>
      </c>
      <c r="L4390" s="25">
        <v>40284.83300925926</v>
      </c>
      <c r="M4390" s="28"/>
      <c r="N4390" s="26" t="s">
        <v>10136</v>
      </c>
      <c r="O4390" s="22" t="str">
        <f t="shared" si="73"/>
        <v>View</v>
      </c>
      <c r="P4390" s="27"/>
    </row>
    <row r="4391">
      <c r="A4391" s="14">
        <v>43031.27731481481</v>
      </c>
      <c r="B4391" s="20" t="str">
        <f>HYPERLINK("https://twitter.com/Roberts5Don","@Roberts5Don")</f>
        <v>@Roberts5Don</v>
      </c>
      <c r="C4391" s="21" t="s">
        <v>10138</v>
      </c>
      <c r="D4391" s="21" t="s">
        <v>8553</v>
      </c>
      <c r="E4391" s="22" t="str">
        <f>HYPERLINK("https://twitter.com/Roberts5Don/status/922457413587832834","922457413587832834")</f>
        <v>922457413587832834</v>
      </c>
      <c r="F4391" s="23" t="s">
        <v>33</v>
      </c>
      <c r="G4391" s="24">
        <v>284.0</v>
      </c>
      <c r="H4391" s="24">
        <v>23.0</v>
      </c>
      <c r="I4391" s="24">
        <v>31.0</v>
      </c>
      <c r="J4391" s="24">
        <v>0.0</v>
      </c>
      <c r="K4391" s="23" t="s">
        <v>34</v>
      </c>
      <c r="L4391" s="25">
        <v>40937.72145833333</v>
      </c>
      <c r="M4391" s="28"/>
      <c r="N4391" s="28"/>
      <c r="O4391" s="22" t="str">
        <f>HYPERLINK("https://pbs.twimg.com/profile_images/556492698173992961/0utppVPG_normal.jpeg","View")</f>
        <v>View</v>
      </c>
      <c r="P4391" s="27"/>
    </row>
    <row r="4392">
      <c r="A4392" s="14">
        <v>43031.27732638889</v>
      </c>
      <c r="B4392" s="20" t="str">
        <f>HYPERLINK("https://twitter.com/MumalRa87019776","@MumalRa87019776")</f>
        <v>@MumalRa87019776</v>
      </c>
      <c r="C4392" s="21" t="s">
        <v>10139</v>
      </c>
      <c r="D4392" s="21" t="s">
        <v>7602</v>
      </c>
      <c r="E4392" s="22" t="str">
        <f>HYPERLINK("https://twitter.com/MumalRa87019776/status/922457418130366464","922457418130366464")</f>
        <v>922457418130366464</v>
      </c>
      <c r="F4392" s="23" t="s">
        <v>55</v>
      </c>
      <c r="G4392" s="24">
        <v>20.0</v>
      </c>
      <c r="H4392" s="24">
        <v>216.0</v>
      </c>
      <c r="I4392" s="24">
        <v>7.0</v>
      </c>
      <c r="J4392" s="24">
        <v>0.0</v>
      </c>
      <c r="K4392" s="23" t="s">
        <v>34</v>
      </c>
      <c r="L4392" s="25">
        <v>42957.1387962963</v>
      </c>
      <c r="M4392" s="26" t="s">
        <v>204</v>
      </c>
      <c r="N4392" s="26" t="s">
        <v>10140</v>
      </c>
      <c r="O4392" s="22" t="str">
        <f>HYPERLINK("https://pbs.twimg.com/profile_images/895596598729646080/tK96aePc_normal.jpg","View")</f>
        <v>View</v>
      </c>
      <c r="P4392" s="27"/>
    </row>
    <row r="4393">
      <c r="A4393" s="14">
        <v>43031.27737268519</v>
      </c>
      <c r="B4393" s="20" t="str">
        <f>HYPERLINK("https://twitter.com/_dpaj","@_dpaj")</f>
        <v>@_dpaj</v>
      </c>
      <c r="C4393" s="21" t="s">
        <v>10141</v>
      </c>
      <c r="D4393" s="21" t="s">
        <v>10142</v>
      </c>
      <c r="E4393" s="22" t="str">
        <f>HYPERLINK("https://twitter.com/_dpaj/status/922457433477349376","922457433477349376")</f>
        <v>922457433477349376</v>
      </c>
      <c r="F4393" s="23" t="s">
        <v>187</v>
      </c>
      <c r="G4393" s="24">
        <v>5524.0</v>
      </c>
      <c r="H4393" s="24">
        <v>2434.0</v>
      </c>
      <c r="I4393" s="24">
        <v>0.0</v>
      </c>
      <c r="J4393" s="24">
        <v>0.0</v>
      </c>
      <c r="K4393" s="23" t="s">
        <v>34</v>
      </c>
      <c r="L4393" s="25">
        <v>40660.84662037037</v>
      </c>
      <c r="M4393" s="26" t="s">
        <v>10143</v>
      </c>
      <c r="N4393" s="26" t="s">
        <v>10144</v>
      </c>
      <c r="O4393" s="22" t="str">
        <f>HYPERLINK("https://pbs.twimg.com/profile_images/861497595130253317/PBJ8Ojwp_normal.jpg","View")</f>
        <v>View</v>
      </c>
      <c r="P4393" s="27"/>
    </row>
    <row r="4394">
      <c r="A4394" s="14">
        <v>43031.27740740741</v>
      </c>
      <c r="B4394" s="20" t="str">
        <f>HYPERLINK("https://twitter.com/aniket_ifs","@aniket_ifs")</f>
        <v>@aniket_ifs</v>
      </c>
      <c r="C4394" s="21" t="s">
        <v>10145</v>
      </c>
      <c r="D4394" s="21" t="s">
        <v>42</v>
      </c>
      <c r="E4394" s="22" t="str">
        <f>HYPERLINK("https://twitter.com/aniket_ifs/status/922457449071702016","922457449071702016")</f>
        <v>922457449071702016</v>
      </c>
      <c r="F4394" s="23" t="s">
        <v>39</v>
      </c>
      <c r="G4394" s="24">
        <v>189.0</v>
      </c>
      <c r="H4394" s="24">
        <v>145.0</v>
      </c>
      <c r="I4394" s="24">
        <v>8501.0</v>
      </c>
      <c r="J4394" s="24">
        <v>0.0</v>
      </c>
      <c r="K4394" s="23" t="s">
        <v>34</v>
      </c>
      <c r="L4394" s="25">
        <v>40441.236030092594</v>
      </c>
      <c r="M4394" s="28"/>
      <c r="N4394" s="28"/>
      <c r="O4394" s="22" t="str">
        <f>HYPERLINK("https://pbs.twimg.com/profile_images/880388099183828992/fS0HXU9j_normal.jpg","View")</f>
        <v>View</v>
      </c>
      <c r="P4394" s="27"/>
    </row>
    <row r="4395">
      <c r="A4395" s="14">
        <v>43031.27752314815</v>
      </c>
      <c r="B4395" s="20" t="str">
        <f>HYPERLINK("https://twitter.com/PaulMulinge","@PaulMulinge")</f>
        <v>@PaulMulinge</v>
      </c>
      <c r="C4395" s="21" t="s">
        <v>10146</v>
      </c>
      <c r="D4395" s="21" t="s">
        <v>32</v>
      </c>
      <c r="E4395" s="22" t="str">
        <f>HYPERLINK("https://twitter.com/PaulMulinge/status/922457487521001472","922457487521001472")</f>
        <v>922457487521001472</v>
      </c>
      <c r="F4395" s="23" t="s">
        <v>55</v>
      </c>
      <c r="G4395" s="24">
        <v>119.0</v>
      </c>
      <c r="H4395" s="24">
        <v>297.0</v>
      </c>
      <c r="I4395" s="24">
        <v>471.0</v>
      </c>
      <c r="J4395" s="24">
        <v>0.0</v>
      </c>
      <c r="K4395" s="23" t="s">
        <v>34</v>
      </c>
      <c r="L4395" s="25">
        <v>40684.633680555555</v>
      </c>
      <c r="M4395" s="26" t="s">
        <v>114</v>
      </c>
      <c r="N4395" s="26" t="s">
        <v>10147</v>
      </c>
      <c r="O4395" s="22" t="str">
        <f>HYPERLINK("https://pbs.twimg.com/profile_images/905681568785715200/lQxbrXUL_normal.jpg","View")</f>
        <v>View</v>
      </c>
      <c r="P4395" s="27"/>
    </row>
    <row r="4396">
      <c r="A4396" s="14">
        <v>43031.27769675926</v>
      </c>
      <c r="B4396" s="20" t="str">
        <f>HYPERLINK("https://twitter.com/alexleff","@alexleff")</f>
        <v>@alexleff</v>
      </c>
      <c r="C4396" s="21" t="s">
        <v>10148</v>
      </c>
      <c r="D4396" s="21" t="s">
        <v>10149</v>
      </c>
      <c r="E4396" s="22" t="str">
        <f>HYPERLINK("https://twitter.com/alexleff/status/922457551605784576","922457551605784576")</f>
        <v>922457551605784576</v>
      </c>
      <c r="F4396" s="23" t="s">
        <v>55</v>
      </c>
      <c r="G4396" s="24">
        <v>3851.0</v>
      </c>
      <c r="H4396" s="24">
        <v>3748.0</v>
      </c>
      <c r="I4396" s="24">
        <v>0.0</v>
      </c>
      <c r="J4396" s="24">
        <v>0.0</v>
      </c>
      <c r="K4396" s="23" t="s">
        <v>34</v>
      </c>
      <c r="L4396" s="25">
        <v>39827.236342592594</v>
      </c>
      <c r="M4396" s="26" t="s">
        <v>4239</v>
      </c>
      <c r="N4396" s="26" t="s">
        <v>10150</v>
      </c>
      <c r="O4396" s="22" t="str">
        <f>HYPERLINK("https://pbs.twimg.com/profile_images/3157807092/c7c61d06182b44485574e2514b624dca_normal.png","View")</f>
        <v>View</v>
      </c>
      <c r="P4396" s="27"/>
    </row>
    <row r="4397">
      <c r="A4397" s="14">
        <v>43031.27773148148</v>
      </c>
      <c r="B4397" s="20" t="str">
        <f>HYPERLINK("https://twitter.com/PankajK68693813","@PankajK68693813")</f>
        <v>@PankajK68693813</v>
      </c>
      <c r="C4397" s="21" t="s">
        <v>10151</v>
      </c>
      <c r="D4397" s="21" t="s">
        <v>42</v>
      </c>
      <c r="E4397" s="22" t="str">
        <f>HYPERLINK("https://twitter.com/PankajK68693813/status/922457564104728577","922457564104728577")</f>
        <v>922457564104728577</v>
      </c>
      <c r="F4397" s="23" t="s">
        <v>33</v>
      </c>
      <c r="G4397" s="24">
        <v>4.0</v>
      </c>
      <c r="H4397" s="24">
        <v>93.0</v>
      </c>
      <c r="I4397" s="24">
        <v>8501.0</v>
      </c>
      <c r="J4397" s="24">
        <v>0.0</v>
      </c>
      <c r="K4397" s="23" t="s">
        <v>34</v>
      </c>
      <c r="L4397" s="25">
        <v>43009.45744212963</v>
      </c>
      <c r="M4397" s="28"/>
      <c r="N4397" s="28"/>
      <c r="O4397" s="22" t="str">
        <f>HYPERLINK("https://abs.twimg.com/sticky/default_profile_images/default_profile_normal.png","View")</f>
        <v>View</v>
      </c>
      <c r="P4397" s="27"/>
    </row>
    <row r="4398">
      <c r="A4398" s="14">
        <v>43031.2778587963</v>
      </c>
      <c r="B4398" s="20" t="str">
        <f>HYPERLINK("https://twitter.com/Global_Renewal","@Global_Renewal")</f>
        <v>@Global_Renewal</v>
      </c>
      <c r="C4398" s="21" t="s">
        <v>10152</v>
      </c>
      <c r="D4398" s="21" t="s">
        <v>10153</v>
      </c>
      <c r="E4398" s="22" t="str">
        <f>HYPERLINK("https://twitter.com/Global_Renewal/status/922457610439282688","922457610439282688")</f>
        <v>922457610439282688</v>
      </c>
      <c r="F4398" s="23" t="s">
        <v>33</v>
      </c>
      <c r="G4398" s="24">
        <v>2992.0</v>
      </c>
      <c r="H4398" s="24">
        <v>4927.0</v>
      </c>
      <c r="I4398" s="24">
        <v>0.0</v>
      </c>
      <c r="J4398" s="24">
        <v>0.0</v>
      </c>
      <c r="K4398" s="23" t="s">
        <v>34</v>
      </c>
      <c r="L4398" s="25">
        <v>40080.57405092593</v>
      </c>
      <c r="M4398" s="26" t="s">
        <v>10154</v>
      </c>
      <c r="N4398" s="26" t="s">
        <v>10155</v>
      </c>
      <c r="O4398" s="22" t="str">
        <f>HYPERLINK("https://pbs.twimg.com/profile_images/3284343910/3dd3b431fb0f656465ca7c64be035d67_normal.jpeg","View")</f>
        <v>View</v>
      </c>
      <c r="P4398" s="27"/>
    </row>
    <row r="4399">
      <c r="A4399" s="14">
        <v>43031.2778587963</v>
      </c>
      <c r="B4399" s="20" t="str">
        <f>HYPERLINK("https://twitter.com/sonalnmehta","@sonalnmehta")</f>
        <v>@sonalnmehta</v>
      </c>
      <c r="C4399" s="21" t="s">
        <v>10156</v>
      </c>
      <c r="D4399" s="21" t="s">
        <v>42</v>
      </c>
      <c r="E4399" s="22" t="str">
        <f>HYPERLINK("https://twitter.com/sonalnmehta/status/922457610518904832","922457610518904832")</f>
        <v>922457610518904832</v>
      </c>
      <c r="F4399" s="23" t="s">
        <v>33</v>
      </c>
      <c r="G4399" s="24">
        <v>80.0</v>
      </c>
      <c r="H4399" s="24">
        <v>376.0</v>
      </c>
      <c r="I4399" s="24">
        <v>8501.0</v>
      </c>
      <c r="J4399" s="24">
        <v>0.0</v>
      </c>
      <c r="K4399" s="23" t="s">
        <v>34</v>
      </c>
      <c r="L4399" s="25">
        <v>41772.069560185184</v>
      </c>
      <c r="M4399" s="28"/>
      <c r="N4399" s="28"/>
      <c r="O4399" s="22" t="str">
        <f>HYPERLINK("https://abs.twimg.com/sticky/default_profile_images/default_profile_normal.png","View")</f>
        <v>View</v>
      </c>
      <c r="P4399" s="27"/>
    </row>
    <row r="4400">
      <c r="A4400" s="14">
        <v>43031.277870370366</v>
      </c>
      <c r="B4400" s="20" t="str">
        <f>HYPERLINK("https://twitter.com/sonofpant","@sonofpant")</f>
        <v>@sonofpant</v>
      </c>
      <c r="C4400" s="21" t="s">
        <v>10157</v>
      </c>
      <c r="D4400" s="21" t="s">
        <v>42</v>
      </c>
      <c r="E4400" s="22" t="str">
        <f>HYPERLINK("https://twitter.com/sonofpant/status/922457613052166144","922457613052166144")</f>
        <v>922457613052166144</v>
      </c>
      <c r="F4400" s="23" t="s">
        <v>230</v>
      </c>
      <c r="G4400" s="24">
        <v>36.0</v>
      </c>
      <c r="H4400" s="24">
        <v>148.0</v>
      </c>
      <c r="I4400" s="24">
        <v>8501.0</v>
      </c>
      <c r="J4400" s="24">
        <v>0.0</v>
      </c>
      <c r="K4400" s="23" t="s">
        <v>34</v>
      </c>
      <c r="L4400" s="25">
        <v>40031.9643287037</v>
      </c>
      <c r="M4400" s="28"/>
      <c r="N4400" s="28"/>
      <c r="O4400" s="22" t="str">
        <f>HYPERLINK("https://pbs.twimg.com/profile_images/902534049566081024/vwGYVJyT_normal.jpg","View")</f>
        <v>View</v>
      </c>
      <c r="P4400" s="27"/>
    </row>
    <row r="4401">
      <c r="A4401" s="14">
        <v>43031.277870370366</v>
      </c>
      <c r="B4401" s="20" t="str">
        <f>HYPERLINK("https://twitter.com/ookka2","@ookka2")</f>
        <v>@ookka2</v>
      </c>
      <c r="C4401" s="21" t="s">
        <v>10158</v>
      </c>
      <c r="D4401" s="21" t="s">
        <v>42</v>
      </c>
      <c r="E4401" s="22" t="str">
        <f>HYPERLINK("https://twitter.com/ookka2/status/922457615535292416","922457615535292416")</f>
        <v>922457615535292416</v>
      </c>
      <c r="F4401" s="23" t="s">
        <v>39</v>
      </c>
      <c r="G4401" s="24">
        <v>54.0</v>
      </c>
      <c r="H4401" s="24">
        <v>186.0</v>
      </c>
      <c r="I4401" s="24">
        <v>8501.0</v>
      </c>
      <c r="J4401" s="24">
        <v>0.0</v>
      </c>
      <c r="K4401" s="23" t="s">
        <v>34</v>
      </c>
      <c r="L4401" s="25">
        <v>40205.70061342593</v>
      </c>
      <c r="M4401" s="28"/>
      <c r="N4401" s="28"/>
      <c r="O4401" s="22" t="str">
        <f>HYPERLINK("https://abs.twimg.com/sticky/default_profile_images/default_profile_normal.png","View")</f>
        <v>View</v>
      </c>
      <c r="P4401" s="27"/>
    </row>
    <row r="4402">
      <c r="A4402" s="14">
        <v>43031.277916666666</v>
      </c>
      <c r="B4402" s="20" t="str">
        <f>HYPERLINK("https://twitter.com/todayindia","@todayindia")</f>
        <v>@todayindia</v>
      </c>
      <c r="C4402" s="21" t="s">
        <v>10159</v>
      </c>
      <c r="D4402" s="21" t="s">
        <v>42</v>
      </c>
      <c r="E4402" s="22" t="str">
        <f>HYPERLINK("https://twitter.com/todayindia/status/922457632866156544","922457632866156544")</f>
        <v>922457632866156544</v>
      </c>
      <c r="F4402" s="23" t="s">
        <v>43</v>
      </c>
      <c r="G4402" s="24">
        <v>7406.0</v>
      </c>
      <c r="H4402" s="24">
        <v>6356.0</v>
      </c>
      <c r="I4402" s="24">
        <v>8501.0</v>
      </c>
      <c r="J4402" s="24">
        <v>0.0</v>
      </c>
      <c r="K4402" s="23" t="s">
        <v>34</v>
      </c>
      <c r="L4402" s="25">
        <v>40188.422418981485</v>
      </c>
      <c r="M4402" s="26" t="s">
        <v>10160</v>
      </c>
      <c r="N4402" s="26" t="s">
        <v>10161</v>
      </c>
      <c r="O4402" s="22" t="str">
        <f>HYPERLINK("https://pbs.twimg.com/profile_images/1539793551/head_normal.gif","View")</f>
        <v>View</v>
      </c>
      <c r="P4402" s="27"/>
    </row>
    <row r="4403">
      <c r="A4403" s="14">
        <v>43031.277974537035</v>
      </c>
      <c r="B4403" s="20" t="str">
        <f>HYPERLINK("https://twitter.com/FinanceNewsLDN","@FinanceNewsLDN")</f>
        <v>@FinanceNewsLDN</v>
      </c>
      <c r="C4403" s="21" t="s">
        <v>10162</v>
      </c>
      <c r="D4403" s="21" t="s">
        <v>10163</v>
      </c>
      <c r="E4403" s="22" t="str">
        <f>HYPERLINK("https://twitter.com/FinanceNewsLDN/status/922457654773108739","922457654773108739")</f>
        <v>922457654773108739</v>
      </c>
      <c r="F4403" s="23" t="s">
        <v>187</v>
      </c>
      <c r="G4403" s="24">
        <v>5199.0</v>
      </c>
      <c r="H4403" s="24">
        <v>0.0</v>
      </c>
      <c r="I4403" s="24">
        <v>0.0</v>
      </c>
      <c r="J4403" s="24">
        <v>0.0</v>
      </c>
      <c r="K4403" s="23" t="s">
        <v>34</v>
      </c>
      <c r="L4403" s="25">
        <v>41655.172048611115</v>
      </c>
      <c r="M4403" s="26" t="s">
        <v>334</v>
      </c>
      <c r="N4403" s="26" t="s">
        <v>10164</v>
      </c>
      <c r="O4403" s="22" t="str">
        <f>HYPERLINK("https://pbs.twimg.com/profile_images/424130587029278720/5KYC-0n__normal.png","View")</f>
        <v>View</v>
      </c>
      <c r="P4403" s="27"/>
    </row>
    <row r="4404">
      <c r="A4404" s="14">
        <v>43031.278240740736</v>
      </c>
      <c r="B4404" s="20" t="str">
        <f>HYPERLINK("https://twitter.com/VedantiVroms","@VedantiVroms")</f>
        <v>@VedantiVroms</v>
      </c>
      <c r="C4404" s="21" t="s">
        <v>10165</v>
      </c>
      <c r="D4404" s="21" t="s">
        <v>42</v>
      </c>
      <c r="E4404" s="22" t="str">
        <f>HYPERLINK("https://twitter.com/VedantiVroms/status/922457747542761472","922457747542761472")</f>
        <v>922457747542761472</v>
      </c>
      <c r="F4404" s="23" t="s">
        <v>33</v>
      </c>
      <c r="G4404" s="24">
        <v>6.0</v>
      </c>
      <c r="H4404" s="24">
        <v>16.0</v>
      </c>
      <c r="I4404" s="24">
        <v>8501.0</v>
      </c>
      <c r="J4404" s="24">
        <v>0.0</v>
      </c>
      <c r="K4404" s="23" t="s">
        <v>34</v>
      </c>
      <c r="L4404" s="25">
        <v>42989.73170138889</v>
      </c>
      <c r="M4404" s="26" t="s">
        <v>10166</v>
      </c>
      <c r="N4404" s="26" t="s">
        <v>10167</v>
      </c>
      <c r="O4404" s="22" t="str">
        <f>HYPERLINK("https://pbs.twimg.com/profile_images/907545283747336192/Gg42ncmO_normal.jpg","View")</f>
        <v>View</v>
      </c>
      <c r="P4404" s="27"/>
    </row>
    <row r="4405">
      <c r="A4405" s="14">
        <v>43031.278449074074</v>
      </c>
      <c r="B4405" s="20" t="str">
        <f>HYPERLINK("https://twitter.com/ModiPm2019","@ModiPm2019")</f>
        <v>@ModiPm2019</v>
      </c>
      <c r="C4405" s="21" t="s">
        <v>10168</v>
      </c>
      <c r="D4405" s="21" t="s">
        <v>42</v>
      </c>
      <c r="E4405" s="22" t="str">
        <f>HYPERLINK("https://twitter.com/ModiPm2019/status/922457823698608128","922457823698608128")</f>
        <v>922457823698608128</v>
      </c>
      <c r="F4405" s="23" t="s">
        <v>33</v>
      </c>
      <c r="G4405" s="24">
        <v>185.0</v>
      </c>
      <c r="H4405" s="24">
        <v>583.0</v>
      </c>
      <c r="I4405" s="24">
        <v>8501.0</v>
      </c>
      <c r="J4405" s="24">
        <v>0.0</v>
      </c>
      <c r="K4405" s="23" t="s">
        <v>34</v>
      </c>
      <c r="L4405" s="25">
        <v>42866.080300925925</v>
      </c>
      <c r="M4405" s="26" t="s">
        <v>204</v>
      </c>
      <c r="N4405" s="26" t="s">
        <v>10169</v>
      </c>
      <c r="O4405" s="22" t="str">
        <f>HYPERLINK("https://pbs.twimg.com/profile_images/862603804130373632/MHes93PK_normal.jpg","View")</f>
        <v>View</v>
      </c>
      <c r="P4405" s="27"/>
    </row>
    <row r="4406">
      <c r="A4406" s="14">
        <v>43031.2784837963</v>
      </c>
      <c r="B4406" s="20" t="str">
        <f>HYPERLINK("https://twitter.com/MistryDinesh","@MistryDinesh")</f>
        <v>@MistryDinesh</v>
      </c>
      <c r="C4406" s="21" t="s">
        <v>10170</v>
      </c>
      <c r="D4406" s="21" t="s">
        <v>42</v>
      </c>
      <c r="E4406" s="22" t="str">
        <f>HYPERLINK("https://twitter.com/MistryDinesh/status/922457837888065536","922457837888065536")</f>
        <v>922457837888065536</v>
      </c>
      <c r="F4406" s="23" t="s">
        <v>33</v>
      </c>
      <c r="G4406" s="24">
        <v>136.0</v>
      </c>
      <c r="H4406" s="24">
        <v>639.0</v>
      </c>
      <c r="I4406" s="24">
        <v>8501.0</v>
      </c>
      <c r="J4406" s="24">
        <v>0.0</v>
      </c>
      <c r="K4406" s="23" t="s">
        <v>34</v>
      </c>
      <c r="L4406" s="25">
        <v>40928.59140046296</v>
      </c>
      <c r="M4406" s="26" t="s">
        <v>10171</v>
      </c>
      <c r="N4406" s="28"/>
      <c r="O4406" s="22" t="str">
        <f>HYPERLINK("https://pbs.twimg.com/profile_images/769916768919949312/ZeSlV6hF_normal.jpg","View")</f>
        <v>View</v>
      </c>
      <c r="P4406" s="27"/>
    </row>
    <row r="4407">
      <c r="A4407" s="14">
        <v>43031.278703703705</v>
      </c>
      <c r="B4407" s="20" t="str">
        <f>HYPERLINK("https://twitter.com/timeseek1970","@timeseek1970")</f>
        <v>@timeseek1970</v>
      </c>
      <c r="C4407" s="21" t="s">
        <v>3112</v>
      </c>
      <c r="D4407" s="21" t="s">
        <v>42</v>
      </c>
      <c r="E4407" s="22" t="str">
        <f>HYPERLINK("https://twitter.com/timeseek1970/status/922457919005904896","922457919005904896")</f>
        <v>922457919005904896</v>
      </c>
      <c r="F4407" s="23" t="s">
        <v>39</v>
      </c>
      <c r="G4407" s="24">
        <v>266.0</v>
      </c>
      <c r="H4407" s="24">
        <v>979.0</v>
      </c>
      <c r="I4407" s="24">
        <v>8501.0</v>
      </c>
      <c r="J4407" s="24">
        <v>0.0</v>
      </c>
      <c r="K4407" s="23" t="s">
        <v>34</v>
      </c>
      <c r="L4407" s="25">
        <v>40399.58222222222</v>
      </c>
      <c r="M4407" s="26" t="s">
        <v>3113</v>
      </c>
      <c r="N4407" s="28"/>
      <c r="O4407" s="22" t="str">
        <f>HYPERLINK("https://pbs.twimg.com/profile_images/1119290414/mypicture_normal.jpg","View")</f>
        <v>View</v>
      </c>
      <c r="P4407" s="27"/>
    </row>
    <row r="4408">
      <c r="A4408" s="14">
        <v>43031.27872685185</v>
      </c>
      <c r="B4408" s="20" t="str">
        <f>HYPERLINK("https://twitter.com/vikasdada12","@vikasdada12")</f>
        <v>@vikasdada12</v>
      </c>
      <c r="C4408" s="21" t="s">
        <v>8530</v>
      </c>
      <c r="D4408" s="21" t="s">
        <v>42</v>
      </c>
      <c r="E4408" s="22" t="str">
        <f>HYPERLINK("https://twitter.com/vikasdada12/status/922457924244447232","922457924244447232")</f>
        <v>922457924244447232</v>
      </c>
      <c r="F4408" s="23" t="s">
        <v>33</v>
      </c>
      <c r="G4408" s="24">
        <v>8.0</v>
      </c>
      <c r="H4408" s="24">
        <v>160.0</v>
      </c>
      <c r="I4408" s="24">
        <v>8501.0</v>
      </c>
      <c r="J4408" s="24">
        <v>0.0</v>
      </c>
      <c r="K4408" s="23" t="s">
        <v>34</v>
      </c>
      <c r="L4408" s="25">
        <v>41734.21010416667</v>
      </c>
      <c r="M4408" s="26" t="s">
        <v>2335</v>
      </c>
      <c r="N4408" s="28"/>
      <c r="O4408" s="22" t="str">
        <f>HYPERLINK("https://pbs.twimg.com/profile_images/821986085311893504/LlYg3Gle_normal.jpg","View")</f>
        <v>View</v>
      </c>
      <c r="P4408" s="27"/>
    </row>
    <row r="4409">
      <c r="A4409" s="14">
        <v>43031.27873842593</v>
      </c>
      <c r="B4409" s="20" t="str">
        <f>HYPERLINK("https://twitter.com/ing_bluesky","@ing_bluesky")</f>
        <v>@ing_bluesky</v>
      </c>
      <c r="C4409" s="21" t="s">
        <v>10172</v>
      </c>
      <c r="D4409" s="21" t="s">
        <v>42</v>
      </c>
      <c r="E4409" s="22" t="str">
        <f>HYPERLINK("https://twitter.com/ing_bluesky/status/922457928216363008","922457928216363008")</f>
        <v>922457928216363008</v>
      </c>
      <c r="F4409" s="23" t="s">
        <v>230</v>
      </c>
      <c r="G4409" s="24">
        <v>44.0</v>
      </c>
      <c r="H4409" s="24">
        <v>76.0</v>
      </c>
      <c r="I4409" s="24">
        <v>8501.0</v>
      </c>
      <c r="J4409" s="24">
        <v>0.0</v>
      </c>
      <c r="K4409" s="23" t="s">
        <v>34</v>
      </c>
      <c r="L4409" s="25">
        <v>43013.42072916667</v>
      </c>
      <c r="M4409" s="28"/>
      <c r="N4409" s="26" t="s">
        <v>10173</v>
      </c>
      <c r="O4409" s="22" t="str">
        <f>HYPERLINK("https://pbs.twimg.com/profile_images/921035964167831552/--GBhmRa_normal.jpg","View")</f>
        <v>View</v>
      </c>
      <c r="P4409" s="27"/>
    </row>
    <row r="4410">
      <c r="A4410" s="14">
        <v>43031.278761574074</v>
      </c>
      <c r="B4410" s="20" t="str">
        <f>HYPERLINK("https://twitter.com/Arjunsi57564226","@Arjunsi57564226")</f>
        <v>@Arjunsi57564226</v>
      </c>
      <c r="C4410" s="21" t="s">
        <v>10174</v>
      </c>
      <c r="D4410" s="21" t="s">
        <v>42</v>
      </c>
      <c r="E4410" s="22" t="str">
        <f>HYPERLINK("https://twitter.com/Arjunsi57564226/status/922457935975923712","922457935975923712")</f>
        <v>922457935975923712</v>
      </c>
      <c r="F4410" s="23" t="s">
        <v>33</v>
      </c>
      <c r="G4410" s="24">
        <v>389.0</v>
      </c>
      <c r="H4410" s="24">
        <v>1879.0</v>
      </c>
      <c r="I4410" s="24">
        <v>8501.0</v>
      </c>
      <c r="J4410" s="24">
        <v>0.0</v>
      </c>
      <c r="K4410" s="23" t="s">
        <v>34</v>
      </c>
      <c r="L4410" s="25">
        <v>42795.461747685185</v>
      </c>
      <c r="M4410" s="26" t="s">
        <v>10175</v>
      </c>
      <c r="N4410" s="26" t="s">
        <v>10176</v>
      </c>
      <c r="O4410" s="22" t="str">
        <f>HYPERLINK("https://pbs.twimg.com/profile_images/920895643358445568/b9IepW6j_normal.jpg","View")</f>
        <v>View</v>
      </c>
      <c r="P4410" s="27"/>
    </row>
    <row r="4411">
      <c r="A4411" s="14">
        <v>43031.27886574074</v>
      </c>
      <c r="B4411" s="20" t="str">
        <f>HYPERLINK("https://twitter.com/jesaloo","@jesaloo")</f>
        <v>@jesaloo</v>
      </c>
      <c r="C4411" s="21" t="s">
        <v>10177</v>
      </c>
      <c r="D4411" s="21" t="s">
        <v>32</v>
      </c>
      <c r="E4411" s="22" t="str">
        <f>HYPERLINK("https://twitter.com/jesaloo/status/922457974504861696","922457974504861696")</f>
        <v>922457974504861696</v>
      </c>
      <c r="F4411" s="23" t="s">
        <v>33</v>
      </c>
      <c r="G4411" s="24">
        <v>1644.0</v>
      </c>
      <c r="H4411" s="24">
        <v>2583.0</v>
      </c>
      <c r="I4411" s="24">
        <v>471.0</v>
      </c>
      <c r="J4411" s="24">
        <v>0.0</v>
      </c>
      <c r="K4411" s="23" t="s">
        <v>34</v>
      </c>
      <c r="L4411" s="25">
        <v>40509.62059027778</v>
      </c>
      <c r="M4411" s="26" t="s">
        <v>10178</v>
      </c>
      <c r="N4411" s="26" t="s">
        <v>10179</v>
      </c>
      <c r="O4411" s="22" t="str">
        <f>HYPERLINK("https://pbs.twimg.com/profile_images/1401783729/PP_Nov_2009_normal.jpg","View")</f>
        <v>View</v>
      </c>
      <c r="P4411" s="27"/>
    </row>
    <row r="4412">
      <c r="A4412" s="14">
        <v>43031.27894675926</v>
      </c>
      <c r="B4412" s="20" t="str">
        <f>HYPERLINK("https://twitter.com/CollectedN","@CollectedN")</f>
        <v>@CollectedN</v>
      </c>
      <c r="C4412" s="21" t="s">
        <v>3553</v>
      </c>
      <c r="D4412" s="21" t="s">
        <v>10180</v>
      </c>
      <c r="E4412" s="22" t="str">
        <f>HYPERLINK("https://twitter.com/CollectedN/status/922458004355764224","922458004355764224")</f>
        <v>922458004355764224</v>
      </c>
      <c r="F4412" s="23" t="s">
        <v>187</v>
      </c>
      <c r="G4412" s="24">
        <v>21993.0</v>
      </c>
      <c r="H4412" s="24">
        <v>16541.0</v>
      </c>
      <c r="I4412" s="24">
        <v>0.0</v>
      </c>
      <c r="J4412" s="24">
        <v>0.0</v>
      </c>
      <c r="K4412" s="23" t="s">
        <v>34</v>
      </c>
      <c r="L4412" s="25">
        <v>41333.76840277778</v>
      </c>
      <c r="M4412" s="28"/>
      <c r="N4412" s="26" t="s">
        <v>3555</v>
      </c>
      <c r="O4412" s="22" t="str">
        <f>HYPERLINK("https://pbs.twimg.com/profile_images/705925817277108224/nGS1Ko7F_normal.jpg","View")</f>
        <v>View</v>
      </c>
      <c r="P4412" s="27"/>
    </row>
    <row r="4413">
      <c r="A4413" s="14">
        <v>43031.278958333336</v>
      </c>
      <c r="B4413" s="20" t="str">
        <f>HYPERLINK("https://twitter.com/amitnegi7638","@amitnegi7638")</f>
        <v>@amitnegi7638</v>
      </c>
      <c r="C4413" s="21" t="s">
        <v>4037</v>
      </c>
      <c r="D4413" s="21" t="s">
        <v>42</v>
      </c>
      <c r="E4413" s="22" t="str">
        <f>HYPERLINK("https://twitter.com/amitnegi7638/status/922458009330114560","922458009330114560")</f>
        <v>922458009330114560</v>
      </c>
      <c r="F4413" s="23" t="s">
        <v>33</v>
      </c>
      <c r="G4413" s="24">
        <v>23.0</v>
      </c>
      <c r="H4413" s="24">
        <v>56.0</v>
      </c>
      <c r="I4413" s="24">
        <v>8501.0</v>
      </c>
      <c r="J4413" s="24">
        <v>0.0</v>
      </c>
      <c r="K4413" s="23" t="s">
        <v>34</v>
      </c>
      <c r="L4413" s="25">
        <v>41411.222337962965</v>
      </c>
      <c r="M4413" s="26" t="s">
        <v>234</v>
      </c>
      <c r="N4413" s="28"/>
      <c r="O4413" s="22" t="str">
        <f>HYPERLINK("https://pbs.twimg.com/profile_images/751728951505084416/oaOKsjLz_normal.jpg","View")</f>
        <v>View</v>
      </c>
      <c r="P4413" s="27"/>
    </row>
    <row r="4414">
      <c r="A4414" s="14">
        <v>43031.279016203705</v>
      </c>
      <c r="B4414" s="20" t="str">
        <f>HYPERLINK("https://twitter.com/FOCNOW","@FOCNOW")</f>
        <v>@FOCNOW</v>
      </c>
      <c r="C4414" s="21" t="s">
        <v>918</v>
      </c>
      <c r="D4414" s="21" t="s">
        <v>10181</v>
      </c>
      <c r="E4414" s="22" t="str">
        <f>HYPERLINK("https://twitter.com/FOCNOW/status/922458029097762816","922458029097762816")</f>
        <v>922458029097762816</v>
      </c>
      <c r="F4414" s="23" t="s">
        <v>39</v>
      </c>
      <c r="G4414" s="24">
        <v>66.0</v>
      </c>
      <c r="H4414" s="24">
        <v>149.0</v>
      </c>
      <c r="I4414" s="24">
        <v>0.0</v>
      </c>
      <c r="J4414" s="24">
        <v>0.0</v>
      </c>
      <c r="K4414" s="23" t="s">
        <v>34</v>
      </c>
      <c r="L4414" s="25">
        <v>42181.95880787037</v>
      </c>
      <c r="M4414" s="26" t="s">
        <v>920</v>
      </c>
      <c r="N4414" s="26" t="s">
        <v>921</v>
      </c>
      <c r="O4414" s="22" t="str">
        <f>HYPERLINK("https://pbs.twimg.com/profile_images/831635880334864384/Jrw7FSCl_normal.jpg","View")</f>
        <v>View</v>
      </c>
      <c r="P4414" s="27"/>
    </row>
    <row r="4415">
      <c r="A4415" s="14">
        <v>43031.279016203705</v>
      </c>
      <c r="B4415" s="20" t="str">
        <f>HYPERLINK("https://twitter.com/sirangana0925","@sirangana0925")</f>
        <v>@sirangana0925</v>
      </c>
      <c r="C4415" s="21" t="s">
        <v>10182</v>
      </c>
      <c r="D4415" s="21" t="s">
        <v>1642</v>
      </c>
      <c r="E4415" s="22" t="str">
        <f>HYPERLINK("https://twitter.com/sirangana0925/status/922458030255382529","922458030255382529")</f>
        <v>922458030255382529</v>
      </c>
      <c r="F4415" s="23" t="s">
        <v>55</v>
      </c>
      <c r="G4415" s="24">
        <v>182.0</v>
      </c>
      <c r="H4415" s="24">
        <v>346.0</v>
      </c>
      <c r="I4415" s="24">
        <v>199.0</v>
      </c>
      <c r="J4415" s="24">
        <v>0.0</v>
      </c>
      <c r="K4415" s="23" t="s">
        <v>34</v>
      </c>
      <c r="L4415" s="25">
        <v>42025.32244212963</v>
      </c>
      <c r="M4415" s="28"/>
      <c r="N4415" s="26" t="s">
        <v>10183</v>
      </c>
      <c r="O4415" s="22" t="str">
        <f>HYPERLINK("https://abs.twimg.com/sticky/default_profile_images/default_profile_normal.png","View")</f>
        <v>View</v>
      </c>
      <c r="P4415" s="27"/>
    </row>
    <row r="4416">
      <c r="A4416" s="14">
        <v>43031.27912037037</v>
      </c>
      <c r="B4416" s="20" t="str">
        <f>HYPERLINK("https://twitter.com/DawnRoseTurner","@DawnRoseTurner")</f>
        <v>@DawnRoseTurner</v>
      </c>
      <c r="C4416" s="21" t="s">
        <v>10184</v>
      </c>
      <c r="D4416" s="21" t="s">
        <v>10185</v>
      </c>
      <c r="E4416" s="22" t="str">
        <f>HYPERLINK("https://twitter.com/DawnRoseTurner/status/922458069342175232","922458069342175232")</f>
        <v>922458069342175232</v>
      </c>
      <c r="F4416" s="23" t="s">
        <v>33</v>
      </c>
      <c r="G4416" s="24">
        <v>2812.0</v>
      </c>
      <c r="H4416" s="24">
        <v>4999.0</v>
      </c>
      <c r="I4416" s="24">
        <v>0.0</v>
      </c>
      <c r="J4416" s="24">
        <v>0.0</v>
      </c>
      <c r="K4416" s="23" t="s">
        <v>34</v>
      </c>
      <c r="L4416" s="25">
        <v>39930.00623842592</v>
      </c>
      <c r="M4416" s="26" t="s">
        <v>10186</v>
      </c>
      <c r="N4416" s="26" t="s">
        <v>10187</v>
      </c>
      <c r="O4416" s="22" t="str">
        <f>HYPERLINK("https://pbs.twimg.com/profile_images/1602303495/SM_fairy_avatar_normal.jpg","View")</f>
        <v>View</v>
      </c>
      <c r="P4416" s="27"/>
    </row>
    <row r="4417">
      <c r="A4417" s="14">
        <v>43031.279236111106</v>
      </c>
      <c r="B4417" s="20" t="str">
        <f>HYPERLINK("https://twitter.com/manojpo58166346","@manojpo58166346")</f>
        <v>@manojpo58166346</v>
      </c>
      <c r="C4417" s="21" t="s">
        <v>10188</v>
      </c>
      <c r="D4417" s="21" t="s">
        <v>42</v>
      </c>
      <c r="E4417" s="22" t="str">
        <f>HYPERLINK("https://twitter.com/manojpo58166346/status/922458110890876928","922458110890876928")</f>
        <v>922458110890876928</v>
      </c>
      <c r="F4417" s="23" t="s">
        <v>33</v>
      </c>
      <c r="G4417" s="24">
        <v>55.0</v>
      </c>
      <c r="H4417" s="24">
        <v>343.0</v>
      </c>
      <c r="I4417" s="24">
        <v>8501.0</v>
      </c>
      <c r="J4417" s="24">
        <v>0.0</v>
      </c>
      <c r="K4417" s="23" t="s">
        <v>34</v>
      </c>
      <c r="L4417" s="25">
        <v>42508.45287037037</v>
      </c>
      <c r="M4417" s="26" t="s">
        <v>10189</v>
      </c>
      <c r="N4417" s="26" t="s">
        <v>10190</v>
      </c>
      <c r="O4417" s="22" t="str">
        <f>HYPERLINK("https://pbs.twimg.com/profile_images/918535222718689281/vx2GQLHa_normal.jpg","View")</f>
        <v>View</v>
      </c>
      <c r="P4417" s="27"/>
    </row>
    <row r="4418">
      <c r="A4418" s="14">
        <v>43031.27924768519</v>
      </c>
      <c r="B4418" s="20" t="str">
        <f>HYPERLINK("https://twitter.com/EducationalTec1","@EducationalTec1")</f>
        <v>@EducationalTec1</v>
      </c>
      <c r="C4418" s="21" t="s">
        <v>10191</v>
      </c>
      <c r="D4418" s="21" t="s">
        <v>10192</v>
      </c>
      <c r="E4418" s="22" t="str">
        <f>HYPERLINK("https://twitter.com/EducationalTec1/status/922458114179309568","922458114179309568")</f>
        <v>922458114179309568</v>
      </c>
      <c r="F4418" s="30" t="s">
        <v>411</v>
      </c>
      <c r="G4418" s="24">
        <v>7536.0</v>
      </c>
      <c r="H4418" s="24">
        <v>5208.0</v>
      </c>
      <c r="I4418" s="24">
        <v>0.0</v>
      </c>
      <c r="J4418" s="24">
        <v>0.0</v>
      </c>
      <c r="K4418" s="23" t="s">
        <v>34</v>
      </c>
      <c r="L4418" s="25">
        <v>41126.31527777778</v>
      </c>
      <c r="M4418" s="28"/>
      <c r="N4418" s="26" t="s">
        <v>10193</v>
      </c>
      <c r="O4418" s="22" t="str">
        <f>HYPERLINK("https://pbs.twimg.com/profile_images/2535381103/kwdfmp11so988efdy4h4_normal.jpeg","View")</f>
        <v>View</v>
      </c>
      <c r="P4418" s="27"/>
    </row>
    <row r="4419">
      <c r="A4419" s="14">
        <v>43031.27925925926</v>
      </c>
      <c r="B4419" s="20" t="str">
        <f t="shared" ref="B4419:B4420" si="74">HYPERLINK("https://twitter.com/ElifSafakOnline","@ElifSafakOnline")</f>
        <v>@ElifSafakOnline</v>
      </c>
      <c r="C4419" s="21" t="s">
        <v>10194</v>
      </c>
      <c r="D4419" s="21" t="s">
        <v>4091</v>
      </c>
      <c r="E4419" s="22" t="str">
        <f>HYPERLINK("https://twitter.com/ElifSafakOnline/status/922458117778046976","922458117778046976")</f>
        <v>922458117778046976</v>
      </c>
      <c r="F4419" s="23" t="s">
        <v>55</v>
      </c>
      <c r="G4419" s="24">
        <v>1332.0</v>
      </c>
      <c r="H4419" s="24">
        <v>1216.0</v>
      </c>
      <c r="I4419" s="24">
        <v>6.0</v>
      </c>
      <c r="J4419" s="24">
        <v>0.0</v>
      </c>
      <c r="K4419" s="23" t="s">
        <v>34</v>
      </c>
      <c r="L4419" s="25">
        <v>41384.96465277778</v>
      </c>
      <c r="M4419" s="26" t="s">
        <v>10195</v>
      </c>
      <c r="N4419" s="26" t="s">
        <v>10196</v>
      </c>
      <c r="O4419" s="22" t="str">
        <f t="shared" ref="O4419:O4420" si="75">HYPERLINK("https://pbs.twimg.com/profile_images/922473704008896514/XSCZfSDX_normal.jpg","View")</f>
        <v>View</v>
      </c>
      <c r="P4419" s="27"/>
    </row>
    <row r="4420">
      <c r="A4420" s="14">
        <v>43031.27929398148</v>
      </c>
      <c r="B4420" s="20" t="str">
        <f t="shared" si="74"/>
        <v>@ElifSafakOnline</v>
      </c>
      <c r="C4420" s="21" t="s">
        <v>10194</v>
      </c>
      <c r="D4420" s="21" t="s">
        <v>4093</v>
      </c>
      <c r="E4420" s="22" t="str">
        <f>HYPERLINK("https://twitter.com/ElifSafakOnline/status/922458131212402689","922458131212402689")</f>
        <v>922458131212402689</v>
      </c>
      <c r="F4420" s="23" t="s">
        <v>55</v>
      </c>
      <c r="G4420" s="24">
        <v>1332.0</v>
      </c>
      <c r="H4420" s="24">
        <v>1216.0</v>
      </c>
      <c r="I4420" s="24">
        <v>5.0</v>
      </c>
      <c r="J4420" s="24">
        <v>0.0</v>
      </c>
      <c r="K4420" s="23" t="s">
        <v>34</v>
      </c>
      <c r="L4420" s="25">
        <v>41384.96465277778</v>
      </c>
      <c r="M4420" s="26" t="s">
        <v>10195</v>
      </c>
      <c r="N4420" s="26" t="s">
        <v>10196</v>
      </c>
      <c r="O4420" s="22" t="str">
        <f t="shared" si="75"/>
        <v>View</v>
      </c>
      <c r="P4420" s="27"/>
    </row>
    <row r="4421">
      <c r="A4421" s="14">
        <v>43031.27940972222</v>
      </c>
      <c r="B4421" s="20" t="str">
        <f>HYPERLINK("https://twitter.com/ShaileshTewarie","@ShaileshTewarie")</f>
        <v>@ShaileshTewarie</v>
      </c>
      <c r="C4421" s="21" t="s">
        <v>10197</v>
      </c>
      <c r="D4421" s="21" t="s">
        <v>42</v>
      </c>
      <c r="E4421" s="22" t="str">
        <f>HYPERLINK("https://twitter.com/ShaileshTewarie/status/922458174891765761","922458174891765761")</f>
        <v>922458174891765761</v>
      </c>
      <c r="F4421" s="23" t="s">
        <v>33</v>
      </c>
      <c r="G4421" s="24">
        <v>60839.0</v>
      </c>
      <c r="H4421" s="24">
        <v>24264.0</v>
      </c>
      <c r="I4421" s="24">
        <v>8501.0</v>
      </c>
      <c r="J4421" s="24">
        <v>0.0</v>
      </c>
      <c r="K4421" s="23" t="s">
        <v>34</v>
      </c>
      <c r="L4421" s="25">
        <v>40114.23663194444</v>
      </c>
      <c r="M4421" s="26" t="s">
        <v>2310</v>
      </c>
      <c r="N4421" s="26" t="s">
        <v>10198</v>
      </c>
      <c r="O4421" s="22" t="str">
        <f>HYPERLINK("https://pbs.twimg.com/profile_images/614847816045727745/f1LA-trH_normal.jpg","View")</f>
        <v>View</v>
      </c>
      <c r="P4421" s="27"/>
    </row>
    <row r="4422">
      <c r="A4422" s="14">
        <v>43031.279432870375</v>
      </c>
      <c r="B4422" s="20" t="str">
        <f>HYPERLINK("https://twitter.com/Newsweek_INT","@Newsweek_INT")</f>
        <v>@Newsweek_INT</v>
      </c>
      <c r="C4422" s="21" t="s">
        <v>10199</v>
      </c>
      <c r="D4422" s="21" t="s">
        <v>10200</v>
      </c>
      <c r="E4422" s="22" t="str">
        <f>HYPERLINK("https://twitter.com/Newsweek_INT/status/922458179212120064","922458179212120064")</f>
        <v>922458179212120064</v>
      </c>
      <c r="F4422" s="23" t="s">
        <v>1103</v>
      </c>
      <c r="G4422" s="24">
        <v>24068.0</v>
      </c>
      <c r="H4422" s="24">
        <v>1258.0</v>
      </c>
      <c r="I4422" s="24">
        <v>2.0</v>
      </c>
      <c r="J4422" s="24">
        <v>1.0</v>
      </c>
      <c r="K4422" s="23" t="s">
        <v>34</v>
      </c>
      <c r="L4422" s="25">
        <v>40556.494525462964</v>
      </c>
      <c r="M4422" s="26" t="s">
        <v>334</v>
      </c>
      <c r="N4422" s="26" t="s">
        <v>10201</v>
      </c>
      <c r="O4422" s="22" t="str">
        <f>HYPERLINK("https://pbs.twimg.com/profile_images/809726198922219520/_qNMVqXH_normal.jpg","View")</f>
        <v>View</v>
      </c>
      <c r="P4422" s="27"/>
    </row>
    <row r="4423">
      <c r="A4423" s="14">
        <v>43031.279444444444</v>
      </c>
      <c r="B4423" s="20" t="str">
        <f>HYPERLINK("https://twitter.com/PremNeu1","@PremNeu1")</f>
        <v>@PremNeu1</v>
      </c>
      <c r="C4423" s="21" t="s">
        <v>10202</v>
      </c>
      <c r="D4423" s="21" t="s">
        <v>10203</v>
      </c>
      <c r="E4423" s="22" t="str">
        <f>HYPERLINK("https://twitter.com/PremNeu1/status/922458185381814272","922458185381814272")</f>
        <v>922458185381814272</v>
      </c>
      <c r="F4423" s="23" t="s">
        <v>39</v>
      </c>
      <c r="G4423" s="24">
        <v>2554.0</v>
      </c>
      <c r="H4423" s="24">
        <v>4965.0</v>
      </c>
      <c r="I4423" s="24">
        <v>0.0</v>
      </c>
      <c r="J4423" s="24">
        <v>0.0</v>
      </c>
      <c r="K4423" s="23" t="s">
        <v>34</v>
      </c>
      <c r="L4423" s="25">
        <v>42550.97690972222</v>
      </c>
      <c r="M4423" s="26" t="s">
        <v>271</v>
      </c>
      <c r="N4423" s="26" t="s">
        <v>10204</v>
      </c>
      <c r="O4423" s="22" t="str">
        <f>HYPERLINK("https://pbs.twimg.com/profile_images/887910238732525568/rCnZkjWI_normal.jpg","View")</f>
        <v>View</v>
      </c>
      <c r="P4423" s="27"/>
    </row>
    <row r="4424">
      <c r="A4424" s="14">
        <v>43031.279456018514</v>
      </c>
      <c r="B4424" s="20" t="str">
        <f>HYPERLINK("https://twitter.com/tm256","@tm256")</f>
        <v>@tm256</v>
      </c>
      <c r="C4424" s="21" t="s">
        <v>10205</v>
      </c>
      <c r="D4424" s="21" t="s">
        <v>8782</v>
      </c>
      <c r="E4424" s="22" t="str">
        <f>HYPERLINK("https://twitter.com/tm256/status/922458187940298752","922458187940298752")</f>
        <v>922458187940298752</v>
      </c>
      <c r="F4424" s="23" t="s">
        <v>55</v>
      </c>
      <c r="G4424" s="24">
        <v>6264.0</v>
      </c>
      <c r="H4424" s="24">
        <v>4379.0</v>
      </c>
      <c r="I4424" s="24">
        <v>20.0</v>
      </c>
      <c r="J4424" s="24">
        <v>0.0</v>
      </c>
      <c r="K4424" s="23" t="s">
        <v>34</v>
      </c>
      <c r="L4424" s="25">
        <v>39809.79516203704</v>
      </c>
      <c r="M4424" s="26" t="s">
        <v>10206</v>
      </c>
      <c r="N4424" s="26" t="s">
        <v>10207</v>
      </c>
      <c r="O4424" s="22" t="str">
        <f>HYPERLINK("https://pbs.twimg.com/profile_images/2831620105/2b31af4467d821d0aa740074d9582977_normal.jpeg","View")</f>
        <v>View</v>
      </c>
      <c r="P4424" s="27"/>
    </row>
    <row r="4425">
      <c r="A4425" s="14">
        <v>43031.279710648145</v>
      </c>
      <c r="B4425" s="20" t="str">
        <f>HYPERLINK("https://twitter.com/KetanJain5","@KetanJain5")</f>
        <v>@KetanJain5</v>
      </c>
      <c r="C4425" s="21" t="s">
        <v>10208</v>
      </c>
      <c r="D4425" s="21" t="s">
        <v>42</v>
      </c>
      <c r="E4425" s="22" t="str">
        <f>HYPERLINK("https://twitter.com/KetanJain5/status/922458281158873093","922458281158873093")</f>
        <v>922458281158873093</v>
      </c>
      <c r="F4425" s="23" t="s">
        <v>33</v>
      </c>
      <c r="G4425" s="24">
        <v>53.0</v>
      </c>
      <c r="H4425" s="24">
        <v>234.0</v>
      </c>
      <c r="I4425" s="24">
        <v>8501.0</v>
      </c>
      <c r="J4425" s="24">
        <v>0.0</v>
      </c>
      <c r="K4425" s="23" t="s">
        <v>34</v>
      </c>
      <c r="L4425" s="25">
        <v>40770.31990740741</v>
      </c>
      <c r="M4425" s="28"/>
      <c r="N4425" s="26" t="s">
        <v>10209</v>
      </c>
      <c r="O4425" s="22" t="str">
        <f>HYPERLINK("https://pbs.twimg.com/profile_images/595604837141651457/6w1GKctk_normal.jpg","View")</f>
        <v>View</v>
      </c>
      <c r="P4425" s="27"/>
    </row>
    <row r="4426">
      <c r="A4426" s="14">
        <v>43031.27988425926</v>
      </c>
      <c r="B4426" s="20" t="str">
        <f>HYPERLINK("https://twitter.com/VedKashyap","@VedKashyap")</f>
        <v>@VedKashyap</v>
      </c>
      <c r="C4426" s="21" t="s">
        <v>10210</v>
      </c>
      <c r="D4426" s="21" t="s">
        <v>42</v>
      </c>
      <c r="E4426" s="22" t="str">
        <f>HYPERLINK("https://twitter.com/VedKashyap/status/922458346262749184","922458346262749184")</f>
        <v>922458346262749184</v>
      </c>
      <c r="F4426" s="23" t="s">
        <v>39</v>
      </c>
      <c r="G4426" s="24">
        <v>37.0</v>
      </c>
      <c r="H4426" s="24">
        <v>38.0</v>
      </c>
      <c r="I4426" s="24">
        <v>8501.0</v>
      </c>
      <c r="J4426" s="24">
        <v>0.0</v>
      </c>
      <c r="K4426" s="23" t="s">
        <v>34</v>
      </c>
      <c r="L4426" s="25">
        <v>40189.28496527778</v>
      </c>
      <c r="M4426" s="28"/>
      <c r="N4426" s="28"/>
      <c r="O4426" s="22" t="str">
        <f>HYPERLINK("https://pbs.twimg.com/profile_images/378800000525150817/c9db0ac2602ad5f7d54d8b696d60c208_normal.jpeg","View")</f>
        <v>View</v>
      </c>
      <c r="P4426" s="27"/>
    </row>
    <row r="4427">
      <c r="A4427" s="14">
        <v>43031.27990740741</v>
      </c>
      <c r="B4427" s="20" t="str">
        <f>HYPERLINK("https://twitter.com/ssharma68","@ssharma68")</f>
        <v>@ssharma68</v>
      </c>
      <c r="C4427" s="21" t="s">
        <v>10211</v>
      </c>
      <c r="D4427" s="21" t="s">
        <v>10212</v>
      </c>
      <c r="E4427" s="22" t="str">
        <f>HYPERLINK("https://twitter.com/ssharma68/status/922458352268931072","922458352268931072")</f>
        <v>922458352268931072</v>
      </c>
      <c r="F4427" s="23" t="s">
        <v>33</v>
      </c>
      <c r="G4427" s="24">
        <v>6938.0</v>
      </c>
      <c r="H4427" s="24">
        <v>6277.0</v>
      </c>
      <c r="I4427" s="24">
        <v>1.0</v>
      </c>
      <c r="J4427" s="24">
        <v>2.0</v>
      </c>
      <c r="K4427" s="23" t="s">
        <v>34</v>
      </c>
      <c r="L4427" s="25">
        <v>41288.818136574075</v>
      </c>
      <c r="M4427" s="26" t="s">
        <v>10213</v>
      </c>
      <c r="N4427" s="26" t="s">
        <v>10214</v>
      </c>
      <c r="O4427" s="22" t="str">
        <f>HYPERLINK("https://pbs.twimg.com/profile_images/765561090293903360/45RssUPk_normal.jpg","View")</f>
        <v>View</v>
      </c>
      <c r="P4427" s="27"/>
    </row>
    <row r="4428">
      <c r="A4428" s="14">
        <v>43031.27993055555</v>
      </c>
      <c r="B4428" s="20" t="str">
        <f>HYPERLINK("https://twitter.com/ManjulPaul","@ManjulPaul")</f>
        <v>@ManjulPaul</v>
      </c>
      <c r="C4428" s="21" t="s">
        <v>10215</v>
      </c>
      <c r="D4428" s="21" t="s">
        <v>7602</v>
      </c>
      <c r="E4428" s="22" t="str">
        <f>HYPERLINK("https://twitter.com/ManjulPaul/status/922458360053514240","922458360053514240")</f>
        <v>922458360053514240</v>
      </c>
      <c r="F4428" s="23" t="s">
        <v>55</v>
      </c>
      <c r="G4428" s="24">
        <v>23.0</v>
      </c>
      <c r="H4428" s="24">
        <v>231.0</v>
      </c>
      <c r="I4428" s="24">
        <v>7.0</v>
      </c>
      <c r="J4428" s="24">
        <v>0.0</v>
      </c>
      <c r="K4428" s="23" t="s">
        <v>34</v>
      </c>
      <c r="L4428" s="25">
        <v>42886.19106481482</v>
      </c>
      <c r="M4428" s="28"/>
      <c r="N4428" s="26" t="s">
        <v>10216</v>
      </c>
      <c r="O4428" s="22" t="str">
        <f>HYPERLINK("https://pbs.twimg.com/profile_images/874197575875690496/FtCxFSBf_normal.jpg","View")</f>
        <v>View</v>
      </c>
      <c r="P4428" s="27"/>
    </row>
    <row r="4429">
      <c r="A4429" s="14">
        <v>43031.27993055555</v>
      </c>
      <c r="B4429" s="20" t="str">
        <f>HYPERLINK("https://twitter.com/AmbadasRachcha","@AmbadasRachcha")</f>
        <v>@AmbadasRachcha</v>
      </c>
      <c r="C4429" s="21" t="s">
        <v>10217</v>
      </c>
      <c r="D4429" s="21" t="s">
        <v>42</v>
      </c>
      <c r="E4429" s="22" t="str">
        <f>HYPERLINK("https://twitter.com/AmbadasRachcha/status/922458360225546242","922458360225546242")</f>
        <v>922458360225546242</v>
      </c>
      <c r="F4429" s="23" t="s">
        <v>33</v>
      </c>
      <c r="G4429" s="24">
        <v>0.0</v>
      </c>
      <c r="H4429" s="24">
        <v>62.0</v>
      </c>
      <c r="I4429" s="24">
        <v>8501.0</v>
      </c>
      <c r="J4429" s="24">
        <v>0.0</v>
      </c>
      <c r="K4429" s="23" t="s">
        <v>34</v>
      </c>
      <c r="L4429" s="25">
        <v>42814.5378125</v>
      </c>
      <c r="M4429" s="26" t="s">
        <v>10218</v>
      </c>
      <c r="N4429" s="28"/>
      <c r="O4429" s="22" t="str">
        <f>HYPERLINK("https://pbs.twimg.com/profile_images/922723538158489600/apRWeUHQ_normal.jpg","View")</f>
        <v>View</v>
      </c>
      <c r="P4429" s="27"/>
    </row>
    <row r="4430">
      <c r="A4430" s="14">
        <v>43031.280081018514</v>
      </c>
      <c r="B4430" s="20" t="str">
        <f>HYPERLINK("https://twitter.com/WarrierCan","@WarrierCan")</f>
        <v>@WarrierCan</v>
      </c>
      <c r="C4430" s="21" t="s">
        <v>10219</v>
      </c>
      <c r="D4430" s="21" t="s">
        <v>42</v>
      </c>
      <c r="E4430" s="22" t="str">
        <f>HYPERLINK("https://twitter.com/WarrierCan/status/922458417859612672","922458417859612672")</f>
        <v>922458417859612672</v>
      </c>
      <c r="F4430" s="23" t="s">
        <v>2119</v>
      </c>
      <c r="G4430" s="24">
        <v>191.0</v>
      </c>
      <c r="H4430" s="24">
        <v>108.0</v>
      </c>
      <c r="I4430" s="24">
        <v>8501.0</v>
      </c>
      <c r="J4430" s="24">
        <v>0.0</v>
      </c>
      <c r="K4430" s="23" t="s">
        <v>34</v>
      </c>
      <c r="L4430" s="25">
        <v>41580.33746527778</v>
      </c>
      <c r="M4430" s="28"/>
      <c r="N4430" s="26" t="s">
        <v>10220</v>
      </c>
      <c r="O4430" s="22" t="str">
        <f>HYPERLINK("https://pbs.twimg.com/profile_images/841661613727875072/LbNldTuJ_normal.jpg","View")</f>
        <v>View</v>
      </c>
      <c r="P4430" s="27"/>
    </row>
    <row r="4431">
      <c r="A4431" s="14">
        <v>43031.28015046296</v>
      </c>
      <c r="B4431" s="20" t="str">
        <f>HYPERLINK("https://twitter.com/SanjayS06009419","@SanjayS06009419")</f>
        <v>@SanjayS06009419</v>
      </c>
      <c r="C4431" s="21" t="s">
        <v>10221</v>
      </c>
      <c r="D4431" s="21" t="s">
        <v>42</v>
      </c>
      <c r="E4431" s="22" t="str">
        <f>HYPERLINK("https://twitter.com/SanjayS06009419/status/922458442635399168","922458442635399168")</f>
        <v>922458442635399168</v>
      </c>
      <c r="F4431" s="23" t="s">
        <v>43</v>
      </c>
      <c r="G4431" s="24">
        <v>1.0</v>
      </c>
      <c r="H4431" s="24">
        <v>18.0</v>
      </c>
      <c r="I4431" s="24">
        <v>8501.0</v>
      </c>
      <c r="J4431" s="24">
        <v>0.0</v>
      </c>
      <c r="K4431" s="23" t="s">
        <v>34</v>
      </c>
      <c r="L4431" s="25">
        <v>42993.79215277778</v>
      </c>
      <c r="M4431" s="28"/>
      <c r="N4431" s="26" t="s">
        <v>10222</v>
      </c>
      <c r="O4431" s="22" t="str">
        <f>HYPERLINK("https://pbs.twimg.com/profile_images/908875090959335424/dSXM4L7i_normal.jpg","View")</f>
        <v>View</v>
      </c>
      <c r="P4431" s="27"/>
    </row>
    <row r="4432">
      <c r="A4432" s="14">
        <v>43031.280277777776</v>
      </c>
      <c r="B4432" s="20" t="str">
        <f>HYPERLINK("https://twitter.com/WBJ_News","@WBJ_News")</f>
        <v>@WBJ_News</v>
      </c>
      <c r="C4432" s="21" t="s">
        <v>10223</v>
      </c>
      <c r="D4432" s="21" t="s">
        <v>716</v>
      </c>
      <c r="E4432" s="22" t="str">
        <f>HYPERLINK("https://twitter.com/WBJ_News/status/922458487308849152","922458487308849152")</f>
        <v>922458487308849152</v>
      </c>
      <c r="F4432" s="23" t="s">
        <v>55</v>
      </c>
      <c r="G4432" s="24">
        <v>3.0</v>
      </c>
      <c r="H4432" s="24">
        <v>0.0</v>
      </c>
      <c r="I4432" s="24">
        <v>9.0</v>
      </c>
      <c r="J4432" s="24">
        <v>0.0</v>
      </c>
      <c r="K4432" s="23" t="s">
        <v>34</v>
      </c>
      <c r="L4432" s="25">
        <v>43028.507372685184</v>
      </c>
      <c r="M4432" s="28"/>
      <c r="N4432" s="28"/>
      <c r="O4432" s="22" t="str">
        <f>HYPERLINK("https://abs.twimg.com/sticky/default_profile_images/default_profile_normal.png","View")</f>
        <v>View</v>
      </c>
      <c r="P4432" s="27"/>
    </row>
    <row r="4433">
      <c r="A4433" s="14">
        <v>43031.2803587963</v>
      </c>
      <c r="B4433" s="20" t="str">
        <f>HYPERLINK("https://twitter.com/Parmigiani_S","@Parmigiani_S")</f>
        <v>@Parmigiani_S</v>
      </c>
      <c r="C4433" s="21" t="s">
        <v>3980</v>
      </c>
      <c r="D4433" s="21" t="s">
        <v>10224</v>
      </c>
      <c r="E4433" s="22" t="str">
        <f>HYPERLINK("https://twitter.com/Parmigiani_S/status/922458517570715648","922458517570715648")</f>
        <v>922458517570715648</v>
      </c>
      <c r="F4433" s="23" t="s">
        <v>187</v>
      </c>
      <c r="G4433" s="24">
        <v>62360.0</v>
      </c>
      <c r="H4433" s="24">
        <v>0.0</v>
      </c>
      <c r="I4433" s="24">
        <v>0.0</v>
      </c>
      <c r="J4433" s="24">
        <v>0.0</v>
      </c>
      <c r="K4433" s="23" t="s">
        <v>34</v>
      </c>
      <c r="L4433" s="25">
        <v>40232.53990740741</v>
      </c>
      <c r="M4433" s="28"/>
      <c r="N4433" s="26" t="s">
        <v>3982</v>
      </c>
      <c r="O4433" s="22" t="str">
        <f>HYPERLINK("https://pbs.twimg.com/profile_images/761990466053218305/dxRy0zdw_normal.jpg","View")</f>
        <v>View</v>
      </c>
      <c r="P4433" s="27"/>
    </row>
    <row r="4434">
      <c r="A4434" s="14">
        <v>43031.280451388884</v>
      </c>
      <c r="B4434" s="20" t="str">
        <f>HYPERLINK("https://twitter.com/yuji42195","@yuji42195")</f>
        <v>@yuji42195</v>
      </c>
      <c r="C4434" s="21" t="s">
        <v>10225</v>
      </c>
      <c r="D4434" s="21" t="s">
        <v>42</v>
      </c>
      <c r="E4434" s="22" t="str">
        <f>HYPERLINK("https://twitter.com/yuji42195/status/922458549900296192","922458549900296192")</f>
        <v>922458549900296192</v>
      </c>
      <c r="F4434" s="23" t="s">
        <v>39</v>
      </c>
      <c r="G4434" s="24">
        <v>186.0</v>
      </c>
      <c r="H4434" s="24">
        <v>405.0</v>
      </c>
      <c r="I4434" s="24">
        <v>8501.0</v>
      </c>
      <c r="J4434" s="24">
        <v>0.0</v>
      </c>
      <c r="K4434" s="23" t="s">
        <v>34</v>
      </c>
      <c r="L4434" s="25">
        <v>40036.47820601852</v>
      </c>
      <c r="M4434" s="26" t="s">
        <v>334</v>
      </c>
      <c r="N4434" s="26" t="s">
        <v>10226</v>
      </c>
      <c r="O4434" s="22" t="str">
        <f>HYPERLINK("https://pbs.twimg.com/profile_images/2348943401/bptuwgb1pqekw891hvon_normal.jpeg","View")</f>
        <v>View</v>
      </c>
      <c r="P4434" s="27"/>
    </row>
    <row r="4435">
      <c r="A4435" s="14">
        <v>43031.28057870371</v>
      </c>
      <c r="B4435" s="20" t="str">
        <f>HYPERLINK("https://twitter.com/ArjunKejriwal1","@ArjunKejriwal1")</f>
        <v>@ArjunKejriwal1</v>
      </c>
      <c r="C4435" s="21" t="s">
        <v>10227</v>
      </c>
      <c r="D4435" s="21" t="s">
        <v>42</v>
      </c>
      <c r="E4435" s="22" t="str">
        <f>HYPERLINK("https://twitter.com/ArjunKejriwal1/status/922458596541001729","922458596541001729")</f>
        <v>922458596541001729</v>
      </c>
      <c r="F4435" s="23" t="s">
        <v>33</v>
      </c>
      <c r="G4435" s="24">
        <v>44.0</v>
      </c>
      <c r="H4435" s="24">
        <v>132.0</v>
      </c>
      <c r="I4435" s="24">
        <v>8501.0</v>
      </c>
      <c r="J4435" s="24">
        <v>0.0</v>
      </c>
      <c r="K4435" s="23" t="s">
        <v>34</v>
      </c>
      <c r="L4435" s="25">
        <v>42769.31810185185</v>
      </c>
      <c r="M4435" s="26" t="s">
        <v>575</v>
      </c>
      <c r="N4435" s="26" t="s">
        <v>10228</v>
      </c>
      <c r="O4435" s="22" t="str">
        <f>HYPERLINK("https://pbs.twimg.com/profile_images/834959223306010625/yxmk3nLI_normal.jpg","View")</f>
        <v>View</v>
      </c>
      <c r="P4435" s="27"/>
    </row>
    <row r="4436">
      <c r="A4436" s="14">
        <v>43031.280752314815</v>
      </c>
      <c r="B4436" s="20" t="str">
        <f>HYPERLINK("https://twitter.com/krunox123","@krunox123")</f>
        <v>@krunox123</v>
      </c>
      <c r="C4436" s="21" t="s">
        <v>1750</v>
      </c>
      <c r="D4436" s="21" t="s">
        <v>10229</v>
      </c>
      <c r="E4436" s="22" t="str">
        <f>HYPERLINK("https://twitter.com/krunox123/status/922458659199815680","922458659199815680")</f>
        <v>922458659199815680</v>
      </c>
      <c r="F4436" s="23" t="s">
        <v>187</v>
      </c>
      <c r="G4436" s="24">
        <v>10220.0</v>
      </c>
      <c r="H4436" s="24">
        <v>2.0</v>
      </c>
      <c r="I4436" s="24">
        <v>0.0</v>
      </c>
      <c r="J4436" s="24">
        <v>0.0</v>
      </c>
      <c r="K4436" s="23" t="s">
        <v>34</v>
      </c>
      <c r="L4436" s="25">
        <v>40938.22789351852</v>
      </c>
      <c r="M4436" s="26" t="s">
        <v>1752</v>
      </c>
      <c r="N4436" s="26" t="s">
        <v>1753</v>
      </c>
      <c r="O4436" s="22" t="str">
        <f>HYPERLINK("https://pbs.twimg.com/profile_images/824952382618349568/2SFIkM2x_normal.jpg","View")</f>
        <v>View</v>
      </c>
      <c r="P4436" s="27"/>
    </row>
    <row r="4437">
      <c r="A4437" s="14">
        <v>43031.28090277778</v>
      </c>
      <c r="B4437" s="20" t="str">
        <f>HYPERLINK("https://twitter.com/vijenderbhardwa","@vijenderbhardwa")</f>
        <v>@vijenderbhardwa</v>
      </c>
      <c r="C4437" s="21" t="s">
        <v>10230</v>
      </c>
      <c r="D4437" s="21" t="s">
        <v>42</v>
      </c>
      <c r="E4437" s="22" t="str">
        <f>HYPERLINK("https://twitter.com/vijenderbhardwa/status/922458712152920064","922458712152920064")</f>
        <v>922458712152920064</v>
      </c>
      <c r="F4437" s="23" t="s">
        <v>33</v>
      </c>
      <c r="G4437" s="24">
        <v>5903.0</v>
      </c>
      <c r="H4437" s="24">
        <v>5929.0</v>
      </c>
      <c r="I4437" s="24">
        <v>8501.0</v>
      </c>
      <c r="J4437" s="24">
        <v>0.0</v>
      </c>
      <c r="K4437" s="23" t="s">
        <v>34</v>
      </c>
      <c r="L4437" s="25">
        <v>40715.971875</v>
      </c>
      <c r="M4437" s="26" t="s">
        <v>10231</v>
      </c>
      <c r="N4437" s="26" t="s">
        <v>10232</v>
      </c>
      <c r="O4437" s="22" t="str">
        <f>HYPERLINK("https://pbs.twimg.com/profile_images/692628952075010048/IbaSctZd_normal.jpg","View")</f>
        <v>View</v>
      </c>
      <c r="P4437" s="27"/>
    </row>
    <row r="4438">
      <c r="A4438" s="14">
        <v>43031.28099537037</v>
      </c>
      <c r="B4438" s="20" t="str">
        <f>HYPERLINK("https://twitter.com/BJPTHONDAN","@BJPTHONDAN")</f>
        <v>@BJPTHONDAN</v>
      </c>
      <c r="C4438" s="21" t="s">
        <v>10233</v>
      </c>
      <c r="D4438" s="21" t="s">
        <v>42</v>
      </c>
      <c r="E4438" s="22" t="str">
        <f>HYPERLINK("https://twitter.com/BJPTHONDAN/status/922458745476648964","922458745476648964")</f>
        <v>922458745476648964</v>
      </c>
      <c r="F4438" s="23" t="s">
        <v>55</v>
      </c>
      <c r="G4438" s="24">
        <v>4749.0</v>
      </c>
      <c r="H4438" s="24">
        <v>4200.0</v>
      </c>
      <c r="I4438" s="24">
        <v>8501.0</v>
      </c>
      <c r="J4438" s="24">
        <v>0.0</v>
      </c>
      <c r="K4438" s="23" t="s">
        <v>34</v>
      </c>
      <c r="L4438" s="25">
        <v>41158.23987268518</v>
      </c>
      <c r="M4438" s="26" t="s">
        <v>10234</v>
      </c>
      <c r="N4438" s="26" t="s">
        <v>10235</v>
      </c>
      <c r="O4438" s="22" t="str">
        <f>HYPERLINK("https://pbs.twimg.com/profile_images/497107076909252608/doLXHD2m_normal.jpeg","View")</f>
        <v>View</v>
      </c>
      <c r="P4438" s="27"/>
    </row>
    <row r="4439">
      <c r="A4439" s="14">
        <v>43031.28099537037</v>
      </c>
      <c r="B4439" s="20" t="str">
        <f>HYPERLINK("https://twitter.com/kenmusa2016","@kenmusa2016")</f>
        <v>@kenmusa2016</v>
      </c>
      <c r="C4439" s="21" t="s">
        <v>10236</v>
      </c>
      <c r="D4439" s="21" t="s">
        <v>32</v>
      </c>
      <c r="E4439" s="22" t="str">
        <f>HYPERLINK("https://twitter.com/kenmusa2016/status/922458749150916610","922458749150916610")</f>
        <v>922458749150916610</v>
      </c>
      <c r="F4439" s="23" t="s">
        <v>33</v>
      </c>
      <c r="G4439" s="24">
        <v>715.0</v>
      </c>
      <c r="H4439" s="24">
        <v>683.0</v>
      </c>
      <c r="I4439" s="24">
        <v>471.0</v>
      </c>
      <c r="J4439" s="24">
        <v>0.0</v>
      </c>
      <c r="K4439" s="23" t="s">
        <v>34</v>
      </c>
      <c r="L4439" s="25">
        <v>41977.19770833333</v>
      </c>
      <c r="M4439" s="26" t="s">
        <v>114</v>
      </c>
      <c r="N4439" s="26" t="s">
        <v>10237</v>
      </c>
      <c r="O4439" s="22" t="str">
        <f>HYPERLINK("https://pbs.twimg.com/profile_images/836529724272803840/Uu3S0CCX_normal.jpg","View")</f>
        <v>View</v>
      </c>
      <c r="P4439" s="27"/>
    </row>
    <row r="4440">
      <c r="A4440" s="14">
        <v>43031.281006944446</v>
      </c>
      <c r="B4440" s="20" t="str">
        <f>HYPERLINK("https://twitter.com/_VishalBhat_","@_VishalBhat_")</f>
        <v>@_VishalBhat_</v>
      </c>
      <c r="C4440" s="21" t="s">
        <v>10238</v>
      </c>
      <c r="D4440" s="21" t="s">
        <v>42</v>
      </c>
      <c r="E4440" s="22" t="str">
        <f>HYPERLINK("https://twitter.com/_VishalBhat_/status/922458750157406209","922458750157406209")</f>
        <v>922458750157406209</v>
      </c>
      <c r="F4440" s="23" t="s">
        <v>39</v>
      </c>
      <c r="G4440" s="24">
        <v>33.0</v>
      </c>
      <c r="H4440" s="24">
        <v>905.0</v>
      </c>
      <c r="I4440" s="24">
        <v>8501.0</v>
      </c>
      <c r="J4440" s="24">
        <v>0.0</v>
      </c>
      <c r="K4440" s="23" t="s">
        <v>34</v>
      </c>
      <c r="L4440" s="25">
        <v>40046.10181712963</v>
      </c>
      <c r="M4440" s="26" t="s">
        <v>204</v>
      </c>
      <c r="N4440" s="26" t="s">
        <v>10239</v>
      </c>
      <c r="O4440" s="22" t="str">
        <f>HYPERLINK("https://pbs.twimg.com/profile_images/839880585279496192/5CG2Muqw_normal.jpg","View")</f>
        <v>View</v>
      </c>
      <c r="P4440" s="27"/>
    </row>
    <row r="4441">
      <c r="A4441" s="14">
        <v>43031.281168981484</v>
      </c>
      <c r="B4441" s="20" t="str">
        <f>HYPERLINK("https://twitter.com/AnkitPa73795505","@AnkitPa73795505")</f>
        <v>@AnkitPa73795505</v>
      </c>
      <c r="C4441" s="21" t="s">
        <v>10240</v>
      </c>
      <c r="D4441" s="21" t="s">
        <v>42</v>
      </c>
      <c r="E4441" s="22" t="str">
        <f>HYPERLINK("https://twitter.com/AnkitPa73795505/status/922458808881881089","922458808881881089")</f>
        <v>922458808881881089</v>
      </c>
      <c r="F4441" s="23" t="s">
        <v>33</v>
      </c>
      <c r="G4441" s="24">
        <v>0.0</v>
      </c>
      <c r="H4441" s="24">
        <v>5.0</v>
      </c>
      <c r="I4441" s="24">
        <v>8501.0</v>
      </c>
      <c r="J4441" s="24">
        <v>0.0</v>
      </c>
      <c r="K4441" s="23" t="s">
        <v>34</v>
      </c>
      <c r="L4441" s="25">
        <v>43031.27892361111</v>
      </c>
      <c r="M4441" s="28"/>
      <c r="N4441" s="28"/>
      <c r="O4441" s="22" t="str">
        <f>HYPERLINK("https://abs.twimg.com/sticky/default_profile_images/default_profile_normal.png","View")</f>
        <v>View</v>
      </c>
      <c r="P4441" s="27"/>
    </row>
    <row r="4442">
      <c r="A4442" s="14">
        <v>43031.28129629629</v>
      </c>
      <c r="B4442" s="20" t="str">
        <f>HYPERLINK("https://twitter.com/seventrading7","@seventrading7")</f>
        <v>@seventrading7</v>
      </c>
      <c r="C4442" s="21" t="s">
        <v>10241</v>
      </c>
      <c r="D4442" s="21" t="s">
        <v>10242</v>
      </c>
      <c r="E4442" s="22" t="str">
        <f>HYPERLINK("https://twitter.com/seventrading7/status/922458855187058688","922458855187058688")</f>
        <v>922458855187058688</v>
      </c>
      <c r="F4442" s="23" t="s">
        <v>2255</v>
      </c>
      <c r="G4442" s="24">
        <v>4386.0</v>
      </c>
      <c r="H4442" s="24">
        <v>2249.0</v>
      </c>
      <c r="I4442" s="24">
        <v>0.0</v>
      </c>
      <c r="J4442" s="24">
        <v>0.0</v>
      </c>
      <c r="K4442" s="23" t="s">
        <v>34</v>
      </c>
      <c r="L4442" s="25">
        <v>41117.49663194444</v>
      </c>
      <c r="M4442" s="26" t="s">
        <v>2534</v>
      </c>
      <c r="N4442" s="26" t="s">
        <v>10243</v>
      </c>
      <c r="O4442" s="22" t="str">
        <f>HYPERLINK("https://pbs.twimg.com/profile_images/912182611388354560/8kIHsTjZ_normal.jpg","View")</f>
        <v>View</v>
      </c>
      <c r="P4442" s="27"/>
    </row>
    <row r="4443">
      <c r="A4443" s="14">
        <v>43031.28148148148</v>
      </c>
      <c r="B4443" s="20" t="str">
        <f>HYPERLINK("https://twitter.com/averma85IRS","@averma85IRS")</f>
        <v>@averma85IRS</v>
      </c>
      <c r="C4443" s="21" t="s">
        <v>10244</v>
      </c>
      <c r="D4443" s="21" t="s">
        <v>42</v>
      </c>
      <c r="E4443" s="22" t="str">
        <f>HYPERLINK("https://twitter.com/averma85IRS/status/922458925630234624","922458925630234624")</f>
        <v>922458925630234624</v>
      </c>
      <c r="F4443" s="23" t="s">
        <v>39</v>
      </c>
      <c r="G4443" s="24">
        <v>58.0</v>
      </c>
      <c r="H4443" s="24">
        <v>67.0</v>
      </c>
      <c r="I4443" s="24">
        <v>8501.0</v>
      </c>
      <c r="J4443" s="24">
        <v>0.0</v>
      </c>
      <c r="K4443" s="23" t="s">
        <v>34</v>
      </c>
      <c r="L4443" s="25">
        <v>41519.987164351856</v>
      </c>
      <c r="M4443" s="26" t="s">
        <v>10245</v>
      </c>
      <c r="N4443" s="26" t="s">
        <v>10246</v>
      </c>
      <c r="O4443" s="22" t="str">
        <f>HYPERLINK("https://pbs.twimg.com/profile_images/806780289770917889/UGHr6jit_normal.jpg","View")</f>
        <v>View</v>
      </c>
      <c r="P4443" s="27"/>
    </row>
    <row r="4444">
      <c r="A4444" s="14">
        <v>43031.28155092592</v>
      </c>
      <c r="B4444" s="20" t="str">
        <f>HYPERLINK("https://twitter.com/Amansin72933069","@Amansin72933069")</f>
        <v>@Amansin72933069</v>
      </c>
      <c r="C4444" s="21" t="s">
        <v>10247</v>
      </c>
      <c r="D4444" s="21" t="s">
        <v>42</v>
      </c>
      <c r="E4444" s="22" t="str">
        <f>HYPERLINK("https://twitter.com/Amansin72933069/status/922458950494167046","922458950494167046")</f>
        <v>922458950494167046</v>
      </c>
      <c r="F4444" s="23" t="s">
        <v>43</v>
      </c>
      <c r="G4444" s="24">
        <v>18.0</v>
      </c>
      <c r="H4444" s="24">
        <v>164.0</v>
      </c>
      <c r="I4444" s="24">
        <v>8501.0</v>
      </c>
      <c r="J4444" s="24">
        <v>0.0</v>
      </c>
      <c r="K4444" s="23" t="s">
        <v>34</v>
      </c>
      <c r="L4444" s="25">
        <v>41167.78664351852</v>
      </c>
      <c r="M4444" s="26" t="s">
        <v>10248</v>
      </c>
      <c r="N4444" s="28"/>
      <c r="O4444" s="22" t="str">
        <f>HYPERLINK("https://pbs.twimg.com/profile_images/850149477025558528/D2eTqH0i_normal.jpg","View")</f>
        <v>View</v>
      </c>
      <c r="P4444" s="27"/>
    </row>
    <row r="4445">
      <c r="A4445" s="14">
        <v>43031.28159722222</v>
      </c>
      <c r="B4445" s="20" t="str">
        <f>HYPERLINK("https://twitter.com/Saisrinath12","@Saisrinath12")</f>
        <v>@Saisrinath12</v>
      </c>
      <c r="C4445" s="21" t="s">
        <v>10249</v>
      </c>
      <c r="D4445" s="21" t="s">
        <v>5786</v>
      </c>
      <c r="E4445" s="22" t="str">
        <f>HYPERLINK("https://twitter.com/Saisrinath12/status/922458966680068096","922458966680068096")</f>
        <v>922458966680068096</v>
      </c>
      <c r="F4445" s="23" t="s">
        <v>3813</v>
      </c>
      <c r="G4445" s="24">
        <v>107.0</v>
      </c>
      <c r="H4445" s="24">
        <v>209.0</v>
      </c>
      <c r="I4445" s="24">
        <v>59.0</v>
      </c>
      <c r="J4445" s="24">
        <v>0.0</v>
      </c>
      <c r="K4445" s="23" t="s">
        <v>34</v>
      </c>
      <c r="L4445" s="25">
        <v>40255.17805555556</v>
      </c>
      <c r="M4445" s="26" t="s">
        <v>3144</v>
      </c>
      <c r="N4445" s="26" t="s">
        <v>10250</v>
      </c>
      <c r="O4445" s="22" t="str">
        <f>HYPERLINK("https://pbs.twimg.com/profile_images/843474466197782528/gs9nJMJR_normal.jpg","View")</f>
        <v>View</v>
      </c>
      <c r="P4445" s="27"/>
    </row>
    <row r="4446">
      <c r="A4446" s="14">
        <v>43031.28165509259</v>
      </c>
      <c r="B4446" s="20" t="str">
        <f>HYPERLINK("https://twitter.com/Abhishe74854109","@Abhishe74854109")</f>
        <v>@Abhishe74854109</v>
      </c>
      <c r="C4446" s="21" t="s">
        <v>8205</v>
      </c>
      <c r="D4446" s="21" t="s">
        <v>42</v>
      </c>
      <c r="E4446" s="22" t="str">
        <f>HYPERLINK("https://twitter.com/Abhishe74854109/status/922458987496214529","922458987496214529")</f>
        <v>922458987496214529</v>
      </c>
      <c r="F4446" s="23" t="s">
        <v>33</v>
      </c>
      <c r="G4446" s="24">
        <v>2.0</v>
      </c>
      <c r="H4446" s="24">
        <v>125.0</v>
      </c>
      <c r="I4446" s="24">
        <v>8501.0</v>
      </c>
      <c r="J4446" s="24">
        <v>0.0</v>
      </c>
      <c r="K4446" s="23" t="s">
        <v>34</v>
      </c>
      <c r="L4446" s="25">
        <v>42950.09217592592</v>
      </c>
      <c r="M4446" s="28"/>
      <c r="N4446" s="28"/>
      <c r="O4446" s="22" t="str">
        <f>HYPERLINK("https://abs.twimg.com/sticky/default_profile_images/default_profile_normal.png","View")</f>
        <v>View</v>
      </c>
      <c r="P4446" s="27"/>
    </row>
    <row r="4447">
      <c r="A4447" s="14">
        <v>43031.28172453704</v>
      </c>
      <c r="B4447" s="20" t="str">
        <f>HYPERLINK("https://twitter.com/Shubham75490771","@Shubham75490771")</f>
        <v>@Shubham75490771</v>
      </c>
      <c r="C4447" s="21" t="s">
        <v>10251</v>
      </c>
      <c r="D4447" s="21" t="s">
        <v>42</v>
      </c>
      <c r="E4447" s="22" t="str">
        <f>HYPERLINK("https://twitter.com/Shubham75490771/status/922459009805930497","922459009805930497")</f>
        <v>922459009805930497</v>
      </c>
      <c r="F4447" s="23" t="s">
        <v>33</v>
      </c>
      <c r="G4447" s="24">
        <v>49.0</v>
      </c>
      <c r="H4447" s="24">
        <v>223.0</v>
      </c>
      <c r="I4447" s="24">
        <v>8501.0</v>
      </c>
      <c r="J4447" s="24">
        <v>0.0</v>
      </c>
      <c r="K4447" s="23" t="s">
        <v>34</v>
      </c>
      <c r="L4447" s="25">
        <v>42975.14822916666</v>
      </c>
      <c r="M4447" s="26" t="s">
        <v>575</v>
      </c>
      <c r="N4447" s="26" t="s">
        <v>10252</v>
      </c>
      <c r="O4447" s="22" t="str">
        <f>HYPERLINK("https://pbs.twimg.com/profile_images/911287295311048706/HDKhwTRB_normal.jpg","View")</f>
        <v>View</v>
      </c>
      <c r="P4447" s="27"/>
    </row>
    <row r="4448">
      <c r="A4448" s="14">
        <v>43031.28181712963</v>
      </c>
      <c r="B4448" s="20" t="str">
        <f>HYPERLINK("https://twitter.com/Ana_Banal","@Ana_Banal")</f>
        <v>@Ana_Banal</v>
      </c>
      <c r="C4448" s="21" t="s">
        <v>10253</v>
      </c>
      <c r="D4448" s="21" t="s">
        <v>10254</v>
      </c>
      <c r="E4448" s="22" t="str">
        <f>HYPERLINK("https://twitter.com/Ana_Banal/status/922459044568281089","922459044568281089")</f>
        <v>922459044568281089</v>
      </c>
      <c r="F4448" s="23" t="s">
        <v>10255</v>
      </c>
      <c r="G4448" s="24">
        <v>28.0</v>
      </c>
      <c r="H4448" s="24">
        <v>30.0</v>
      </c>
      <c r="I4448" s="24">
        <v>1.0</v>
      </c>
      <c r="J4448" s="24">
        <v>0.0</v>
      </c>
      <c r="K4448" s="23" t="s">
        <v>34</v>
      </c>
      <c r="L4448" s="25">
        <v>42251.313518518524</v>
      </c>
      <c r="M4448" s="26" t="s">
        <v>40</v>
      </c>
      <c r="N4448" s="28"/>
      <c r="O4448" s="22" t="str">
        <f>HYPERLINK("https://abs.twimg.com/sticky/default_profile_images/default_profile_normal.png","View")</f>
        <v>View</v>
      </c>
      <c r="P4448" s="27"/>
    </row>
    <row r="4449">
      <c r="A4449" s="14">
        <v>43031.28182870371</v>
      </c>
      <c r="B4449" s="20" t="str">
        <f>HYPERLINK("https://twitter.com/almuhlhl","@almuhlhl")</f>
        <v>@almuhlhl</v>
      </c>
      <c r="C4449" s="21" t="s">
        <v>10256</v>
      </c>
      <c r="D4449" s="21" t="s">
        <v>67</v>
      </c>
      <c r="E4449" s="22" t="str">
        <f>HYPERLINK("https://twitter.com/almuhlhl/status/922459051354738688","922459051354738688")</f>
        <v>922459051354738688</v>
      </c>
      <c r="F4449" s="23" t="s">
        <v>55</v>
      </c>
      <c r="G4449" s="24">
        <v>24142.0</v>
      </c>
      <c r="H4449" s="24">
        <v>268.0</v>
      </c>
      <c r="I4449" s="24">
        <v>169.0</v>
      </c>
      <c r="J4449" s="24">
        <v>0.0</v>
      </c>
      <c r="K4449" s="23" t="s">
        <v>34</v>
      </c>
      <c r="L4449" s="25">
        <v>40007.198171296295</v>
      </c>
      <c r="M4449" s="26" t="s">
        <v>974</v>
      </c>
      <c r="N4449" s="26" t="s">
        <v>10257</v>
      </c>
      <c r="O4449" s="22" t="str">
        <f>HYPERLINK("https://pbs.twimg.com/profile_images/849405147155496960/pIOlqmty_normal.jpg","View")</f>
        <v>View</v>
      </c>
      <c r="P4449" s="27"/>
    </row>
    <row r="4450">
      <c r="A4450" s="14">
        <v>43031.28186342593</v>
      </c>
      <c r="B4450" s="20" t="str">
        <f>HYPERLINK("https://twitter.com/SigP226","@SigP226")</f>
        <v>@SigP226</v>
      </c>
      <c r="C4450" s="21" t="s">
        <v>10258</v>
      </c>
      <c r="D4450" s="21" t="s">
        <v>10259</v>
      </c>
      <c r="E4450" s="22" t="str">
        <f>HYPERLINK("https://twitter.com/SigP226/status/922459062670909441","922459062670909441")</f>
        <v>922459062670909441</v>
      </c>
      <c r="F4450" s="23" t="s">
        <v>187</v>
      </c>
      <c r="G4450" s="24">
        <v>309.0</v>
      </c>
      <c r="H4450" s="24">
        <v>114.0</v>
      </c>
      <c r="I4450" s="24">
        <v>0.0</v>
      </c>
      <c r="J4450" s="24">
        <v>0.0</v>
      </c>
      <c r="K4450" s="23" t="s">
        <v>34</v>
      </c>
      <c r="L4450" s="25">
        <v>39895.72542824074</v>
      </c>
      <c r="M4450" s="26" t="s">
        <v>10260</v>
      </c>
      <c r="N4450" s="26" t="s">
        <v>10261</v>
      </c>
      <c r="O4450" s="22" t="str">
        <f>HYPERLINK("https://pbs.twimg.com/profile_images/1233146779/image_normal.jpg","View")</f>
        <v>View</v>
      </c>
      <c r="P4450" s="27"/>
    </row>
    <row r="4451">
      <c r="A4451" s="14">
        <v>43031.28189814815</v>
      </c>
      <c r="B4451" s="20" t="str">
        <f>HYPERLINK("https://twitter.com/Nayakmpl","@Nayakmpl")</f>
        <v>@Nayakmpl</v>
      </c>
      <c r="C4451" s="21" t="s">
        <v>10262</v>
      </c>
      <c r="D4451" s="21" t="s">
        <v>42</v>
      </c>
      <c r="E4451" s="22" t="str">
        <f>HYPERLINK("https://twitter.com/Nayakmpl/status/922459074259599360","922459074259599360")</f>
        <v>922459074259599360</v>
      </c>
      <c r="F4451" s="23" t="s">
        <v>33</v>
      </c>
      <c r="G4451" s="24">
        <v>400.0</v>
      </c>
      <c r="H4451" s="24">
        <v>495.0</v>
      </c>
      <c r="I4451" s="24">
        <v>8501.0</v>
      </c>
      <c r="J4451" s="24">
        <v>0.0</v>
      </c>
      <c r="K4451" s="23" t="s">
        <v>34</v>
      </c>
      <c r="L4451" s="25">
        <v>40900.91528935185</v>
      </c>
      <c r="M4451" s="26" t="s">
        <v>10263</v>
      </c>
      <c r="N4451" s="26" t="s">
        <v>10264</v>
      </c>
      <c r="O4451" s="22" t="str">
        <f>HYPERLINK("https://pbs.twimg.com/profile_images/909794526738341889/XlxQhPlF_normal.jpg","View")</f>
        <v>View</v>
      </c>
      <c r="P4451" s="27"/>
    </row>
    <row r="4452">
      <c r="A4452" s="14">
        <v>43031.28194444445</v>
      </c>
      <c r="B4452" s="20" t="str">
        <f>HYPERLINK("https://twitter.com/Harley_Woody","@Harley_Woody")</f>
        <v>@Harley_Woody</v>
      </c>
      <c r="C4452" s="21" t="s">
        <v>4878</v>
      </c>
      <c r="D4452" s="21" t="s">
        <v>10265</v>
      </c>
      <c r="E4452" s="22" t="str">
        <f>HYPERLINK("https://twitter.com/Harley_Woody/status/922459089996836864","922459089996836864")</f>
        <v>922459089996836864</v>
      </c>
      <c r="F4452" s="23" t="s">
        <v>91</v>
      </c>
      <c r="G4452" s="24">
        <v>1779.0</v>
      </c>
      <c r="H4452" s="24">
        <v>133.0</v>
      </c>
      <c r="I4452" s="24">
        <v>0.0</v>
      </c>
      <c r="J4452" s="24">
        <v>0.0</v>
      </c>
      <c r="K4452" s="23" t="s">
        <v>34</v>
      </c>
      <c r="L4452" s="25">
        <v>41405.26681712963</v>
      </c>
      <c r="M4452" s="26" t="s">
        <v>4880</v>
      </c>
      <c r="N4452" s="26" t="s">
        <v>4881</v>
      </c>
      <c r="O4452" s="22" t="str">
        <f>HYPERLINK("https://pbs.twimg.com/profile_images/847938778140377089/gwPJD2OM_normal.jpg","View")</f>
        <v>View</v>
      </c>
      <c r="P4452" s="27"/>
    </row>
    <row r="4453">
      <c r="A4453" s="14">
        <v>43031.28203703703</v>
      </c>
      <c r="B4453" s="20" t="str">
        <f>HYPERLINK("https://twitter.com/Rupash8141","@Rupash8141")</f>
        <v>@Rupash8141</v>
      </c>
      <c r="C4453" s="21" t="s">
        <v>10266</v>
      </c>
      <c r="D4453" s="21" t="s">
        <v>42</v>
      </c>
      <c r="E4453" s="22" t="str">
        <f>HYPERLINK("https://twitter.com/Rupash8141/status/922459126554419200","922459126554419200")</f>
        <v>922459126554419200</v>
      </c>
      <c r="F4453" s="23" t="s">
        <v>33</v>
      </c>
      <c r="G4453" s="24">
        <v>10.0</v>
      </c>
      <c r="H4453" s="24">
        <v>458.0</v>
      </c>
      <c r="I4453" s="24">
        <v>8501.0</v>
      </c>
      <c r="J4453" s="24">
        <v>0.0</v>
      </c>
      <c r="K4453" s="23" t="s">
        <v>34</v>
      </c>
      <c r="L4453" s="25">
        <v>43018.05856481481</v>
      </c>
      <c r="M4453" s="26" t="s">
        <v>10267</v>
      </c>
      <c r="N4453" s="26" t="s">
        <v>10268</v>
      </c>
      <c r="O4453" s="22" t="str">
        <f>HYPERLINK("https://pbs.twimg.com/profile_images/917670393980375040/n5-VdwA-_normal.jpg","View")</f>
        <v>View</v>
      </c>
      <c r="P4453" s="27"/>
    </row>
    <row r="4454">
      <c r="A4454" s="14">
        <v>43031.282118055555</v>
      </c>
      <c r="B4454" s="20" t="str">
        <f>HYPERLINK("https://twitter.com/KapilMalav4","@KapilMalav4")</f>
        <v>@KapilMalav4</v>
      </c>
      <c r="C4454" s="21" t="s">
        <v>3755</v>
      </c>
      <c r="D4454" s="21" t="s">
        <v>42</v>
      </c>
      <c r="E4454" s="22" t="str">
        <f>HYPERLINK("https://twitter.com/KapilMalav4/status/922459154576498688","922459154576498688")</f>
        <v>922459154576498688</v>
      </c>
      <c r="F4454" s="23" t="s">
        <v>33</v>
      </c>
      <c r="G4454" s="24">
        <v>63.0</v>
      </c>
      <c r="H4454" s="24">
        <v>634.0</v>
      </c>
      <c r="I4454" s="24">
        <v>8501.0</v>
      </c>
      <c r="J4454" s="24">
        <v>0.0</v>
      </c>
      <c r="K4454" s="23" t="s">
        <v>34</v>
      </c>
      <c r="L4454" s="25">
        <v>42944.375439814816</v>
      </c>
      <c r="M4454" s="26" t="s">
        <v>2189</v>
      </c>
      <c r="N4454" s="26" t="s">
        <v>10269</v>
      </c>
      <c r="O4454" s="22" t="str">
        <f>HYPERLINK("https://pbs.twimg.com/profile_images/895213284588236800/f_XyHk_R_normal.jpg","View")</f>
        <v>View</v>
      </c>
      <c r="P4454" s="27"/>
    </row>
    <row r="4455">
      <c r="A4455" s="14">
        <v>43031.28229166666</v>
      </c>
      <c r="B4455" s="20" t="str">
        <f>HYPERLINK("https://twitter.com/horizon2312345","@horizon2312345")</f>
        <v>@horizon2312345</v>
      </c>
      <c r="C4455" s="21" t="s">
        <v>10270</v>
      </c>
      <c r="D4455" s="21" t="s">
        <v>42</v>
      </c>
      <c r="E4455" s="22" t="str">
        <f>HYPERLINK("https://twitter.com/horizon2312345/status/922459218266947585","922459218266947585")</f>
        <v>922459218266947585</v>
      </c>
      <c r="F4455" s="23" t="s">
        <v>39</v>
      </c>
      <c r="G4455" s="24">
        <v>15.0</v>
      </c>
      <c r="H4455" s="24">
        <v>56.0</v>
      </c>
      <c r="I4455" s="24">
        <v>8501.0</v>
      </c>
      <c r="J4455" s="24">
        <v>0.0</v>
      </c>
      <c r="K4455" s="23" t="s">
        <v>34</v>
      </c>
      <c r="L4455" s="25">
        <v>40419.305231481485</v>
      </c>
      <c r="M4455" s="28"/>
      <c r="N4455" s="28"/>
      <c r="O4455" s="22" t="str">
        <f>HYPERLINK("https://pbs.twimg.com/profile_images/883558466802954241/djmVaO1w_normal.jpg","View")</f>
        <v>View</v>
      </c>
      <c r="P4455" s="27"/>
    </row>
    <row r="4456">
      <c r="A4456" s="14">
        <v>43031.28236111111</v>
      </c>
      <c r="B4456" s="20" t="str">
        <f>HYPERLINK("https://twitter.com/STcomSingapore","@STcomSingapore")</f>
        <v>@STcomSingapore</v>
      </c>
      <c r="C4456" s="21" t="s">
        <v>10271</v>
      </c>
      <c r="D4456" s="21" t="s">
        <v>10272</v>
      </c>
      <c r="E4456" s="22" t="str">
        <f>HYPERLINK("https://twitter.com/STcomSingapore/status/922459244020011009","922459244020011009")</f>
        <v>922459244020011009</v>
      </c>
      <c r="F4456" s="23" t="s">
        <v>10271</v>
      </c>
      <c r="G4456" s="24">
        <v>67.0</v>
      </c>
      <c r="H4456" s="24">
        <v>0.0</v>
      </c>
      <c r="I4456" s="24">
        <v>0.0</v>
      </c>
      <c r="J4456" s="24">
        <v>0.0</v>
      </c>
      <c r="K4456" s="23" t="s">
        <v>34</v>
      </c>
      <c r="L4456" s="25">
        <v>42604.77737268519</v>
      </c>
      <c r="M4456" s="26" t="s">
        <v>1224</v>
      </c>
      <c r="N4456" s="28"/>
      <c r="O4456" s="22" t="str">
        <f>HYPERLINK("https://pbs.twimg.com/profile_images/776980623630094336/YaqdkhCJ_normal.jpg","View")</f>
        <v>View</v>
      </c>
      <c r="P4456" s="27"/>
    </row>
    <row r="4457">
      <c r="A4457" s="14">
        <v>43031.282442129625</v>
      </c>
      <c r="B4457" s="20" t="str">
        <f>HYPERLINK("https://twitter.com/rahul_utd","@rahul_utd")</f>
        <v>@rahul_utd</v>
      </c>
      <c r="C4457" s="21" t="s">
        <v>10273</v>
      </c>
      <c r="D4457" s="21" t="s">
        <v>42</v>
      </c>
      <c r="E4457" s="22" t="str">
        <f>HYPERLINK("https://twitter.com/rahul_utd/status/922459272138469377","922459272138469377")</f>
        <v>922459272138469377</v>
      </c>
      <c r="F4457" s="23" t="s">
        <v>33</v>
      </c>
      <c r="G4457" s="24">
        <v>68.0</v>
      </c>
      <c r="H4457" s="24">
        <v>230.0</v>
      </c>
      <c r="I4457" s="24">
        <v>8501.0</v>
      </c>
      <c r="J4457" s="24">
        <v>0.0</v>
      </c>
      <c r="K4457" s="23" t="s">
        <v>34</v>
      </c>
      <c r="L4457" s="25">
        <v>40416.451203703706</v>
      </c>
      <c r="M4457" s="26" t="s">
        <v>10274</v>
      </c>
      <c r="N4457" s="26" t="s">
        <v>10275</v>
      </c>
      <c r="O4457" s="22" t="str">
        <f>HYPERLINK("https://pbs.twimg.com/profile_images/809110279736856576/COuVwo8w_normal.jpg","View")</f>
        <v>View</v>
      </c>
      <c r="P4457" s="27"/>
    </row>
    <row r="4458">
      <c r="A4458" s="14">
        <v>43031.28256944445</v>
      </c>
      <c r="B4458" s="20" t="str">
        <f>HYPERLINK("https://twitter.com/p_n_g_","@p_n_g_")</f>
        <v>@p_n_g_</v>
      </c>
      <c r="C4458" s="21" t="s">
        <v>10276</v>
      </c>
      <c r="D4458" s="21" t="s">
        <v>10277</v>
      </c>
      <c r="E4458" s="22" t="str">
        <f>HYPERLINK("https://twitter.com/p_n_g_/status/922459316887498753","922459316887498753")</f>
        <v>922459316887498753</v>
      </c>
      <c r="F4458" s="23" t="s">
        <v>33</v>
      </c>
      <c r="G4458" s="24">
        <v>29.0</v>
      </c>
      <c r="H4458" s="24">
        <v>130.0</v>
      </c>
      <c r="I4458" s="24">
        <v>2.0</v>
      </c>
      <c r="J4458" s="24">
        <v>0.0</v>
      </c>
      <c r="K4458" s="23" t="s">
        <v>34</v>
      </c>
      <c r="L4458" s="25">
        <v>43029.884930555556</v>
      </c>
      <c r="M4458" s="26" t="s">
        <v>10278</v>
      </c>
      <c r="N4458" s="26" t="s">
        <v>10279</v>
      </c>
      <c r="O4458" s="22" t="str">
        <f>HYPERLINK("https://pbs.twimg.com/profile_images/921956276002734080/TiBA0aDx_normal.jpg","View")</f>
        <v>View</v>
      </c>
      <c r="P4458" s="27"/>
    </row>
    <row r="4459">
      <c r="A4459" s="14">
        <v>43031.28256944445</v>
      </c>
      <c r="B4459" s="20" t="str">
        <f>HYPERLINK("https://twitter.com/Narenlalji","@Narenlalji")</f>
        <v>@Narenlalji</v>
      </c>
      <c r="C4459" s="21" t="s">
        <v>10280</v>
      </c>
      <c r="D4459" s="21" t="s">
        <v>42</v>
      </c>
      <c r="E4459" s="22" t="str">
        <f>HYPERLINK("https://twitter.com/Narenlalji/status/922459317252452353","922459317252452353")</f>
        <v>922459317252452353</v>
      </c>
      <c r="F4459" s="23" t="s">
        <v>33</v>
      </c>
      <c r="G4459" s="24">
        <v>9.0</v>
      </c>
      <c r="H4459" s="24">
        <v>133.0</v>
      </c>
      <c r="I4459" s="24">
        <v>8501.0</v>
      </c>
      <c r="J4459" s="24">
        <v>0.0</v>
      </c>
      <c r="K4459" s="23" t="s">
        <v>34</v>
      </c>
      <c r="L4459" s="25">
        <v>43030.48025462963</v>
      </c>
      <c r="M4459" s="26" t="s">
        <v>1704</v>
      </c>
      <c r="N4459" s="26" t="s">
        <v>10281</v>
      </c>
      <c r="O4459" s="22" t="str">
        <f>HYPERLINK("https://pbs.twimg.com/profile_images/922170262774149120/77CvA4CL_normal.jpg","View")</f>
        <v>View</v>
      </c>
      <c r="P4459" s="27"/>
    </row>
    <row r="4460">
      <c r="A4460" s="14">
        <v>43031.28259259259</v>
      </c>
      <c r="B4460" s="20" t="str">
        <f>HYPERLINK("https://twitter.com/nyinvesting","@nyinvesting")</f>
        <v>@nyinvesting</v>
      </c>
      <c r="C4460" s="21" t="s">
        <v>10282</v>
      </c>
      <c r="D4460" s="21" t="s">
        <v>10283</v>
      </c>
      <c r="E4460" s="22" t="str">
        <f>HYPERLINK("https://twitter.com/nyinvesting/status/922459325750226945","922459325750226945")</f>
        <v>922459325750226945</v>
      </c>
      <c r="F4460" s="23" t="s">
        <v>55</v>
      </c>
      <c r="G4460" s="24">
        <v>19050.0</v>
      </c>
      <c r="H4460" s="24">
        <v>17651.0</v>
      </c>
      <c r="I4460" s="24">
        <v>0.0</v>
      </c>
      <c r="J4460" s="24">
        <v>2.0</v>
      </c>
      <c r="K4460" s="23" t="s">
        <v>34</v>
      </c>
      <c r="L4460" s="25">
        <v>39775.87740740741</v>
      </c>
      <c r="M4460" s="26" t="s">
        <v>10284</v>
      </c>
      <c r="N4460" s="26" t="s">
        <v>10285</v>
      </c>
      <c r="O4460" s="22" t="str">
        <f>HYPERLINK("https://pbs.twimg.com/profile_images/66482781/TechAnalysis_Course_1_normal.jpg","View")</f>
        <v>View</v>
      </c>
      <c r="P4460" s="27"/>
    </row>
    <row r="4461">
      <c r="A4461" s="14">
        <v>43031.282743055555</v>
      </c>
      <c r="B4461" s="20" t="str">
        <f>HYPERLINK("https://twitter.com/aolsolapur","@aolsolapur")</f>
        <v>@aolsolapur</v>
      </c>
      <c r="C4461" s="21" t="s">
        <v>10286</v>
      </c>
      <c r="D4461" s="21" t="s">
        <v>42</v>
      </c>
      <c r="E4461" s="22" t="str">
        <f>HYPERLINK("https://twitter.com/aolsolapur/status/922459380271890432","922459380271890432")</f>
        <v>922459380271890432</v>
      </c>
      <c r="F4461" s="23" t="s">
        <v>33</v>
      </c>
      <c r="G4461" s="24">
        <v>256.0</v>
      </c>
      <c r="H4461" s="24">
        <v>167.0</v>
      </c>
      <c r="I4461" s="24">
        <v>8501.0</v>
      </c>
      <c r="J4461" s="24">
        <v>0.0</v>
      </c>
      <c r="K4461" s="23" t="s">
        <v>34</v>
      </c>
      <c r="L4461" s="25">
        <v>42256.352685185186</v>
      </c>
      <c r="M4461" s="26" t="s">
        <v>10287</v>
      </c>
      <c r="N4461" s="26" t="s">
        <v>10288</v>
      </c>
      <c r="O4461" s="22" t="str">
        <f>HYPERLINK("https://pbs.twimg.com/profile_images/863240579915800576/bP1TbZPH_normal.jpg","View")</f>
        <v>View</v>
      </c>
      <c r="P4461" s="27"/>
    </row>
    <row r="4462">
      <c r="A4462" s="14">
        <v>43031.282789351855</v>
      </c>
      <c r="B4462" s="20" t="str">
        <f>HYPERLINK("https://twitter.com/kalanivikas200","@kalanivikas200")</f>
        <v>@kalanivikas200</v>
      </c>
      <c r="C4462" s="21" t="s">
        <v>10289</v>
      </c>
      <c r="D4462" s="21" t="s">
        <v>42</v>
      </c>
      <c r="E4462" s="22" t="str">
        <f>HYPERLINK("https://twitter.com/kalanivikas200/status/922459397392969728","922459397392969728")</f>
        <v>922459397392969728</v>
      </c>
      <c r="F4462" s="23" t="s">
        <v>33</v>
      </c>
      <c r="G4462" s="24">
        <v>16.0</v>
      </c>
      <c r="H4462" s="24">
        <v>44.0</v>
      </c>
      <c r="I4462" s="24">
        <v>8501.0</v>
      </c>
      <c r="J4462" s="24">
        <v>0.0</v>
      </c>
      <c r="K4462" s="23" t="s">
        <v>34</v>
      </c>
      <c r="L4462" s="25">
        <v>42677.35780092592</v>
      </c>
      <c r="M4462" s="26" t="s">
        <v>8314</v>
      </c>
      <c r="N4462" s="28"/>
      <c r="O4462" s="22" t="str">
        <f>HYPERLINK("https://pbs.twimg.com/profile_images/843096325331845121/2GLi2Lwh_normal.jpg","View")</f>
        <v>View</v>
      </c>
      <c r="P4462" s="27"/>
    </row>
    <row r="4463">
      <c r="A4463" s="14">
        <v>43031.2828125</v>
      </c>
      <c r="B4463" s="20" t="str">
        <f>HYPERLINK("https://twitter.com/RohidasSonawan4","@RohidasSonawan4")</f>
        <v>@RohidasSonawan4</v>
      </c>
      <c r="C4463" s="21" t="s">
        <v>10290</v>
      </c>
      <c r="D4463" s="21" t="s">
        <v>42</v>
      </c>
      <c r="E4463" s="22" t="str">
        <f>HYPERLINK("https://twitter.com/RohidasSonawan4/status/922459406494703616","922459406494703616")</f>
        <v>922459406494703616</v>
      </c>
      <c r="F4463" s="23" t="s">
        <v>33</v>
      </c>
      <c r="G4463" s="24">
        <v>3.0</v>
      </c>
      <c r="H4463" s="24">
        <v>87.0</v>
      </c>
      <c r="I4463" s="24">
        <v>8501.0</v>
      </c>
      <c r="J4463" s="24">
        <v>0.0</v>
      </c>
      <c r="K4463" s="23" t="s">
        <v>34</v>
      </c>
      <c r="L4463" s="25">
        <v>42975.25733796296</v>
      </c>
      <c r="M4463" s="26" t="s">
        <v>10291</v>
      </c>
      <c r="N4463" s="26" t="s">
        <v>2671</v>
      </c>
      <c r="O4463" s="22" t="str">
        <f>HYPERLINK("https://pbs.twimg.com/profile_images/902158428142919680/bXn88nsR_normal.jpg","View")</f>
        <v>View</v>
      </c>
      <c r="P4463" s="27"/>
    </row>
    <row r="4464">
      <c r="A4464" s="14">
        <v>43031.2828587963</v>
      </c>
      <c r="B4464" s="20" t="str">
        <f>HYPERLINK("https://twitter.com/SingaporeUpdate","@SingaporeUpdate")</f>
        <v>@SingaporeUpdate</v>
      </c>
      <c r="C4464" s="21" t="s">
        <v>10292</v>
      </c>
      <c r="D4464" s="21" t="s">
        <v>10293</v>
      </c>
      <c r="E4464" s="22" t="str">
        <f>HYPERLINK("https://twitter.com/SingaporeUpdate/status/922459422500192256","922459422500192256")</f>
        <v>922459422500192256</v>
      </c>
      <c r="F4464" s="23" t="s">
        <v>187</v>
      </c>
      <c r="G4464" s="24">
        <v>275.0</v>
      </c>
      <c r="H4464" s="24">
        <v>94.0</v>
      </c>
      <c r="I4464" s="24">
        <v>0.0</v>
      </c>
      <c r="J4464" s="24">
        <v>0.0</v>
      </c>
      <c r="K4464" s="23" t="s">
        <v>34</v>
      </c>
      <c r="L4464" s="25">
        <v>42701.2900462963</v>
      </c>
      <c r="M4464" s="26" t="s">
        <v>10294</v>
      </c>
      <c r="N4464" s="26" t="s">
        <v>10295</v>
      </c>
      <c r="O4464" s="22" t="str">
        <f>HYPERLINK("https://pbs.twimg.com/profile_images/802891810112606208/zsAXXRDz_normal.jpg","View")</f>
        <v>View</v>
      </c>
      <c r="P4464" s="27"/>
    </row>
    <row r="4465">
      <c r="A4465" s="14">
        <v>43031.28291666666</v>
      </c>
      <c r="B4465" s="20" t="str">
        <f>HYPERLINK("https://twitter.com/hillaryhanTV","@hillaryhanTV")</f>
        <v>@hillaryhanTV</v>
      </c>
      <c r="C4465" s="21" t="s">
        <v>10296</v>
      </c>
      <c r="D4465" s="21" t="s">
        <v>9810</v>
      </c>
      <c r="E4465" s="22" t="str">
        <f>HYPERLINK("https://twitter.com/hillaryhanTV/status/922459444490813440","922459444490813440")</f>
        <v>922459444490813440</v>
      </c>
      <c r="F4465" s="23" t="s">
        <v>33</v>
      </c>
      <c r="G4465" s="24">
        <v>256.0</v>
      </c>
      <c r="H4465" s="24">
        <v>623.0</v>
      </c>
      <c r="I4465" s="24">
        <v>4.0</v>
      </c>
      <c r="J4465" s="24">
        <v>0.0</v>
      </c>
      <c r="K4465" s="23" t="s">
        <v>34</v>
      </c>
      <c r="L4465" s="25">
        <v>40112.28346064815</v>
      </c>
      <c r="M4465" s="26" t="s">
        <v>5280</v>
      </c>
      <c r="N4465" s="26" t="s">
        <v>10297</v>
      </c>
      <c r="O4465" s="22" t="str">
        <f>HYPERLINK("https://pbs.twimg.com/profile_images/1495696093/Rubber-Ducky-Yellow-ST22016-01_normal.jpg","View")</f>
        <v>View</v>
      </c>
      <c r="P4465" s="27"/>
    </row>
    <row r="4466">
      <c r="A4466" s="14">
        <v>43031.28298611111</v>
      </c>
      <c r="B4466" s="20" t="str">
        <f>HYPERLINK("https://twitter.com/Venkata45850619","@Venkata45850619")</f>
        <v>@Venkata45850619</v>
      </c>
      <c r="C4466" s="21" t="s">
        <v>10298</v>
      </c>
      <c r="D4466" s="21" t="s">
        <v>42</v>
      </c>
      <c r="E4466" s="22" t="str">
        <f>HYPERLINK("https://twitter.com/Venkata45850619/status/922459468469694466","922459468469694466")</f>
        <v>922459468469694466</v>
      </c>
      <c r="F4466" s="23" t="s">
        <v>33</v>
      </c>
      <c r="G4466" s="24">
        <v>0.0</v>
      </c>
      <c r="H4466" s="24">
        <v>6.0</v>
      </c>
      <c r="I4466" s="24">
        <v>8501.0</v>
      </c>
      <c r="J4466" s="24">
        <v>0.0</v>
      </c>
      <c r="K4466" s="23" t="s">
        <v>34</v>
      </c>
      <c r="L4466" s="25">
        <v>43027.79763888889</v>
      </c>
      <c r="M4466" s="28"/>
      <c r="N4466" s="28"/>
      <c r="O4466" s="22" t="str">
        <f t="shared" ref="O4466:O4467" si="76">HYPERLINK("https://abs.twimg.com/sticky/default_profile_images/default_profile_normal.png","View")</f>
        <v>View</v>
      </c>
      <c r="P4466" s="27"/>
    </row>
    <row r="4467">
      <c r="A4467" s="14">
        <v>43031.283043981486</v>
      </c>
      <c r="B4467" s="20" t="str">
        <f>HYPERLINK("https://twitter.com/JoshiBharatKum7","@JoshiBharatKum7")</f>
        <v>@JoshiBharatKum7</v>
      </c>
      <c r="C4467" s="21" t="s">
        <v>10299</v>
      </c>
      <c r="D4467" s="21" t="s">
        <v>42</v>
      </c>
      <c r="E4467" s="22" t="str">
        <f>HYPERLINK("https://twitter.com/JoshiBharatKum7/status/922459490540064768","922459490540064768")</f>
        <v>922459490540064768</v>
      </c>
      <c r="F4467" s="23" t="s">
        <v>33</v>
      </c>
      <c r="G4467" s="24">
        <v>13.0</v>
      </c>
      <c r="H4467" s="24">
        <v>91.0</v>
      </c>
      <c r="I4467" s="24">
        <v>8501.0</v>
      </c>
      <c r="J4467" s="24">
        <v>0.0</v>
      </c>
      <c r="K4467" s="23" t="s">
        <v>34</v>
      </c>
      <c r="L4467" s="25">
        <v>43012.79300925926</v>
      </c>
      <c r="M4467" s="28"/>
      <c r="N4467" s="28"/>
      <c r="O4467" s="22" t="str">
        <f t="shared" si="76"/>
        <v>View</v>
      </c>
      <c r="P4467" s="27"/>
    </row>
    <row r="4468">
      <c r="A4468" s="14">
        <v>43031.28319444445</v>
      </c>
      <c r="B4468" s="20" t="str">
        <f>HYPERLINK("https://twitter.com/Mrinal179","@Mrinal179")</f>
        <v>@Mrinal179</v>
      </c>
      <c r="C4468" s="21" t="s">
        <v>10300</v>
      </c>
      <c r="D4468" s="21" t="s">
        <v>42</v>
      </c>
      <c r="E4468" s="22" t="str">
        <f>HYPERLINK("https://twitter.com/Mrinal179/status/922459544017518592","922459544017518592")</f>
        <v>922459544017518592</v>
      </c>
      <c r="F4468" s="23" t="s">
        <v>33</v>
      </c>
      <c r="G4468" s="24">
        <v>90.0</v>
      </c>
      <c r="H4468" s="24">
        <v>164.0</v>
      </c>
      <c r="I4468" s="24">
        <v>8501.0</v>
      </c>
      <c r="J4468" s="24">
        <v>0.0</v>
      </c>
      <c r="K4468" s="23" t="s">
        <v>34</v>
      </c>
      <c r="L4468" s="25">
        <v>40893.989594907405</v>
      </c>
      <c r="M4468" s="26" t="s">
        <v>2177</v>
      </c>
      <c r="N4468" s="26" t="s">
        <v>10301</v>
      </c>
      <c r="O4468" s="22" t="str">
        <f>HYPERLINK("https://pbs.twimg.com/profile_images/878100052610174976/Nfkhvr3S_normal.jpg","View")</f>
        <v>View</v>
      </c>
      <c r="P4468" s="27"/>
    </row>
    <row r="4469">
      <c r="A4469" s="14">
        <v>43031.28327546296</v>
      </c>
      <c r="B4469" s="20" t="str">
        <f>HYPERLINK("https://twitter.com/U_ANOOP1","@U_ANOOP1")</f>
        <v>@U_ANOOP1</v>
      </c>
      <c r="C4469" s="21" t="s">
        <v>10302</v>
      </c>
      <c r="D4469" s="21" t="s">
        <v>42</v>
      </c>
      <c r="E4469" s="22" t="str">
        <f>HYPERLINK("https://twitter.com/U_ANOOP1/status/922459574413561857","922459574413561857")</f>
        <v>922459574413561857</v>
      </c>
      <c r="F4469" s="23" t="s">
        <v>33</v>
      </c>
      <c r="G4469" s="24">
        <v>4614.0</v>
      </c>
      <c r="H4469" s="24">
        <v>4535.0</v>
      </c>
      <c r="I4469" s="24">
        <v>8501.0</v>
      </c>
      <c r="J4469" s="24">
        <v>0.0</v>
      </c>
      <c r="K4469" s="23" t="s">
        <v>34</v>
      </c>
      <c r="L4469" s="25">
        <v>41482.268692129626</v>
      </c>
      <c r="M4469" s="26" t="s">
        <v>167</v>
      </c>
      <c r="N4469" s="26" t="s">
        <v>10303</v>
      </c>
      <c r="O4469" s="22" t="str">
        <f>HYPERLINK("https://pbs.twimg.com/profile_images/914756489276829696/AhSI_APk_normal.jpg","View")</f>
        <v>View</v>
      </c>
      <c r="P4469" s="27"/>
    </row>
    <row r="4470">
      <c r="A4470" s="14">
        <v>43031.28334490741</v>
      </c>
      <c r="B4470" s="20" t="str">
        <f>HYPERLINK("https://twitter.com/i_jijicom_eng","@i_jijicom_eng")</f>
        <v>@i_jijicom_eng</v>
      </c>
      <c r="C4470" s="21" t="s">
        <v>4706</v>
      </c>
      <c r="D4470" s="21" t="s">
        <v>10304</v>
      </c>
      <c r="E4470" s="22" t="str">
        <f>HYPERLINK("https://twitter.com/i_jijicom_eng/status/922459600296689665","922459600296689665")</f>
        <v>922459600296689665</v>
      </c>
      <c r="F4470" s="23" t="s">
        <v>4708</v>
      </c>
      <c r="G4470" s="24">
        <v>688.0</v>
      </c>
      <c r="H4470" s="24">
        <v>1.0</v>
      </c>
      <c r="I4470" s="24">
        <v>0.0</v>
      </c>
      <c r="J4470" s="24">
        <v>0.0</v>
      </c>
      <c r="K4470" s="23" t="s">
        <v>34</v>
      </c>
      <c r="L4470" s="25">
        <v>40636.78871527778</v>
      </c>
      <c r="M4470" s="26" t="s">
        <v>4709</v>
      </c>
      <c r="N4470" s="26" t="s">
        <v>4710</v>
      </c>
      <c r="O4470" s="22" t="str">
        <f>HYPERLINK("https://pbs.twimg.com/profile_images/1299223101/logo_jijicom-eng_normal.gif","View")</f>
        <v>View</v>
      </c>
      <c r="P4470" s="27"/>
    </row>
    <row r="4471">
      <c r="A4471" s="14">
        <v>43031.28351851852</v>
      </c>
      <c r="B4471" s="20" t="str">
        <f>HYPERLINK("https://twitter.com/RealTimeHack","@RealTimeHack")</f>
        <v>@RealTimeHack</v>
      </c>
      <c r="C4471" s="21" t="s">
        <v>3773</v>
      </c>
      <c r="D4471" s="21" t="s">
        <v>10305</v>
      </c>
      <c r="E4471" s="22" t="str">
        <f>HYPERLINK("https://twitter.com/RealTimeHack/status/922459661911166976","922459661911166976")</f>
        <v>922459661911166976</v>
      </c>
      <c r="F4471" s="23" t="s">
        <v>187</v>
      </c>
      <c r="G4471" s="24">
        <v>2189.0</v>
      </c>
      <c r="H4471" s="24">
        <v>1282.0</v>
      </c>
      <c r="I4471" s="24">
        <v>0.0</v>
      </c>
      <c r="J4471" s="24">
        <v>0.0</v>
      </c>
      <c r="K4471" s="23" t="s">
        <v>34</v>
      </c>
      <c r="L4471" s="25">
        <v>40641.39920138889</v>
      </c>
      <c r="M4471" s="26" t="s">
        <v>3775</v>
      </c>
      <c r="N4471" s="26" t="s">
        <v>3776</v>
      </c>
      <c r="O4471" s="22" t="str">
        <f>HYPERLINK("https://pbs.twimg.com/profile_images/1304602852/Nuke_Egg_normal.gif","View")</f>
        <v>View</v>
      </c>
      <c r="P4471" s="27"/>
    </row>
    <row r="4472">
      <c r="A4472" s="14">
        <v>43031.28362268519</v>
      </c>
      <c r="B4472" s="20" t="str">
        <f>HYPERLINK("https://twitter.com/vikgattani","@vikgattani")</f>
        <v>@vikgattani</v>
      </c>
      <c r="C4472" s="21" t="s">
        <v>10306</v>
      </c>
      <c r="D4472" s="21" t="s">
        <v>42</v>
      </c>
      <c r="E4472" s="22" t="str">
        <f>HYPERLINK("https://twitter.com/vikgattani/status/922459700402311168","922459700402311168")</f>
        <v>922459700402311168</v>
      </c>
      <c r="F4472" s="23" t="s">
        <v>39</v>
      </c>
      <c r="G4472" s="24">
        <v>122.0</v>
      </c>
      <c r="H4472" s="24">
        <v>351.0</v>
      </c>
      <c r="I4472" s="24">
        <v>8501.0</v>
      </c>
      <c r="J4472" s="24">
        <v>0.0</v>
      </c>
      <c r="K4472" s="23" t="s">
        <v>34</v>
      </c>
      <c r="L4472" s="25">
        <v>40183.69766203704</v>
      </c>
      <c r="M4472" s="26" t="s">
        <v>207</v>
      </c>
      <c r="N4472" s="26" t="s">
        <v>10307</v>
      </c>
      <c r="O4472" s="22" t="str">
        <f>HYPERLINK("https://pbs.twimg.com/profile_images/684075104171470849/I510YebP_normal.jpg","View")</f>
        <v>View</v>
      </c>
      <c r="P4472" s="27"/>
    </row>
    <row r="4473">
      <c r="A4473" s="14">
        <v>43031.28422453704</v>
      </c>
      <c r="B4473" s="20" t="str">
        <f>HYPERLINK("https://twitter.com/ShakthikumarRaj","@ShakthikumarRaj")</f>
        <v>@ShakthikumarRaj</v>
      </c>
      <c r="C4473" s="21" t="s">
        <v>10308</v>
      </c>
      <c r="D4473" s="21" t="s">
        <v>163</v>
      </c>
      <c r="E4473" s="22" t="str">
        <f>HYPERLINK("https://twitter.com/ShakthikumarRaj/status/922459918531047424","922459918531047424")</f>
        <v>922459918531047424</v>
      </c>
      <c r="F4473" s="23" t="s">
        <v>33</v>
      </c>
      <c r="G4473" s="24">
        <v>122.0</v>
      </c>
      <c r="H4473" s="24">
        <v>230.0</v>
      </c>
      <c r="I4473" s="24">
        <v>1005.0</v>
      </c>
      <c r="J4473" s="24">
        <v>0.0</v>
      </c>
      <c r="K4473" s="23" t="s">
        <v>34</v>
      </c>
      <c r="L4473" s="25">
        <v>41794.07842592592</v>
      </c>
      <c r="M4473" s="26" t="s">
        <v>10309</v>
      </c>
      <c r="N4473" s="26" t="s">
        <v>10310</v>
      </c>
      <c r="O4473" s="22" t="str">
        <f>HYPERLINK("https://pbs.twimg.com/profile_images/623045513458290689/kHt3HtAg_normal.jpg","View")</f>
        <v>View</v>
      </c>
      <c r="P4473" s="27"/>
    </row>
    <row r="4474">
      <c r="A4474" s="14">
        <v>43031.2843287037</v>
      </c>
      <c r="B4474" s="20" t="str">
        <f>HYPERLINK("https://twitter.com/KichuNaMo_BJP","@KichuNaMo_BJP")</f>
        <v>@KichuNaMo_BJP</v>
      </c>
      <c r="C4474" s="21" t="s">
        <v>10311</v>
      </c>
      <c r="D4474" s="21" t="s">
        <v>42</v>
      </c>
      <c r="E4474" s="22" t="str">
        <f>HYPERLINK("https://twitter.com/KichuNaMo_BJP/status/922459955055165441","922459955055165441")</f>
        <v>922459955055165441</v>
      </c>
      <c r="F4474" s="23" t="s">
        <v>33</v>
      </c>
      <c r="G4474" s="24">
        <v>931.0</v>
      </c>
      <c r="H4474" s="24">
        <v>4938.0</v>
      </c>
      <c r="I4474" s="24">
        <v>8501.0</v>
      </c>
      <c r="J4474" s="24">
        <v>0.0</v>
      </c>
      <c r="K4474" s="23" t="s">
        <v>34</v>
      </c>
      <c r="L4474" s="25">
        <v>39924.2000925926</v>
      </c>
      <c r="M4474" s="32" t="s">
        <v>5828</v>
      </c>
      <c r="N4474" s="26" t="s">
        <v>10312</v>
      </c>
      <c r="O4474" s="22" t="str">
        <f>HYPERLINK("https://pbs.twimg.com/profile_images/760550531467186176/Pg8SeeEM_normal.jpg","View")</f>
        <v>View</v>
      </c>
      <c r="P4474" s="27"/>
    </row>
    <row r="4475">
      <c r="A4475" s="14">
        <v>43031.28434027778</v>
      </c>
      <c r="B4475" s="20" t="str">
        <f>HYPERLINK("https://twitter.com/Tirumalaraddi1","@Tirumalaraddi1")</f>
        <v>@Tirumalaraddi1</v>
      </c>
      <c r="C4475" s="21" t="s">
        <v>10313</v>
      </c>
      <c r="D4475" s="21" t="s">
        <v>42</v>
      </c>
      <c r="E4475" s="22" t="str">
        <f>HYPERLINK("https://twitter.com/Tirumalaraddi1/status/922459959475953670","922459959475953670")</f>
        <v>922459959475953670</v>
      </c>
      <c r="F4475" s="23" t="s">
        <v>33</v>
      </c>
      <c r="G4475" s="24">
        <v>0.0</v>
      </c>
      <c r="H4475" s="24">
        <v>0.0</v>
      </c>
      <c r="I4475" s="24">
        <v>8501.0</v>
      </c>
      <c r="J4475" s="24">
        <v>0.0</v>
      </c>
      <c r="K4475" s="23" t="s">
        <v>34</v>
      </c>
      <c r="L4475" s="25">
        <v>43019.01622685185</v>
      </c>
      <c r="M4475" s="28"/>
      <c r="N4475" s="28"/>
      <c r="O4475" s="22" t="str">
        <f>HYPERLINK("https://abs.twimg.com/sticky/default_profile_images/default_profile_normal.png","View")</f>
        <v>View</v>
      </c>
      <c r="P4475" s="27"/>
    </row>
    <row r="4476">
      <c r="A4476" s="14">
        <v>43031.284375</v>
      </c>
      <c r="B4476" s="20" t="str">
        <f>HYPERLINK("https://twitter.com/Adwait_AD_Dubey","@Adwait_AD_Dubey")</f>
        <v>@Adwait_AD_Dubey</v>
      </c>
      <c r="C4476" s="21" t="s">
        <v>10314</v>
      </c>
      <c r="D4476" s="21" t="s">
        <v>42</v>
      </c>
      <c r="E4476" s="22" t="str">
        <f>HYPERLINK("https://twitter.com/Adwait_AD_Dubey/status/922459970167234561","922459970167234561")</f>
        <v>922459970167234561</v>
      </c>
      <c r="F4476" s="23" t="s">
        <v>33</v>
      </c>
      <c r="G4476" s="24">
        <v>150.0</v>
      </c>
      <c r="H4476" s="24">
        <v>942.0</v>
      </c>
      <c r="I4476" s="24">
        <v>8501.0</v>
      </c>
      <c r="J4476" s="24">
        <v>0.0</v>
      </c>
      <c r="K4476" s="23" t="s">
        <v>34</v>
      </c>
      <c r="L4476" s="25">
        <v>40293.32574074074</v>
      </c>
      <c r="M4476" s="26" t="s">
        <v>10315</v>
      </c>
      <c r="N4476" s="26" t="s">
        <v>10316</v>
      </c>
      <c r="O4476" s="22" t="str">
        <f>HYPERLINK("https://pbs.twimg.com/profile_images/844545402611347457/JBxcaOF1_normal.jpg","View")</f>
        <v>View</v>
      </c>
      <c r="P4476" s="27"/>
    </row>
    <row r="4477">
      <c r="A4477" s="14">
        <v>43031.28447916667</v>
      </c>
      <c r="B4477" s="20" t="str">
        <f>HYPERLINK("https://twitter.com/tracykan2013","@tracykan2013")</f>
        <v>@tracykan2013</v>
      </c>
      <c r="C4477" s="21" t="s">
        <v>10317</v>
      </c>
      <c r="D4477" s="21" t="s">
        <v>67</v>
      </c>
      <c r="E4477" s="22" t="str">
        <f>HYPERLINK("https://twitter.com/tracykan2013/status/922460008113094656","922460008113094656")</f>
        <v>922460008113094656</v>
      </c>
      <c r="F4477" s="23" t="s">
        <v>33</v>
      </c>
      <c r="G4477" s="24">
        <v>7.0</v>
      </c>
      <c r="H4477" s="24">
        <v>14.0</v>
      </c>
      <c r="I4477" s="24">
        <v>169.0</v>
      </c>
      <c r="J4477" s="24">
        <v>0.0</v>
      </c>
      <c r="K4477" s="23" t="s">
        <v>34</v>
      </c>
      <c r="L4477" s="25">
        <v>42182.00769675926</v>
      </c>
      <c r="M4477" s="26" t="s">
        <v>1224</v>
      </c>
      <c r="N4477" s="26" t="s">
        <v>10318</v>
      </c>
      <c r="O4477" s="22" t="str">
        <f>HYPERLINK("https://pbs.twimg.com/profile_images/673744784528269312/7a04bNBo_normal.jpg","View")</f>
        <v>View</v>
      </c>
      <c r="P4477" s="27"/>
    </row>
    <row r="4478">
      <c r="A4478" s="14">
        <v>43031.28454861111</v>
      </c>
      <c r="B4478" s="20" t="str">
        <f>HYPERLINK("https://twitter.com/gompa9999","@gompa9999")</f>
        <v>@gompa9999</v>
      </c>
      <c r="C4478" s="21" t="s">
        <v>10319</v>
      </c>
      <c r="D4478" s="21" t="s">
        <v>42</v>
      </c>
      <c r="E4478" s="22" t="str">
        <f>HYPERLINK("https://twitter.com/gompa9999/status/922460034658795521","922460034658795521")</f>
        <v>922460034658795521</v>
      </c>
      <c r="F4478" s="23" t="s">
        <v>33</v>
      </c>
      <c r="G4478" s="24">
        <v>190.0</v>
      </c>
      <c r="H4478" s="24">
        <v>618.0</v>
      </c>
      <c r="I4478" s="24">
        <v>8501.0</v>
      </c>
      <c r="J4478" s="24">
        <v>0.0</v>
      </c>
      <c r="K4478" s="23" t="s">
        <v>34</v>
      </c>
      <c r="L4478" s="25">
        <v>41983.28481481482</v>
      </c>
      <c r="M4478" s="26" t="s">
        <v>10320</v>
      </c>
      <c r="N4478" s="28"/>
      <c r="O4478" s="22" t="str">
        <f>HYPERLINK("https://pbs.twimg.com/profile_images/882665433316249600/RIuYrMua_normal.jpg","View")</f>
        <v>View</v>
      </c>
      <c r="P4478" s="27"/>
    </row>
    <row r="4479">
      <c r="A4479" s="14">
        <v>43031.284583333334</v>
      </c>
      <c r="B4479" s="20" t="str">
        <f>HYPERLINK("https://twitter.com/MauthausenGusen","@MauthausenGusen")</f>
        <v>@MauthausenGusen</v>
      </c>
      <c r="C4479" s="21" t="s">
        <v>158</v>
      </c>
      <c r="D4479" s="21" t="s">
        <v>10321</v>
      </c>
      <c r="E4479" s="22" t="str">
        <f>HYPERLINK("https://twitter.com/MauthausenGusen/status/922460046923091969","922460046923091969")</f>
        <v>922460046923091969</v>
      </c>
      <c r="F4479" s="23" t="s">
        <v>160</v>
      </c>
      <c r="G4479" s="24">
        <v>919.0</v>
      </c>
      <c r="H4479" s="24">
        <v>18.0</v>
      </c>
      <c r="I4479" s="24">
        <v>0.0</v>
      </c>
      <c r="J4479" s="24">
        <v>0.0</v>
      </c>
      <c r="K4479" s="23" t="s">
        <v>34</v>
      </c>
      <c r="L4479" s="25">
        <v>40913.52753472222</v>
      </c>
      <c r="M4479" s="28"/>
      <c r="N4479" s="26" t="s">
        <v>161</v>
      </c>
      <c r="O4479" s="22" t="str">
        <f>HYPERLINK("https://pbs.twimg.com/profile_images/891290260767899649/WPLMRTDm_normal.jpg","View")</f>
        <v>View</v>
      </c>
      <c r="P4479" s="27"/>
    </row>
    <row r="4480">
      <c r="A4480" s="14">
        <v>43031.2846412037</v>
      </c>
      <c r="B4480" s="20" t="str">
        <f>HYPERLINK("https://twitter.com/TvVidoe","@TvVidoe")</f>
        <v>@TvVidoe</v>
      </c>
      <c r="C4480" s="21" t="s">
        <v>10322</v>
      </c>
      <c r="D4480" s="21" t="s">
        <v>10323</v>
      </c>
      <c r="E4480" s="22" t="str">
        <f>HYPERLINK("https://twitter.com/TvVidoe/status/922460067831734273","922460067831734273")</f>
        <v>922460067831734273</v>
      </c>
      <c r="F4480" s="23" t="s">
        <v>10324</v>
      </c>
      <c r="G4480" s="24">
        <v>51.0</v>
      </c>
      <c r="H4480" s="24">
        <v>62.0</v>
      </c>
      <c r="I4480" s="24">
        <v>0.0</v>
      </c>
      <c r="J4480" s="24">
        <v>0.0</v>
      </c>
      <c r="K4480" s="23" t="s">
        <v>34</v>
      </c>
      <c r="L4480" s="25">
        <v>42378.3149074074</v>
      </c>
      <c r="M4480" s="28"/>
      <c r="N4480" s="26" t="s">
        <v>10325</v>
      </c>
      <c r="O4480" s="22" t="str">
        <f>HYPERLINK("https://pbs.twimg.com/profile_images/685847436154286080/aiv3dw6q_normal.png","View")</f>
        <v>View</v>
      </c>
      <c r="P4480" s="27"/>
    </row>
    <row r="4481">
      <c r="A4481" s="14">
        <v>43031.284791666665</v>
      </c>
      <c r="B4481" s="20" t="str">
        <f>HYPERLINK("https://twitter.com/zoo_yos","@zoo_yos")</f>
        <v>@zoo_yos</v>
      </c>
      <c r="C4481" s="21" t="s">
        <v>10326</v>
      </c>
      <c r="D4481" s="21" t="s">
        <v>1642</v>
      </c>
      <c r="E4481" s="22" t="str">
        <f>HYPERLINK("https://twitter.com/zoo_yos/status/922460124454588418","922460124454588418")</f>
        <v>922460124454588418</v>
      </c>
      <c r="F4481" s="23" t="s">
        <v>39</v>
      </c>
      <c r="G4481" s="24">
        <v>0.0</v>
      </c>
      <c r="H4481" s="24">
        <v>44.0</v>
      </c>
      <c r="I4481" s="24">
        <v>199.0</v>
      </c>
      <c r="J4481" s="24">
        <v>0.0</v>
      </c>
      <c r="K4481" s="23" t="s">
        <v>34</v>
      </c>
      <c r="L4481" s="25">
        <v>42223.85277777778</v>
      </c>
      <c r="M4481" s="26" t="s">
        <v>71</v>
      </c>
      <c r="N4481" s="26" t="s">
        <v>10327</v>
      </c>
      <c r="O4481" s="22" t="str">
        <f>HYPERLINK("https://pbs.twimg.com/profile_images/901022713497636864/J_QHbtCN_normal.jpg","View")</f>
        <v>View</v>
      </c>
      <c r="P4481" s="27"/>
    </row>
    <row r="4482">
      <c r="A4482" s="14">
        <v>43031.284907407404</v>
      </c>
      <c r="B4482" s="20" t="str">
        <f>HYPERLINK("https://twitter.com/sudsmobile","@sudsmobile")</f>
        <v>@sudsmobile</v>
      </c>
      <c r="C4482" s="21" t="s">
        <v>10328</v>
      </c>
      <c r="D4482" s="21" t="s">
        <v>42</v>
      </c>
      <c r="E4482" s="22" t="str">
        <f>HYPERLINK("https://twitter.com/sudsmobile/status/922460167043612673","922460167043612673")</f>
        <v>922460167043612673</v>
      </c>
      <c r="F4482" s="23" t="s">
        <v>33</v>
      </c>
      <c r="G4482" s="24">
        <v>742.0</v>
      </c>
      <c r="H4482" s="24">
        <v>496.0</v>
      </c>
      <c r="I4482" s="24">
        <v>8501.0</v>
      </c>
      <c r="J4482" s="24">
        <v>0.0</v>
      </c>
      <c r="K4482" s="23" t="s">
        <v>34</v>
      </c>
      <c r="L4482" s="25">
        <v>40655.982037037036</v>
      </c>
      <c r="M4482" s="26" t="s">
        <v>10329</v>
      </c>
      <c r="N4482" s="26" t="s">
        <v>10330</v>
      </c>
      <c r="O4482" s="22" t="str">
        <f>HYPERLINK("https://pbs.twimg.com/profile_images/873075992679415810/09G9EI9U_normal.jpg","View")</f>
        <v>View</v>
      </c>
      <c r="P4482" s="27"/>
    </row>
    <row r="4483">
      <c r="A4483" s="14">
        <v>43031.284953703704</v>
      </c>
      <c r="B4483" s="20" t="str">
        <f>HYPERLINK("https://twitter.com/WilliamPesek","@WilliamPesek")</f>
        <v>@WilliamPesek</v>
      </c>
      <c r="C4483" s="21" t="s">
        <v>10331</v>
      </c>
      <c r="D4483" s="21" t="s">
        <v>10332</v>
      </c>
      <c r="E4483" s="22" t="str">
        <f>HYPERLINK("https://twitter.com/WilliamPesek/status/922460181698527232","922460181698527232")</f>
        <v>922460181698527232</v>
      </c>
      <c r="F4483" s="23" t="s">
        <v>55</v>
      </c>
      <c r="G4483" s="24">
        <v>6713.0</v>
      </c>
      <c r="H4483" s="24">
        <v>1275.0</v>
      </c>
      <c r="I4483" s="24">
        <v>1.0</v>
      </c>
      <c r="J4483" s="24">
        <v>3.0</v>
      </c>
      <c r="K4483" s="23" t="s">
        <v>34</v>
      </c>
      <c r="L4483" s="25">
        <v>40421.33704861111</v>
      </c>
      <c r="M4483" s="26" t="s">
        <v>923</v>
      </c>
      <c r="N4483" s="26" t="s">
        <v>10333</v>
      </c>
      <c r="O4483" s="22" t="str">
        <f>HYPERLINK("https://pbs.twimg.com/profile_images/786487207150235648/ektfr2KL_normal.jpg","View")</f>
        <v>View</v>
      </c>
      <c r="P4483" s="27"/>
    </row>
    <row r="4484">
      <c r="A4484" s="14">
        <v>43031.28496527778</v>
      </c>
      <c r="B4484" s="20" t="str">
        <f>HYPERLINK("https://twitter.com/deepakdksri","@deepakdksri")</f>
        <v>@deepakdksri</v>
      </c>
      <c r="C4484" s="21" t="s">
        <v>10334</v>
      </c>
      <c r="D4484" s="21" t="s">
        <v>42</v>
      </c>
      <c r="E4484" s="22" t="str">
        <f>HYPERLINK("https://twitter.com/deepakdksri/status/922460187570487297","922460187570487297")</f>
        <v>922460187570487297</v>
      </c>
      <c r="F4484" s="23" t="s">
        <v>33</v>
      </c>
      <c r="G4484" s="24">
        <v>80.0</v>
      </c>
      <c r="H4484" s="24">
        <v>94.0</v>
      </c>
      <c r="I4484" s="24">
        <v>8501.0</v>
      </c>
      <c r="J4484" s="24">
        <v>0.0</v>
      </c>
      <c r="K4484" s="23" t="s">
        <v>34</v>
      </c>
      <c r="L4484" s="25">
        <v>42184.28744212963</v>
      </c>
      <c r="M4484" s="28"/>
      <c r="N4484" s="28"/>
      <c r="O4484" s="22" t="str">
        <f>HYPERLINK("https://pbs.twimg.com/profile_images/622381203228856320/9p26_NPK_normal.jpg","View")</f>
        <v>View</v>
      </c>
      <c r="P4484" s="27"/>
    </row>
    <row r="4485">
      <c r="A4485" s="14">
        <v>43031.28498842593</v>
      </c>
      <c r="B4485" s="20" t="str">
        <f>HYPERLINK("https://twitter.com/Nikhil_P_B","@Nikhil_P_B")</f>
        <v>@Nikhil_P_B</v>
      </c>
      <c r="C4485" s="21" t="s">
        <v>10335</v>
      </c>
      <c r="D4485" s="21" t="s">
        <v>42</v>
      </c>
      <c r="E4485" s="22" t="str">
        <f>HYPERLINK("https://twitter.com/Nikhil_P_B/status/922460192964349952","922460192964349952")</f>
        <v>922460192964349952</v>
      </c>
      <c r="F4485" s="23" t="s">
        <v>33</v>
      </c>
      <c r="G4485" s="24">
        <v>129.0</v>
      </c>
      <c r="H4485" s="24">
        <v>1213.0</v>
      </c>
      <c r="I4485" s="24">
        <v>8501.0</v>
      </c>
      <c r="J4485" s="24">
        <v>0.0</v>
      </c>
      <c r="K4485" s="23" t="s">
        <v>34</v>
      </c>
      <c r="L4485" s="25">
        <v>40977.851736111115</v>
      </c>
      <c r="M4485" s="26" t="s">
        <v>914</v>
      </c>
      <c r="N4485" s="26" t="s">
        <v>10336</v>
      </c>
      <c r="O4485" s="22" t="str">
        <f>HYPERLINK("https://pbs.twimg.com/profile_images/697379567888003072/oZnwi2Of_normal.jpg","View")</f>
        <v>View</v>
      </c>
      <c r="P4485" s="27"/>
    </row>
    <row r="4486">
      <c r="A4486" s="14">
        <v>43031.285</v>
      </c>
      <c r="B4486" s="20" t="str">
        <f>HYPERLINK("https://twitter.com/pradeepv357","@pradeepv357")</f>
        <v>@pradeepv357</v>
      </c>
      <c r="C4486" s="21" t="s">
        <v>10337</v>
      </c>
      <c r="D4486" s="21" t="s">
        <v>42</v>
      </c>
      <c r="E4486" s="22" t="str">
        <f>HYPERLINK("https://twitter.com/pradeepv357/status/922460200207974400","922460200207974400")</f>
        <v>922460200207974400</v>
      </c>
      <c r="F4486" s="23" t="s">
        <v>33</v>
      </c>
      <c r="G4486" s="24">
        <v>60.0</v>
      </c>
      <c r="H4486" s="24">
        <v>21.0</v>
      </c>
      <c r="I4486" s="24">
        <v>8501.0</v>
      </c>
      <c r="J4486" s="24">
        <v>0.0</v>
      </c>
      <c r="K4486" s="23" t="s">
        <v>34</v>
      </c>
      <c r="L4486" s="25">
        <v>42305.128900462965</v>
      </c>
      <c r="M4486" s="28"/>
      <c r="N4486" s="28"/>
      <c r="O4486" s="22" t="str">
        <f>HYPERLINK("https://pbs.twimg.com/profile_images/680448927762522112/4SEtvUG5_normal.jpg","View")</f>
        <v>View</v>
      </c>
      <c r="P4486" s="27"/>
    </row>
    <row r="4487">
      <c r="A4487" s="14">
        <v>43031.28506944445</v>
      </c>
      <c r="B4487" s="20" t="str">
        <f>HYPERLINK("https://twitter.com/STcom","@STcom")</f>
        <v>@STcom</v>
      </c>
      <c r="C4487" s="21" t="s">
        <v>10338</v>
      </c>
      <c r="D4487" s="21" t="s">
        <v>10339</v>
      </c>
      <c r="E4487" s="22" t="str">
        <f>HYPERLINK("https://twitter.com/STcom/status/922460223436025857","922460223436025857")</f>
        <v>922460223436025857</v>
      </c>
      <c r="F4487" s="23" t="s">
        <v>769</v>
      </c>
      <c r="G4487" s="24">
        <v>956292.0</v>
      </c>
      <c r="H4487" s="24">
        <v>126.0</v>
      </c>
      <c r="I4487" s="24">
        <v>10.0</v>
      </c>
      <c r="J4487" s="24">
        <v>11.0</v>
      </c>
      <c r="K4487" s="23" t="s">
        <v>34</v>
      </c>
      <c r="L4487" s="25">
        <v>39937.99193287037</v>
      </c>
      <c r="M4487" s="26" t="s">
        <v>1224</v>
      </c>
      <c r="N4487" s="26" t="s">
        <v>10340</v>
      </c>
      <c r="O4487" s="22" t="str">
        <f>HYPERLINK("https://pbs.twimg.com/profile_images/630988935720648704/HkmsHBTM_normal.jpg","View")</f>
        <v>View</v>
      </c>
      <c r="P4487" s="27"/>
    </row>
    <row r="4488">
      <c r="A4488" s="14">
        <v>43031.28506944445</v>
      </c>
      <c r="B4488" s="20" t="str">
        <f>HYPERLINK("https://twitter.com/STForeignDesk","@STForeignDesk")</f>
        <v>@STForeignDesk</v>
      </c>
      <c r="C4488" s="21" t="s">
        <v>10341</v>
      </c>
      <c r="D4488" s="21" t="s">
        <v>10342</v>
      </c>
      <c r="E4488" s="22" t="str">
        <f>HYPERLINK("https://twitter.com/STForeignDesk/status/922460223616450560","922460223616450560")</f>
        <v>922460223616450560</v>
      </c>
      <c r="F4488" s="23" t="s">
        <v>769</v>
      </c>
      <c r="G4488" s="24">
        <v>39365.0</v>
      </c>
      <c r="H4488" s="24">
        <v>109.0</v>
      </c>
      <c r="I4488" s="24">
        <v>0.0</v>
      </c>
      <c r="J4488" s="24">
        <v>1.0</v>
      </c>
      <c r="K4488" s="23" t="s">
        <v>34</v>
      </c>
      <c r="L4488" s="25">
        <v>41303.31202546296</v>
      </c>
      <c r="M4488" s="26" t="s">
        <v>1224</v>
      </c>
      <c r="N4488" s="26" t="s">
        <v>10343</v>
      </c>
      <c r="O4488" s="22" t="str">
        <f>HYPERLINK("https://pbs.twimg.com/profile_images/616014877300142080/6I99bogh_normal.jpg","View")</f>
        <v>View</v>
      </c>
      <c r="P4488" s="27"/>
    </row>
    <row r="4489">
      <c r="A4489" s="14">
        <v>43031.28513888889</v>
      </c>
      <c r="B4489" s="20" t="str">
        <f>HYPERLINK("https://twitter.com/newslivenetwork","@newslivenetwork")</f>
        <v>@newslivenetwork</v>
      </c>
      <c r="C4489" s="21" t="s">
        <v>89</v>
      </c>
      <c r="D4489" s="21" t="s">
        <v>10344</v>
      </c>
      <c r="E4489" s="22" t="str">
        <f>HYPERLINK("https://twitter.com/newslivenetwork/status/922460249096949760","922460249096949760")</f>
        <v>922460249096949760</v>
      </c>
      <c r="F4489" s="23" t="s">
        <v>91</v>
      </c>
      <c r="G4489" s="24">
        <v>271.0</v>
      </c>
      <c r="H4489" s="24">
        <v>87.0</v>
      </c>
      <c r="I4489" s="24">
        <v>0.0</v>
      </c>
      <c r="J4489" s="24">
        <v>0.0</v>
      </c>
      <c r="K4489" s="23" t="s">
        <v>34</v>
      </c>
      <c r="L4489" s="25">
        <v>42741.47196759259</v>
      </c>
      <c r="M4489" s="26" t="s">
        <v>92</v>
      </c>
      <c r="N4489" s="26" t="s">
        <v>93</v>
      </c>
      <c r="O4489" s="22" t="str">
        <f>HYPERLINK("https://pbs.twimg.com/profile_images/877414144424660992/scfhocj3_normal.jpg","View")</f>
        <v>View</v>
      </c>
      <c r="P4489" s="27"/>
    </row>
    <row r="4490">
      <c r="A4490" s="14">
        <v>43031.28519675926</v>
      </c>
      <c r="B4490" s="20" t="str">
        <f>HYPERLINK("https://twitter.com/singaporeinform","@singaporeinform")</f>
        <v>@singaporeinform</v>
      </c>
      <c r="C4490" s="21" t="s">
        <v>10345</v>
      </c>
      <c r="D4490" s="21" t="s">
        <v>10346</v>
      </c>
      <c r="E4490" s="22" t="str">
        <f>HYPERLINK("https://twitter.com/singaporeinform/status/922460271293206529","922460271293206529")</f>
        <v>922460271293206529</v>
      </c>
      <c r="F4490" s="30" t="s">
        <v>191</v>
      </c>
      <c r="G4490" s="24">
        <v>1806.0</v>
      </c>
      <c r="H4490" s="24">
        <v>850.0</v>
      </c>
      <c r="I4490" s="24">
        <v>0.0</v>
      </c>
      <c r="J4490" s="24">
        <v>0.0</v>
      </c>
      <c r="K4490" s="23" t="s">
        <v>34</v>
      </c>
      <c r="L4490" s="25">
        <v>40074.45618055556</v>
      </c>
      <c r="M4490" s="26" t="s">
        <v>1224</v>
      </c>
      <c r="N4490" s="26" t="s">
        <v>10347</v>
      </c>
      <c r="O4490" s="22" t="str">
        <f>HYPERLINK("https://pbs.twimg.com/profile_images/799923629316251648/z7L2AyCv_normal.jpg","View")</f>
        <v>View</v>
      </c>
      <c r="P4490" s="27"/>
    </row>
    <row r="4491">
      <c r="A4491" s="14">
        <v>43031.28537037037</v>
      </c>
      <c r="B4491" s="20" t="str">
        <f>HYPERLINK("https://twitter.com/PrajaktThale","@PrajaktThale")</f>
        <v>@PrajaktThale</v>
      </c>
      <c r="C4491" s="21" t="s">
        <v>10348</v>
      </c>
      <c r="D4491" s="21" t="s">
        <v>42</v>
      </c>
      <c r="E4491" s="22" t="str">
        <f>HYPERLINK("https://twitter.com/PrajaktThale/status/922460331061919744","922460331061919744")</f>
        <v>922460331061919744</v>
      </c>
      <c r="F4491" s="23" t="s">
        <v>33</v>
      </c>
      <c r="G4491" s="24">
        <v>51.0</v>
      </c>
      <c r="H4491" s="24">
        <v>179.0</v>
      </c>
      <c r="I4491" s="24">
        <v>8501.0</v>
      </c>
      <c r="J4491" s="24">
        <v>0.0</v>
      </c>
      <c r="K4491" s="23" t="s">
        <v>34</v>
      </c>
      <c r="L4491" s="25">
        <v>41927.442777777775</v>
      </c>
      <c r="M4491" s="26" t="s">
        <v>475</v>
      </c>
      <c r="N4491" s="26" t="s">
        <v>7310</v>
      </c>
      <c r="O4491" s="22" t="str">
        <f>HYPERLINK("https://pbs.twimg.com/profile_images/755430949127684096/kir6ItVR_normal.jpg","View")</f>
        <v>View</v>
      </c>
      <c r="P4491" s="27"/>
    </row>
    <row r="4492">
      <c r="A4492" s="14">
        <v>43031.285405092596</v>
      </c>
      <c r="B4492" s="20" t="str">
        <f>HYPERLINK("https://twitter.com/LT38","@LT38")</f>
        <v>@LT38</v>
      </c>
      <c r="C4492" s="21" t="s">
        <v>10349</v>
      </c>
      <c r="D4492" s="21" t="s">
        <v>2555</v>
      </c>
      <c r="E4492" s="22" t="str">
        <f>HYPERLINK("https://twitter.com/LT38/status/922460347457527808","922460347457527808")</f>
        <v>922460347457527808</v>
      </c>
      <c r="F4492" s="23" t="s">
        <v>55</v>
      </c>
      <c r="G4492" s="24">
        <v>34159.0</v>
      </c>
      <c r="H4492" s="24">
        <v>2.0</v>
      </c>
      <c r="I4492" s="24">
        <v>58.0</v>
      </c>
      <c r="J4492" s="24">
        <v>0.0</v>
      </c>
      <c r="K4492" s="23" t="s">
        <v>34</v>
      </c>
      <c r="L4492" s="25">
        <v>39868.528645833336</v>
      </c>
      <c r="M4492" s="26" t="s">
        <v>10350</v>
      </c>
      <c r="N4492" s="26" t="s">
        <v>10351</v>
      </c>
      <c r="O4492" s="22" t="str">
        <f>HYPERLINK("https://pbs.twimg.com/profile_images/456216623477575681/0_x73P_E_normal.jpeg","View")</f>
        <v>View</v>
      </c>
      <c r="P4492" s="27"/>
    </row>
    <row r="4493">
      <c r="A4493" s="14">
        <v>43031.28545138889</v>
      </c>
      <c r="B4493" s="20" t="str">
        <f>HYPERLINK("https://twitter.com/rvdilip","@rvdilip")</f>
        <v>@rvdilip</v>
      </c>
      <c r="C4493" s="21" t="s">
        <v>10352</v>
      </c>
      <c r="D4493" s="21" t="s">
        <v>163</v>
      </c>
      <c r="E4493" s="22" t="str">
        <f>HYPERLINK("https://twitter.com/rvdilip/status/922460360367423488","922460360367423488")</f>
        <v>922460360367423488</v>
      </c>
      <c r="F4493" s="23" t="s">
        <v>33</v>
      </c>
      <c r="G4493" s="24">
        <v>511.0</v>
      </c>
      <c r="H4493" s="24">
        <v>818.0</v>
      </c>
      <c r="I4493" s="24">
        <v>1005.0</v>
      </c>
      <c r="J4493" s="24">
        <v>0.0</v>
      </c>
      <c r="K4493" s="23" t="s">
        <v>34</v>
      </c>
      <c r="L4493" s="25">
        <v>40306.08998842593</v>
      </c>
      <c r="M4493" s="28"/>
      <c r="N4493" s="26" t="s">
        <v>10353</v>
      </c>
      <c r="O4493" s="22" t="str">
        <f>HYPERLINK("https://pbs.twimg.com/profile_images/1392161527/pic02456_normal.jpg","View")</f>
        <v>View</v>
      </c>
      <c r="P4493" s="27"/>
    </row>
    <row r="4494">
      <c r="A4494" s="14">
        <v>43031.285578703704</v>
      </c>
      <c r="B4494" s="20" t="str">
        <f>HYPERLINK("https://twitter.com/Chutintorn_Sam","@Chutintorn_Sam")</f>
        <v>@Chutintorn_Sam</v>
      </c>
      <c r="C4494" s="21" t="s">
        <v>10354</v>
      </c>
      <c r="D4494" s="21" t="s">
        <v>9839</v>
      </c>
      <c r="E4494" s="22" t="str">
        <f>HYPERLINK("https://twitter.com/Chutintorn_Sam/status/922460406546702336","922460406546702336")</f>
        <v>922460406546702336</v>
      </c>
      <c r="F4494" s="23" t="s">
        <v>39</v>
      </c>
      <c r="G4494" s="24">
        <v>178.0</v>
      </c>
      <c r="H4494" s="24">
        <v>128.0</v>
      </c>
      <c r="I4494" s="24">
        <v>5.0</v>
      </c>
      <c r="J4494" s="24">
        <v>0.0</v>
      </c>
      <c r="K4494" s="23" t="s">
        <v>34</v>
      </c>
      <c r="L4494" s="25">
        <v>42948.121932870374</v>
      </c>
      <c r="M4494" s="26" t="s">
        <v>575</v>
      </c>
      <c r="N4494" s="26" t="s">
        <v>10355</v>
      </c>
      <c r="O4494" s="22" t="str">
        <f>HYPERLINK("https://pbs.twimg.com/profile_images/894926049330421760/M7QeO1eX_normal.jpg","View")</f>
        <v>View</v>
      </c>
      <c r="P4494" s="27"/>
    </row>
    <row r="4495">
      <c r="A4495" s="14">
        <v>43031.28561342593</v>
      </c>
      <c r="B4495" s="20" t="str">
        <f>HYPERLINK("https://twitter.com/Viatcheslavsos3","@Viatcheslavsos3")</f>
        <v>@Viatcheslavsos3</v>
      </c>
      <c r="C4495" s="21" t="s">
        <v>10356</v>
      </c>
      <c r="D4495" s="21" t="s">
        <v>10357</v>
      </c>
      <c r="E4495" s="22" t="str">
        <f>HYPERLINK("https://twitter.com/Viatcheslavsos3/status/922460421759541248","922460421759541248")</f>
        <v>922460421759541248</v>
      </c>
      <c r="F4495" s="23" t="s">
        <v>39</v>
      </c>
      <c r="G4495" s="24">
        <v>1482.0</v>
      </c>
      <c r="H4495" s="24">
        <v>1170.0</v>
      </c>
      <c r="I4495" s="24">
        <v>0.0</v>
      </c>
      <c r="J4495" s="24">
        <v>0.0</v>
      </c>
      <c r="K4495" s="23" t="s">
        <v>34</v>
      </c>
      <c r="L4495" s="25">
        <v>42455.308483796296</v>
      </c>
      <c r="M4495" s="26" t="s">
        <v>10358</v>
      </c>
      <c r="N4495" s="26" t="s">
        <v>10359</v>
      </c>
      <c r="O4495" s="22" t="str">
        <f>HYPERLINK("https://pbs.twimg.com/profile_images/767114057715515392/Oyj2TTGL_normal.jpg","View")</f>
        <v>View</v>
      </c>
      <c r="P4495" s="27"/>
    </row>
    <row r="4496">
      <c r="A4496" s="14">
        <v>43031.28564814814</v>
      </c>
      <c r="B4496" s="20" t="str">
        <f>HYPERLINK("https://twitter.com/Sonu39112","@Sonu39112")</f>
        <v>@Sonu39112</v>
      </c>
      <c r="C4496" s="21" t="s">
        <v>10360</v>
      </c>
      <c r="D4496" s="21" t="s">
        <v>42</v>
      </c>
      <c r="E4496" s="22" t="str">
        <f>HYPERLINK("https://twitter.com/Sonu39112/status/922460434376024066","922460434376024066")</f>
        <v>922460434376024066</v>
      </c>
      <c r="F4496" s="23" t="s">
        <v>33</v>
      </c>
      <c r="G4496" s="24">
        <v>147.0</v>
      </c>
      <c r="H4496" s="24">
        <v>254.0</v>
      </c>
      <c r="I4496" s="24">
        <v>8501.0</v>
      </c>
      <c r="J4496" s="24">
        <v>0.0</v>
      </c>
      <c r="K4496" s="23" t="s">
        <v>34</v>
      </c>
      <c r="L4496" s="25">
        <v>42385.12907407407</v>
      </c>
      <c r="M4496" s="26" t="s">
        <v>10361</v>
      </c>
      <c r="N4496" s="26" t="s">
        <v>10362</v>
      </c>
      <c r="O4496" s="22" t="str">
        <f>HYPERLINK("https://pbs.twimg.com/profile_images/799478504031141888/s1HAyxoa_normal.jpg","View")</f>
        <v>View</v>
      </c>
      <c r="P4496" s="27"/>
    </row>
    <row r="4497">
      <c r="A4497" s="14">
        <v>43031.28570601852</v>
      </c>
      <c r="B4497" s="20" t="str">
        <f>HYPERLINK("https://twitter.com/Iam_Sudipta95","@Iam_Sudipta95")</f>
        <v>@Iam_Sudipta95</v>
      </c>
      <c r="C4497" s="21" t="s">
        <v>10363</v>
      </c>
      <c r="D4497" s="21" t="s">
        <v>42</v>
      </c>
      <c r="E4497" s="22" t="str">
        <f>HYPERLINK("https://twitter.com/Iam_Sudipta95/status/922460454202507265","922460454202507265")</f>
        <v>922460454202507265</v>
      </c>
      <c r="F4497" s="23" t="s">
        <v>55</v>
      </c>
      <c r="G4497" s="24">
        <v>65.0</v>
      </c>
      <c r="H4497" s="24">
        <v>80.0</v>
      </c>
      <c r="I4497" s="24">
        <v>8501.0</v>
      </c>
      <c r="J4497" s="24">
        <v>0.0</v>
      </c>
      <c r="K4497" s="23" t="s">
        <v>34</v>
      </c>
      <c r="L4497" s="25">
        <v>42921.354479166665</v>
      </c>
      <c r="M4497" s="26" t="s">
        <v>204</v>
      </c>
      <c r="N4497" s="28"/>
      <c r="O4497" s="22" t="str">
        <f>HYPERLINK("https://pbs.twimg.com/profile_images/882626880339406848/7ZcXVbnK_normal.jpg","View")</f>
        <v>View</v>
      </c>
      <c r="P4497" s="27"/>
    </row>
    <row r="4498">
      <c r="A4498" s="14">
        <v>43031.285729166666</v>
      </c>
      <c r="B4498" s="20" t="str">
        <f>HYPERLINK("https://twitter.com/iShnkarSharma","@iShnkarSharma")</f>
        <v>@iShnkarSharma</v>
      </c>
      <c r="C4498" s="21" t="s">
        <v>10364</v>
      </c>
      <c r="D4498" s="21" t="s">
        <v>42</v>
      </c>
      <c r="E4498" s="22" t="str">
        <f>HYPERLINK("https://twitter.com/iShnkarSharma/status/922460464952459264","922460464952459264")</f>
        <v>922460464952459264</v>
      </c>
      <c r="F4498" s="23" t="s">
        <v>33</v>
      </c>
      <c r="G4498" s="24">
        <v>12445.0</v>
      </c>
      <c r="H4498" s="24">
        <v>303.0</v>
      </c>
      <c r="I4498" s="24">
        <v>8501.0</v>
      </c>
      <c r="J4498" s="24">
        <v>0.0</v>
      </c>
      <c r="K4498" s="23" t="s">
        <v>34</v>
      </c>
      <c r="L4498" s="25">
        <v>41489.86393518519</v>
      </c>
      <c r="M4498" s="26" t="s">
        <v>9644</v>
      </c>
      <c r="N4498" s="26" t="s">
        <v>10365</v>
      </c>
      <c r="O4498" s="22" t="str">
        <f>HYPERLINK("https://pbs.twimg.com/profile_images/919651173283414016/I3lQYTbE_normal.jpg","View")</f>
        <v>View</v>
      </c>
      <c r="P4498" s="27"/>
    </row>
    <row r="4499">
      <c r="A4499" s="14">
        <v>43031.28576388889</v>
      </c>
      <c r="B4499" s="20" t="str">
        <f>HYPERLINK("https://twitter.com/saurabhits","@saurabhits")</f>
        <v>@saurabhits</v>
      </c>
      <c r="C4499" s="21" t="s">
        <v>10366</v>
      </c>
      <c r="D4499" s="21" t="s">
        <v>42</v>
      </c>
      <c r="E4499" s="22" t="str">
        <f>HYPERLINK("https://twitter.com/saurabhits/status/922460476138594304","922460476138594304")</f>
        <v>922460476138594304</v>
      </c>
      <c r="F4499" s="23" t="s">
        <v>33</v>
      </c>
      <c r="G4499" s="24">
        <v>85.0</v>
      </c>
      <c r="H4499" s="24">
        <v>122.0</v>
      </c>
      <c r="I4499" s="24">
        <v>8501.0</v>
      </c>
      <c r="J4499" s="24">
        <v>0.0</v>
      </c>
      <c r="K4499" s="23" t="s">
        <v>34</v>
      </c>
      <c r="L4499" s="25">
        <v>40868.33997685185</v>
      </c>
      <c r="M4499" s="26" t="s">
        <v>9985</v>
      </c>
      <c r="N4499" s="26" t="s">
        <v>10367</v>
      </c>
      <c r="O4499" s="22" t="str">
        <f>HYPERLINK("https://pbs.twimg.com/profile_images/556854079347904514/XHGk1Bzk_normal.jpeg","View")</f>
        <v>View</v>
      </c>
      <c r="P4499" s="27"/>
    </row>
    <row r="4500">
      <c r="A4500" s="14">
        <v>43031.28584490741</v>
      </c>
      <c r="B4500" s="20" t="str">
        <f>HYPERLINK("https://twitter.com/STcomSingapore","@STcomSingapore")</f>
        <v>@STcomSingapore</v>
      </c>
      <c r="C4500" s="21" t="s">
        <v>10271</v>
      </c>
      <c r="D4500" s="21" t="s">
        <v>10368</v>
      </c>
      <c r="E4500" s="22" t="str">
        <f>HYPERLINK("https://twitter.com/STcomSingapore/status/922460506501386240","922460506501386240")</f>
        <v>922460506501386240</v>
      </c>
      <c r="F4500" s="23" t="s">
        <v>10271</v>
      </c>
      <c r="G4500" s="24">
        <v>67.0</v>
      </c>
      <c r="H4500" s="24">
        <v>0.0</v>
      </c>
      <c r="I4500" s="24">
        <v>0.0</v>
      </c>
      <c r="J4500" s="24">
        <v>0.0</v>
      </c>
      <c r="K4500" s="23" t="s">
        <v>34</v>
      </c>
      <c r="L4500" s="25">
        <v>42604.77737268519</v>
      </c>
      <c r="M4500" s="26" t="s">
        <v>1224</v>
      </c>
      <c r="N4500" s="28"/>
      <c r="O4500" s="22" t="str">
        <f>HYPERLINK("https://pbs.twimg.com/profile_images/776980623630094336/YaqdkhCJ_normal.jpg","View")</f>
        <v>View</v>
      </c>
      <c r="P4500" s="27"/>
    </row>
    <row r="4501">
      <c r="A4501" s="14">
        <v>43031.28585648148</v>
      </c>
      <c r="B4501" s="20" t="str">
        <f>HYPERLINK("https://twitter.com/HRS_Chirashi","@HRS_Chirashi")</f>
        <v>@HRS_Chirashi</v>
      </c>
      <c r="C4501" s="21" t="s">
        <v>10369</v>
      </c>
      <c r="D4501" s="21" t="s">
        <v>10370</v>
      </c>
      <c r="E4501" s="22" t="str">
        <f>HYPERLINK("https://twitter.com/HRS_Chirashi/status/922460510343249920","922460510343249920")</f>
        <v>922460510343249920</v>
      </c>
      <c r="F4501" s="23" t="s">
        <v>33</v>
      </c>
      <c r="G4501" s="24">
        <v>1224.0</v>
      </c>
      <c r="H4501" s="24">
        <v>1244.0</v>
      </c>
      <c r="I4501" s="24">
        <v>10.0</v>
      </c>
      <c r="J4501" s="24">
        <v>0.0</v>
      </c>
      <c r="K4501" s="23" t="s">
        <v>34</v>
      </c>
      <c r="L4501" s="25">
        <v>40029.34204861111</v>
      </c>
      <c r="M4501" s="26" t="s">
        <v>10371</v>
      </c>
      <c r="N4501" s="26" t="s">
        <v>10372</v>
      </c>
      <c r="O4501" s="22" t="str">
        <f>HYPERLINK("https://pbs.twimg.com/profile_images/378800000272187364/67bb2b8fd54e743b3f0f5a1d0ff03ea6_normal.jpeg","View")</f>
        <v>View</v>
      </c>
      <c r="P4501" s="27"/>
    </row>
    <row r="4502">
      <c r="A4502" s="14">
        <v>43031.285949074074</v>
      </c>
      <c r="B4502" s="20" t="str">
        <f>HYPERLINK("https://twitter.com/hchibber","@hchibber")</f>
        <v>@hchibber</v>
      </c>
      <c r="C4502" s="21" t="s">
        <v>10373</v>
      </c>
      <c r="D4502" s="21" t="s">
        <v>42</v>
      </c>
      <c r="E4502" s="22" t="str">
        <f>HYPERLINK("https://twitter.com/hchibber/status/922460543222407169","922460543222407169")</f>
        <v>922460543222407169</v>
      </c>
      <c r="F4502" s="23" t="s">
        <v>39</v>
      </c>
      <c r="G4502" s="24">
        <v>22.0</v>
      </c>
      <c r="H4502" s="24">
        <v>114.0</v>
      </c>
      <c r="I4502" s="24">
        <v>8501.0</v>
      </c>
      <c r="J4502" s="24">
        <v>0.0</v>
      </c>
      <c r="K4502" s="23" t="s">
        <v>34</v>
      </c>
      <c r="L4502" s="25">
        <v>41445.4324537037</v>
      </c>
      <c r="M4502" s="26" t="s">
        <v>617</v>
      </c>
      <c r="N4502" s="28"/>
      <c r="O4502" s="22" t="str">
        <f>HYPERLINK("https://pbs.twimg.com/profile_images/897318707067670528/8de34rsW_normal.jpg","View")</f>
        <v>View</v>
      </c>
      <c r="P4502" s="27"/>
    </row>
    <row r="4503">
      <c r="A4503" s="14">
        <v>43031.2859837963</v>
      </c>
      <c r="B4503" s="20" t="str">
        <f>HYPERLINK("https://twitter.com/kethily_b","@kethily_b")</f>
        <v>@kethily_b</v>
      </c>
      <c r="C4503" s="21" t="s">
        <v>10374</v>
      </c>
      <c r="D4503" s="21" t="s">
        <v>9013</v>
      </c>
      <c r="E4503" s="22" t="str">
        <f>HYPERLINK("https://twitter.com/kethily_b/status/922460557030100992","922460557030100992")</f>
        <v>922460557030100992</v>
      </c>
      <c r="F4503" s="23" t="s">
        <v>33</v>
      </c>
      <c r="G4503" s="24">
        <v>1660.0</v>
      </c>
      <c r="H4503" s="24">
        <v>595.0</v>
      </c>
      <c r="I4503" s="24">
        <v>31.0</v>
      </c>
      <c r="J4503" s="24">
        <v>0.0</v>
      </c>
      <c r="K4503" s="23" t="s">
        <v>34</v>
      </c>
      <c r="L4503" s="25">
        <v>43007.969409722224</v>
      </c>
      <c r="M4503" s="26" t="s">
        <v>10375</v>
      </c>
      <c r="N4503" s="28"/>
      <c r="O4503" s="22" t="str">
        <f>HYPERLINK("https://pbs.twimg.com/profile_images/921859703755460608/mrE_0krG_normal.jpg","View")</f>
        <v>View</v>
      </c>
      <c r="P4503" s="27"/>
    </row>
    <row r="4504">
      <c r="A4504" s="14">
        <v>43031.286099537036</v>
      </c>
      <c r="B4504" s="20" t="str">
        <f>HYPERLINK("https://twitter.com/Kick_The1Ball","@Kick_The1Ball")</f>
        <v>@Kick_The1Ball</v>
      </c>
      <c r="C4504" s="21" t="s">
        <v>10376</v>
      </c>
      <c r="D4504" s="21" t="s">
        <v>10377</v>
      </c>
      <c r="E4504" s="22" t="str">
        <f>HYPERLINK("https://twitter.com/Kick_The1Ball/status/922460597375008768","922460597375008768")</f>
        <v>922460597375008768</v>
      </c>
      <c r="F4504" s="23" t="s">
        <v>10378</v>
      </c>
      <c r="G4504" s="24">
        <v>159.0</v>
      </c>
      <c r="H4504" s="24">
        <v>194.0</v>
      </c>
      <c r="I4504" s="24">
        <v>0.0</v>
      </c>
      <c r="J4504" s="24">
        <v>0.0</v>
      </c>
      <c r="K4504" s="23" t="s">
        <v>34</v>
      </c>
      <c r="L4504" s="25">
        <v>42151.054027777776</v>
      </c>
      <c r="M4504" s="28"/>
      <c r="N4504" s="26" t="s">
        <v>10379</v>
      </c>
      <c r="O4504" s="22" t="str">
        <f>HYPERLINK("https://pbs.twimg.com/profile_images/603475366926098432/nMz4fsTk_normal.jpg","View")</f>
        <v>View</v>
      </c>
      <c r="P4504" s="27"/>
    </row>
    <row r="4505">
      <c r="A4505" s="14">
        <v>43031.28611111111</v>
      </c>
      <c r="B4505" s="20" t="str">
        <f>HYPERLINK("https://twitter.com/NikhilN15165247","@NikhilN15165247")</f>
        <v>@NikhilN15165247</v>
      </c>
      <c r="C4505" s="21" t="s">
        <v>10380</v>
      </c>
      <c r="D4505" s="21" t="s">
        <v>42</v>
      </c>
      <c r="E4505" s="22" t="str">
        <f>HYPERLINK("https://twitter.com/NikhilN15165247/status/922460601237979138","922460601237979138")</f>
        <v>922460601237979138</v>
      </c>
      <c r="F4505" s="23" t="s">
        <v>33</v>
      </c>
      <c r="G4505" s="24">
        <v>1.0</v>
      </c>
      <c r="H4505" s="24">
        <v>65.0</v>
      </c>
      <c r="I4505" s="24">
        <v>8501.0</v>
      </c>
      <c r="J4505" s="24">
        <v>0.0</v>
      </c>
      <c r="K4505" s="23" t="s">
        <v>34</v>
      </c>
      <c r="L4505" s="25">
        <v>42704.74378472222</v>
      </c>
      <c r="M4505" s="26" t="s">
        <v>10381</v>
      </c>
      <c r="N4505" s="26" t="s">
        <v>10382</v>
      </c>
      <c r="O4505" s="22" t="str">
        <f>HYPERLINK("https://pbs.twimg.com/profile_images/861835880264237056/wPLwWZJ2_normal.jpg","View")</f>
        <v>View</v>
      </c>
      <c r="P4505" s="27"/>
    </row>
    <row r="4506">
      <c r="A4506" s="14">
        <v>43031.286145833335</v>
      </c>
      <c r="B4506" s="20" t="str">
        <f>HYPERLINK("https://twitter.com/cosmicblinker","@cosmicblinker")</f>
        <v>@cosmicblinker</v>
      </c>
      <c r="C4506" s="21" t="s">
        <v>10383</v>
      </c>
      <c r="D4506" s="21" t="s">
        <v>42</v>
      </c>
      <c r="E4506" s="22" t="str">
        <f>HYPERLINK("https://twitter.com/cosmicblinker/status/922460613963632640","922460613963632640")</f>
        <v>922460613963632640</v>
      </c>
      <c r="F4506" s="23" t="s">
        <v>55</v>
      </c>
      <c r="G4506" s="24">
        <v>678.0</v>
      </c>
      <c r="H4506" s="24">
        <v>481.0</v>
      </c>
      <c r="I4506" s="24">
        <v>8501.0</v>
      </c>
      <c r="J4506" s="24">
        <v>0.0</v>
      </c>
      <c r="K4506" s="23" t="s">
        <v>34</v>
      </c>
      <c r="L4506" s="25">
        <v>42734.85177083334</v>
      </c>
      <c r="M4506" s="28"/>
      <c r="N4506" s="28"/>
      <c r="O4506" s="22" t="str">
        <f>HYPERLINK("https://pbs.twimg.com/profile_images/871924391734427649/hEKwsl6n_normal.jpg","View")</f>
        <v>View</v>
      </c>
      <c r="P4506" s="27"/>
    </row>
    <row r="4507">
      <c r="A4507" s="14">
        <v>43031.28623842592</v>
      </c>
      <c r="B4507" s="20" t="str">
        <f>HYPERLINK("https://twitter.com/cyto48","@cyto48")</f>
        <v>@cyto48</v>
      </c>
      <c r="C4507" s="21" t="s">
        <v>102</v>
      </c>
      <c r="D4507" s="21" t="s">
        <v>7602</v>
      </c>
      <c r="E4507" s="22" t="str">
        <f>HYPERLINK("https://twitter.com/cyto48/status/922460647392202752","922460647392202752")</f>
        <v>922460647392202752</v>
      </c>
      <c r="F4507" s="23" t="s">
        <v>102</v>
      </c>
      <c r="G4507" s="24">
        <v>387.0</v>
      </c>
      <c r="H4507" s="24">
        <v>2739.0</v>
      </c>
      <c r="I4507" s="24">
        <v>7.0</v>
      </c>
      <c r="J4507" s="24">
        <v>0.0</v>
      </c>
      <c r="K4507" s="23" t="s">
        <v>34</v>
      </c>
      <c r="L4507" s="25">
        <v>41621.62619212963</v>
      </c>
      <c r="M4507" s="28"/>
      <c r="N4507" s="28"/>
      <c r="O4507" s="22" t="str">
        <f>HYPERLINK("https://pbs.twimg.com/profile_images/914435541906722817/EvmsHZz3_normal.jpg","View")</f>
        <v>View</v>
      </c>
      <c r="P4507" s="27"/>
    </row>
    <row r="4508">
      <c r="A4508" s="14">
        <v>43031.28635416667</v>
      </c>
      <c r="B4508" s="20" t="str">
        <f>HYPERLINK("https://twitter.com/hamradioshow","@hamradioshow")</f>
        <v>@hamradioshow</v>
      </c>
      <c r="C4508" s="21" t="s">
        <v>10384</v>
      </c>
      <c r="D4508" s="21" t="s">
        <v>10385</v>
      </c>
      <c r="E4508" s="22" t="str">
        <f>HYPERLINK("https://twitter.com/hamradioshow/status/922460691004395520","922460691004395520")</f>
        <v>922460691004395520</v>
      </c>
      <c r="F4508" s="30" t="s">
        <v>191</v>
      </c>
      <c r="G4508" s="24">
        <v>1563.0</v>
      </c>
      <c r="H4508" s="24">
        <v>753.0</v>
      </c>
      <c r="I4508" s="24">
        <v>0.0</v>
      </c>
      <c r="J4508" s="24">
        <v>0.0</v>
      </c>
      <c r="K4508" s="23" t="s">
        <v>34</v>
      </c>
      <c r="L4508" s="25">
        <v>40082.62337962963</v>
      </c>
      <c r="M4508" s="26" t="s">
        <v>2534</v>
      </c>
      <c r="N4508" s="26" t="s">
        <v>10386</v>
      </c>
      <c r="O4508" s="22" t="str">
        <f>HYPERLINK("https://pbs.twimg.com/profile_images/713159513487110144/2Jzh1MmY_normal.jpg","View")</f>
        <v>View</v>
      </c>
      <c r="P4508" s="27"/>
    </row>
    <row r="4509">
      <c r="A4509" s="14">
        <v>43031.286412037036</v>
      </c>
      <c r="B4509" s="20" t="str">
        <f>HYPERLINK("https://twitter.com/newsparktamil","@newsparktamil")</f>
        <v>@newsparktamil</v>
      </c>
      <c r="C4509" s="21" t="s">
        <v>10387</v>
      </c>
      <c r="D4509" s="21" t="s">
        <v>10388</v>
      </c>
      <c r="E4509" s="22" t="str">
        <f>HYPERLINK("https://twitter.com/newsparktamil/status/922460708821803010","922460708821803010")</f>
        <v>922460708821803010</v>
      </c>
      <c r="F4509" s="23" t="s">
        <v>55</v>
      </c>
      <c r="G4509" s="24">
        <v>81.0</v>
      </c>
      <c r="H4509" s="24">
        <v>668.0</v>
      </c>
      <c r="I4509" s="24">
        <v>0.0</v>
      </c>
      <c r="J4509" s="24">
        <v>0.0</v>
      </c>
      <c r="K4509" s="23" t="s">
        <v>34</v>
      </c>
      <c r="L4509" s="25">
        <v>42918.285046296296</v>
      </c>
      <c r="M4509" s="26" t="s">
        <v>56</v>
      </c>
      <c r="N4509" s="26" t="s">
        <v>10389</v>
      </c>
      <c r="O4509" s="22" t="str">
        <f>HYPERLINK("https://pbs.twimg.com/profile_images/890099208543510529/P8red2Gr_normal.jpg","View")</f>
        <v>View</v>
      </c>
      <c r="P4509" s="27"/>
    </row>
    <row r="4510">
      <c r="A4510" s="14">
        <v>43031.28643518519</v>
      </c>
      <c r="B4510" s="20" t="str">
        <f>HYPERLINK("https://twitter.com/whokilledisac","@whokilledisac")</f>
        <v>@whokilledisac</v>
      </c>
      <c r="C4510" s="21" t="s">
        <v>10390</v>
      </c>
      <c r="D4510" s="21" t="s">
        <v>67</v>
      </c>
      <c r="E4510" s="22" t="str">
        <f>HYPERLINK("https://twitter.com/whokilledisac/status/922460720025006080","922460720025006080")</f>
        <v>922460720025006080</v>
      </c>
      <c r="F4510" s="23" t="s">
        <v>55</v>
      </c>
      <c r="G4510" s="24">
        <v>1919.0</v>
      </c>
      <c r="H4510" s="24">
        <v>456.0</v>
      </c>
      <c r="I4510" s="24">
        <v>169.0</v>
      </c>
      <c r="J4510" s="24">
        <v>0.0</v>
      </c>
      <c r="K4510" s="23" t="s">
        <v>34</v>
      </c>
      <c r="L4510" s="25">
        <v>39985.856574074074</v>
      </c>
      <c r="M4510" s="26" t="s">
        <v>10391</v>
      </c>
      <c r="N4510" s="26" t="s">
        <v>10392</v>
      </c>
      <c r="O4510" s="22" t="str">
        <f>HYPERLINK("https://pbs.twimg.com/profile_images/918805526699565058/ReBTI2Pn_normal.jpg","View")</f>
        <v>View</v>
      </c>
      <c r="P4510" s="27"/>
    </row>
    <row r="4511">
      <c r="A4511" s="14">
        <v>43031.28645833333</v>
      </c>
      <c r="B4511" s="20" t="str">
        <f>HYPERLINK("https://twitter.com/shivasagarpatil","@shivasagarpatil")</f>
        <v>@shivasagarpatil</v>
      </c>
      <c r="C4511" s="21" t="s">
        <v>10393</v>
      </c>
      <c r="D4511" s="21" t="s">
        <v>42</v>
      </c>
      <c r="E4511" s="22" t="str">
        <f>HYPERLINK("https://twitter.com/shivasagarpatil/status/922460728505786368","922460728505786368")</f>
        <v>922460728505786368</v>
      </c>
      <c r="F4511" s="23" t="s">
        <v>33</v>
      </c>
      <c r="G4511" s="24">
        <v>30.0</v>
      </c>
      <c r="H4511" s="24">
        <v>39.0</v>
      </c>
      <c r="I4511" s="24">
        <v>8501.0</v>
      </c>
      <c r="J4511" s="24">
        <v>0.0</v>
      </c>
      <c r="K4511" s="23" t="s">
        <v>34</v>
      </c>
      <c r="L4511" s="25">
        <v>41969.27006944444</v>
      </c>
      <c r="M4511" s="26" t="s">
        <v>10394</v>
      </c>
      <c r="N4511" s="28"/>
      <c r="O4511" s="22" t="str">
        <f>HYPERLINK("https://pbs.twimg.com/profile_images/894474716190199808/rkjvIUCn_normal.jpg","View")</f>
        <v>View</v>
      </c>
      <c r="P4511" s="27"/>
    </row>
    <row r="4512">
      <c r="A4512" s="14">
        <v>43031.28646990741</v>
      </c>
      <c r="B4512" s="20" t="str">
        <f>HYPERLINK("https://twitter.com/DrBhavinModi","@DrBhavinModi")</f>
        <v>@DrBhavinModi</v>
      </c>
      <c r="C4512" s="21" t="s">
        <v>10395</v>
      </c>
      <c r="D4512" s="21" t="s">
        <v>42</v>
      </c>
      <c r="E4512" s="22" t="str">
        <f>HYPERLINK("https://twitter.com/DrBhavinModi/status/922460731655770112","922460731655770112")</f>
        <v>922460731655770112</v>
      </c>
      <c r="F4512" s="23" t="s">
        <v>33</v>
      </c>
      <c r="G4512" s="24">
        <v>74.0</v>
      </c>
      <c r="H4512" s="24">
        <v>273.0</v>
      </c>
      <c r="I4512" s="24">
        <v>8501.0</v>
      </c>
      <c r="J4512" s="24">
        <v>0.0</v>
      </c>
      <c r="K4512" s="23" t="s">
        <v>34</v>
      </c>
      <c r="L4512" s="25">
        <v>40976.177870370375</v>
      </c>
      <c r="M4512" s="26" t="s">
        <v>10396</v>
      </c>
      <c r="N4512" s="37">
        <v>31966.0</v>
      </c>
      <c r="O4512" s="22" t="str">
        <f>HYPERLINK("https://pbs.twimg.com/profile_images/501242369572757504/zG1cWbw5_normal.jpeg","View")</f>
        <v>View</v>
      </c>
      <c r="P4512" s="27"/>
    </row>
    <row r="4513">
      <c r="A4513" s="14">
        <v>43031.28668981481</v>
      </c>
      <c r="B4513" s="20" t="str">
        <f>HYPERLINK("https://twitter.com/mit_obe","@mit_obe")</f>
        <v>@mit_obe</v>
      </c>
      <c r="C4513" s="21" t="s">
        <v>10397</v>
      </c>
      <c r="D4513" s="21" t="s">
        <v>10398</v>
      </c>
      <c r="E4513" s="22" t="str">
        <f>HYPERLINK("https://twitter.com/mit_obe/status/922460810613481472","922460810613481472")</f>
        <v>922460810613481472</v>
      </c>
      <c r="F4513" s="23" t="s">
        <v>55</v>
      </c>
      <c r="G4513" s="24">
        <v>1494.0</v>
      </c>
      <c r="H4513" s="24">
        <v>299.0</v>
      </c>
      <c r="I4513" s="24">
        <v>0.0</v>
      </c>
      <c r="J4513" s="24">
        <v>0.0</v>
      </c>
      <c r="K4513" s="23" t="s">
        <v>34</v>
      </c>
      <c r="L4513" s="25">
        <v>41472.72362268518</v>
      </c>
      <c r="M4513" s="26" t="s">
        <v>3693</v>
      </c>
      <c r="N4513" s="26" t="s">
        <v>10399</v>
      </c>
      <c r="O4513" s="22" t="str">
        <f>HYPERLINK("https://pbs.twimg.com/profile_images/912457089007575041/iunAue57_normal.jpg","View")</f>
        <v>View</v>
      </c>
      <c r="P4513" s="27"/>
    </row>
    <row r="4514">
      <c r="A4514" s="14">
        <v>43031.28671296296</v>
      </c>
      <c r="B4514" s="20" t="str">
        <f>HYPERLINK("https://twitter.com/SMoriacy","@SMoriacy")</f>
        <v>@SMoriacy</v>
      </c>
      <c r="C4514" s="21" t="s">
        <v>10400</v>
      </c>
      <c r="D4514" s="21" t="s">
        <v>32</v>
      </c>
      <c r="E4514" s="22" t="str">
        <f>HYPERLINK("https://twitter.com/SMoriacy/status/922460817953521664","922460817953521664")</f>
        <v>922460817953521664</v>
      </c>
      <c r="F4514" s="23" t="s">
        <v>33</v>
      </c>
      <c r="G4514" s="24">
        <v>663.0</v>
      </c>
      <c r="H4514" s="24">
        <v>613.0</v>
      </c>
      <c r="I4514" s="24">
        <v>471.0</v>
      </c>
      <c r="J4514" s="24">
        <v>0.0</v>
      </c>
      <c r="K4514" s="23" t="s">
        <v>34</v>
      </c>
      <c r="L4514" s="25">
        <v>41032.315659722226</v>
      </c>
      <c r="M4514" s="26" t="s">
        <v>114</v>
      </c>
      <c r="N4514" s="26" t="s">
        <v>10401</v>
      </c>
      <c r="O4514" s="22" t="str">
        <f>HYPERLINK("https://pbs.twimg.com/profile_images/922184342482378753/qY1SNrI1_normal.jpg","View")</f>
        <v>View</v>
      </c>
      <c r="P4514" s="27"/>
    </row>
    <row r="4515">
      <c r="A4515" s="14">
        <v>43031.286828703705</v>
      </c>
      <c r="B4515" s="20" t="str">
        <f>HYPERLINK("https://twitter.com/thaitvnews","@thaitvnews")</f>
        <v>@thaitvnews</v>
      </c>
      <c r="C4515" s="21" t="s">
        <v>1683</v>
      </c>
      <c r="D4515" s="21" t="s">
        <v>10402</v>
      </c>
      <c r="E4515" s="22" t="str">
        <f>HYPERLINK("https://twitter.com/thaitvnews/status/922460861003915264","922460861003915264")</f>
        <v>922460861003915264</v>
      </c>
      <c r="F4515" s="23" t="s">
        <v>187</v>
      </c>
      <c r="G4515" s="24">
        <v>34592.0</v>
      </c>
      <c r="H4515" s="24">
        <v>21909.0</v>
      </c>
      <c r="I4515" s="24">
        <v>1.0</v>
      </c>
      <c r="J4515" s="24">
        <v>0.0</v>
      </c>
      <c r="K4515" s="23" t="s">
        <v>34</v>
      </c>
      <c r="L4515" s="25">
        <v>40210.80048611111</v>
      </c>
      <c r="M4515" s="28"/>
      <c r="N4515" s="26" t="s">
        <v>1685</v>
      </c>
      <c r="O4515" s="22" t="str">
        <f>HYPERLINK("https://pbs.twimg.com/profile_images/867228703096532994/JD5niRf4_normal.jpg","View")</f>
        <v>View</v>
      </c>
      <c r="P4515" s="27"/>
    </row>
    <row r="4516">
      <c r="A4516" s="14">
        <v>43031.28707175926</v>
      </c>
      <c r="B4516" s="20" t="str">
        <f>HYPERLINK("https://twitter.com/takanorituko","@takanorituko")</f>
        <v>@takanorituko</v>
      </c>
      <c r="C4516" s="21" t="s">
        <v>10403</v>
      </c>
      <c r="D4516" s="21" t="s">
        <v>10370</v>
      </c>
      <c r="E4516" s="22" t="str">
        <f>HYPERLINK("https://twitter.com/takanorituko/status/922460949503623168","922460949503623168")</f>
        <v>922460949503623168</v>
      </c>
      <c r="F4516" s="23" t="s">
        <v>55</v>
      </c>
      <c r="G4516" s="24">
        <v>337.0</v>
      </c>
      <c r="H4516" s="24">
        <v>223.0</v>
      </c>
      <c r="I4516" s="24">
        <v>10.0</v>
      </c>
      <c r="J4516" s="24">
        <v>0.0</v>
      </c>
      <c r="K4516" s="23" t="s">
        <v>34</v>
      </c>
      <c r="L4516" s="25">
        <v>42292.33068287037</v>
      </c>
      <c r="M4516" s="26" t="s">
        <v>10404</v>
      </c>
      <c r="N4516" s="26" t="s">
        <v>10405</v>
      </c>
      <c r="O4516" s="22" t="str">
        <f>HYPERLINK("https://pbs.twimg.com/profile_images/875711741555949568/JVPjYyaZ_normal.jpg","View")</f>
        <v>View</v>
      </c>
      <c r="P4516" s="27"/>
    </row>
    <row r="4517">
      <c r="A4517" s="14">
        <v>43031.287152777775</v>
      </c>
      <c r="B4517" s="20" t="str">
        <f>HYPERLINK("https://twitter.com/SHIELD73","@SHIELD73")</f>
        <v>@SHIELD73</v>
      </c>
      <c r="C4517" s="21" t="s">
        <v>10406</v>
      </c>
      <c r="D4517" s="21" t="s">
        <v>10277</v>
      </c>
      <c r="E4517" s="22" t="str">
        <f>HYPERLINK("https://twitter.com/SHIELD73/status/922460980822593536","922460980822593536")</f>
        <v>922460980822593536</v>
      </c>
      <c r="F4517" s="23" t="s">
        <v>39</v>
      </c>
      <c r="G4517" s="24">
        <v>4023.0</v>
      </c>
      <c r="H4517" s="24">
        <v>3794.0</v>
      </c>
      <c r="I4517" s="24">
        <v>2.0</v>
      </c>
      <c r="J4517" s="24">
        <v>0.0</v>
      </c>
      <c r="K4517" s="23" t="s">
        <v>34</v>
      </c>
      <c r="L4517" s="25">
        <v>40425.51122685185</v>
      </c>
      <c r="M4517" s="26" t="s">
        <v>10407</v>
      </c>
      <c r="N4517" s="26" t="s">
        <v>10408</v>
      </c>
      <c r="O4517" s="22" t="str">
        <f>HYPERLINK("https://pbs.twimg.com/profile_images/906547228759568384/nWVM-u3Z_normal.jpg","View")</f>
        <v>View</v>
      </c>
      <c r="P4517" s="27"/>
    </row>
    <row r="4518">
      <c r="A4518" s="14">
        <v>43031.28722222222</v>
      </c>
      <c r="B4518" s="20" t="str">
        <f>HYPERLINK("https://twitter.com/fingeritis","@fingeritis")</f>
        <v>@fingeritis</v>
      </c>
      <c r="C4518" s="21" t="s">
        <v>10409</v>
      </c>
      <c r="D4518" s="21" t="s">
        <v>42</v>
      </c>
      <c r="E4518" s="22" t="str">
        <f>HYPERLINK("https://twitter.com/fingeritis/status/922461002888757255","922461002888757255")</f>
        <v>922461002888757255</v>
      </c>
      <c r="F4518" s="23" t="s">
        <v>33</v>
      </c>
      <c r="G4518" s="24">
        <v>400.0</v>
      </c>
      <c r="H4518" s="24">
        <v>112.0</v>
      </c>
      <c r="I4518" s="24">
        <v>8501.0</v>
      </c>
      <c r="J4518" s="24">
        <v>0.0</v>
      </c>
      <c r="K4518" s="23" t="s">
        <v>34</v>
      </c>
      <c r="L4518" s="25">
        <v>41701.28392361111</v>
      </c>
      <c r="M4518" s="26" t="s">
        <v>5961</v>
      </c>
      <c r="N4518" s="26" t="s">
        <v>10410</v>
      </c>
      <c r="O4518" s="22" t="str">
        <f>HYPERLINK("https://pbs.twimg.com/profile_images/610725430643965952/WzMDrsZQ_normal.jpg","View")</f>
        <v>View</v>
      </c>
      <c r="P4518" s="27"/>
    </row>
    <row r="4519">
      <c r="A4519" s="14">
        <v>43031.287245370375</v>
      </c>
      <c r="B4519" s="20" t="str">
        <f>HYPERLINK("https://twitter.com/atindian","@atindian")</f>
        <v>@atindian</v>
      </c>
      <c r="C4519" s="21" t="s">
        <v>10411</v>
      </c>
      <c r="D4519" s="21" t="s">
        <v>42</v>
      </c>
      <c r="E4519" s="22" t="str">
        <f>HYPERLINK("https://twitter.com/atindian/status/922461011633827840","922461011633827840")</f>
        <v>922461011633827840</v>
      </c>
      <c r="F4519" s="23" t="s">
        <v>33</v>
      </c>
      <c r="G4519" s="24">
        <v>1002.0</v>
      </c>
      <c r="H4519" s="24">
        <v>263.0</v>
      </c>
      <c r="I4519" s="24">
        <v>8501.0</v>
      </c>
      <c r="J4519" s="24">
        <v>0.0</v>
      </c>
      <c r="K4519" s="23" t="s">
        <v>34</v>
      </c>
      <c r="L4519" s="25">
        <v>40199.066932870366</v>
      </c>
      <c r="M4519" s="28"/>
      <c r="N4519" s="26" t="s">
        <v>10412</v>
      </c>
      <c r="O4519" s="22" t="str">
        <f>HYPERLINK("https://pbs.twimg.com/profile_images/700586892463468544/i3Mu_6To_normal.jpg","View")</f>
        <v>View</v>
      </c>
      <c r="P4519" s="27"/>
    </row>
    <row r="4520">
      <c r="A4520" s="14">
        <v>43031.287268518514</v>
      </c>
      <c r="B4520" s="20" t="str">
        <f>HYPERLINK("https://twitter.com/vicenews","@vicenews")</f>
        <v>@vicenews</v>
      </c>
      <c r="C4520" s="21" t="s">
        <v>10413</v>
      </c>
      <c r="D4520" s="21" t="s">
        <v>10414</v>
      </c>
      <c r="E4520" s="22" t="str">
        <f>HYPERLINK("https://twitter.com/vicenews/status/922461022782476289","922461022782476289")</f>
        <v>922461022782476289</v>
      </c>
      <c r="F4520" s="23" t="s">
        <v>10415</v>
      </c>
      <c r="G4520" s="24">
        <v>849137.0</v>
      </c>
      <c r="H4520" s="24">
        <v>569.0</v>
      </c>
      <c r="I4520" s="24">
        <v>16.0</v>
      </c>
      <c r="J4520" s="24">
        <v>20.0</v>
      </c>
      <c r="K4520" s="23" t="s">
        <v>34</v>
      </c>
      <c r="L4520" s="25">
        <v>41484.44454861111</v>
      </c>
      <c r="M4520" s="28"/>
      <c r="N4520" s="26" t="s">
        <v>10416</v>
      </c>
      <c r="O4520" s="22" t="str">
        <f>HYPERLINK("https://pbs.twimg.com/profile_images/785208513177985024/Guc3ohmz_normal.jpg","View")</f>
        <v>View</v>
      </c>
      <c r="P4520" s="27"/>
    </row>
    <row r="4521">
      <c r="A4521" s="14">
        <v>43031.28733796296</v>
      </c>
      <c r="B4521" s="20" t="str">
        <f>HYPERLINK("https://twitter.com/k1Np0k","@k1Np0k")</f>
        <v>@k1Np0k</v>
      </c>
      <c r="C4521" s="21" t="s">
        <v>10417</v>
      </c>
      <c r="D4521" s="21" t="s">
        <v>10370</v>
      </c>
      <c r="E4521" s="22" t="str">
        <f>HYPERLINK("https://twitter.com/k1Np0k/status/922461045746053120","922461045746053120")</f>
        <v>922461045746053120</v>
      </c>
      <c r="F4521" s="23" t="s">
        <v>33</v>
      </c>
      <c r="G4521" s="24">
        <v>201.0</v>
      </c>
      <c r="H4521" s="24">
        <v>323.0</v>
      </c>
      <c r="I4521" s="24">
        <v>10.0</v>
      </c>
      <c r="J4521" s="24">
        <v>0.0</v>
      </c>
      <c r="K4521" s="23" t="s">
        <v>34</v>
      </c>
      <c r="L4521" s="25">
        <v>42891.866388888884</v>
      </c>
      <c r="M4521" s="28"/>
      <c r="N4521" s="26" t="s">
        <v>10418</v>
      </c>
      <c r="O4521" s="22" t="str">
        <f>HYPERLINK("https://pbs.twimg.com/profile_images/917296395018629120/5P8S9F1q_normal.jpg","View")</f>
        <v>View</v>
      </c>
      <c r="P4521" s="27"/>
    </row>
    <row r="4522">
      <c r="A4522" s="14">
        <v>43031.28736111111</v>
      </c>
      <c r="B4522" s="20" t="str">
        <f>HYPERLINK("https://twitter.com/im_Guru_","@im_Guru_")</f>
        <v>@im_Guru_</v>
      </c>
      <c r="C4522" s="21" t="s">
        <v>10419</v>
      </c>
      <c r="D4522" s="21" t="s">
        <v>42</v>
      </c>
      <c r="E4522" s="22" t="str">
        <f>HYPERLINK("https://twitter.com/im_Guru_/status/922461052398219266","922461052398219266")</f>
        <v>922461052398219266</v>
      </c>
      <c r="F4522" s="23" t="s">
        <v>33</v>
      </c>
      <c r="G4522" s="24">
        <v>1160.0</v>
      </c>
      <c r="H4522" s="24">
        <v>1003.0</v>
      </c>
      <c r="I4522" s="24">
        <v>8501.0</v>
      </c>
      <c r="J4522" s="24">
        <v>0.0</v>
      </c>
      <c r="K4522" s="23" t="s">
        <v>34</v>
      </c>
      <c r="L4522" s="25">
        <v>42031.239328703705</v>
      </c>
      <c r="M4522" s="26" t="s">
        <v>2020</v>
      </c>
      <c r="N4522" s="26" t="s">
        <v>10420</v>
      </c>
      <c r="O4522" s="22" t="str">
        <f>HYPERLINK("https://pbs.twimg.com/profile_images/915856872581644293/4AogmL_S_normal.jpg","View")</f>
        <v>View</v>
      </c>
      <c r="P4522" s="27"/>
    </row>
    <row r="4523">
      <c r="A4523" s="14">
        <v>43031.28741898148</v>
      </c>
      <c r="B4523" s="20" t="str">
        <f>HYPERLINK("https://twitter.com/RohitSh66000196","@RohitSh66000196")</f>
        <v>@RohitSh66000196</v>
      </c>
      <c r="C4523" s="21" t="s">
        <v>4499</v>
      </c>
      <c r="D4523" s="21" t="s">
        <v>42</v>
      </c>
      <c r="E4523" s="22" t="str">
        <f>HYPERLINK("https://twitter.com/RohitSh66000196/status/922461074296750080","922461074296750080")</f>
        <v>922461074296750080</v>
      </c>
      <c r="F4523" s="23" t="s">
        <v>33</v>
      </c>
      <c r="G4523" s="24">
        <v>10.0</v>
      </c>
      <c r="H4523" s="24">
        <v>30.0</v>
      </c>
      <c r="I4523" s="24">
        <v>8501.0</v>
      </c>
      <c r="J4523" s="24">
        <v>0.0</v>
      </c>
      <c r="K4523" s="23" t="s">
        <v>34</v>
      </c>
      <c r="L4523" s="25">
        <v>42961.2972337963</v>
      </c>
      <c r="M4523" s="28"/>
      <c r="N4523" s="26" t="s">
        <v>10421</v>
      </c>
      <c r="O4523" s="22" t="str">
        <f>HYPERLINK("https://pbs.twimg.com/profile_images/898102152349888512/z9P6oVjv_normal.jpg","View")</f>
        <v>View</v>
      </c>
      <c r="P4523" s="27"/>
    </row>
    <row r="4524">
      <c r="A4524" s="14">
        <v>43031.28770833333</v>
      </c>
      <c r="B4524" s="20" t="str">
        <f>HYPERLINK("https://twitter.com/AnuleshD","@AnuleshD")</f>
        <v>@AnuleshD</v>
      </c>
      <c r="C4524" s="21" t="s">
        <v>10422</v>
      </c>
      <c r="D4524" s="21" t="s">
        <v>42</v>
      </c>
      <c r="E4524" s="22" t="str">
        <f>HYPERLINK("https://twitter.com/AnuleshD/status/922461179028504581","922461179028504581")</f>
        <v>922461179028504581</v>
      </c>
      <c r="F4524" s="23" t="s">
        <v>33</v>
      </c>
      <c r="G4524" s="24">
        <v>49.0</v>
      </c>
      <c r="H4524" s="24">
        <v>168.0</v>
      </c>
      <c r="I4524" s="24">
        <v>8501.0</v>
      </c>
      <c r="J4524" s="24">
        <v>0.0</v>
      </c>
      <c r="K4524" s="23" t="s">
        <v>34</v>
      </c>
      <c r="L4524" s="25">
        <v>43020.20743055556</v>
      </c>
      <c r="M4524" s="28"/>
      <c r="N4524" s="26" t="s">
        <v>10423</v>
      </c>
      <c r="O4524" s="22" t="str">
        <f>HYPERLINK("https://pbs.twimg.com/profile_images/921912011197259776/wW0UMtkF_normal.jpg","View")</f>
        <v>View</v>
      </c>
      <c r="P4524" s="27"/>
    </row>
    <row r="4525">
      <c r="A4525" s="14">
        <v>43031.287766203706</v>
      </c>
      <c r="B4525" s="20" t="str">
        <f>HYPERLINK("https://twitter.com/VikashTheist","@VikashTheist")</f>
        <v>@VikashTheist</v>
      </c>
      <c r="C4525" s="21" t="s">
        <v>10424</v>
      </c>
      <c r="D4525" s="21" t="s">
        <v>42</v>
      </c>
      <c r="E4525" s="22" t="str">
        <f>HYPERLINK("https://twitter.com/VikashTheist/status/922461201358974976","922461201358974976")</f>
        <v>922461201358974976</v>
      </c>
      <c r="F4525" s="23" t="s">
        <v>39</v>
      </c>
      <c r="G4525" s="24">
        <v>101.0</v>
      </c>
      <c r="H4525" s="24">
        <v>442.0</v>
      </c>
      <c r="I4525" s="24">
        <v>8501.0</v>
      </c>
      <c r="J4525" s="24">
        <v>0.0</v>
      </c>
      <c r="K4525" s="23" t="s">
        <v>34</v>
      </c>
      <c r="L4525" s="25">
        <v>41491.32203703704</v>
      </c>
      <c r="M4525" s="26" t="s">
        <v>246</v>
      </c>
      <c r="N4525" s="26" t="s">
        <v>10425</v>
      </c>
      <c r="O4525" s="22" t="str">
        <f>HYPERLINK("https://pbs.twimg.com/profile_images/897324608155668480/Ux3bBgOR_normal.jpg","View")</f>
        <v>View</v>
      </c>
      <c r="P4525" s="27"/>
    </row>
    <row r="4526">
      <c r="A4526" s="14">
        <v>43031.28784722222</v>
      </c>
      <c r="B4526" s="20" t="str">
        <f>HYPERLINK("https://twitter.com/goggabachchan","@goggabachchan")</f>
        <v>@goggabachchan</v>
      </c>
      <c r="C4526" s="21" t="s">
        <v>10426</v>
      </c>
      <c r="D4526" s="21" t="s">
        <v>42</v>
      </c>
      <c r="E4526" s="22" t="str">
        <f>HYPERLINK("https://twitter.com/goggabachchan/status/922461228907110400","922461228907110400")</f>
        <v>922461228907110400</v>
      </c>
      <c r="F4526" s="23" t="s">
        <v>33</v>
      </c>
      <c r="G4526" s="24">
        <v>1895.0</v>
      </c>
      <c r="H4526" s="24">
        <v>646.0</v>
      </c>
      <c r="I4526" s="24">
        <v>8501.0</v>
      </c>
      <c r="J4526" s="24">
        <v>0.0</v>
      </c>
      <c r="K4526" s="23" t="s">
        <v>34</v>
      </c>
      <c r="L4526" s="25">
        <v>40024.43487268519</v>
      </c>
      <c r="M4526" s="26" t="s">
        <v>204</v>
      </c>
      <c r="N4526" s="26" t="s">
        <v>10427</v>
      </c>
      <c r="O4526" s="22" t="str">
        <f>HYPERLINK("https://pbs.twimg.com/profile_images/881559932981583873/ifuOa-Xs_normal.jpg","View")</f>
        <v>View</v>
      </c>
      <c r="P4526" s="27"/>
    </row>
    <row r="4527">
      <c r="A4527" s="14">
        <v>43031.287870370375</v>
      </c>
      <c r="B4527" s="20" t="str">
        <f>HYPERLINK("https://twitter.com/JogendraKashya5","@JogendraKashya5")</f>
        <v>@JogendraKashya5</v>
      </c>
      <c r="C4527" s="21" t="s">
        <v>10428</v>
      </c>
      <c r="D4527" s="21" t="s">
        <v>42</v>
      </c>
      <c r="E4527" s="22" t="str">
        <f>HYPERLINK("https://twitter.com/JogendraKashya5/status/922461240512802816","922461240512802816")</f>
        <v>922461240512802816</v>
      </c>
      <c r="F4527" s="23" t="s">
        <v>33</v>
      </c>
      <c r="G4527" s="24">
        <v>15.0</v>
      </c>
      <c r="H4527" s="24">
        <v>490.0</v>
      </c>
      <c r="I4527" s="24">
        <v>8501.0</v>
      </c>
      <c r="J4527" s="24">
        <v>0.0</v>
      </c>
      <c r="K4527" s="23" t="s">
        <v>34</v>
      </c>
      <c r="L4527" s="25">
        <v>43006.89804398148</v>
      </c>
      <c r="M4527" s="26" t="s">
        <v>227</v>
      </c>
      <c r="N4527" s="26" t="s">
        <v>10429</v>
      </c>
      <c r="O4527" s="22" t="str">
        <f>HYPERLINK("https://pbs.twimg.com/profile_images/917724689975328768/Dlaa8XWS_normal.jpg","View")</f>
        <v>View</v>
      </c>
      <c r="P4527" s="27"/>
    </row>
    <row r="4528">
      <c r="A4528" s="14">
        <v>43031.287881944445</v>
      </c>
      <c r="B4528" s="20" t="str">
        <f>HYPERLINK("https://twitter.com/prabhashashi","@prabhashashi")</f>
        <v>@prabhashashi</v>
      </c>
      <c r="C4528" s="21" t="s">
        <v>10430</v>
      </c>
      <c r="D4528" s="21" t="s">
        <v>42</v>
      </c>
      <c r="E4528" s="22" t="str">
        <f>HYPERLINK("https://twitter.com/prabhashashi/status/922461244023455744","922461244023455744")</f>
        <v>922461244023455744</v>
      </c>
      <c r="F4528" s="23" t="s">
        <v>39</v>
      </c>
      <c r="G4528" s="24">
        <v>126.0</v>
      </c>
      <c r="H4528" s="24">
        <v>397.0</v>
      </c>
      <c r="I4528" s="24">
        <v>8501.0</v>
      </c>
      <c r="J4528" s="24">
        <v>0.0</v>
      </c>
      <c r="K4528" s="23" t="s">
        <v>34</v>
      </c>
      <c r="L4528" s="25">
        <v>40255.01515046296</v>
      </c>
      <c r="M4528" s="28"/>
      <c r="N4528" s="28"/>
      <c r="O4528" s="22" t="str">
        <f>HYPERLINK("https://pbs.twimg.com/profile_images/813352447158591488/qNL81ZFp_normal.jpg","View")</f>
        <v>View</v>
      </c>
      <c r="P4528" s="27"/>
    </row>
    <row r="4529">
      <c r="A4529" s="14">
        <v>43031.28796296296</v>
      </c>
      <c r="B4529" s="20" t="str">
        <f>HYPERLINK("https://twitter.com/Chopsyturvey","@Chopsyturvey")</f>
        <v>@Chopsyturvey</v>
      </c>
      <c r="C4529" s="21" t="s">
        <v>10431</v>
      </c>
      <c r="D4529" s="21" t="s">
        <v>42</v>
      </c>
      <c r="E4529" s="22" t="str">
        <f>HYPERLINK("https://twitter.com/Chopsyturvey/status/922461270716030976","922461270716030976")</f>
        <v>922461270716030976</v>
      </c>
      <c r="F4529" s="23" t="s">
        <v>55</v>
      </c>
      <c r="G4529" s="24">
        <v>15311.0</v>
      </c>
      <c r="H4529" s="24">
        <v>1043.0</v>
      </c>
      <c r="I4529" s="24">
        <v>8501.0</v>
      </c>
      <c r="J4529" s="24">
        <v>0.0</v>
      </c>
      <c r="K4529" s="23" t="s">
        <v>34</v>
      </c>
      <c r="L4529" s="25">
        <v>40822.48538194445</v>
      </c>
      <c r="M4529" s="28"/>
      <c r="N4529" s="26" t="s">
        <v>10432</v>
      </c>
      <c r="O4529" s="22" t="str">
        <f>HYPERLINK("https://pbs.twimg.com/profile_images/500168169571360768/gxfF2YLM_normal.jpeg","View")</f>
        <v>View</v>
      </c>
      <c r="P4529" s="27"/>
    </row>
    <row r="4530">
      <c r="A4530" s="14">
        <v>43031.28811342592</v>
      </c>
      <c r="B4530" s="20" t="str">
        <f>HYPERLINK("https://twitter.com/kininattanews","@kininattanews")</f>
        <v>@kininattanews</v>
      </c>
      <c r="C4530" s="21" t="s">
        <v>10433</v>
      </c>
      <c r="D4530" s="21" t="s">
        <v>740</v>
      </c>
      <c r="E4530" s="22" t="str">
        <f>HYPERLINK("https://twitter.com/kininattanews/status/922461326248517633","922461326248517633")</f>
        <v>922461326248517633</v>
      </c>
      <c r="F4530" s="23" t="s">
        <v>33</v>
      </c>
      <c r="G4530" s="24">
        <v>423.0</v>
      </c>
      <c r="H4530" s="24">
        <v>823.0</v>
      </c>
      <c r="I4530" s="24">
        <v>87.0</v>
      </c>
      <c r="J4530" s="24">
        <v>0.0</v>
      </c>
      <c r="K4530" s="23" t="s">
        <v>34</v>
      </c>
      <c r="L4530" s="25">
        <v>41161.81182870371</v>
      </c>
      <c r="M4530" s="28"/>
      <c r="N4530" s="26" t="s">
        <v>10434</v>
      </c>
      <c r="O4530" s="22" t="str">
        <f>HYPERLINK("https://pbs.twimg.com/profile_images/2594703961/c9f9df49_normal.jpg","View")</f>
        <v>View</v>
      </c>
      <c r="P4530" s="27"/>
    </row>
    <row r="4531">
      <c r="A4531" s="14">
        <v>43031.28811342592</v>
      </c>
      <c r="B4531" s="20" t="str">
        <f>HYPERLINK("https://twitter.com/MyAlliesNews","@MyAlliesNews")</f>
        <v>@MyAlliesNews</v>
      </c>
      <c r="C4531" s="21" t="s">
        <v>253</v>
      </c>
      <c r="D4531" s="21" t="s">
        <v>10435</v>
      </c>
      <c r="E4531" s="22" t="str">
        <f>HYPERLINK("https://twitter.com/MyAlliesNews/status/922461327976779776","922461327976779776")</f>
        <v>922461327976779776</v>
      </c>
      <c r="F4531" s="23" t="s">
        <v>255</v>
      </c>
      <c r="G4531" s="24">
        <v>569.0</v>
      </c>
      <c r="H4531" s="24">
        <v>0.0</v>
      </c>
      <c r="I4531" s="24">
        <v>0.0</v>
      </c>
      <c r="J4531" s="24">
        <v>0.0</v>
      </c>
      <c r="K4531" s="23" t="s">
        <v>34</v>
      </c>
      <c r="L4531" s="25">
        <v>41717.317083333335</v>
      </c>
      <c r="M4531" s="28"/>
      <c r="N4531" s="26" t="s">
        <v>256</v>
      </c>
      <c r="O4531" s="22" t="str">
        <f>HYPERLINK("https://pbs.twimg.com/profile_images/577892873095401473/dP2JPlyp_normal.png","View")</f>
        <v>View</v>
      </c>
      <c r="P4531" s="27"/>
    </row>
    <row r="4532">
      <c r="A4532" s="14">
        <v>43031.28818287037</v>
      </c>
      <c r="B4532" s="20" t="str">
        <f>HYPERLINK("https://twitter.com/Psychoinsane","@Psychoinsane")</f>
        <v>@Psychoinsane</v>
      </c>
      <c r="C4532" s="21" t="s">
        <v>10436</v>
      </c>
      <c r="D4532" s="21" t="s">
        <v>10437</v>
      </c>
      <c r="E4532" s="22" t="str">
        <f>HYPERLINK("https://twitter.com/Psychoinsane/status/922461353129988096","922461353129988096")</f>
        <v>922461353129988096</v>
      </c>
      <c r="F4532" s="23" t="s">
        <v>33</v>
      </c>
      <c r="G4532" s="24">
        <v>60.0</v>
      </c>
      <c r="H4532" s="24">
        <v>130.0</v>
      </c>
      <c r="I4532" s="24">
        <v>16.0</v>
      </c>
      <c r="J4532" s="24">
        <v>0.0</v>
      </c>
      <c r="K4532" s="23" t="s">
        <v>34</v>
      </c>
      <c r="L4532" s="25">
        <v>39869.635775462964</v>
      </c>
      <c r="M4532" s="26" t="s">
        <v>10438</v>
      </c>
      <c r="N4532" s="28"/>
      <c r="O4532" s="22" t="str">
        <f>HYPERLINK("https://pbs.twimg.com/profile_images/862221318858657792/BAs251OT_normal.jpg","View")</f>
        <v>View</v>
      </c>
      <c r="P4532" s="27"/>
    </row>
    <row r="4533">
      <c r="A4533" s="14">
        <v>43031.28821759259</v>
      </c>
      <c r="B4533" s="20" t="str">
        <f>HYPERLINK("https://twitter.com/FourStarNews","@FourStarNews")</f>
        <v>@FourStarNews</v>
      </c>
      <c r="C4533" s="21" t="s">
        <v>10439</v>
      </c>
      <c r="D4533" s="21" t="s">
        <v>10440</v>
      </c>
      <c r="E4533" s="22" t="str">
        <f>HYPERLINK("https://twitter.com/FourStarNews/status/922461364660076544","922461364660076544")</f>
        <v>922461364660076544</v>
      </c>
      <c r="F4533" s="23" t="s">
        <v>427</v>
      </c>
      <c r="G4533" s="24">
        <v>2584.0</v>
      </c>
      <c r="H4533" s="24">
        <v>878.0</v>
      </c>
      <c r="I4533" s="24">
        <v>1.0</v>
      </c>
      <c r="J4533" s="24">
        <v>0.0</v>
      </c>
      <c r="K4533" s="23" t="s">
        <v>34</v>
      </c>
      <c r="L4533" s="25">
        <v>42647.71739583333</v>
      </c>
      <c r="M4533" s="26" t="s">
        <v>1024</v>
      </c>
      <c r="N4533" s="26" t="s">
        <v>10441</v>
      </c>
      <c r="O4533" s="22" t="str">
        <f>HYPERLINK("https://pbs.twimg.com/profile_images/922521143700897793/qHtuo440_normal.jpg","View")</f>
        <v>View</v>
      </c>
      <c r="P4533" s="27"/>
    </row>
    <row r="4534">
      <c r="A4534" s="14">
        <v>43031.28841435185</v>
      </c>
      <c r="B4534" s="20" t="str">
        <f>HYPERLINK("https://twitter.com/akashchsinha","@akashchsinha")</f>
        <v>@akashchsinha</v>
      </c>
      <c r="C4534" s="21" t="s">
        <v>10442</v>
      </c>
      <c r="D4534" s="21" t="s">
        <v>42</v>
      </c>
      <c r="E4534" s="22" t="str">
        <f>HYPERLINK("https://twitter.com/akashchsinha/status/922461434818191360","922461434818191360")</f>
        <v>922461434818191360</v>
      </c>
      <c r="F4534" s="23" t="s">
        <v>33</v>
      </c>
      <c r="G4534" s="24">
        <v>13.0</v>
      </c>
      <c r="H4534" s="24">
        <v>96.0</v>
      </c>
      <c r="I4534" s="24">
        <v>8501.0</v>
      </c>
      <c r="J4534" s="24">
        <v>0.0</v>
      </c>
      <c r="K4534" s="23" t="s">
        <v>34</v>
      </c>
      <c r="L4534" s="25">
        <v>41781.80951388889</v>
      </c>
      <c r="M4534" s="26" t="s">
        <v>10443</v>
      </c>
      <c r="N4534" s="26" t="s">
        <v>10444</v>
      </c>
      <c r="O4534" s="22" t="str">
        <f>HYPERLINK("https://pbs.twimg.com/profile_images/880382008072871941/-MgDq05J_normal.jpg","View")</f>
        <v>View</v>
      </c>
      <c r="P4534" s="27"/>
    </row>
    <row r="4535">
      <c r="A4535" s="14">
        <v>43031.28846064815</v>
      </c>
      <c r="B4535" s="20" t="str">
        <f>HYPERLINK("https://twitter.com/ArVr9","@ArVr9")</f>
        <v>@ArVr9</v>
      </c>
      <c r="C4535" s="21" t="s">
        <v>10445</v>
      </c>
      <c r="D4535" s="21" t="s">
        <v>42</v>
      </c>
      <c r="E4535" s="22" t="str">
        <f>HYPERLINK("https://twitter.com/ArVr9/status/922461450966392832","922461450966392832")</f>
        <v>922461450966392832</v>
      </c>
      <c r="F4535" s="23" t="s">
        <v>33</v>
      </c>
      <c r="G4535" s="24">
        <v>1892.0</v>
      </c>
      <c r="H4535" s="24">
        <v>2732.0</v>
      </c>
      <c r="I4535" s="24">
        <v>8501.0</v>
      </c>
      <c r="J4535" s="24">
        <v>0.0</v>
      </c>
      <c r="K4535" s="23" t="s">
        <v>34</v>
      </c>
      <c r="L4535" s="25">
        <v>41651.868101851855</v>
      </c>
      <c r="M4535" s="26" t="s">
        <v>10446</v>
      </c>
      <c r="N4535" s="26" t="s">
        <v>10447</v>
      </c>
      <c r="O4535" s="22" t="str">
        <f>HYPERLINK("https://pbs.twimg.com/profile_images/681804535812231168/F5PD9703_normal.jpg","View")</f>
        <v>View</v>
      </c>
      <c r="P4535" s="27"/>
    </row>
    <row r="4536">
      <c r="A4536" s="14">
        <v>43031.28858796296</v>
      </c>
      <c r="B4536" s="20" t="str">
        <f>HYPERLINK("https://twitter.com/deepakrathor1","@deepakrathor1")</f>
        <v>@deepakrathor1</v>
      </c>
      <c r="C4536" s="21" t="s">
        <v>10448</v>
      </c>
      <c r="D4536" s="21" t="s">
        <v>42</v>
      </c>
      <c r="E4536" s="22" t="str">
        <f>HYPERLINK("https://twitter.com/deepakrathor1/status/922461496969273346","922461496969273346")</f>
        <v>922461496969273346</v>
      </c>
      <c r="F4536" s="23" t="s">
        <v>33</v>
      </c>
      <c r="G4536" s="24">
        <v>82.0</v>
      </c>
      <c r="H4536" s="24">
        <v>503.0</v>
      </c>
      <c r="I4536" s="24">
        <v>8501.0</v>
      </c>
      <c r="J4536" s="24">
        <v>0.0</v>
      </c>
      <c r="K4536" s="23" t="s">
        <v>34</v>
      </c>
      <c r="L4536" s="25">
        <v>40889.095046296294</v>
      </c>
      <c r="M4536" s="26" t="s">
        <v>10449</v>
      </c>
      <c r="N4536" s="28"/>
      <c r="O4536" s="22" t="str">
        <f>HYPERLINK("https://pbs.twimg.com/profile_images/844530588606332929/mnjmXaCh_normal.jpg","View")</f>
        <v>View</v>
      </c>
      <c r="P4536" s="27"/>
    </row>
    <row r="4537">
      <c r="A4537" s="14">
        <v>43031.28858796296</v>
      </c>
      <c r="B4537" s="20" t="str">
        <f>HYPERLINK("https://twitter.com/AshokKu77540780","@AshokKu77540780")</f>
        <v>@AshokKu77540780</v>
      </c>
      <c r="C4537" s="21" t="s">
        <v>10450</v>
      </c>
      <c r="D4537" s="21" t="s">
        <v>42</v>
      </c>
      <c r="E4537" s="22" t="str">
        <f>HYPERLINK("https://twitter.com/AshokKu77540780/status/922461498156269569","922461498156269569")</f>
        <v>922461498156269569</v>
      </c>
      <c r="F4537" s="23" t="s">
        <v>33</v>
      </c>
      <c r="G4537" s="24">
        <v>13.0</v>
      </c>
      <c r="H4537" s="24">
        <v>12.0</v>
      </c>
      <c r="I4537" s="24">
        <v>8501.0</v>
      </c>
      <c r="J4537" s="24">
        <v>0.0</v>
      </c>
      <c r="K4537" s="23" t="s">
        <v>34</v>
      </c>
      <c r="L4537" s="25">
        <v>42333.70175925926</v>
      </c>
      <c r="M4537" s="26" t="s">
        <v>10451</v>
      </c>
      <c r="N4537" s="26" t="s">
        <v>815</v>
      </c>
      <c r="O4537" s="22" t="str">
        <f>HYPERLINK("https://pbs.twimg.com/profile_images/922493626084552707/ExEH1S56_normal.jpg","View")</f>
        <v>View</v>
      </c>
      <c r="P4537" s="27"/>
    </row>
    <row r="4538">
      <c r="A4538" s="14">
        <v>43031.28863425926</v>
      </c>
      <c r="B4538" s="20" t="str">
        <f>HYPERLINK("https://twitter.com/kunwaramega","@kunwaramega")</f>
        <v>@kunwaramega</v>
      </c>
      <c r="C4538" s="21" t="s">
        <v>10452</v>
      </c>
      <c r="D4538" s="21" t="s">
        <v>42</v>
      </c>
      <c r="E4538" s="22" t="str">
        <f>HYPERLINK("https://twitter.com/kunwaramega/status/922461517215277056","922461517215277056")</f>
        <v>922461517215277056</v>
      </c>
      <c r="F4538" s="23" t="s">
        <v>43</v>
      </c>
      <c r="G4538" s="24">
        <v>2.0</v>
      </c>
      <c r="H4538" s="24">
        <v>90.0</v>
      </c>
      <c r="I4538" s="24">
        <v>8501.0</v>
      </c>
      <c r="J4538" s="24">
        <v>0.0</v>
      </c>
      <c r="K4538" s="23" t="s">
        <v>34</v>
      </c>
      <c r="L4538" s="25">
        <v>41263.444386574076</v>
      </c>
      <c r="M4538" s="26" t="s">
        <v>10453</v>
      </c>
      <c r="N4538" s="26" t="s">
        <v>10454</v>
      </c>
      <c r="O4538" s="22" t="str">
        <f>HYPERLINK("https://pbs.twimg.com/profile_images/903494829639835651/Dw6fICXA_normal.jpg","View")</f>
        <v>View</v>
      </c>
      <c r="P4538" s="27"/>
    </row>
    <row r="4539">
      <c r="A4539" s="14">
        <v>43031.288773148146</v>
      </c>
      <c r="B4539" s="20" t="str">
        <f>HYPERLINK("https://twitter.com/brandonsdoomed","@brandonsdoomed")</f>
        <v>@brandonsdoomed</v>
      </c>
      <c r="C4539" s="21" t="s">
        <v>6513</v>
      </c>
      <c r="D4539" s="21" t="s">
        <v>2595</v>
      </c>
      <c r="E4539" s="22" t="str">
        <f>HYPERLINK("https://twitter.com/brandonsdoomed/status/922461566930509830","922461566930509830")</f>
        <v>922461566930509830</v>
      </c>
      <c r="F4539" s="23" t="s">
        <v>39</v>
      </c>
      <c r="G4539" s="24">
        <v>936.0</v>
      </c>
      <c r="H4539" s="24">
        <v>172.0</v>
      </c>
      <c r="I4539" s="24">
        <v>170.0</v>
      </c>
      <c r="J4539" s="24">
        <v>0.0</v>
      </c>
      <c r="K4539" s="23" t="s">
        <v>34</v>
      </c>
      <c r="L4539" s="25">
        <v>41347.56896990741</v>
      </c>
      <c r="M4539" s="26" t="s">
        <v>10455</v>
      </c>
      <c r="N4539" s="26" t="s">
        <v>10456</v>
      </c>
      <c r="O4539" s="22" t="str">
        <f>HYPERLINK("https://pbs.twimg.com/profile_images/813238089791455236/fl-aMTSp_normal.jpg","View")</f>
        <v>View</v>
      </c>
      <c r="P4539" s="27"/>
    </row>
    <row r="4540">
      <c r="A4540" s="14">
        <v>43031.2887962963</v>
      </c>
      <c r="B4540" s="20" t="str">
        <f>HYPERLINK("https://twitter.com/shriram2111","@shriram2111")</f>
        <v>@shriram2111</v>
      </c>
      <c r="C4540" s="21" t="s">
        <v>10457</v>
      </c>
      <c r="D4540" s="21" t="s">
        <v>42</v>
      </c>
      <c r="E4540" s="22" t="str">
        <f>HYPERLINK("https://twitter.com/shriram2111/status/922461574077472769","922461574077472769")</f>
        <v>922461574077472769</v>
      </c>
      <c r="F4540" s="23" t="s">
        <v>39</v>
      </c>
      <c r="G4540" s="24">
        <v>96.0</v>
      </c>
      <c r="H4540" s="24">
        <v>557.0</v>
      </c>
      <c r="I4540" s="24">
        <v>8501.0</v>
      </c>
      <c r="J4540" s="24">
        <v>0.0</v>
      </c>
      <c r="K4540" s="23" t="s">
        <v>34</v>
      </c>
      <c r="L4540" s="25">
        <v>39567.21381944444</v>
      </c>
      <c r="M4540" s="26" t="s">
        <v>10458</v>
      </c>
      <c r="N4540" s="28"/>
      <c r="O4540" s="22" t="str">
        <f>HYPERLINK("https://pbs.twimg.com/profile_images/772719094936338432/juPZ48hj_normal.jpg","View")</f>
        <v>View</v>
      </c>
      <c r="P4540" s="27"/>
    </row>
    <row r="4541">
      <c r="A4541" s="14">
        <v>43031.288865740746</v>
      </c>
      <c r="B4541" s="20" t="str">
        <f>HYPERLINK("https://twitter.com/jupiter1186","@jupiter1186")</f>
        <v>@jupiter1186</v>
      </c>
      <c r="C4541" s="21" t="s">
        <v>10459</v>
      </c>
      <c r="D4541" s="21" t="s">
        <v>10437</v>
      </c>
      <c r="E4541" s="22" t="str">
        <f>HYPERLINK("https://twitter.com/jupiter1186/status/922461599981375488","922461599981375488")</f>
        <v>922461599981375488</v>
      </c>
      <c r="F4541" s="23" t="s">
        <v>33</v>
      </c>
      <c r="G4541" s="24">
        <v>1359.0</v>
      </c>
      <c r="H4541" s="24">
        <v>4155.0</v>
      </c>
      <c r="I4541" s="24">
        <v>16.0</v>
      </c>
      <c r="J4541" s="24">
        <v>0.0</v>
      </c>
      <c r="K4541" s="23" t="s">
        <v>34</v>
      </c>
      <c r="L4541" s="25">
        <v>41748.48876157407</v>
      </c>
      <c r="M4541" s="28"/>
      <c r="N4541" s="28"/>
      <c r="O4541" s="22" t="str">
        <f>HYPERLINK("https://pbs.twimg.com/profile_images/481362595652186112/-7fFaVOR_normal.jpeg","View")</f>
        <v>View</v>
      </c>
      <c r="P4541" s="27"/>
    </row>
    <row r="4542">
      <c r="A4542" s="14">
        <v>43031.28901620371</v>
      </c>
      <c r="B4542" s="20" t="str">
        <f>HYPERLINK("https://twitter.com/BSAFunds","@BSAFunds")</f>
        <v>@BSAFunds</v>
      </c>
      <c r="C4542" s="21" t="s">
        <v>1248</v>
      </c>
      <c r="D4542" s="21" t="s">
        <v>10460</v>
      </c>
      <c r="E4542" s="22" t="str">
        <f>HYPERLINK("https://twitter.com/BSAFunds/status/922461654293647362","922461654293647362")</f>
        <v>922461654293647362</v>
      </c>
      <c r="F4542" s="23" t="s">
        <v>187</v>
      </c>
      <c r="G4542" s="24">
        <v>20910.0</v>
      </c>
      <c r="H4542" s="24">
        <v>8929.0</v>
      </c>
      <c r="I4542" s="24">
        <v>0.0</v>
      </c>
      <c r="J4542" s="24">
        <v>0.0</v>
      </c>
      <c r="K4542" s="23" t="s">
        <v>34</v>
      </c>
      <c r="L4542" s="25">
        <v>42601.94818287037</v>
      </c>
      <c r="M4542" s="26" t="s">
        <v>1250</v>
      </c>
      <c r="N4542" s="26" t="s">
        <v>1251</v>
      </c>
      <c r="O4542" s="22" t="str">
        <f>HYPERLINK("https://pbs.twimg.com/profile_images/912769166960033792/N4LAmrTs_normal.jpg","View")</f>
        <v>View</v>
      </c>
      <c r="P4542" s="27"/>
    </row>
    <row r="4543">
      <c r="A4543" s="14">
        <v>43031.28905092593</v>
      </c>
      <c r="B4543" s="20" t="str">
        <f>HYPERLINK("https://twitter.com/1zealnews","@1zealnews")</f>
        <v>@1zealnews</v>
      </c>
      <c r="C4543" s="21" t="s">
        <v>10461</v>
      </c>
      <c r="D4543" s="21" t="s">
        <v>10462</v>
      </c>
      <c r="E4543" s="22" t="str">
        <f>HYPERLINK("https://twitter.com/1zealnews/status/922461666083770370","922461666083770370")</f>
        <v>922461666083770370</v>
      </c>
      <c r="F4543" s="23" t="s">
        <v>187</v>
      </c>
      <c r="G4543" s="24">
        <v>13.0</v>
      </c>
      <c r="H4543" s="24">
        <v>92.0</v>
      </c>
      <c r="I4543" s="24">
        <v>0.0</v>
      </c>
      <c r="J4543" s="24">
        <v>0.0</v>
      </c>
      <c r="K4543" s="23" t="s">
        <v>34</v>
      </c>
      <c r="L4543" s="25">
        <v>42970.72134259259</v>
      </c>
      <c r="M4543" s="26" t="s">
        <v>4083</v>
      </c>
      <c r="N4543" s="26" t="s">
        <v>10463</v>
      </c>
      <c r="O4543" s="22" t="str">
        <f>HYPERLINK("https://pbs.twimg.com/profile_images/900513276852883456/xTmgmFUb_normal.jpg","View")</f>
        <v>View</v>
      </c>
      <c r="P4543" s="27"/>
    </row>
    <row r="4544">
      <c r="A4544" s="14">
        <v>43031.28910879629</v>
      </c>
      <c r="B4544" s="20" t="str">
        <f>HYPERLINK("https://twitter.com/ju3t1nz2","@ju3t1nz2")</f>
        <v>@ju3t1nz2</v>
      </c>
      <c r="C4544" s="21" t="s">
        <v>10464</v>
      </c>
      <c r="D4544" s="21" t="s">
        <v>10465</v>
      </c>
      <c r="E4544" s="22" t="str">
        <f>HYPERLINK("https://twitter.com/ju3t1nz2/status/922461689332805635","922461689332805635")</f>
        <v>922461689332805635</v>
      </c>
      <c r="F4544" s="23" t="s">
        <v>187</v>
      </c>
      <c r="G4544" s="24">
        <v>88.0</v>
      </c>
      <c r="H4544" s="24">
        <v>206.0</v>
      </c>
      <c r="I4544" s="24">
        <v>0.0</v>
      </c>
      <c r="J4544" s="24">
        <v>0.0</v>
      </c>
      <c r="K4544" s="23" t="s">
        <v>34</v>
      </c>
      <c r="L4544" s="25">
        <v>41282.51663194445</v>
      </c>
      <c r="M4544" s="26" t="s">
        <v>4920</v>
      </c>
      <c r="N4544" s="26" t="s">
        <v>10466</v>
      </c>
      <c r="O4544" s="22" t="str">
        <f>HYPERLINK("https://pbs.twimg.com/profile_images/792792725980536832/UyrMjtcE_normal.jpg","View")</f>
        <v>View</v>
      </c>
      <c r="P4544" s="27"/>
    </row>
    <row r="4545">
      <c r="A4545" s="14">
        <v>43031.28912037037</v>
      </c>
      <c r="B4545" s="20" t="str">
        <f>HYPERLINK("https://twitter.com/nextlevelplease","@nextlevelplease")</f>
        <v>@nextlevelplease</v>
      </c>
      <c r="C4545" s="21" t="s">
        <v>10467</v>
      </c>
      <c r="D4545" s="21" t="s">
        <v>7594</v>
      </c>
      <c r="E4545" s="22" t="str">
        <f>HYPERLINK("https://twitter.com/nextlevelplease/status/922461693422252032","922461693422252032")</f>
        <v>922461693422252032</v>
      </c>
      <c r="F4545" s="23" t="s">
        <v>33</v>
      </c>
      <c r="G4545" s="24">
        <v>13.0</v>
      </c>
      <c r="H4545" s="24">
        <v>127.0</v>
      </c>
      <c r="I4545" s="24">
        <v>10.0</v>
      </c>
      <c r="J4545" s="24">
        <v>0.0</v>
      </c>
      <c r="K4545" s="23" t="s">
        <v>34</v>
      </c>
      <c r="L4545" s="25">
        <v>42756.668344907404</v>
      </c>
      <c r="M4545" s="26" t="s">
        <v>10468</v>
      </c>
      <c r="N4545" s="26" t="s">
        <v>10469</v>
      </c>
      <c r="O4545" s="22" t="str">
        <f>HYPERLINK("https://pbs.twimg.com/profile_images/830164815545004033/OkB9xDD4_normal.jpg","View")</f>
        <v>View</v>
      </c>
      <c r="P4545" s="27"/>
    </row>
    <row r="4546">
      <c r="A4546" s="14">
        <v>43031.289143518516</v>
      </c>
      <c r="B4546" s="20" t="str">
        <f>HYPERLINK("https://twitter.com/sandyc1772","@sandyc1772")</f>
        <v>@sandyc1772</v>
      </c>
      <c r="C4546" s="21" t="s">
        <v>10470</v>
      </c>
      <c r="D4546" s="21" t="s">
        <v>10049</v>
      </c>
      <c r="E4546" s="22" t="str">
        <f>HYPERLINK("https://twitter.com/sandyc1772/status/922461698153467906","922461698153467906")</f>
        <v>922461698153467906</v>
      </c>
      <c r="F4546" s="23" t="s">
        <v>33</v>
      </c>
      <c r="G4546" s="24">
        <v>722.0</v>
      </c>
      <c r="H4546" s="24">
        <v>194.0</v>
      </c>
      <c r="I4546" s="24">
        <v>4.0</v>
      </c>
      <c r="J4546" s="24">
        <v>0.0</v>
      </c>
      <c r="K4546" s="23" t="s">
        <v>34</v>
      </c>
      <c r="L4546" s="25">
        <v>42412.37425925926</v>
      </c>
      <c r="M4546" s="28"/>
      <c r="N4546" s="28"/>
      <c r="O4546" s="22" t="str">
        <f>HYPERLINK("https://pbs.twimg.com/profile_images/732702453615984640/Wz20IPr3_normal.jpg","View")</f>
        <v>View</v>
      </c>
      <c r="P4546" s="27"/>
    </row>
    <row r="4547">
      <c r="A4547" s="14">
        <v>43031.289259259254</v>
      </c>
      <c r="B4547" s="20" t="str">
        <f>HYPERLINK("https://twitter.com/ShaimaAmri","@ShaimaAmri")</f>
        <v>@ShaimaAmri</v>
      </c>
      <c r="C4547" s="21" t="s">
        <v>10471</v>
      </c>
      <c r="D4547" s="21" t="s">
        <v>42</v>
      </c>
      <c r="E4547" s="22" t="str">
        <f>HYPERLINK("https://twitter.com/ShaimaAmri/status/922461742432751621","922461742432751621")</f>
        <v>922461742432751621</v>
      </c>
      <c r="F4547" s="23" t="s">
        <v>33</v>
      </c>
      <c r="G4547" s="24">
        <v>12.0</v>
      </c>
      <c r="H4547" s="24">
        <v>68.0</v>
      </c>
      <c r="I4547" s="24">
        <v>8501.0</v>
      </c>
      <c r="J4547" s="24">
        <v>0.0</v>
      </c>
      <c r="K4547" s="23" t="s">
        <v>34</v>
      </c>
      <c r="L4547" s="25">
        <v>43004.44445601852</v>
      </c>
      <c r="M4547" s="28"/>
      <c r="N4547" s="26" t="s">
        <v>10472</v>
      </c>
      <c r="O4547" s="22" t="str">
        <f>HYPERLINK("https://pbs.twimg.com/profile_images/912904090878906368/C4-VECgG_normal.jpg","View")</f>
        <v>View</v>
      </c>
      <c r="P4547" s="27"/>
    </row>
    <row r="4548">
      <c r="A4548" s="14">
        <v>43031.28939814815</v>
      </c>
      <c r="B4548" s="20" t="str">
        <f>HYPERLINK("https://twitter.com/LalitNegi20","@LalitNegi20")</f>
        <v>@LalitNegi20</v>
      </c>
      <c r="C4548" s="21" t="s">
        <v>10473</v>
      </c>
      <c r="D4548" s="21" t="s">
        <v>42</v>
      </c>
      <c r="E4548" s="22" t="str">
        <f>HYPERLINK("https://twitter.com/LalitNegi20/status/922461792982454272","922461792982454272")</f>
        <v>922461792982454272</v>
      </c>
      <c r="F4548" s="23" t="s">
        <v>33</v>
      </c>
      <c r="G4548" s="24">
        <v>41.0</v>
      </c>
      <c r="H4548" s="24">
        <v>48.0</v>
      </c>
      <c r="I4548" s="24">
        <v>8501.0</v>
      </c>
      <c r="J4548" s="24">
        <v>0.0</v>
      </c>
      <c r="K4548" s="23" t="s">
        <v>34</v>
      </c>
      <c r="L4548" s="25">
        <v>41429.48762731481</v>
      </c>
      <c r="M4548" s="26" t="s">
        <v>96</v>
      </c>
      <c r="N4548" s="26" t="s">
        <v>10474</v>
      </c>
      <c r="O4548" s="22" t="str">
        <f>HYPERLINK("https://pbs.twimg.com/profile_images/922100706345091072/-x_eBJpe_normal.jpg","View")</f>
        <v>View</v>
      </c>
      <c r="P4548" s="27"/>
    </row>
    <row r="4549">
      <c r="A4549" s="14">
        <v>43031.28940972222</v>
      </c>
      <c r="B4549" s="20" t="str">
        <f>HYPERLINK("https://twitter.com/FourStarNews","@FourStarNews")</f>
        <v>@FourStarNews</v>
      </c>
      <c r="C4549" s="21" t="s">
        <v>10439</v>
      </c>
      <c r="D4549" s="21" t="s">
        <v>10475</v>
      </c>
      <c r="E4549" s="22" t="str">
        <f>HYPERLINK("https://twitter.com/FourStarNews/status/922461794643402753","922461794643402753")</f>
        <v>922461794643402753</v>
      </c>
      <c r="F4549" s="23" t="s">
        <v>427</v>
      </c>
      <c r="G4549" s="24">
        <v>2584.0</v>
      </c>
      <c r="H4549" s="24">
        <v>878.0</v>
      </c>
      <c r="I4549" s="24">
        <v>1.0</v>
      </c>
      <c r="J4549" s="24">
        <v>0.0</v>
      </c>
      <c r="K4549" s="23" t="s">
        <v>34</v>
      </c>
      <c r="L4549" s="25">
        <v>42647.71739583333</v>
      </c>
      <c r="M4549" s="26" t="s">
        <v>1024</v>
      </c>
      <c r="N4549" s="26" t="s">
        <v>10441</v>
      </c>
      <c r="O4549" s="22" t="str">
        <f>HYPERLINK("https://pbs.twimg.com/profile_images/922521143700897793/qHtuo440_normal.jpg","View")</f>
        <v>View</v>
      </c>
      <c r="P4549" s="27"/>
    </row>
    <row r="4550">
      <c r="A4550" s="14">
        <v>43031.289606481485</v>
      </c>
      <c r="B4550" s="20" t="str">
        <f>HYPERLINK("https://twitter.com/Spitma9","@Spitma9")</f>
        <v>@Spitma9</v>
      </c>
      <c r="C4550" s="21" t="s">
        <v>10476</v>
      </c>
      <c r="D4550" s="21" t="s">
        <v>42</v>
      </c>
      <c r="E4550" s="22" t="str">
        <f>HYPERLINK("https://twitter.com/Spitma9/status/922461867791990785","922461867791990785")</f>
        <v>922461867791990785</v>
      </c>
      <c r="F4550" s="23" t="s">
        <v>33</v>
      </c>
      <c r="G4550" s="24">
        <v>243.0</v>
      </c>
      <c r="H4550" s="24">
        <v>1125.0</v>
      </c>
      <c r="I4550" s="24">
        <v>8501.0</v>
      </c>
      <c r="J4550" s="24">
        <v>0.0</v>
      </c>
      <c r="K4550" s="23" t="s">
        <v>34</v>
      </c>
      <c r="L4550" s="25">
        <v>40822.42364583333</v>
      </c>
      <c r="M4550" s="26" t="s">
        <v>10477</v>
      </c>
      <c r="N4550" s="26" t="s">
        <v>10478</v>
      </c>
      <c r="O4550" s="22" t="str">
        <f>HYPERLINK("https://pbs.twimg.com/profile_images/779616178247393280/390pDm3r_normal.jpg","View")</f>
        <v>View</v>
      </c>
      <c r="P4550" s="27"/>
    </row>
    <row r="4551">
      <c r="A4551" s="14">
        <v>43031.28964120371</v>
      </c>
      <c r="B4551" s="20" t="str">
        <f>HYPERLINK("https://twitter.com/TokyoUpdates","@TokyoUpdates")</f>
        <v>@TokyoUpdates</v>
      </c>
      <c r="C4551" s="21" t="s">
        <v>10479</v>
      </c>
      <c r="D4551" s="21" t="s">
        <v>10480</v>
      </c>
      <c r="E4551" s="22" t="str">
        <f>HYPERLINK("https://twitter.com/TokyoUpdates/status/922461880026673152","922461880026673152")</f>
        <v>922461880026673152</v>
      </c>
      <c r="F4551" s="30" t="s">
        <v>411</v>
      </c>
      <c r="G4551" s="24">
        <v>3889.0</v>
      </c>
      <c r="H4551" s="24">
        <v>3165.0</v>
      </c>
      <c r="I4551" s="24">
        <v>0.0</v>
      </c>
      <c r="J4551" s="24">
        <v>0.0</v>
      </c>
      <c r="K4551" s="23" t="s">
        <v>34</v>
      </c>
      <c r="L4551" s="25">
        <v>39991.756377314814</v>
      </c>
      <c r="M4551" s="26" t="s">
        <v>923</v>
      </c>
      <c r="N4551" s="26" t="s">
        <v>10481</v>
      </c>
      <c r="O4551" s="22" t="str">
        <f>HYPERLINK("https://pbs.twimg.com/profile_images/341007822/P1010009_normal.jpg","View")</f>
        <v>View</v>
      </c>
      <c r="P4551" s="27"/>
    </row>
    <row r="4552">
      <c r="A4552" s="14">
        <v>43031.28964120371</v>
      </c>
      <c r="B4552" s="20" t="str">
        <f>HYPERLINK("https://twitter.com/saorithemaori","@saorithemaori")</f>
        <v>@saorithemaori</v>
      </c>
      <c r="C4552" s="21" t="s">
        <v>10482</v>
      </c>
      <c r="D4552" s="21" t="s">
        <v>4001</v>
      </c>
      <c r="E4552" s="22" t="str">
        <f>HYPERLINK("https://twitter.com/saorithemaori/status/922461882279084033","922461882279084033")</f>
        <v>922461882279084033</v>
      </c>
      <c r="F4552" s="23" t="s">
        <v>39</v>
      </c>
      <c r="G4552" s="24">
        <v>133.0</v>
      </c>
      <c r="H4552" s="24">
        <v>80.0</v>
      </c>
      <c r="I4552" s="24">
        <v>58.0</v>
      </c>
      <c r="J4552" s="24">
        <v>0.0</v>
      </c>
      <c r="K4552" s="23" t="s">
        <v>34</v>
      </c>
      <c r="L4552" s="25">
        <v>40292.120891203704</v>
      </c>
      <c r="M4552" s="26" t="s">
        <v>10483</v>
      </c>
      <c r="N4552" s="26" t="s">
        <v>10484</v>
      </c>
      <c r="O4552" s="22" t="str">
        <f>HYPERLINK("https://pbs.twimg.com/profile_images/650285791462068224/iNvguqZ2_normal.jpg","View")</f>
        <v>View</v>
      </c>
      <c r="P4552" s="27"/>
    </row>
    <row r="4553">
      <c r="A4553" s="14">
        <v>43031.28966435185</v>
      </c>
      <c r="B4553" s="20" t="str">
        <f>HYPERLINK("https://twitter.com/abhichabhi","@abhichabhi")</f>
        <v>@abhichabhi</v>
      </c>
      <c r="C4553" s="21" t="s">
        <v>10485</v>
      </c>
      <c r="D4553" s="21" t="s">
        <v>42</v>
      </c>
      <c r="E4553" s="22" t="str">
        <f>HYPERLINK("https://twitter.com/abhichabhi/status/922461887064825856","922461887064825856")</f>
        <v>922461887064825856</v>
      </c>
      <c r="F4553" s="23" t="s">
        <v>33</v>
      </c>
      <c r="G4553" s="24">
        <v>39.0</v>
      </c>
      <c r="H4553" s="24">
        <v>331.0</v>
      </c>
      <c r="I4553" s="24">
        <v>8501.0</v>
      </c>
      <c r="J4553" s="24">
        <v>0.0</v>
      </c>
      <c r="K4553" s="23" t="s">
        <v>34</v>
      </c>
      <c r="L4553" s="25">
        <v>42333.93789351852</v>
      </c>
      <c r="M4553" s="28"/>
      <c r="N4553" s="26" t="s">
        <v>10486</v>
      </c>
      <c r="O4553" s="22" t="str">
        <f>HYPERLINK("https://pbs.twimg.com/profile_images/874925770602414083/JnIdSgt7_normal.jpg","View")</f>
        <v>View</v>
      </c>
      <c r="P4553" s="27"/>
    </row>
    <row r="4554">
      <c r="A4554" s="14">
        <v>43031.28969907407</v>
      </c>
      <c r="B4554" s="20" t="str">
        <f>HYPERLINK("https://twitter.com/TheLokeshNagori","@TheLokeshNagori")</f>
        <v>@TheLokeshNagori</v>
      </c>
      <c r="C4554" s="21" t="s">
        <v>10487</v>
      </c>
      <c r="D4554" s="21" t="s">
        <v>42</v>
      </c>
      <c r="E4554" s="22" t="str">
        <f>HYPERLINK("https://twitter.com/TheLokeshNagori/status/922461902785036290","922461902785036290")</f>
        <v>922461902785036290</v>
      </c>
      <c r="F4554" s="23" t="s">
        <v>33</v>
      </c>
      <c r="G4554" s="24">
        <v>61.0</v>
      </c>
      <c r="H4554" s="24">
        <v>358.0</v>
      </c>
      <c r="I4554" s="24">
        <v>8501.0</v>
      </c>
      <c r="J4554" s="24">
        <v>0.0</v>
      </c>
      <c r="K4554" s="23" t="s">
        <v>34</v>
      </c>
      <c r="L4554" s="25">
        <v>41747.9390162037</v>
      </c>
      <c r="M4554" s="28"/>
      <c r="N4554" s="26" t="s">
        <v>10488</v>
      </c>
      <c r="O4554" s="22" t="str">
        <f>HYPERLINK("https://pbs.twimg.com/profile_images/810505040565829632/QkItbpo5_normal.jpg","View")</f>
        <v>View</v>
      </c>
      <c r="P4554" s="27"/>
    </row>
    <row r="4555">
      <c r="A4555" s="14">
        <v>43031.289722222224</v>
      </c>
      <c r="B4555" s="20" t="str">
        <f>HYPERLINK("https://twitter.com/neocosmologist","@neocosmologist")</f>
        <v>@neocosmologist</v>
      </c>
      <c r="C4555" s="21" t="s">
        <v>10489</v>
      </c>
      <c r="D4555" s="21" t="s">
        <v>6403</v>
      </c>
      <c r="E4555" s="22" t="str">
        <f>HYPERLINK("https://twitter.com/neocosmologist/status/922461910599065600","922461910599065600")</f>
        <v>922461910599065600</v>
      </c>
      <c r="F4555" s="23" t="s">
        <v>230</v>
      </c>
      <c r="G4555" s="24">
        <v>171.0</v>
      </c>
      <c r="H4555" s="24">
        <v>159.0</v>
      </c>
      <c r="I4555" s="24">
        <v>97.0</v>
      </c>
      <c r="J4555" s="24">
        <v>0.0</v>
      </c>
      <c r="K4555" s="23" t="s">
        <v>34</v>
      </c>
      <c r="L4555" s="25">
        <v>41335.858310185184</v>
      </c>
      <c r="M4555" s="26" t="s">
        <v>10490</v>
      </c>
      <c r="N4555" s="26" t="s">
        <v>10491</v>
      </c>
      <c r="O4555" s="22" t="str">
        <f>HYPERLINK("https://pbs.twimg.com/profile_images/598492407097729024/EadwmyKS_normal.jpg","View")</f>
        <v>View</v>
      </c>
      <c r="P4555" s="27"/>
    </row>
    <row r="4556">
      <c r="A4556" s="14">
        <v>43031.28973379629</v>
      </c>
      <c r="B4556" s="20" t="str">
        <f>HYPERLINK("https://twitter.com/donutsbnb","@donutsbnb")</f>
        <v>@donutsbnb</v>
      </c>
      <c r="C4556" s="21" t="s">
        <v>10492</v>
      </c>
      <c r="D4556" s="21" t="s">
        <v>10493</v>
      </c>
      <c r="E4556" s="22" t="str">
        <f>HYPERLINK("https://twitter.com/donutsbnb/status/922461913316868098","922461913316868098")</f>
        <v>922461913316868098</v>
      </c>
      <c r="F4556" s="23" t="s">
        <v>33</v>
      </c>
      <c r="G4556" s="24">
        <v>35.0</v>
      </c>
      <c r="H4556" s="24">
        <v>172.0</v>
      </c>
      <c r="I4556" s="24">
        <v>1.0</v>
      </c>
      <c r="J4556" s="24">
        <v>0.0</v>
      </c>
      <c r="K4556" s="23" t="s">
        <v>34</v>
      </c>
      <c r="L4556" s="25">
        <v>41687.200787037036</v>
      </c>
      <c r="M4556" s="28"/>
      <c r="N4556" s="26" t="s">
        <v>10494</v>
      </c>
      <c r="O4556" s="22" t="str">
        <f>HYPERLINK("https://pbs.twimg.com/profile_images/913022698745241600/C1gTsENF_normal.jpg","View")</f>
        <v>View</v>
      </c>
      <c r="P4556" s="27"/>
    </row>
    <row r="4557">
      <c r="A4557" s="14">
        <v>43031.289861111116</v>
      </c>
      <c r="B4557" s="20" t="str">
        <f>HYPERLINK("https://twitter.com/KnowYourLeakGuy","@KnowYourLeakGuy")</f>
        <v>@KnowYourLeakGuy</v>
      </c>
      <c r="C4557" s="21" t="s">
        <v>6301</v>
      </c>
      <c r="D4557" s="21" t="s">
        <v>10495</v>
      </c>
      <c r="E4557" s="22" t="str">
        <f>HYPERLINK("https://twitter.com/KnowYourLeakGuy/status/922461960716914688","922461960716914688")</f>
        <v>922461960716914688</v>
      </c>
      <c r="F4557" s="23" t="s">
        <v>6303</v>
      </c>
      <c r="G4557" s="24">
        <v>480.0</v>
      </c>
      <c r="H4557" s="24">
        <v>10.0</v>
      </c>
      <c r="I4557" s="24">
        <v>0.0</v>
      </c>
      <c r="J4557" s="24">
        <v>0.0</v>
      </c>
      <c r="K4557" s="23" t="s">
        <v>34</v>
      </c>
      <c r="L4557" s="25">
        <v>42779.35674768519</v>
      </c>
      <c r="M4557" s="28"/>
      <c r="N4557" s="26" t="s">
        <v>2230</v>
      </c>
      <c r="O4557" s="22" t="str">
        <f>HYPERLINK("https://pbs.twimg.com/profile_images/831179861276377088/EI0H4hQx_normal.jpg","View")</f>
        <v>View</v>
      </c>
      <c r="P4557" s="27"/>
    </row>
    <row r="4558">
      <c r="A4558" s="14">
        <v>43031.289872685185</v>
      </c>
      <c r="B4558" s="20" t="str">
        <f>HYPERLINK("https://twitter.com/MyAlliesNews","@MyAlliesNews")</f>
        <v>@MyAlliesNews</v>
      </c>
      <c r="C4558" s="21" t="s">
        <v>253</v>
      </c>
      <c r="D4558" s="21" t="s">
        <v>10496</v>
      </c>
      <c r="E4558" s="22" t="str">
        <f>HYPERLINK("https://twitter.com/MyAlliesNews/status/922461965016076288","922461965016076288")</f>
        <v>922461965016076288</v>
      </c>
      <c r="F4558" s="23" t="s">
        <v>255</v>
      </c>
      <c r="G4558" s="24">
        <v>569.0</v>
      </c>
      <c r="H4558" s="24">
        <v>0.0</v>
      </c>
      <c r="I4558" s="24">
        <v>0.0</v>
      </c>
      <c r="J4558" s="24">
        <v>0.0</v>
      </c>
      <c r="K4558" s="23" t="s">
        <v>34</v>
      </c>
      <c r="L4558" s="25">
        <v>41717.317083333335</v>
      </c>
      <c r="M4558" s="28"/>
      <c r="N4558" s="26" t="s">
        <v>256</v>
      </c>
      <c r="O4558" s="22" t="str">
        <f>HYPERLINK("https://pbs.twimg.com/profile_images/577892873095401473/dP2JPlyp_normal.png","View")</f>
        <v>View</v>
      </c>
      <c r="P4558" s="27"/>
    </row>
    <row r="4559">
      <c r="A4559" s="14">
        <v>43031.289884259255</v>
      </c>
      <c r="B4559" s="20" t="str">
        <f>HYPERLINK("https://twitter.com/LasVegasNvBlog","@LasVegasNvBlog")</f>
        <v>@LasVegasNvBlog</v>
      </c>
      <c r="C4559" s="21" t="s">
        <v>10497</v>
      </c>
      <c r="D4559" s="21" t="s">
        <v>10498</v>
      </c>
      <c r="E4559" s="22" t="str">
        <f>HYPERLINK("https://twitter.com/LasVegasNvBlog/status/922461968816066561","922461968816066561")</f>
        <v>922461968816066561</v>
      </c>
      <c r="F4559" s="30" t="s">
        <v>191</v>
      </c>
      <c r="G4559" s="24">
        <v>1026.0</v>
      </c>
      <c r="H4559" s="24">
        <v>155.0</v>
      </c>
      <c r="I4559" s="24">
        <v>0.0</v>
      </c>
      <c r="J4559" s="24">
        <v>0.0</v>
      </c>
      <c r="K4559" s="23" t="s">
        <v>34</v>
      </c>
      <c r="L4559" s="25">
        <v>40288.715150462966</v>
      </c>
      <c r="M4559" s="28"/>
      <c r="N4559" s="26" t="s">
        <v>8983</v>
      </c>
      <c r="O4559" s="22" t="str">
        <f>HYPERLINK("https://pbs.twimg.com/profile_images/475447222343974914/m_fTU6NP_normal.png","View")</f>
        <v>View</v>
      </c>
      <c r="P4559" s="27"/>
    </row>
    <row r="4560">
      <c r="A4560" s="14">
        <v>43031.289884259255</v>
      </c>
      <c r="B4560" s="20" t="str">
        <f>HYPERLINK("https://twitter.com/yushun0922HI","@yushun0922HI")</f>
        <v>@yushun0922HI</v>
      </c>
      <c r="C4560" s="21" t="s">
        <v>10499</v>
      </c>
      <c r="D4560" s="21" t="s">
        <v>42</v>
      </c>
      <c r="E4560" s="22" t="str">
        <f>HYPERLINK("https://twitter.com/yushun0922HI/status/922461969801547778","922461969801547778")</f>
        <v>922461969801547778</v>
      </c>
      <c r="F4560" s="23" t="s">
        <v>39</v>
      </c>
      <c r="G4560" s="24">
        <v>78.0</v>
      </c>
      <c r="H4560" s="24">
        <v>525.0</v>
      </c>
      <c r="I4560" s="24">
        <v>8501.0</v>
      </c>
      <c r="J4560" s="24">
        <v>0.0</v>
      </c>
      <c r="K4560" s="23" t="s">
        <v>34</v>
      </c>
      <c r="L4560" s="25">
        <v>42590.260729166665</v>
      </c>
      <c r="M4560" s="28"/>
      <c r="N4560" s="28"/>
      <c r="O4560" s="22" t="str">
        <f>HYPERLINK("https://pbs.twimg.com/profile_images/762907482071048192/BT1EVz9g_normal.jpg","View")</f>
        <v>View</v>
      </c>
      <c r="P4560" s="27"/>
    </row>
    <row r="4561">
      <c r="A4561" s="14">
        <v>43031.29005787037</v>
      </c>
      <c r="B4561" s="20" t="str">
        <f>HYPERLINK("https://twitter.com/tolkabol","@tolkabol")</f>
        <v>@tolkabol</v>
      </c>
      <c r="C4561" s="21" t="s">
        <v>10500</v>
      </c>
      <c r="D4561" s="21" t="s">
        <v>42</v>
      </c>
      <c r="E4561" s="22" t="str">
        <f>HYPERLINK("https://twitter.com/tolkabol/status/922462031680118785","922462031680118785")</f>
        <v>922462031680118785</v>
      </c>
      <c r="F4561" s="23" t="s">
        <v>43</v>
      </c>
      <c r="G4561" s="24">
        <v>16.0</v>
      </c>
      <c r="H4561" s="24">
        <v>143.0</v>
      </c>
      <c r="I4561" s="24">
        <v>8501.0</v>
      </c>
      <c r="J4561" s="24">
        <v>0.0</v>
      </c>
      <c r="K4561" s="23" t="s">
        <v>34</v>
      </c>
      <c r="L4561" s="25">
        <v>40408.17980324074</v>
      </c>
      <c r="M4561" s="26" t="s">
        <v>10501</v>
      </c>
      <c r="N4561" s="26" t="s">
        <v>8175</v>
      </c>
      <c r="O4561" s="22" t="str">
        <f>HYPERLINK("https://pbs.twimg.com/profile_images/885019268877864960/9hsHoIfe_normal.jpg","View")</f>
        <v>View</v>
      </c>
      <c r="P4561" s="27"/>
    </row>
    <row r="4562">
      <c r="A4562" s="14">
        <v>43031.29016203704</v>
      </c>
      <c r="B4562" s="20" t="str">
        <f>HYPERLINK("https://twitter.com/KemicalKomic","@KemicalKomic")</f>
        <v>@KemicalKomic</v>
      </c>
      <c r="C4562" s="21" t="s">
        <v>10502</v>
      </c>
      <c r="D4562" s="21" t="s">
        <v>6991</v>
      </c>
      <c r="E4562" s="22" t="str">
        <f>HYPERLINK("https://twitter.com/KemicalKomic/status/922462068430684165","922462068430684165")</f>
        <v>922462068430684165</v>
      </c>
      <c r="F4562" s="23" t="s">
        <v>43</v>
      </c>
      <c r="G4562" s="24">
        <v>12.0</v>
      </c>
      <c r="H4562" s="24">
        <v>40.0</v>
      </c>
      <c r="I4562" s="24">
        <v>22.0</v>
      </c>
      <c r="J4562" s="24">
        <v>0.0</v>
      </c>
      <c r="K4562" s="23" t="s">
        <v>34</v>
      </c>
      <c r="L4562" s="25">
        <v>43031.25263888889</v>
      </c>
      <c r="M4562" s="26" t="s">
        <v>10503</v>
      </c>
      <c r="N4562" s="26" t="s">
        <v>10504</v>
      </c>
      <c r="O4562" s="22" t="str">
        <f>HYPERLINK("https://pbs.twimg.com/profile_images/922467735677759489/DGXrRoOz_normal.jpg","View")</f>
        <v>View</v>
      </c>
      <c r="P4562" s="27"/>
    </row>
    <row r="4563">
      <c r="A4563" s="14">
        <v>43031.29021990741</v>
      </c>
      <c r="B4563" s="20" t="str">
        <f>HYPERLINK("https://twitter.com/BJP_ITCELL_Maha","@BJP_ITCELL_Maha")</f>
        <v>@BJP_ITCELL_Maha</v>
      </c>
      <c r="C4563" s="21" t="s">
        <v>10505</v>
      </c>
      <c r="D4563" s="21" t="s">
        <v>42</v>
      </c>
      <c r="E4563" s="22" t="str">
        <f>HYPERLINK("https://twitter.com/BJP_ITCELL_Maha/status/922462089012158464","922462089012158464")</f>
        <v>922462089012158464</v>
      </c>
      <c r="F4563" s="23" t="s">
        <v>33</v>
      </c>
      <c r="G4563" s="24">
        <v>31647.0</v>
      </c>
      <c r="H4563" s="24">
        <v>546.0</v>
      </c>
      <c r="I4563" s="24">
        <v>8501.0</v>
      </c>
      <c r="J4563" s="24">
        <v>0.0</v>
      </c>
      <c r="K4563" s="23" t="s">
        <v>34</v>
      </c>
      <c r="L4563" s="25">
        <v>41360.284270833334</v>
      </c>
      <c r="M4563" s="26" t="s">
        <v>1162</v>
      </c>
      <c r="N4563" s="26" t="s">
        <v>10506</v>
      </c>
      <c r="O4563" s="22" t="str">
        <f>HYPERLINK("https://pbs.twimg.com/profile_images/741988464028090369/VBgGDh_4_normal.jpg","View")</f>
        <v>View</v>
      </c>
      <c r="P4563" s="27"/>
    </row>
    <row r="4564">
      <c r="A4564" s="14">
        <v>43031.29021990741</v>
      </c>
      <c r="B4564" s="20" t="str">
        <f>HYPERLINK("https://twitter.com/lambraki2468","@lambraki2468")</f>
        <v>@lambraki2468</v>
      </c>
      <c r="C4564" s="21" t="s">
        <v>10507</v>
      </c>
      <c r="D4564" s="21" t="s">
        <v>10437</v>
      </c>
      <c r="E4564" s="22" t="str">
        <f>HYPERLINK("https://twitter.com/lambraki2468/status/922462089309851649","922462089309851649")</f>
        <v>922462089309851649</v>
      </c>
      <c r="F4564" s="23" t="s">
        <v>39</v>
      </c>
      <c r="G4564" s="24">
        <v>234.0</v>
      </c>
      <c r="H4564" s="24">
        <v>593.0</v>
      </c>
      <c r="I4564" s="24">
        <v>16.0</v>
      </c>
      <c r="J4564" s="24">
        <v>0.0</v>
      </c>
      <c r="K4564" s="23" t="s">
        <v>34</v>
      </c>
      <c r="L4564" s="25">
        <v>40654.68109953704</v>
      </c>
      <c r="M4564" s="26" t="s">
        <v>3011</v>
      </c>
      <c r="N4564" s="26" t="s">
        <v>10508</v>
      </c>
      <c r="O4564" s="22" t="str">
        <f>HYPERLINK("https://pbs.twimg.com/profile_images/607885499861106688/t0vW7fOz_normal.jpg","View")</f>
        <v>View</v>
      </c>
      <c r="P4564" s="27"/>
    </row>
    <row r="4565">
      <c r="A4565" s="14">
        <v>43031.290300925924</v>
      </c>
      <c r="B4565" s="20" t="str">
        <f>HYPERLINK("https://twitter.com/elizabeth_rydan","@elizabeth_rydan")</f>
        <v>@elizabeth_rydan</v>
      </c>
      <c r="C4565" s="21" t="s">
        <v>10509</v>
      </c>
      <c r="D4565" s="21" t="s">
        <v>10437</v>
      </c>
      <c r="E4565" s="22" t="str">
        <f>HYPERLINK("https://twitter.com/elizabeth_rydan/status/922462118523359232","922462118523359232")</f>
        <v>922462118523359232</v>
      </c>
      <c r="F4565" s="23" t="s">
        <v>39</v>
      </c>
      <c r="G4565" s="24">
        <v>162.0</v>
      </c>
      <c r="H4565" s="24">
        <v>446.0</v>
      </c>
      <c r="I4565" s="24">
        <v>16.0</v>
      </c>
      <c r="J4565" s="24">
        <v>0.0</v>
      </c>
      <c r="K4565" s="23" t="s">
        <v>34</v>
      </c>
      <c r="L4565" s="25">
        <v>42962.58097222222</v>
      </c>
      <c r="M4565" s="26" t="s">
        <v>10510</v>
      </c>
      <c r="N4565" s="26" t="s">
        <v>10511</v>
      </c>
      <c r="O4565" s="22" t="str">
        <f>HYPERLINK("https://pbs.twimg.com/profile_images/897563761426538497/g2rMWOCt_normal.jpg","View")</f>
        <v>View</v>
      </c>
      <c r="P4565" s="27"/>
    </row>
    <row r="4566">
      <c r="A4566" s="14">
        <v>43031.29038194445</v>
      </c>
      <c r="B4566" s="20" t="str">
        <f>HYPERLINK("https://twitter.com/Mrityunjoykjha","@Mrityunjoykjha")</f>
        <v>@Mrityunjoykjha</v>
      </c>
      <c r="C4566" s="21" t="s">
        <v>10512</v>
      </c>
      <c r="D4566" s="21" t="s">
        <v>10513</v>
      </c>
      <c r="E4566" s="22" t="str">
        <f>HYPERLINK("https://twitter.com/Mrityunjoykjha/status/922462147568746497","922462147568746497")</f>
        <v>922462147568746497</v>
      </c>
      <c r="F4566" s="23" t="s">
        <v>39</v>
      </c>
      <c r="G4566" s="24">
        <v>37866.0</v>
      </c>
      <c r="H4566" s="24">
        <v>782.0</v>
      </c>
      <c r="I4566" s="24">
        <v>1.0</v>
      </c>
      <c r="J4566" s="24">
        <v>3.0</v>
      </c>
      <c r="K4566" s="23" t="s">
        <v>34</v>
      </c>
      <c r="L4566" s="25">
        <v>40095.99115740741</v>
      </c>
      <c r="M4566" s="26" t="s">
        <v>2770</v>
      </c>
      <c r="N4566" s="26" t="s">
        <v>10514</v>
      </c>
      <c r="O4566" s="22" t="str">
        <f>HYPERLINK("https://pbs.twimg.com/profile_images/901996995765690368/eRzHmwrG_normal.jpg","View")</f>
        <v>View</v>
      </c>
      <c r="P4566" s="27"/>
    </row>
    <row r="4567">
      <c r="A4567" s="14">
        <v>43031.29045138889</v>
      </c>
      <c r="B4567" s="20" t="str">
        <f>HYPERLINK("https://twitter.com/prasannavishy","@prasannavishy")</f>
        <v>@prasannavishy</v>
      </c>
      <c r="C4567" s="21" t="s">
        <v>10515</v>
      </c>
      <c r="D4567" s="21" t="s">
        <v>42</v>
      </c>
      <c r="E4567" s="22" t="str">
        <f>HYPERLINK("https://twitter.com/prasannavishy/status/922462174823329792","922462174823329792")</f>
        <v>922462174823329792</v>
      </c>
      <c r="F4567" s="23" t="s">
        <v>39</v>
      </c>
      <c r="G4567" s="24">
        <v>67801.0</v>
      </c>
      <c r="H4567" s="24">
        <v>3565.0</v>
      </c>
      <c r="I4567" s="24">
        <v>8501.0</v>
      </c>
      <c r="J4567" s="24">
        <v>0.0</v>
      </c>
      <c r="K4567" s="23" t="s">
        <v>34</v>
      </c>
      <c r="L4567" s="25">
        <v>39909.97555555555</v>
      </c>
      <c r="M4567" s="26" t="s">
        <v>10516</v>
      </c>
      <c r="N4567" s="26" t="s">
        <v>10517</v>
      </c>
      <c r="O4567" s="22" t="str">
        <f>HYPERLINK("https://pbs.twimg.com/profile_images/693270265623506944/rl_ql9-7_normal.jpg","View")</f>
        <v>View</v>
      </c>
      <c r="P4567" s="27"/>
    </row>
    <row r="4568">
      <c r="A4568" s="14">
        <v>43031.29047453703</v>
      </c>
      <c r="B4568" s="20" t="str">
        <f>HYPERLINK("https://twitter.com/iVoteForBest","@iVoteForBest")</f>
        <v>@iVoteForBest</v>
      </c>
      <c r="C4568" s="21" t="s">
        <v>341</v>
      </c>
      <c r="D4568" s="21" t="s">
        <v>10518</v>
      </c>
      <c r="E4568" s="22" t="str">
        <f>HYPERLINK("https://twitter.com/iVoteForBest/status/922462181878386688","922462181878386688")</f>
        <v>922462181878386688</v>
      </c>
      <c r="F4568" s="23" t="s">
        <v>187</v>
      </c>
      <c r="G4568" s="24">
        <v>4523.0</v>
      </c>
      <c r="H4568" s="24">
        <v>0.0</v>
      </c>
      <c r="I4568" s="24">
        <v>0.0</v>
      </c>
      <c r="J4568" s="24">
        <v>0.0</v>
      </c>
      <c r="K4568" s="23" t="s">
        <v>34</v>
      </c>
      <c r="L4568" s="25">
        <v>41732.04944444445</v>
      </c>
      <c r="M4568" s="28"/>
      <c r="N4568" s="26" t="s">
        <v>343</v>
      </c>
      <c r="O4568" s="22" t="str">
        <f>HYPERLINK("https://pbs.twimg.com/profile_images/858421579960639488/4Z7CW4j__normal.jpg","View")</f>
        <v>View</v>
      </c>
      <c r="P4568" s="27"/>
    </row>
    <row r="4569">
      <c r="A4569" s="14">
        <v>43031.29053240741</v>
      </c>
      <c r="B4569" s="20" t="str">
        <f>HYPERLINK("https://twitter.com/sripimaa69","@sripimaa69")</f>
        <v>@sripimaa69</v>
      </c>
      <c r="C4569" s="21" t="s">
        <v>10519</v>
      </c>
      <c r="D4569" s="21" t="s">
        <v>10520</v>
      </c>
      <c r="E4569" s="22" t="str">
        <f>HYPERLINK("https://twitter.com/sripimaa69/status/922462201687965696","922462201687965696")</f>
        <v>922462201687965696</v>
      </c>
      <c r="F4569" s="23" t="s">
        <v>55</v>
      </c>
      <c r="G4569" s="24">
        <v>1872.0</v>
      </c>
      <c r="H4569" s="24">
        <v>4157.0</v>
      </c>
      <c r="I4569" s="24">
        <v>0.0</v>
      </c>
      <c r="J4569" s="24">
        <v>0.0</v>
      </c>
      <c r="K4569" s="23" t="s">
        <v>34</v>
      </c>
      <c r="L4569" s="25">
        <v>40184.97077546296</v>
      </c>
      <c r="M4569" s="26" t="s">
        <v>1545</v>
      </c>
      <c r="N4569" s="26" t="s">
        <v>10521</v>
      </c>
      <c r="O4569" s="22" t="str">
        <f>HYPERLINK("https://pbs.twimg.com/profile_images/378800000279820912/7ec6582d4e4da1e9852811c841d404da_normal.jpeg","View")</f>
        <v>View</v>
      </c>
      <c r="P4569" s="27"/>
    </row>
    <row r="4570">
      <c r="A4570" s="14">
        <v>43031.290613425925</v>
      </c>
      <c r="B4570" s="20" t="str">
        <f>HYPERLINK("https://twitter.com/pavanvoice","@pavanvoice")</f>
        <v>@pavanvoice</v>
      </c>
      <c r="C4570" s="21" t="s">
        <v>10522</v>
      </c>
      <c r="D4570" s="21" t="s">
        <v>10523</v>
      </c>
      <c r="E4570" s="22" t="str">
        <f>HYPERLINK("https://twitter.com/pavanvoice/status/922462234109820928","922462234109820928")</f>
        <v>922462234109820928</v>
      </c>
      <c r="F4570" s="23" t="s">
        <v>33</v>
      </c>
      <c r="G4570" s="24">
        <v>2123.0</v>
      </c>
      <c r="H4570" s="24">
        <v>2254.0</v>
      </c>
      <c r="I4570" s="24">
        <v>1.0</v>
      </c>
      <c r="J4570" s="24">
        <v>0.0</v>
      </c>
      <c r="K4570" s="23" t="s">
        <v>34</v>
      </c>
      <c r="L4570" s="25">
        <v>40358.09040509259</v>
      </c>
      <c r="M4570" s="28"/>
      <c r="N4570" s="26" t="s">
        <v>10524</v>
      </c>
      <c r="O4570" s="22" t="str">
        <f>HYPERLINK("https://pbs.twimg.com/profile_images/571305587762159616/6yMFbeCA_normal.jpeg","View")</f>
        <v>View</v>
      </c>
      <c r="P4570" s="27"/>
    </row>
    <row r="4571">
      <c r="A4571" s="14">
        <v>43031.2906712963</v>
      </c>
      <c r="B4571" s="20" t="str">
        <f>HYPERLINK("https://twitter.com/bhartiyakuldeep","@bhartiyakuldeep")</f>
        <v>@bhartiyakuldeep</v>
      </c>
      <c r="C4571" s="21" t="s">
        <v>10525</v>
      </c>
      <c r="D4571" s="21" t="s">
        <v>42</v>
      </c>
      <c r="E4571" s="22" t="str">
        <f>HYPERLINK("https://twitter.com/bhartiyakuldeep/status/922462251977601025","922462251977601025")</f>
        <v>922462251977601025</v>
      </c>
      <c r="F4571" s="23" t="s">
        <v>33</v>
      </c>
      <c r="G4571" s="24">
        <v>140.0</v>
      </c>
      <c r="H4571" s="24">
        <v>7.0</v>
      </c>
      <c r="I4571" s="24">
        <v>8501.0</v>
      </c>
      <c r="J4571" s="24">
        <v>0.0</v>
      </c>
      <c r="K4571" s="23" t="s">
        <v>34</v>
      </c>
      <c r="L4571" s="25">
        <v>41786.45318287037</v>
      </c>
      <c r="M4571" s="26" t="s">
        <v>10526</v>
      </c>
      <c r="N4571" s="26" t="s">
        <v>10527</v>
      </c>
      <c r="O4571" s="22" t="str">
        <f>HYPERLINK("https://pbs.twimg.com/profile_images/899612977631854592/TUcXYYa8_normal.jpg","View")</f>
        <v>View</v>
      </c>
      <c r="P4571" s="27"/>
    </row>
    <row r="4572">
      <c r="A4572" s="14">
        <v>43031.29100694445</v>
      </c>
      <c r="B4572" s="20" t="str">
        <f>HYPERLINK("https://twitter.com/Japan_Rover","@Japan_Rover")</f>
        <v>@Japan_Rover</v>
      </c>
      <c r="C4572" s="21" t="s">
        <v>10528</v>
      </c>
      <c r="D4572" s="21" t="s">
        <v>10529</v>
      </c>
      <c r="E4572" s="22" t="str">
        <f>HYPERLINK("https://twitter.com/Japan_Rover/status/922462375340531713","922462375340531713")</f>
        <v>922462375340531713</v>
      </c>
      <c r="F4572" s="23" t="s">
        <v>39</v>
      </c>
      <c r="G4572" s="24">
        <v>106.0</v>
      </c>
      <c r="H4572" s="24">
        <v>64.0</v>
      </c>
      <c r="I4572" s="24">
        <v>150.0</v>
      </c>
      <c r="J4572" s="24">
        <v>0.0</v>
      </c>
      <c r="K4572" s="23" t="s">
        <v>34</v>
      </c>
      <c r="L4572" s="25">
        <v>40219.770150462966</v>
      </c>
      <c r="M4572" s="26" t="s">
        <v>271</v>
      </c>
      <c r="N4572" s="26" t="s">
        <v>10530</v>
      </c>
      <c r="O4572" s="22" t="str">
        <f>HYPERLINK("https://pbs.twimg.com/profile_images/483919761097490433/8PA8CiNf_normal.jpeg","View")</f>
        <v>View</v>
      </c>
      <c r="P4572" s="27"/>
    </row>
    <row r="4573">
      <c r="A4573" s="14">
        <v>43031.29106481481</v>
      </c>
      <c r="B4573" s="20" t="str">
        <f>HYPERLINK("https://twitter.com/HLingshetty","@HLingshetty")</f>
        <v>@HLingshetty</v>
      </c>
      <c r="C4573" s="21" t="s">
        <v>10531</v>
      </c>
      <c r="D4573" s="21" t="s">
        <v>42</v>
      </c>
      <c r="E4573" s="22" t="str">
        <f>HYPERLINK("https://twitter.com/HLingshetty/status/922462396819501056","922462396819501056")</f>
        <v>922462396819501056</v>
      </c>
      <c r="F4573" s="23" t="s">
        <v>39</v>
      </c>
      <c r="G4573" s="24">
        <v>6.0</v>
      </c>
      <c r="H4573" s="24">
        <v>71.0</v>
      </c>
      <c r="I4573" s="24">
        <v>8501.0</v>
      </c>
      <c r="J4573" s="24">
        <v>0.0</v>
      </c>
      <c r="K4573" s="23" t="s">
        <v>34</v>
      </c>
      <c r="L4573" s="25">
        <v>42562.22924768519</v>
      </c>
      <c r="M4573" s="28"/>
      <c r="N4573" s="28"/>
      <c r="O4573" s="22" t="str">
        <f>HYPERLINK("https://abs.twimg.com/sticky/default_profile_images/default_profile_normal.png","View")</f>
        <v>View</v>
      </c>
      <c r="P4573" s="27"/>
    </row>
    <row r="4574">
      <c r="A4574" s="14">
        <v>43031.29108796296</v>
      </c>
      <c r="B4574" s="20" t="str">
        <f>HYPERLINK("https://twitter.com/MarketWatch","@MarketWatch")</f>
        <v>@MarketWatch</v>
      </c>
      <c r="C4574" s="21" t="s">
        <v>10532</v>
      </c>
      <c r="D4574" s="21" t="s">
        <v>10533</v>
      </c>
      <c r="E4574" s="22" t="str">
        <f>HYPERLINK("https://twitter.com/MarketWatch/status/922462403983478784","922462403983478784")</f>
        <v>922462403983478784</v>
      </c>
      <c r="F4574" s="23" t="s">
        <v>1103</v>
      </c>
      <c r="G4574" s="24">
        <v>3501429.0</v>
      </c>
      <c r="H4574" s="24">
        <v>184.0</v>
      </c>
      <c r="I4574" s="24">
        <v>3.0</v>
      </c>
      <c r="J4574" s="24">
        <v>4.0</v>
      </c>
      <c r="K4574" s="23" t="s">
        <v>34</v>
      </c>
      <c r="L4574" s="25">
        <v>39092.885972222226</v>
      </c>
      <c r="M4574" s="28"/>
      <c r="N4574" s="26" t="s">
        <v>10534</v>
      </c>
      <c r="O4574" s="22" t="str">
        <f>HYPERLINK("https://pbs.twimg.com/profile_images/705601245596090368/Z6xUOnRg_normal.jpg","View")</f>
        <v>View</v>
      </c>
      <c r="P4574" s="27"/>
    </row>
    <row r="4575">
      <c r="A4575" s="14">
        <v>43031.29111111111</v>
      </c>
      <c r="B4575" s="20" t="str">
        <f>HYPERLINK("https://twitter.com/wlstcom","@wlstcom")</f>
        <v>@wlstcom</v>
      </c>
      <c r="C4575" s="29" t="s">
        <v>10535</v>
      </c>
      <c r="D4575" s="21" t="s">
        <v>10536</v>
      </c>
      <c r="E4575" s="22" t="str">
        <f>HYPERLINK("https://twitter.com/wlstcom/status/922462411692572673","922462411692572673")</f>
        <v>922462411692572673</v>
      </c>
      <c r="F4575" s="23" t="s">
        <v>10537</v>
      </c>
      <c r="G4575" s="24">
        <v>2186.0</v>
      </c>
      <c r="H4575" s="24">
        <v>75.0</v>
      </c>
      <c r="I4575" s="24">
        <v>0.0</v>
      </c>
      <c r="J4575" s="24">
        <v>0.0</v>
      </c>
      <c r="K4575" s="23" t="s">
        <v>34</v>
      </c>
      <c r="L4575" s="25">
        <v>42052.726747685185</v>
      </c>
      <c r="M4575" s="26" t="s">
        <v>10538</v>
      </c>
      <c r="N4575" s="26" t="s">
        <v>10539</v>
      </c>
      <c r="O4575" s="22" t="str">
        <f>HYPERLINK("https://pbs.twimg.com/profile_images/569924896747438080/E4LyeJyN_normal.jpeg","View")</f>
        <v>View</v>
      </c>
      <c r="P4575" s="27"/>
    </row>
    <row r="4576">
      <c r="A4576" s="14">
        <v>43031.291296296295</v>
      </c>
      <c r="B4576" s="20" t="str">
        <f>HYPERLINK("https://twitter.com/basketcase81272","@basketcase81272")</f>
        <v>@basketcase81272</v>
      </c>
      <c r="C4576" s="21" t="s">
        <v>10540</v>
      </c>
      <c r="D4576" s="21" t="s">
        <v>42</v>
      </c>
      <c r="E4576" s="22" t="str">
        <f>HYPERLINK("https://twitter.com/basketcase81272/status/922462481204707328","922462481204707328")</f>
        <v>922462481204707328</v>
      </c>
      <c r="F4576" s="23" t="s">
        <v>33</v>
      </c>
      <c r="G4576" s="24">
        <v>87.0</v>
      </c>
      <c r="H4576" s="24">
        <v>253.0</v>
      </c>
      <c r="I4576" s="24">
        <v>8501.0</v>
      </c>
      <c r="J4576" s="24">
        <v>0.0</v>
      </c>
      <c r="K4576" s="23" t="s">
        <v>34</v>
      </c>
      <c r="L4576" s="25">
        <v>40222.37663194444</v>
      </c>
      <c r="M4576" s="28"/>
      <c r="N4576" s="28"/>
      <c r="O4576" s="22" t="str">
        <f>HYPERLINK("https://pbs.twimg.com/profile_images/781098166120751104/w3OAgjvv_normal.jpg","View")</f>
        <v>View</v>
      </c>
      <c r="P4576" s="27"/>
    </row>
    <row r="4577">
      <c r="A4577" s="14">
        <v>43031.29130787037</v>
      </c>
      <c r="B4577" s="20" t="str">
        <f>HYPERLINK("https://twitter.com/anupblr","@anupblr")</f>
        <v>@anupblr</v>
      </c>
      <c r="C4577" s="21" t="s">
        <v>7860</v>
      </c>
      <c r="D4577" s="21" t="s">
        <v>4507</v>
      </c>
      <c r="E4577" s="22" t="str">
        <f>HYPERLINK("https://twitter.com/anupblr/status/922462484677541888","922462484677541888")</f>
        <v>922462484677541888</v>
      </c>
      <c r="F4577" s="23" t="s">
        <v>55</v>
      </c>
      <c r="G4577" s="24">
        <v>3166.0</v>
      </c>
      <c r="H4577" s="24">
        <v>3009.0</v>
      </c>
      <c r="I4577" s="24">
        <v>139.0</v>
      </c>
      <c r="J4577" s="24">
        <v>0.0</v>
      </c>
      <c r="K4577" s="23" t="s">
        <v>34</v>
      </c>
      <c r="L4577" s="25">
        <v>40064.896145833336</v>
      </c>
      <c r="M4577" s="26" t="s">
        <v>7861</v>
      </c>
      <c r="N4577" s="26" t="s">
        <v>7862</v>
      </c>
      <c r="O4577" s="22" t="str">
        <f>HYPERLINK("https://pbs.twimg.com/profile_images/893679730729263104/pb4NXGQs_normal.jpg","View")</f>
        <v>View</v>
      </c>
      <c r="P4577" s="27"/>
    </row>
    <row r="4578">
      <c r="A4578" s="14">
        <v>43031.291493055556</v>
      </c>
      <c r="B4578" s="20" t="str">
        <f>HYPERLINK("https://twitter.com/shafeeg","@shafeeg")</f>
        <v>@shafeeg</v>
      </c>
      <c r="C4578" s="21" t="s">
        <v>10541</v>
      </c>
      <c r="D4578" s="21" t="s">
        <v>10370</v>
      </c>
      <c r="E4578" s="22" t="str">
        <f>HYPERLINK("https://twitter.com/shafeeg/status/922462553669644288","922462553669644288")</f>
        <v>922462553669644288</v>
      </c>
      <c r="F4578" s="23" t="s">
        <v>33</v>
      </c>
      <c r="G4578" s="24">
        <v>4218.0</v>
      </c>
      <c r="H4578" s="24">
        <v>1618.0</v>
      </c>
      <c r="I4578" s="24">
        <v>10.0</v>
      </c>
      <c r="J4578" s="24">
        <v>0.0</v>
      </c>
      <c r="K4578" s="23" t="s">
        <v>34</v>
      </c>
      <c r="L4578" s="25">
        <v>39782.83295138889</v>
      </c>
      <c r="M4578" s="26" t="s">
        <v>10542</v>
      </c>
      <c r="N4578" s="26" t="s">
        <v>10543</v>
      </c>
      <c r="O4578" s="22" t="str">
        <f>HYPERLINK("https://pbs.twimg.com/profile_images/908589593888309248/TkR778Lg_normal.jpg","View")</f>
        <v>View</v>
      </c>
      <c r="P4578" s="27"/>
    </row>
    <row r="4579">
      <c r="A4579" s="14">
        <v>43031.2915162037</v>
      </c>
      <c r="B4579" s="20" t="str">
        <f>HYPERLINK("https://twitter.com/mit_obe","@mit_obe")</f>
        <v>@mit_obe</v>
      </c>
      <c r="C4579" s="21" t="s">
        <v>10397</v>
      </c>
      <c r="D4579" s="21" t="s">
        <v>10544</v>
      </c>
      <c r="E4579" s="22" t="str">
        <f>HYPERLINK("https://twitter.com/mit_obe/status/922462558694424576","922462558694424576")</f>
        <v>922462558694424576</v>
      </c>
      <c r="F4579" s="23" t="s">
        <v>55</v>
      </c>
      <c r="G4579" s="24">
        <v>1494.0</v>
      </c>
      <c r="H4579" s="24">
        <v>299.0</v>
      </c>
      <c r="I4579" s="24">
        <v>0.0</v>
      </c>
      <c r="J4579" s="24">
        <v>1.0</v>
      </c>
      <c r="K4579" s="23" t="s">
        <v>34</v>
      </c>
      <c r="L4579" s="25">
        <v>41472.72362268518</v>
      </c>
      <c r="M4579" s="26" t="s">
        <v>3693</v>
      </c>
      <c r="N4579" s="26" t="s">
        <v>10399</v>
      </c>
      <c r="O4579" s="22" t="str">
        <f>HYPERLINK("https://pbs.twimg.com/profile_images/912457089007575041/iunAue57_normal.jpg","View")</f>
        <v>View</v>
      </c>
      <c r="P4579" s="27"/>
    </row>
    <row r="4580">
      <c r="A4580" s="14">
        <v>43031.29163194445</v>
      </c>
      <c r="B4580" s="20" t="str">
        <f>HYPERLINK("https://twitter.com/TechnikFinansow","@TechnikFinansow")</f>
        <v>@TechnikFinansow</v>
      </c>
      <c r="C4580" s="21" t="s">
        <v>10545</v>
      </c>
      <c r="D4580" s="21" t="s">
        <v>5262</v>
      </c>
      <c r="E4580" s="22" t="str">
        <f>HYPERLINK("https://twitter.com/TechnikFinansow/status/922462603724521473","922462603724521473")</f>
        <v>922462603724521473</v>
      </c>
      <c r="F4580" s="23" t="s">
        <v>33</v>
      </c>
      <c r="G4580" s="24">
        <v>93.0</v>
      </c>
      <c r="H4580" s="24">
        <v>205.0</v>
      </c>
      <c r="I4580" s="24">
        <v>22.0</v>
      </c>
      <c r="J4580" s="24">
        <v>0.0</v>
      </c>
      <c r="K4580" s="23" t="s">
        <v>34</v>
      </c>
      <c r="L4580" s="25">
        <v>42559.24003472222</v>
      </c>
      <c r="M4580" s="28"/>
      <c r="N4580" s="26" t="s">
        <v>10546</v>
      </c>
      <c r="O4580" s="22" t="str">
        <f>HYPERLINK("https://pbs.twimg.com/profile_images/920633458744889346/WW4OkQUN_normal.jpg","View")</f>
        <v>View</v>
      </c>
      <c r="P4580" s="27"/>
    </row>
    <row r="4581">
      <c r="A4581" s="14">
        <v>43031.29168981481</v>
      </c>
      <c r="B4581" s="20" t="str">
        <f>HYPERLINK("https://twitter.com/sakakinohappa","@sakakinohappa")</f>
        <v>@sakakinohappa</v>
      </c>
      <c r="C4581" s="21" t="s">
        <v>10547</v>
      </c>
      <c r="D4581" s="21" t="s">
        <v>126</v>
      </c>
      <c r="E4581" s="22" t="str">
        <f>HYPERLINK("https://twitter.com/sakakinohappa/status/922462625023143937","922462625023143937")</f>
        <v>922462625023143937</v>
      </c>
      <c r="F4581" s="23" t="s">
        <v>33</v>
      </c>
      <c r="G4581" s="24">
        <v>641.0</v>
      </c>
      <c r="H4581" s="24">
        <v>1345.0</v>
      </c>
      <c r="I4581" s="24">
        <v>62.0</v>
      </c>
      <c r="J4581" s="24">
        <v>0.0</v>
      </c>
      <c r="K4581" s="23" t="s">
        <v>34</v>
      </c>
      <c r="L4581" s="25">
        <v>41400.128171296295</v>
      </c>
      <c r="M4581" s="26" t="s">
        <v>10548</v>
      </c>
      <c r="N4581" s="26" t="s">
        <v>10549</v>
      </c>
      <c r="O4581" s="22" t="str">
        <f>HYPERLINK("https://pbs.twimg.com/profile_images/916665311318884353/i3LI7lwV_normal.jpg","View")</f>
        <v>View</v>
      </c>
      <c r="P4581" s="27"/>
    </row>
    <row r="4582">
      <c r="A4582" s="14">
        <v>43031.29170138889</v>
      </c>
      <c r="B4582" s="20" t="str">
        <f>HYPERLINK("https://twitter.com/newsibly","@newsibly")</f>
        <v>@newsibly</v>
      </c>
      <c r="C4582" s="29" t="s">
        <v>10550</v>
      </c>
      <c r="D4582" s="21" t="s">
        <v>10551</v>
      </c>
      <c r="E4582" s="22" t="str">
        <f>HYPERLINK("https://twitter.com/newsibly/status/922462626575089665","922462626575089665")</f>
        <v>922462626575089665</v>
      </c>
      <c r="F4582" s="23" t="s">
        <v>10552</v>
      </c>
      <c r="G4582" s="24">
        <v>107.0</v>
      </c>
      <c r="H4582" s="24">
        <v>36.0</v>
      </c>
      <c r="I4582" s="24">
        <v>0.0</v>
      </c>
      <c r="J4582" s="24">
        <v>0.0</v>
      </c>
      <c r="K4582" s="23" t="s">
        <v>34</v>
      </c>
      <c r="L4582" s="25">
        <v>41421.51123842593</v>
      </c>
      <c r="M4582" s="28"/>
      <c r="N4582" s="26" t="s">
        <v>10553</v>
      </c>
      <c r="O4582" s="22" t="str">
        <f>HYPERLINK("https://pbs.twimg.com/profile_images/517054322912157697/1wtI0mat_normal.png","View")</f>
        <v>View</v>
      </c>
      <c r="P4582" s="27"/>
    </row>
    <row r="4583">
      <c r="A4583" s="14">
        <v>43031.291712962964</v>
      </c>
      <c r="B4583" s="20" t="str">
        <f>HYPERLINK("https://twitter.com/Global___News","@Global___News")</f>
        <v>@Global___News</v>
      </c>
      <c r="C4583" s="21" t="s">
        <v>4191</v>
      </c>
      <c r="D4583" s="21" t="s">
        <v>10554</v>
      </c>
      <c r="E4583" s="22" t="str">
        <f>HYPERLINK("https://twitter.com/Global___News/status/922462629955637248","922462629955637248")</f>
        <v>922462629955637248</v>
      </c>
      <c r="F4583" s="23" t="s">
        <v>4193</v>
      </c>
      <c r="G4583" s="24">
        <v>820.0</v>
      </c>
      <c r="H4583" s="24">
        <v>4.0</v>
      </c>
      <c r="I4583" s="24">
        <v>0.0</v>
      </c>
      <c r="J4583" s="24">
        <v>0.0</v>
      </c>
      <c r="K4583" s="23" t="s">
        <v>34</v>
      </c>
      <c r="L4583" s="25">
        <v>41404.33153935185</v>
      </c>
      <c r="M4583" s="28"/>
      <c r="N4583" s="26" t="s">
        <v>4191</v>
      </c>
      <c r="O4583" s="22" t="str">
        <f>HYPERLINK("https://pbs.twimg.com/profile_images/3640360348/ca3c8990ec800ecd3004b1c1ab4cc462_normal.png","View")</f>
        <v>View</v>
      </c>
      <c r="P4583" s="27"/>
    </row>
    <row r="4584">
      <c r="A4584" s="14">
        <v>43031.29174768519</v>
      </c>
      <c r="B4584" s="20" t="str">
        <f>HYPERLINK("https://twitter.com/AmitSha92735988","@AmitSha92735988")</f>
        <v>@AmitSha92735988</v>
      </c>
      <c r="C4584" s="21" t="s">
        <v>10555</v>
      </c>
      <c r="D4584" s="21" t="s">
        <v>10556</v>
      </c>
      <c r="E4584" s="22" t="str">
        <f>HYPERLINK("https://twitter.com/AmitSha92735988/status/922462645323571200","922462645323571200")</f>
        <v>922462645323571200</v>
      </c>
      <c r="F4584" s="23" t="s">
        <v>39</v>
      </c>
      <c r="G4584" s="24">
        <v>51.0</v>
      </c>
      <c r="H4584" s="24">
        <v>7.0</v>
      </c>
      <c r="I4584" s="24">
        <v>0.0</v>
      </c>
      <c r="J4584" s="24">
        <v>0.0</v>
      </c>
      <c r="K4584" s="23" t="s">
        <v>34</v>
      </c>
      <c r="L4584" s="25">
        <v>42731.22173611111</v>
      </c>
      <c r="M4584" s="26" t="s">
        <v>204</v>
      </c>
      <c r="N4584" s="28"/>
      <c r="O4584" s="22" t="str">
        <f>HYPERLINK("https://pbs.twimg.com/profile_images/814849772943122432/nn6HqC2H_normal.jpg","View")</f>
        <v>View</v>
      </c>
      <c r="P4584" s="27"/>
    </row>
    <row r="4585">
      <c r="A4585" s="14">
        <v>43031.291863425926</v>
      </c>
      <c r="B4585" s="20" t="str">
        <f>HYPERLINK("https://twitter.com/ysy448","@ysy448")</f>
        <v>@ysy448</v>
      </c>
      <c r="C4585" s="21" t="s">
        <v>10557</v>
      </c>
      <c r="D4585" s="21" t="s">
        <v>1642</v>
      </c>
      <c r="E4585" s="22" t="str">
        <f>HYPERLINK("https://twitter.com/ysy448/status/922462687115722752","922462687115722752")</f>
        <v>922462687115722752</v>
      </c>
      <c r="F4585" s="23" t="s">
        <v>10558</v>
      </c>
      <c r="G4585" s="24">
        <v>464.0</v>
      </c>
      <c r="H4585" s="24">
        <v>56.0</v>
      </c>
      <c r="I4585" s="24">
        <v>199.0</v>
      </c>
      <c r="J4585" s="24">
        <v>0.0</v>
      </c>
      <c r="K4585" s="23" t="s">
        <v>34</v>
      </c>
      <c r="L4585" s="25">
        <v>40395.00318287037</v>
      </c>
      <c r="M4585" s="26" t="s">
        <v>923</v>
      </c>
      <c r="N4585" s="26" t="s">
        <v>10559</v>
      </c>
      <c r="O4585" s="22" t="str">
        <f>HYPERLINK("https://pbs.twimg.com/profile_images/905397902154973184/bJ9zIApr_normal.jpg","View")</f>
        <v>View</v>
      </c>
      <c r="P4585" s="27"/>
    </row>
    <row r="4586">
      <c r="A4586" s="14">
        <v>43031.291863425926</v>
      </c>
      <c r="B4586" s="20" t="str">
        <f>HYPERLINK("https://twitter.com/a_candour","@a_candour")</f>
        <v>@a_candour</v>
      </c>
      <c r="C4586" s="21" t="s">
        <v>10560</v>
      </c>
      <c r="D4586" s="21" t="s">
        <v>42</v>
      </c>
      <c r="E4586" s="22" t="str">
        <f>HYPERLINK("https://twitter.com/a_candour/status/922462687564566528","922462687564566528")</f>
        <v>922462687564566528</v>
      </c>
      <c r="F4586" s="23" t="s">
        <v>2119</v>
      </c>
      <c r="G4586" s="24">
        <v>100.0</v>
      </c>
      <c r="H4586" s="24">
        <v>3.0</v>
      </c>
      <c r="I4586" s="24">
        <v>8501.0</v>
      </c>
      <c r="J4586" s="24">
        <v>0.0</v>
      </c>
      <c r="K4586" s="23" t="s">
        <v>34</v>
      </c>
      <c r="L4586" s="25">
        <v>40177.99988425926</v>
      </c>
      <c r="M4586" s="26" t="s">
        <v>96</v>
      </c>
      <c r="N4586" s="28"/>
      <c r="O4586" s="22" t="str">
        <f>HYPERLINK("https://pbs.twimg.com/profile_images/726708795666239488/eWnnw8ay_normal.jpg","View")</f>
        <v>View</v>
      </c>
      <c r="P4586" s="27"/>
    </row>
    <row r="4587">
      <c r="A4587" s="14">
        <v>43031.291863425926</v>
      </c>
      <c r="B4587" s="20" t="str">
        <f>HYPERLINK("https://twitter.com/tomarigi25","@tomarigi25")</f>
        <v>@tomarigi25</v>
      </c>
      <c r="C4587" s="21" t="s">
        <v>10561</v>
      </c>
      <c r="D4587" s="21" t="s">
        <v>9342</v>
      </c>
      <c r="E4587" s="22" t="str">
        <f>HYPERLINK("https://twitter.com/tomarigi25/status/922462687606407169","922462687606407169")</f>
        <v>922462687606407169</v>
      </c>
      <c r="F4587" s="23" t="s">
        <v>39</v>
      </c>
      <c r="G4587" s="24">
        <v>10806.0</v>
      </c>
      <c r="H4587" s="24">
        <v>9387.0</v>
      </c>
      <c r="I4587" s="24">
        <v>6.0</v>
      </c>
      <c r="J4587" s="24">
        <v>0.0</v>
      </c>
      <c r="K4587" s="23" t="s">
        <v>34</v>
      </c>
      <c r="L4587" s="25">
        <v>41538.44731481482</v>
      </c>
      <c r="M4587" s="26" t="s">
        <v>71</v>
      </c>
      <c r="N4587" s="26" t="s">
        <v>10562</v>
      </c>
      <c r="O4587" s="22" t="str">
        <f>HYPERLINK("https://pbs.twimg.com/profile_images/911838708550086656/_JrKECu2_normal.jpg","View")</f>
        <v>View</v>
      </c>
      <c r="P4587" s="27"/>
    </row>
    <row r="4588">
      <c r="A4588" s="14">
        <v>43031.29189814815</v>
      </c>
      <c r="B4588" s="20" t="str">
        <f>HYPERLINK("https://twitter.com/RushikeshBJP","@RushikeshBJP")</f>
        <v>@RushikeshBJP</v>
      </c>
      <c r="C4588" s="21" t="s">
        <v>10563</v>
      </c>
      <c r="D4588" s="21" t="s">
        <v>42</v>
      </c>
      <c r="E4588" s="22" t="str">
        <f>HYPERLINK("https://twitter.com/RushikeshBJP/status/922462699803492352","922462699803492352")</f>
        <v>922462699803492352</v>
      </c>
      <c r="F4588" s="23" t="s">
        <v>33</v>
      </c>
      <c r="G4588" s="24">
        <v>7717.0</v>
      </c>
      <c r="H4588" s="24">
        <v>4022.0</v>
      </c>
      <c r="I4588" s="24">
        <v>8501.0</v>
      </c>
      <c r="J4588" s="24">
        <v>0.0</v>
      </c>
      <c r="K4588" s="23" t="s">
        <v>34</v>
      </c>
      <c r="L4588" s="25">
        <v>41056.99350694445</v>
      </c>
      <c r="M4588" s="26" t="s">
        <v>204</v>
      </c>
      <c r="N4588" s="26" t="s">
        <v>10564</v>
      </c>
      <c r="O4588" s="22" t="str">
        <f>HYPERLINK("https://pbs.twimg.com/profile_images/916611438629634048/gVUyX-Z0_normal.jpg","View")</f>
        <v>View</v>
      </c>
      <c r="P4588" s="27"/>
    </row>
    <row r="4589">
      <c r="A4589" s="14">
        <v>43031.29210648148</v>
      </c>
      <c r="B4589" s="20" t="str">
        <f>HYPERLINK("https://twitter.com/astrosunil20121","@astrosunil20121")</f>
        <v>@astrosunil20121</v>
      </c>
      <c r="C4589" s="21" t="s">
        <v>10565</v>
      </c>
      <c r="D4589" s="21" t="s">
        <v>10566</v>
      </c>
      <c r="E4589" s="22" t="str">
        <f>HYPERLINK("https://twitter.com/astrosunil20121/status/922462774034300928","922462774034300928")</f>
        <v>922462774034300928</v>
      </c>
      <c r="F4589" s="23" t="s">
        <v>55</v>
      </c>
      <c r="G4589" s="24">
        <v>378.0</v>
      </c>
      <c r="H4589" s="24">
        <v>3541.0</v>
      </c>
      <c r="I4589" s="24">
        <v>1.0</v>
      </c>
      <c r="J4589" s="24">
        <v>1.0</v>
      </c>
      <c r="K4589" s="23" t="s">
        <v>34</v>
      </c>
      <c r="L4589" s="25">
        <v>42262.93319444444</v>
      </c>
      <c r="M4589" s="26" t="s">
        <v>10567</v>
      </c>
      <c r="N4589" s="26" t="s">
        <v>10568</v>
      </c>
      <c r="O4589" s="22" t="str">
        <f>HYPERLINK("https://pbs.twimg.com/profile_images/776104229681278976/onrKXyxU_normal.jpg","View")</f>
        <v>View</v>
      </c>
      <c r="P4589" s="27"/>
    </row>
    <row r="4590">
      <c r="A4590" s="14">
        <v>43031.29210648148</v>
      </c>
      <c r="B4590" s="20" t="str">
        <f>HYPERLINK("https://twitter.com/TechMktEJ","@TechMktEJ")</f>
        <v>@TechMktEJ</v>
      </c>
      <c r="C4590" s="21" t="s">
        <v>10569</v>
      </c>
      <c r="D4590" s="21" t="s">
        <v>10570</v>
      </c>
      <c r="E4590" s="22" t="str">
        <f>HYPERLINK("https://twitter.com/TechMktEJ/status/922462774298599424","922462774298599424")</f>
        <v>922462774298599424</v>
      </c>
      <c r="F4590" s="23" t="s">
        <v>187</v>
      </c>
      <c r="G4590" s="24">
        <v>2185.0</v>
      </c>
      <c r="H4590" s="24">
        <v>1269.0</v>
      </c>
      <c r="I4590" s="24">
        <v>0.0</v>
      </c>
      <c r="J4590" s="24">
        <v>0.0</v>
      </c>
      <c r="K4590" s="23" t="s">
        <v>34</v>
      </c>
      <c r="L4590" s="25">
        <v>42545.339467592596</v>
      </c>
      <c r="M4590" s="26" t="s">
        <v>4920</v>
      </c>
      <c r="N4590" s="26" t="s">
        <v>10571</v>
      </c>
      <c r="O4590" s="22" t="str">
        <f>HYPERLINK("https://pbs.twimg.com/profile_images/921436640077385730/u7tCdL_4_normal.jpg","View")</f>
        <v>View</v>
      </c>
      <c r="P4590" s="27"/>
    </row>
    <row r="4591">
      <c r="A4591" s="14">
        <v>43031.292129629626</v>
      </c>
      <c r="B4591" s="20" t="str">
        <f>HYPERLINK("https://twitter.com/Future_Toronto","@Future_Toronto")</f>
        <v>@Future_Toronto</v>
      </c>
      <c r="C4591" s="21" t="s">
        <v>10572</v>
      </c>
      <c r="D4591" s="21" t="s">
        <v>10573</v>
      </c>
      <c r="E4591" s="22" t="str">
        <f>HYPERLINK("https://twitter.com/Future_Toronto/status/922462781193969667","922462781193969667")</f>
        <v>922462781193969667</v>
      </c>
      <c r="F4591" s="23" t="s">
        <v>10574</v>
      </c>
      <c r="G4591" s="24">
        <v>517.0</v>
      </c>
      <c r="H4591" s="24">
        <v>858.0</v>
      </c>
      <c r="I4591" s="24">
        <v>0.0</v>
      </c>
      <c r="J4591" s="24">
        <v>0.0</v>
      </c>
      <c r="K4591" s="23" t="s">
        <v>34</v>
      </c>
      <c r="L4591" s="25">
        <v>41589.189317129625</v>
      </c>
      <c r="M4591" s="28"/>
      <c r="N4591" s="26" t="s">
        <v>10575</v>
      </c>
      <c r="O4591" s="22" t="str">
        <f>HYPERLINK("https://pbs.twimg.com/profile_images/734681122047680512/HBxsd0GZ_normal.jpg","View")</f>
        <v>View</v>
      </c>
      <c r="P4591" s="27"/>
    </row>
    <row r="4592">
      <c r="A4592" s="14">
        <v>43031.29215277778</v>
      </c>
      <c r="B4592" s="20" t="str">
        <f>HYPERLINK("https://twitter.com/USAMortgageNews","@USAMortgageNews")</f>
        <v>@USAMortgageNews</v>
      </c>
      <c r="C4592" s="21" t="s">
        <v>10576</v>
      </c>
      <c r="D4592" s="21" t="s">
        <v>10577</v>
      </c>
      <c r="E4592" s="22" t="str">
        <f>HYPERLINK("https://twitter.com/USAMortgageNews/status/922462789167386624","922462789167386624")</f>
        <v>922462789167386624</v>
      </c>
      <c r="F4592" s="23" t="s">
        <v>187</v>
      </c>
      <c r="G4592" s="24">
        <v>92.0</v>
      </c>
      <c r="H4592" s="24">
        <v>263.0</v>
      </c>
      <c r="I4592" s="24">
        <v>0.0</v>
      </c>
      <c r="J4592" s="24">
        <v>0.0</v>
      </c>
      <c r="K4592" s="23" t="s">
        <v>34</v>
      </c>
      <c r="L4592" s="25">
        <v>42116.80457175926</v>
      </c>
      <c r="M4592" s="28"/>
      <c r="N4592" s="26" t="s">
        <v>10578</v>
      </c>
      <c r="O4592" s="22" t="str">
        <f>HYPERLINK("https://pbs.twimg.com/profile_images/591079044030009344/USoJH8AO_normal.jpg","View")</f>
        <v>View</v>
      </c>
      <c r="P4592" s="27"/>
    </row>
    <row r="4593">
      <c r="A4593" s="14">
        <v>43031.29216435185</v>
      </c>
      <c r="B4593" s="20" t="str">
        <f>HYPERLINK("https://twitter.com/mukeshtiwarik","@mukeshtiwarik")</f>
        <v>@mukeshtiwarik</v>
      </c>
      <c r="C4593" s="21" t="s">
        <v>10579</v>
      </c>
      <c r="D4593" s="21" t="s">
        <v>42</v>
      </c>
      <c r="E4593" s="22" t="str">
        <f>HYPERLINK("https://twitter.com/mukeshtiwarik/status/922462794661945344","922462794661945344")</f>
        <v>922462794661945344</v>
      </c>
      <c r="F4593" s="23" t="s">
        <v>33</v>
      </c>
      <c r="G4593" s="24">
        <v>280.0</v>
      </c>
      <c r="H4593" s="24">
        <v>389.0</v>
      </c>
      <c r="I4593" s="24">
        <v>8501.0</v>
      </c>
      <c r="J4593" s="24">
        <v>0.0</v>
      </c>
      <c r="K4593" s="23" t="s">
        <v>34</v>
      </c>
      <c r="L4593" s="25">
        <v>39818.9230787037</v>
      </c>
      <c r="M4593" s="28"/>
      <c r="N4593" s="28"/>
      <c r="O4593" s="22" t="str">
        <f>HYPERLINK("https://pbs.twimg.com/profile_images/3753016510/721a3ac423716704b247789ed3bce534_normal.jpeg","View")</f>
        <v>View</v>
      </c>
      <c r="P4593" s="27"/>
    </row>
    <row r="4594">
      <c r="A4594" s="14">
        <v>43031.29216435185</v>
      </c>
      <c r="B4594" s="20" t="str">
        <f>HYPERLINK("https://twitter.com/PratyushPratap6","@PratyushPratap6")</f>
        <v>@PratyushPratap6</v>
      </c>
      <c r="C4594" s="21" t="s">
        <v>10580</v>
      </c>
      <c r="D4594" s="21" t="s">
        <v>42</v>
      </c>
      <c r="E4594" s="22" t="str">
        <f>HYPERLINK("https://twitter.com/PratyushPratap6/status/922462794791903234","922462794791903234")</f>
        <v>922462794791903234</v>
      </c>
      <c r="F4594" s="23" t="s">
        <v>33</v>
      </c>
      <c r="G4594" s="24">
        <v>26.0</v>
      </c>
      <c r="H4594" s="24">
        <v>26.0</v>
      </c>
      <c r="I4594" s="24">
        <v>8501.0</v>
      </c>
      <c r="J4594" s="24">
        <v>0.0</v>
      </c>
      <c r="K4594" s="23" t="s">
        <v>34</v>
      </c>
      <c r="L4594" s="25">
        <v>42545.20655092593</v>
      </c>
      <c r="M4594" s="28"/>
      <c r="N4594" s="28"/>
      <c r="O4594" s="22" t="str">
        <f>HYPERLINK("https://abs.twimg.com/sticky/default_profile_images/default_profile_normal.png","View")</f>
        <v>View</v>
      </c>
      <c r="P4594" s="27"/>
    </row>
    <row r="4595">
      <c r="A4595" s="14">
        <v>43031.292233796295</v>
      </c>
      <c r="B4595" s="20" t="str">
        <f>HYPERLINK("https://twitter.com/archtomy","@archtomy")</f>
        <v>@archtomy</v>
      </c>
      <c r="C4595" s="21" t="s">
        <v>10581</v>
      </c>
      <c r="D4595" s="21" t="s">
        <v>163</v>
      </c>
      <c r="E4595" s="22" t="str">
        <f>HYPERLINK("https://twitter.com/archtomy/status/922462821316575232","922462821316575232")</f>
        <v>922462821316575232</v>
      </c>
      <c r="F4595" s="23" t="s">
        <v>33</v>
      </c>
      <c r="G4595" s="24">
        <v>1165.0</v>
      </c>
      <c r="H4595" s="24">
        <v>1486.0</v>
      </c>
      <c r="I4595" s="24">
        <v>1005.0</v>
      </c>
      <c r="J4595" s="24">
        <v>0.0</v>
      </c>
      <c r="K4595" s="23" t="s">
        <v>34</v>
      </c>
      <c r="L4595" s="25">
        <v>40040.374918981484</v>
      </c>
      <c r="M4595" s="26" t="s">
        <v>10582</v>
      </c>
      <c r="N4595" s="26" t="s">
        <v>10583</v>
      </c>
      <c r="O4595" s="22" t="str">
        <f>HYPERLINK("https://pbs.twimg.com/profile_images/704640337927471104/F3b82B2i_normal.jpg","View")</f>
        <v>View</v>
      </c>
      <c r="P4595" s="27"/>
    </row>
    <row r="4596">
      <c r="A4596" s="14">
        <v>43031.292245370365</v>
      </c>
      <c r="B4596" s="20" t="str">
        <f>HYPERLINK("https://twitter.com/georgehperfect","@georgehperfect")</f>
        <v>@georgehperfect</v>
      </c>
      <c r="C4596" s="21" t="s">
        <v>10584</v>
      </c>
      <c r="D4596" s="21" t="s">
        <v>6403</v>
      </c>
      <c r="E4596" s="22" t="str">
        <f>HYPERLINK("https://twitter.com/georgehperfect/status/922462824978362369","922462824978362369")</f>
        <v>922462824978362369</v>
      </c>
      <c r="F4596" s="23" t="s">
        <v>55</v>
      </c>
      <c r="G4596" s="24">
        <v>4685.0</v>
      </c>
      <c r="H4596" s="24">
        <v>4021.0</v>
      </c>
      <c r="I4596" s="24">
        <v>97.0</v>
      </c>
      <c r="J4596" s="24">
        <v>0.0</v>
      </c>
      <c r="K4596" s="23" t="s">
        <v>34</v>
      </c>
      <c r="L4596" s="25">
        <v>40608.01636574074</v>
      </c>
      <c r="M4596" s="26" t="s">
        <v>10585</v>
      </c>
      <c r="N4596" s="26" t="s">
        <v>10586</v>
      </c>
      <c r="O4596" s="22" t="str">
        <f>HYPERLINK("https://pbs.twimg.com/profile_images/902652693436665858/wS24B2GN_normal.jpg","View")</f>
        <v>View</v>
      </c>
      <c r="P4596" s="27"/>
    </row>
    <row r="4597">
      <c r="A4597" s="14">
        <v>43031.29226851852</v>
      </c>
      <c r="B4597" s="20" t="str">
        <f>HYPERLINK("https://twitter.com/oijsulc","@oijsulc")</f>
        <v>@oijsulc</v>
      </c>
      <c r="C4597" s="21" t="s">
        <v>10587</v>
      </c>
      <c r="D4597" s="21" t="s">
        <v>5786</v>
      </c>
      <c r="E4597" s="22" t="str">
        <f>HYPERLINK("https://twitter.com/oijsulc/status/922462834578956288","922462834578956288")</f>
        <v>922462834578956288</v>
      </c>
      <c r="F4597" s="23" t="s">
        <v>39</v>
      </c>
      <c r="G4597" s="24">
        <v>1045.0</v>
      </c>
      <c r="H4597" s="24">
        <v>1035.0</v>
      </c>
      <c r="I4597" s="24">
        <v>59.0</v>
      </c>
      <c r="J4597" s="24">
        <v>0.0</v>
      </c>
      <c r="K4597" s="23" t="s">
        <v>34</v>
      </c>
      <c r="L4597" s="25">
        <v>41373.75875</v>
      </c>
      <c r="M4597" s="26" t="s">
        <v>8522</v>
      </c>
      <c r="N4597" s="26" t="s">
        <v>10588</v>
      </c>
      <c r="O4597" s="22" t="str">
        <f>HYPERLINK("https://pbs.twimg.com/profile_images/609202848203563008/vlIgrCs2_normal.jpg","View")</f>
        <v>View</v>
      </c>
      <c r="P4597" s="27"/>
    </row>
    <row r="4598">
      <c r="A4598" s="14">
        <v>43031.29229166667</v>
      </c>
      <c r="B4598" s="20" t="str">
        <f>HYPERLINK("https://twitter.com/RahulRs637076","@RahulRs637076")</f>
        <v>@RahulRs637076</v>
      </c>
      <c r="C4598" s="21" t="s">
        <v>10589</v>
      </c>
      <c r="D4598" s="21" t="s">
        <v>42</v>
      </c>
      <c r="E4598" s="22" t="str">
        <f>HYPERLINK("https://twitter.com/RahulRs637076/status/922462842288201728","922462842288201728")</f>
        <v>922462842288201728</v>
      </c>
      <c r="F4598" s="23" t="s">
        <v>33</v>
      </c>
      <c r="G4598" s="24">
        <v>202.0</v>
      </c>
      <c r="H4598" s="24">
        <v>653.0</v>
      </c>
      <c r="I4598" s="24">
        <v>8501.0</v>
      </c>
      <c r="J4598" s="24">
        <v>0.0</v>
      </c>
      <c r="K4598" s="23" t="s">
        <v>34</v>
      </c>
      <c r="L4598" s="25">
        <v>42111.376909722225</v>
      </c>
      <c r="M4598" s="26" t="s">
        <v>2401</v>
      </c>
      <c r="N4598" s="26" t="s">
        <v>10590</v>
      </c>
      <c r="O4598" s="22" t="str">
        <f>HYPERLINK("https://pbs.twimg.com/profile_images/911249975891206145/Kev5HMEt_normal.jpg","View")</f>
        <v>View</v>
      </c>
      <c r="P4598" s="27"/>
    </row>
    <row r="4599">
      <c r="A4599" s="14">
        <v>43031.292442129634</v>
      </c>
      <c r="B4599" s="20" t="str">
        <f>HYPERLINK("https://twitter.com/WSJmarkets","@WSJmarkets")</f>
        <v>@WSJmarkets</v>
      </c>
      <c r="C4599" s="21" t="s">
        <v>10591</v>
      </c>
      <c r="D4599" s="21" t="s">
        <v>10592</v>
      </c>
      <c r="E4599" s="22" t="str">
        <f>HYPERLINK("https://twitter.com/WSJmarkets/status/922462897204334592","922462897204334592")</f>
        <v>922462897204334592</v>
      </c>
      <c r="F4599" s="23" t="s">
        <v>1103</v>
      </c>
      <c r="G4599" s="24">
        <v>458849.0</v>
      </c>
      <c r="H4599" s="24">
        <v>402.0</v>
      </c>
      <c r="I4599" s="24">
        <v>9.0</v>
      </c>
      <c r="J4599" s="24">
        <v>10.0</v>
      </c>
      <c r="K4599" s="23" t="s">
        <v>34</v>
      </c>
      <c r="L4599" s="25">
        <v>39904.48908564815</v>
      </c>
      <c r="M4599" s="26" t="s">
        <v>2534</v>
      </c>
      <c r="N4599" s="26" t="s">
        <v>10593</v>
      </c>
      <c r="O4599" s="22" t="str">
        <f>HYPERLINK("https://pbs.twimg.com/profile_images/509786301680205825/1D5ibpnj_normal.jpeg","View")</f>
        <v>View</v>
      </c>
      <c r="P4599" s="27"/>
    </row>
    <row r="4600">
      <c r="A4600" s="14">
        <v>43031.29256944444</v>
      </c>
      <c r="B4600" s="20" t="str">
        <f>HYPERLINK("https://twitter.com/fawad47","@fawad47")</f>
        <v>@fawad47</v>
      </c>
      <c r="C4600" s="21" t="s">
        <v>10594</v>
      </c>
      <c r="D4600" s="21" t="s">
        <v>10595</v>
      </c>
      <c r="E4600" s="22" t="str">
        <f>HYPERLINK("https://twitter.com/fawad47/status/922462943148695552","922462943148695552")</f>
        <v>922462943148695552</v>
      </c>
      <c r="F4600" s="23" t="s">
        <v>187</v>
      </c>
      <c r="G4600" s="24">
        <v>166.0</v>
      </c>
      <c r="H4600" s="24">
        <v>132.0</v>
      </c>
      <c r="I4600" s="24">
        <v>0.0</v>
      </c>
      <c r="J4600" s="24">
        <v>0.0</v>
      </c>
      <c r="K4600" s="23" t="s">
        <v>34</v>
      </c>
      <c r="L4600" s="25">
        <v>40051.697280092594</v>
      </c>
      <c r="M4600" s="26" t="s">
        <v>334</v>
      </c>
      <c r="N4600" s="28"/>
      <c r="O4600" s="22" t="str">
        <f>HYPERLINK("https://pbs.twimg.com/profile_images/615218380149260288/anFXIeUw_normal.jpg","View")</f>
        <v>View</v>
      </c>
      <c r="P4600" s="27"/>
    </row>
    <row r="4601">
      <c r="A4601" s="14">
        <v>43031.29284722223</v>
      </c>
      <c r="B4601" s="20" t="str">
        <f>HYPERLINK("https://twitter.com/tqpzm","@tqpzm")</f>
        <v>@tqpzm</v>
      </c>
      <c r="C4601" s="21" t="s">
        <v>10596</v>
      </c>
      <c r="D4601" s="21" t="s">
        <v>10597</v>
      </c>
      <c r="E4601" s="22" t="str">
        <f>HYPERLINK("https://twitter.com/tqpzm/status/922463041299603456","922463041299603456")</f>
        <v>922463041299603456</v>
      </c>
      <c r="F4601" s="23" t="s">
        <v>91</v>
      </c>
      <c r="G4601" s="24">
        <v>180.0</v>
      </c>
      <c r="H4601" s="24">
        <v>8.0</v>
      </c>
      <c r="I4601" s="24">
        <v>0.0</v>
      </c>
      <c r="J4601" s="24">
        <v>0.0</v>
      </c>
      <c r="K4601" s="23" t="s">
        <v>34</v>
      </c>
      <c r="L4601" s="25">
        <v>40464.93258101852</v>
      </c>
      <c r="M4601" s="28"/>
      <c r="N4601" s="28"/>
      <c r="O4601" s="22" t="str">
        <f>HYPERLINK("https://pbs.twimg.com/profile_images/1148542178/___normal.jpg","View")</f>
        <v>View</v>
      </c>
      <c r="P4601" s="27"/>
    </row>
    <row r="4602">
      <c r="A4602" s="14">
        <v>43031.29288194445</v>
      </c>
      <c r="B4602" s="20" t="str">
        <f>HYPERLINK("https://twitter.com/dailyfn","@dailyfn")</f>
        <v>@dailyfn</v>
      </c>
      <c r="C4602" s="21" t="s">
        <v>10598</v>
      </c>
      <c r="D4602" s="21" t="s">
        <v>10599</v>
      </c>
      <c r="E4602" s="22" t="str">
        <f>HYPERLINK("https://twitter.com/dailyfn/status/922463053043720192","922463053043720192")</f>
        <v>922463053043720192</v>
      </c>
      <c r="F4602" s="23" t="s">
        <v>187</v>
      </c>
      <c r="G4602" s="24">
        <v>344.0</v>
      </c>
      <c r="H4602" s="24">
        <v>37.0</v>
      </c>
      <c r="I4602" s="24">
        <v>0.0</v>
      </c>
      <c r="J4602" s="24">
        <v>0.0</v>
      </c>
      <c r="K4602" s="23" t="s">
        <v>34</v>
      </c>
      <c r="L4602" s="25">
        <v>41944.73957175926</v>
      </c>
      <c r="M4602" s="28"/>
      <c r="N4602" s="26" t="s">
        <v>10600</v>
      </c>
      <c r="O4602" s="22" t="str">
        <f>HYPERLINK("https://pbs.twimg.com/profile_images/528735025131319296/aUVF8Fww_normal.png","View")</f>
        <v>View</v>
      </c>
      <c r="P4602" s="27"/>
    </row>
    <row r="4603">
      <c r="A4603" s="14">
        <v>43031.292962962965</v>
      </c>
      <c r="B4603" s="20" t="str">
        <f>HYPERLINK("https://twitter.com/seputartradings","@seputartradings")</f>
        <v>@seputartradings</v>
      </c>
      <c r="C4603" s="21" t="s">
        <v>10601</v>
      </c>
      <c r="D4603" s="21" t="s">
        <v>10602</v>
      </c>
      <c r="E4603" s="22" t="str">
        <f>HYPERLINK("https://twitter.com/seputartradings/status/922463082521260033","922463082521260033")</f>
        <v>922463082521260033</v>
      </c>
      <c r="F4603" s="23" t="s">
        <v>187</v>
      </c>
      <c r="G4603" s="24">
        <v>731.0</v>
      </c>
      <c r="H4603" s="24">
        <v>493.0</v>
      </c>
      <c r="I4603" s="24">
        <v>0.0</v>
      </c>
      <c r="J4603" s="24">
        <v>0.0</v>
      </c>
      <c r="K4603" s="23" t="s">
        <v>34</v>
      </c>
      <c r="L4603" s="25">
        <v>41229.15363425926</v>
      </c>
      <c r="M4603" s="26" t="s">
        <v>10603</v>
      </c>
      <c r="N4603" s="26" t="s">
        <v>10604</v>
      </c>
      <c r="O4603" s="22" t="str">
        <f>HYPERLINK("https://pbs.twimg.com/profile_images/378800000861176662/pmeScBS7_normal.png","View")</f>
        <v>View</v>
      </c>
      <c r="P4603" s="27"/>
    </row>
    <row r="4604">
      <c r="A4604" s="14">
        <v>43031.293020833335</v>
      </c>
      <c r="B4604" s="20" t="str">
        <f>HYPERLINK("https://twitter.com/FrontBusiness","@FrontBusiness")</f>
        <v>@FrontBusiness</v>
      </c>
      <c r="C4604" s="21" t="s">
        <v>10605</v>
      </c>
      <c r="D4604" s="21" t="s">
        <v>10606</v>
      </c>
      <c r="E4604" s="22" t="str">
        <f>HYPERLINK("https://twitter.com/FrontBusiness/status/922463104956551170","922463104956551170")</f>
        <v>922463104956551170</v>
      </c>
      <c r="F4604" s="23" t="s">
        <v>187</v>
      </c>
      <c r="G4604" s="24">
        <v>80.0</v>
      </c>
      <c r="H4604" s="24">
        <v>23.0</v>
      </c>
      <c r="I4604" s="24">
        <v>0.0</v>
      </c>
      <c r="J4604" s="24">
        <v>0.0</v>
      </c>
      <c r="K4604" s="23" t="s">
        <v>34</v>
      </c>
      <c r="L4604" s="25">
        <v>40673.19021990741</v>
      </c>
      <c r="M4604" s="26" t="s">
        <v>10607</v>
      </c>
      <c r="N4604" s="26" t="s">
        <v>10608</v>
      </c>
      <c r="O4604" s="22" t="str">
        <f>HYPERLINK("https://pbs.twimg.com/profile_images/509392647585161217/R37m512S_normal.png","View")</f>
        <v>View</v>
      </c>
      <c r="P4604" s="27"/>
    </row>
    <row r="4605">
      <c r="A4605" s="14">
        <v>43031.29304398148</v>
      </c>
      <c r="B4605" s="20" t="str">
        <f>HYPERLINK("https://twitter.com/JustinTrudeau","@JustinTrudeau")</f>
        <v>@JustinTrudeau</v>
      </c>
      <c r="C4605" s="21" t="s">
        <v>10609</v>
      </c>
      <c r="D4605" s="21" t="s">
        <v>10610</v>
      </c>
      <c r="E4605" s="22" t="str">
        <f>HYPERLINK("https://twitter.com/JustinTrudeau/status/922463111801655296","922463111801655296")</f>
        <v>922463111801655296</v>
      </c>
      <c r="F4605" s="23" t="s">
        <v>55</v>
      </c>
      <c r="G4605" s="24">
        <v>3734933.0</v>
      </c>
      <c r="H4605" s="24">
        <v>962.0</v>
      </c>
      <c r="I4605" s="24">
        <v>159.0</v>
      </c>
      <c r="J4605" s="24">
        <v>697.0</v>
      </c>
      <c r="K4605" s="23" t="s">
        <v>34</v>
      </c>
      <c r="L4605" s="25">
        <v>39537.58627314815</v>
      </c>
      <c r="M4605" s="26" t="s">
        <v>10611</v>
      </c>
      <c r="N4605" s="26" t="s">
        <v>10612</v>
      </c>
      <c r="O4605" s="22" t="str">
        <f>HYPERLINK("https://pbs.twimg.com/profile_images/816404989392211968/Wv_8ZDrX_normal.jpg","View")</f>
        <v>View</v>
      </c>
      <c r="P4605" s="27"/>
    </row>
    <row r="4606">
      <c r="A4606" s="14">
        <v>43031.29304398148</v>
      </c>
      <c r="B4606" s="20" t="str">
        <f>HYPERLINK("https://twitter.com/FairbankNews","@FairbankNews")</f>
        <v>@FairbankNews</v>
      </c>
      <c r="C4606" s="21" t="s">
        <v>10613</v>
      </c>
      <c r="D4606" s="21" t="s">
        <v>10614</v>
      </c>
      <c r="E4606" s="22" t="str">
        <f>HYPERLINK("https://twitter.com/FairbankNews/status/922463113055784962","922463113055784962")</f>
        <v>922463113055784962</v>
      </c>
      <c r="F4606" s="23" t="s">
        <v>10615</v>
      </c>
      <c r="G4606" s="24">
        <v>73.0</v>
      </c>
      <c r="H4606" s="24">
        <v>36.0</v>
      </c>
      <c r="I4606" s="24">
        <v>159.0</v>
      </c>
      <c r="J4606" s="24">
        <v>0.0</v>
      </c>
      <c r="K4606" s="23" t="s">
        <v>34</v>
      </c>
      <c r="L4606" s="25">
        <v>42938.229363425926</v>
      </c>
      <c r="M4606" s="26" t="s">
        <v>1961</v>
      </c>
      <c r="N4606" s="26" t="s">
        <v>10616</v>
      </c>
      <c r="O4606" s="22" t="str">
        <f>HYPERLINK("https://pbs.twimg.com/profile_images/920720559801077763/iDFQovIX_normal.jpg","View")</f>
        <v>View</v>
      </c>
      <c r="P4606" s="27"/>
    </row>
    <row r="4607">
      <c r="A4607" s="14">
        <v>43031.29310185185</v>
      </c>
      <c r="B4607" s="20" t="str">
        <f>HYPERLINK("https://twitter.com/yeyClover","@yeyClover")</f>
        <v>@yeyClover</v>
      </c>
      <c r="C4607" s="21" t="s">
        <v>10617</v>
      </c>
      <c r="D4607" s="21" t="s">
        <v>1642</v>
      </c>
      <c r="E4607" s="22" t="str">
        <f>HYPERLINK("https://twitter.com/yeyClover/status/922463132848594945","922463132848594945")</f>
        <v>922463132848594945</v>
      </c>
      <c r="F4607" s="23" t="s">
        <v>33</v>
      </c>
      <c r="G4607" s="24">
        <v>46.0</v>
      </c>
      <c r="H4607" s="24">
        <v>186.0</v>
      </c>
      <c r="I4607" s="24">
        <v>199.0</v>
      </c>
      <c r="J4607" s="24">
        <v>0.0</v>
      </c>
      <c r="K4607" s="23" t="s">
        <v>34</v>
      </c>
      <c r="L4607" s="25">
        <v>41114.4359375</v>
      </c>
      <c r="M4607" s="26" t="s">
        <v>10618</v>
      </c>
      <c r="N4607" s="28"/>
      <c r="O4607" s="22" t="str">
        <f>HYPERLINK("https://pbs.twimg.com/profile_images/819693040268783616/YDMutauN_normal.jpg","View")</f>
        <v>View</v>
      </c>
      <c r="P4607" s="27"/>
    </row>
    <row r="4608">
      <c r="A4608" s="14">
        <v>43031.293125</v>
      </c>
      <c r="B4608" s="20" t="str">
        <f>HYPERLINK("https://twitter.com/HarisKhanMalik","@HarisKhanMalik")</f>
        <v>@HarisKhanMalik</v>
      </c>
      <c r="C4608" s="21" t="s">
        <v>10619</v>
      </c>
      <c r="D4608" s="21" t="s">
        <v>10614</v>
      </c>
      <c r="E4608" s="22" t="str">
        <f>HYPERLINK("https://twitter.com/HarisKhanMalik/status/922463142327848961","922463142327848961")</f>
        <v>922463142327848961</v>
      </c>
      <c r="F4608" s="23" t="s">
        <v>33</v>
      </c>
      <c r="G4608" s="24">
        <v>1584.0</v>
      </c>
      <c r="H4608" s="24">
        <v>36.0</v>
      </c>
      <c r="I4608" s="24">
        <v>159.0</v>
      </c>
      <c r="J4608" s="24">
        <v>0.0</v>
      </c>
      <c r="K4608" s="23" t="s">
        <v>34</v>
      </c>
      <c r="L4608" s="25">
        <v>42592.29969907408</v>
      </c>
      <c r="M4608" s="26" t="s">
        <v>10620</v>
      </c>
      <c r="N4608" s="26" t="s">
        <v>10621</v>
      </c>
      <c r="O4608" s="22" t="str">
        <f>HYPERLINK("https://pbs.twimg.com/profile_images/922265000588271621/YGxJdR9E_normal.jpg","View")</f>
        <v>View</v>
      </c>
      <c r="P4608" s="27"/>
    </row>
    <row r="4609">
      <c r="A4609" s="14">
        <v>43031.29314814815</v>
      </c>
      <c r="B4609" s="20" t="str">
        <f>HYPERLINK("https://twitter.com/BSAFunds","@BSAFunds")</f>
        <v>@BSAFunds</v>
      </c>
      <c r="C4609" s="21" t="s">
        <v>1248</v>
      </c>
      <c r="D4609" s="21" t="s">
        <v>10622</v>
      </c>
      <c r="E4609" s="22" t="str">
        <f>HYPERLINK("https://twitter.com/BSAFunds/status/922463151903395840","922463151903395840")</f>
        <v>922463151903395840</v>
      </c>
      <c r="F4609" s="23" t="s">
        <v>187</v>
      </c>
      <c r="G4609" s="24">
        <v>20910.0</v>
      </c>
      <c r="H4609" s="24">
        <v>8929.0</v>
      </c>
      <c r="I4609" s="24">
        <v>0.0</v>
      </c>
      <c r="J4609" s="24">
        <v>0.0</v>
      </c>
      <c r="K4609" s="23" t="s">
        <v>34</v>
      </c>
      <c r="L4609" s="25">
        <v>42601.94818287037</v>
      </c>
      <c r="M4609" s="26" t="s">
        <v>1250</v>
      </c>
      <c r="N4609" s="26" t="s">
        <v>1251</v>
      </c>
      <c r="O4609" s="22" t="str">
        <f>HYPERLINK("https://pbs.twimg.com/profile_images/912769166960033792/N4LAmrTs_normal.jpg","View")</f>
        <v>View</v>
      </c>
      <c r="P4609" s="27"/>
    </row>
    <row r="4610">
      <c r="A4610" s="14">
        <v>43031.293171296296</v>
      </c>
      <c r="B4610" s="20" t="str">
        <f>HYPERLINK("https://twitter.com/lidanx","@lidanx")</f>
        <v>@lidanx</v>
      </c>
      <c r="C4610" s="21" t="s">
        <v>10623</v>
      </c>
      <c r="D4610" s="21" t="s">
        <v>10614</v>
      </c>
      <c r="E4610" s="22" t="str">
        <f>HYPERLINK("https://twitter.com/lidanx/status/922463160535339009","922463160535339009")</f>
        <v>922463160535339009</v>
      </c>
      <c r="F4610" s="23" t="s">
        <v>55</v>
      </c>
      <c r="G4610" s="24">
        <v>176.0</v>
      </c>
      <c r="H4610" s="24">
        <v>216.0</v>
      </c>
      <c r="I4610" s="24">
        <v>159.0</v>
      </c>
      <c r="J4610" s="24">
        <v>0.0</v>
      </c>
      <c r="K4610" s="23" t="s">
        <v>34</v>
      </c>
      <c r="L4610" s="25">
        <v>39647.52958333334</v>
      </c>
      <c r="M4610" s="26" t="s">
        <v>10624</v>
      </c>
      <c r="N4610" s="26" t="s">
        <v>10625</v>
      </c>
      <c r="O4610" s="22" t="str">
        <f>HYPERLINK("https://pbs.twimg.com/profile_images/919397187871821825/nxwSJ9TG_normal.jpg","View")</f>
        <v>View</v>
      </c>
      <c r="P4610" s="27"/>
    </row>
    <row r="4611">
      <c r="A4611" s="14">
        <v>43031.29318287037</v>
      </c>
      <c r="B4611" s="20" t="str">
        <f>HYPERLINK("https://twitter.com/AlanLondonCity","@AlanLondonCity")</f>
        <v>@AlanLondonCity</v>
      </c>
      <c r="C4611" s="21" t="s">
        <v>5814</v>
      </c>
      <c r="D4611" s="21" t="s">
        <v>10614</v>
      </c>
      <c r="E4611" s="22" t="str">
        <f>HYPERLINK("https://twitter.com/AlanLondonCity/status/922463161973985280","922463161973985280")</f>
        <v>922463161973985280</v>
      </c>
      <c r="F4611" s="23" t="s">
        <v>39</v>
      </c>
      <c r="G4611" s="24">
        <v>59001.0</v>
      </c>
      <c r="H4611" s="24">
        <v>113.0</v>
      </c>
      <c r="I4611" s="24">
        <v>159.0</v>
      </c>
      <c r="J4611" s="24">
        <v>0.0</v>
      </c>
      <c r="K4611" s="23" t="s">
        <v>34</v>
      </c>
      <c r="L4611" s="25">
        <v>42990.50239583333</v>
      </c>
      <c r="M4611" s="26" t="s">
        <v>40</v>
      </c>
      <c r="N4611" s="26" t="s">
        <v>5815</v>
      </c>
      <c r="O4611" s="22" t="str">
        <f>HYPERLINK("https://pbs.twimg.com/profile_images/907681852466573312/c3GaQ5WR_normal.jpg","View")</f>
        <v>View</v>
      </c>
      <c r="P4611" s="27"/>
    </row>
    <row r="4612">
      <c r="A4612" s="14">
        <v>43031.29318287037</v>
      </c>
      <c r="B4612" s="20" t="str">
        <f>HYPERLINK("https://twitter.com/Dabby1220a","@Dabby1220a")</f>
        <v>@Dabby1220a</v>
      </c>
      <c r="C4612" s="21" t="s">
        <v>8455</v>
      </c>
      <c r="D4612" s="21" t="s">
        <v>7403</v>
      </c>
      <c r="E4612" s="22" t="str">
        <f>HYPERLINK("https://twitter.com/Dabby1220a/status/922463162540027904","922463162540027904")</f>
        <v>922463162540027904</v>
      </c>
      <c r="F4612" s="23" t="s">
        <v>55</v>
      </c>
      <c r="G4612" s="24">
        <v>12.0</v>
      </c>
      <c r="H4612" s="24">
        <v>10.0</v>
      </c>
      <c r="I4612" s="24">
        <v>29.0</v>
      </c>
      <c r="J4612" s="24">
        <v>0.0</v>
      </c>
      <c r="K4612" s="23" t="s">
        <v>34</v>
      </c>
      <c r="L4612" s="25">
        <v>43029.02297453704</v>
      </c>
      <c r="M4612" s="28"/>
      <c r="N4612" s="26" t="s">
        <v>8456</v>
      </c>
      <c r="O4612" s="22" t="str">
        <f>HYPERLINK("https://pbs.twimg.com/profile_images/921652373650419712/cuspCcgp_normal.jpg","View")</f>
        <v>View</v>
      </c>
      <c r="P4612" s="27"/>
    </row>
    <row r="4613">
      <c r="A4613" s="14">
        <v>43031.29318287037</v>
      </c>
      <c r="B4613" s="20" t="str">
        <f>HYPERLINK("https://twitter.com/Missnegurochka","@Missnegurochka")</f>
        <v>@Missnegurochka</v>
      </c>
      <c r="C4613" s="21" t="s">
        <v>10626</v>
      </c>
      <c r="D4613" s="21" t="s">
        <v>10614</v>
      </c>
      <c r="E4613" s="22" t="str">
        <f>HYPERLINK("https://twitter.com/Missnegurochka/status/922463164964507654","922463164964507654")</f>
        <v>922463164964507654</v>
      </c>
      <c r="F4613" s="23" t="s">
        <v>55</v>
      </c>
      <c r="G4613" s="24">
        <v>2538.0</v>
      </c>
      <c r="H4613" s="24">
        <v>787.0</v>
      </c>
      <c r="I4613" s="24">
        <v>159.0</v>
      </c>
      <c r="J4613" s="24">
        <v>0.0</v>
      </c>
      <c r="K4613" s="23" t="s">
        <v>34</v>
      </c>
      <c r="L4613" s="25">
        <v>40543.204872685186</v>
      </c>
      <c r="M4613" s="28"/>
      <c r="N4613" s="26" t="s">
        <v>10627</v>
      </c>
      <c r="O4613" s="22" t="str">
        <f>HYPERLINK("https://pbs.twimg.com/profile_images/879984266435866624/ePe5LueE_normal.jpg","View")</f>
        <v>View</v>
      </c>
      <c r="P4613" s="27"/>
    </row>
    <row r="4614">
      <c r="A4614" s="14">
        <v>43031.29319444444</v>
      </c>
      <c r="B4614" s="20" t="str">
        <f>HYPERLINK("https://twitter.com/NewsHoundCa","@NewsHoundCa")</f>
        <v>@NewsHoundCa</v>
      </c>
      <c r="C4614" s="29" t="s">
        <v>10628</v>
      </c>
      <c r="D4614" s="21" t="s">
        <v>10629</v>
      </c>
      <c r="E4614" s="22" t="str">
        <f>HYPERLINK("https://twitter.com/NewsHoundCa/status/922463167543959554","922463167543959554")</f>
        <v>922463167543959554</v>
      </c>
      <c r="F4614" s="23" t="s">
        <v>10630</v>
      </c>
      <c r="G4614" s="24">
        <v>96.0</v>
      </c>
      <c r="H4614" s="24">
        <v>1264.0</v>
      </c>
      <c r="I4614" s="24">
        <v>0.0</v>
      </c>
      <c r="J4614" s="24">
        <v>0.0</v>
      </c>
      <c r="K4614" s="23" t="s">
        <v>34</v>
      </c>
      <c r="L4614" s="25">
        <v>42028.35836805556</v>
      </c>
      <c r="M4614" s="28"/>
      <c r="N4614" s="26" t="s">
        <v>10631</v>
      </c>
      <c r="O4614" s="22" t="str">
        <f>HYPERLINK("https://pbs.twimg.com/profile_images/754735408857088001/B9NWjC1O_normal.jpg","View")</f>
        <v>View</v>
      </c>
      <c r="P4614" s="27"/>
    </row>
    <row r="4615">
      <c r="A4615" s="14">
        <v>43031.293229166666</v>
      </c>
      <c r="B4615" s="20" t="str">
        <f>HYPERLINK("https://twitter.com/Carloscm69Cc","@Carloscm69Cc")</f>
        <v>@Carloscm69Cc</v>
      </c>
      <c r="C4615" s="21" t="s">
        <v>10632</v>
      </c>
      <c r="D4615" s="21" t="s">
        <v>10614</v>
      </c>
      <c r="E4615" s="22" t="str">
        <f>HYPERLINK("https://twitter.com/Carloscm69Cc/status/922463178889617409","922463178889617409")</f>
        <v>922463178889617409</v>
      </c>
      <c r="F4615" s="23" t="s">
        <v>33</v>
      </c>
      <c r="G4615" s="24">
        <v>1042.0</v>
      </c>
      <c r="H4615" s="24">
        <v>1780.0</v>
      </c>
      <c r="I4615" s="24">
        <v>159.0</v>
      </c>
      <c r="J4615" s="24">
        <v>0.0</v>
      </c>
      <c r="K4615" s="23" t="s">
        <v>34</v>
      </c>
      <c r="L4615" s="25">
        <v>41634.817662037036</v>
      </c>
      <c r="M4615" s="28"/>
      <c r="N4615" s="26" t="s">
        <v>10633</v>
      </c>
      <c r="O4615" s="22" t="str">
        <f>HYPERLINK("https://pbs.twimg.com/profile_images/740712603203211265/wLAdWx9t_normal.jpg","View")</f>
        <v>View</v>
      </c>
      <c r="P4615" s="27"/>
    </row>
    <row r="4616">
      <c r="A4616" s="14">
        <v>43031.29324074074</v>
      </c>
      <c r="B4616" s="20" t="str">
        <f>HYPERLINK("https://twitter.com/IntrepidFF","@IntrepidFF")</f>
        <v>@IntrepidFF</v>
      </c>
      <c r="C4616" s="21" t="s">
        <v>10634</v>
      </c>
      <c r="D4616" s="21" t="s">
        <v>10635</v>
      </c>
      <c r="E4616" s="22" t="str">
        <f>HYPERLINK("https://twitter.com/IntrepidFF/status/922463184195342338","922463184195342338")</f>
        <v>922463184195342338</v>
      </c>
      <c r="F4616" s="23" t="s">
        <v>187</v>
      </c>
      <c r="G4616" s="24">
        <v>78.0</v>
      </c>
      <c r="H4616" s="24">
        <v>144.0</v>
      </c>
      <c r="I4616" s="24">
        <v>0.0</v>
      </c>
      <c r="J4616" s="24">
        <v>1.0</v>
      </c>
      <c r="K4616" s="23" t="s">
        <v>34</v>
      </c>
      <c r="L4616" s="25">
        <v>43007.60690972222</v>
      </c>
      <c r="M4616" s="26" t="s">
        <v>68</v>
      </c>
      <c r="N4616" s="26" t="s">
        <v>10636</v>
      </c>
      <c r="O4616" s="22" t="str">
        <f>HYPERLINK("https://pbs.twimg.com/profile_images/913880163154300928/T7in6NQq_normal.jpg","View")</f>
        <v>View</v>
      </c>
      <c r="P4616" s="27"/>
    </row>
    <row r="4617">
      <c r="A4617" s="14">
        <v>43031.29328703704</v>
      </c>
      <c r="B4617" s="20" t="str">
        <f>HYPERLINK("https://twitter.com/GBR_Qureshi","@GBR_Qureshi")</f>
        <v>@GBR_Qureshi</v>
      </c>
      <c r="C4617" s="21" t="s">
        <v>10637</v>
      </c>
      <c r="D4617" s="21" t="s">
        <v>10614</v>
      </c>
      <c r="E4617" s="22" t="str">
        <f>HYPERLINK("https://twitter.com/GBR_Qureshi/status/922463203065556993","922463203065556993")</f>
        <v>922463203065556993</v>
      </c>
      <c r="F4617" s="23" t="s">
        <v>33</v>
      </c>
      <c r="G4617" s="24">
        <v>112.0</v>
      </c>
      <c r="H4617" s="24">
        <v>129.0</v>
      </c>
      <c r="I4617" s="24">
        <v>159.0</v>
      </c>
      <c r="J4617" s="24">
        <v>0.0</v>
      </c>
      <c r="K4617" s="23" t="s">
        <v>34</v>
      </c>
      <c r="L4617" s="25">
        <v>42529.516446759255</v>
      </c>
      <c r="M4617" s="26" t="s">
        <v>40</v>
      </c>
      <c r="N4617" s="26" t="s">
        <v>10638</v>
      </c>
      <c r="O4617" s="22" t="str">
        <f>HYPERLINK("https://pbs.twimg.com/profile_images/919135675588284416/TLGgmL64_normal.jpg","View")</f>
        <v>View</v>
      </c>
      <c r="P4617" s="27"/>
    </row>
    <row r="4618">
      <c r="A4618" s="14">
        <v>43031.293333333335</v>
      </c>
      <c r="B4618" s="20" t="str">
        <f>HYPERLINK("https://twitter.com/UncleRee1","@UncleRee1")</f>
        <v>@UncleRee1</v>
      </c>
      <c r="C4618" s="21" t="s">
        <v>10639</v>
      </c>
      <c r="D4618" s="21" t="s">
        <v>10614</v>
      </c>
      <c r="E4618" s="22" t="str">
        <f>HYPERLINK("https://twitter.com/UncleRee1/status/922463219049947136","922463219049947136")</f>
        <v>922463219049947136</v>
      </c>
      <c r="F4618" s="23" t="s">
        <v>55</v>
      </c>
      <c r="G4618" s="24">
        <v>2758.0</v>
      </c>
      <c r="H4618" s="24">
        <v>1705.0</v>
      </c>
      <c r="I4618" s="24">
        <v>159.0</v>
      </c>
      <c r="J4618" s="24">
        <v>0.0</v>
      </c>
      <c r="K4618" s="23" t="s">
        <v>34</v>
      </c>
      <c r="L4618" s="25">
        <v>41636.451678240745</v>
      </c>
      <c r="M4618" s="26" t="s">
        <v>10640</v>
      </c>
      <c r="N4618" s="26" t="s">
        <v>10641</v>
      </c>
      <c r="O4618" s="22" t="str">
        <f>HYPERLINK("https://pbs.twimg.com/profile_images/890200793030184960/5Tjf9oUa_normal.jpg","View")</f>
        <v>View</v>
      </c>
      <c r="P4618" s="27"/>
    </row>
    <row r="4619">
      <c r="A4619" s="14">
        <v>43031.29336805556</v>
      </c>
      <c r="B4619" s="20" t="str">
        <f>HYPERLINK("https://twitter.com/knicks148","@knicks148")</f>
        <v>@knicks148</v>
      </c>
      <c r="C4619" s="21" t="s">
        <v>10642</v>
      </c>
      <c r="D4619" s="21" t="s">
        <v>10614</v>
      </c>
      <c r="E4619" s="22" t="str">
        <f>HYPERLINK("https://twitter.com/knicks148/status/922463229808463872","922463229808463872")</f>
        <v>922463229808463872</v>
      </c>
      <c r="F4619" s="23" t="s">
        <v>39</v>
      </c>
      <c r="G4619" s="24">
        <v>1277.0</v>
      </c>
      <c r="H4619" s="24">
        <v>388.0</v>
      </c>
      <c r="I4619" s="24">
        <v>159.0</v>
      </c>
      <c r="J4619" s="24">
        <v>0.0</v>
      </c>
      <c r="K4619" s="23" t="s">
        <v>34</v>
      </c>
      <c r="L4619" s="25">
        <v>40034.757314814815</v>
      </c>
      <c r="M4619" s="26" t="s">
        <v>389</v>
      </c>
      <c r="N4619" s="26" t="s">
        <v>10643</v>
      </c>
      <c r="O4619" s="22" t="str">
        <f>HYPERLINK("https://pbs.twimg.com/profile_images/1127771616/35580_696467202062_8100950_39509198_2569702_n_1__normal.jpg","View")</f>
        <v>View</v>
      </c>
      <c r="P4619" s="27"/>
    </row>
    <row r="4620">
      <c r="A4620" s="14">
        <v>43031.293437500004</v>
      </c>
      <c r="B4620" s="20" t="str">
        <f>HYPERLINK("https://twitter.com/financeprnews","@financeprnews")</f>
        <v>@financeprnews</v>
      </c>
      <c r="C4620" s="21" t="s">
        <v>10644</v>
      </c>
      <c r="D4620" s="21" t="s">
        <v>10645</v>
      </c>
      <c r="E4620" s="22" t="str">
        <f>HYPERLINK("https://twitter.com/financeprnews/status/922463255351590913","922463255351590913")</f>
        <v>922463255351590913</v>
      </c>
      <c r="F4620" s="30" t="s">
        <v>411</v>
      </c>
      <c r="G4620" s="24">
        <v>3157.0</v>
      </c>
      <c r="H4620" s="24">
        <v>1820.0</v>
      </c>
      <c r="I4620" s="24">
        <v>0.0</v>
      </c>
      <c r="J4620" s="24">
        <v>0.0</v>
      </c>
      <c r="K4620" s="23" t="s">
        <v>34</v>
      </c>
      <c r="L4620" s="25">
        <v>40146.09888888889</v>
      </c>
      <c r="M4620" s="26" t="s">
        <v>905</v>
      </c>
      <c r="N4620" s="26" t="s">
        <v>10646</v>
      </c>
      <c r="O4620" s="22" t="str">
        <f>HYPERLINK("https://pbs.twimg.com/profile_images/847548566419714050/tK9Nm8qB_normal.jpg","View")</f>
        <v>View</v>
      </c>
      <c r="P4620" s="27"/>
    </row>
    <row r="4621">
      <c r="A4621" s="14">
        <v>43031.29347222223</v>
      </c>
      <c r="B4621" s="20" t="str">
        <f>HYPERLINK("https://twitter.com/ltholmes","@ltholmes")</f>
        <v>@ltholmes</v>
      </c>
      <c r="C4621" s="21" t="s">
        <v>10647</v>
      </c>
      <c r="D4621" s="21" t="s">
        <v>10648</v>
      </c>
      <c r="E4621" s="22" t="str">
        <f>HYPERLINK("https://twitter.com/ltholmes/status/922463269163622400","922463269163622400")</f>
        <v>922463269163622400</v>
      </c>
      <c r="F4621" s="23" t="s">
        <v>187</v>
      </c>
      <c r="G4621" s="24">
        <v>2681.0</v>
      </c>
      <c r="H4621" s="24">
        <v>2371.0</v>
      </c>
      <c r="I4621" s="24">
        <v>0.0</v>
      </c>
      <c r="J4621" s="24">
        <v>0.0</v>
      </c>
      <c r="K4621" s="23" t="s">
        <v>34</v>
      </c>
      <c r="L4621" s="25">
        <v>39893.829409722224</v>
      </c>
      <c r="M4621" s="26" t="s">
        <v>4198</v>
      </c>
      <c r="N4621" s="26" t="s">
        <v>10649</v>
      </c>
      <c r="O4621" s="22" t="str">
        <f>HYPERLINK("https://pbs.twimg.com/profile_images/378800000680717050/5fa3aab35682b684a8e00ec7386611ef_normal.jpeg","View")</f>
        <v>View</v>
      </c>
      <c r="P4621" s="27"/>
    </row>
    <row r="4622">
      <c r="A4622" s="14">
        <v>43031.29353009259</v>
      </c>
      <c r="B4622" s="20" t="str">
        <f>HYPERLINK("https://twitter.com/32neer","@32neer")</f>
        <v>@32neer</v>
      </c>
      <c r="C4622" s="21" t="s">
        <v>10650</v>
      </c>
      <c r="D4622" s="21" t="s">
        <v>42</v>
      </c>
      <c r="E4622" s="22" t="str">
        <f>HYPERLINK("https://twitter.com/32neer/status/922463289795231745","922463289795231745")</f>
        <v>922463289795231745</v>
      </c>
      <c r="F4622" s="23" t="s">
        <v>55</v>
      </c>
      <c r="G4622" s="24">
        <v>186.0</v>
      </c>
      <c r="H4622" s="24">
        <v>79.0</v>
      </c>
      <c r="I4622" s="24">
        <v>8501.0</v>
      </c>
      <c r="J4622" s="24">
        <v>0.0</v>
      </c>
      <c r="K4622" s="23" t="s">
        <v>34</v>
      </c>
      <c r="L4622" s="25">
        <v>42917.037523148145</v>
      </c>
      <c r="M4622" s="26" t="s">
        <v>204</v>
      </c>
      <c r="N4622" s="26" t="s">
        <v>10651</v>
      </c>
      <c r="O4622" s="22" t="str">
        <f>HYPERLINK("https://pbs.twimg.com/profile_images/902572332421545985/eAod05qN_normal.jpg","View")</f>
        <v>View</v>
      </c>
      <c r="P4622" s="27"/>
    </row>
    <row r="4623">
      <c r="A4623" s="14">
        <v>43031.293541666666</v>
      </c>
      <c r="B4623" s="20" t="str">
        <f>HYPERLINK("https://twitter.com/gooserrex","@gooserrex")</f>
        <v>@gooserrex</v>
      </c>
      <c r="C4623" s="21" t="s">
        <v>10652</v>
      </c>
      <c r="D4623" s="21" t="s">
        <v>10653</v>
      </c>
      <c r="E4623" s="22" t="str">
        <f>HYPERLINK("https://twitter.com/gooserrex/status/922463296019619845","922463296019619845")</f>
        <v>922463296019619845</v>
      </c>
      <c r="F4623" s="23" t="s">
        <v>55</v>
      </c>
      <c r="G4623" s="24">
        <v>716.0</v>
      </c>
      <c r="H4623" s="24">
        <v>2789.0</v>
      </c>
      <c r="I4623" s="24">
        <v>9.0</v>
      </c>
      <c r="J4623" s="24">
        <v>0.0</v>
      </c>
      <c r="K4623" s="23" t="s">
        <v>34</v>
      </c>
      <c r="L4623" s="25">
        <v>39780.78675925926</v>
      </c>
      <c r="M4623" s="26" t="s">
        <v>10654</v>
      </c>
      <c r="N4623" s="26" t="s">
        <v>10655</v>
      </c>
      <c r="O4623" s="22" t="str">
        <f>HYPERLINK("https://pbs.twimg.com/profile_images/873636368227811328/TKb_QinL_normal.jpg","View")</f>
        <v>View</v>
      </c>
      <c r="P4623" s="27"/>
    </row>
    <row r="4624">
      <c r="A4624" s="14">
        <v>43031.29356481481</v>
      </c>
      <c r="B4624" s="20" t="str">
        <f>HYPERLINK("https://twitter.com/nikolamm","@nikolamm")</f>
        <v>@nikolamm</v>
      </c>
      <c r="C4624" s="21" t="s">
        <v>10656</v>
      </c>
      <c r="D4624" s="21" t="s">
        <v>10657</v>
      </c>
      <c r="E4624" s="22" t="str">
        <f>HYPERLINK("https://twitter.com/nikolamm/status/922463304492158977","922463304492158977")</f>
        <v>922463304492158977</v>
      </c>
      <c r="F4624" s="23" t="s">
        <v>55</v>
      </c>
      <c r="G4624" s="24">
        <v>4678.0</v>
      </c>
      <c r="H4624" s="24">
        <v>4485.0</v>
      </c>
      <c r="I4624" s="24">
        <v>0.0</v>
      </c>
      <c r="J4624" s="24">
        <v>0.0</v>
      </c>
      <c r="K4624" s="23" t="s">
        <v>34</v>
      </c>
      <c r="L4624" s="25">
        <v>39904.35298611111</v>
      </c>
      <c r="M4624" s="28"/>
      <c r="N4624" s="28"/>
      <c r="O4624" s="22" t="str">
        <f>HYPERLINK("https://pbs.twimg.com/profile_images/572389658831486976/3_qOqzl1_normal.jpeg","View")</f>
        <v>View</v>
      </c>
      <c r="P4624" s="27"/>
    </row>
    <row r="4625">
      <c r="A4625" s="14">
        <v>43031.29357638889</v>
      </c>
      <c r="B4625" s="20" t="str">
        <f>HYPERLINK("https://twitter.com/mepratap","@mepratap")</f>
        <v>@mepratap</v>
      </c>
      <c r="C4625" s="21" t="s">
        <v>10658</v>
      </c>
      <c r="D4625" s="21" t="s">
        <v>42</v>
      </c>
      <c r="E4625" s="22" t="str">
        <f>HYPERLINK("https://twitter.com/mepratap/status/922463305255477250","922463305255477250")</f>
        <v>922463305255477250</v>
      </c>
      <c r="F4625" s="23" t="s">
        <v>39</v>
      </c>
      <c r="G4625" s="24">
        <v>114094.0</v>
      </c>
      <c r="H4625" s="24">
        <v>773.0</v>
      </c>
      <c r="I4625" s="24">
        <v>8501.0</v>
      </c>
      <c r="J4625" s="24">
        <v>0.0</v>
      </c>
      <c r="K4625" s="23" t="s">
        <v>34</v>
      </c>
      <c r="L4625" s="25">
        <v>40220.9708912037</v>
      </c>
      <c r="M4625" s="26" t="s">
        <v>10659</v>
      </c>
      <c r="N4625" s="26" t="s">
        <v>10660</v>
      </c>
      <c r="O4625" s="22" t="str">
        <f>HYPERLINK("https://pbs.twimg.com/profile_images/921842821945901056/7qbVQhDJ_normal.jpg","View")</f>
        <v>View</v>
      </c>
      <c r="P4625" s="27"/>
    </row>
    <row r="4626">
      <c r="A4626" s="14">
        <v>43031.293599537035</v>
      </c>
      <c r="B4626" s="20" t="str">
        <f>HYPERLINK("https://twitter.com/spenasy3","@spenasy3")</f>
        <v>@spenasy3</v>
      </c>
      <c r="C4626" s="21" t="s">
        <v>10661</v>
      </c>
      <c r="D4626" s="21" t="s">
        <v>10437</v>
      </c>
      <c r="E4626" s="22" t="str">
        <f>HYPERLINK("https://twitter.com/spenasy3/status/922463314025897987","922463314025897987")</f>
        <v>922463314025897987</v>
      </c>
      <c r="F4626" s="23" t="s">
        <v>39</v>
      </c>
      <c r="G4626" s="24">
        <v>81.0</v>
      </c>
      <c r="H4626" s="24">
        <v>268.0</v>
      </c>
      <c r="I4626" s="24">
        <v>16.0</v>
      </c>
      <c r="J4626" s="24">
        <v>0.0</v>
      </c>
      <c r="K4626" s="23" t="s">
        <v>34</v>
      </c>
      <c r="L4626" s="25">
        <v>40709.798530092594</v>
      </c>
      <c r="M4626" s="26" t="s">
        <v>10662</v>
      </c>
      <c r="N4626" s="26" t="s">
        <v>10663</v>
      </c>
      <c r="O4626" s="22" t="str">
        <f>HYPERLINK("https://pbs.twimg.com/profile_images/570594165374844928/H5MpSZs8_normal.jpeg","View")</f>
        <v>View</v>
      </c>
      <c r="P4626" s="27"/>
    </row>
    <row r="4627">
      <c r="A4627" s="14">
        <v>43031.2937962963</v>
      </c>
      <c r="B4627" s="20" t="str">
        <f>HYPERLINK("https://twitter.com/S52650529","@S52650529")</f>
        <v>@S52650529</v>
      </c>
      <c r="C4627" s="21" t="s">
        <v>10664</v>
      </c>
      <c r="D4627" s="21" t="s">
        <v>42</v>
      </c>
      <c r="E4627" s="22" t="str">
        <f>HYPERLINK("https://twitter.com/S52650529/status/922463384502767618","922463384502767618")</f>
        <v>922463384502767618</v>
      </c>
      <c r="F4627" s="23" t="s">
        <v>33</v>
      </c>
      <c r="G4627" s="24">
        <v>23.0</v>
      </c>
      <c r="H4627" s="24">
        <v>567.0</v>
      </c>
      <c r="I4627" s="24">
        <v>8501.0</v>
      </c>
      <c r="J4627" s="24">
        <v>0.0</v>
      </c>
      <c r="K4627" s="23" t="s">
        <v>34</v>
      </c>
      <c r="L4627" s="25">
        <v>42913.03138888889</v>
      </c>
      <c r="M4627" s="26" t="s">
        <v>10665</v>
      </c>
      <c r="N4627" s="26" t="s">
        <v>10666</v>
      </c>
      <c r="O4627" s="22" t="str">
        <f>HYPERLINK("https://abs.twimg.com/sticky/default_profile_images/default_profile_normal.png","View")</f>
        <v>View</v>
      </c>
      <c r="P4627" s="27"/>
    </row>
    <row r="4628">
      <c r="A4628" s="14">
        <v>43031.293807870374</v>
      </c>
      <c r="B4628" s="20" t="str">
        <f>HYPERLINK("https://twitter.com/TheMagicTurtles","@TheMagicTurtles")</f>
        <v>@TheMagicTurtles</v>
      </c>
      <c r="C4628" s="21" t="s">
        <v>10667</v>
      </c>
      <c r="D4628" s="21" t="s">
        <v>10437</v>
      </c>
      <c r="E4628" s="22" t="str">
        <f>HYPERLINK("https://twitter.com/TheMagicTurtles/status/922463389334589440","922463389334589440")</f>
        <v>922463389334589440</v>
      </c>
      <c r="F4628" s="23" t="s">
        <v>39</v>
      </c>
      <c r="G4628" s="24">
        <v>594.0</v>
      </c>
      <c r="H4628" s="24">
        <v>533.0</v>
      </c>
      <c r="I4628" s="24">
        <v>16.0</v>
      </c>
      <c r="J4628" s="24">
        <v>0.0</v>
      </c>
      <c r="K4628" s="23" t="s">
        <v>34</v>
      </c>
      <c r="L4628" s="25">
        <v>41234.64755787037</v>
      </c>
      <c r="M4628" s="28"/>
      <c r="N4628" s="26" t="s">
        <v>10668</v>
      </c>
      <c r="O4628" s="22" t="str">
        <f>HYPERLINK("https://pbs.twimg.com/profile_images/922127597626167298/REtYqScr_normal.jpg","View")</f>
        <v>View</v>
      </c>
      <c r="P4628" s="27"/>
    </row>
    <row r="4629">
      <c r="A4629" s="14">
        <v>43031.29383101852</v>
      </c>
      <c r="B4629" s="20" t="str">
        <f>HYPERLINK("https://twitter.com/ArmchairPseph","@ArmchairPseph")</f>
        <v>@ArmchairPseph</v>
      </c>
      <c r="C4629" s="21" t="s">
        <v>10669</v>
      </c>
      <c r="D4629" s="21" t="s">
        <v>42</v>
      </c>
      <c r="E4629" s="22" t="str">
        <f>HYPERLINK("https://twitter.com/ArmchairPseph/status/922463397614051328","922463397614051328")</f>
        <v>922463397614051328</v>
      </c>
      <c r="F4629" s="23" t="s">
        <v>33</v>
      </c>
      <c r="G4629" s="24">
        <v>4508.0</v>
      </c>
      <c r="H4629" s="24">
        <v>230.0</v>
      </c>
      <c r="I4629" s="24">
        <v>8501.0</v>
      </c>
      <c r="J4629" s="24">
        <v>0.0</v>
      </c>
      <c r="K4629" s="23" t="s">
        <v>34</v>
      </c>
      <c r="L4629" s="25">
        <v>39888.14875</v>
      </c>
      <c r="M4629" s="26" t="s">
        <v>204</v>
      </c>
      <c r="N4629" s="26" t="s">
        <v>10670</v>
      </c>
      <c r="O4629" s="22" t="str">
        <f>HYPERLINK("https://pbs.twimg.com/profile_images/916946937063997440/IfnlzeQm_normal.jpg","View")</f>
        <v>View</v>
      </c>
      <c r="P4629" s="27"/>
    </row>
    <row r="4630">
      <c r="A4630" s="14">
        <v>43031.293958333335</v>
      </c>
      <c r="B4630" s="20" t="str">
        <f>HYPERLINK("https://twitter.com/abosife2010","@abosife2010")</f>
        <v>@abosife2010</v>
      </c>
      <c r="C4630" s="21" t="s">
        <v>1585</v>
      </c>
      <c r="D4630" s="21" t="s">
        <v>10653</v>
      </c>
      <c r="E4630" s="22" t="str">
        <f>HYPERLINK("https://twitter.com/abosife2010/status/922463446754643968","922463446754643968")</f>
        <v>922463446754643968</v>
      </c>
      <c r="F4630" s="23" t="s">
        <v>43</v>
      </c>
      <c r="G4630" s="24">
        <v>1145.0</v>
      </c>
      <c r="H4630" s="24">
        <v>3102.0</v>
      </c>
      <c r="I4630" s="24">
        <v>9.0</v>
      </c>
      <c r="J4630" s="24">
        <v>0.0</v>
      </c>
      <c r="K4630" s="23" t="s">
        <v>34</v>
      </c>
      <c r="L4630" s="25">
        <v>40712.519224537034</v>
      </c>
      <c r="M4630" s="32" t="s">
        <v>1586</v>
      </c>
      <c r="N4630" s="26" t="s">
        <v>1587</v>
      </c>
      <c r="O4630" s="22" t="str">
        <f>HYPERLINK("https://pbs.twimg.com/profile_images/869146010953682944/tD96CxJ8_normal.jpg","View")</f>
        <v>View</v>
      </c>
      <c r="P4630" s="27"/>
    </row>
    <row r="4631">
      <c r="A4631" s="14">
        <v>43031.29405092592</v>
      </c>
      <c r="B4631" s="20" t="str">
        <f>HYPERLINK("https://twitter.com/dksadokhar","@dksadokhar")</f>
        <v>@dksadokhar</v>
      </c>
      <c r="C4631" s="21" t="s">
        <v>10671</v>
      </c>
      <c r="D4631" s="21" t="s">
        <v>42</v>
      </c>
      <c r="E4631" s="22" t="str">
        <f>HYPERLINK("https://twitter.com/dksadokhar/status/922463478241099776","922463478241099776")</f>
        <v>922463478241099776</v>
      </c>
      <c r="F4631" s="23" t="s">
        <v>33</v>
      </c>
      <c r="G4631" s="24">
        <v>4.0</v>
      </c>
      <c r="H4631" s="24">
        <v>66.0</v>
      </c>
      <c r="I4631" s="24">
        <v>8501.0</v>
      </c>
      <c r="J4631" s="24">
        <v>0.0</v>
      </c>
      <c r="K4631" s="23" t="s">
        <v>34</v>
      </c>
      <c r="L4631" s="25">
        <v>42202.44790509259</v>
      </c>
      <c r="M4631" s="28"/>
      <c r="N4631" s="28"/>
      <c r="O4631" s="22" t="str">
        <f>HYPERLINK("https://pbs.twimg.com/profile_images/622101756210647040/KCtqZQRG_normal.jpg","View")</f>
        <v>View</v>
      </c>
      <c r="P4631" s="27"/>
    </row>
    <row r="4632">
      <c r="A4632" s="14">
        <v>43031.294074074074</v>
      </c>
      <c r="B4632" s="20" t="str">
        <f>HYPERLINK("https://twitter.com/swissifg","@swissifg")</f>
        <v>@swissifg</v>
      </c>
      <c r="C4632" s="21" t="s">
        <v>3967</v>
      </c>
      <c r="D4632" s="21" t="s">
        <v>10672</v>
      </c>
      <c r="E4632" s="22" t="str">
        <f>HYPERLINK("https://twitter.com/swissifg/status/922463488026533888","922463488026533888")</f>
        <v>922463488026533888</v>
      </c>
      <c r="F4632" s="23" t="s">
        <v>187</v>
      </c>
      <c r="G4632" s="24">
        <v>1204.0</v>
      </c>
      <c r="H4632" s="24">
        <v>671.0</v>
      </c>
      <c r="I4632" s="24">
        <v>0.0</v>
      </c>
      <c r="J4632" s="24">
        <v>0.0</v>
      </c>
      <c r="K4632" s="23" t="s">
        <v>34</v>
      </c>
      <c r="L4632" s="25">
        <v>42499.2341087963</v>
      </c>
      <c r="M4632" s="26" t="s">
        <v>3969</v>
      </c>
      <c r="N4632" s="26" t="s">
        <v>3970</v>
      </c>
      <c r="O4632" s="22" t="str">
        <f>HYPERLINK("https://pbs.twimg.com/profile_images/729681805088063489/N4ls5vb8_normal.jpg","View")</f>
        <v>View</v>
      </c>
      <c r="P4632" s="27"/>
    </row>
    <row r="4633">
      <c r="A4633" s="14">
        <v>43031.294085648144</v>
      </c>
      <c r="B4633" s="20" t="str">
        <f>HYPERLINK("https://twitter.com/MexMys","@MexMys")</f>
        <v>@MexMys</v>
      </c>
      <c r="C4633" s="21" t="s">
        <v>10673</v>
      </c>
      <c r="D4633" s="21" t="s">
        <v>42</v>
      </c>
      <c r="E4633" s="22" t="str">
        <f>HYPERLINK("https://twitter.com/MexMys/status/922463492539539457","922463492539539457")</f>
        <v>922463492539539457</v>
      </c>
      <c r="F4633" s="23" t="s">
        <v>33</v>
      </c>
      <c r="G4633" s="24">
        <v>24.0</v>
      </c>
      <c r="H4633" s="24">
        <v>168.0</v>
      </c>
      <c r="I4633" s="24">
        <v>8501.0</v>
      </c>
      <c r="J4633" s="24">
        <v>0.0</v>
      </c>
      <c r="K4633" s="23" t="s">
        <v>34</v>
      </c>
      <c r="L4633" s="25">
        <v>42704.33138888889</v>
      </c>
      <c r="M4633" s="26" t="s">
        <v>8321</v>
      </c>
      <c r="N4633" s="26" t="s">
        <v>815</v>
      </c>
      <c r="O4633" s="22" t="str">
        <f>HYPERLINK("https://pbs.twimg.com/profile_images/819100576273285120/XMvH32xH_normal.jpg","View")</f>
        <v>View</v>
      </c>
      <c r="P4633" s="27"/>
    </row>
    <row r="4634">
      <c r="A4634" s="14">
        <v>43031.29420138889</v>
      </c>
      <c r="B4634" s="20" t="str">
        <f>HYPERLINK("https://twitter.com/kmprajeesh","@kmprajeesh")</f>
        <v>@kmprajeesh</v>
      </c>
      <c r="C4634" s="21" t="s">
        <v>10674</v>
      </c>
      <c r="D4634" s="21" t="s">
        <v>10675</v>
      </c>
      <c r="E4634" s="22" t="str">
        <f>HYPERLINK("https://twitter.com/kmprajeesh/status/922463532439834625","922463532439834625")</f>
        <v>922463532439834625</v>
      </c>
      <c r="F4634" s="23" t="s">
        <v>43</v>
      </c>
      <c r="G4634" s="24">
        <v>127.0</v>
      </c>
      <c r="H4634" s="24">
        <v>77.0</v>
      </c>
      <c r="I4634" s="24">
        <v>0.0</v>
      </c>
      <c r="J4634" s="24">
        <v>0.0</v>
      </c>
      <c r="K4634" s="23" t="s">
        <v>34</v>
      </c>
      <c r="L4634" s="25">
        <v>40006.33188657407</v>
      </c>
      <c r="M4634" s="26" t="s">
        <v>10676</v>
      </c>
      <c r="N4634" s="26" t="s">
        <v>10677</v>
      </c>
      <c r="O4634" s="22" t="str">
        <f>HYPERLINK("https://pbs.twimg.com/profile_images/457492681/king_lion_normal.jpg","View")</f>
        <v>View</v>
      </c>
      <c r="P4634" s="27"/>
    </row>
    <row r="4635">
      <c r="A4635" s="14">
        <v>43031.294224537036</v>
      </c>
      <c r="B4635" s="20" t="str">
        <f>HYPERLINK("https://twitter.com/Skjsanjay8Kumar","@Skjsanjay8Kumar")</f>
        <v>@Skjsanjay8Kumar</v>
      </c>
      <c r="C4635" s="21" t="s">
        <v>10678</v>
      </c>
      <c r="D4635" s="21" t="s">
        <v>42</v>
      </c>
      <c r="E4635" s="22" t="str">
        <f>HYPERLINK("https://twitter.com/Skjsanjay8Kumar/status/922463542405500928","922463542405500928")</f>
        <v>922463542405500928</v>
      </c>
      <c r="F4635" s="23" t="s">
        <v>33</v>
      </c>
      <c r="G4635" s="24">
        <v>137.0</v>
      </c>
      <c r="H4635" s="24">
        <v>212.0</v>
      </c>
      <c r="I4635" s="24">
        <v>8501.0</v>
      </c>
      <c r="J4635" s="24">
        <v>0.0</v>
      </c>
      <c r="K4635" s="23" t="s">
        <v>34</v>
      </c>
      <c r="L4635" s="25">
        <v>41293.33336805555</v>
      </c>
      <c r="M4635" s="26" t="s">
        <v>234</v>
      </c>
      <c r="N4635" s="26" t="s">
        <v>10679</v>
      </c>
      <c r="O4635" s="22" t="str">
        <f>HYPERLINK("https://pbs.twimg.com/profile_images/921379156918657024/KsOYdYDl_normal.jpg","View")</f>
        <v>View</v>
      </c>
      <c r="P4635" s="27"/>
    </row>
    <row r="4636">
      <c r="A4636" s="14">
        <v>43031.29424768519</v>
      </c>
      <c r="B4636" s="20" t="str">
        <f>HYPERLINK("https://twitter.com/HKBhardwaj5","@HKBhardwaj5")</f>
        <v>@HKBhardwaj5</v>
      </c>
      <c r="C4636" s="21" t="s">
        <v>10680</v>
      </c>
      <c r="D4636" s="21" t="s">
        <v>42</v>
      </c>
      <c r="E4636" s="22" t="str">
        <f>HYPERLINK("https://twitter.com/HKBhardwaj5/status/922463548772700161","922463548772700161")</f>
        <v>922463548772700161</v>
      </c>
      <c r="F4636" s="23" t="s">
        <v>33</v>
      </c>
      <c r="G4636" s="24">
        <v>163.0</v>
      </c>
      <c r="H4636" s="24">
        <v>422.0</v>
      </c>
      <c r="I4636" s="24">
        <v>8501.0</v>
      </c>
      <c r="J4636" s="24">
        <v>0.0</v>
      </c>
      <c r="K4636" s="23" t="s">
        <v>34</v>
      </c>
      <c r="L4636" s="25">
        <v>42431.07030092593</v>
      </c>
      <c r="M4636" s="28"/>
      <c r="N4636" s="28"/>
      <c r="O4636" s="22" t="str">
        <f>HYPERLINK("https://abs.twimg.com/sticky/default_profile_images/default_profile_normal.png","View")</f>
        <v>View</v>
      </c>
      <c r="P4636" s="27"/>
    </row>
    <row r="4637">
      <c r="A4637" s="14">
        <v>43031.29424768519</v>
      </c>
      <c r="B4637" s="20" t="str">
        <f>HYPERLINK("https://twitter.com/chatura44","@chatura44")</f>
        <v>@chatura44</v>
      </c>
      <c r="C4637" s="21" t="s">
        <v>10681</v>
      </c>
      <c r="D4637" s="21" t="s">
        <v>42</v>
      </c>
      <c r="E4637" s="22" t="str">
        <f>HYPERLINK("https://twitter.com/chatura44/status/922463549699506177","922463549699506177")</f>
        <v>922463549699506177</v>
      </c>
      <c r="F4637" s="23" t="s">
        <v>55</v>
      </c>
      <c r="G4637" s="24">
        <v>182.0</v>
      </c>
      <c r="H4637" s="24">
        <v>256.0</v>
      </c>
      <c r="I4637" s="24">
        <v>8501.0</v>
      </c>
      <c r="J4637" s="24">
        <v>0.0</v>
      </c>
      <c r="K4637" s="23" t="s">
        <v>34</v>
      </c>
      <c r="L4637" s="25">
        <v>42888.01155092593</v>
      </c>
      <c r="M4637" s="28"/>
      <c r="N4637" s="28"/>
      <c r="O4637" s="22" t="str">
        <f>HYPERLINK("https://pbs.twimg.com/profile_images/921067249464631297/j-2yNrze_normal.jpg","View")</f>
        <v>View</v>
      </c>
      <c r="P4637" s="27"/>
    </row>
    <row r="4638">
      <c r="A4638" s="14">
        <v>43031.29424768519</v>
      </c>
      <c r="B4638" s="20" t="str">
        <f>HYPERLINK("https://twitter.com/amaresh4","@amaresh4")</f>
        <v>@amaresh4</v>
      </c>
      <c r="C4638" s="21" t="s">
        <v>10682</v>
      </c>
      <c r="D4638" s="21" t="s">
        <v>163</v>
      </c>
      <c r="E4638" s="22" t="str">
        <f>HYPERLINK("https://twitter.com/amaresh4/status/922463549716234240","922463549716234240")</f>
        <v>922463549716234240</v>
      </c>
      <c r="F4638" s="23" t="s">
        <v>39</v>
      </c>
      <c r="G4638" s="24">
        <v>726.0</v>
      </c>
      <c r="H4638" s="24">
        <v>705.0</v>
      </c>
      <c r="I4638" s="24">
        <v>1005.0</v>
      </c>
      <c r="J4638" s="24">
        <v>0.0</v>
      </c>
      <c r="K4638" s="23" t="s">
        <v>34</v>
      </c>
      <c r="L4638" s="25">
        <v>40291.083391203705</v>
      </c>
      <c r="M4638" s="26" t="s">
        <v>164</v>
      </c>
      <c r="N4638" s="26" t="s">
        <v>10683</v>
      </c>
      <c r="O4638" s="22" t="str">
        <f>HYPERLINK("https://pbs.twimg.com/profile_images/897119305740959751/2PAuCk3b_normal.jpg","View")</f>
        <v>View</v>
      </c>
      <c r="P4638" s="27"/>
    </row>
    <row r="4639">
      <c r="A4639" s="14">
        <v>43031.29427083333</v>
      </c>
      <c r="B4639" s="20" t="str">
        <f>HYPERLINK("https://twitter.com/jkielee","@jkielee")</f>
        <v>@jkielee</v>
      </c>
      <c r="C4639" s="21" t="s">
        <v>10684</v>
      </c>
      <c r="D4639" s="21" t="s">
        <v>6925</v>
      </c>
      <c r="E4639" s="22" t="str">
        <f>HYPERLINK("https://twitter.com/jkielee/status/922463560176844800","922463560176844800")</f>
        <v>922463560176844800</v>
      </c>
      <c r="F4639" s="23" t="s">
        <v>55</v>
      </c>
      <c r="G4639" s="24">
        <v>316.0</v>
      </c>
      <c r="H4639" s="24">
        <v>187.0</v>
      </c>
      <c r="I4639" s="24">
        <v>3.0</v>
      </c>
      <c r="J4639" s="24">
        <v>0.0</v>
      </c>
      <c r="K4639" s="23" t="s">
        <v>34</v>
      </c>
      <c r="L4639" s="25">
        <v>41062.050520833334</v>
      </c>
      <c r="M4639" s="26" t="s">
        <v>295</v>
      </c>
      <c r="N4639" s="26" t="s">
        <v>10685</v>
      </c>
      <c r="O4639" s="22" t="str">
        <f>HYPERLINK("https://pbs.twimg.com/profile_images/908952839044472834/0tNQ1odT_normal.jpg","View")</f>
        <v>View</v>
      </c>
      <c r="P4639" s="27"/>
    </row>
    <row r="4640">
      <c r="A4640" s="14">
        <v>43031.29428240741</v>
      </c>
      <c r="B4640" s="20" t="str">
        <f>HYPERLINK("https://twitter.com/agan143","@agan143")</f>
        <v>@agan143</v>
      </c>
      <c r="C4640" s="21" t="s">
        <v>10686</v>
      </c>
      <c r="D4640" s="21" t="s">
        <v>10614</v>
      </c>
      <c r="E4640" s="22" t="str">
        <f>HYPERLINK("https://twitter.com/agan143/status/922463562509012992","922463562509012992")</f>
        <v>922463562509012992</v>
      </c>
      <c r="F4640" s="23" t="s">
        <v>33</v>
      </c>
      <c r="G4640" s="24">
        <v>144.0</v>
      </c>
      <c r="H4640" s="24">
        <v>214.0</v>
      </c>
      <c r="I4640" s="24">
        <v>159.0</v>
      </c>
      <c r="J4640" s="24">
        <v>0.0</v>
      </c>
      <c r="K4640" s="23" t="s">
        <v>34</v>
      </c>
      <c r="L4640" s="25">
        <v>40180.273263888885</v>
      </c>
      <c r="M4640" s="28"/>
      <c r="N4640" s="28"/>
      <c r="O4640" s="22" t="str">
        <f>HYPERLINK("https://pbs.twimg.com/profile_images/847125592000614400/_K4jjIJH_normal.jpg","View")</f>
        <v>View</v>
      </c>
      <c r="P4640" s="27"/>
    </row>
    <row r="4641">
      <c r="A4641" s="14">
        <v>43031.2944212963</v>
      </c>
      <c r="B4641" s="20" t="str">
        <f>HYPERLINK("https://twitter.com/ApprendreT","@ApprendreT")</f>
        <v>@ApprendreT</v>
      </c>
      <c r="C4641" s="21" t="s">
        <v>10687</v>
      </c>
      <c r="D4641" s="21" t="s">
        <v>10688</v>
      </c>
      <c r="E4641" s="22" t="str">
        <f>HYPERLINK("https://twitter.com/ApprendreT/status/922463613151055873","922463613151055873")</f>
        <v>922463613151055873</v>
      </c>
      <c r="F4641" s="23" t="s">
        <v>187</v>
      </c>
      <c r="G4641" s="24">
        <v>1170.0</v>
      </c>
      <c r="H4641" s="24">
        <v>722.0</v>
      </c>
      <c r="I4641" s="24">
        <v>0.0</v>
      </c>
      <c r="J4641" s="24">
        <v>0.0</v>
      </c>
      <c r="K4641" s="23" t="s">
        <v>34</v>
      </c>
      <c r="L4641" s="25">
        <v>42823.09716435186</v>
      </c>
      <c r="M4641" s="26" t="s">
        <v>6118</v>
      </c>
      <c r="N4641" s="26">
        <v>3.30977219001E11</v>
      </c>
      <c r="O4641" s="22" t="str">
        <f>HYPERLINK("https://pbs.twimg.com/profile_images/847040559801925632/CdsF-Hwx_normal.jpg","View")</f>
        <v>View</v>
      </c>
      <c r="P4641" s="27"/>
    </row>
    <row r="4642">
      <c r="A4642" s="14">
        <v>43031.294432870374</v>
      </c>
      <c r="B4642" s="20" t="str">
        <f>HYPERLINK("https://twitter.com/InvestingLatest","@InvestingLatest")</f>
        <v>@InvestingLatest</v>
      </c>
      <c r="C4642" s="21" t="s">
        <v>3758</v>
      </c>
      <c r="D4642" s="21" t="s">
        <v>10689</v>
      </c>
      <c r="E4642" s="22" t="str">
        <f>HYPERLINK("https://twitter.com/InvestingLatest/status/922463615118176262","922463615118176262")</f>
        <v>922463615118176262</v>
      </c>
      <c r="F4642" s="23" t="s">
        <v>187</v>
      </c>
      <c r="G4642" s="24">
        <v>1534.0</v>
      </c>
      <c r="H4642" s="24">
        <v>33.0</v>
      </c>
      <c r="I4642" s="24">
        <v>0.0</v>
      </c>
      <c r="J4642" s="24">
        <v>0.0</v>
      </c>
      <c r="K4642" s="23" t="s">
        <v>34</v>
      </c>
      <c r="L4642" s="25">
        <v>41946.3308912037</v>
      </c>
      <c r="M4642" s="28"/>
      <c r="N4642" s="26" t="s">
        <v>3760</v>
      </c>
      <c r="O4642" s="22" t="str">
        <f>HYPERLINK("https://pbs.twimg.com/profile_images/529461684297945089/uscUz0UO_normal.jpeg","View")</f>
        <v>View</v>
      </c>
      <c r="P4642" s="27"/>
    </row>
    <row r="4643">
      <c r="A4643" s="14">
        <v>43031.29456018518</v>
      </c>
      <c r="B4643" s="20" t="str">
        <f>HYPERLINK("https://twitter.com/AyanHusain2121","@AyanHusain2121")</f>
        <v>@AyanHusain2121</v>
      </c>
      <c r="C4643" s="21" t="s">
        <v>10690</v>
      </c>
      <c r="D4643" s="21" t="s">
        <v>10614</v>
      </c>
      <c r="E4643" s="22" t="str">
        <f>HYPERLINK("https://twitter.com/AyanHusain2121/status/922463662132129792","922463662132129792")</f>
        <v>922463662132129792</v>
      </c>
      <c r="F4643" s="23" t="s">
        <v>39</v>
      </c>
      <c r="G4643" s="24">
        <v>27.0</v>
      </c>
      <c r="H4643" s="24">
        <v>148.0</v>
      </c>
      <c r="I4643" s="24">
        <v>159.0</v>
      </c>
      <c r="J4643" s="24">
        <v>0.0</v>
      </c>
      <c r="K4643" s="23" t="s">
        <v>34</v>
      </c>
      <c r="L4643" s="25">
        <v>42865.31675925926</v>
      </c>
      <c r="M4643" s="26" t="s">
        <v>10691</v>
      </c>
      <c r="N4643" s="26" t="s">
        <v>10692</v>
      </c>
      <c r="O4643" s="22" t="str">
        <f>HYPERLINK("https://pbs.twimg.com/profile_images/871959143845945345/ncAcSQly_normal.jpg","View")</f>
        <v>View</v>
      </c>
      <c r="P4643" s="27"/>
    </row>
    <row r="4644">
      <c r="A4644" s="14">
        <v>43031.29457175926</v>
      </c>
      <c r="B4644" s="20" t="str">
        <f>HYPERLINK("https://twitter.com/Psychgallica","@Psychgallica")</f>
        <v>@Psychgallica</v>
      </c>
      <c r="C4644" s="21" t="s">
        <v>10693</v>
      </c>
      <c r="D4644" s="21" t="s">
        <v>10614</v>
      </c>
      <c r="E4644" s="22" t="str">
        <f>HYPERLINK("https://twitter.com/Psychgallica/status/922463666330591233","922463666330591233")</f>
        <v>922463666330591233</v>
      </c>
      <c r="F4644" s="23" t="s">
        <v>2119</v>
      </c>
      <c r="G4644" s="24">
        <v>789.0</v>
      </c>
      <c r="H4644" s="24">
        <v>155.0</v>
      </c>
      <c r="I4644" s="24">
        <v>159.0</v>
      </c>
      <c r="J4644" s="24">
        <v>0.0</v>
      </c>
      <c r="K4644" s="23" t="s">
        <v>34</v>
      </c>
      <c r="L4644" s="25">
        <v>40029.369722222225</v>
      </c>
      <c r="M4644" s="26" t="s">
        <v>10694</v>
      </c>
      <c r="N4644" s="26" t="s">
        <v>10695</v>
      </c>
      <c r="O4644" s="22" t="str">
        <f>HYPERLINK("https://pbs.twimg.com/profile_images/1603000550/earthrise2_normal.jpg","View")</f>
        <v>View</v>
      </c>
      <c r="P4644" s="27"/>
    </row>
    <row r="4645">
      <c r="A4645" s="14">
        <v>43031.294583333336</v>
      </c>
      <c r="B4645" s="20" t="str">
        <f>HYPERLINK("https://twitter.com/louthelip","@louthelip")</f>
        <v>@louthelip</v>
      </c>
      <c r="C4645" s="21" t="s">
        <v>10696</v>
      </c>
      <c r="D4645" s="21" t="s">
        <v>10614</v>
      </c>
      <c r="E4645" s="22" t="str">
        <f>HYPERLINK("https://twitter.com/louthelip/status/922463671204298752","922463671204298752")</f>
        <v>922463671204298752</v>
      </c>
      <c r="F4645" s="23" t="s">
        <v>55</v>
      </c>
      <c r="G4645" s="24">
        <v>94.0</v>
      </c>
      <c r="H4645" s="24">
        <v>651.0</v>
      </c>
      <c r="I4645" s="24">
        <v>159.0</v>
      </c>
      <c r="J4645" s="24">
        <v>0.0</v>
      </c>
      <c r="K4645" s="23" t="s">
        <v>34</v>
      </c>
      <c r="L4645" s="25">
        <v>39984.53146990741</v>
      </c>
      <c r="M4645" s="26" t="s">
        <v>10697</v>
      </c>
      <c r="N4645" s="28"/>
      <c r="O4645" s="22" t="str">
        <f>HYPERLINK("https://pbs.twimg.com/profile_images/2537571963/4i1d9gkr6rpdulks55t7_normal.jpeg","View")</f>
        <v>View</v>
      </c>
      <c r="P4645" s="27"/>
    </row>
    <row r="4646">
      <c r="A4646" s="14">
        <v>43031.294583333336</v>
      </c>
      <c r="B4646" s="20" t="str">
        <f>HYPERLINK("https://twitter.com/Edinson_Fonseca","@Edinson_Fonseca")</f>
        <v>@Edinson_Fonseca</v>
      </c>
      <c r="C4646" s="21" t="s">
        <v>10698</v>
      </c>
      <c r="D4646" s="21" t="s">
        <v>10699</v>
      </c>
      <c r="E4646" s="22" t="str">
        <f>HYPERLINK("https://twitter.com/Edinson_Fonseca/status/922463672768892928","922463672768892928")</f>
        <v>922463672768892928</v>
      </c>
      <c r="F4646" s="23" t="s">
        <v>55</v>
      </c>
      <c r="G4646" s="24">
        <v>458.0</v>
      </c>
      <c r="H4646" s="24">
        <v>2489.0</v>
      </c>
      <c r="I4646" s="24">
        <v>0.0</v>
      </c>
      <c r="J4646" s="24">
        <v>0.0</v>
      </c>
      <c r="K4646" s="23" t="s">
        <v>34</v>
      </c>
      <c r="L4646" s="25">
        <v>40328.63806712963</v>
      </c>
      <c r="M4646" s="26" t="s">
        <v>10700</v>
      </c>
      <c r="N4646" s="26" t="s">
        <v>10701</v>
      </c>
      <c r="O4646" s="22" t="str">
        <f>HYPERLINK("https://pbs.twimg.com/profile_images/907086598281592832/VPyY2nZk_normal.jpg","View")</f>
        <v>View</v>
      </c>
      <c r="P4646" s="27"/>
    </row>
    <row r="4647">
      <c r="A4647" s="14">
        <v>43031.29462962963</v>
      </c>
      <c r="B4647" s="20" t="str">
        <f>HYPERLINK("https://twitter.com/hide1117","@hide1117")</f>
        <v>@hide1117</v>
      </c>
      <c r="C4647" s="21" t="s">
        <v>10702</v>
      </c>
      <c r="D4647" s="21" t="s">
        <v>42</v>
      </c>
      <c r="E4647" s="22" t="str">
        <f>HYPERLINK("https://twitter.com/hide1117/status/922463688501510147","922463688501510147")</f>
        <v>922463688501510147</v>
      </c>
      <c r="F4647" s="23" t="s">
        <v>33</v>
      </c>
      <c r="G4647" s="24">
        <v>514.0</v>
      </c>
      <c r="H4647" s="24">
        <v>681.0</v>
      </c>
      <c r="I4647" s="24">
        <v>8501.0</v>
      </c>
      <c r="J4647" s="24">
        <v>0.0</v>
      </c>
      <c r="K4647" s="23" t="s">
        <v>34</v>
      </c>
      <c r="L4647" s="25">
        <v>40242.74524305556</v>
      </c>
      <c r="M4647" s="28"/>
      <c r="N4647" s="26" t="s">
        <v>10703</v>
      </c>
      <c r="O4647" s="22" t="str">
        <f>HYPERLINK("https://abs.twimg.com/sticky/default_profile_images/default_profile_normal.png","View")</f>
        <v>View</v>
      </c>
      <c r="P4647" s="27"/>
    </row>
    <row r="4648">
      <c r="A4648" s="14">
        <v>43031.29465277778</v>
      </c>
      <c r="B4648" s="20" t="str">
        <f>HYPERLINK("https://twitter.com/giovdall","@giovdall")</f>
        <v>@giovdall</v>
      </c>
      <c r="C4648" s="21" t="s">
        <v>10704</v>
      </c>
      <c r="D4648" s="21" t="s">
        <v>10705</v>
      </c>
      <c r="E4648" s="22" t="str">
        <f>HYPERLINK("https://twitter.com/giovdall/status/922463698081460224","922463698081460224")</f>
        <v>922463698081460224</v>
      </c>
      <c r="F4648" s="23" t="s">
        <v>187</v>
      </c>
      <c r="G4648" s="24">
        <v>2591.0</v>
      </c>
      <c r="H4648" s="24">
        <v>2653.0</v>
      </c>
      <c r="I4648" s="24">
        <v>0.0</v>
      </c>
      <c r="J4648" s="24">
        <v>0.0</v>
      </c>
      <c r="K4648" s="23" t="s">
        <v>34</v>
      </c>
      <c r="L4648" s="25">
        <v>39948.659537037034</v>
      </c>
      <c r="M4648" s="26" t="s">
        <v>10706</v>
      </c>
      <c r="N4648" s="26" t="s">
        <v>10707</v>
      </c>
      <c r="O4648" s="22" t="str">
        <f>HYPERLINK("https://pbs.twimg.com/profile_images/1240692030/161108_834128216_2111811_q_normal.jpg","View")</f>
        <v>View</v>
      </c>
      <c r="P4648" s="27"/>
    </row>
    <row r="4649">
      <c r="A4649" s="14">
        <v>43031.29466435185</v>
      </c>
      <c r="B4649" s="20" t="str">
        <f>HYPERLINK("https://twitter.com/slickferret","@slickferret")</f>
        <v>@slickferret</v>
      </c>
      <c r="C4649" s="21" t="s">
        <v>10708</v>
      </c>
      <c r="D4649" s="21" t="s">
        <v>10614</v>
      </c>
      <c r="E4649" s="22" t="str">
        <f>HYPERLINK("https://twitter.com/slickferret/status/922463699436269569","922463699436269569")</f>
        <v>922463699436269569</v>
      </c>
      <c r="F4649" s="23" t="s">
        <v>33</v>
      </c>
      <c r="G4649" s="24">
        <v>201.0</v>
      </c>
      <c r="H4649" s="24">
        <v>518.0</v>
      </c>
      <c r="I4649" s="24">
        <v>159.0</v>
      </c>
      <c r="J4649" s="24">
        <v>0.0</v>
      </c>
      <c r="K4649" s="23" t="s">
        <v>34</v>
      </c>
      <c r="L4649" s="25">
        <v>41567.3716087963</v>
      </c>
      <c r="M4649" s="26" t="s">
        <v>10709</v>
      </c>
      <c r="N4649" s="26" t="s">
        <v>10710</v>
      </c>
      <c r="O4649" s="22" t="str">
        <f>HYPERLINK("https://pbs.twimg.com/profile_images/907209017239506944/G8q5lrYh_normal.jpg","View")</f>
        <v>View</v>
      </c>
      <c r="P4649" s="27"/>
    </row>
    <row r="4650">
      <c r="A4650" s="14">
        <v>43031.294687500005</v>
      </c>
      <c r="B4650" s="20" t="str">
        <f>HYPERLINK("https://twitter.com/maintenant_mtl","@maintenant_mtl")</f>
        <v>@maintenant_mtl</v>
      </c>
      <c r="C4650" s="21" t="s">
        <v>10711</v>
      </c>
      <c r="D4650" s="21" t="s">
        <v>10712</v>
      </c>
      <c r="E4650" s="22" t="str">
        <f>HYPERLINK("https://twitter.com/maintenant_mtl/status/922463707803856896","922463707803856896")</f>
        <v>922463707803856896</v>
      </c>
      <c r="F4650" s="23" t="s">
        <v>187</v>
      </c>
      <c r="G4650" s="24">
        <v>813.0</v>
      </c>
      <c r="H4650" s="24">
        <v>1687.0</v>
      </c>
      <c r="I4650" s="24">
        <v>0.0</v>
      </c>
      <c r="J4650" s="24">
        <v>0.0</v>
      </c>
      <c r="K4650" s="23" t="s">
        <v>34</v>
      </c>
      <c r="L4650" s="25">
        <v>42617.273726851854</v>
      </c>
      <c r="M4650" s="26" t="s">
        <v>10713</v>
      </c>
      <c r="N4650" s="26" t="s">
        <v>10714</v>
      </c>
      <c r="O4650" s="22" t="str">
        <f>HYPERLINK("https://pbs.twimg.com/profile_images/773892151155490816/QDxhJrku_normal.jpg","View")</f>
        <v>View</v>
      </c>
      <c r="P4650" s="27"/>
    </row>
    <row r="4651">
      <c r="A4651" s="14">
        <v>43031.29472222222</v>
      </c>
      <c r="B4651" s="20" t="str">
        <f>HYPERLINK("https://twitter.com/Edinson_Fonseca","@Edinson_Fonseca")</f>
        <v>@Edinson_Fonseca</v>
      </c>
      <c r="C4651" s="21" t="s">
        <v>10698</v>
      </c>
      <c r="D4651" s="21" t="s">
        <v>10715</v>
      </c>
      <c r="E4651" s="22" t="str">
        <f>HYPERLINK("https://twitter.com/Edinson_Fonseca/status/922463723545071618","922463723545071618")</f>
        <v>922463723545071618</v>
      </c>
      <c r="F4651" s="23" t="s">
        <v>55</v>
      </c>
      <c r="G4651" s="24">
        <v>458.0</v>
      </c>
      <c r="H4651" s="24">
        <v>2489.0</v>
      </c>
      <c r="I4651" s="24">
        <v>0.0</v>
      </c>
      <c r="J4651" s="24">
        <v>0.0</v>
      </c>
      <c r="K4651" s="23" t="s">
        <v>34</v>
      </c>
      <c r="L4651" s="25">
        <v>40328.63806712963</v>
      </c>
      <c r="M4651" s="26" t="s">
        <v>10700</v>
      </c>
      <c r="N4651" s="26" t="s">
        <v>10701</v>
      </c>
      <c r="O4651" s="22" t="str">
        <f>HYPERLINK("https://pbs.twimg.com/profile_images/907086598281592832/VPyY2nZk_normal.jpg","View")</f>
        <v>View</v>
      </c>
      <c r="P4651" s="27"/>
    </row>
    <row r="4652">
      <c r="A4652" s="14">
        <v>43031.29472222222</v>
      </c>
      <c r="B4652" s="20" t="str">
        <f>HYPERLINK("https://twitter.com/Uaintjac","@Uaintjac")</f>
        <v>@Uaintjac</v>
      </c>
      <c r="C4652" s="21" t="s">
        <v>10716</v>
      </c>
      <c r="D4652" s="21" t="s">
        <v>10614</v>
      </c>
      <c r="E4652" s="22" t="str">
        <f>HYPERLINK("https://twitter.com/Uaintjac/status/922463723813572608","922463723813572608")</f>
        <v>922463723813572608</v>
      </c>
      <c r="F4652" s="23" t="s">
        <v>33</v>
      </c>
      <c r="G4652" s="24">
        <v>168.0</v>
      </c>
      <c r="H4652" s="24">
        <v>205.0</v>
      </c>
      <c r="I4652" s="24">
        <v>159.0</v>
      </c>
      <c r="J4652" s="24">
        <v>0.0</v>
      </c>
      <c r="K4652" s="23" t="s">
        <v>34</v>
      </c>
      <c r="L4652" s="25">
        <v>41347.88787037037</v>
      </c>
      <c r="M4652" s="26" t="s">
        <v>9796</v>
      </c>
      <c r="N4652" s="26" t="s">
        <v>10717</v>
      </c>
      <c r="O4652" s="22" t="str">
        <f>HYPERLINK("https://pbs.twimg.com/profile_images/917662952156737541/00An3mji_normal.jpg","View")</f>
        <v>View</v>
      </c>
      <c r="P4652" s="27"/>
    </row>
    <row r="4653">
      <c r="A4653" s="14">
        <v>43031.294756944444</v>
      </c>
      <c r="B4653" s="20" t="str">
        <f>HYPERLINK("https://twitter.com/inabaya","@inabaya")</f>
        <v>@inabaya</v>
      </c>
      <c r="C4653" s="21" t="s">
        <v>10718</v>
      </c>
      <c r="D4653" s="21" t="s">
        <v>10614</v>
      </c>
      <c r="E4653" s="22" t="str">
        <f>HYPERLINK("https://twitter.com/inabaya/status/922463735372947456","922463735372947456")</f>
        <v>922463735372947456</v>
      </c>
      <c r="F4653" s="23" t="s">
        <v>10719</v>
      </c>
      <c r="G4653" s="24">
        <v>342.0</v>
      </c>
      <c r="H4653" s="24">
        <v>384.0</v>
      </c>
      <c r="I4653" s="24">
        <v>159.0</v>
      </c>
      <c r="J4653" s="24">
        <v>0.0</v>
      </c>
      <c r="K4653" s="23" t="s">
        <v>34</v>
      </c>
      <c r="L4653" s="25">
        <v>40046.157696759255</v>
      </c>
      <c r="M4653" s="26" t="s">
        <v>10720</v>
      </c>
      <c r="N4653" s="26" t="s">
        <v>10721</v>
      </c>
      <c r="O4653" s="22" t="str">
        <f>HYPERLINK("https://pbs.twimg.com/profile_images/850624169293209600/OI2rhC55_normal.jpg","View")</f>
        <v>View</v>
      </c>
      <c r="P4653" s="27"/>
    </row>
    <row r="4654">
      <c r="A4654" s="14">
        <v>43031.294756944444</v>
      </c>
      <c r="B4654" s="20" t="str">
        <f>HYPERLINK("https://twitter.com/FinCharts","@FinCharts")</f>
        <v>@FinCharts</v>
      </c>
      <c r="C4654" s="21" t="s">
        <v>10722</v>
      </c>
      <c r="D4654" s="21" t="s">
        <v>10723</v>
      </c>
      <c r="E4654" s="22" t="str">
        <f>HYPERLINK("https://twitter.com/FinCharts/status/922463735943491584","922463735943491584")</f>
        <v>922463735943491584</v>
      </c>
      <c r="F4654" s="23" t="s">
        <v>187</v>
      </c>
      <c r="G4654" s="24">
        <v>7966.0</v>
      </c>
      <c r="H4654" s="24">
        <v>13.0</v>
      </c>
      <c r="I4654" s="24">
        <v>0.0</v>
      </c>
      <c r="J4654" s="24">
        <v>0.0</v>
      </c>
      <c r="K4654" s="23" t="s">
        <v>34</v>
      </c>
      <c r="L4654" s="25">
        <v>39374.84554398148</v>
      </c>
      <c r="M4654" s="26" t="s">
        <v>1961</v>
      </c>
      <c r="N4654" s="28"/>
      <c r="O4654" s="22" t="str">
        <f>HYPERLINK("https://pbs.twimg.com/profile_images/882687246599630848/JBcPDd5C_normal.jpg","View")</f>
        <v>View</v>
      </c>
      <c r="P4654" s="27"/>
    </row>
    <row r="4655">
      <c r="A4655" s="14">
        <v>43031.29482638889</v>
      </c>
      <c r="B4655" s="20" t="str">
        <f>HYPERLINK("https://twitter.com/sanjaygobind","@sanjaygobind")</f>
        <v>@sanjaygobind</v>
      </c>
      <c r="C4655" s="21" t="s">
        <v>10724</v>
      </c>
      <c r="D4655" s="21" t="s">
        <v>10725</v>
      </c>
      <c r="E4655" s="22" t="str">
        <f>HYPERLINK("https://twitter.com/sanjaygobind/status/922463759867637760","922463759867637760")</f>
        <v>922463759867637760</v>
      </c>
      <c r="F4655" s="23" t="s">
        <v>39</v>
      </c>
      <c r="G4655" s="24">
        <v>30684.0</v>
      </c>
      <c r="H4655" s="24">
        <v>31030.0</v>
      </c>
      <c r="I4655" s="24">
        <v>0.0</v>
      </c>
      <c r="J4655" s="24">
        <v>0.0</v>
      </c>
      <c r="K4655" s="23" t="s">
        <v>34</v>
      </c>
      <c r="L4655" s="25">
        <v>41793.39178240741</v>
      </c>
      <c r="M4655" s="28"/>
      <c r="N4655" s="28"/>
      <c r="O4655" s="22" t="str">
        <f>HYPERLINK("https://pbs.twimg.com/profile_images/473870918968549376/94lMHZGT_normal.jpeg","View")</f>
        <v>View</v>
      </c>
      <c r="P4655" s="27"/>
    </row>
    <row r="4656">
      <c r="A4656" s="14">
        <v>43031.29482638889</v>
      </c>
      <c r="B4656" s="20" t="str">
        <f>HYPERLINK("https://twitter.com/JerrybellyC","@JerrybellyC")</f>
        <v>@JerrybellyC</v>
      </c>
      <c r="C4656" s="21" t="s">
        <v>10726</v>
      </c>
      <c r="D4656" s="21" t="s">
        <v>42</v>
      </c>
      <c r="E4656" s="22" t="str">
        <f>HYPERLINK("https://twitter.com/JerrybellyC/status/922463761104977920","922463761104977920")</f>
        <v>922463761104977920</v>
      </c>
      <c r="F4656" s="23" t="s">
        <v>55</v>
      </c>
      <c r="G4656" s="24">
        <v>2564.0</v>
      </c>
      <c r="H4656" s="24">
        <v>2891.0</v>
      </c>
      <c r="I4656" s="24">
        <v>8501.0</v>
      </c>
      <c r="J4656" s="24">
        <v>0.0</v>
      </c>
      <c r="K4656" s="23" t="s">
        <v>34</v>
      </c>
      <c r="L4656" s="25">
        <v>42067.217685185184</v>
      </c>
      <c r="M4656" s="28"/>
      <c r="N4656" s="26" t="s">
        <v>10727</v>
      </c>
      <c r="O4656" s="22" t="str">
        <f>HYPERLINK("https://pbs.twimg.com/profile_images/808704143825088512/BzRmZ5Bs_normal.jpg","View")</f>
        <v>View</v>
      </c>
      <c r="P4656" s="27"/>
    </row>
    <row r="4657">
      <c r="A4657" s="14">
        <v>43031.29483796297</v>
      </c>
      <c r="B4657" s="20" t="str">
        <f>HYPERLINK("https://twitter.com/WUMoneyClub","@WUMoneyClub")</f>
        <v>@WUMoneyClub</v>
      </c>
      <c r="C4657" s="21" t="s">
        <v>10728</v>
      </c>
      <c r="D4657" s="21" t="s">
        <v>10729</v>
      </c>
      <c r="E4657" s="22" t="str">
        <f>HYPERLINK("https://twitter.com/WUMoneyClub/status/922463763571363843","922463763571363843")</f>
        <v>922463763571363843</v>
      </c>
      <c r="F4657" s="23" t="s">
        <v>187</v>
      </c>
      <c r="G4657" s="24">
        <v>225.0</v>
      </c>
      <c r="H4657" s="24">
        <v>146.0</v>
      </c>
      <c r="I4657" s="24">
        <v>0.0</v>
      </c>
      <c r="J4657" s="24">
        <v>0.0</v>
      </c>
      <c r="K4657" s="23" t="s">
        <v>34</v>
      </c>
      <c r="L4657" s="25">
        <v>42816.47416666667</v>
      </c>
      <c r="M4657" s="26" t="s">
        <v>10730</v>
      </c>
      <c r="N4657" s="26" t="s">
        <v>10731</v>
      </c>
      <c r="O4657" s="22" t="str">
        <f>HYPERLINK("https://pbs.twimg.com/profile_images/844673346134519812/_6GMOztt_normal.jpg","View")</f>
        <v>View</v>
      </c>
      <c r="P4657" s="27"/>
    </row>
    <row r="4658">
      <c r="A4658" s="14">
        <v>43031.29502314815</v>
      </c>
      <c r="B4658" s="20" t="str">
        <f>HYPERLINK("https://twitter.com/sgt_spider","@sgt_spider")</f>
        <v>@sgt_spider</v>
      </c>
      <c r="C4658" s="21" t="s">
        <v>10732</v>
      </c>
      <c r="D4658" s="21" t="s">
        <v>10437</v>
      </c>
      <c r="E4658" s="22" t="str">
        <f>HYPERLINK("https://twitter.com/sgt_spider/status/922463830784950272","922463830784950272")</f>
        <v>922463830784950272</v>
      </c>
      <c r="F4658" s="23" t="s">
        <v>39</v>
      </c>
      <c r="G4658" s="24">
        <v>805.0</v>
      </c>
      <c r="H4658" s="24">
        <v>943.0</v>
      </c>
      <c r="I4658" s="24">
        <v>16.0</v>
      </c>
      <c r="J4658" s="24">
        <v>0.0</v>
      </c>
      <c r="K4658" s="23" t="s">
        <v>34</v>
      </c>
      <c r="L4658" s="25">
        <v>40615.230462962965</v>
      </c>
      <c r="M4658" s="26" t="s">
        <v>10733</v>
      </c>
      <c r="N4658" s="26" t="s">
        <v>10734</v>
      </c>
      <c r="O4658" s="22" t="str">
        <f>HYPERLINK("https://pbs.twimg.com/profile_images/916632832050475008/1cmkliww_normal.jpg","View")</f>
        <v>View</v>
      </c>
      <c r="P4658" s="27"/>
    </row>
    <row r="4659">
      <c r="A4659" s="14">
        <v>43031.295057870375</v>
      </c>
      <c r="B4659" s="20" t="str">
        <f>HYPERLINK("https://twitter.com/BalochSami","@BalochSami")</f>
        <v>@BalochSami</v>
      </c>
      <c r="C4659" s="21" t="s">
        <v>10735</v>
      </c>
      <c r="D4659" s="21" t="s">
        <v>10614</v>
      </c>
      <c r="E4659" s="22" t="str">
        <f>HYPERLINK("https://twitter.com/BalochSami/status/922463841690075136","922463841690075136")</f>
        <v>922463841690075136</v>
      </c>
      <c r="F4659" s="23" t="s">
        <v>55</v>
      </c>
      <c r="G4659" s="24">
        <v>596.0</v>
      </c>
      <c r="H4659" s="24">
        <v>56.0</v>
      </c>
      <c r="I4659" s="24">
        <v>159.0</v>
      </c>
      <c r="J4659" s="24">
        <v>0.0</v>
      </c>
      <c r="K4659" s="23" t="s">
        <v>34</v>
      </c>
      <c r="L4659" s="25">
        <v>40689.28203703704</v>
      </c>
      <c r="M4659" s="26" t="s">
        <v>10736</v>
      </c>
      <c r="N4659" s="26" t="s">
        <v>10737</v>
      </c>
      <c r="O4659" s="22" t="str">
        <f>HYPERLINK("https://pbs.twimg.com/profile_images/921833278058856448/uIinu5Sa_normal.jpg","View")</f>
        <v>View</v>
      </c>
      <c r="P4659" s="27"/>
    </row>
    <row r="4660">
      <c r="A4660" s="14">
        <v>43031.29511574074</v>
      </c>
      <c r="B4660" s="20" t="str">
        <f>HYPERLINK("https://twitter.com/VikkyMehra2","@VikkyMehra2")</f>
        <v>@VikkyMehra2</v>
      </c>
      <c r="C4660" s="21" t="s">
        <v>9161</v>
      </c>
      <c r="D4660" s="21" t="s">
        <v>42</v>
      </c>
      <c r="E4660" s="22" t="str">
        <f>HYPERLINK("https://twitter.com/VikkyMehra2/status/922463863022395393","922463863022395393")</f>
        <v>922463863022395393</v>
      </c>
      <c r="F4660" s="23" t="s">
        <v>39</v>
      </c>
      <c r="G4660" s="24">
        <v>90.0</v>
      </c>
      <c r="H4660" s="24">
        <v>357.0</v>
      </c>
      <c r="I4660" s="24">
        <v>8501.0</v>
      </c>
      <c r="J4660" s="24">
        <v>0.0</v>
      </c>
      <c r="K4660" s="23" t="s">
        <v>34</v>
      </c>
      <c r="L4660" s="25">
        <v>42765.27202546297</v>
      </c>
      <c r="M4660" s="26" t="s">
        <v>575</v>
      </c>
      <c r="N4660" s="26" t="s">
        <v>9162</v>
      </c>
      <c r="O4660" s="22" t="str">
        <f>HYPERLINK("https://pbs.twimg.com/profile_images/892464241902403584/xTieBUMZ_normal.jpg","View")</f>
        <v>View</v>
      </c>
      <c r="P4660" s="27"/>
    </row>
    <row r="4661">
      <c r="A4661" s="14">
        <v>43031.29511574074</v>
      </c>
      <c r="B4661" s="20" t="str">
        <f>HYPERLINK("https://twitter.com/PrakashShailesh","@PrakashShailesh")</f>
        <v>@PrakashShailesh</v>
      </c>
      <c r="C4661" s="21" t="s">
        <v>10738</v>
      </c>
      <c r="D4661" s="21" t="s">
        <v>42</v>
      </c>
      <c r="E4661" s="22" t="str">
        <f>HYPERLINK("https://twitter.com/PrakashShailesh/status/922463866457485312","922463866457485312")</f>
        <v>922463866457485312</v>
      </c>
      <c r="F4661" s="23" t="s">
        <v>33</v>
      </c>
      <c r="G4661" s="24">
        <v>21.0</v>
      </c>
      <c r="H4661" s="24">
        <v>191.0</v>
      </c>
      <c r="I4661" s="24">
        <v>8501.0</v>
      </c>
      <c r="J4661" s="24">
        <v>0.0</v>
      </c>
      <c r="K4661" s="23" t="s">
        <v>34</v>
      </c>
      <c r="L4661" s="25">
        <v>41705.38023148148</v>
      </c>
      <c r="M4661" s="26" t="s">
        <v>2262</v>
      </c>
      <c r="N4661" s="28"/>
      <c r="O4661" s="22" t="str">
        <f>HYPERLINK("https://pbs.twimg.com/profile_images/467729261034369024/SHFjQhee_normal.jpeg","View")</f>
        <v>View</v>
      </c>
      <c r="P4661" s="27"/>
    </row>
    <row r="4662">
      <c r="A4662" s="14">
        <v>43031.295127314814</v>
      </c>
      <c r="B4662" s="20" t="str">
        <f>HYPERLINK("https://twitter.com/tharatee","@tharatee")</f>
        <v>@tharatee</v>
      </c>
      <c r="C4662" s="21" t="s">
        <v>10739</v>
      </c>
      <c r="D4662" s="21" t="s">
        <v>10614</v>
      </c>
      <c r="E4662" s="22" t="str">
        <f>HYPERLINK("https://twitter.com/tharatee/status/922463867208220672","922463867208220672")</f>
        <v>922463867208220672</v>
      </c>
      <c r="F4662" s="23" t="s">
        <v>55</v>
      </c>
      <c r="G4662" s="24">
        <v>688.0</v>
      </c>
      <c r="H4662" s="24">
        <v>279.0</v>
      </c>
      <c r="I4662" s="24">
        <v>159.0</v>
      </c>
      <c r="J4662" s="24">
        <v>0.0</v>
      </c>
      <c r="K4662" s="23" t="s">
        <v>34</v>
      </c>
      <c r="L4662" s="25">
        <v>40047.84</v>
      </c>
      <c r="M4662" s="28"/>
      <c r="N4662" s="26" t="s">
        <v>10740</v>
      </c>
      <c r="O4662" s="22" t="str">
        <f>HYPERLINK("https://pbs.twimg.com/profile_images/576038926223220736/IjeVzSJ0_normal.jpeg","View")</f>
        <v>View</v>
      </c>
      <c r="P4662" s="27"/>
    </row>
    <row r="4663">
      <c r="A4663" s="14">
        <v>43031.29515046296</v>
      </c>
      <c r="B4663" s="20" t="str">
        <f>HYPERLINK("https://twitter.com/mssmoney_1","@mssmoney_1")</f>
        <v>@mssmoney_1</v>
      </c>
      <c r="C4663" s="21" t="s">
        <v>10741</v>
      </c>
      <c r="D4663" s="21" t="s">
        <v>10742</v>
      </c>
      <c r="E4663" s="22" t="str">
        <f>HYPERLINK("https://twitter.com/mssmoney_1/status/922463878944043008","922463878944043008")</f>
        <v>922463878944043008</v>
      </c>
      <c r="F4663" s="23" t="s">
        <v>187</v>
      </c>
      <c r="G4663" s="24">
        <v>337.0</v>
      </c>
      <c r="H4663" s="24">
        <v>45.0</v>
      </c>
      <c r="I4663" s="24">
        <v>0.0</v>
      </c>
      <c r="J4663" s="24">
        <v>0.0</v>
      </c>
      <c r="K4663" s="23" t="s">
        <v>34</v>
      </c>
      <c r="L4663" s="25">
        <v>41832.33592592592</v>
      </c>
      <c r="M4663" s="26" t="s">
        <v>10743</v>
      </c>
      <c r="N4663" s="26" t="s">
        <v>10744</v>
      </c>
      <c r="O4663" s="22" t="str">
        <f>HYPERLINK("https://pbs.twimg.com/profile_images/487977752033644545/-EM0K_SC_normal.png","View")</f>
        <v>View</v>
      </c>
      <c r="P4663" s="27"/>
    </row>
    <row r="4664">
      <c r="A4664" s="14">
        <v>43031.29520833334</v>
      </c>
      <c r="B4664" s="20" t="str">
        <f>HYPERLINK("https://twitter.com/littlewisehen","@littlewisehen")</f>
        <v>@littlewisehen</v>
      </c>
      <c r="C4664" s="21" t="s">
        <v>10745</v>
      </c>
      <c r="D4664" s="21" t="s">
        <v>10746</v>
      </c>
      <c r="E4664" s="22" t="str">
        <f>HYPERLINK("https://twitter.com/littlewisehen/status/922463899181559808","922463899181559808")</f>
        <v>922463899181559808</v>
      </c>
      <c r="F4664" s="23" t="s">
        <v>230</v>
      </c>
      <c r="G4664" s="24">
        <v>15600.0</v>
      </c>
      <c r="H4664" s="24">
        <v>10873.0</v>
      </c>
      <c r="I4664" s="24">
        <v>1.0</v>
      </c>
      <c r="J4664" s="24">
        <v>0.0</v>
      </c>
      <c r="K4664" s="23" t="s">
        <v>34</v>
      </c>
      <c r="L4664" s="25">
        <v>40004.251817129625</v>
      </c>
      <c r="M4664" s="26" t="s">
        <v>10747</v>
      </c>
      <c r="N4664" s="26" t="s">
        <v>10748</v>
      </c>
      <c r="O4664" s="22" t="str">
        <f>HYPERLINK("https://pbs.twimg.com/profile_images/308374226/FILE0068_normal.JPG","View")</f>
        <v>View</v>
      </c>
      <c r="P4664" s="27"/>
    </row>
    <row r="4665">
      <c r="A4665" s="14">
        <v>43031.29525462963</v>
      </c>
      <c r="B4665" s="20" t="str">
        <f>HYPERLINK("https://twitter.com/Resona_DaiIchi","@Resona_DaiIchi")</f>
        <v>@Resona_DaiIchi</v>
      </c>
      <c r="C4665" s="21" t="s">
        <v>10749</v>
      </c>
      <c r="D4665" s="21" t="s">
        <v>10750</v>
      </c>
      <c r="E4665" s="22" t="str">
        <f>HYPERLINK("https://twitter.com/Resona_DaiIchi/status/922463913148497920","922463913148497920")</f>
        <v>922463913148497920</v>
      </c>
      <c r="F4665" s="30" t="s">
        <v>411</v>
      </c>
      <c r="G4665" s="24">
        <v>2663.0</v>
      </c>
      <c r="H4665" s="24">
        <v>15.0</v>
      </c>
      <c r="I4665" s="24">
        <v>0.0</v>
      </c>
      <c r="J4665" s="24">
        <v>0.0</v>
      </c>
      <c r="K4665" s="23" t="s">
        <v>34</v>
      </c>
      <c r="L4665" s="25">
        <v>43017.123206018514</v>
      </c>
      <c r="M4665" s="26" t="s">
        <v>10751</v>
      </c>
      <c r="N4665" s="26" t="s">
        <v>10752</v>
      </c>
      <c r="O4665" s="22" t="str">
        <f>HYPERLINK("https://pbs.twimg.com/profile_images/917328620883865600/qYFeY0Jh_normal.jpg","View")</f>
        <v>View</v>
      </c>
      <c r="P4665" s="27"/>
    </row>
    <row r="4666">
      <c r="A4666" s="14">
        <v>43031.29525462963</v>
      </c>
      <c r="B4666" s="20" t="str">
        <f>HYPERLINK("https://twitter.com/FinanzLinksCom","@FinanzLinksCom")</f>
        <v>@FinanzLinksCom</v>
      </c>
      <c r="C4666" s="21" t="s">
        <v>10753</v>
      </c>
      <c r="D4666" s="21" t="s">
        <v>10754</v>
      </c>
      <c r="E4666" s="22" t="str">
        <f>HYPERLINK("https://twitter.com/FinanzLinksCom/status/922463914905845762","922463914905845762")</f>
        <v>922463914905845762</v>
      </c>
      <c r="F4666" s="30" t="s">
        <v>411</v>
      </c>
      <c r="G4666" s="24">
        <v>1060.0</v>
      </c>
      <c r="H4666" s="24">
        <v>55.0</v>
      </c>
      <c r="I4666" s="24">
        <v>0.0</v>
      </c>
      <c r="J4666" s="24">
        <v>0.0</v>
      </c>
      <c r="K4666" s="23" t="s">
        <v>34</v>
      </c>
      <c r="L4666" s="25">
        <v>40416.422476851854</v>
      </c>
      <c r="M4666" s="28"/>
      <c r="N4666" s="28"/>
      <c r="O4666" s="22" t="str">
        <f>HYPERLINK("https://pbs.twimg.com/profile_images/2666249900/ee5dd09921b66c73422c34bebb9cb9d2_normal.png","View")</f>
        <v>View</v>
      </c>
      <c r="P4666" s="27"/>
    </row>
    <row r="4667">
      <c r="A4667" s="14">
        <v>43031.29525462963</v>
      </c>
      <c r="B4667" s="20" t="str">
        <f>HYPERLINK("https://twitter.com/RunnigOnFaith","@RunnigOnFaith")</f>
        <v>@RunnigOnFaith</v>
      </c>
      <c r="C4667" s="21" t="s">
        <v>10755</v>
      </c>
      <c r="D4667" s="21" t="s">
        <v>42</v>
      </c>
      <c r="E4667" s="22" t="str">
        <f>HYPERLINK("https://twitter.com/RunnigOnFaith/status/922463915417640960","922463915417640960")</f>
        <v>922463915417640960</v>
      </c>
      <c r="F4667" s="23" t="s">
        <v>33</v>
      </c>
      <c r="G4667" s="24">
        <v>536.0</v>
      </c>
      <c r="H4667" s="24">
        <v>243.0</v>
      </c>
      <c r="I4667" s="24">
        <v>8501.0</v>
      </c>
      <c r="J4667" s="24">
        <v>0.0</v>
      </c>
      <c r="K4667" s="23" t="s">
        <v>34</v>
      </c>
      <c r="L4667" s="25">
        <v>42200.737442129626</v>
      </c>
      <c r="M4667" s="28"/>
      <c r="N4667" s="28"/>
      <c r="O4667" s="22" t="str">
        <f>HYPERLINK("https://abs.twimg.com/sticky/default_profile_images/default_profile_normal.png","View")</f>
        <v>View</v>
      </c>
      <c r="P4667" s="27"/>
    </row>
    <row r="4668">
      <c r="A4668" s="14">
        <v>43031.2952662037</v>
      </c>
      <c r="B4668" s="20" t="str">
        <f>HYPERLINK("https://twitter.com/Mikasa4231","@Mikasa4231")</f>
        <v>@Mikasa4231</v>
      </c>
      <c r="C4668" s="21" t="s">
        <v>10756</v>
      </c>
      <c r="D4668" s="21" t="s">
        <v>10757</v>
      </c>
      <c r="E4668" s="22" t="str">
        <f>HYPERLINK("https://twitter.com/Mikasa4231/status/922463920622669824","922463920622669824")</f>
        <v>922463920622669824</v>
      </c>
      <c r="F4668" s="23" t="s">
        <v>33</v>
      </c>
      <c r="G4668" s="24">
        <v>8.0</v>
      </c>
      <c r="H4668" s="24">
        <v>77.0</v>
      </c>
      <c r="I4668" s="24">
        <v>1.0</v>
      </c>
      <c r="J4668" s="24">
        <v>0.0</v>
      </c>
      <c r="K4668" s="23" t="s">
        <v>34</v>
      </c>
      <c r="L4668" s="25">
        <v>42893.82237268519</v>
      </c>
      <c r="M4668" s="28"/>
      <c r="N4668" s="28"/>
      <c r="O4668" s="22" t="str">
        <f>HYPERLINK("https://pbs.twimg.com/profile_images/873674380886261761/2kwwc00e_normal.jpg","View")</f>
        <v>View</v>
      </c>
      <c r="P4668" s="27"/>
    </row>
    <row r="4669">
      <c r="A4669" s="14">
        <v>43031.29530092592</v>
      </c>
      <c r="B4669" s="20" t="str">
        <f>HYPERLINK("https://twitter.com/vincentmenezes","@vincentmenezes")</f>
        <v>@vincentmenezes</v>
      </c>
      <c r="C4669" s="21" t="s">
        <v>10758</v>
      </c>
      <c r="D4669" s="21" t="s">
        <v>42</v>
      </c>
      <c r="E4669" s="22" t="str">
        <f>HYPERLINK("https://twitter.com/vincentmenezes/status/922463931666391040","922463931666391040")</f>
        <v>922463931666391040</v>
      </c>
      <c r="F4669" s="23" t="s">
        <v>39</v>
      </c>
      <c r="G4669" s="24">
        <v>61799.0</v>
      </c>
      <c r="H4669" s="24">
        <v>48578.0</v>
      </c>
      <c r="I4669" s="24">
        <v>8501.0</v>
      </c>
      <c r="J4669" s="24">
        <v>0.0</v>
      </c>
      <c r="K4669" s="23" t="s">
        <v>34</v>
      </c>
      <c r="L4669" s="25">
        <v>40219.2875</v>
      </c>
      <c r="M4669" s="26" t="s">
        <v>1991</v>
      </c>
      <c r="N4669" s="26" t="s">
        <v>10759</v>
      </c>
      <c r="O4669" s="22" t="str">
        <f>HYPERLINK("https://pbs.twimg.com/profile_images/834469241348710400/EuYLTAAo_normal.jpg","View")</f>
        <v>View</v>
      </c>
      <c r="P4669" s="27"/>
    </row>
    <row r="4670">
      <c r="A4670" s="14">
        <v>43031.29530092592</v>
      </c>
      <c r="B4670" s="20" t="str">
        <f>HYPERLINK("https://twitter.com/007Himself","@007Himself")</f>
        <v>@007Himself</v>
      </c>
      <c r="C4670" s="21" t="s">
        <v>10638</v>
      </c>
      <c r="D4670" s="21" t="s">
        <v>10614</v>
      </c>
      <c r="E4670" s="22" t="str">
        <f>HYPERLINK("https://twitter.com/007Himself/status/922463933570736130","922463933570736130")</f>
        <v>922463933570736130</v>
      </c>
      <c r="F4670" s="23" t="s">
        <v>39</v>
      </c>
      <c r="G4670" s="24">
        <v>2372.0</v>
      </c>
      <c r="H4670" s="24">
        <v>409.0</v>
      </c>
      <c r="I4670" s="24">
        <v>159.0</v>
      </c>
      <c r="J4670" s="24">
        <v>0.0</v>
      </c>
      <c r="K4670" s="23" t="s">
        <v>34</v>
      </c>
      <c r="L4670" s="25">
        <v>41467.91100694444</v>
      </c>
      <c r="M4670" s="26" t="s">
        <v>7794</v>
      </c>
      <c r="N4670" s="26" t="s">
        <v>10760</v>
      </c>
      <c r="O4670" s="22" t="str">
        <f>HYPERLINK("https://pbs.twimg.com/profile_images/922209246137249794/U2o5gWpD_normal.jpg","View")</f>
        <v>View</v>
      </c>
      <c r="P4670" s="27"/>
    </row>
    <row r="4671">
      <c r="A4671" s="14">
        <v>43031.295324074075</v>
      </c>
      <c r="B4671" s="20" t="str">
        <f>HYPERLINK("https://twitter.com/muksrockon","@muksrockon")</f>
        <v>@muksrockon</v>
      </c>
      <c r="C4671" s="21" t="s">
        <v>10761</v>
      </c>
      <c r="D4671" s="21" t="s">
        <v>42</v>
      </c>
      <c r="E4671" s="22" t="str">
        <f>HYPERLINK("https://twitter.com/muksrockon/status/922463938276622336","922463938276622336")</f>
        <v>922463938276622336</v>
      </c>
      <c r="F4671" s="23" t="s">
        <v>33</v>
      </c>
      <c r="G4671" s="24">
        <v>162.0</v>
      </c>
      <c r="H4671" s="24">
        <v>4.0</v>
      </c>
      <c r="I4671" s="24">
        <v>8501.0</v>
      </c>
      <c r="J4671" s="24">
        <v>0.0</v>
      </c>
      <c r="K4671" s="23" t="s">
        <v>34</v>
      </c>
      <c r="L4671" s="25">
        <v>41011.39842592592</v>
      </c>
      <c r="M4671" s="28"/>
      <c r="N4671" s="26" t="s">
        <v>10762</v>
      </c>
      <c r="O4671" s="22" t="str">
        <f>HYPERLINK("https://pbs.twimg.com/profile_images/736798503393861632/0elk5xXF_normal.jpg","View")</f>
        <v>View</v>
      </c>
      <c r="P4671" s="27"/>
    </row>
    <row r="4672">
      <c r="A4672" s="14">
        <v>43031.295324074075</v>
      </c>
      <c r="B4672" s="20" t="str">
        <f>HYPERLINK("https://twitter.com/Mikasa4231","@Mikasa4231")</f>
        <v>@Mikasa4231</v>
      </c>
      <c r="C4672" s="21" t="s">
        <v>10756</v>
      </c>
      <c r="D4672" s="21" t="s">
        <v>10763</v>
      </c>
      <c r="E4672" s="22" t="str">
        <f>HYPERLINK("https://twitter.com/Mikasa4231/status/922463939971006467","922463939971006467")</f>
        <v>922463939971006467</v>
      </c>
      <c r="F4672" s="23" t="s">
        <v>33</v>
      </c>
      <c r="G4672" s="24">
        <v>8.0</v>
      </c>
      <c r="H4672" s="24">
        <v>77.0</v>
      </c>
      <c r="I4672" s="24">
        <v>1.0</v>
      </c>
      <c r="J4672" s="24">
        <v>0.0</v>
      </c>
      <c r="K4672" s="23" t="s">
        <v>34</v>
      </c>
      <c r="L4672" s="25">
        <v>42893.82237268519</v>
      </c>
      <c r="M4672" s="28"/>
      <c r="N4672" s="28"/>
      <c r="O4672" s="22" t="str">
        <f>HYPERLINK("https://pbs.twimg.com/profile_images/873674380886261761/2kwwc00e_normal.jpg","View")</f>
        <v>View</v>
      </c>
      <c r="P4672" s="27"/>
    </row>
    <row r="4673">
      <c r="A4673" s="14">
        <v>43031.2953587963</v>
      </c>
      <c r="B4673" s="20" t="str">
        <f>HYPERLINK("https://twitter.com/Politicscanadia","@Politicscanadia")</f>
        <v>@Politicscanadia</v>
      </c>
      <c r="C4673" s="21" t="s">
        <v>10764</v>
      </c>
      <c r="D4673" s="21" t="s">
        <v>10765</v>
      </c>
      <c r="E4673" s="22" t="str">
        <f>HYPERLINK("https://twitter.com/Politicscanadia/status/922463952239583232","922463952239583232")</f>
        <v>922463952239583232</v>
      </c>
      <c r="F4673" s="23" t="s">
        <v>187</v>
      </c>
      <c r="G4673" s="24">
        <v>812.0</v>
      </c>
      <c r="H4673" s="24">
        <v>1501.0</v>
      </c>
      <c r="I4673" s="24">
        <v>0.0</v>
      </c>
      <c r="J4673" s="24">
        <v>0.0</v>
      </c>
      <c r="K4673" s="23" t="s">
        <v>34</v>
      </c>
      <c r="L4673" s="25">
        <v>42632.64782407407</v>
      </c>
      <c r="M4673" s="26" t="s">
        <v>10766</v>
      </c>
      <c r="N4673" s="26" t="s">
        <v>10767</v>
      </c>
      <c r="O4673" s="22" t="str">
        <f>HYPERLINK("https://pbs.twimg.com/profile_images/778001972389634048/-ljxR2Bg_normal.jpg","View")</f>
        <v>View</v>
      </c>
      <c r="P4673" s="27"/>
    </row>
    <row r="4674">
      <c r="A4674" s="14">
        <v>43031.2953587963</v>
      </c>
      <c r="B4674" s="20" t="str">
        <f>HYPERLINK("https://twitter.com/koolso","@koolso")</f>
        <v>@koolso</v>
      </c>
      <c r="C4674" s="21" t="s">
        <v>10768</v>
      </c>
      <c r="D4674" s="21" t="s">
        <v>42</v>
      </c>
      <c r="E4674" s="22" t="str">
        <f>HYPERLINK("https://twitter.com/koolso/status/922463952256167936","922463952256167936")</f>
        <v>922463952256167936</v>
      </c>
      <c r="F4674" s="23" t="s">
        <v>33</v>
      </c>
      <c r="G4674" s="24">
        <v>324.0</v>
      </c>
      <c r="H4674" s="24">
        <v>179.0</v>
      </c>
      <c r="I4674" s="24">
        <v>8501.0</v>
      </c>
      <c r="J4674" s="24">
        <v>0.0</v>
      </c>
      <c r="K4674" s="23" t="s">
        <v>34</v>
      </c>
      <c r="L4674" s="25">
        <v>40264.40399305556</v>
      </c>
      <c r="M4674" s="28"/>
      <c r="N4674" s="26" t="s">
        <v>10769</v>
      </c>
      <c r="O4674" s="22" t="str">
        <f>HYPERLINK("https://pbs.twimg.com/profile_images/698774856981065728/b24zY5D4_normal.jpg","View")</f>
        <v>View</v>
      </c>
      <c r="P4674" s="27"/>
    </row>
    <row r="4675">
      <c r="A4675" s="14">
        <v>43031.29541666667</v>
      </c>
      <c r="B4675" s="20" t="str">
        <f>HYPERLINK("https://twitter.com/SKulpisitth","@SKulpisitth")</f>
        <v>@SKulpisitth</v>
      </c>
      <c r="C4675" s="21" t="s">
        <v>10770</v>
      </c>
      <c r="D4675" s="21" t="s">
        <v>10614</v>
      </c>
      <c r="E4675" s="22" t="str">
        <f>HYPERLINK("https://twitter.com/SKulpisitth/status/922463973181603840","922463973181603840")</f>
        <v>922463973181603840</v>
      </c>
      <c r="F4675" s="23" t="s">
        <v>39</v>
      </c>
      <c r="G4675" s="24">
        <v>40.0</v>
      </c>
      <c r="H4675" s="24">
        <v>134.0</v>
      </c>
      <c r="I4675" s="24">
        <v>159.0</v>
      </c>
      <c r="J4675" s="24">
        <v>0.0</v>
      </c>
      <c r="K4675" s="23" t="s">
        <v>34</v>
      </c>
      <c r="L4675" s="25">
        <v>42148.004907407405</v>
      </c>
      <c r="M4675" s="28"/>
      <c r="N4675" s="26" t="s">
        <v>10771</v>
      </c>
      <c r="O4675" s="22" t="str">
        <f>HYPERLINK("https://pbs.twimg.com/profile_images/878855297598607360/RRjPcNV3_normal.jpg","View")</f>
        <v>View</v>
      </c>
      <c r="P4675" s="27"/>
    </row>
    <row r="4676">
      <c r="A4676" s="14">
        <v>43031.29541666667</v>
      </c>
      <c r="B4676" s="20" t="str">
        <f>HYPERLINK("https://twitter.com/AkshayS30134861","@AkshayS30134861")</f>
        <v>@AkshayS30134861</v>
      </c>
      <c r="C4676" s="21" t="s">
        <v>10772</v>
      </c>
      <c r="D4676" s="21" t="s">
        <v>42</v>
      </c>
      <c r="E4676" s="22" t="str">
        <f>HYPERLINK("https://twitter.com/AkshayS30134861/status/922463973953253382","922463973953253382")</f>
        <v>922463973953253382</v>
      </c>
      <c r="F4676" s="23" t="s">
        <v>33</v>
      </c>
      <c r="G4676" s="24">
        <v>8.0</v>
      </c>
      <c r="H4676" s="24">
        <v>60.0</v>
      </c>
      <c r="I4676" s="24">
        <v>8501.0</v>
      </c>
      <c r="J4676" s="24">
        <v>0.0</v>
      </c>
      <c r="K4676" s="23" t="s">
        <v>34</v>
      </c>
      <c r="L4676" s="25">
        <v>43031.13489583333</v>
      </c>
      <c r="M4676" s="26" t="s">
        <v>3955</v>
      </c>
      <c r="N4676" s="26" t="s">
        <v>10773</v>
      </c>
      <c r="O4676" s="22" t="str">
        <f>HYPERLINK("https://pbs.twimg.com/profile_images/922417260341243906/aLkEsY5-_normal.jpg","View")</f>
        <v>View</v>
      </c>
      <c r="P4676" s="27"/>
    </row>
    <row r="4677">
      <c r="A4677" s="14">
        <v>43031.29546296297</v>
      </c>
      <c r="B4677" s="20" t="str">
        <f>HYPERLINK("https://twitter.com/NitinShanbhag","@NitinShanbhag")</f>
        <v>@NitinShanbhag</v>
      </c>
      <c r="C4677" s="21" t="s">
        <v>10774</v>
      </c>
      <c r="D4677" s="21" t="s">
        <v>42</v>
      </c>
      <c r="E4677" s="22" t="str">
        <f>HYPERLINK("https://twitter.com/NitinShanbhag/status/922463991309385731","922463991309385731")</f>
        <v>922463991309385731</v>
      </c>
      <c r="F4677" s="23" t="s">
        <v>39</v>
      </c>
      <c r="G4677" s="24">
        <v>419.0</v>
      </c>
      <c r="H4677" s="24">
        <v>346.0</v>
      </c>
      <c r="I4677" s="24">
        <v>8501.0</v>
      </c>
      <c r="J4677" s="24">
        <v>0.0</v>
      </c>
      <c r="K4677" s="23" t="s">
        <v>34</v>
      </c>
      <c r="L4677" s="25">
        <v>41918.50258101852</v>
      </c>
      <c r="M4677" s="26" t="s">
        <v>1991</v>
      </c>
      <c r="N4677" s="26" t="s">
        <v>10775</v>
      </c>
      <c r="O4677" s="22" t="str">
        <f>HYPERLINK("https://pbs.twimg.com/profile_images/731157524729200641/bhAUwo78_normal.jpg","View")</f>
        <v>View</v>
      </c>
      <c r="P4677" s="27"/>
    </row>
    <row r="4678">
      <c r="A4678" s="14">
        <v>43031.29547453704</v>
      </c>
      <c r="B4678" s="20" t="str">
        <f>HYPERLINK("https://twitter.com/newslivenetwork","@newslivenetwork")</f>
        <v>@newslivenetwork</v>
      </c>
      <c r="C4678" s="21" t="s">
        <v>89</v>
      </c>
      <c r="D4678" s="21" t="s">
        <v>10776</v>
      </c>
      <c r="E4678" s="22" t="str">
        <f>HYPERLINK("https://twitter.com/newslivenetwork/status/922463994660769797","922463994660769797")</f>
        <v>922463994660769797</v>
      </c>
      <c r="F4678" s="23" t="s">
        <v>91</v>
      </c>
      <c r="G4678" s="24">
        <v>271.0</v>
      </c>
      <c r="H4678" s="24">
        <v>87.0</v>
      </c>
      <c r="I4678" s="24">
        <v>0.0</v>
      </c>
      <c r="J4678" s="24">
        <v>0.0</v>
      </c>
      <c r="K4678" s="23" t="s">
        <v>34</v>
      </c>
      <c r="L4678" s="25">
        <v>42741.47196759259</v>
      </c>
      <c r="M4678" s="26" t="s">
        <v>92</v>
      </c>
      <c r="N4678" s="26" t="s">
        <v>93</v>
      </c>
      <c r="O4678" s="22" t="str">
        <f>HYPERLINK("https://pbs.twimg.com/profile_images/877414144424660992/scfhocj3_normal.jpg","View")</f>
        <v>View</v>
      </c>
      <c r="P4678" s="27"/>
    </row>
    <row r="4679">
      <c r="A4679" s="14">
        <v>43031.29553240741</v>
      </c>
      <c r="B4679" s="20" t="str">
        <f>HYPERLINK("https://twitter.com/myfine7","@myfine7")</f>
        <v>@myfine7</v>
      </c>
      <c r="C4679" s="21" t="s">
        <v>10777</v>
      </c>
      <c r="D4679" s="21" t="s">
        <v>10614</v>
      </c>
      <c r="E4679" s="22" t="str">
        <f>HYPERLINK("https://twitter.com/myfine7/status/922464015845961728","922464015845961728")</f>
        <v>922464015845961728</v>
      </c>
      <c r="F4679" s="23" t="s">
        <v>55</v>
      </c>
      <c r="G4679" s="24">
        <v>733.0</v>
      </c>
      <c r="H4679" s="24">
        <v>363.0</v>
      </c>
      <c r="I4679" s="24">
        <v>159.0</v>
      </c>
      <c r="J4679" s="24">
        <v>0.0</v>
      </c>
      <c r="K4679" s="23" t="s">
        <v>34</v>
      </c>
      <c r="L4679" s="25">
        <v>42968.05694444444</v>
      </c>
      <c r="M4679" s="26" t="s">
        <v>920</v>
      </c>
      <c r="N4679" s="26" t="s">
        <v>10778</v>
      </c>
      <c r="O4679" s="22" t="str">
        <f>HYPERLINK("https://pbs.twimg.com/profile_images/899550641936363520/ANkhMc6v_normal.jpg","View")</f>
        <v>View</v>
      </c>
      <c r="P4679" s="27"/>
    </row>
    <row r="4680">
      <c r="A4680" s="14">
        <v>43031.29554398148</v>
      </c>
      <c r="B4680" s="20" t="str">
        <f>HYPERLINK("https://twitter.com/177fe3405b524bc","@177fe3405b524bc")</f>
        <v>@177fe3405b524bc</v>
      </c>
      <c r="C4680" s="21" t="s">
        <v>10779</v>
      </c>
      <c r="D4680" s="21" t="s">
        <v>10614</v>
      </c>
      <c r="E4680" s="22" t="str">
        <f>HYPERLINK("https://twitter.com/177fe3405b524bc/status/922464020090810368","922464020090810368")</f>
        <v>922464020090810368</v>
      </c>
      <c r="F4680" s="23" t="s">
        <v>33</v>
      </c>
      <c r="G4680" s="24">
        <v>352.0</v>
      </c>
      <c r="H4680" s="24">
        <v>279.0</v>
      </c>
      <c r="I4680" s="24">
        <v>159.0</v>
      </c>
      <c r="J4680" s="24">
        <v>0.0</v>
      </c>
      <c r="K4680" s="23" t="s">
        <v>34</v>
      </c>
      <c r="L4680" s="25">
        <v>42381.074942129635</v>
      </c>
      <c r="M4680" s="26" t="s">
        <v>10780</v>
      </c>
      <c r="N4680" s="26" t="s">
        <v>10781</v>
      </c>
      <c r="O4680" s="22" t="str">
        <f>HYPERLINK("https://pbs.twimg.com/profile_images/918333629163479040/XUUGnrw4_normal.jpg","View")</f>
        <v>View</v>
      </c>
      <c r="P4680" s="27"/>
    </row>
    <row r="4681">
      <c r="A4681" s="14">
        <v>43031.295625</v>
      </c>
      <c r="B4681" s="20" t="str">
        <f>HYPERLINK("https://twitter.com/PhxHousingNews","@PhxHousingNews")</f>
        <v>@PhxHousingNews</v>
      </c>
      <c r="C4681" s="21" t="s">
        <v>10782</v>
      </c>
      <c r="D4681" s="21" t="s">
        <v>10783</v>
      </c>
      <c r="E4681" s="22" t="str">
        <f>HYPERLINK("https://twitter.com/PhxHousingNews/status/922464048926433281","922464048926433281")</f>
        <v>922464048926433281</v>
      </c>
      <c r="F4681" s="30" t="s">
        <v>411</v>
      </c>
      <c r="G4681" s="24">
        <v>3188.0</v>
      </c>
      <c r="H4681" s="24">
        <v>1759.0</v>
      </c>
      <c r="I4681" s="24">
        <v>0.0</v>
      </c>
      <c r="J4681" s="24">
        <v>0.0</v>
      </c>
      <c r="K4681" s="23" t="s">
        <v>34</v>
      </c>
      <c r="L4681" s="25">
        <v>40014.697962962964</v>
      </c>
      <c r="M4681" s="26" t="s">
        <v>10784</v>
      </c>
      <c r="N4681" s="26" t="s">
        <v>10785</v>
      </c>
      <c r="O4681" s="22" t="str">
        <f>HYPERLINK("https://pbs.twimg.com/profile_images/365478945/tn_house303_normal.gif","View")</f>
        <v>View</v>
      </c>
      <c r="P4681" s="27"/>
    </row>
    <row r="4682">
      <c r="A4682" s="14">
        <v>43031.29567129629</v>
      </c>
      <c r="B4682" s="20" t="str">
        <f>HYPERLINK("https://twitter.com/AndreeLyne_H","@AndreeLyne_H")</f>
        <v>@AndreeLyne_H</v>
      </c>
      <c r="C4682" s="21" t="s">
        <v>10786</v>
      </c>
      <c r="D4682" s="21" t="s">
        <v>10614</v>
      </c>
      <c r="E4682" s="22" t="str">
        <f>HYPERLINK("https://twitter.com/AndreeLyne_H/status/922464063950553089","922464063950553089")</f>
        <v>922464063950553089</v>
      </c>
      <c r="F4682" s="23" t="s">
        <v>55</v>
      </c>
      <c r="G4682" s="24">
        <v>2533.0</v>
      </c>
      <c r="H4682" s="24">
        <v>2305.0</v>
      </c>
      <c r="I4682" s="24">
        <v>159.0</v>
      </c>
      <c r="J4682" s="24">
        <v>0.0</v>
      </c>
      <c r="K4682" s="23" t="s">
        <v>34</v>
      </c>
      <c r="L4682" s="25">
        <v>41008.7737962963</v>
      </c>
      <c r="M4682" s="28"/>
      <c r="N4682" s="26" t="s">
        <v>10787</v>
      </c>
      <c r="O4682" s="22" t="str">
        <f>HYPERLINK("https://pbs.twimg.com/profile_images/2090182392/image_normal.jpg","View")</f>
        <v>View</v>
      </c>
      <c r="P4682" s="27"/>
    </row>
    <row r="4683">
      <c r="A4683" s="14">
        <v>43031.295682870375</v>
      </c>
      <c r="B4683" s="20" t="str">
        <f>HYPERLINK("https://twitter.com/makky2290","@makky2290")</f>
        <v>@makky2290</v>
      </c>
      <c r="C4683" s="21" t="s">
        <v>10788</v>
      </c>
      <c r="D4683" s="21" t="s">
        <v>42</v>
      </c>
      <c r="E4683" s="22" t="str">
        <f>HYPERLINK("https://twitter.com/makky2290/status/922464071982637056","922464071982637056")</f>
        <v>922464071982637056</v>
      </c>
      <c r="F4683" s="23" t="s">
        <v>33</v>
      </c>
      <c r="G4683" s="24">
        <v>254.0</v>
      </c>
      <c r="H4683" s="24">
        <v>485.0</v>
      </c>
      <c r="I4683" s="24">
        <v>8501.0</v>
      </c>
      <c r="J4683" s="24">
        <v>0.0</v>
      </c>
      <c r="K4683" s="23" t="s">
        <v>34</v>
      </c>
      <c r="L4683" s="25">
        <v>42819.35833333334</v>
      </c>
      <c r="M4683" s="28"/>
      <c r="N4683" s="26" t="s">
        <v>10789</v>
      </c>
      <c r="O4683" s="22" t="str">
        <f>HYPERLINK("https://pbs.twimg.com/profile_images/845814187846647812/1r0uDWtJ_normal.jpg","View")</f>
        <v>View</v>
      </c>
      <c r="P4683" s="27"/>
    </row>
    <row r="4684">
      <c r="A4684" s="14">
        <v>43031.295706018514</v>
      </c>
      <c r="B4684" s="20" t="str">
        <f>HYPERLINK("https://twitter.com/53xee","@53xee")</f>
        <v>@53xee</v>
      </c>
      <c r="C4684" s="21" t="s">
        <v>10790</v>
      </c>
      <c r="D4684" s="21" t="s">
        <v>10791</v>
      </c>
      <c r="E4684" s="22" t="str">
        <f>HYPERLINK("https://twitter.com/53xee/status/922464078748180480","922464078748180480")</f>
        <v>922464078748180480</v>
      </c>
      <c r="F4684" s="23" t="s">
        <v>187</v>
      </c>
      <c r="G4684" s="24">
        <v>142.0</v>
      </c>
      <c r="H4684" s="24">
        <v>167.0</v>
      </c>
      <c r="I4684" s="24">
        <v>0.0</v>
      </c>
      <c r="J4684" s="24">
        <v>0.0</v>
      </c>
      <c r="K4684" s="23" t="s">
        <v>34</v>
      </c>
      <c r="L4684" s="25">
        <v>42935.15537037037</v>
      </c>
      <c r="M4684" s="26" t="s">
        <v>4549</v>
      </c>
      <c r="N4684" s="26" t="s">
        <v>10792</v>
      </c>
      <c r="O4684" s="22" t="str">
        <f>HYPERLINK("https://pbs.twimg.com/profile_images/887633098590101504/4C9kPDS9_normal.jpg","View")</f>
        <v>View</v>
      </c>
      <c r="P4684" s="27"/>
    </row>
    <row r="4685">
      <c r="A4685" s="14">
        <v>43031.295706018514</v>
      </c>
      <c r="B4685" s="20" t="str">
        <f>HYPERLINK("https://twitter.com/GwenythWR","@GwenythWR")</f>
        <v>@GwenythWR</v>
      </c>
      <c r="C4685" s="21" t="s">
        <v>10793</v>
      </c>
      <c r="D4685" s="21" t="s">
        <v>10794</v>
      </c>
      <c r="E4685" s="22" t="str">
        <f>HYPERLINK("https://twitter.com/GwenythWR/status/922464080442486790","922464080442486790")</f>
        <v>922464080442486790</v>
      </c>
      <c r="F4685" s="23" t="s">
        <v>39</v>
      </c>
      <c r="G4685" s="24">
        <v>2386.0</v>
      </c>
      <c r="H4685" s="24">
        <v>758.0</v>
      </c>
      <c r="I4685" s="24">
        <v>1.0</v>
      </c>
      <c r="J4685" s="24">
        <v>1.0</v>
      </c>
      <c r="K4685" s="23" t="s">
        <v>34</v>
      </c>
      <c r="L4685" s="25">
        <v>41594.27900462963</v>
      </c>
      <c r="M4685" s="26" t="s">
        <v>10795</v>
      </c>
      <c r="N4685" s="26" t="s">
        <v>10796</v>
      </c>
      <c r="O4685" s="22" t="str">
        <f>HYPERLINK("https://pbs.twimg.com/profile_images/657175982600683520/WSRgAsMU_normal.jpg","View")</f>
        <v>View</v>
      </c>
      <c r="P4685" s="27"/>
    </row>
    <row r="4686">
      <c r="A4686" s="14">
        <v>43031.29577546296</v>
      </c>
      <c r="B4686" s="20" t="str">
        <f>HYPERLINK("https://twitter.com/RWBY_Yang_OG","@RWBY_Yang_OG")</f>
        <v>@RWBY_Yang_OG</v>
      </c>
      <c r="C4686" s="21" t="s">
        <v>10797</v>
      </c>
      <c r="D4686" s="21" t="s">
        <v>10614</v>
      </c>
      <c r="E4686" s="22" t="str">
        <f>HYPERLINK("https://twitter.com/RWBY_Yang_OG/status/922464104115245056","922464104115245056")</f>
        <v>922464104115245056</v>
      </c>
      <c r="F4686" s="23" t="s">
        <v>33</v>
      </c>
      <c r="G4686" s="24">
        <v>180.0</v>
      </c>
      <c r="H4686" s="24">
        <v>250.0</v>
      </c>
      <c r="I4686" s="24">
        <v>159.0</v>
      </c>
      <c r="J4686" s="24">
        <v>0.0</v>
      </c>
      <c r="K4686" s="23" t="s">
        <v>34</v>
      </c>
      <c r="L4686" s="25">
        <v>41174.77888888889</v>
      </c>
      <c r="M4686" s="26" t="s">
        <v>10798</v>
      </c>
      <c r="N4686" s="26" t="s">
        <v>10799</v>
      </c>
      <c r="O4686" s="22" t="str">
        <f>HYPERLINK("https://pbs.twimg.com/profile_images/907774766576279558/lvwcx7Pv_normal.jpg","View")</f>
        <v>View</v>
      </c>
      <c r="P4686" s="27"/>
    </row>
    <row r="4687">
      <c r="A4687" s="14">
        <v>43031.29578703704</v>
      </c>
      <c r="B4687" s="20" t="str">
        <f>HYPERLINK("https://twitter.com/theprdeora","@theprdeora")</f>
        <v>@theprdeora</v>
      </c>
      <c r="C4687" s="21" t="s">
        <v>10800</v>
      </c>
      <c r="D4687" s="21" t="s">
        <v>42</v>
      </c>
      <c r="E4687" s="22" t="str">
        <f>HYPERLINK("https://twitter.com/theprdeora/status/922464109194383360","922464109194383360")</f>
        <v>922464109194383360</v>
      </c>
      <c r="F4687" s="23" t="s">
        <v>33</v>
      </c>
      <c r="G4687" s="24">
        <v>231.0</v>
      </c>
      <c r="H4687" s="24">
        <v>30.0</v>
      </c>
      <c r="I4687" s="24">
        <v>8501.0</v>
      </c>
      <c r="J4687" s="24">
        <v>0.0</v>
      </c>
      <c r="K4687" s="23" t="s">
        <v>34</v>
      </c>
      <c r="L4687" s="25">
        <v>42934.31408564815</v>
      </c>
      <c r="M4687" s="26" t="s">
        <v>6488</v>
      </c>
      <c r="N4687" s="26" t="s">
        <v>10801</v>
      </c>
      <c r="O4687" s="22" t="str">
        <f>HYPERLINK("https://pbs.twimg.com/profile_images/887534561617424384/j5h91Amk_normal.jpg","View")</f>
        <v>View</v>
      </c>
      <c r="P4687" s="27"/>
    </row>
    <row r="4688">
      <c r="A4688" s="14">
        <v>43031.29583333334</v>
      </c>
      <c r="B4688" s="20" t="str">
        <f>HYPERLINK("https://twitter.com/lalashwa","@lalashwa")</f>
        <v>@lalashwa</v>
      </c>
      <c r="C4688" s="21" t="s">
        <v>10802</v>
      </c>
      <c r="D4688" s="21" t="s">
        <v>42</v>
      </c>
      <c r="E4688" s="22" t="str">
        <f>HYPERLINK("https://twitter.com/lalashwa/status/922464124570714113","922464124570714113")</f>
        <v>922464124570714113</v>
      </c>
      <c r="F4688" s="23" t="s">
        <v>33</v>
      </c>
      <c r="G4688" s="24">
        <v>460.0</v>
      </c>
      <c r="H4688" s="24">
        <v>914.0</v>
      </c>
      <c r="I4688" s="24">
        <v>8501.0</v>
      </c>
      <c r="J4688" s="24">
        <v>0.0</v>
      </c>
      <c r="K4688" s="23" t="s">
        <v>34</v>
      </c>
      <c r="L4688" s="25">
        <v>41988.94291666667</v>
      </c>
      <c r="M4688" s="28"/>
      <c r="N4688" s="28"/>
      <c r="O4688" s="22" t="str">
        <f>HYPERLINK("https://pbs.twimg.com/profile_images/753103187394097152/a5Hckg3t_normal.jpg","View")</f>
        <v>View</v>
      </c>
      <c r="P4688" s="27"/>
    </row>
    <row r="4689">
      <c r="A4689" s="14">
        <v>43031.29587962963</v>
      </c>
      <c r="B4689" s="20" t="str">
        <f>HYPERLINK("https://twitter.com/BusinessNews40","@BusinessNews40")</f>
        <v>@BusinessNews40</v>
      </c>
      <c r="C4689" s="21" t="s">
        <v>10803</v>
      </c>
      <c r="D4689" s="21" t="s">
        <v>10804</v>
      </c>
      <c r="E4689" s="22" t="str">
        <f>HYPERLINK("https://twitter.com/BusinessNews40/status/922464139410329600","922464139410329600")</f>
        <v>922464139410329600</v>
      </c>
      <c r="F4689" s="23" t="s">
        <v>187</v>
      </c>
      <c r="G4689" s="24">
        <v>888.0</v>
      </c>
      <c r="H4689" s="24">
        <v>381.0</v>
      </c>
      <c r="I4689" s="24">
        <v>0.0</v>
      </c>
      <c r="J4689" s="24">
        <v>0.0</v>
      </c>
      <c r="K4689" s="23" t="s">
        <v>34</v>
      </c>
      <c r="L4689" s="25">
        <v>42228.2603125</v>
      </c>
      <c r="M4689" s="26" t="s">
        <v>68</v>
      </c>
      <c r="N4689" s="26" t="s">
        <v>10805</v>
      </c>
      <c r="O4689" s="22" t="str">
        <f>HYPERLINK("https://pbs.twimg.com/profile_images/631462914826698752/yhOUfAQ__normal.png","View")</f>
        <v>View</v>
      </c>
      <c r="P4689" s="27"/>
    </row>
    <row r="4690">
      <c r="A4690" s="14">
        <v>43031.29587962963</v>
      </c>
      <c r="B4690" s="20" t="str">
        <f>HYPERLINK("https://twitter.com/TunTunWinn3","@TunTunWinn3")</f>
        <v>@TunTunWinn3</v>
      </c>
      <c r="C4690" s="21" t="s">
        <v>10806</v>
      </c>
      <c r="D4690" s="21" t="s">
        <v>42</v>
      </c>
      <c r="E4690" s="22" t="str">
        <f>HYPERLINK("https://twitter.com/TunTunWinn3/status/922464141402451968","922464141402451968")</f>
        <v>922464141402451968</v>
      </c>
      <c r="F4690" s="23" t="s">
        <v>33</v>
      </c>
      <c r="G4690" s="24">
        <v>24.0</v>
      </c>
      <c r="H4690" s="24">
        <v>86.0</v>
      </c>
      <c r="I4690" s="24">
        <v>8501.0</v>
      </c>
      <c r="J4690" s="24">
        <v>0.0</v>
      </c>
      <c r="K4690" s="23" t="s">
        <v>34</v>
      </c>
      <c r="L4690" s="25">
        <v>42983.36479166667</v>
      </c>
      <c r="M4690" s="26" t="s">
        <v>10807</v>
      </c>
      <c r="N4690" s="26" t="s">
        <v>10808</v>
      </c>
      <c r="O4690" s="22" t="str">
        <f>HYPERLINK("https://pbs.twimg.com/profile_images/905555000318763009/tTrb6FXo_normal.jpg","View")</f>
        <v>View</v>
      </c>
      <c r="P4690" s="27"/>
    </row>
    <row r="4691">
      <c r="A4691" s="14">
        <v>43031.29591435185</v>
      </c>
      <c r="B4691" s="20" t="str">
        <f>HYPERLINK("https://twitter.com/AshokUp54763398","@AshokUp54763398")</f>
        <v>@AshokUp54763398</v>
      </c>
      <c r="C4691" s="21" t="s">
        <v>10809</v>
      </c>
      <c r="D4691" s="21" t="s">
        <v>42</v>
      </c>
      <c r="E4691" s="22" t="str">
        <f>HYPERLINK("https://twitter.com/AshokUp54763398/status/922464154434248704","922464154434248704")</f>
        <v>922464154434248704</v>
      </c>
      <c r="F4691" s="23" t="s">
        <v>33</v>
      </c>
      <c r="G4691" s="24">
        <v>1248.0</v>
      </c>
      <c r="H4691" s="24">
        <v>30.0</v>
      </c>
      <c r="I4691" s="24">
        <v>8501.0</v>
      </c>
      <c r="J4691" s="24">
        <v>0.0</v>
      </c>
      <c r="K4691" s="23" t="s">
        <v>34</v>
      </c>
      <c r="L4691" s="25">
        <v>42741.291979166665</v>
      </c>
      <c r="M4691" s="26" t="s">
        <v>10810</v>
      </c>
      <c r="N4691" s="26" t="s">
        <v>10811</v>
      </c>
      <c r="O4691" s="22" t="str">
        <f>HYPERLINK("https://pbs.twimg.com/profile_images/900791853410205696/67Mx-Uad_normal.jpg","View")</f>
        <v>View</v>
      </c>
      <c r="P4691" s="27"/>
    </row>
    <row r="4692">
      <c r="A4692" s="14">
        <v>43031.29603009259</v>
      </c>
      <c r="B4692" s="20" t="str">
        <f>HYPERLINK("https://twitter.com/Sunada_bashi","@Sunada_bashi")</f>
        <v>@Sunada_bashi</v>
      </c>
      <c r="C4692" s="21" t="s">
        <v>10812</v>
      </c>
      <c r="D4692" s="21" t="s">
        <v>8665</v>
      </c>
      <c r="E4692" s="22" t="str">
        <f>HYPERLINK("https://twitter.com/Sunada_bashi/status/922464194548572160","922464194548572160")</f>
        <v>922464194548572160</v>
      </c>
      <c r="F4692" s="23" t="s">
        <v>39</v>
      </c>
      <c r="G4692" s="24">
        <v>1101.0</v>
      </c>
      <c r="H4692" s="24">
        <v>747.0</v>
      </c>
      <c r="I4692" s="24">
        <v>67.0</v>
      </c>
      <c r="J4692" s="24">
        <v>0.0</v>
      </c>
      <c r="K4692" s="23" t="s">
        <v>34</v>
      </c>
      <c r="L4692" s="25">
        <v>42064.93770833334</v>
      </c>
      <c r="M4692" s="26" t="s">
        <v>10813</v>
      </c>
      <c r="N4692" s="26" t="s">
        <v>10814</v>
      </c>
      <c r="O4692" s="22" t="str">
        <f>HYPERLINK("https://pbs.twimg.com/profile_images/912685546375307264/H7T2cyHv_normal.jpg","View")</f>
        <v>View</v>
      </c>
      <c r="P4692" s="27"/>
    </row>
    <row r="4693">
      <c r="A4693" s="14">
        <v>43031.29604166667</v>
      </c>
      <c r="B4693" s="20" t="str">
        <f>HYPERLINK("https://twitter.com/kapaliKS","@kapaliKS")</f>
        <v>@kapaliKS</v>
      </c>
      <c r="C4693" s="21" t="s">
        <v>10815</v>
      </c>
      <c r="D4693" s="21" t="s">
        <v>42</v>
      </c>
      <c r="E4693" s="22" t="str">
        <f>HYPERLINK("https://twitter.com/kapaliKS/status/922464200617684992","922464200617684992")</f>
        <v>922464200617684992</v>
      </c>
      <c r="F4693" s="23" t="s">
        <v>33</v>
      </c>
      <c r="G4693" s="24">
        <v>3.0</v>
      </c>
      <c r="H4693" s="24">
        <v>45.0</v>
      </c>
      <c r="I4693" s="24">
        <v>8501.0</v>
      </c>
      <c r="J4693" s="24">
        <v>0.0</v>
      </c>
      <c r="K4693" s="23" t="s">
        <v>34</v>
      </c>
      <c r="L4693" s="25">
        <v>42636.52664351852</v>
      </c>
      <c r="M4693" s="28"/>
      <c r="N4693" s="28"/>
      <c r="O4693" s="22" t="str">
        <f>HYPERLINK("https://abs.twimg.com/sticky/default_profile_images/default_profile_normal.png","View")</f>
        <v>View</v>
      </c>
      <c r="P4693" s="27"/>
    </row>
    <row r="4694">
      <c r="A4694" s="14">
        <v>43031.296122685184</v>
      </c>
      <c r="B4694" s="20" t="str">
        <f>HYPERLINK("https://twitter.com/Tamanna_1109","@Tamanna_1109")</f>
        <v>@Tamanna_1109</v>
      </c>
      <c r="C4694" s="21" t="s">
        <v>10816</v>
      </c>
      <c r="D4694" s="21" t="s">
        <v>42</v>
      </c>
      <c r="E4694" s="22" t="str">
        <f>HYPERLINK("https://twitter.com/Tamanna_1109/status/922464230691016704","922464230691016704")</f>
        <v>922464230691016704</v>
      </c>
      <c r="F4694" s="23" t="s">
        <v>39</v>
      </c>
      <c r="G4694" s="24">
        <v>221.0</v>
      </c>
      <c r="H4694" s="24">
        <v>161.0</v>
      </c>
      <c r="I4694" s="24">
        <v>8501.0</v>
      </c>
      <c r="J4694" s="24">
        <v>0.0</v>
      </c>
      <c r="K4694" s="23" t="s">
        <v>34</v>
      </c>
      <c r="L4694" s="25">
        <v>42751.220034722224</v>
      </c>
      <c r="M4694" s="26" t="s">
        <v>204</v>
      </c>
      <c r="N4694" s="26" t="s">
        <v>10817</v>
      </c>
      <c r="O4694" s="22" t="str">
        <f>HYPERLINK("https://pbs.twimg.com/profile_images/918521621287194625/eH-MYdMN_normal.jpg","View")</f>
        <v>View</v>
      </c>
      <c r="P4694" s="27"/>
    </row>
    <row r="4695">
      <c r="A4695" s="14">
        <v>43031.29619212963</v>
      </c>
      <c r="B4695" s="20" t="str">
        <f>HYPERLINK("https://twitter.com/serge_poznanski","@serge_poznanski")</f>
        <v>@serge_poznanski</v>
      </c>
      <c r="C4695" s="21" t="s">
        <v>2763</v>
      </c>
      <c r="D4695" s="21" t="s">
        <v>10818</v>
      </c>
      <c r="E4695" s="22" t="str">
        <f>HYPERLINK("https://twitter.com/serge_poznanski/status/922464252694327296","922464252694327296")</f>
        <v>922464252694327296</v>
      </c>
      <c r="F4695" s="23" t="s">
        <v>187</v>
      </c>
      <c r="G4695" s="24">
        <v>1438.0</v>
      </c>
      <c r="H4695" s="24">
        <v>2138.0</v>
      </c>
      <c r="I4695" s="24">
        <v>0.0</v>
      </c>
      <c r="J4695" s="24">
        <v>0.0</v>
      </c>
      <c r="K4695" s="23" t="s">
        <v>34</v>
      </c>
      <c r="L4695" s="25">
        <v>42271.47445601852</v>
      </c>
      <c r="M4695" s="28"/>
      <c r="N4695" s="28"/>
      <c r="O4695" s="22" t="str">
        <f>HYPERLINK("https://pbs.twimg.com/profile_images/647277253240291328/3GezjFCJ_normal.jpg","View")</f>
        <v>View</v>
      </c>
      <c r="P4695" s="27"/>
    </row>
    <row r="4696">
      <c r="A4696" s="14">
        <v>43031.29620370371</v>
      </c>
      <c r="B4696" s="20" t="str">
        <f>HYPERLINK("https://twitter.com/Noritaeden","@Noritaeden")</f>
        <v>@Noritaeden</v>
      </c>
      <c r="C4696" s="21" t="s">
        <v>10819</v>
      </c>
      <c r="D4696" s="21" t="s">
        <v>6403</v>
      </c>
      <c r="E4696" s="22" t="str">
        <f>HYPERLINK("https://twitter.com/Noritaeden/status/922464259962998784","922464259962998784")</f>
        <v>922464259962998784</v>
      </c>
      <c r="F4696" s="23" t="s">
        <v>230</v>
      </c>
      <c r="G4696" s="24">
        <v>212.0</v>
      </c>
      <c r="H4696" s="24">
        <v>251.0</v>
      </c>
      <c r="I4696" s="24">
        <v>97.0</v>
      </c>
      <c r="J4696" s="24">
        <v>0.0</v>
      </c>
      <c r="K4696" s="23" t="s">
        <v>34</v>
      </c>
      <c r="L4696" s="25">
        <v>41967.21701388889</v>
      </c>
      <c r="M4696" s="28"/>
      <c r="N4696" s="26" t="s">
        <v>10820</v>
      </c>
      <c r="O4696" s="22" t="str">
        <f>HYPERLINK("https://abs.twimg.com/sticky/default_profile_images/default_profile_normal.png","View")</f>
        <v>View</v>
      </c>
      <c r="P4696" s="27"/>
    </row>
    <row r="4697">
      <c r="A4697" s="14">
        <v>43031.29625</v>
      </c>
      <c r="B4697" s="20" t="str">
        <f>HYPERLINK("https://twitter.com/Shukezz","@Shukezz")</f>
        <v>@Shukezz</v>
      </c>
      <c r="C4697" s="21" t="s">
        <v>10821</v>
      </c>
      <c r="D4697" s="21" t="s">
        <v>10614</v>
      </c>
      <c r="E4697" s="22" t="str">
        <f>HYPERLINK("https://twitter.com/Shukezz/status/922464276643745797","922464276643745797")</f>
        <v>922464276643745797</v>
      </c>
      <c r="F4697" s="23" t="s">
        <v>33</v>
      </c>
      <c r="G4697" s="24">
        <v>3245.0</v>
      </c>
      <c r="H4697" s="24">
        <v>4995.0</v>
      </c>
      <c r="I4697" s="24">
        <v>159.0</v>
      </c>
      <c r="J4697" s="24">
        <v>0.0</v>
      </c>
      <c r="K4697" s="23" t="s">
        <v>34</v>
      </c>
      <c r="L4697" s="25">
        <v>40758.483877314815</v>
      </c>
      <c r="M4697" s="26" t="s">
        <v>10822</v>
      </c>
      <c r="N4697" s="26" t="s">
        <v>10823</v>
      </c>
      <c r="O4697" s="22" t="str">
        <f>HYPERLINK("https://pbs.twimg.com/profile_images/909329784865423365/L5XqdJkU_normal.jpg","View")</f>
        <v>View</v>
      </c>
      <c r="P4697" s="27"/>
    </row>
    <row r="4698">
      <c r="A4698" s="14">
        <v>43031.29638888889</v>
      </c>
      <c r="B4698" s="20" t="str">
        <f>HYPERLINK("https://twitter.com/jraizen","@jraizen")</f>
        <v>@jraizen</v>
      </c>
      <c r="C4698" s="21" t="s">
        <v>10824</v>
      </c>
      <c r="D4698" s="21" t="s">
        <v>10614</v>
      </c>
      <c r="E4698" s="22" t="str">
        <f>HYPERLINK("https://twitter.com/jraizen/status/922464325582934016","922464325582934016")</f>
        <v>922464325582934016</v>
      </c>
      <c r="F4698" s="23" t="s">
        <v>55</v>
      </c>
      <c r="G4698" s="24">
        <v>813.0</v>
      </c>
      <c r="H4698" s="24">
        <v>1103.0</v>
      </c>
      <c r="I4698" s="24">
        <v>159.0</v>
      </c>
      <c r="J4698" s="24">
        <v>0.0</v>
      </c>
      <c r="K4698" s="23" t="s">
        <v>34</v>
      </c>
      <c r="L4698" s="25">
        <v>39993.31119212963</v>
      </c>
      <c r="M4698" s="28"/>
      <c r="N4698" s="26" t="s">
        <v>10825</v>
      </c>
      <c r="O4698" s="22" t="str">
        <f>HYPERLINK("https://pbs.twimg.com/profile_images/901924282602852354/GN8_WM32_normal.jpg","View")</f>
        <v>View</v>
      </c>
      <c r="P4698" s="27"/>
    </row>
    <row r="4699">
      <c r="A4699" s="14">
        <v>43031.29638888889</v>
      </c>
      <c r="B4699" s="20" t="str">
        <f>HYPERLINK("https://twitter.com/heyone2free","@heyone2free")</f>
        <v>@heyone2free</v>
      </c>
      <c r="C4699" s="21" t="s">
        <v>10826</v>
      </c>
      <c r="D4699" s="21" t="s">
        <v>42</v>
      </c>
      <c r="E4699" s="22" t="str">
        <f>HYPERLINK("https://twitter.com/heyone2free/status/922464327734509568","922464327734509568")</f>
        <v>922464327734509568</v>
      </c>
      <c r="F4699" s="23" t="s">
        <v>55</v>
      </c>
      <c r="G4699" s="24">
        <v>64.0</v>
      </c>
      <c r="H4699" s="24">
        <v>365.0</v>
      </c>
      <c r="I4699" s="24">
        <v>8501.0</v>
      </c>
      <c r="J4699" s="24">
        <v>0.0</v>
      </c>
      <c r="K4699" s="23" t="s">
        <v>34</v>
      </c>
      <c r="L4699" s="25">
        <v>40491.08284722222</v>
      </c>
      <c r="M4699" s="26" t="s">
        <v>271</v>
      </c>
      <c r="N4699" s="26" t="s">
        <v>10827</v>
      </c>
      <c r="O4699" s="22" t="str">
        <f>HYPERLINK("https://pbs.twimg.com/profile_images/804337840066703360/0lwyKxvn_normal.jpg","View")</f>
        <v>View</v>
      </c>
      <c r="P4699" s="27"/>
    </row>
    <row r="4700">
      <c r="A4700" s="14">
        <v>43031.296423611115</v>
      </c>
      <c r="B4700" s="20" t="str">
        <f>HYPERLINK("https://twitter.com/jaiyeorienews","@jaiyeorienews")</f>
        <v>@jaiyeorienews</v>
      </c>
      <c r="C4700" s="21" t="s">
        <v>10828</v>
      </c>
      <c r="D4700" s="21" t="s">
        <v>10829</v>
      </c>
      <c r="E4700" s="22" t="str">
        <f>HYPERLINK("https://twitter.com/jaiyeorienews/status/922464337247301632","922464337247301632")</f>
        <v>922464337247301632</v>
      </c>
      <c r="F4700" s="23" t="s">
        <v>187</v>
      </c>
      <c r="G4700" s="24">
        <v>2277.0</v>
      </c>
      <c r="H4700" s="24">
        <v>2333.0</v>
      </c>
      <c r="I4700" s="24">
        <v>0.0</v>
      </c>
      <c r="J4700" s="24">
        <v>0.0</v>
      </c>
      <c r="K4700" s="23" t="s">
        <v>34</v>
      </c>
      <c r="L4700" s="25">
        <v>41954.027916666666</v>
      </c>
      <c r="M4700" s="26" t="s">
        <v>4424</v>
      </c>
      <c r="N4700" s="26" t="s">
        <v>10830</v>
      </c>
      <c r="O4700" s="22" t="str">
        <f>HYPERLINK("https://pbs.twimg.com/profile_images/898224175642533889/CNzgHuAT_normal.jpg","View")</f>
        <v>View</v>
      </c>
      <c r="P4700" s="27"/>
    </row>
    <row r="4701">
      <c r="A4701" s="14">
        <v>43031.29653935185</v>
      </c>
      <c r="B4701" s="20" t="str">
        <f>HYPERLINK("https://twitter.com/higiyama","@higiyama")</f>
        <v>@higiyama</v>
      </c>
      <c r="C4701" s="21" t="s">
        <v>10831</v>
      </c>
      <c r="D4701" s="21" t="s">
        <v>10832</v>
      </c>
      <c r="E4701" s="22" t="str">
        <f>HYPERLINK("https://twitter.com/higiyama/status/922464381069225985","922464381069225985")</f>
        <v>922464381069225985</v>
      </c>
      <c r="F4701" s="23" t="s">
        <v>230</v>
      </c>
      <c r="G4701" s="24">
        <v>3263.0</v>
      </c>
      <c r="H4701" s="24">
        <v>2774.0</v>
      </c>
      <c r="I4701" s="24">
        <v>1.0</v>
      </c>
      <c r="J4701" s="24">
        <v>0.0</v>
      </c>
      <c r="K4701" s="23" t="s">
        <v>34</v>
      </c>
      <c r="L4701" s="25">
        <v>40774.54006944445</v>
      </c>
      <c r="M4701" s="26" t="s">
        <v>10833</v>
      </c>
      <c r="N4701" s="26" t="s">
        <v>10834</v>
      </c>
      <c r="O4701" s="22" t="str">
        <f>HYPERLINK("https://pbs.twimg.com/profile_images/697739461300334592/6ml1CZEI_normal.jpg","View")</f>
        <v>View</v>
      </c>
      <c r="P4701" s="27"/>
    </row>
    <row r="4702">
      <c r="A4702" s="14">
        <v>43031.29657407408</v>
      </c>
      <c r="B4702" s="20" t="str">
        <f>HYPERLINK("https://twitter.com/TarunMalhotraTM","@TarunMalhotraTM")</f>
        <v>@TarunMalhotraTM</v>
      </c>
      <c r="C4702" s="21" t="s">
        <v>10835</v>
      </c>
      <c r="D4702" s="21" t="s">
        <v>10614</v>
      </c>
      <c r="E4702" s="22" t="str">
        <f>HYPERLINK("https://twitter.com/TarunMalhotraTM/status/922464391332634626","922464391332634626")</f>
        <v>922464391332634626</v>
      </c>
      <c r="F4702" s="23" t="s">
        <v>33</v>
      </c>
      <c r="G4702" s="24">
        <v>122.0</v>
      </c>
      <c r="H4702" s="24">
        <v>1619.0</v>
      </c>
      <c r="I4702" s="24">
        <v>159.0</v>
      </c>
      <c r="J4702" s="24">
        <v>0.0</v>
      </c>
      <c r="K4702" s="23" t="s">
        <v>34</v>
      </c>
      <c r="L4702" s="25">
        <v>41440.87574074074</v>
      </c>
      <c r="M4702" s="26" t="s">
        <v>575</v>
      </c>
      <c r="N4702" s="26" t="s">
        <v>10836</v>
      </c>
      <c r="O4702" s="22" t="str">
        <f>HYPERLINK("https://pbs.twimg.com/profile_images/901087132692824064/ukAXlKvJ_normal.jpg","View")</f>
        <v>View</v>
      </c>
      <c r="P4702" s="27"/>
    </row>
    <row r="4703">
      <c r="A4703" s="14">
        <v>43031.296678240746</v>
      </c>
      <c r="B4703" s="20" t="str">
        <f>HYPERLINK("https://twitter.com/Gas8128","@Gas8128")</f>
        <v>@Gas8128</v>
      </c>
      <c r="C4703" s="21" t="s">
        <v>10837</v>
      </c>
      <c r="D4703" s="21" t="s">
        <v>6973</v>
      </c>
      <c r="E4703" s="22" t="str">
        <f>HYPERLINK("https://twitter.com/Gas8128/status/922464431451205633","922464431451205633")</f>
        <v>922464431451205633</v>
      </c>
      <c r="F4703" s="23" t="s">
        <v>33</v>
      </c>
      <c r="G4703" s="24">
        <v>22200.0</v>
      </c>
      <c r="H4703" s="24">
        <v>20110.0</v>
      </c>
      <c r="I4703" s="24">
        <v>10.0</v>
      </c>
      <c r="J4703" s="24">
        <v>0.0</v>
      </c>
      <c r="K4703" s="23" t="s">
        <v>34</v>
      </c>
      <c r="L4703" s="25">
        <v>40923.72777777778</v>
      </c>
      <c r="M4703" s="26" t="s">
        <v>1024</v>
      </c>
      <c r="N4703" s="26" t="s">
        <v>10838</v>
      </c>
      <c r="O4703" s="22" t="str">
        <f>HYPERLINK("https://pbs.twimg.com/profile_images/765359209047175168/GlWymQrW_normal.png","View")</f>
        <v>View</v>
      </c>
      <c r="P4703" s="27"/>
    </row>
    <row r="4704">
      <c r="A4704" s="14">
        <v>43031.29671296296</v>
      </c>
      <c r="B4704" s="20" t="str">
        <f>HYPERLINK("https://twitter.com/Lilo97423","@Lilo97423")</f>
        <v>@Lilo97423</v>
      </c>
      <c r="C4704" s="21" t="s">
        <v>10839</v>
      </c>
      <c r="D4704" s="21" t="s">
        <v>9888</v>
      </c>
      <c r="E4704" s="22" t="str">
        <f>HYPERLINK("https://twitter.com/Lilo97423/status/922464441332936710","922464441332936710")</f>
        <v>922464441332936710</v>
      </c>
      <c r="F4704" s="23" t="s">
        <v>55</v>
      </c>
      <c r="G4704" s="24">
        <v>349.0</v>
      </c>
      <c r="H4704" s="24">
        <v>762.0</v>
      </c>
      <c r="I4704" s="24">
        <v>7.0</v>
      </c>
      <c r="J4704" s="24">
        <v>0.0</v>
      </c>
      <c r="K4704" s="23" t="s">
        <v>34</v>
      </c>
      <c r="L4704" s="25">
        <v>41404.7721875</v>
      </c>
      <c r="M4704" s="28"/>
      <c r="N4704" s="28"/>
      <c r="O4704" s="22" t="str">
        <f>HYPERLINK("https://pbs.twimg.com/profile_images/3642344673/24576fa02da7f642b87ba657f80676ba_normal.jpeg","View")</f>
        <v>View</v>
      </c>
      <c r="P4704" s="27"/>
    </row>
    <row r="4705">
      <c r="A4705" s="14">
        <v>43031.29672453704</v>
      </c>
      <c r="B4705" s="20" t="str">
        <f>HYPERLINK("https://twitter.com/Kittypunk7","@Kittypunk7")</f>
        <v>@Kittypunk7</v>
      </c>
      <c r="C4705" s="21" t="s">
        <v>10840</v>
      </c>
      <c r="D4705" s="21" t="s">
        <v>10841</v>
      </c>
      <c r="E4705" s="22" t="str">
        <f>HYPERLINK("https://twitter.com/Kittypunk7/status/922464446525648902","922464446525648902")</f>
        <v>922464446525648902</v>
      </c>
      <c r="F4705" s="23" t="s">
        <v>769</v>
      </c>
      <c r="G4705" s="24">
        <v>13393.0</v>
      </c>
      <c r="H4705" s="24">
        <v>4879.0</v>
      </c>
      <c r="I4705" s="24">
        <v>1.0</v>
      </c>
      <c r="J4705" s="24">
        <v>0.0</v>
      </c>
      <c r="K4705" s="23" t="s">
        <v>34</v>
      </c>
      <c r="L4705" s="25">
        <v>40086.33645833333</v>
      </c>
      <c r="M4705" s="26" t="s">
        <v>10842</v>
      </c>
      <c r="N4705" s="26" t="s">
        <v>10843</v>
      </c>
      <c r="O4705" s="22" t="str">
        <f>HYPERLINK("https://pbs.twimg.com/profile_images/813597768967225344/ueGcgQUu_normal.jpg","View")</f>
        <v>View</v>
      </c>
      <c r="P4705" s="27"/>
    </row>
    <row r="4706">
      <c r="A4706" s="14">
        <v>43031.29672453704</v>
      </c>
      <c r="B4706" s="20" t="str">
        <f>HYPERLINK("https://twitter.com/jwassers","@jwassers")</f>
        <v>@jwassers</v>
      </c>
      <c r="C4706" s="21" t="s">
        <v>10844</v>
      </c>
      <c r="D4706" s="21" t="s">
        <v>10845</v>
      </c>
      <c r="E4706" s="22" t="str">
        <f>HYPERLINK("https://twitter.com/jwassers/status/922464448694009856","922464448694009856")</f>
        <v>922464448694009856</v>
      </c>
      <c r="F4706" s="23" t="s">
        <v>230</v>
      </c>
      <c r="G4706" s="24">
        <v>24151.0</v>
      </c>
      <c r="H4706" s="24">
        <v>2264.0</v>
      </c>
      <c r="I4706" s="24">
        <v>1.0</v>
      </c>
      <c r="J4706" s="24">
        <v>0.0</v>
      </c>
      <c r="K4706" s="23" t="s">
        <v>34</v>
      </c>
      <c r="L4706" s="25">
        <v>40639.67349537037</v>
      </c>
      <c r="M4706" s="26" t="s">
        <v>6779</v>
      </c>
      <c r="N4706" s="26" t="s">
        <v>10846</v>
      </c>
      <c r="O4706" s="22" t="str">
        <f>HYPERLINK("https://pbs.twimg.com/profile_images/1302491054/AuthorphotoGW2010_normal.jpg","View")</f>
        <v>View</v>
      </c>
      <c r="P4706" s="27"/>
    </row>
    <row r="4707">
      <c r="A4707" s="14">
        <v>43031.296805555554</v>
      </c>
      <c r="B4707" s="20" t="str">
        <f>HYPERLINK("https://twitter.com/amitabh84143069","@amitabh84143069")</f>
        <v>@amitabh84143069</v>
      </c>
      <c r="C4707" s="21" t="s">
        <v>10847</v>
      </c>
      <c r="D4707" s="21" t="s">
        <v>42</v>
      </c>
      <c r="E4707" s="22" t="str">
        <f>HYPERLINK("https://twitter.com/amitabh84143069/status/922464477316108295","922464477316108295")</f>
        <v>922464477316108295</v>
      </c>
      <c r="F4707" s="23" t="s">
        <v>33</v>
      </c>
      <c r="G4707" s="24">
        <v>117.0</v>
      </c>
      <c r="H4707" s="24">
        <v>211.0</v>
      </c>
      <c r="I4707" s="24">
        <v>8501.0</v>
      </c>
      <c r="J4707" s="24">
        <v>0.0</v>
      </c>
      <c r="K4707" s="23" t="s">
        <v>34</v>
      </c>
      <c r="L4707" s="25">
        <v>42363.24010416667</v>
      </c>
      <c r="M4707" s="26" t="s">
        <v>10848</v>
      </c>
      <c r="N4707" s="26" t="s">
        <v>10849</v>
      </c>
      <c r="O4707" s="22" t="str">
        <f>HYPERLINK("https://pbs.twimg.com/profile_images/790614120143790080/8OwkoN28_normal.jpg","View")</f>
        <v>View</v>
      </c>
      <c r="P4707" s="27"/>
    </row>
    <row r="4708">
      <c r="A4708" s="14">
        <v>43031.296805555554</v>
      </c>
      <c r="B4708" s="20" t="str">
        <f>HYPERLINK("https://twitter.com/JoshuaGS1905","@JoshuaGS1905")</f>
        <v>@JoshuaGS1905</v>
      </c>
      <c r="C4708" s="21" t="s">
        <v>10850</v>
      </c>
      <c r="D4708" s="21" t="s">
        <v>10614</v>
      </c>
      <c r="E4708" s="22" t="str">
        <f>HYPERLINK("https://twitter.com/JoshuaGS1905/status/922464478108712960","922464478108712960")</f>
        <v>922464478108712960</v>
      </c>
      <c r="F4708" s="23" t="s">
        <v>39</v>
      </c>
      <c r="G4708" s="24">
        <v>157.0</v>
      </c>
      <c r="H4708" s="24">
        <v>507.0</v>
      </c>
      <c r="I4708" s="24">
        <v>159.0</v>
      </c>
      <c r="J4708" s="24">
        <v>0.0</v>
      </c>
      <c r="K4708" s="23" t="s">
        <v>34</v>
      </c>
      <c r="L4708" s="25">
        <v>42216.80658564815</v>
      </c>
      <c r="M4708" s="28"/>
      <c r="N4708" s="28"/>
      <c r="O4708" s="22" t="str">
        <f>HYPERLINK("https://pbs.twimg.com/profile_images/915388776440049664/vNwmzIPR_normal.jpg","View")</f>
        <v>View</v>
      </c>
      <c r="P4708" s="27"/>
    </row>
    <row r="4709">
      <c r="A4709" s="14">
        <v>43031.296875</v>
      </c>
      <c r="B4709" s="20" t="str">
        <f>HYPERLINK("https://twitter.com/mattakaneko","@mattakaneko")</f>
        <v>@mattakaneko</v>
      </c>
      <c r="C4709" s="21" t="s">
        <v>10851</v>
      </c>
      <c r="D4709" s="21" t="s">
        <v>10852</v>
      </c>
      <c r="E4709" s="22" t="str">
        <f>HYPERLINK("https://twitter.com/mattakaneko/status/922464499977908224","922464499977908224")</f>
        <v>922464499977908224</v>
      </c>
      <c r="F4709" s="23" t="s">
        <v>55</v>
      </c>
      <c r="G4709" s="24">
        <v>211.0</v>
      </c>
      <c r="H4709" s="24">
        <v>448.0</v>
      </c>
      <c r="I4709" s="24">
        <v>1.0</v>
      </c>
      <c r="J4709" s="24">
        <v>1.0</v>
      </c>
      <c r="K4709" s="23" t="s">
        <v>34</v>
      </c>
      <c r="L4709" s="25">
        <v>41631.97341435185</v>
      </c>
      <c r="M4709" s="26" t="s">
        <v>10853</v>
      </c>
      <c r="N4709" s="26" t="s">
        <v>10854</v>
      </c>
      <c r="O4709" s="22" t="str">
        <f>HYPERLINK("https://pbs.twimg.com/profile_images/919868903165186048/7OpJaFa2_normal.jpg","View")</f>
        <v>View</v>
      </c>
      <c r="P4709" s="27"/>
    </row>
    <row r="4710">
      <c r="A4710" s="14">
        <v>43031.29693287037</v>
      </c>
      <c r="B4710" s="20" t="str">
        <f>HYPERLINK("https://twitter.com/tpranjith10","@tpranjith10")</f>
        <v>@tpranjith10</v>
      </c>
      <c r="C4710" s="21" t="s">
        <v>10855</v>
      </c>
      <c r="D4710" s="21" t="s">
        <v>42</v>
      </c>
      <c r="E4710" s="22" t="str">
        <f>HYPERLINK("https://twitter.com/tpranjith10/status/922464522488594432","922464522488594432")</f>
        <v>922464522488594432</v>
      </c>
      <c r="F4710" s="23" t="s">
        <v>55</v>
      </c>
      <c r="G4710" s="24">
        <v>106.0</v>
      </c>
      <c r="H4710" s="24">
        <v>713.0</v>
      </c>
      <c r="I4710" s="24">
        <v>8501.0</v>
      </c>
      <c r="J4710" s="24">
        <v>0.0</v>
      </c>
      <c r="K4710" s="23" t="s">
        <v>34</v>
      </c>
      <c r="L4710" s="25">
        <v>41656.421168981484</v>
      </c>
      <c r="M4710" s="26" t="s">
        <v>1991</v>
      </c>
      <c r="N4710" s="28"/>
      <c r="O4710" s="22" t="str">
        <f>HYPERLINK("https://pbs.twimg.com/profile_images/695239369985122305/pwv4WnEJ_normal.jpg","View")</f>
        <v>View</v>
      </c>
      <c r="P4710" s="27"/>
    </row>
    <row r="4711">
      <c r="A4711" s="14">
        <v>43031.29701388889</v>
      </c>
      <c r="B4711" s="20" t="str">
        <f>HYPERLINK("https://twitter.com/sreekumarsbt2","@sreekumarsbt2")</f>
        <v>@sreekumarsbt2</v>
      </c>
      <c r="C4711" s="21" t="s">
        <v>10856</v>
      </c>
      <c r="D4711" s="21" t="s">
        <v>42</v>
      </c>
      <c r="E4711" s="22" t="str">
        <f>HYPERLINK("https://twitter.com/sreekumarsbt2/status/922464552783974402","922464552783974402")</f>
        <v>922464552783974402</v>
      </c>
      <c r="F4711" s="23" t="s">
        <v>33</v>
      </c>
      <c r="G4711" s="24">
        <v>0.0</v>
      </c>
      <c r="H4711" s="24">
        <v>147.0</v>
      </c>
      <c r="I4711" s="24">
        <v>8501.0</v>
      </c>
      <c r="J4711" s="24">
        <v>0.0</v>
      </c>
      <c r="K4711" s="23" t="s">
        <v>34</v>
      </c>
      <c r="L4711" s="25">
        <v>43010.44318287037</v>
      </c>
      <c r="M4711" s="26" t="s">
        <v>4769</v>
      </c>
      <c r="N4711" s="28"/>
      <c r="O4711" s="22" t="str">
        <f t="shared" ref="O4711:O4712" si="77">HYPERLINK("https://abs.twimg.com/sticky/default_profile_images/default_profile_normal.png","View")</f>
        <v>View</v>
      </c>
      <c r="P4711" s="27"/>
    </row>
    <row r="4712">
      <c r="A4712" s="14">
        <v>43031.297071759254</v>
      </c>
      <c r="B4712" s="20" t="str">
        <f>HYPERLINK("https://twitter.com/YashSin31307588","@YashSin31307588")</f>
        <v>@YashSin31307588</v>
      </c>
      <c r="C4712" s="21" t="s">
        <v>10857</v>
      </c>
      <c r="D4712" s="21" t="s">
        <v>42</v>
      </c>
      <c r="E4712" s="22" t="str">
        <f>HYPERLINK("https://twitter.com/YashSin31307588/status/922464572388155393","922464572388155393")</f>
        <v>922464572388155393</v>
      </c>
      <c r="F4712" s="23" t="s">
        <v>33</v>
      </c>
      <c r="G4712" s="24">
        <v>69.0</v>
      </c>
      <c r="H4712" s="24">
        <v>115.0</v>
      </c>
      <c r="I4712" s="24">
        <v>8501.0</v>
      </c>
      <c r="J4712" s="24">
        <v>0.0</v>
      </c>
      <c r="K4712" s="23" t="s">
        <v>34</v>
      </c>
      <c r="L4712" s="25">
        <v>42914.46628472222</v>
      </c>
      <c r="M4712" s="28"/>
      <c r="N4712" s="28"/>
      <c r="O4712" s="22" t="str">
        <f t="shared" si="77"/>
        <v>View</v>
      </c>
      <c r="P4712" s="27"/>
    </row>
    <row r="4713">
      <c r="A4713" s="14">
        <v>43031.29709490741</v>
      </c>
      <c r="B4713" s="20" t="str">
        <f>HYPERLINK("https://twitter.com/blitz1101","@blitz1101")</f>
        <v>@blitz1101</v>
      </c>
      <c r="C4713" s="21" t="s">
        <v>10858</v>
      </c>
      <c r="D4713" s="21" t="s">
        <v>42</v>
      </c>
      <c r="E4713" s="22" t="str">
        <f>HYPERLINK("https://twitter.com/blitz1101/status/922464580974010368","922464580974010368")</f>
        <v>922464580974010368</v>
      </c>
      <c r="F4713" s="23" t="s">
        <v>39</v>
      </c>
      <c r="G4713" s="24">
        <v>575.0</v>
      </c>
      <c r="H4713" s="24">
        <v>833.0</v>
      </c>
      <c r="I4713" s="24">
        <v>8501.0</v>
      </c>
      <c r="J4713" s="24">
        <v>0.0</v>
      </c>
      <c r="K4713" s="23" t="s">
        <v>34</v>
      </c>
      <c r="L4713" s="25">
        <v>41974.92101851852</v>
      </c>
      <c r="M4713" s="26" t="s">
        <v>204</v>
      </c>
      <c r="N4713" s="26" t="s">
        <v>10859</v>
      </c>
      <c r="O4713" s="22" t="str">
        <f>HYPERLINK("https://pbs.twimg.com/profile_images/852028143363735552/hMUfGABC_normal.jpg","View")</f>
        <v>View</v>
      </c>
      <c r="P4713" s="27"/>
    </row>
    <row r="4714">
      <c r="A4714" s="14">
        <v>43031.2971412037</v>
      </c>
      <c r="B4714" s="20" t="str">
        <f>HYPERLINK("https://twitter.com/brahmasingh417","@brahmasingh417")</f>
        <v>@brahmasingh417</v>
      </c>
      <c r="C4714" s="21" t="s">
        <v>10860</v>
      </c>
      <c r="D4714" s="21" t="s">
        <v>42</v>
      </c>
      <c r="E4714" s="22" t="str">
        <f>HYPERLINK("https://twitter.com/brahmasingh417/status/922464600250912768","922464600250912768")</f>
        <v>922464600250912768</v>
      </c>
      <c r="F4714" s="23" t="s">
        <v>33</v>
      </c>
      <c r="G4714" s="24">
        <v>1954.0</v>
      </c>
      <c r="H4714" s="24">
        <v>1155.0</v>
      </c>
      <c r="I4714" s="24">
        <v>8501.0</v>
      </c>
      <c r="J4714" s="24">
        <v>0.0</v>
      </c>
      <c r="K4714" s="23" t="s">
        <v>34</v>
      </c>
      <c r="L4714" s="25">
        <v>41434.20077546296</v>
      </c>
      <c r="M4714" s="26" t="s">
        <v>10861</v>
      </c>
      <c r="N4714" s="26" t="s">
        <v>10862</v>
      </c>
      <c r="O4714" s="22" t="str">
        <f>HYPERLINK("https://pbs.twimg.com/profile_images/567378485094526978/3iiXzmAm_normal.jpeg","View")</f>
        <v>View</v>
      </c>
      <c r="P4714" s="27"/>
    </row>
    <row r="4715">
      <c r="A4715" s="14">
        <v>43031.2971412037</v>
      </c>
      <c r="B4715" s="20" t="str">
        <f>HYPERLINK("https://twitter.com/nancysheldon1","@nancysheldon1")</f>
        <v>@nancysheldon1</v>
      </c>
      <c r="C4715" s="21" t="s">
        <v>10863</v>
      </c>
      <c r="D4715" s="21" t="s">
        <v>10614</v>
      </c>
      <c r="E4715" s="22" t="str">
        <f>HYPERLINK("https://twitter.com/nancysheldon1/status/922464600272105473","922464600272105473")</f>
        <v>922464600272105473</v>
      </c>
      <c r="F4715" s="23" t="s">
        <v>55</v>
      </c>
      <c r="G4715" s="24">
        <v>766.0</v>
      </c>
      <c r="H4715" s="24">
        <v>196.0</v>
      </c>
      <c r="I4715" s="24">
        <v>159.0</v>
      </c>
      <c r="J4715" s="24">
        <v>0.0</v>
      </c>
      <c r="K4715" s="23" t="s">
        <v>34</v>
      </c>
      <c r="L4715" s="25">
        <v>40811.519004629634</v>
      </c>
      <c r="M4715" s="28"/>
      <c r="N4715" s="26" t="s">
        <v>10864</v>
      </c>
      <c r="O4715" s="22" t="str">
        <f>HYPERLINK("https://pbs.twimg.com/profile_images/558334191587172352/ztcud11M_normal.jpeg","View")</f>
        <v>View</v>
      </c>
      <c r="P4715" s="27"/>
    </row>
    <row r="4716">
      <c r="A4716" s="14">
        <v>43031.29724537037</v>
      </c>
      <c r="B4716" s="20" t="str">
        <f>HYPERLINK("https://twitter.com/luanquan29425","@luanquan29425")</f>
        <v>@luanquan29425</v>
      </c>
      <c r="C4716" s="21" t="s">
        <v>10865</v>
      </c>
      <c r="D4716" s="21" t="s">
        <v>10866</v>
      </c>
      <c r="E4716" s="22" t="str">
        <f>HYPERLINK("https://twitter.com/luanquan29425/status/922464636036726784","922464636036726784")</f>
        <v>922464636036726784</v>
      </c>
      <c r="F4716" s="23" t="s">
        <v>55</v>
      </c>
      <c r="G4716" s="24">
        <v>0.0</v>
      </c>
      <c r="H4716" s="24">
        <v>0.0</v>
      </c>
      <c r="I4716" s="24">
        <v>0.0</v>
      </c>
      <c r="J4716" s="24">
        <v>0.0</v>
      </c>
      <c r="K4716" s="23" t="s">
        <v>34</v>
      </c>
      <c r="L4716" s="25">
        <v>43029.47225694444</v>
      </c>
      <c r="M4716" s="28"/>
      <c r="N4716" s="28"/>
      <c r="O4716" s="22" t="str">
        <f>HYPERLINK("https://abs.twimg.com/sticky/default_profile_images/default_profile_normal.png","View")</f>
        <v>View</v>
      </c>
      <c r="P4716" s="27"/>
    </row>
    <row r="4717">
      <c r="A4717" s="14">
        <v>43031.29740740741</v>
      </c>
      <c r="B4717" s="20" t="str">
        <f>HYPERLINK("https://twitter.com/YJAbductlon","@YJAbductlon")</f>
        <v>@YJAbductlon</v>
      </c>
      <c r="C4717" s="21" t="s">
        <v>10867</v>
      </c>
      <c r="D4717" s="21" t="s">
        <v>2369</v>
      </c>
      <c r="E4717" s="22" t="str">
        <f>HYPERLINK("https://twitter.com/YJAbductlon/status/922464696023777280","922464696023777280")</f>
        <v>922464696023777280</v>
      </c>
      <c r="F4717" s="23" t="s">
        <v>33</v>
      </c>
      <c r="G4717" s="24">
        <v>58.0</v>
      </c>
      <c r="H4717" s="24">
        <v>2303.0</v>
      </c>
      <c r="I4717" s="24">
        <v>23.0</v>
      </c>
      <c r="J4717" s="24">
        <v>0.0</v>
      </c>
      <c r="K4717" s="23" t="s">
        <v>34</v>
      </c>
      <c r="L4717" s="25">
        <v>40913.896261574075</v>
      </c>
      <c r="M4717" s="26" t="s">
        <v>10868</v>
      </c>
      <c r="N4717" s="26" t="s">
        <v>10869</v>
      </c>
      <c r="O4717" s="22" t="str">
        <f>HYPERLINK("https://pbs.twimg.com/profile_images/764201100513804288/vIlAl1M-_normal.jpg","View")</f>
        <v>View</v>
      </c>
      <c r="P4717" s="27"/>
    </row>
    <row r="4718">
      <c r="A4718" s="14">
        <v>43031.29740740741</v>
      </c>
      <c r="B4718" s="20" t="str">
        <f>HYPERLINK("https://twitter.com/yadavrohit098","@yadavrohit098")</f>
        <v>@yadavrohit098</v>
      </c>
      <c r="C4718" s="21" t="s">
        <v>10870</v>
      </c>
      <c r="D4718" s="21" t="s">
        <v>42</v>
      </c>
      <c r="E4718" s="22" t="str">
        <f>HYPERLINK("https://twitter.com/yadavrohit098/status/922464696850092032","922464696850092032")</f>
        <v>922464696850092032</v>
      </c>
      <c r="F4718" s="23" t="s">
        <v>33</v>
      </c>
      <c r="G4718" s="24">
        <v>1.0</v>
      </c>
      <c r="H4718" s="24">
        <v>9.0</v>
      </c>
      <c r="I4718" s="24">
        <v>8501.0</v>
      </c>
      <c r="J4718" s="24">
        <v>0.0</v>
      </c>
      <c r="K4718" s="23" t="s">
        <v>34</v>
      </c>
      <c r="L4718" s="25">
        <v>42993.89546296296</v>
      </c>
      <c r="M4718" s="26" t="s">
        <v>10871</v>
      </c>
      <c r="N4718" s="26" t="s">
        <v>10872</v>
      </c>
      <c r="O4718" s="22" t="str">
        <f>HYPERLINK("https://pbs.twimg.com/profile_images/919232077828063235/YAN_jYo7_normal.jpg","View")</f>
        <v>View</v>
      </c>
      <c r="P4718" s="27"/>
    </row>
    <row r="4719">
      <c r="A4719" s="14">
        <v>43031.29756944445</v>
      </c>
      <c r="B4719" s="20" t="str">
        <f>HYPERLINK("https://twitter.com/Dabby1220a","@Dabby1220a")</f>
        <v>@Dabby1220a</v>
      </c>
      <c r="C4719" s="21" t="s">
        <v>8455</v>
      </c>
      <c r="D4719" s="21" t="s">
        <v>2555</v>
      </c>
      <c r="E4719" s="22" t="str">
        <f>HYPERLINK("https://twitter.com/Dabby1220a/status/922464753452072965","922464753452072965")</f>
        <v>922464753452072965</v>
      </c>
      <c r="F4719" s="23" t="s">
        <v>55</v>
      </c>
      <c r="G4719" s="24">
        <v>12.0</v>
      </c>
      <c r="H4719" s="24">
        <v>10.0</v>
      </c>
      <c r="I4719" s="24">
        <v>58.0</v>
      </c>
      <c r="J4719" s="24">
        <v>0.0</v>
      </c>
      <c r="K4719" s="23" t="s">
        <v>34</v>
      </c>
      <c r="L4719" s="25">
        <v>43029.02297453704</v>
      </c>
      <c r="M4719" s="28"/>
      <c r="N4719" s="26" t="s">
        <v>8456</v>
      </c>
      <c r="O4719" s="22" t="str">
        <f>HYPERLINK("https://pbs.twimg.com/profile_images/921652373650419712/cuspCcgp_normal.jpg","View")</f>
        <v>View</v>
      </c>
      <c r="P4719" s="27"/>
    </row>
    <row r="4720">
      <c r="A4720" s="14">
        <v>43031.29759259259</v>
      </c>
      <c r="B4720" s="20" t="str">
        <f>HYPERLINK("https://twitter.com/whee9000","@whee9000")</f>
        <v>@whee9000</v>
      </c>
      <c r="C4720" s="21" t="s">
        <v>10873</v>
      </c>
      <c r="D4720" s="21" t="s">
        <v>42</v>
      </c>
      <c r="E4720" s="22" t="str">
        <f>HYPERLINK("https://twitter.com/whee9000/status/922464763598266369","922464763598266369")</f>
        <v>922464763598266369</v>
      </c>
      <c r="F4720" s="23" t="s">
        <v>39</v>
      </c>
      <c r="G4720" s="24">
        <v>46.0</v>
      </c>
      <c r="H4720" s="24">
        <v>31.0</v>
      </c>
      <c r="I4720" s="24">
        <v>8501.0</v>
      </c>
      <c r="J4720" s="24">
        <v>0.0</v>
      </c>
      <c r="K4720" s="23" t="s">
        <v>34</v>
      </c>
      <c r="L4720" s="25">
        <v>42749.21160879629</v>
      </c>
      <c r="M4720" s="28"/>
      <c r="N4720" s="28"/>
      <c r="O4720" s="22" t="str">
        <f>HYPERLINK("https://pbs.twimg.com/profile_images/841680078979387396/vInO0ftW_normal.jpg","View")</f>
        <v>View</v>
      </c>
      <c r="P4720" s="27"/>
    </row>
    <row r="4721">
      <c r="A4721" s="14">
        <v>43031.297673611116</v>
      </c>
      <c r="B4721" s="20" t="str">
        <f>HYPERLINK("https://twitter.com/KemicalKomic","@KemicalKomic")</f>
        <v>@KemicalKomic</v>
      </c>
      <c r="C4721" s="21" t="s">
        <v>10502</v>
      </c>
      <c r="D4721" s="21" t="s">
        <v>5786</v>
      </c>
      <c r="E4721" s="22" t="str">
        <f>HYPERLINK("https://twitter.com/KemicalKomic/status/922464790177464320","922464790177464320")</f>
        <v>922464790177464320</v>
      </c>
      <c r="F4721" s="23" t="s">
        <v>43</v>
      </c>
      <c r="G4721" s="24">
        <v>12.0</v>
      </c>
      <c r="H4721" s="24">
        <v>40.0</v>
      </c>
      <c r="I4721" s="24">
        <v>59.0</v>
      </c>
      <c r="J4721" s="24">
        <v>0.0</v>
      </c>
      <c r="K4721" s="23" t="s">
        <v>34</v>
      </c>
      <c r="L4721" s="25">
        <v>43031.25263888889</v>
      </c>
      <c r="M4721" s="26" t="s">
        <v>10503</v>
      </c>
      <c r="N4721" s="26" t="s">
        <v>10504</v>
      </c>
      <c r="O4721" s="22" t="str">
        <f>HYPERLINK("https://pbs.twimg.com/profile_images/922467735677759489/DGXrRoOz_normal.jpg","View")</f>
        <v>View</v>
      </c>
      <c r="P4721" s="27"/>
    </row>
    <row r="4722">
      <c r="A4722" s="14">
        <v>43031.297685185185</v>
      </c>
      <c r="B4722" s="20" t="str">
        <f>HYPERLINK("https://twitter.com/rajeshbg38","@rajeshbg38")</f>
        <v>@rajeshbg38</v>
      </c>
      <c r="C4722" s="21" t="s">
        <v>6902</v>
      </c>
      <c r="D4722" s="21" t="s">
        <v>42</v>
      </c>
      <c r="E4722" s="22" t="str">
        <f>HYPERLINK("https://twitter.com/rajeshbg38/status/922464794917052418","922464794917052418")</f>
        <v>922464794917052418</v>
      </c>
      <c r="F4722" s="23" t="s">
        <v>33</v>
      </c>
      <c r="G4722" s="24">
        <v>25.0</v>
      </c>
      <c r="H4722" s="24">
        <v>66.0</v>
      </c>
      <c r="I4722" s="24">
        <v>8501.0</v>
      </c>
      <c r="J4722" s="24">
        <v>0.0</v>
      </c>
      <c r="K4722" s="23" t="s">
        <v>34</v>
      </c>
      <c r="L4722" s="25">
        <v>40419.09597222222</v>
      </c>
      <c r="M4722" s="26" t="s">
        <v>617</v>
      </c>
      <c r="N4722" s="28"/>
      <c r="O4722" s="22" t="str">
        <f>HYPERLINK("https://pbs.twimg.com/profile_images/918180122326265856/gCIVdqd0_normal.jpg","View")</f>
        <v>View</v>
      </c>
      <c r="P4722" s="27"/>
    </row>
    <row r="4723">
      <c r="A4723" s="14">
        <v>43031.29770833333</v>
      </c>
      <c r="B4723" s="20" t="str">
        <f>HYPERLINK("https://twitter.com/yupon_U","@yupon_U")</f>
        <v>@yupon_U</v>
      </c>
      <c r="C4723" s="21" t="s">
        <v>10874</v>
      </c>
      <c r="D4723" s="21" t="s">
        <v>1642</v>
      </c>
      <c r="E4723" s="22" t="str">
        <f>HYPERLINK("https://twitter.com/yupon_U/status/922464804199006208","922464804199006208")</f>
        <v>922464804199006208</v>
      </c>
      <c r="F4723" s="23" t="s">
        <v>39</v>
      </c>
      <c r="G4723" s="24">
        <v>1244.0</v>
      </c>
      <c r="H4723" s="24">
        <v>1194.0</v>
      </c>
      <c r="I4723" s="24">
        <v>199.0</v>
      </c>
      <c r="J4723" s="24">
        <v>0.0</v>
      </c>
      <c r="K4723" s="23" t="s">
        <v>34</v>
      </c>
      <c r="L4723" s="25">
        <v>41045.96533564815</v>
      </c>
      <c r="M4723" s="26" t="s">
        <v>10404</v>
      </c>
      <c r="N4723" s="26" t="s">
        <v>10875</v>
      </c>
      <c r="O4723" s="22" t="str">
        <f>HYPERLINK("https://pbs.twimg.com/profile_images/878531697196675072/LbedMM-J_normal.jpg","View")</f>
        <v>View</v>
      </c>
      <c r="P4723" s="27"/>
    </row>
    <row r="4724">
      <c r="A4724" s="14">
        <v>43031.29771990741</v>
      </c>
      <c r="B4724" s="20" t="str">
        <f>HYPERLINK("https://twitter.com/Jsonu5","@Jsonu5")</f>
        <v>@Jsonu5</v>
      </c>
      <c r="C4724" s="21" t="s">
        <v>10876</v>
      </c>
      <c r="D4724" s="21" t="s">
        <v>42</v>
      </c>
      <c r="E4724" s="22" t="str">
        <f>HYPERLINK("https://twitter.com/Jsonu5/status/922464806375866368","922464806375866368")</f>
        <v>922464806375866368</v>
      </c>
      <c r="F4724" s="23" t="s">
        <v>39</v>
      </c>
      <c r="G4724" s="24">
        <v>60.0</v>
      </c>
      <c r="H4724" s="24">
        <v>731.0</v>
      </c>
      <c r="I4724" s="24">
        <v>8501.0</v>
      </c>
      <c r="J4724" s="24">
        <v>0.0</v>
      </c>
      <c r="K4724" s="23" t="s">
        <v>34</v>
      </c>
      <c r="L4724" s="25">
        <v>42587.05793981481</v>
      </c>
      <c r="M4724" s="28"/>
      <c r="N4724" s="28"/>
      <c r="O4724" s="22" t="str">
        <f>HYPERLINK("https://pbs.twimg.com/profile_images/871814077676347394/fHSbdC01_normal.jpg","View")</f>
        <v>View</v>
      </c>
      <c r="P4724" s="27"/>
    </row>
    <row r="4725">
      <c r="A4725" s="14">
        <v>43031.297743055555</v>
      </c>
      <c r="B4725" s="20" t="str">
        <f>HYPERLINK("https://twitter.com/sushilkatheriya","@sushilkatheriya")</f>
        <v>@sushilkatheriya</v>
      </c>
      <c r="C4725" s="21" t="s">
        <v>10877</v>
      </c>
      <c r="D4725" s="21" t="s">
        <v>42</v>
      </c>
      <c r="E4725" s="22" t="str">
        <f>HYPERLINK("https://twitter.com/sushilkatheriya/status/922464814877806592","922464814877806592")</f>
        <v>922464814877806592</v>
      </c>
      <c r="F4725" s="23" t="s">
        <v>33</v>
      </c>
      <c r="G4725" s="24">
        <v>87.0</v>
      </c>
      <c r="H4725" s="24">
        <v>675.0</v>
      </c>
      <c r="I4725" s="24">
        <v>8501.0</v>
      </c>
      <c r="J4725" s="24">
        <v>0.0</v>
      </c>
      <c r="K4725" s="23" t="s">
        <v>34</v>
      </c>
      <c r="L4725" s="25">
        <v>41228.464953703704</v>
      </c>
      <c r="M4725" s="26" t="s">
        <v>246</v>
      </c>
      <c r="N4725" s="26" t="s">
        <v>10878</v>
      </c>
      <c r="O4725" s="22" t="str">
        <f>HYPERLINK("https://pbs.twimg.com/profile_images/885098795322585088/Oj6DiGUb_normal.jpg","View")</f>
        <v>View</v>
      </c>
      <c r="P4725" s="27"/>
    </row>
    <row r="4726">
      <c r="A4726" s="14">
        <v>43031.2977662037</v>
      </c>
      <c r="B4726" s="20" t="str">
        <f>HYPERLINK("https://twitter.com/rishab_prabha","@rishab_prabha")</f>
        <v>@rishab_prabha</v>
      </c>
      <c r="C4726" s="21" t="s">
        <v>10879</v>
      </c>
      <c r="D4726" s="21" t="s">
        <v>42</v>
      </c>
      <c r="E4726" s="22" t="str">
        <f>HYPERLINK("https://twitter.com/rishab_prabha/status/922464824444858368","922464824444858368")</f>
        <v>922464824444858368</v>
      </c>
      <c r="F4726" s="23" t="s">
        <v>33</v>
      </c>
      <c r="G4726" s="24">
        <v>37.0</v>
      </c>
      <c r="H4726" s="24">
        <v>71.0</v>
      </c>
      <c r="I4726" s="24">
        <v>8501.0</v>
      </c>
      <c r="J4726" s="24">
        <v>0.0</v>
      </c>
      <c r="K4726" s="23" t="s">
        <v>34</v>
      </c>
      <c r="L4726" s="25">
        <v>42956.3650462963</v>
      </c>
      <c r="M4726" s="26" t="s">
        <v>10880</v>
      </c>
      <c r="N4726" s="26" t="s">
        <v>10881</v>
      </c>
      <c r="O4726" s="22" t="str">
        <f>HYPERLINK("https://pbs.twimg.com/profile_images/921767987824050181/gVuP6qlr_normal.jpg","View")</f>
        <v>View</v>
      </c>
      <c r="P4726" s="27"/>
    </row>
    <row r="4727">
      <c r="A4727" s="14">
        <v>43031.2977662037</v>
      </c>
      <c r="B4727" s="20" t="str">
        <f>HYPERLINK("https://twitter.com/bhuchungtsering","@bhuchungtsering")</f>
        <v>@bhuchungtsering</v>
      </c>
      <c r="C4727" s="21" t="s">
        <v>10882</v>
      </c>
      <c r="D4727" s="21" t="s">
        <v>10883</v>
      </c>
      <c r="E4727" s="22" t="str">
        <f>HYPERLINK("https://twitter.com/bhuchungtsering/status/922464826689032192","922464826689032192")</f>
        <v>922464826689032192</v>
      </c>
      <c r="F4727" s="23" t="s">
        <v>39</v>
      </c>
      <c r="G4727" s="24">
        <v>3140.0</v>
      </c>
      <c r="H4727" s="24">
        <v>573.0</v>
      </c>
      <c r="I4727" s="24">
        <v>4.0</v>
      </c>
      <c r="J4727" s="24">
        <v>4.0</v>
      </c>
      <c r="K4727" s="23" t="s">
        <v>34</v>
      </c>
      <c r="L4727" s="25">
        <v>39986.47679398148</v>
      </c>
      <c r="M4727" s="26" t="s">
        <v>10884</v>
      </c>
      <c r="N4727" s="26" t="s">
        <v>10885</v>
      </c>
      <c r="O4727" s="22" t="str">
        <f>HYPERLINK("https://pbs.twimg.com/profile_images/909397319648518144/x1XjrotO_normal.jpg","View")</f>
        <v>View</v>
      </c>
      <c r="P4727" s="27"/>
    </row>
    <row r="4728">
      <c r="A4728" s="14">
        <v>43031.297800925924</v>
      </c>
      <c r="B4728" s="20" t="str">
        <f>HYPERLINK("https://twitter.com/humanitycompany","@humanitycompany")</f>
        <v>@humanitycompany</v>
      </c>
      <c r="C4728" s="21" t="s">
        <v>10886</v>
      </c>
      <c r="D4728" s="21" t="s">
        <v>10614</v>
      </c>
      <c r="E4728" s="22" t="str">
        <f>HYPERLINK("https://twitter.com/humanitycompany/status/922464838022033408","922464838022033408")</f>
        <v>922464838022033408</v>
      </c>
      <c r="F4728" s="23" t="s">
        <v>2119</v>
      </c>
      <c r="G4728" s="24">
        <v>85.0</v>
      </c>
      <c r="H4728" s="24">
        <v>883.0</v>
      </c>
      <c r="I4728" s="24">
        <v>159.0</v>
      </c>
      <c r="J4728" s="24">
        <v>0.0</v>
      </c>
      <c r="K4728" s="23" t="s">
        <v>34</v>
      </c>
      <c r="L4728" s="25">
        <v>39927.45547453704</v>
      </c>
      <c r="M4728" s="26" t="s">
        <v>10887</v>
      </c>
      <c r="N4728" s="26" t="s">
        <v>10888</v>
      </c>
      <c r="O4728" s="22" t="str">
        <f>HYPERLINK("https://pbs.twimg.com/profile_images/473073248477782016/NtVmUlgL_normal.png","View")</f>
        <v>View</v>
      </c>
      <c r="P4728" s="27"/>
    </row>
    <row r="4729">
      <c r="A4729" s="14">
        <v>43031.29783564815</v>
      </c>
      <c r="B4729" s="20" t="str">
        <f>HYPERLINK("https://twitter.com/PHINewsNet1","@PHINewsNet1")</f>
        <v>@PHINewsNet1</v>
      </c>
      <c r="C4729" s="21" t="s">
        <v>4461</v>
      </c>
      <c r="D4729" s="21" t="s">
        <v>6858</v>
      </c>
      <c r="E4729" s="22" t="str">
        <f>HYPERLINK("https://twitter.com/PHINewsNet1/status/922464851930185728","922464851930185728")</f>
        <v>922464851930185728</v>
      </c>
      <c r="F4729" s="23" t="s">
        <v>769</v>
      </c>
      <c r="G4729" s="24">
        <v>235.0</v>
      </c>
      <c r="H4729" s="24">
        <v>931.0</v>
      </c>
      <c r="I4729" s="24">
        <v>0.0</v>
      </c>
      <c r="J4729" s="24">
        <v>0.0</v>
      </c>
      <c r="K4729" s="23" t="s">
        <v>34</v>
      </c>
      <c r="L4729" s="25">
        <v>42795.909050925926</v>
      </c>
      <c r="M4729" s="26" t="s">
        <v>10889</v>
      </c>
      <c r="N4729" s="26" t="s">
        <v>10890</v>
      </c>
      <c r="O4729" s="22" t="str">
        <f>HYPERLINK("https://pbs.twimg.com/profile_images/901642279214972929/3tOsMEGw_normal.jpg","View")</f>
        <v>View</v>
      </c>
      <c r="P4729" s="27"/>
    </row>
    <row r="4730">
      <c r="A4730" s="14">
        <v>43031.29783564815</v>
      </c>
      <c r="B4730" s="20" t="str">
        <f>HYPERLINK("https://twitter.com/PHINewsNet2","@PHINewsNet2")</f>
        <v>@PHINewsNet2</v>
      </c>
      <c r="C4730" s="21" t="s">
        <v>4461</v>
      </c>
      <c r="D4730" s="21" t="s">
        <v>6858</v>
      </c>
      <c r="E4730" s="22" t="str">
        <f>HYPERLINK("https://twitter.com/PHINewsNet2/status/922464852005740545","922464852005740545")</f>
        <v>922464852005740545</v>
      </c>
      <c r="F4730" s="23" t="s">
        <v>769</v>
      </c>
      <c r="G4730" s="24">
        <v>182.0</v>
      </c>
      <c r="H4730" s="24">
        <v>140.0</v>
      </c>
      <c r="I4730" s="24">
        <v>0.0</v>
      </c>
      <c r="J4730" s="24">
        <v>0.0</v>
      </c>
      <c r="K4730" s="23" t="s">
        <v>34</v>
      </c>
      <c r="L4730" s="25">
        <v>42876.17359953704</v>
      </c>
      <c r="M4730" s="26" t="s">
        <v>3327</v>
      </c>
      <c r="N4730" s="26" t="s">
        <v>4463</v>
      </c>
      <c r="O4730" s="22" t="str">
        <f>HYPERLINK("https://pbs.twimg.com/profile_images/901646404447158272/6-pa6bGC_normal.jpg","View")</f>
        <v>View</v>
      </c>
      <c r="P4730" s="27"/>
    </row>
    <row r="4731">
      <c r="A4731" s="14">
        <v>43031.29783564815</v>
      </c>
      <c r="B4731" s="20" t="str">
        <f>HYPERLINK("https://twitter.com/onlyiffat","@onlyiffat")</f>
        <v>@onlyiffat</v>
      </c>
      <c r="C4731" s="21" t="s">
        <v>10891</v>
      </c>
      <c r="D4731" s="21" t="s">
        <v>10614</v>
      </c>
      <c r="E4731" s="22" t="str">
        <f>HYPERLINK("https://twitter.com/onlyiffat/status/922464852211142656","922464852211142656")</f>
        <v>922464852211142656</v>
      </c>
      <c r="F4731" s="23" t="s">
        <v>39</v>
      </c>
      <c r="G4731" s="24">
        <v>692.0</v>
      </c>
      <c r="H4731" s="24">
        <v>275.0</v>
      </c>
      <c r="I4731" s="24">
        <v>159.0</v>
      </c>
      <c r="J4731" s="24">
        <v>0.0</v>
      </c>
      <c r="K4731" s="23" t="s">
        <v>34</v>
      </c>
      <c r="L4731" s="25">
        <v>40029.951585648145</v>
      </c>
      <c r="M4731" s="26" t="s">
        <v>914</v>
      </c>
      <c r="N4731" s="26" t="s">
        <v>10892</v>
      </c>
      <c r="O4731" s="22" t="str">
        <f>HYPERLINK("https://pbs.twimg.com/profile_images/922874395533524993/7OJwGOUQ_normal.jpg","View")</f>
        <v>View</v>
      </c>
      <c r="P4731" s="27"/>
    </row>
    <row r="4732">
      <c r="A4732" s="14">
        <v>43031.29790509259</v>
      </c>
      <c r="B4732" s="20" t="str">
        <f>HYPERLINK("https://twitter.com/KSP_Libs","@KSP_Libs")</f>
        <v>@KSP_Libs</v>
      </c>
      <c r="C4732" s="21" t="s">
        <v>10893</v>
      </c>
      <c r="D4732" s="21" t="s">
        <v>10614</v>
      </c>
      <c r="E4732" s="22" t="str">
        <f>HYPERLINK("https://twitter.com/KSP_Libs/status/922464873468039169","922464873468039169")</f>
        <v>922464873468039169</v>
      </c>
      <c r="F4732" s="23" t="s">
        <v>33</v>
      </c>
      <c r="G4732" s="24">
        <v>2195.0</v>
      </c>
      <c r="H4732" s="24">
        <v>3106.0</v>
      </c>
      <c r="I4732" s="24">
        <v>159.0</v>
      </c>
      <c r="J4732" s="24">
        <v>0.0</v>
      </c>
      <c r="K4732" s="23" t="s">
        <v>34</v>
      </c>
      <c r="L4732" s="25">
        <v>41332.02033564815</v>
      </c>
      <c r="M4732" s="26" t="s">
        <v>10894</v>
      </c>
      <c r="N4732" s="26" t="s">
        <v>10895</v>
      </c>
      <c r="O4732" s="22" t="str">
        <f>HYPERLINK("https://pbs.twimg.com/profile_images/799847465138540545/yH3aKw7f_normal.jpg","View")</f>
        <v>View</v>
      </c>
      <c r="P4732" s="27"/>
    </row>
    <row r="4733">
      <c r="A4733" s="14">
        <v>43031.29790509259</v>
      </c>
      <c r="B4733" s="20" t="str">
        <f>HYPERLINK("https://twitter.com/lloydrobinson4","@lloydrobinson4")</f>
        <v>@lloydrobinson4</v>
      </c>
      <c r="C4733" s="21" t="s">
        <v>10896</v>
      </c>
      <c r="D4733" s="21" t="s">
        <v>10614</v>
      </c>
      <c r="E4733" s="22" t="str">
        <f>HYPERLINK("https://twitter.com/lloydrobinson4/status/922464873723949058","922464873723949058")</f>
        <v>922464873723949058</v>
      </c>
      <c r="F4733" s="23" t="s">
        <v>43</v>
      </c>
      <c r="G4733" s="24">
        <v>378.0</v>
      </c>
      <c r="H4733" s="24">
        <v>2011.0</v>
      </c>
      <c r="I4733" s="24">
        <v>159.0</v>
      </c>
      <c r="J4733" s="24">
        <v>0.0</v>
      </c>
      <c r="K4733" s="23" t="s">
        <v>34</v>
      </c>
      <c r="L4733" s="25">
        <v>40998.623344907406</v>
      </c>
      <c r="M4733" s="26" t="s">
        <v>10897</v>
      </c>
      <c r="N4733" s="26" t="s">
        <v>10898</v>
      </c>
      <c r="O4733" s="22" t="str">
        <f>HYPERLINK("https://pbs.twimg.com/profile_images/751889875264307201/63ZtsHfy_normal.jpg","View")</f>
        <v>View</v>
      </c>
      <c r="P4733" s="27"/>
    </row>
    <row r="4734">
      <c r="A4734" s="14">
        <v>43031.297939814816</v>
      </c>
      <c r="B4734" s="20" t="str">
        <f>HYPERLINK("https://twitter.com/bjpkeral","@bjpkeral")</f>
        <v>@bjpkeral</v>
      </c>
      <c r="C4734" s="21" t="s">
        <v>10899</v>
      </c>
      <c r="D4734" s="21" t="s">
        <v>42</v>
      </c>
      <c r="E4734" s="22" t="str">
        <f>HYPERLINK("https://twitter.com/bjpkeral/status/922464887229386752","922464887229386752")</f>
        <v>922464887229386752</v>
      </c>
      <c r="F4734" s="23" t="s">
        <v>55</v>
      </c>
      <c r="G4734" s="24">
        <v>6.0</v>
      </c>
      <c r="H4734" s="24">
        <v>60.0</v>
      </c>
      <c r="I4734" s="24">
        <v>8501.0</v>
      </c>
      <c r="J4734" s="24">
        <v>0.0</v>
      </c>
      <c r="K4734" s="23" t="s">
        <v>34</v>
      </c>
      <c r="L4734" s="25">
        <v>42970.02223379629</v>
      </c>
      <c r="M4734" s="26" t="s">
        <v>10900</v>
      </c>
      <c r="N4734" s="28"/>
      <c r="O4734" s="22" t="str">
        <f>HYPERLINK("https://pbs.twimg.com/profile_images/909721576651628544/xLXAWuIH_normal.jpg","View")</f>
        <v>View</v>
      </c>
      <c r="P4734" s="27"/>
    </row>
    <row r="4735">
      <c r="A4735" s="14">
        <v>43031.29796296296</v>
      </c>
      <c r="B4735" s="20" t="str">
        <f>HYPERLINK("https://twitter.com/dilip81das","@dilip81das")</f>
        <v>@dilip81das</v>
      </c>
      <c r="C4735" s="21" t="s">
        <v>10901</v>
      </c>
      <c r="D4735" s="21" t="s">
        <v>42</v>
      </c>
      <c r="E4735" s="22" t="str">
        <f>HYPERLINK("https://twitter.com/dilip81das/status/922464896758857729","922464896758857729")</f>
        <v>922464896758857729</v>
      </c>
      <c r="F4735" s="23" t="s">
        <v>33</v>
      </c>
      <c r="G4735" s="24">
        <v>38.0</v>
      </c>
      <c r="H4735" s="24">
        <v>333.0</v>
      </c>
      <c r="I4735" s="24">
        <v>8501.0</v>
      </c>
      <c r="J4735" s="24">
        <v>0.0</v>
      </c>
      <c r="K4735" s="23" t="s">
        <v>34</v>
      </c>
      <c r="L4735" s="25">
        <v>40603.15626157408</v>
      </c>
      <c r="M4735" s="28"/>
      <c r="N4735" s="26" t="s">
        <v>10902</v>
      </c>
      <c r="O4735" s="22" t="str">
        <f>HYPERLINK("https://pbs.twimg.com/profile_images/1616705494/188669_101247213290825_100002166393114_8779_987358_n_normal.jpg","View")</f>
        <v>View</v>
      </c>
      <c r="P4735" s="27"/>
    </row>
    <row r="4736">
      <c r="A4736" s="14">
        <v>43031.29797453704</v>
      </c>
      <c r="B4736" s="20" t="str">
        <f>HYPERLINK("https://twitter.com/CelesteHerget","@CelesteHerget")</f>
        <v>@CelesteHerget</v>
      </c>
      <c r="C4736" s="21" t="s">
        <v>10903</v>
      </c>
      <c r="D4736" s="21" t="s">
        <v>10904</v>
      </c>
      <c r="E4736" s="22" t="str">
        <f>HYPERLINK("https://twitter.com/CelesteHerget/status/922464902027120640","922464902027120640")</f>
        <v>922464902027120640</v>
      </c>
      <c r="F4736" s="23" t="s">
        <v>230</v>
      </c>
      <c r="G4736" s="24">
        <v>6908.0</v>
      </c>
      <c r="H4736" s="24">
        <v>6980.0</v>
      </c>
      <c r="I4736" s="24">
        <v>35.0</v>
      </c>
      <c r="J4736" s="24">
        <v>0.0</v>
      </c>
      <c r="K4736" s="23" t="s">
        <v>34</v>
      </c>
      <c r="L4736" s="25">
        <v>41219.56460648148</v>
      </c>
      <c r="M4736" s="28"/>
      <c r="N4736" s="26" t="s">
        <v>10905</v>
      </c>
      <c r="O4736" s="22" t="str">
        <f>HYPERLINK("https://pbs.twimg.com/profile_images/921121198230171648/K-iTkWyQ_normal.jpg","View")</f>
        <v>View</v>
      </c>
      <c r="P4736" s="27"/>
    </row>
    <row r="4737">
      <c r="A4737" s="14">
        <v>43031.29803240741</v>
      </c>
      <c r="B4737" s="20" t="str">
        <f>HYPERLINK("https://twitter.com/BTCMaster","@BTCMaster")</f>
        <v>@BTCMaster</v>
      </c>
      <c r="C4737" s="21" t="s">
        <v>10906</v>
      </c>
      <c r="D4737" s="21" t="s">
        <v>10907</v>
      </c>
      <c r="E4737" s="22" t="str">
        <f>HYPERLINK("https://twitter.com/BTCMaster/status/922464923392679937","922464923392679937")</f>
        <v>922464923392679937</v>
      </c>
      <c r="F4737" s="30" t="s">
        <v>411</v>
      </c>
      <c r="G4737" s="24">
        <v>1862.0</v>
      </c>
      <c r="H4737" s="24">
        <v>15.0</v>
      </c>
      <c r="I4737" s="24">
        <v>0.0</v>
      </c>
      <c r="J4737" s="24">
        <v>0.0</v>
      </c>
      <c r="K4737" s="23" t="s">
        <v>34</v>
      </c>
      <c r="L4737" s="25">
        <v>40298.61530092593</v>
      </c>
      <c r="M4737" s="26" t="s">
        <v>10908</v>
      </c>
      <c r="N4737" s="26" t="s">
        <v>10909</v>
      </c>
      <c r="O4737" s="22" t="str">
        <f>HYPERLINK("https://pbs.twimg.com/profile_images/744228362449620993/xSuuZ20c_normal.jpg","View")</f>
        <v>View</v>
      </c>
      <c r="P4737" s="27"/>
    </row>
    <row r="4738">
      <c r="A4738" s="14">
        <v>43031.298043981486</v>
      </c>
      <c r="B4738" s="20" t="str">
        <f>HYPERLINK("https://twitter.com/JackSpencer319","@JackSpencer319")</f>
        <v>@JackSpencer319</v>
      </c>
      <c r="C4738" s="21" t="s">
        <v>10910</v>
      </c>
      <c r="D4738" s="21" t="s">
        <v>10614</v>
      </c>
      <c r="E4738" s="22" t="str">
        <f>HYPERLINK("https://twitter.com/JackSpencer319/status/922464926337085440","922464926337085440")</f>
        <v>922464926337085440</v>
      </c>
      <c r="F4738" s="23" t="s">
        <v>39</v>
      </c>
      <c r="G4738" s="24">
        <v>56.0</v>
      </c>
      <c r="H4738" s="24">
        <v>138.0</v>
      </c>
      <c r="I4738" s="24">
        <v>159.0</v>
      </c>
      <c r="J4738" s="24">
        <v>0.0</v>
      </c>
      <c r="K4738" s="23" t="s">
        <v>34</v>
      </c>
      <c r="L4738" s="25">
        <v>41718.670706018514</v>
      </c>
      <c r="M4738" s="26" t="s">
        <v>10911</v>
      </c>
      <c r="N4738" s="26" t="s">
        <v>10912</v>
      </c>
      <c r="O4738" s="22" t="str">
        <f>HYPERLINK("https://pbs.twimg.com/profile_images/714882193504468996/elGcWNs6_normal.jpg","View")</f>
        <v>View</v>
      </c>
      <c r="P4738" s="27"/>
    </row>
    <row r="4739">
      <c r="A4739" s="14">
        <v>43031.298125</v>
      </c>
      <c r="B4739" s="20" t="str">
        <f>HYPERLINK("https://twitter.com/sanjeevsanji","@sanjeevsanji")</f>
        <v>@sanjeevsanji</v>
      </c>
      <c r="C4739" s="21" t="s">
        <v>10913</v>
      </c>
      <c r="D4739" s="21" t="s">
        <v>42</v>
      </c>
      <c r="E4739" s="22" t="str">
        <f>HYPERLINK("https://twitter.com/sanjeevsanji/status/922464953080123392","922464953080123392")</f>
        <v>922464953080123392</v>
      </c>
      <c r="F4739" s="23" t="s">
        <v>33</v>
      </c>
      <c r="G4739" s="24">
        <v>7.0</v>
      </c>
      <c r="H4739" s="24">
        <v>64.0</v>
      </c>
      <c r="I4739" s="24">
        <v>8501.0</v>
      </c>
      <c r="J4739" s="24">
        <v>0.0</v>
      </c>
      <c r="K4739" s="23" t="s">
        <v>34</v>
      </c>
      <c r="L4739" s="25">
        <v>40787.131215277775</v>
      </c>
      <c r="M4739" s="28"/>
      <c r="N4739" s="28"/>
      <c r="O4739" s="22" t="str">
        <f>HYPERLINK("https://pbs.twimg.com/profile_images/820343346413633536/S0w9rS-E_normal.jpg","View")</f>
        <v>View</v>
      </c>
      <c r="P4739" s="27"/>
    </row>
    <row r="4740">
      <c r="A4740" s="14">
        <v>43031.29822916667</v>
      </c>
      <c r="B4740" s="20" t="str">
        <f>HYPERLINK("https://twitter.com/RaitaKaReporter","@RaitaKaReporter")</f>
        <v>@RaitaKaReporter</v>
      </c>
      <c r="C4740" s="21" t="s">
        <v>10914</v>
      </c>
      <c r="D4740" s="21" t="s">
        <v>42</v>
      </c>
      <c r="E4740" s="22" t="str">
        <f>HYPERLINK("https://twitter.com/RaitaKaReporter/status/922464992254869504","922464992254869504")</f>
        <v>922464992254869504</v>
      </c>
      <c r="F4740" s="23" t="s">
        <v>43</v>
      </c>
      <c r="G4740" s="24">
        <v>8.0</v>
      </c>
      <c r="H4740" s="24">
        <v>113.0</v>
      </c>
      <c r="I4740" s="24">
        <v>8501.0</v>
      </c>
      <c r="J4740" s="24">
        <v>0.0</v>
      </c>
      <c r="K4740" s="23" t="s">
        <v>34</v>
      </c>
      <c r="L4740" s="25">
        <v>42496.96498842593</v>
      </c>
      <c r="M4740" s="26" t="s">
        <v>10915</v>
      </c>
      <c r="N4740" s="26" t="s">
        <v>10916</v>
      </c>
      <c r="O4740" s="22" t="str">
        <f>HYPERLINK("https://pbs.twimg.com/profile_images/899710984230584321/I8-Rdbxy_normal.jpg","View")</f>
        <v>View</v>
      </c>
      <c r="P4740" s="27"/>
    </row>
    <row r="4741">
      <c r="A4741" s="14">
        <v>43031.29833333333</v>
      </c>
      <c r="B4741" s="20" t="str">
        <f>HYPERLINK("https://twitter.com/nitumukund03","@nitumukund03")</f>
        <v>@nitumukund03</v>
      </c>
      <c r="C4741" s="21" t="s">
        <v>10917</v>
      </c>
      <c r="D4741" s="21" t="s">
        <v>42</v>
      </c>
      <c r="E4741" s="22" t="str">
        <f>HYPERLINK("https://twitter.com/nitumukund03/status/922465028762083334","922465028762083334")</f>
        <v>922465028762083334</v>
      </c>
      <c r="F4741" s="23" t="s">
        <v>33</v>
      </c>
      <c r="G4741" s="24">
        <v>119.0</v>
      </c>
      <c r="H4741" s="24">
        <v>184.0</v>
      </c>
      <c r="I4741" s="24">
        <v>8501.0</v>
      </c>
      <c r="J4741" s="24">
        <v>0.0</v>
      </c>
      <c r="K4741" s="23" t="s">
        <v>34</v>
      </c>
      <c r="L4741" s="25">
        <v>42004.20971064815</v>
      </c>
      <c r="M4741" s="28"/>
      <c r="N4741" s="28"/>
      <c r="O4741" s="22" t="str">
        <f>HYPERLINK("https://abs.twimg.com/sticky/default_profile_images/default_profile_normal.png","View")</f>
        <v>View</v>
      </c>
      <c r="P4741" s="27"/>
    </row>
    <row r="4742">
      <c r="A4742" s="14">
        <v>43031.29835648148</v>
      </c>
      <c r="B4742" s="20" t="str">
        <f>HYPERLINK("https://twitter.com/kjj02040126","@kjj02040126")</f>
        <v>@kjj02040126</v>
      </c>
      <c r="C4742" s="21" t="s">
        <v>10918</v>
      </c>
      <c r="D4742" s="21" t="s">
        <v>42</v>
      </c>
      <c r="E4742" s="22" t="str">
        <f>HYPERLINK("https://twitter.com/kjj02040126/status/922465037784039425","922465037784039425")</f>
        <v>922465037784039425</v>
      </c>
      <c r="F4742" s="23" t="s">
        <v>33</v>
      </c>
      <c r="G4742" s="24">
        <v>157.0</v>
      </c>
      <c r="H4742" s="24">
        <v>47.0</v>
      </c>
      <c r="I4742" s="24">
        <v>8501.0</v>
      </c>
      <c r="J4742" s="24">
        <v>0.0</v>
      </c>
      <c r="K4742" s="23" t="s">
        <v>34</v>
      </c>
      <c r="L4742" s="25">
        <v>42516.267071759255</v>
      </c>
      <c r="M4742" s="28"/>
      <c r="N4742" s="26" t="s">
        <v>10919</v>
      </c>
      <c r="O4742" s="22" t="str">
        <f>HYPERLINK("https://pbs.twimg.com/profile_images/749096373304209408/yGsPOVgx_normal.jpg","View")</f>
        <v>View</v>
      </c>
      <c r="P4742" s="27"/>
    </row>
    <row r="4743">
      <c r="A4743" s="14">
        <v>43031.298368055555</v>
      </c>
      <c r="B4743" s="20" t="str">
        <f>HYPERLINK("https://twitter.com/faeryqueengoldi","@faeryqueengoldi")</f>
        <v>@faeryqueengoldi</v>
      </c>
      <c r="C4743" s="21" t="s">
        <v>10920</v>
      </c>
      <c r="D4743" s="21" t="s">
        <v>10614</v>
      </c>
      <c r="E4743" s="22" t="str">
        <f>HYPERLINK("https://twitter.com/faeryqueengoldi/status/922465041256976384","922465041256976384")</f>
        <v>922465041256976384</v>
      </c>
      <c r="F4743" s="23" t="s">
        <v>33</v>
      </c>
      <c r="G4743" s="24">
        <v>282.0</v>
      </c>
      <c r="H4743" s="24">
        <v>1902.0</v>
      </c>
      <c r="I4743" s="24">
        <v>159.0</v>
      </c>
      <c r="J4743" s="24">
        <v>0.0</v>
      </c>
      <c r="K4743" s="23" t="s">
        <v>34</v>
      </c>
      <c r="L4743" s="25">
        <v>39881.63953703704</v>
      </c>
      <c r="M4743" s="26" t="s">
        <v>10921</v>
      </c>
      <c r="N4743" s="26" t="s">
        <v>10922</v>
      </c>
      <c r="O4743" s="22" t="str">
        <f>HYPERLINK("https://pbs.twimg.com/profile_images/91426776/MYFKNeyepicfrmyspace_normal.jpg","View")</f>
        <v>View</v>
      </c>
      <c r="P4743" s="27"/>
    </row>
    <row r="4744">
      <c r="A4744" s="14">
        <v>43031.29837962963</v>
      </c>
      <c r="B4744" s="20" t="str">
        <f>HYPERLINK("https://twitter.com/VF24Ordie","@VF24Ordie")</f>
        <v>@VF24Ordie</v>
      </c>
      <c r="C4744" s="21" t="s">
        <v>10923</v>
      </c>
      <c r="D4744" s="21" t="s">
        <v>10614</v>
      </c>
      <c r="E4744" s="22" t="str">
        <f>HYPERLINK("https://twitter.com/VF24Ordie/status/922465048131522560","922465048131522560")</f>
        <v>922465048131522560</v>
      </c>
      <c r="F4744" s="23" t="s">
        <v>230</v>
      </c>
      <c r="G4744" s="24">
        <v>376.0</v>
      </c>
      <c r="H4744" s="24">
        <v>823.0</v>
      </c>
      <c r="I4744" s="24">
        <v>159.0</v>
      </c>
      <c r="J4744" s="24">
        <v>0.0</v>
      </c>
      <c r="K4744" s="23" t="s">
        <v>34</v>
      </c>
      <c r="L4744" s="25">
        <v>42025.28949074074</v>
      </c>
      <c r="M4744" s="26" t="s">
        <v>10924</v>
      </c>
      <c r="N4744" s="26" t="s">
        <v>10925</v>
      </c>
      <c r="O4744" s="22" t="str">
        <f>HYPERLINK("https://pbs.twimg.com/profile_images/820331058700791808/-YlZudRm_normal.jpg","View")</f>
        <v>View</v>
      </c>
      <c r="P4744" s="27"/>
    </row>
    <row r="4745">
      <c r="A4745" s="14">
        <v>43031.29850694444</v>
      </c>
      <c r="B4745" s="20" t="str">
        <f>HYPERLINK("https://twitter.com/AnkitAkash0510","@AnkitAkash0510")</f>
        <v>@AnkitAkash0510</v>
      </c>
      <c r="C4745" s="21" t="s">
        <v>10926</v>
      </c>
      <c r="D4745" s="21" t="s">
        <v>42</v>
      </c>
      <c r="E4745" s="22" t="str">
        <f>HYPERLINK("https://twitter.com/AnkitAkash0510/status/922465094440751105","922465094440751105")</f>
        <v>922465094440751105</v>
      </c>
      <c r="F4745" s="23" t="s">
        <v>33</v>
      </c>
      <c r="G4745" s="24">
        <v>47.0</v>
      </c>
      <c r="H4745" s="24">
        <v>366.0</v>
      </c>
      <c r="I4745" s="24">
        <v>8501.0</v>
      </c>
      <c r="J4745" s="24">
        <v>0.0</v>
      </c>
      <c r="K4745" s="23" t="s">
        <v>34</v>
      </c>
      <c r="L4745" s="25">
        <v>42759.206562499996</v>
      </c>
      <c r="M4745" s="26" t="s">
        <v>234</v>
      </c>
      <c r="N4745" s="26" t="s">
        <v>10927</v>
      </c>
      <c r="O4745" s="22" t="str">
        <f>HYPERLINK("https://pbs.twimg.com/profile_images/919910872339832832/wYxIONv7_normal.jpg","View")</f>
        <v>View</v>
      </c>
      <c r="P4745" s="27"/>
    </row>
    <row r="4746">
      <c r="A4746" s="14">
        <v>43031.29851851852</v>
      </c>
      <c r="B4746" s="20" t="str">
        <f>HYPERLINK("https://twitter.com/hiteshmeena90","@hiteshmeena90")</f>
        <v>@hiteshmeena90</v>
      </c>
      <c r="C4746" s="21" t="s">
        <v>10928</v>
      </c>
      <c r="D4746" s="21" t="s">
        <v>42</v>
      </c>
      <c r="E4746" s="22" t="str">
        <f>HYPERLINK("https://twitter.com/hiteshmeena90/status/922465099431866368","922465099431866368")</f>
        <v>922465099431866368</v>
      </c>
      <c r="F4746" s="23" t="s">
        <v>33</v>
      </c>
      <c r="G4746" s="24">
        <v>200.0</v>
      </c>
      <c r="H4746" s="24">
        <v>213.0</v>
      </c>
      <c r="I4746" s="24">
        <v>8501.0</v>
      </c>
      <c r="J4746" s="24">
        <v>0.0</v>
      </c>
      <c r="K4746" s="23" t="s">
        <v>34</v>
      </c>
      <c r="L4746" s="25">
        <v>41667.77673611111</v>
      </c>
      <c r="M4746" s="28"/>
      <c r="N4746" s="28"/>
      <c r="O4746" s="22" t="str">
        <f>HYPERLINK("https://pbs.twimg.com/profile_images/897364586004742144/0TjYM5kl_normal.jpg","View")</f>
        <v>View</v>
      </c>
      <c r="P4746" s="27"/>
    </row>
    <row r="4747">
      <c r="A4747" s="14">
        <v>43031.29863425926</v>
      </c>
      <c r="B4747" s="20" t="str">
        <f>HYPERLINK("https://twitter.com/Modiforindia4","@Modiforindia4")</f>
        <v>@Modiforindia4</v>
      </c>
      <c r="C4747" s="21" t="s">
        <v>10929</v>
      </c>
      <c r="D4747" s="21" t="s">
        <v>42</v>
      </c>
      <c r="E4747" s="22" t="str">
        <f>HYPERLINK("https://twitter.com/Modiforindia4/status/922465141311942657","922465141311942657")</f>
        <v>922465141311942657</v>
      </c>
      <c r="F4747" s="23" t="s">
        <v>43</v>
      </c>
      <c r="G4747" s="24">
        <v>43.0</v>
      </c>
      <c r="H4747" s="24">
        <v>1164.0</v>
      </c>
      <c r="I4747" s="24">
        <v>8501.0</v>
      </c>
      <c r="J4747" s="24">
        <v>0.0</v>
      </c>
      <c r="K4747" s="23" t="s">
        <v>34</v>
      </c>
      <c r="L4747" s="25">
        <v>43031.119467592594</v>
      </c>
      <c r="M4747" s="26" t="s">
        <v>204</v>
      </c>
      <c r="N4747" s="26" t="s">
        <v>10930</v>
      </c>
      <c r="O4747" s="22" t="str">
        <f>HYPERLINK("https://pbs.twimg.com/profile_images/922401285587865600/YQ_MdoR2_normal.jpg","View")</f>
        <v>View</v>
      </c>
      <c r="P4747" s="27"/>
    </row>
    <row r="4748">
      <c r="A4748" s="14">
        <v>43031.298668981486</v>
      </c>
      <c r="B4748" s="20" t="str">
        <f>HYPERLINK("https://twitter.com/Anandk00","@Anandk00")</f>
        <v>@Anandk00</v>
      </c>
      <c r="C4748" s="21" t="s">
        <v>10931</v>
      </c>
      <c r="D4748" s="21" t="s">
        <v>42</v>
      </c>
      <c r="E4748" s="22" t="str">
        <f>HYPERLINK("https://twitter.com/Anandk00/status/922465150124339200","922465150124339200")</f>
        <v>922465150124339200</v>
      </c>
      <c r="F4748" s="23" t="s">
        <v>39</v>
      </c>
      <c r="G4748" s="24">
        <v>140.0</v>
      </c>
      <c r="H4748" s="24">
        <v>35.0</v>
      </c>
      <c r="I4748" s="24">
        <v>8501.0</v>
      </c>
      <c r="J4748" s="24">
        <v>0.0</v>
      </c>
      <c r="K4748" s="23" t="s">
        <v>34</v>
      </c>
      <c r="L4748" s="25">
        <v>40636.37912037037</v>
      </c>
      <c r="M4748" s="26" t="s">
        <v>3295</v>
      </c>
      <c r="N4748" s="26" t="s">
        <v>10932</v>
      </c>
      <c r="O4748" s="22" t="str">
        <f>HYPERLINK("https://pbs.twimg.com/profile_images/869636959282618369/KqxtvYgY_normal.jpg","View")</f>
        <v>View</v>
      </c>
      <c r="P4748" s="27"/>
    </row>
    <row r="4749">
      <c r="A4749" s="14">
        <v>43031.298692129625</v>
      </c>
      <c r="B4749" s="20" t="str">
        <f>HYPERLINK("https://twitter.com/Guri_1113","@Guri_1113")</f>
        <v>@Guri_1113</v>
      </c>
      <c r="C4749" s="21" t="s">
        <v>10933</v>
      </c>
      <c r="D4749" s="21" t="s">
        <v>42</v>
      </c>
      <c r="E4749" s="22" t="str">
        <f>HYPERLINK("https://twitter.com/Guri_1113/status/922465159477465088","922465159477465088")</f>
        <v>922465159477465088</v>
      </c>
      <c r="F4749" s="23" t="s">
        <v>39</v>
      </c>
      <c r="G4749" s="24">
        <v>331.0</v>
      </c>
      <c r="H4749" s="24">
        <v>448.0</v>
      </c>
      <c r="I4749" s="24">
        <v>8501.0</v>
      </c>
      <c r="J4749" s="24">
        <v>0.0</v>
      </c>
      <c r="K4749" s="23" t="s">
        <v>34</v>
      </c>
      <c r="L4749" s="25">
        <v>42261.01965277777</v>
      </c>
      <c r="M4749" s="26" t="s">
        <v>10934</v>
      </c>
      <c r="N4749" s="26" t="s">
        <v>10935</v>
      </c>
      <c r="O4749" s="22" t="str">
        <f>HYPERLINK("https://pbs.twimg.com/profile_images/876316111066677248/STRsSPbJ_normal.jpg","View")</f>
        <v>View</v>
      </c>
      <c r="P4749" s="27"/>
    </row>
    <row r="4750">
      <c r="A4750" s="14">
        <v>43031.29876157407</v>
      </c>
      <c r="B4750" s="20" t="str">
        <f>HYPERLINK("https://twitter.com/MargeryAPW","@MargeryAPW")</f>
        <v>@MargeryAPW</v>
      </c>
      <c r="C4750" s="21" t="s">
        <v>10936</v>
      </c>
      <c r="D4750" s="21" t="s">
        <v>10614</v>
      </c>
      <c r="E4750" s="22" t="str">
        <f>HYPERLINK("https://twitter.com/MargeryAPW/status/922465185876598784","922465185876598784")</f>
        <v>922465185876598784</v>
      </c>
      <c r="F4750" s="23" t="s">
        <v>39</v>
      </c>
      <c r="G4750" s="24">
        <v>257.0</v>
      </c>
      <c r="H4750" s="24">
        <v>725.0</v>
      </c>
      <c r="I4750" s="24">
        <v>159.0</v>
      </c>
      <c r="J4750" s="24">
        <v>0.0</v>
      </c>
      <c r="K4750" s="23" t="s">
        <v>34</v>
      </c>
      <c r="L4750" s="25">
        <v>41578.38487268519</v>
      </c>
      <c r="M4750" s="26" t="s">
        <v>10937</v>
      </c>
      <c r="N4750" s="26" t="s">
        <v>10938</v>
      </c>
      <c r="O4750" s="22" t="str">
        <f>HYPERLINK("https://pbs.twimg.com/profile_images/378800000707675633/02204cd969562dd3ae45ab3e80bd403f_normal.jpeg","View")</f>
        <v>View</v>
      </c>
      <c r="P4750" s="27"/>
    </row>
    <row r="4751">
      <c r="A4751" s="14">
        <v>43031.298784722225</v>
      </c>
      <c r="B4751" s="20" t="str">
        <f>HYPERLINK("https://twitter.com/kkumenara","@kkumenara")</f>
        <v>@kkumenara</v>
      </c>
      <c r="C4751" s="21" t="s">
        <v>10939</v>
      </c>
      <c r="D4751" s="21" t="s">
        <v>10940</v>
      </c>
      <c r="E4751" s="22" t="str">
        <f>HYPERLINK("https://twitter.com/kkumenara/status/922465194713817088","922465194713817088")</f>
        <v>922465194713817088</v>
      </c>
      <c r="F4751" s="23" t="s">
        <v>39</v>
      </c>
      <c r="G4751" s="24">
        <v>1999.0</v>
      </c>
      <c r="H4751" s="24">
        <v>1366.0</v>
      </c>
      <c r="I4751" s="24">
        <v>1.0</v>
      </c>
      <c r="J4751" s="24">
        <v>0.0</v>
      </c>
      <c r="K4751" s="23" t="s">
        <v>34</v>
      </c>
      <c r="L4751" s="25">
        <v>40641.76291666667</v>
      </c>
      <c r="M4751" s="28"/>
      <c r="N4751" s="26" t="s">
        <v>10941</v>
      </c>
      <c r="O4751" s="22" t="str">
        <f>HYPERLINK("https://pbs.twimg.com/profile_images/3058881046/afc25dae3de5b4c7c4e76581bce9d97b_normal.jpeg","View")</f>
        <v>View</v>
      </c>
      <c r="P4751" s="27"/>
    </row>
    <row r="4752">
      <c r="A4752" s="14">
        <v>43031.29880787037</v>
      </c>
      <c r="B4752" s="20" t="str">
        <f>HYPERLINK("https://twitter.com/Tamamamarin","@Tamamamarin")</f>
        <v>@Tamamamarin</v>
      </c>
      <c r="C4752" s="21" t="s">
        <v>10942</v>
      </c>
      <c r="D4752" s="21" t="s">
        <v>8782</v>
      </c>
      <c r="E4752" s="22" t="str">
        <f>HYPERLINK("https://twitter.com/Tamamamarin/status/922465202666323969","922465202666323969")</f>
        <v>922465202666323969</v>
      </c>
      <c r="F4752" s="23" t="s">
        <v>39</v>
      </c>
      <c r="G4752" s="24">
        <v>651.0</v>
      </c>
      <c r="H4752" s="24">
        <v>266.0</v>
      </c>
      <c r="I4752" s="24">
        <v>20.0</v>
      </c>
      <c r="J4752" s="24">
        <v>0.0</v>
      </c>
      <c r="K4752" s="23" t="s">
        <v>34</v>
      </c>
      <c r="L4752" s="25">
        <v>40312.996041666665</v>
      </c>
      <c r="M4752" s="28"/>
      <c r="N4752" s="26" t="s">
        <v>10943</v>
      </c>
      <c r="O4752" s="22" t="str">
        <f>HYPERLINK("https://pbs.twimg.com/profile_images/888628276960174080/cCxSwegJ_normal.jpg","View")</f>
        <v>View</v>
      </c>
      <c r="P4752" s="27"/>
    </row>
    <row r="4753">
      <c r="A4753" s="14">
        <v>43031.298946759256</v>
      </c>
      <c r="B4753" s="20" t="str">
        <f>HYPERLINK("https://twitter.com/COFFEEBREAQ","@COFFEEBREAQ")</f>
        <v>@COFFEEBREAQ</v>
      </c>
      <c r="C4753" s="21" t="s">
        <v>10944</v>
      </c>
      <c r="D4753" s="21" t="s">
        <v>10945</v>
      </c>
      <c r="E4753" s="22" t="str">
        <f>HYPERLINK("https://twitter.com/COFFEEBREAQ/status/922465253710905344","922465253710905344")</f>
        <v>922465253710905344</v>
      </c>
      <c r="F4753" s="23" t="s">
        <v>55</v>
      </c>
      <c r="G4753" s="24">
        <v>58.0</v>
      </c>
      <c r="H4753" s="24">
        <v>84.0</v>
      </c>
      <c r="I4753" s="24">
        <v>0.0</v>
      </c>
      <c r="J4753" s="24">
        <v>0.0</v>
      </c>
      <c r="K4753" s="23" t="s">
        <v>34</v>
      </c>
      <c r="L4753" s="25">
        <v>42355.87884259259</v>
      </c>
      <c r="M4753" s="28"/>
      <c r="N4753" s="26" t="s">
        <v>10946</v>
      </c>
      <c r="O4753" s="22" t="str">
        <f>HYPERLINK("https://pbs.twimg.com/profile_images/677719771354370048/kiZ18D47_normal.jpg","View")</f>
        <v>View</v>
      </c>
      <c r="P4753" s="27"/>
    </row>
    <row r="4754">
      <c r="A4754" s="14">
        <v>43031.29895833333</v>
      </c>
      <c r="B4754" s="20" t="str">
        <f>HYPERLINK("https://twitter.com/rameshraop","@rameshraop")</f>
        <v>@rameshraop</v>
      </c>
      <c r="C4754" s="21" t="s">
        <v>10947</v>
      </c>
      <c r="D4754" s="21" t="s">
        <v>42</v>
      </c>
      <c r="E4754" s="22" t="str">
        <f>HYPERLINK("https://twitter.com/rameshraop/status/922465257775345664","922465257775345664")</f>
        <v>922465257775345664</v>
      </c>
      <c r="F4754" s="23" t="s">
        <v>55</v>
      </c>
      <c r="G4754" s="24">
        <v>161.0</v>
      </c>
      <c r="H4754" s="24">
        <v>562.0</v>
      </c>
      <c r="I4754" s="24">
        <v>8501.0</v>
      </c>
      <c r="J4754" s="24">
        <v>0.0</v>
      </c>
      <c r="K4754" s="23" t="s">
        <v>34</v>
      </c>
      <c r="L4754" s="25">
        <v>42282.24407407407</v>
      </c>
      <c r="M4754" s="26" t="s">
        <v>10948</v>
      </c>
      <c r="N4754" s="26" t="s">
        <v>10949</v>
      </c>
      <c r="O4754" s="22" t="str">
        <f>HYPERLINK("https://pbs.twimg.com/profile_images/651032408268140544/gorECQ6k_normal.jpg","View")</f>
        <v>View</v>
      </c>
      <c r="P4754" s="27"/>
    </row>
    <row r="4755">
      <c r="A4755" s="14">
        <v>43031.29896990741</v>
      </c>
      <c r="B4755" s="20" t="str">
        <f>HYPERLINK("https://twitter.com/RakeshG17545204","@RakeshG17545204")</f>
        <v>@RakeshG17545204</v>
      </c>
      <c r="C4755" s="21" t="s">
        <v>10950</v>
      </c>
      <c r="D4755" s="21" t="s">
        <v>42</v>
      </c>
      <c r="E4755" s="22" t="str">
        <f>HYPERLINK("https://twitter.com/RakeshG17545204/status/922465262145740805","922465262145740805")</f>
        <v>922465262145740805</v>
      </c>
      <c r="F4755" s="23" t="s">
        <v>33</v>
      </c>
      <c r="G4755" s="24">
        <v>295.0</v>
      </c>
      <c r="H4755" s="24">
        <v>580.0</v>
      </c>
      <c r="I4755" s="24">
        <v>8501.0</v>
      </c>
      <c r="J4755" s="24">
        <v>0.0</v>
      </c>
      <c r="K4755" s="23" t="s">
        <v>34</v>
      </c>
      <c r="L4755" s="25">
        <v>42933.78630787037</v>
      </c>
      <c r="M4755" s="26" t="s">
        <v>204</v>
      </c>
      <c r="N4755" s="26" t="s">
        <v>10951</v>
      </c>
      <c r="O4755" s="22" t="str">
        <f>HYPERLINK("https://pbs.twimg.com/profile_images/897804760010469376/YE89X4AY_normal.jpg","View")</f>
        <v>View</v>
      </c>
      <c r="P4755" s="27"/>
    </row>
    <row r="4756">
      <c r="A4756" s="14">
        <v>43031.298993055556</v>
      </c>
      <c r="B4756" s="20" t="str">
        <f>HYPERLINK("https://twitter.com/ayuko0921","@ayuko0921")</f>
        <v>@ayuko0921</v>
      </c>
      <c r="C4756" s="21" t="s">
        <v>10952</v>
      </c>
      <c r="D4756" s="21" t="s">
        <v>1642</v>
      </c>
      <c r="E4756" s="22" t="str">
        <f>HYPERLINK("https://twitter.com/ayuko0921/status/922465270932705280","922465270932705280")</f>
        <v>922465270932705280</v>
      </c>
      <c r="F4756" s="23" t="s">
        <v>39</v>
      </c>
      <c r="G4756" s="24">
        <v>121.0</v>
      </c>
      <c r="H4756" s="24">
        <v>194.0</v>
      </c>
      <c r="I4756" s="24">
        <v>199.0</v>
      </c>
      <c r="J4756" s="24">
        <v>0.0</v>
      </c>
      <c r="K4756" s="23" t="s">
        <v>34</v>
      </c>
      <c r="L4756" s="25">
        <v>41103.29549768518</v>
      </c>
      <c r="M4756" s="28"/>
      <c r="N4756" s="26" t="s">
        <v>10953</v>
      </c>
      <c r="O4756" s="22" t="str">
        <f>HYPERLINK("https://pbs.twimg.com/profile_images/491939474394189824/xQu-jh0r_normal.png","View")</f>
        <v>View</v>
      </c>
      <c r="P4756" s="27"/>
    </row>
    <row r="4757">
      <c r="A4757" s="14">
        <v>43031.299062499995</v>
      </c>
      <c r="B4757" s="20" t="str">
        <f>HYPERLINK("https://twitter.com/hannasee","@hannasee")</f>
        <v>@hannasee</v>
      </c>
      <c r="C4757" s="21" t="s">
        <v>10954</v>
      </c>
      <c r="D4757" s="21" t="s">
        <v>10614</v>
      </c>
      <c r="E4757" s="22" t="str">
        <f>HYPERLINK("https://twitter.com/hannasee/status/922465296295669761","922465296295669761")</f>
        <v>922465296295669761</v>
      </c>
      <c r="F4757" s="23" t="s">
        <v>33</v>
      </c>
      <c r="G4757" s="24">
        <v>709.0</v>
      </c>
      <c r="H4757" s="24">
        <v>1139.0</v>
      </c>
      <c r="I4757" s="24">
        <v>159.0</v>
      </c>
      <c r="J4757" s="24">
        <v>0.0</v>
      </c>
      <c r="K4757" s="23" t="s">
        <v>34</v>
      </c>
      <c r="L4757" s="25">
        <v>40194.95371527778</v>
      </c>
      <c r="M4757" s="26" t="s">
        <v>10955</v>
      </c>
      <c r="N4757" s="26" t="s">
        <v>10956</v>
      </c>
      <c r="O4757" s="22" t="str">
        <f>HYPERLINK("https://pbs.twimg.com/profile_images/820233440918286336/7sLW6v4E_normal.jpg","View")</f>
        <v>View</v>
      </c>
      <c r="P4757" s="27"/>
    </row>
    <row r="4758">
      <c r="A4758" s="14">
        <v>43031.299421296295</v>
      </c>
      <c r="B4758" s="20" t="str">
        <f>HYPERLINK("https://twitter.com/Divyadristipar1","@Divyadristipar1")</f>
        <v>@Divyadristipar1</v>
      </c>
      <c r="C4758" s="21" t="s">
        <v>10957</v>
      </c>
      <c r="D4758" s="21" t="s">
        <v>42</v>
      </c>
      <c r="E4758" s="22" t="str">
        <f>HYPERLINK("https://twitter.com/Divyadristipar1/status/922465425052508160","922465425052508160")</f>
        <v>922465425052508160</v>
      </c>
      <c r="F4758" s="23" t="s">
        <v>33</v>
      </c>
      <c r="G4758" s="24">
        <v>13.0</v>
      </c>
      <c r="H4758" s="24">
        <v>102.0</v>
      </c>
      <c r="I4758" s="24">
        <v>8501.0</v>
      </c>
      <c r="J4758" s="24">
        <v>0.0</v>
      </c>
      <c r="K4758" s="23" t="s">
        <v>34</v>
      </c>
      <c r="L4758" s="25">
        <v>42993.35071759259</v>
      </c>
      <c r="M4758" s="28"/>
      <c r="N4758" s="28"/>
      <c r="O4758" s="22" t="str">
        <f>HYPERLINK("https://abs.twimg.com/sticky/default_profile_images/default_profile_normal.png","View")</f>
        <v>View</v>
      </c>
      <c r="P4758" s="27"/>
    </row>
    <row r="4759">
      <c r="A4759" s="14">
        <v>43031.299421296295</v>
      </c>
      <c r="B4759" s="20" t="str">
        <f>HYPERLINK("https://twitter.com/webnauta5_9","@webnauta5_9")</f>
        <v>@webnauta5_9</v>
      </c>
      <c r="C4759" s="21" t="s">
        <v>10958</v>
      </c>
      <c r="D4759" s="21" t="s">
        <v>6236</v>
      </c>
      <c r="E4759" s="22" t="str">
        <f>HYPERLINK("https://twitter.com/webnauta5_9/status/922465426361192448","922465426361192448")</f>
        <v>922465426361192448</v>
      </c>
      <c r="F4759" s="23" t="s">
        <v>33</v>
      </c>
      <c r="G4759" s="24">
        <v>3326.0</v>
      </c>
      <c r="H4759" s="24">
        <v>3731.0</v>
      </c>
      <c r="I4759" s="24">
        <v>26.0</v>
      </c>
      <c r="J4759" s="24">
        <v>0.0</v>
      </c>
      <c r="K4759" s="23" t="s">
        <v>34</v>
      </c>
      <c r="L4759" s="25">
        <v>42067.216736111106</v>
      </c>
      <c r="M4759" s="26" t="s">
        <v>5912</v>
      </c>
      <c r="N4759" s="26" t="s">
        <v>10959</v>
      </c>
      <c r="O4759" s="22" t="str">
        <f>HYPERLINK("https://pbs.twimg.com/profile_images/887734771060756480/GdALMDTL_normal.jpg","View")</f>
        <v>View</v>
      </c>
      <c r="P4759" s="27"/>
    </row>
    <row r="4760">
      <c r="A4760" s="14">
        <v>43031.29945601852</v>
      </c>
      <c r="B4760" s="20" t="str">
        <f>HYPERLINK("https://twitter.com/InderMohanLodh7","@InderMohanLodh7")</f>
        <v>@InderMohanLodh7</v>
      </c>
      <c r="C4760" s="21" t="s">
        <v>10960</v>
      </c>
      <c r="D4760" s="21" t="s">
        <v>42</v>
      </c>
      <c r="E4760" s="22" t="str">
        <f>HYPERLINK("https://twitter.com/InderMohanLodh7/status/922465436100374528","922465436100374528")</f>
        <v>922465436100374528</v>
      </c>
      <c r="F4760" s="23" t="s">
        <v>33</v>
      </c>
      <c r="G4760" s="24">
        <v>28.0</v>
      </c>
      <c r="H4760" s="24">
        <v>168.0</v>
      </c>
      <c r="I4760" s="24">
        <v>8501.0</v>
      </c>
      <c r="J4760" s="24">
        <v>0.0</v>
      </c>
      <c r="K4760" s="23" t="s">
        <v>34</v>
      </c>
      <c r="L4760" s="25">
        <v>43002.330138888894</v>
      </c>
      <c r="M4760" s="26" t="s">
        <v>10961</v>
      </c>
      <c r="N4760" s="28"/>
      <c r="O4760" s="22" t="str">
        <f>HYPERLINK("https://pbs.twimg.com/profile_images/920617015995453445/wPQVIkgn_normal.jpg","View")</f>
        <v>View</v>
      </c>
      <c r="P4760" s="27"/>
    </row>
    <row r="4761">
      <c r="A4761" s="14">
        <v>43031.29947916667</v>
      </c>
      <c r="B4761" s="20" t="str">
        <f>HYPERLINK("https://twitter.com/maheshmaster","@maheshmaster")</f>
        <v>@maheshmaster</v>
      </c>
      <c r="C4761" s="21" t="s">
        <v>10962</v>
      </c>
      <c r="D4761" s="21" t="s">
        <v>42</v>
      </c>
      <c r="E4761" s="22" t="str">
        <f>HYPERLINK("https://twitter.com/maheshmaster/status/922465444375683074","922465444375683074")</f>
        <v>922465444375683074</v>
      </c>
      <c r="F4761" s="23" t="s">
        <v>33</v>
      </c>
      <c r="G4761" s="24">
        <v>373.0</v>
      </c>
      <c r="H4761" s="24">
        <v>653.0</v>
      </c>
      <c r="I4761" s="24">
        <v>8501.0</v>
      </c>
      <c r="J4761" s="24">
        <v>0.0</v>
      </c>
      <c r="K4761" s="23" t="s">
        <v>34</v>
      </c>
      <c r="L4761" s="25">
        <v>40220.876550925925</v>
      </c>
      <c r="M4761" s="26" t="s">
        <v>10963</v>
      </c>
      <c r="N4761" s="26" t="s">
        <v>10964</v>
      </c>
      <c r="O4761" s="22" t="str">
        <f>HYPERLINK("https://pbs.twimg.com/profile_images/560232593577111552/bgsv30xE_normal.jpeg","View")</f>
        <v>View</v>
      </c>
      <c r="P4761" s="27"/>
    </row>
    <row r="4762">
      <c r="A4762" s="14">
        <v>43031.29956018519</v>
      </c>
      <c r="B4762" s="20" t="str">
        <f>HYPERLINK("https://twitter.com/hide1117","@hide1117")</f>
        <v>@hide1117</v>
      </c>
      <c r="C4762" s="21" t="s">
        <v>10702</v>
      </c>
      <c r="D4762" s="21" t="s">
        <v>740</v>
      </c>
      <c r="E4762" s="22" t="str">
        <f>HYPERLINK("https://twitter.com/hide1117/status/922465476957020161","922465476957020161")</f>
        <v>922465476957020161</v>
      </c>
      <c r="F4762" s="23" t="s">
        <v>33</v>
      </c>
      <c r="G4762" s="24">
        <v>514.0</v>
      </c>
      <c r="H4762" s="24">
        <v>681.0</v>
      </c>
      <c r="I4762" s="24">
        <v>87.0</v>
      </c>
      <c r="J4762" s="24">
        <v>0.0</v>
      </c>
      <c r="K4762" s="23" t="s">
        <v>34</v>
      </c>
      <c r="L4762" s="25">
        <v>40242.74524305556</v>
      </c>
      <c r="M4762" s="28"/>
      <c r="N4762" s="26" t="s">
        <v>10703</v>
      </c>
      <c r="O4762" s="22" t="str">
        <f>HYPERLINK("https://abs.twimg.com/sticky/default_profile_images/default_profile_normal.png","View")</f>
        <v>View</v>
      </c>
      <c r="P4762" s="27"/>
    </row>
    <row r="4763">
      <c r="A4763" s="14">
        <v>43031.29958333333</v>
      </c>
      <c r="B4763" s="20" t="str">
        <f>HYPERLINK("https://twitter.com/Cronewomanchane","@Cronewomanchane")</f>
        <v>@Cronewomanchane</v>
      </c>
      <c r="C4763" s="21" t="s">
        <v>10965</v>
      </c>
      <c r="D4763" s="21" t="s">
        <v>10614</v>
      </c>
      <c r="E4763" s="22" t="str">
        <f>HYPERLINK("https://twitter.com/Cronewomanchane/status/922465484167172096","922465484167172096")</f>
        <v>922465484167172096</v>
      </c>
      <c r="F4763" s="23" t="s">
        <v>39</v>
      </c>
      <c r="G4763" s="24">
        <v>418.0</v>
      </c>
      <c r="H4763" s="24">
        <v>497.0</v>
      </c>
      <c r="I4763" s="24">
        <v>159.0</v>
      </c>
      <c r="J4763" s="24">
        <v>0.0</v>
      </c>
      <c r="K4763" s="23" t="s">
        <v>34</v>
      </c>
      <c r="L4763" s="25">
        <v>40196.412141203706</v>
      </c>
      <c r="M4763" s="26" t="s">
        <v>10966</v>
      </c>
      <c r="N4763" s="26" t="s">
        <v>10967</v>
      </c>
      <c r="O4763" s="22" t="str">
        <f>HYPERLINK("https://pbs.twimg.com/profile_images/2603059160/rwxkcz13vwkzb3z17uqs_normal.jpeg","View")</f>
        <v>View</v>
      </c>
      <c r="P4763" s="27"/>
    </row>
    <row r="4764">
      <c r="A4764" s="14">
        <v>43031.2996412037</v>
      </c>
      <c r="B4764" s="20" t="str">
        <f>HYPERLINK("https://twitter.com/dkv1949","@dkv1949")</f>
        <v>@dkv1949</v>
      </c>
      <c r="C4764" s="21" t="s">
        <v>10968</v>
      </c>
      <c r="D4764" s="21" t="s">
        <v>163</v>
      </c>
      <c r="E4764" s="22" t="str">
        <f>HYPERLINK("https://twitter.com/dkv1949/status/922465503301341184","922465503301341184")</f>
        <v>922465503301341184</v>
      </c>
      <c r="F4764" s="23" t="s">
        <v>33</v>
      </c>
      <c r="G4764" s="24">
        <v>99.0</v>
      </c>
      <c r="H4764" s="24">
        <v>246.0</v>
      </c>
      <c r="I4764" s="24">
        <v>1005.0</v>
      </c>
      <c r="J4764" s="24">
        <v>0.0</v>
      </c>
      <c r="K4764" s="23" t="s">
        <v>34</v>
      </c>
      <c r="L4764" s="25">
        <v>40947.92806712963</v>
      </c>
      <c r="M4764" s="26" t="s">
        <v>10969</v>
      </c>
      <c r="N4764" s="26" t="s">
        <v>10970</v>
      </c>
      <c r="O4764" s="22" t="str">
        <f>HYPERLINK("https://pbs.twimg.com/profile_images/3328970640/2b80d5d3d0e9c0678b445e590f559023_normal.jpeg","View")</f>
        <v>View</v>
      </c>
      <c r="P4764" s="27"/>
    </row>
    <row r="4765">
      <c r="A4765" s="14">
        <v>43031.29993055556</v>
      </c>
      <c r="B4765" s="20" t="str">
        <f>HYPERLINK("https://twitter.com/CatanoAniceto","@CatanoAniceto")</f>
        <v>@CatanoAniceto</v>
      </c>
      <c r="C4765" s="21" t="s">
        <v>10971</v>
      </c>
      <c r="D4765" s="21" t="s">
        <v>10972</v>
      </c>
      <c r="E4765" s="22" t="str">
        <f>HYPERLINK("https://twitter.com/CatanoAniceto/status/922465607496425477","922465607496425477")</f>
        <v>922465607496425477</v>
      </c>
      <c r="F4765" s="23" t="s">
        <v>33</v>
      </c>
      <c r="G4765" s="24">
        <v>5.0</v>
      </c>
      <c r="H4765" s="24">
        <v>55.0</v>
      </c>
      <c r="I4765" s="24">
        <v>55.0</v>
      </c>
      <c r="J4765" s="24">
        <v>0.0</v>
      </c>
      <c r="K4765" s="23" t="s">
        <v>34</v>
      </c>
      <c r="L4765" s="25">
        <v>42942.60469907407</v>
      </c>
      <c r="M4765" s="28"/>
      <c r="N4765" s="28"/>
      <c r="O4765" s="22" t="str">
        <f>HYPERLINK("https://abs.twimg.com/sticky/default_profile_images/default_profile_normal.png","View")</f>
        <v>View</v>
      </c>
      <c r="P4765" s="27"/>
    </row>
    <row r="4766">
      <c r="A4766" s="14">
        <v>43031.299988425926</v>
      </c>
      <c r="B4766" s="20" t="str">
        <f>HYPERLINK("https://twitter.com/SILVICULTRlX","@SILVICULTRlX")</f>
        <v>@SILVICULTRlX</v>
      </c>
      <c r="C4766" s="21" t="s">
        <v>10973</v>
      </c>
      <c r="D4766" s="21" t="s">
        <v>10614</v>
      </c>
      <c r="E4766" s="22" t="str">
        <f>HYPERLINK("https://twitter.com/SILVICULTRlX/status/922465628816068609","922465628816068609")</f>
        <v>922465628816068609</v>
      </c>
      <c r="F4766" s="23" t="s">
        <v>55</v>
      </c>
      <c r="G4766" s="24">
        <v>14495.0</v>
      </c>
      <c r="H4766" s="24">
        <v>62.0</v>
      </c>
      <c r="I4766" s="24">
        <v>159.0</v>
      </c>
      <c r="J4766" s="24">
        <v>0.0</v>
      </c>
      <c r="K4766" s="23" t="s">
        <v>34</v>
      </c>
      <c r="L4766" s="25">
        <v>42040.49016203704</v>
      </c>
      <c r="M4766" s="28"/>
      <c r="N4766" s="28"/>
      <c r="O4766" s="22" t="str">
        <f>HYPERLINK("https://pbs.twimg.com/profile_images/904424129192976386/MhQvot24_normal.jpg","View")</f>
        <v>View</v>
      </c>
      <c r="P4766" s="27"/>
    </row>
    <row r="4767">
      <c r="A4767" s="14">
        <v>43031.30021990741</v>
      </c>
      <c r="B4767" s="20" t="str">
        <f>HYPERLINK("https://twitter.com/PetraFerrari25","@PetraFerrari25")</f>
        <v>@PetraFerrari25</v>
      </c>
      <c r="C4767" s="21" t="s">
        <v>10974</v>
      </c>
      <c r="D4767" s="21" t="s">
        <v>10614</v>
      </c>
      <c r="E4767" s="22" t="str">
        <f>HYPERLINK("https://twitter.com/PetraFerrari25/status/922465715701067776","922465715701067776")</f>
        <v>922465715701067776</v>
      </c>
      <c r="F4767" s="23" t="s">
        <v>33</v>
      </c>
      <c r="G4767" s="24">
        <v>98.0</v>
      </c>
      <c r="H4767" s="24">
        <v>121.0</v>
      </c>
      <c r="I4767" s="24">
        <v>159.0</v>
      </c>
      <c r="J4767" s="24">
        <v>0.0</v>
      </c>
      <c r="K4767" s="23" t="s">
        <v>34</v>
      </c>
      <c r="L4767" s="25">
        <v>42753.59771990741</v>
      </c>
      <c r="M4767" s="26" t="s">
        <v>10975</v>
      </c>
      <c r="N4767" s="26" t="s">
        <v>10976</v>
      </c>
      <c r="O4767" s="22" t="str">
        <f>HYPERLINK("https://pbs.twimg.com/profile_images/853342662732242944/CQq219ne_normal.jpg","View")</f>
        <v>View</v>
      </c>
      <c r="P4767" s="27"/>
    </row>
    <row r="4768">
      <c r="A4768" s="14">
        <v>43031.30030092593</v>
      </c>
      <c r="B4768" s="20" t="str">
        <f>HYPERLINK("https://twitter.com/PiyushSwain1","@PiyushSwain1")</f>
        <v>@PiyushSwain1</v>
      </c>
      <c r="C4768" s="21" t="s">
        <v>10977</v>
      </c>
      <c r="D4768" s="21" t="s">
        <v>42</v>
      </c>
      <c r="E4768" s="22" t="str">
        <f>HYPERLINK("https://twitter.com/PiyushSwain1/status/922465741768552448","922465741768552448")</f>
        <v>922465741768552448</v>
      </c>
      <c r="F4768" s="23" t="s">
        <v>55</v>
      </c>
      <c r="G4768" s="24">
        <v>104.0</v>
      </c>
      <c r="H4768" s="24">
        <v>730.0</v>
      </c>
      <c r="I4768" s="24">
        <v>8501.0</v>
      </c>
      <c r="J4768" s="24">
        <v>0.0</v>
      </c>
      <c r="K4768" s="23" t="s">
        <v>34</v>
      </c>
      <c r="L4768" s="25">
        <v>41539.50166666666</v>
      </c>
      <c r="M4768" s="28"/>
      <c r="N4768" s="28"/>
      <c r="O4768" s="22" t="str">
        <f>HYPERLINK("https://pbs.twimg.com/profile_images/576392478862876672/YEehuly5_normal.jpeg","View")</f>
        <v>View</v>
      </c>
      <c r="P4768" s="27"/>
    </row>
    <row r="4769">
      <c r="A4769" s="14">
        <v>43031.30033564815</v>
      </c>
      <c r="B4769" s="20" t="str">
        <f>HYPERLINK("https://twitter.com/BabajiB","@BabajiB")</f>
        <v>@BabajiB</v>
      </c>
      <c r="C4769" s="21" t="s">
        <v>10978</v>
      </c>
      <c r="D4769" s="21" t="s">
        <v>42</v>
      </c>
      <c r="E4769" s="22" t="str">
        <f>HYPERLINK("https://twitter.com/BabajiB/status/922465757321052160","922465757321052160")</f>
        <v>922465757321052160</v>
      </c>
      <c r="F4769" s="23" t="s">
        <v>39</v>
      </c>
      <c r="G4769" s="24">
        <v>34.0</v>
      </c>
      <c r="H4769" s="24">
        <v>72.0</v>
      </c>
      <c r="I4769" s="24">
        <v>8501.0</v>
      </c>
      <c r="J4769" s="24">
        <v>0.0</v>
      </c>
      <c r="K4769" s="23" t="s">
        <v>34</v>
      </c>
      <c r="L4769" s="25">
        <v>41203.14586805555</v>
      </c>
      <c r="M4769" s="26" t="s">
        <v>10979</v>
      </c>
      <c r="N4769" s="26" t="s">
        <v>10980</v>
      </c>
      <c r="O4769" s="22" t="str">
        <f>HYPERLINK("https://pbs.twimg.com/profile_images/859375134016065536/4txv9yv2_normal.jpg","View")</f>
        <v>View</v>
      </c>
      <c r="P4769" s="27"/>
    </row>
    <row r="4770">
      <c r="A4770" s="14">
        <v>43031.300358796296</v>
      </c>
      <c r="B4770" s="20" t="str">
        <f>HYPERLINK("https://twitter.com/thevinetway","@thevinetway")</f>
        <v>@thevinetway</v>
      </c>
      <c r="C4770" s="21" t="s">
        <v>10981</v>
      </c>
      <c r="D4770" s="21" t="s">
        <v>10614</v>
      </c>
      <c r="E4770" s="22" t="str">
        <f>HYPERLINK("https://twitter.com/thevinetway/status/922465762500943872","922465762500943872")</f>
        <v>922465762500943872</v>
      </c>
      <c r="F4770" s="23" t="s">
        <v>33</v>
      </c>
      <c r="G4770" s="24">
        <v>1503.0</v>
      </c>
      <c r="H4770" s="24">
        <v>1678.0</v>
      </c>
      <c r="I4770" s="24">
        <v>159.0</v>
      </c>
      <c r="J4770" s="24">
        <v>0.0</v>
      </c>
      <c r="K4770" s="23" t="s">
        <v>34</v>
      </c>
      <c r="L4770" s="25">
        <v>40433.69881944444</v>
      </c>
      <c r="M4770" s="28"/>
      <c r="N4770" s="28"/>
      <c r="O4770" s="22" t="str">
        <f>HYPERLINK("https://pbs.twimg.com/profile_images/908132794353594370/-PHwu0lf_normal.jpg","View")</f>
        <v>View</v>
      </c>
      <c r="P4770" s="27"/>
    </row>
    <row r="4771">
      <c r="A4771" s="14">
        <v>43031.30038194444</v>
      </c>
      <c r="B4771" s="20" t="str">
        <f>HYPERLINK("https://twitter.com/9b11aea4292f412","@9b11aea4292f412")</f>
        <v>@9b11aea4292f412</v>
      </c>
      <c r="C4771" s="21" t="s">
        <v>10982</v>
      </c>
      <c r="D4771" s="21" t="s">
        <v>42</v>
      </c>
      <c r="E4771" s="22" t="str">
        <f>HYPERLINK("https://twitter.com/9b11aea4292f412/status/922465773930496000","922465773930496000")</f>
        <v>922465773930496000</v>
      </c>
      <c r="F4771" s="23" t="s">
        <v>33</v>
      </c>
      <c r="G4771" s="24">
        <v>252.0</v>
      </c>
      <c r="H4771" s="24">
        <v>284.0</v>
      </c>
      <c r="I4771" s="24">
        <v>8501.0</v>
      </c>
      <c r="J4771" s="24">
        <v>0.0</v>
      </c>
      <c r="K4771" s="23" t="s">
        <v>34</v>
      </c>
      <c r="L4771" s="25">
        <v>42184.021527777775</v>
      </c>
      <c r="M4771" s="26" t="s">
        <v>617</v>
      </c>
      <c r="N4771" s="28"/>
      <c r="O4771" s="22" t="str">
        <f>HYPERLINK("https://pbs.twimg.com/profile_images/615422323206664192/ND4AB4lq_normal.jpg","View")</f>
        <v>View</v>
      </c>
      <c r="P4771" s="27"/>
    </row>
    <row r="4772">
      <c r="A4772" s="14">
        <v>43031.30046296296</v>
      </c>
      <c r="B4772" s="20" t="str">
        <f>HYPERLINK("https://twitter.com/SATYANA91119383","@SATYANA91119383")</f>
        <v>@SATYANA91119383</v>
      </c>
      <c r="C4772" s="21" t="s">
        <v>10983</v>
      </c>
      <c r="D4772" s="21" t="s">
        <v>42</v>
      </c>
      <c r="E4772" s="22" t="str">
        <f>HYPERLINK("https://twitter.com/SATYANA91119383/status/922465803164778497","922465803164778497")</f>
        <v>922465803164778497</v>
      </c>
      <c r="F4772" s="23" t="s">
        <v>55</v>
      </c>
      <c r="G4772" s="24">
        <v>121.0</v>
      </c>
      <c r="H4772" s="24">
        <v>626.0</v>
      </c>
      <c r="I4772" s="24">
        <v>8501.0</v>
      </c>
      <c r="J4772" s="24">
        <v>0.0</v>
      </c>
      <c r="K4772" s="23" t="s">
        <v>34</v>
      </c>
      <c r="L4772" s="25">
        <v>42771.79877314815</v>
      </c>
      <c r="M4772" s="26" t="s">
        <v>227</v>
      </c>
      <c r="N4772" s="26" t="s">
        <v>10984</v>
      </c>
      <c r="O4772" s="22" t="str">
        <f>HYPERLINK("https://pbs.twimg.com/profile_images/828476364734894082/X7sUTWvq_normal.jpg","View")</f>
        <v>View</v>
      </c>
      <c r="P4772" s="27"/>
    </row>
    <row r="4773">
      <c r="A4773" s="14">
        <v>43031.30050925926</v>
      </c>
      <c r="B4773" s="20" t="str">
        <f>HYPERLINK("https://twitter.com/GangapureShiv","@GangapureShiv")</f>
        <v>@GangapureShiv</v>
      </c>
      <c r="C4773" s="21" t="s">
        <v>10985</v>
      </c>
      <c r="D4773" s="21" t="s">
        <v>42</v>
      </c>
      <c r="E4773" s="22" t="str">
        <f>HYPERLINK("https://twitter.com/GangapureShiv/status/922465819270844416","922465819270844416")</f>
        <v>922465819270844416</v>
      </c>
      <c r="F4773" s="23" t="s">
        <v>33</v>
      </c>
      <c r="G4773" s="24">
        <v>8.0</v>
      </c>
      <c r="H4773" s="24">
        <v>20.0</v>
      </c>
      <c r="I4773" s="24">
        <v>8501.0</v>
      </c>
      <c r="J4773" s="24">
        <v>0.0</v>
      </c>
      <c r="K4773" s="23" t="s">
        <v>34</v>
      </c>
      <c r="L4773" s="25">
        <v>41262.20042824074</v>
      </c>
      <c r="M4773" s="26" t="s">
        <v>10986</v>
      </c>
      <c r="N4773" s="28"/>
      <c r="O4773" s="22" t="str">
        <f>HYPERLINK("https://pbs.twimg.com/profile_images/913334468953419776/Qiv81JQQ_normal.jpg","View")</f>
        <v>View</v>
      </c>
      <c r="P4773" s="27"/>
    </row>
    <row r="4774">
      <c r="A4774" s="14">
        <v>43031.300520833334</v>
      </c>
      <c r="B4774" s="20" t="str">
        <f>HYPERLINK("https://twitter.com/ChandulalD","@ChandulalD")</f>
        <v>@ChandulalD</v>
      </c>
      <c r="C4774" s="21" t="s">
        <v>10987</v>
      </c>
      <c r="D4774" s="21" t="s">
        <v>42</v>
      </c>
      <c r="E4774" s="22" t="str">
        <f>HYPERLINK("https://twitter.com/ChandulalD/status/922465824018804736","922465824018804736")</f>
        <v>922465824018804736</v>
      </c>
      <c r="F4774" s="23" t="s">
        <v>39</v>
      </c>
      <c r="G4774" s="24">
        <v>1.0</v>
      </c>
      <c r="H4774" s="24">
        <v>10.0</v>
      </c>
      <c r="I4774" s="24">
        <v>8501.0</v>
      </c>
      <c r="J4774" s="24">
        <v>0.0</v>
      </c>
      <c r="K4774" s="23" t="s">
        <v>34</v>
      </c>
      <c r="L4774" s="25">
        <v>41805.82105324074</v>
      </c>
      <c r="M4774" s="28"/>
      <c r="N4774" s="28"/>
      <c r="O4774" s="22" t="str">
        <f>HYPERLINK("https://abs.twimg.com/sticky/default_profile_images/default_profile_normal.png","View")</f>
        <v>View</v>
      </c>
      <c r="P4774" s="27"/>
    </row>
    <row r="4775">
      <c r="A4775" s="14">
        <v>43031.30056712963</v>
      </c>
      <c r="B4775" s="20" t="str">
        <f>HYPERLINK("https://twitter.com/bhsngr","@bhsngr")</f>
        <v>@bhsngr</v>
      </c>
      <c r="C4775" s="21" t="s">
        <v>10988</v>
      </c>
      <c r="D4775" s="21" t="s">
        <v>42</v>
      </c>
      <c r="E4775" s="22" t="str">
        <f>HYPERLINK("https://twitter.com/bhsngr/status/922465838875078657","922465838875078657")</f>
        <v>922465838875078657</v>
      </c>
      <c r="F4775" s="23" t="s">
        <v>39</v>
      </c>
      <c r="G4775" s="24">
        <v>2959.0</v>
      </c>
      <c r="H4775" s="24">
        <v>544.0</v>
      </c>
      <c r="I4775" s="24">
        <v>8501.0</v>
      </c>
      <c r="J4775" s="24">
        <v>0.0</v>
      </c>
      <c r="K4775" s="23" t="s">
        <v>34</v>
      </c>
      <c r="L4775" s="25">
        <v>40495.43298611111</v>
      </c>
      <c r="M4775" s="26" t="s">
        <v>603</v>
      </c>
      <c r="N4775" s="26" t="s">
        <v>10989</v>
      </c>
      <c r="O4775" s="22" t="str">
        <f>HYPERLINK("https://pbs.twimg.com/profile_images/898569443340558339/2FdZ8hRi_normal.jpg","View")</f>
        <v>View</v>
      </c>
      <c r="P4775" s="27"/>
    </row>
    <row r="4776">
      <c r="A4776" s="14">
        <v>43031.30059027778</v>
      </c>
      <c r="B4776" s="20" t="str">
        <f>HYPERLINK("https://twitter.com/NenSYtea","@NenSYtea")</f>
        <v>@NenSYtea</v>
      </c>
      <c r="C4776" s="21" t="s">
        <v>10990</v>
      </c>
      <c r="D4776" s="21" t="s">
        <v>10614</v>
      </c>
      <c r="E4776" s="22" t="str">
        <f>HYPERLINK("https://twitter.com/NenSYtea/status/922465847070699521","922465847070699521")</f>
        <v>922465847070699521</v>
      </c>
      <c r="F4776" s="23" t="s">
        <v>33</v>
      </c>
      <c r="G4776" s="24">
        <v>278.0</v>
      </c>
      <c r="H4776" s="24">
        <v>334.0</v>
      </c>
      <c r="I4776" s="24">
        <v>159.0</v>
      </c>
      <c r="J4776" s="24">
        <v>0.0</v>
      </c>
      <c r="K4776" s="23" t="s">
        <v>34</v>
      </c>
      <c r="L4776" s="25">
        <v>40029.17472222222</v>
      </c>
      <c r="M4776" s="26" t="s">
        <v>10991</v>
      </c>
      <c r="N4776" s="26" t="s">
        <v>10992</v>
      </c>
      <c r="O4776" s="22" t="str">
        <f>HYPERLINK("https://pbs.twimg.com/profile_images/763397453894692864/SdlgIIPs_normal.jpg","View")</f>
        <v>View</v>
      </c>
      <c r="P4776" s="27"/>
    </row>
    <row r="4777">
      <c r="A4777" s="14">
        <v>43031.30070601852</v>
      </c>
      <c r="B4777" s="20" t="str">
        <f>HYPERLINK("https://twitter.com/ArunGuptaBJP","@ArunGuptaBJP")</f>
        <v>@ArunGuptaBJP</v>
      </c>
      <c r="C4777" s="21" t="s">
        <v>4002</v>
      </c>
      <c r="D4777" s="21" t="s">
        <v>42</v>
      </c>
      <c r="E4777" s="22" t="str">
        <f>HYPERLINK("https://twitter.com/ArunGuptaBJP/status/922465891194769408","922465891194769408")</f>
        <v>922465891194769408</v>
      </c>
      <c r="F4777" s="23" t="s">
        <v>33</v>
      </c>
      <c r="G4777" s="24">
        <v>25.0</v>
      </c>
      <c r="H4777" s="24">
        <v>10.0</v>
      </c>
      <c r="I4777" s="24">
        <v>8501.0</v>
      </c>
      <c r="J4777" s="24">
        <v>0.0</v>
      </c>
      <c r="K4777" s="23" t="s">
        <v>34</v>
      </c>
      <c r="L4777" s="25">
        <v>42939.07703703704</v>
      </c>
      <c r="M4777" s="26" t="s">
        <v>1137</v>
      </c>
      <c r="N4777" s="28"/>
      <c r="O4777" s="22" t="str">
        <f>HYPERLINK("https://pbs.twimg.com/profile_images/889122120638365696/JN0wT1vH_normal.jpg","View")</f>
        <v>View</v>
      </c>
      <c r="P4777" s="27"/>
    </row>
    <row r="4778">
      <c r="A4778" s="14">
        <v>43031.30074074074</v>
      </c>
      <c r="B4778" s="20" t="str">
        <f>HYPERLINK("https://twitter.com/nekokumicho","@nekokumicho")</f>
        <v>@nekokumicho</v>
      </c>
      <c r="C4778" s="21" t="s">
        <v>10993</v>
      </c>
      <c r="D4778" s="21" t="s">
        <v>10653</v>
      </c>
      <c r="E4778" s="22" t="str">
        <f>HYPERLINK("https://twitter.com/nekokumicho/status/922465901416296449","922465901416296449")</f>
        <v>922465901416296449</v>
      </c>
      <c r="F4778" s="23" t="s">
        <v>55</v>
      </c>
      <c r="G4778" s="24">
        <v>69249.0</v>
      </c>
      <c r="H4778" s="24">
        <v>446.0</v>
      </c>
      <c r="I4778" s="24">
        <v>9.0</v>
      </c>
      <c r="J4778" s="24">
        <v>0.0</v>
      </c>
      <c r="K4778" s="23" t="s">
        <v>34</v>
      </c>
      <c r="L4778" s="25">
        <v>40683.03219907408</v>
      </c>
      <c r="M4778" s="26" t="s">
        <v>923</v>
      </c>
      <c r="N4778" s="26" t="s">
        <v>10994</v>
      </c>
      <c r="O4778" s="22" t="str">
        <f>HYPERLINK("https://pbs.twimg.com/profile_images/813023414491303936/CgEi9a1b_normal.jpg","View")</f>
        <v>View</v>
      </c>
      <c r="P4778" s="27"/>
    </row>
    <row r="4779">
      <c r="A4779" s="14">
        <v>43031.300775462965</v>
      </c>
      <c r="B4779" s="20" t="str">
        <f>HYPERLINK("https://twitter.com/bipinbhimani","@bipinbhimani")</f>
        <v>@bipinbhimani</v>
      </c>
      <c r="C4779" s="21" t="s">
        <v>10995</v>
      </c>
      <c r="D4779" s="21" t="s">
        <v>42</v>
      </c>
      <c r="E4779" s="22" t="str">
        <f>HYPERLINK("https://twitter.com/bipinbhimani/status/922465914410360833","922465914410360833")</f>
        <v>922465914410360833</v>
      </c>
      <c r="F4779" s="23" t="s">
        <v>33</v>
      </c>
      <c r="G4779" s="24">
        <v>2257.0</v>
      </c>
      <c r="H4779" s="24">
        <v>2201.0</v>
      </c>
      <c r="I4779" s="24">
        <v>8501.0</v>
      </c>
      <c r="J4779" s="24">
        <v>0.0</v>
      </c>
      <c r="K4779" s="23" t="s">
        <v>34</v>
      </c>
      <c r="L4779" s="25">
        <v>40786.406747685185</v>
      </c>
      <c r="M4779" s="28"/>
      <c r="N4779" s="26" t="s">
        <v>10996</v>
      </c>
      <c r="O4779" s="22" t="str">
        <f>HYPERLINK("https://pbs.twimg.com/profile_images/800057336400183297/zeEECALR_normal.jpg","View")</f>
        <v>View</v>
      </c>
      <c r="P4779" s="27"/>
    </row>
    <row r="4780">
      <c r="A4780" s="14">
        <v>43031.30084490741</v>
      </c>
      <c r="B4780" s="20" t="str">
        <f>HYPERLINK("https://twitter.com/andoro_meda","@andoro_meda")</f>
        <v>@andoro_meda</v>
      </c>
      <c r="C4780" s="21" t="s">
        <v>2434</v>
      </c>
      <c r="D4780" s="21" t="s">
        <v>10997</v>
      </c>
      <c r="E4780" s="22" t="str">
        <f>HYPERLINK("https://twitter.com/andoro_meda/status/922465941094412289","922465941094412289")</f>
        <v>922465941094412289</v>
      </c>
      <c r="F4780" s="23" t="s">
        <v>39</v>
      </c>
      <c r="G4780" s="24">
        <v>2.0</v>
      </c>
      <c r="H4780" s="24">
        <v>22.0</v>
      </c>
      <c r="I4780" s="24">
        <v>0.0</v>
      </c>
      <c r="J4780" s="24">
        <v>0.0</v>
      </c>
      <c r="K4780" s="23" t="s">
        <v>34</v>
      </c>
      <c r="L4780" s="25">
        <v>41417.98037037037</v>
      </c>
      <c r="M4780" s="26" t="s">
        <v>271</v>
      </c>
      <c r="N4780" s="26" t="s">
        <v>10998</v>
      </c>
      <c r="O4780" s="22" t="str">
        <f>HYPERLINK("https://pbs.twimg.com/profile_images/918358986188996608/gCiqQtyE_normal.jpg","View")</f>
        <v>View</v>
      </c>
      <c r="P4780" s="27"/>
    </row>
    <row r="4781">
      <c r="A4781" s="14">
        <v>43031.30090277777</v>
      </c>
      <c r="B4781" s="20" t="str">
        <f>HYPERLINK("https://twitter.com/Pinklyzed","@Pinklyzed")</f>
        <v>@Pinklyzed</v>
      </c>
      <c r="C4781" s="21" t="s">
        <v>10999</v>
      </c>
      <c r="D4781" s="21" t="s">
        <v>10614</v>
      </c>
      <c r="E4781" s="22" t="str">
        <f>HYPERLINK("https://twitter.com/Pinklyzed/status/922465960426180610","922465960426180610")</f>
        <v>922465960426180610</v>
      </c>
      <c r="F4781" s="23" t="s">
        <v>39</v>
      </c>
      <c r="G4781" s="24">
        <v>29.0</v>
      </c>
      <c r="H4781" s="24">
        <v>165.0</v>
      </c>
      <c r="I4781" s="24">
        <v>159.0</v>
      </c>
      <c r="J4781" s="24">
        <v>0.0</v>
      </c>
      <c r="K4781" s="23" t="s">
        <v>34</v>
      </c>
      <c r="L4781" s="25">
        <v>42984.535879629635</v>
      </c>
      <c r="M4781" s="26" t="s">
        <v>1961</v>
      </c>
      <c r="N4781" s="26" t="s">
        <v>11000</v>
      </c>
      <c r="O4781" s="22" t="str">
        <f>HYPERLINK("https://pbs.twimg.com/profile_images/919979002047221761/G1gDeQLq_normal.jpg","View")</f>
        <v>View</v>
      </c>
      <c r="P4781" s="27"/>
    </row>
    <row r="4782">
      <c r="A4782" s="14">
        <v>43031.301030092596</v>
      </c>
      <c r="B4782" s="20" t="str">
        <f>HYPERLINK("https://twitter.com/astewatia333","@astewatia333")</f>
        <v>@astewatia333</v>
      </c>
      <c r="C4782" s="21" t="s">
        <v>11001</v>
      </c>
      <c r="D4782" s="21" t="s">
        <v>42</v>
      </c>
      <c r="E4782" s="22" t="str">
        <f>HYPERLINK("https://twitter.com/astewatia333/status/922466005753794566","922466005753794566")</f>
        <v>922466005753794566</v>
      </c>
      <c r="F4782" s="23" t="s">
        <v>33</v>
      </c>
      <c r="G4782" s="24">
        <v>36.0</v>
      </c>
      <c r="H4782" s="24">
        <v>169.0</v>
      </c>
      <c r="I4782" s="24">
        <v>8501.0</v>
      </c>
      <c r="J4782" s="24">
        <v>0.0</v>
      </c>
      <c r="K4782" s="23" t="s">
        <v>34</v>
      </c>
      <c r="L4782" s="25">
        <v>41475.34444444445</v>
      </c>
      <c r="M4782" s="26" t="s">
        <v>11002</v>
      </c>
      <c r="N4782" s="28"/>
      <c r="O4782" s="22" t="str">
        <f>HYPERLINK("https://pbs.twimg.com/profile_images/856510951671115776/-FuUYfyS_normal.jpg","View")</f>
        <v>View</v>
      </c>
      <c r="P4782" s="27"/>
    </row>
    <row r="4783">
      <c r="A4783" s="14">
        <v>43031.30105324074</v>
      </c>
      <c r="B4783" s="20" t="str">
        <f>HYPERLINK("https://twitter.com/PUEAA_UNAM","@PUEAA_UNAM")</f>
        <v>@PUEAA_UNAM</v>
      </c>
      <c r="C4783" s="21" t="s">
        <v>11003</v>
      </c>
      <c r="D4783" s="21" t="s">
        <v>11004</v>
      </c>
      <c r="E4783" s="22" t="str">
        <f>HYPERLINK("https://twitter.com/PUEAA_UNAM/status/922466017678385152","922466017678385152")</f>
        <v>922466017678385152</v>
      </c>
      <c r="F4783" s="23" t="s">
        <v>55</v>
      </c>
      <c r="G4783" s="24">
        <v>535.0</v>
      </c>
      <c r="H4783" s="24">
        <v>370.0</v>
      </c>
      <c r="I4783" s="24">
        <v>19.0</v>
      </c>
      <c r="J4783" s="24">
        <v>0.0</v>
      </c>
      <c r="K4783" s="23" t="s">
        <v>34</v>
      </c>
      <c r="L4783" s="25">
        <v>42101.4897337963</v>
      </c>
      <c r="M4783" s="26" t="s">
        <v>11005</v>
      </c>
      <c r="N4783" s="26" t="s">
        <v>11006</v>
      </c>
      <c r="O4783" s="22" t="str">
        <f>HYPERLINK("https://pbs.twimg.com/profile_images/862149950913748994/3ioyDdRo_normal.jpg","View")</f>
        <v>View</v>
      </c>
      <c r="P4783" s="27"/>
    </row>
    <row r="4784">
      <c r="A4784" s="14">
        <v>43031.30116898148</v>
      </c>
      <c r="B4784" s="20" t="str">
        <f>HYPERLINK("https://twitter.com/Darpan_st","@Darpan_st")</f>
        <v>@Darpan_st</v>
      </c>
      <c r="C4784" s="21" t="s">
        <v>11007</v>
      </c>
      <c r="D4784" s="21" t="s">
        <v>42</v>
      </c>
      <c r="E4784" s="22" t="str">
        <f>HYPERLINK("https://twitter.com/Darpan_st/status/922466059017371648","922466059017371648")</f>
        <v>922466059017371648</v>
      </c>
      <c r="F4784" s="23" t="s">
        <v>33</v>
      </c>
      <c r="G4784" s="24">
        <v>876.0</v>
      </c>
      <c r="H4784" s="24">
        <v>1273.0</v>
      </c>
      <c r="I4784" s="24">
        <v>8501.0</v>
      </c>
      <c r="J4784" s="24">
        <v>0.0</v>
      </c>
      <c r="K4784" s="23" t="s">
        <v>34</v>
      </c>
      <c r="L4784" s="25">
        <v>42180.89913194445</v>
      </c>
      <c r="M4784" s="26" t="s">
        <v>246</v>
      </c>
      <c r="N4784" s="26" t="s">
        <v>11008</v>
      </c>
      <c r="O4784" s="22" t="str">
        <f>HYPERLINK("https://pbs.twimg.com/profile_images/859652877932822529/hRNUsI0W_normal.jpg","View")</f>
        <v>View</v>
      </c>
      <c r="P4784" s="27"/>
    </row>
    <row r="4785">
      <c r="A4785" s="14">
        <v>43031.301203703704</v>
      </c>
      <c r="B4785" s="20" t="str">
        <f>HYPERLINK("https://twitter.com/teerthraj_dash","@teerthraj_dash")</f>
        <v>@teerthraj_dash</v>
      </c>
      <c r="C4785" s="21" t="s">
        <v>11009</v>
      </c>
      <c r="D4785" s="21" t="s">
        <v>11010</v>
      </c>
      <c r="E4785" s="22" t="str">
        <f>HYPERLINK("https://twitter.com/teerthraj_dash/status/922466070736375810","922466070736375810")</f>
        <v>922466070736375810</v>
      </c>
      <c r="F4785" s="23" t="s">
        <v>48</v>
      </c>
      <c r="G4785" s="24">
        <v>94.0</v>
      </c>
      <c r="H4785" s="24">
        <v>65.0</v>
      </c>
      <c r="I4785" s="24">
        <v>0.0</v>
      </c>
      <c r="J4785" s="24">
        <v>0.0</v>
      </c>
      <c r="K4785" s="23" t="s">
        <v>34</v>
      </c>
      <c r="L4785" s="25">
        <v>42531.424837962964</v>
      </c>
      <c r="M4785" s="26" t="s">
        <v>11011</v>
      </c>
      <c r="N4785" s="26" t="s">
        <v>11012</v>
      </c>
      <c r="O4785" s="22" t="str">
        <f>HYPERLINK("https://pbs.twimg.com/profile_images/746005178483105792/PvuL6KEf_normal.jpg","View")</f>
        <v>View</v>
      </c>
      <c r="P4785" s="27"/>
    </row>
    <row r="4786">
      <c r="A4786" s="14">
        <v>43031.30122685185</v>
      </c>
      <c r="B4786" s="20" t="str">
        <f>HYPERLINK("https://twitter.com/RyanStandifer","@RyanStandifer")</f>
        <v>@RyanStandifer</v>
      </c>
      <c r="C4786" s="21" t="s">
        <v>11013</v>
      </c>
      <c r="D4786" s="21" t="s">
        <v>8665</v>
      </c>
      <c r="E4786" s="22" t="str">
        <f>HYPERLINK("https://twitter.com/RyanStandifer/status/922466078999003136","922466078999003136")</f>
        <v>922466078999003136</v>
      </c>
      <c r="F4786" s="23" t="s">
        <v>33</v>
      </c>
      <c r="G4786" s="24">
        <v>159.0</v>
      </c>
      <c r="H4786" s="24">
        <v>471.0</v>
      </c>
      <c r="I4786" s="24">
        <v>67.0</v>
      </c>
      <c r="J4786" s="24">
        <v>0.0</v>
      </c>
      <c r="K4786" s="23" t="s">
        <v>34</v>
      </c>
      <c r="L4786" s="25">
        <v>40868.746412037035</v>
      </c>
      <c r="M4786" s="26" t="s">
        <v>11014</v>
      </c>
      <c r="N4786" s="26" t="s">
        <v>11015</v>
      </c>
      <c r="O4786" s="22" t="str">
        <f>HYPERLINK("https://pbs.twimg.com/profile_images/875479954317856768/Vjv3Kn6c_normal.jpg","View")</f>
        <v>View</v>
      </c>
      <c r="P4786" s="27"/>
    </row>
    <row r="4787">
      <c r="A4787" s="14">
        <v>43031.301307870366</v>
      </c>
      <c r="B4787" s="20" t="str">
        <f>HYPERLINK("https://twitter.com/YOSIX_","@YOSIX_")</f>
        <v>@YOSIX_</v>
      </c>
      <c r="C4787" s="21" t="s">
        <v>11016</v>
      </c>
      <c r="D4787" s="21" t="s">
        <v>1642</v>
      </c>
      <c r="E4787" s="22" t="str">
        <f>HYPERLINK("https://twitter.com/YOSIX_/status/922466110502354944","922466110502354944")</f>
        <v>922466110502354944</v>
      </c>
      <c r="F4787" s="23" t="s">
        <v>39</v>
      </c>
      <c r="G4787" s="24">
        <v>960.0</v>
      </c>
      <c r="H4787" s="24">
        <v>908.0</v>
      </c>
      <c r="I4787" s="24">
        <v>199.0</v>
      </c>
      <c r="J4787" s="24">
        <v>0.0</v>
      </c>
      <c r="K4787" s="23" t="s">
        <v>34</v>
      </c>
      <c r="L4787" s="25">
        <v>40621.1124537037</v>
      </c>
      <c r="M4787" s="26" t="s">
        <v>11017</v>
      </c>
      <c r="N4787" s="26" t="s">
        <v>11018</v>
      </c>
      <c r="O4787" s="22" t="str">
        <f>HYPERLINK("https://pbs.twimg.com/profile_images/908005753151119360/kUOADOWF_normal.jpg","View")</f>
        <v>View</v>
      </c>
      <c r="P4787" s="27"/>
    </row>
    <row r="4788">
      <c r="A4788" s="14">
        <v>43031.30134259259</v>
      </c>
      <c r="B4788" s="20" t="str">
        <f>HYPERLINK("https://twitter.com/whidaiho","@whidaiho")</f>
        <v>@whidaiho</v>
      </c>
      <c r="C4788" s="21" t="s">
        <v>11019</v>
      </c>
      <c r="D4788" s="21" t="s">
        <v>126</v>
      </c>
      <c r="E4788" s="22" t="str">
        <f>HYPERLINK("https://twitter.com/whidaiho/status/922466121869008896","922466121869008896")</f>
        <v>922466121869008896</v>
      </c>
      <c r="F4788" s="23" t="s">
        <v>55</v>
      </c>
      <c r="G4788" s="24">
        <v>3722.0</v>
      </c>
      <c r="H4788" s="24">
        <v>4942.0</v>
      </c>
      <c r="I4788" s="24">
        <v>62.0</v>
      </c>
      <c r="J4788" s="24">
        <v>0.0</v>
      </c>
      <c r="K4788" s="23" t="s">
        <v>34</v>
      </c>
      <c r="L4788" s="25">
        <v>41543.24135416667</v>
      </c>
      <c r="M4788" s="26" t="s">
        <v>11020</v>
      </c>
      <c r="N4788" s="26" t="s">
        <v>11021</v>
      </c>
      <c r="O4788" s="22" t="str">
        <f>HYPERLINK("https://pbs.twimg.com/profile_images/378800000616241861/9677cf23fde39c22cd32d23af714d75b_normal.jpeg","View")</f>
        <v>View</v>
      </c>
      <c r="P4788" s="27"/>
    </row>
    <row r="4789">
      <c r="A4789" s="14">
        <v>43031.301678240736</v>
      </c>
      <c r="B4789" s="20" t="str">
        <f>HYPERLINK("https://twitter.com/margarettwitty6","@margarettwitty6")</f>
        <v>@margarettwitty6</v>
      </c>
      <c r="C4789" s="21" t="s">
        <v>11022</v>
      </c>
      <c r="D4789" s="21" t="s">
        <v>10614</v>
      </c>
      <c r="E4789" s="22" t="str">
        <f>HYPERLINK("https://twitter.com/margarettwitty6/status/922466243344560134","922466243344560134")</f>
        <v>922466243344560134</v>
      </c>
      <c r="F4789" s="23" t="s">
        <v>39</v>
      </c>
      <c r="G4789" s="24">
        <v>713.0</v>
      </c>
      <c r="H4789" s="24">
        <v>295.0</v>
      </c>
      <c r="I4789" s="24">
        <v>159.0</v>
      </c>
      <c r="J4789" s="24">
        <v>0.0</v>
      </c>
      <c r="K4789" s="23" t="s">
        <v>34</v>
      </c>
      <c r="L4789" s="25">
        <v>42057.71084490741</v>
      </c>
      <c r="M4789" s="26" t="s">
        <v>11023</v>
      </c>
      <c r="N4789" s="26" t="s">
        <v>11024</v>
      </c>
      <c r="O4789" s="22" t="str">
        <f>HYPERLINK("https://pbs.twimg.com/profile_images/919640503309742080/Bjv-SWGy_normal.jpg","View")</f>
        <v>View</v>
      </c>
      <c r="P4789" s="27"/>
    </row>
    <row r="4790">
      <c r="A4790" s="14">
        <v>43031.30179398148</v>
      </c>
      <c r="B4790" s="20" t="str">
        <f>HYPERLINK("https://twitter.com/wahyuhukama","@wahyuhukama")</f>
        <v>@wahyuhukama</v>
      </c>
      <c r="C4790" s="21" t="s">
        <v>11025</v>
      </c>
      <c r="D4790" s="21" t="s">
        <v>10614</v>
      </c>
      <c r="E4790" s="22" t="str">
        <f>HYPERLINK("https://twitter.com/wahyuhukama/status/922466283739799553","922466283739799553")</f>
        <v>922466283739799553</v>
      </c>
      <c r="F4790" s="23" t="s">
        <v>33</v>
      </c>
      <c r="G4790" s="24">
        <v>198.0</v>
      </c>
      <c r="H4790" s="24">
        <v>826.0</v>
      </c>
      <c r="I4790" s="24">
        <v>159.0</v>
      </c>
      <c r="J4790" s="24">
        <v>0.0</v>
      </c>
      <c r="K4790" s="23" t="s">
        <v>34</v>
      </c>
      <c r="L4790" s="25">
        <v>40019.02255787037</v>
      </c>
      <c r="M4790" s="26" t="s">
        <v>11026</v>
      </c>
      <c r="N4790" s="26" t="s">
        <v>11027</v>
      </c>
      <c r="O4790" s="22" t="str">
        <f>HYPERLINK("https://pbs.twimg.com/profile_images/686454686514167808/0Wl7kI9M_normal.jpg","View")</f>
        <v>View</v>
      </c>
      <c r="P4790" s="27"/>
    </row>
    <row r="4791">
      <c r="A4791" s="14">
        <v>43031.30208333333</v>
      </c>
      <c r="B4791" s="20" t="str">
        <f>HYPERLINK("https://twitter.com/AOchoggiah","@AOchoggiah")</f>
        <v>@AOchoggiah</v>
      </c>
      <c r="C4791" s="21" t="s">
        <v>11028</v>
      </c>
      <c r="D4791" s="21" t="s">
        <v>7106</v>
      </c>
      <c r="E4791" s="22" t="str">
        <f>HYPERLINK("https://twitter.com/AOchoggiah/status/922466390728232965","922466390728232965")</f>
        <v>922466390728232965</v>
      </c>
      <c r="F4791" s="23" t="s">
        <v>33</v>
      </c>
      <c r="G4791" s="24">
        <v>54.0</v>
      </c>
      <c r="H4791" s="24">
        <v>472.0</v>
      </c>
      <c r="I4791" s="24">
        <v>16.0</v>
      </c>
      <c r="J4791" s="24">
        <v>0.0</v>
      </c>
      <c r="K4791" s="23" t="s">
        <v>34</v>
      </c>
      <c r="L4791" s="25">
        <v>42881.70946759259</v>
      </c>
      <c r="M4791" s="26" t="s">
        <v>11029</v>
      </c>
      <c r="N4791" s="26" t="s">
        <v>11030</v>
      </c>
      <c r="O4791" s="22" t="str">
        <f>HYPERLINK("https://pbs.twimg.com/profile_images/885400030051536897/_ChPMu5z_normal.jpg","View")</f>
        <v>View</v>
      </c>
      <c r="P4791" s="27"/>
    </row>
    <row r="4792">
      <c r="A4792" s="14">
        <v>43031.30212962963</v>
      </c>
      <c r="B4792" s="20" t="str">
        <f>HYPERLINK("https://twitter.com/shubham61201946","@shubham61201946")</f>
        <v>@shubham61201946</v>
      </c>
      <c r="C4792" s="21" t="s">
        <v>11031</v>
      </c>
      <c r="D4792" s="21" t="s">
        <v>42</v>
      </c>
      <c r="E4792" s="22" t="str">
        <f>HYPERLINK("https://twitter.com/shubham61201946/status/922466406599344128","922466406599344128")</f>
        <v>922466406599344128</v>
      </c>
      <c r="F4792" s="23" t="s">
        <v>33</v>
      </c>
      <c r="G4792" s="24">
        <v>27.0</v>
      </c>
      <c r="H4792" s="24">
        <v>187.0</v>
      </c>
      <c r="I4792" s="24">
        <v>8501.0</v>
      </c>
      <c r="J4792" s="24">
        <v>0.0</v>
      </c>
      <c r="K4792" s="23" t="s">
        <v>34</v>
      </c>
      <c r="L4792" s="25">
        <v>42049.9534375</v>
      </c>
      <c r="M4792" s="26" t="s">
        <v>1545</v>
      </c>
      <c r="N4792" s="26" t="s">
        <v>11032</v>
      </c>
      <c r="O4792" s="22" t="str">
        <f>HYPERLINK("https://pbs.twimg.com/profile_images/921780323553222656/39aCoP9y_normal.jpg","View")</f>
        <v>View</v>
      </c>
      <c r="P4792" s="27"/>
    </row>
    <row r="4793">
      <c r="A4793" s="14">
        <v>43031.302152777775</v>
      </c>
      <c r="B4793" s="20" t="str">
        <f>HYPERLINK("https://twitter.com/misraumakant","@misraumakant")</f>
        <v>@misraumakant</v>
      </c>
      <c r="C4793" s="21" t="s">
        <v>11033</v>
      </c>
      <c r="D4793" s="21" t="s">
        <v>42</v>
      </c>
      <c r="E4793" s="22" t="str">
        <f>HYPERLINK("https://twitter.com/misraumakant/status/922466415700885504","922466415700885504")</f>
        <v>922466415700885504</v>
      </c>
      <c r="F4793" s="23" t="s">
        <v>55</v>
      </c>
      <c r="G4793" s="24">
        <v>1962.0</v>
      </c>
      <c r="H4793" s="24">
        <v>1230.0</v>
      </c>
      <c r="I4793" s="24">
        <v>8501.0</v>
      </c>
      <c r="J4793" s="24">
        <v>0.0</v>
      </c>
      <c r="K4793" s="23" t="s">
        <v>34</v>
      </c>
      <c r="L4793" s="25">
        <v>40398.09465277778</v>
      </c>
      <c r="M4793" s="26" t="s">
        <v>11034</v>
      </c>
      <c r="N4793" s="26" t="s">
        <v>11035</v>
      </c>
      <c r="O4793" s="22" t="str">
        <f>HYPERLINK("https://pbs.twimg.com/profile_images/898905736855433216/EMN6QdEc_normal.jpg","View")</f>
        <v>View</v>
      </c>
      <c r="P4793" s="27"/>
    </row>
    <row r="4794">
      <c r="A4794" s="14">
        <v>43031.30216435185</v>
      </c>
      <c r="B4794" s="20" t="str">
        <f>HYPERLINK("https://twitter.com/tfinanciera","@tfinanciera")</f>
        <v>@tfinanciera</v>
      </c>
      <c r="C4794" s="21" t="s">
        <v>11036</v>
      </c>
      <c r="D4794" s="21" t="s">
        <v>11037</v>
      </c>
      <c r="E4794" s="22" t="str">
        <f>HYPERLINK("https://twitter.com/tfinanciera/status/922466420449075200","922466420449075200")</f>
        <v>922466420449075200</v>
      </c>
      <c r="F4794" s="23" t="s">
        <v>427</v>
      </c>
      <c r="G4794" s="24">
        <v>10619.0</v>
      </c>
      <c r="H4794" s="24">
        <v>4556.0</v>
      </c>
      <c r="I4794" s="24">
        <v>0.0</v>
      </c>
      <c r="J4794" s="24">
        <v>0.0</v>
      </c>
      <c r="K4794" s="23" t="s">
        <v>34</v>
      </c>
      <c r="L4794" s="25">
        <v>40942.36986111111</v>
      </c>
      <c r="M4794" s="26" t="s">
        <v>11038</v>
      </c>
      <c r="N4794" s="26" t="s">
        <v>11039</v>
      </c>
      <c r="O4794" s="22" t="str">
        <f>HYPERLINK("https://pbs.twimg.com/profile_images/2448752666/ui6hjt6zsmllgahqzvri_normal.jpeg","View")</f>
        <v>View</v>
      </c>
      <c r="P4794" s="27"/>
    </row>
    <row r="4795">
      <c r="A4795" s="14">
        <v>43031.3022800926</v>
      </c>
      <c r="B4795" s="20" t="str">
        <f>HYPERLINK("https://twitter.com/Varmastweet","@Varmastweet")</f>
        <v>@Varmastweet</v>
      </c>
      <c r="C4795" s="21" t="s">
        <v>11040</v>
      </c>
      <c r="D4795" s="21" t="s">
        <v>163</v>
      </c>
      <c r="E4795" s="22" t="str">
        <f>HYPERLINK("https://twitter.com/Varmastweet/status/922466462194843653","922466462194843653")</f>
        <v>922466462194843653</v>
      </c>
      <c r="F4795" s="23" t="s">
        <v>33</v>
      </c>
      <c r="G4795" s="24">
        <v>476.0</v>
      </c>
      <c r="H4795" s="24">
        <v>830.0</v>
      </c>
      <c r="I4795" s="24">
        <v>1005.0</v>
      </c>
      <c r="J4795" s="24">
        <v>0.0</v>
      </c>
      <c r="K4795" s="23" t="s">
        <v>34</v>
      </c>
      <c r="L4795" s="25">
        <v>41378.252962962964</v>
      </c>
      <c r="M4795" s="26" t="s">
        <v>11041</v>
      </c>
      <c r="N4795" s="26" t="s">
        <v>11042</v>
      </c>
      <c r="O4795" s="22" t="str">
        <f>HYPERLINK("https://pbs.twimg.com/profile_images/582042318431080448/Yc2g9ELk_normal.jpg","View")</f>
        <v>View</v>
      </c>
      <c r="P4795" s="27"/>
    </row>
    <row r="4796">
      <c r="A4796" s="14">
        <v>43031.30229166667</v>
      </c>
      <c r="B4796" s="20" t="str">
        <f>HYPERLINK("https://twitter.com/themainichi","@themainichi")</f>
        <v>@themainichi</v>
      </c>
      <c r="C4796" s="21" t="s">
        <v>11043</v>
      </c>
      <c r="D4796" s="21" t="s">
        <v>11044</v>
      </c>
      <c r="E4796" s="22" t="str">
        <f>HYPERLINK("https://twitter.com/themainichi/status/922466465688834049","922466465688834049")</f>
        <v>922466465688834049</v>
      </c>
      <c r="F4796" s="23" t="s">
        <v>427</v>
      </c>
      <c r="G4796" s="24">
        <v>31562.0</v>
      </c>
      <c r="H4796" s="24">
        <v>198.0</v>
      </c>
      <c r="I4796" s="24">
        <v>2.0</v>
      </c>
      <c r="J4796" s="24">
        <v>1.0</v>
      </c>
      <c r="K4796" s="23" t="s">
        <v>34</v>
      </c>
      <c r="L4796" s="25">
        <v>39965.05366898148</v>
      </c>
      <c r="M4796" s="26" t="s">
        <v>853</v>
      </c>
      <c r="N4796" s="26" t="s">
        <v>11045</v>
      </c>
      <c r="O4796" s="22" t="str">
        <f>HYPERLINK("https://pbs.twimg.com/profile_images/876619175149555712/Mr142dNU_normal.jpg","View")</f>
        <v>View</v>
      </c>
      <c r="P4796" s="27"/>
    </row>
    <row r="4797">
      <c r="A4797" s="14">
        <v>43031.30233796296</v>
      </c>
      <c r="B4797" s="20" t="str">
        <f>HYPERLINK("https://twitter.com/dubvNOW","@dubvNOW")</f>
        <v>@dubvNOW</v>
      </c>
      <c r="C4797" s="21" t="s">
        <v>9603</v>
      </c>
      <c r="D4797" s="21" t="s">
        <v>11046</v>
      </c>
      <c r="E4797" s="22" t="str">
        <f>HYPERLINK("https://twitter.com/dubvNOW/status/922466482705063936","922466482705063936")</f>
        <v>922466482705063936</v>
      </c>
      <c r="F4797" s="23" t="s">
        <v>427</v>
      </c>
      <c r="G4797" s="24">
        <v>12077.0</v>
      </c>
      <c r="H4797" s="24">
        <v>13293.0</v>
      </c>
      <c r="I4797" s="24">
        <v>0.0</v>
      </c>
      <c r="J4797" s="24">
        <v>0.0</v>
      </c>
      <c r="K4797" s="23" t="s">
        <v>34</v>
      </c>
      <c r="L4797" s="25">
        <v>40986.75157407408</v>
      </c>
      <c r="M4797" s="26" t="s">
        <v>9605</v>
      </c>
      <c r="N4797" s="26" t="s">
        <v>9606</v>
      </c>
      <c r="O4797" s="22" t="str">
        <f>HYPERLINK("https://pbs.twimg.com/profile_images/2513196551/fs87b97sd7vcve4wrv50_normal.jpeg","View")</f>
        <v>View</v>
      </c>
      <c r="P4797" s="27"/>
    </row>
    <row r="4798">
      <c r="A4798" s="14">
        <v>43031.30246527778</v>
      </c>
      <c r="B4798" s="20" t="str">
        <f>HYPERLINK("https://twitter.com/Arjunseshadri1","@Arjunseshadri1")</f>
        <v>@Arjunseshadri1</v>
      </c>
      <c r="C4798" s="21" t="s">
        <v>11047</v>
      </c>
      <c r="D4798" s="21" t="s">
        <v>42</v>
      </c>
      <c r="E4798" s="22" t="str">
        <f>HYPERLINK("https://twitter.com/Arjunseshadri1/status/922466527772676096","922466527772676096")</f>
        <v>922466527772676096</v>
      </c>
      <c r="F4798" s="23" t="s">
        <v>33</v>
      </c>
      <c r="G4798" s="24">
        <v>37.0</v>
      </c>
      <c r="H4798" s="24">
        <v>52.0</v>
      </c>
      <c r="I4798" s="24">
        <v>8501.0</v>
      </c>
      <c r="J4798" s="24">
        <v>0.0</v>
      </c>
      <c r="K4798" s="23" t="s">
        <v>34</v>
      </c>
      <c r="L4798" s="25">
        <v>42365.823425925926</v>
      </c>
      <c r="M4798" s="26" t="s">
        <v>56</v>
      </c>
      <c r="N4798" s="26" t="s">
        <v>11048</v>
      </c>
      <c r="O4798" s="22" t="str">
        <f>HYPERLINK("https://pbs.twimg.com/profile_images/707609970833907712/PsGwLrtb_normal.jpg","View")</f>
        <v>View</v>
      </c>
      <c r="P4798" s="27"/>
    </row>
    <row r="4799">
      <c r="A4799" s="14">
        <v>43031.30259259259</v>
      </c>
      <c r="B4799" s="20" t="str">
        <f>HYPERLINK("https://twitter.com/lakshmi62859980","@lakshmi62859980")</f>
        <v>@lakshmi62859980</v>
      </c>
      <c r="C4799" s="21" t="s">
        <v>11049</v>
      </c>
      <c r="D4799" s="21" t="s">
        <v>11050</v>
      </c>
      <c r="E4799" s="22" t="str">
        <f>HYPERLINK("https://twitter.com/lakshmi62859980/status/922466574073606144","922466574073606144")</f>
        <v>922466574073606144</v>
      </c>
      <c r="F4799" s="23" t="s">
        <v>39</v>
      </c>
      <c r="G4799" s="24">
        <v>1.0</v>
      </c>
      <c r="H4799" s="24">
        <v>1.0</v>
      </c>
      <c r="I4799" s="24">
        <v>69.0</v>
      </c>
      <c r="J4799" s="24">
        <v>0.0</v>
      </c>
      <c r="K4799" s="23" t="s">
        <v>34</v>
      </c>
      <c r="L4799" s="25">
        <v>43024.26275462963</v>
      </c>
      <c r="M4799" s="28"/>
      <c r="N4799" s="28"/>
      <c r="O4799" s="22" t="str">
        <f>HYPERLINK("https://abs.twimg.com/sticky/default_profile_images/default_profile_normal.png","View")</f>
        <v>View</v>
      </c>
      <c r="P4799" s="27"/>
    </row>
    <row r="4800">
      <c r="A4800" s="14">
        <v>43031.30262731481</v>
      </c>
      <c r="B4800" s="20" t="str">
        <f>HYPERLINK("https://twitter.com/Libreinfo","@Libreinfo")</f>
        <v>@Libreinfo</v>
      </c>
      <c r="C4800" s="21" t="s">
        <v>648</v>
      </c>
      <c r="D4800" s="21" t="s">
        <v>11051</v>
      </c>
      <c r="E4800" s="22" t="str">
        <f>HYPERLINK("https://twitter.com/Libreinfo/status/922466587654758400","922466587654758400")</f>
        <v>922466587654758400</v>
      </c>
      <c r="F4800" s="23" t="s">
        <v>650</v>
      </c>
      <c r="G4800" s="24">
        <v>1717.0</v>
      </c>
      <c r="H4800" s="24">
        <v>1129.0</v>
      </c>
      <c r="I4800" s="24">
        <v>0.0</v>
      </c>
      <c r="J4800" s="24">
        <v>0.0</v>
      </c>
      <c r="K4800" s="23" t="s">
        <v>34</v>
      </c>
      <c r="L4800" s="25">
        <v>40679.84496527778</v>
      </c>
      <c r="M4800" s="26" t="s">
        <v>651</v>
      </c>
      <c r="N4800" s="26" t="s">
        <v>652</v>
      </c>
      <c r="O4800" s="22" t="str">
        <f>HYPERLINK("https://pbs.twimg.com/profile_images/454648246795661312/qjcuabqX_normal.png","View")</f>
        <v>View</v>
      </c>
      <c r="P4800" s="27"/>
    </row>
    <row r="4801">
      <c r="A4801" s="14">
        <v>43031.302673611106</v>
      </c>
      <c r="B4801" s="20" t="str">
        <f>HYPERLINK("https://twitter.com/keny9","@keny9")</f>
        <v>@keny9</v>
      </c>
      <c r="C4801" s="21" t="s">
        <v>11052</v>
      </c>
      <c r="D4801" s="21" t="s">
        <v>42</v>
      </c>
      <c r="E4801" s="22" t="str">
        <f>HYPERLINK("https://twitter.com/keny9/status/922466602611699713","922466602611699713")</f>
        <v>922466602611699713</v>
      </c>
      <c r="F4801" s="23" t="s">
        <v>39</v>
      </c>
      <c r="G4801" s="24">
        <v>609.0</v>
      </c>
      <c r="H4801" s="24">
        <v>81.0</v>
      </c>
      <c r="I4801" s="24">
        <v>8501.0</v>
      </c>
      <c r="J4801" s="24">
        <v>0.0</v>
      </c>
      <c r="K4801" s="23" t="s">
        <v>34</v>
      </c>
      <c r="L4801" s="25">
        <v>40207.37054398148</v>
      </c>
      <c r="M4801" s="26" t="s">
        <v>371</v>
      </c>
      <c r="N4801" s="26" t="s">
        <v>11053</v>
      </c>
      <c r="O4801" s="22" t="str">
        <f>HYPERLINK("https://pbs.twimg.com/profile_images/911981642163511296/bDZisEZm_normal.jpg","View")</f>
        <v>View</v>
      </c>
      <c r="P4801" s="27"/>
    </row>
    <row r="4802">
      <c r="A4802" s="14">
        <v>43031.30269675926</v>
      </c>
      <c r="B4802" s="20" t="str">
        <f>HYPERLINK("https://twitter.com/Pharaoh_Status","@Pharaoh_Status")</f>
        <v>@Pharaoh_Status</v>
      </c>
      <c r="C4802" s="21" t="s">
        <v>11054</v>
      </c>
      <c r="D4802" s="21" t="s">
        <v>5309</v>
      </c>
      <c r="E4802" s="22" t="str">
        <f>HYPERLINK("https://twitter.com/Pharaoh_Status/status/922466611067359232","922466611067359232")</f>
        <v>922466611067359232</v>
      </c>
      <c r="F4802" s="23" t="s">
        <v>33</v>
      </c>
      <c r="G4802" s="24">
        <v>634.0</v>
      </c>
      <c r="H4802" s="24">
        <v>625.0</v>
      </c>
      <c r="I4802" s="24">
        <v>22.0</v>
      </c>
      <c r="J4802" s="24">
        <v>0.0</v>
      </c>
      <c r="K4802" s="23" t="s">
        <v>34</v>
      </c>
      <c r="L4802" s="25">
        <v>40814.82383101852</v>
      </c>
      <c r="M4802" s="28"/>
      <c r="N4802" s="26" t="s">
        <v>11055</v>
      </c>
      <c r="O4802" s="22" t="str">
        <f>HYPERLINK("https://pbs.twimg.com/profile_images/922730149476315136/LQLCAKm-_normal.jpg","View")</f>
        <v>View</v>
      </c>
      <c r="P4802" s="27"/>
    </row>
    <row r="4803">
      <c r="A4803" s="14">
        <v>43031.30270833333</v>
      </c>
      <c r="B4803" s="20" t="str">
        <f>HYPERLINK("https://twitter.com/PHINewsNet1","@PHINewsNet1")</f>
        <v>@PHINewsNet1</v>
      </c>
      <c r="C4803" s="21" t="s">
        <v>4461</v>
      </c>
      <c r="D4803" s="21" t="s">
        <v>11056</v>
      </c>
      <c r="E4803" s="22" t="str">
        <f>HYPERLINK("https://twitter.com/PHINewsNet1/status/922466614695436289","922466614695436289")</f>
        <v>922466614695436289</v>
      </c>
      <c r="F4803" s="23" t="s">
        <v>769</v>
      </c>
      <c r="G4803" s="24">
        <v>235.0</v>
      </c>
      <c r="H4803" s="24">
        <v>931.0</v>
      </c>
      <c r="I4803" s="24">
        <v>0.0</v>
      </c>
      <c r="J4803" s="24">
        <v>0.0</v>
      </c>
      <c r="K4803" s="23" t="s">
        <v>34</v>
      </c>
      <c r="L4803" s="25">
        <v>42795.909050925926</v>
      </c>
      <c r="M4803" s="26" t="s">
        <v>10889</v>
      </c>
      <c r="N4803" s="26" t="s">
        <v>10890</v>
      </c>
      <c r="O4803" s="22" t="str">
        <f>HYPERLINK("https://pbs.twimg.com/profile_images/901642279214972929/3tOsMEGw_normal.jpg","View")</f>
        <v>View</v>
      </c>
      <c r="P4803" s="27"/>
    </row>
    <row r="4804">
      <c r="A4804" s="14">
        <v>43031.30270833333</v>
      </c>
      <c r="B4804" s="20" t="str">
        <f>HYPERLINK("https://twitter.com/PHINewsNet2","@PHINewsNet2")</f>
        <v>@PHINewsNet2</v>
      </c>
      <c r="C4804" s="21" t="s">
        <v>4461</v>
      </c>
      <c r="D4804" s="21" t="s">
        <v>11057</v>
      </c>
      <c r="E4804" s="22" t="str">
        <f>HYPERLINK("https://twitter.com/PHINewsNet2/status/922466614758424576","922466614758424576")</f>
        <v>922466614758424576</v>
      </c>
      <c r="F4804" s="23" t="s">
        <v>769</v>
      </c>
      <c r="G4804" s="24">
        <v>182.0</v>
      </c>
      <c r="H4804" s="24">
        <v>140.0</v>
      </c>
      <c r="I4804" s="24">
        <v>0.0</v>
      </c>
      <c r="J4804" s="24">
        <v>0.0</v>
      </c>
      <c r="K4804" s="23" t="s">
        <v>34</v>
      </c>
      <c r="L4804" s="25">
        <v>42876.17359953704</v>
      </c>
      <c r="M4804" s="26" t="s">
        <v>3327</v>
      </c>
      <c r="N4804" s="26" t="s">
        <v>4463</v>
      </c>
      <c r="O4804" s="22" t="str">
        <f>HYPERLINK("https://pbs.twimg.com/profile_images/901646404447158272/6-pa6bGC_normal.jpg","View")</f>
        <v>View</v>
      </c>
      <c r="P4804" s="27"/>
    </row>
    <row r="4805">
      <c r="A4805" s="14">
        <v>43031.30292824074</v>
      </c>
      <c r="B4805" s="20" t="str">
        <f>HYPERLINK("https://twitter.com/jaiyeorienews","@jaiyeorienews")</f>
        <v>@jaiyeorienews</v>
      </c>
      <c r="C4805" s="21" t="s">
        <v>10828</v>
      </c>
      <c r="D4805" s="21" t="s">
        <v>11058</v>
      </c>
      <c r="E4805" s="22" t="str">
        <f>HYPERLINK("https://twitter.com/jaiyeorienews/status/922466695993839617","922466695993839617")</f>
        <v>922466695993839617</v>
      </c>
      <c r="F4805" s="23" t="s">
        <v>91</v>
      </c>
      <c r="G4805" s="24">
        <v>2277.0</v>
      </c>
      <c r="H4805" s="24">
        <v>2333.0</v>
      </c>
      <c r="I4805" s="24">
        <v>0.0</v>
      </c>
      <c r="J4805" s="24">
        <v>0.0</v>
      </c>
      <c r="K4805" s="23" t="s">
        <v>34</v>
      </c>
      <c r="L4805" s="25">
        <v>41954.027916666666</v>
      </c>
      <c r="M4805" s="26" t="s">
        <v>4424</v>
      </c>
      <c r="N4805" s="26" t="s">
        <v>10830</v>
      </c>
      <c r="O4805" s="22" t="str">
        <f>HYPERLINK("https://pbs.twimg.com/profile_images/898224175642533889/CNzgHuAT_normal.jpg","View")</f>
        <v>View</v>
      </c>
      <c r="P4805" s="27"/>
    </row>
    <row r="4806">
      <c r="A4806" s="14">
        <v>43031.302939814814</v>
      </c>
      <c r="B4806" s="20" t="str">
        <f>HYPERLINK("https://twitter.com/ANTONIACUE","@ANTONIACUE")</f>
        <v>@ANTONIACUE</v>
      </c>
      <c r="C4806" s="21" t="s">
        <v>11059</v>
      </c>
      <c r="D4806" s="21" t="s">
        <v>10614</v>
      </c>
      <c r="E4806" s="22" t="str">
        <f>HYPERLINK("https://twitter.com/ANTONIACUE/status/922466700288843776","922466700288843776")</f>
        <v>922466700288843776</v>
      </c>
      <c r="F4806" s="23" t="s">
        <v>230</v>
      </c>
      <c r="G4806" s="24">
        <v>1756.0</v>
      </c>
      <c r="H4806" s="24">
        <v>1705.0</v>
      </c>
      <c r="I4806" s="24">
        <v>159.0</v>
      </c>
      <c r="J4806" s="24">
        <v>0.0</v>
      </c>
      <c r="K4806" s="23" t="s">
        <v>34</v>
      </c>
      <c r="L4806" s="25">
        <v>41203.06407407408</v>
      </c>
      <c r="M4806" s="26" t="s">
        <v>11060</v>
      </c>
      <c r="N4806" s="26" t="s">
        <v>11061</v>
      </c>
      <c r="O4806" s="22" t="str">
        <f>HYPERLINK("https://pbs.twimg.com/profile_images/743197828768464896/gHmZw8lZ_normal.jpg","View")</f>
        <v>View</v>
      </c>
      <c r="P4806" s="27"/>
    </row>
    <row r="4807">
      <c r="A4807" s="14">
        <v>43031.30297453704</v>
      </c>
      <c r="B4807" s="20" t="str">
        <f>HYPERLINK("https://twitter.com/lakshmi62859980","@lakshmi62859980")</f>
        <v>@lakshmi62859980</v>
      </c>
      <c r="C4807" s="21" t="s">
        <v>11049</v>
      </c>
      <c r="D4807" s="21" t="s">
        <v>5786</v>
      </c>
      <c r="E4807" s="22" t="str">
        <f>HYPERLINK("https://twitter.com/lakshmi62859980/status/922466712871505926","922466712871505926")</f>
        <v>922466712871505926</v>
      </c>
      <c r="F4807" s="23" t="s">
        <v>39</v>
      </c>
      <c r="G4807" s="24">
        <v>1.0</v>
      </c>
      <c r="H4807" s="24">
        <v>1.0</v>
      </c>
      <c r="I4807" s="24">
        <v>59.0</v>
      </c>
      <c r="J4807" s="24">
        <v>0.0</v>
      </c>
      <c r="K4807" s="23" t="s">
        <v>34</v>
      </c>
      <c r="L4807" s="25">
        <v>43024.26275462963</v>
      </c>
      <c r="M4807" s="28"/>
      <c r="N4807" s="28"/>
      <c r="O4807" s="22" t="str">
        <f>HYPERLINK("https://abs.twimg.com/sticky/default_profile_images/default_profile_normal.png","View")</f>
        <v>View</v>
      </c>
      <c r="P4807" s="27"/>
    </row>
    <row r="4808">
      <c r="A4808" s="14">
        <v>43031.30306712963</v>
      </c>
      <c r="B4808" s="20" t="str">
        <f>HYPERLINK("https://twitter.com/mit_obe","@mit_obe")</f>
        <v>@mit_obe</v>
      </c>
      <c r="C4808" s="21" t="s">
        <v>10397</v>
      </c>
      <c r="D4808" s="21" t="s">
        <v>11062</v>
      </c>
      <c r="E4808" s="22" t="str">
        <f>HYPERLINK("https://twitter.com/mit_obe/status/922466747784904704","922466747784904704")</f>
        <v>922466747784904704</v>
      </c>
      <c r="F4808" s="23" t="s">
        <v>55</v>
      </c>
      <c r="G4808" s="24">
        <v>1494.0</v>
      </c>
      <c r="H4808" s="24">
        <v>299.0</v>
      </c>
      <c r="I4808" s="24">
        <v>1.0</v>
      </c>
      <c r="J4808" s="24">
        <v>3.0</v>
      </c>
      <c r="K4808" s="23" t="s">
        <v>34</v>
      </c>
      <c r="L4808" s="25">
        <v>41472.72362268518</v>
      </c>
      <c r="M4808" s="26" t="s">
        <v>3693</v>
      </c>
      <c r="N4808" s="26" t="s">
        <v>10399</v>
      </c>
      <c r="O4808" s="22" t="str">
        <f>HYPERLINK("https://pbs.twimg.com/profile_images/912457089007575041/iunAue57_normal.jpg","View")</f>
        <v>View</v>
      </c>
      <c r="P4808" s="27"/>
    </row>
    <row r="4809">
      <c r="A4809" s="14">
        <v>43031.30309027778</v>
      </c>
      <c r="B4809" s="20" t="str">
        <f>HYPERLINK("https://twitter.com/studio7ram","@studio7ram")</f>
        <v>@studio7ram</v>
      </c>
      <c r="C4809" s="21" t="s">
        <v>11063</v>
      </c>
      <c r="D4809" s="21" t="s">
        <v>42</v>
      </c>
      <c r="E4809" s="22" t="str">
        <f>HYPERLINK("https://twitter.com/studio7ram/status/922466756299337729","922466756299337729")</f>
        <v>922466756299337729</v>
      </c>
      <c r="F4809" s="23" t="s">
        <v>39</v>
      </c>
      <c r="G4809" s="24">
        <v>131.0</v>
      </c>
      <c r="H4809" s="24">
        <v>252.0</v>
      </c>
      <c r="I4809" s="24">
        <v>8501.0</v>
      </c>
      <c r="J4809" s="24">
        <v>0.0</v>
      </c>
      <c r="K4809" s="23" t="s">
        <v>34</v>
      </c>
      <c r="L4809" s="25">
        <v>41686.72267361111</v>
      </c>
      <c r="M4809" s="28"/>
      <c r="N4809" s="26" t="s">
        <v>11064</v>
      </c>
      <c r="O4809" s="22" t="str">
        <f>HYPERLINK("https://pbs.twimg.com/profile_images/920943664938885120/6jDkh53r_normal.jpg","View")</f>
        <v>View</v>
      </c>
      <c r="P4809" s="27"/>
    </row>
    <row r="4810">
      <c r="A4810" s="14">
        <v>43031.303252314814</v>
      </c>
      <c r="B4810" s="20" t="str">
        <f>HYPERLINK("https://twitter.com/jigu106","@jigu106")</f>
        <v>@jigu106</v>
      </c>
      <c r="C4810" s="21" t="s">
        <v>11065</v>
      </c>
      <c r="D4810" s="21" t="s">
        <v>42</v>
      </c>
      <c r="E4810" s="22" t="str">
        <f>HYPERLINK("https://twitter.com/jigu106/status/922466812570361861","922466812570361861")</f>
        <v>922466812570361861</v>
      </c>
      <c r="F4810" s="23" t="s">
        <v>39</v>
      </c>
      <c r="G4810" s="24">
        <v>158.0</v>
      </c>
      <c r="H4810" s="24">
        <v>319.0</v>
      </c>
      <c r="I4810" s="24">
        <v>8501.0</v>
      </c>
      <c r="J4810" s="24">
        <v>0.0</v>
      </c>
      <c r="K4810" s="23" t="s">
        <v>34</v>
      </c>
      <c r="L4810" s="25">
        <v>40047.943865740745</v>
      </c>
      <c r="M4810" s="28"/>
      <c r="N4810" s="28"/>
      <c r="O4810" s="22" t="str">
        <f>HYPERLINK("https://pbs.twimg.com/profile_images/378800000149408544/63708c2716e1a8abc4501109b262a7be_normal.jpeg","View")</f>
        <v>View</v>
      </c>
      <c r="P4810" s="27"/>
    </row>
    <row r="4811">
      <c r="A4811" s="14">
        <v>43031.303252314814</v>
      </c>
      <c r="B4811" s="20" t="str">
        <f>HYPERLINK("https://twitter.com/AREA_CONSULTING","@AREA_CONSULTING")</f>
        <v>@AREA_CONSULTING</v>
      </c>
      <c r="C4811" s="21" t="s">
        <v>11066</v>
      </c>
      <c r="D4811" s="21" t="s">
        <v>10614</v>
      </c>
      <c r="E4811" s="22" t="str">
        <f>HYPERLINK("https://twitter.com/AREA_CONSULTING/status/922466812847157249","922466812847157249")</f>
        <v>922466812847157249</v>
      </c>
      <c r="F4811" s="23" t="s">
        <v>39</v>
      </c>
      <c r="G4811" s="24">
        <v>17.0</v>
      </c>
      <c r="H4811" s="24">
        <v>65.0</v>
      </c>
      <c r="I4811" s="24">
        <v>159.0</v>
      </c>
      <c r="J4811" s="24">
        <v>0.0</v>
      </c>
      <c r="K4811" s="23" t="s">
        <v>34</v>
      </c>
      <c r="L4811" s="25">
        <v>41992.5720949074</v>
      </c>
      <c r="M4811" s="26" t="s">
        <v>11067</v>
      </c>
      <c r="N4811" s="26" t="s">
        <v>11068</v>
      </c>
      <c r="O4811" s="22" t="str">
        <f>HYPERLINK("https://pbs.twimg.com/profile_images/546059246735859712/i9K7TWQu_normal.jpeg","View")</f>
        <v>View</v>
      </c>
      <c r="P4811" s="27"/>
    </row>
    <row r="4812">
      <c r="A4812" s="14">
        <v>43031.30334490741</v>
      </c>
      <c r="B4812" s="20" t="str">
        <f>HYPERLINK("https://twitter.com/MoniqueCook20","@MoniqueCook20")</f>
        <v>@MoniqueCook20</v>
      </c>
      <c r="C4812" s="21" t="s">
        <v>11069</v>
      </c>
      <c r="D4812" s="21" t="s">
        <v>825</v>
      </c>
      <c r="E4812" s="22" t="str">
        <f>HYPERLINK("https://twitter.com/MoniqueCook20/status/922466844673536000","922466844673536000")</f>
        <v>922466844673536000</v>
      </c>
      <c r="F4812" s="23" t="s">
        <v>33</v>
      </c>
      <c r="G4812" s="24">
        <v>2168.0</v>
      </c>
      <c r="H4812" s="24">
        <v>896.0</v>
      </c>
      <c r="I4812" s="24">
        <v>109.0</v>
      </c>
      <c r="J4812" s="24">
        <v>0.0</v>
      </c>
      <c r="K4812" s="23" t="s">
        <v>34</v>
      </c>
      <c r="L4812" s="25">
        <v>42396.70732638889</v>
      </c>
      <c r="M4812" s="26" t="s">
        <v>8073</v>
      </c>
      <c r="N4812" s="26" t="s">
        <v>11070</v>
      </c>
      <c r="O4812" s="22" t="str">
        <f>HYPERLINK("https://pbs.twimg.com/profile_images/883531379627241472/K_HleaGy_normal.jpg","View")</f>
        <v>View</v>
      </c>
      <c r="P4812" s="27"/>
    </row>
    <row r="4813">
      <c r="A4813" s="14">
        <v>43031.30341435185</v>
      </c>
      <c r="B4813" s="20" t="str">
        <f>HYPERLINK("https://twitter.com/icasDC","@icasDC")</f>
        <v>@icasDC</v>
      </c>
      <c r="C4813" s="21" t="s">
        <v>11071</v>
      </c>
      <c r="D4813" s="21" t="s">
        <v>9481</v>
      </c>
      <c r="E4813" s="22" t="str">
        <f>HYPERLINK("https://twitter.com/icasDC/status/922466872808919041","922466872808919041")</f>
        <v>922466872808919041</v>
      </c>
      <c r="F4813" s="23" t="s">
        <v>427</v>
      </c>
      <c r="G4813" s="24">
        <v>820.0</v>
      </c>
      <c r="H4813" s="24">
        <v>484.0</v>
      </c>
      <c r="I4813" s="24">
        <v>4.0</v>
      </c>
      <c r="J4813" s="24">
        <v>0.0</v>
      </c>
      <c r="K4813" s="23" t="s">
        <v>34</v>
      </c>
      <c r="L4813" s="25">
        <v>42251.465567129635</v>
      </c>
      <c r="M4813" s="26" t="s">
        <v>4239</v>
      </c>
      <c r="N4813" s="26" t="s">
        <v>11072</v>
      </c>
      <c r="O4813" s="22" t="str">
        <f>HYPERLINK("https://pbs.twimg.com/profile_images/699967372489158656/brRjVFDX_normal.png","View")</f>
        <v>View</v>
      </c>
      <c r="P4813" s="27"/>
    </row>
    <row r="4814">
      <c r="A4814" s="14">
        <v>43031.303506944445</v>
      </c>
      <c r="B4814" s="20" t="str">
        <f>HYPERLINK("https://twitter.com/lepak4ever","@lepak4ever")</f>
        <v>@lepak4ever</v>
      </c>
      <c r="C4814" s="21" t="s">
        <v>11073</v>
      </c>
      <c r="D4814" s="21" t="s">
        <v>10370</v>
      </c>
      <c r="E4814" s="22" t="str">
        <f>HYPERLINK("https://twitter.com/lepak4ever/status/922466904668639232","922466904668639232")</f>
        <v>922466904668639232</v>
      </c>
      <c r="F4814" s="23" t="s">
        <v>33</v>
      </c>
      <c r="G4814" s="24">
        <v>169.0</v>
      </c>
      <c r="H4814" s="24">
        <v>58.0</v>
      </c>
      <c r="I4814" s="24">
        <v>10.0</v>
      </c>
      <c r="J4814" s="24">
        <v>0.0</v>
      </c>
      <c r="K4814" s="23" t="s">
        <v>34</v>
      </c>
      <c r="L4814" s="25">
        <v>41825.284537037034</v>
      </c>
      <c r="M4814" s="26" t="s">
        <v>11074</v>
      </c>
      <c r="N4814" s="26" t="s">
        <v>11075</v>
      </c>
      <c r="O4814" s="22" t="str">
        <f>HYPERLINK("https://pbs.twimg.com/profile_images/674288873006981120/Ca2ZrTOi_normal.jpg","View")</f>
        <v>View</v>
      </c>
      <c r="P4814" s="27"/>
    </row>
    <row r="4815">
      <c r="A4815" s="14">
        <v>43031.30357638889</v>
      </c>
      <c r="B4815" s="20" t="str">
        <f>HYPERLINK("https://twitter.com/Fernandoslebe","@Fernandoslebe")</f>
        <v>@Fernandoslebe</v>
      </c>
      <c r="C4815" s="21" t="s">
        <v>11076</v>
      </c>
      <c r="D4815" s="21" t="s">
        <v>2555</v>
      </c>
      <c r="E4815" s="22" t="str">
        <f>HYPERLINK("https://twitter.com/Fernandoslebe/status/922466931726344192","922466931726344192")</f>
        <v>922466931726344192</v>
      </c>
      <c r="F4815" s="23" t="s">
        <v>230</v>
      </c>
      <c r="G4815" s="24">
        <v>50.0</v>
      </c>
      <c r="H4815" s="24">
        <v>225.0</v>
      </c>
      <c r="I4815" s="24">
        <v>58.0</v>
      </c>
      <c r="J4815" s="24">
        <v>0.0</v>
      </c>
      <c r="K4815" s="23" t="s">
        <v>34</v>
      </c>
      <c r="L4815" s="25">
        <v>40338.92805555556</v>
      </c>
      <c r="M4815" s="28"/>
      <c r="N4815" s="28"/>
      <c r="O4815" s="22" t="str">
        <f>HYPERLINK("https://pbs.twimg.com/profile_images/907315306141544448/Dn5CluD-_normal.jpg","View")</f>
        <v>View</v>
      </c>
      <c r="P4815" s="27"/>
    </row>
    <row r="4816">
      <c r="A4816" s="14">
        <v>43031.303761574076</v>
      </c>
      <c r="B4816" s="20" t="str">
        <f>HYPERLINK("https://twitter.com/Sanjit1206","@Sanjit1206")</f>
        <v>@Sanjit1206</v>
      </c>
      <c r="C4816" s="21" t="s">
        <v>11077</v>
      </c>
      <c r="D4816" s="21" t="s">
        <v>42</v>
      </c>
      <c r="E4816" s="22" t="str">
        <f>HYPERLINK("https://twitter.com/Sanjit1206/status/922466995836194817","922466995836194817")</f>
        <v>922466995836194817</v>
      </c>
      <c r="F4816" s="23" t="s">
        <v>33</v>
      </c>
      <c r="G4816" s="24">
        <v>451.0</v>
      </c>
      <c r="H4816" s="24">
        <v>783.0</v>
      </c>
      <c r="I4816" s="24">
        <v>8501.0</v>
      </c>
      <c r="J4816" s="24">
        <v>0.0</v>
      </c>
      <c r="K4816" s="23" t="s">
        <v>34</v>
      </c>
      <c r="L4816" s="25">
        <v>40297.92365740741</v>
      </c>
      <c r="M4816" s="26" t="s">
        <v>11078</v>
      </c>
      <c r="N4816" s="26" t="s">
        <v>11079</v>
      </c>
      <c r="O4816" s="22" t="str">
        <f>HYPERLINK("https://pbs.twimg.com/profile_images/897100200056991745/f39vR39-_normal.jpg","View")</f>
        <v>View</v>
      </c>
      <c r="P4816" s="27"/>
    </row>
    <row r="4817">
      <c r="A4817" s="14">
        <v>43031.303761574076</v>
      </c>
      <c r="B4817" s="20" t="str">
        <f>HYPERLINK("https://twitter.com/AjNahiKalSePaka","@AjNahiKalSePaka")</f>
        <v>@AjNahiKalSePaka</v>
      </c>
      <c r="C4817" s="21" t="s">
        <v>11080</v>
      </c>
      <c r="D4817" s="21" t="s">
        <v>42</v>
      </c>
      <c r="E4817" s="22" t="str">
        <f>HYPERLINK("https://twitter.com/AjNahiKalSePaka/status/922466999447384066","922466999447384066")</f>
        <v>922466999447384066</v>
      </c>
      <c r="F4817" s="23" t="s">
        <v>39</v>
      </c>
      <c r="G4817" s="24">
        <v>54.0</v>
      </c>
      <c r="H4817" s="24">
        <v>143.0</v>
      </c>
      <c r="I4817" s="24">
        <v>8501.0</v>
      </c>
      <c r="J4817" s="24">
        <v>0.0</v>
      </c>
      <c r="K4817" s="23" t="s">
        <v>34</v>
      </c>
      <c r="L4817" s="25">
        <v>40842.84759259259</v>
      </c>
      <c r="M4817" s="26" t="s">
        <v>603</v>
      </c>
      <c r="N4817" s="26" t="s">
        <v>11081</v>
      </c>
      <c r="O4817" s="22" t="str">
        <f>HYPERLINK("https://pbs.twimg.com/profile_images/769232644336791552/7VlmX2eD_normal.jpg","View")</f>
        <v>View</v>
      </c>
      <c r="P4817" s="27"/>
    </row>
    <row r="4818">
      <c r="A4818" s="14">
        <v>43031.30378472222</v>
      </c>
      <c r="B4818" s="20" t="str">
        <f>HYPERLINK("https://twitter.com/anandshankar114","@anandshankar114")</f>
        <v>@anandshankar114</v>
      </c>
      <c r="C4818" s="21" t="s">
        <v>11082</v>
      </c>
      <c r="D4818" s="21" t="s">
        <v>42</v>
      </c>
      <c r="E4818" s="22" t="str">
        <f>HYPERLINK("https://twitter.com/anandshankar114/status/922467004002349056","922467004002349056")</f>
        <v>922467004002349056</v>
      </c>
      <c r="F4818" s="23" t="s">
        <v>33</v>
      </c>
      <c r="G4818" s="24">
        <v>12.0</v>
      </c>
      <c r="H4818" s="24">
        <v>56.0</v>
      </c>
      <c r="I4818" s="24">
        <v>8501.0</v>
      </c>
      <c r="J4818" s="24">
        <v>0.0</v>
      </c>
      <c r="K4818" s="23" t="s">
        <v>34</v>
      </c>
      <c r="L4818" s="25">
        <v>42276.91670138889</v>
      </c>
      <c r="M4818" s="28"/>
      <c r="N4818" s="28"/>
      <c r="O4818" s="22" t="str">
        <f>HYPERLINK("https://pbs.twimg.com/profile_images/649088857376292865/Kbozfy7D_normal.jpg","View")</f>
        <v>View</v>
      </c>
      <c r="P4818" s="27"/>
    </row>
    <row r="4819">
      <c r="A4819" s="14">
        <v>43031.303865740745</v>
      </c>
      <c r="B4819" s="20" t="str">
        <f>HYPERLINK("https://twitter.com/Daljeet49608067","@Daljeet49608067")</f>
        <v>@Daljeet49608067</v>
      </c>
      <c r="C4819" s="21" t="s">
        <v>11083</v>
      </c>
      <c r="D4819" s="21" t="s">
        <v>42</v>
      </c>
      <c r="E4819" s="22" t="str">
        <f>HYPERLINK("https://twitter.com/Daljeet49608067/status/922467035006885889","922467035006885889")</f>
        <v>922467035006885889</v>
      </c>
      <c r="F4819" s="23" t="s">
        <v>33</v>
      </c>
      <c r="G4819" s="24">
        <v>10.0</v>
      </c>
      <c r="H4819" s="24">
        <v>96.0</v>
      </c>
      <c r="I4819" s="24">
        <v>8501.0</v>
      </c>
      <c r="J4819" s="24">
        <v>0.0</v>
      </c>
      <c r="K4819" s="23" t="s">
        <v>34</v>
      </c>
      <c r="L4819" s="25">
        <v>42979.737662037034</v>
      </c>
      <c r="M4819" s="28"/>
      <c r="N4819" s="28"/>
      <c r="O4819" s="22" t="str">
        <f>HYPERLINK("https://abs.twimg.com/sticky/default_profile_images/default_profile_normal.png","View")</f>
        <v>View</v>
      </c>
      <c r="P4819" s="27"/>
    </row>
    <row r="4820">
      <c r="A4820" s="14">
        <v>43031.303935185184</v>
      </c>
      <c r="B4820" s="20" t="str">
        <f>HYPERLINK("https://twitter.com/Sheru_Avhad","@Sheru_Avhad")</f>
        <v>@Sheru_Avhad</v>
      </c>
      <c r="C4820" s="21" t="s">
        <v>11084</v>
      </c>
      <c r="D4820" s="21" t="s">
        <v>42</v>
      </c>
      <c r="E4820" s="22" t="str">
        <f>HYPERLINK("https://twitter.com/Sheru_Avhad/status/922467060919058433","922467060919058433")</f>
        <v>922467060919058433</v>
      </c>
      <c r="F4820" s="23" t="s">
        <v>33</v>
      </c>
      <c r="G4820" s="24">
        <v>86.0</v>
      </c>
      <c r="H4820" s="24">
        <v>402.0</v>
      </c>
      <c r="I4820" s="24">
        <v>8501.0</v>
      </c>
      <c r="J4820" s="24">
        <v>0.0</v>
      </c>
      <c r="K4820" s="23" t="s">
        <v>34</v>
      </c>
      <c r="L4820" s="25">
        <v>41934.54350694444</v>
      </c>
      <c r="M4820" s="26" t="s">
        <v>11085</v>
      </c>
      <c r="N4820" s="28"/>
      <c r="O4820" s="22" t="str">
        <f>HYPERLINK("https://pbs.twimg.com/profile_images/711092828537954304/B3nQngA2_normal.jpg","View")</f>
        <v>View</v>
      </c>
      <c r="P4820" s="27"/>
    </row>
    <row r="4821">
      <c r="A4821" s="14">
        <v>43031.30394675926</v>
      </c>
      <c r="B4821" s="20" t="str">
        <f>HYPERLINK("https://twitter.com/peyongpeyong","@peyongpeyong")</f>
        <v>@peyongpeyong</v>
      </c>
      <c r="C4821" s="21" t="s">
        <v>11086</v>
      </c>
      <c r="D4821" s="21" t="s">
        <v>1642</v>
      </c>
      <c r="E4821" s="22" t="str">
        <f>HYPERLINK("https://twitter.com/peyongpeyong/status/922467066010988544","922467066010988544")</f>
        <v>922467066010988544</v>
      </c>
      <c r="F4821" s="23" t="s">
        <v>39</v>
      </c>
      <c r="G4821" s="24">
        <v>439.0</v>
      </c>
      <c r="H4821" s="24">
        <v>172.0</v>
      </c>
      <c r="I4821" s="24">
        <v>199.0</v>
      </c>
      <c r="J4821" s="24">
        <v>0.0</v>
      </c>
      <c r="K4821" s="23" t="s">
        <v>34</v>
      </c>
      <c r="L4821" s="25">
        <v>40221.67225694445</v>
      </c>
      <c r="M4821" s="26" t="s">
        <v>11087</v>
      </c>
      <c r="N4821" s="28"/>
      <c r="O4821" s="22" t="str">
        <f>HYPERLINK("https://pbs.twimg.com/profile_images/378800000843231209/fa28eb6eed38a537b073cd61a2fc9d59_normal.jpeg","View")</f>
        <v>View</v>
      </c>
      <c r="P4821" s="27"/>
    </row>
    <row r="4822">
      <c r="A4822" s="14">
        <v>43031.30421296296</v>
      </c>
      <c r="B4822" s="20" t="str">
        <f>HYPERLINK("https://twitter.com/0014966f0dea434","@0014966f0dea434")</f>
        <v>@0014966f0dea434</v>
      </c>
      <c r="C4822" s="21" t="s">
        <v>11088</v>
      </c>
      <c r="D4822" s="21" t="s">
        <v>10614</v>
      </c>
      <c r="E4822" s="22" t="str">
        <f>HYPERLINK("https://twitter.com/0014966f0dea434/status/922467162903674882","922467162903674882")</f>
        <v>922467162903674882</v>
      </c>
      <c r="F4822" s="23" t="s">
        <v>33</v>
      </c>
      <c r="G4822" s="24">
        <v>696.0</v>
      </c>
      <c r="H4822" s="24">
        <v>104.0</v>
      </c>
      <c r="I4822" s="24">
        <v>159.0</v>
      </c>
      <c r="J4822" s="24">
        <v>0.0</v>
      </c>
      <c r="K4822" s="23" t="s">
        <v>34</v>
      </c>
      <c r="L4822" s="25">
        <v>42142.465578703705</v>
      </c>
      <c r="M4822" s="28"/>
      <c r="N4822" s="28"/>
      <c r="O4822" s="22" t="str">
        <f>HYPERLINK("https://pbs.twimg.com/profile_images/741246535019724800/YYDnvxNM_normal.jpg","View")</f>
        <v>View</v>
      </c>
      <c r="P4822" s="27"/>
    </row>
    <row r="4823">
      <c r="A4823" s="14">
        <v>43031.30425925926</v>
      </c>
      <c r="B4823" s="20" t="str">
        <f>HYPERLINK("https://twitter.com/vasenvy","@vasenvy")</f>
        <v>@vasenvy</v>
      </c>
      <c r="C4823" s="21" t="s">
        <v>11089</v>
      </c>
      <c r="D4823" s="21" t="s">
        <v>42</v>
      </c>
      <c r="E4823" s="22" t="str">
        <f>HYPERLINK("https://twitter.com/vasenvy/status/922467177386536960","922467177386536960")</f>
        <v>922467177386536960</v>
      </c>
      <c r="F4823" s="23" t="s">
        <v>55</v>
      </c>
      <c r="G4823" s="24">
        <v>43.0</v>
      </c>
      <c r="H4823" s="24">
        <v>43.0</v>
      </c>
      <c r="I4823" s="24">
        <v>8501.0</v>
      </c>
      <c r="J4823" s="24">
        <v>0.0</v>
      </c>
      <c r="K4823" s="23" t="s">
        <v>34</v>
      </c>
      <c r="L4823" s="25">
        <v>40136.03263888889</v>
      </c>
      <c r="M4823" s="26" t="s">
        <v>1189</v>
      </c>
      <c r="N4823" s="28"/>
      <c r="O4823" s="22" t="str">
        <f>HYPERLINK("https://pbs.twimg.com/profile_images/685338789766500352/EDE83pRs_normal.jpg","View")</f>
        <v>View</v>
      </c>
      <c r="P4823" s="27"/>
    </row>
    <row r="4824">
      <c r="A4824" s="14">
        <v>43031.30427083334</v>
      </c>
      <c r="B4824" s="20" t="str">
        <f>HYPERLINK("https://twitter.com/LabhAbhishekM","@LabhAbhishekM")</f>
        <v>@LabhAbhishekM</v>
      </c>
      <c r="C4824" s="21" t="s">
        <v>11090</v>
      </c>
      <c r="D4824" s="21" t="s">
        <v>42</v>
      </c>
      <c r="E4824" s="22" t="str">
        <f>HYPERLINK("https://twitter.com/LabhAbhishekM/status/922467181253746688","922467181253746688")</f>
        <v>922467181253746688</v>
      </c>
      <c r="F4824" s="23" t="s">
        <v>33</v>
      </c>
      <c r="G4824" s="24">
        <v>25.0</v>
      </c>
      <c r="H4824" s="24">
        <v>295.0</v>
      </c>
      <c r="I4824" s="24">
        <v>8501.0</v>
      </c>
      <c r="J4824" s="24">
        <v>0.0</v>
      </c>
      <c r="K4824" s="23" t="s">
        <v>34</v>
      </c>
      <c r="L4824" s="25">
        <v>42861.178495370375</v>
      </c>
      <c r="M4824" s="26" t="s">
        <v>9670</v>
      </c>
      <c r="N4824" s="26" t="s">
        <v>11091</v>
      </c>
      <c r="O4824" s="22" t="str">
        <f>HYPERLINK("https://pbs.twimg.com/profile_images/904642823709892608/7-3695G6_normal.jpg","View")</f>
        <v>View</v>
      </c>
      <c r="P4824" s="27"/>
    </row>
    <row r="4825">
      <c r="A4825" s="14">
        <v>43031.30435185185</v>
      </c>
      <c r="B4825" s="20" t="str">
        <f>HYPERLINK("https://twitter.com/WhiteWitch845","@WhiteWitch845")</f>
        <v>@WhiteWitch845</v>
      </c>
      <c r="C4825" s="21" t="s">
        <v>11092</v>
      </c>
      <c r="D4825" s="21" t="s">
        <v>42</v>
      </c>
      <c r="E4825" s="22" t="str">
        <f>HYPERLINK("https://twitter.com/WhiteWitch845/status/922467209825329153","922467209825329153")</f>
        <v>922467209825329153</v>
      </c>
      <c r="F4825" s="23" t="s">
        <v>33</v>
      </c>
      <c r="G4825" s="24">
        <v>2436.0</v>
      </c>
      <c r="H4825" s="24">
        <v>2395.0</v>
      </c>
      <c r="I4825" s="24">
        <v>8501.0</v>
      </c>
      <c r="J4825" s="24">
        <v>0.0</v>
      </c>
      <c r="K4825" s="23" t="s">
        <v>34</v>
      </c>
      <c r="L4825" s="25">
        <v>41133.386875</v>
      </c>
      <c r="M4825" s="28"/>
      <c r="N4825" s="26" t="s">
        <v>11093</v>
      </c>
      <c r="O4825" s="22" t="str">
        <f>HYPERLINK("https://pbs.twimg.com/profile_images/594982307309617153/Hma4oVQT_normal.jpg","View")</f>
        <v>View</v>
      </c>
      <c r="P4825" s="27"/>
    </row>
    <row r="4826">
      <c r="A4826" s="14">
        <v>43031.304502314815</v>
      </c>
      <c r="B4826" s="20" t="str">
        <f>HYPERLINK("https://twitter.com/artlust","@artlust")</f>
        <v>@artlust</v>
      </c>
      <c r="C4826" s="21" t="s">
        <v>11094</v>
      </c>
      <c r="D4826" s="21" t="s">
        <v>11095</v>
      </c>
      <c r="E4826" s="22" t="str">
        <f>HYPERLINK("https://twitter.com/artlust/status/922467264720490498","922467264720490498")</f>
        <v>922467264720490498</v>
      </c>
      <c r="F4826" s="23" t="s">
        <v>55</v>
      </c>
      <c r="G4826" s="24">
        <v>2430.0</v>
      </c>
      <c r="H4826" s="24">
        <v>856.0</v>
      </c>
      <c r="I4826" s="24">
        <v>0.0</v>
      </c>
      <c r="J4826" s="24">
        <v>0.0</v>
      </c>
      <c r="K4826" s="23" t="s">
        <v>34</v>
      </c>
      <c r="L4826" s="25">
        <v>40105.679710648146</v>
      </c>
      <c r="M4826" s="26" t="s">
        <v>905</v>
      </c>
      <c r="N4826" s="26" t="s">
        <v>11096</v>
      </c>
      <c r="O4826" s="22" t="str">
        <f>HYPERLINK("https://pbs.twimg.com/profile_images/546316903883370497/RJzJB8qT_normal.jpeg","View")</f>
        <v>View</v>
      </c>
      <c r="P4826" s="27"/>
    </row>
    <row r="4827">
      <c r="A4827" s="14">
        <v>43031.30452546296</v>
      </c>
      <c r="B4827" s="20" t="str">
        <f>HYPERLINK("https://twitter.com/19KK19","@19KK19")</f>
        <v>@19KK19</v>
      </c>
      <c r="C4827" s="21" t="s">
        <v>11097</v>
      </c>
      <c r="D4827" s="21" t="s">
        <v>10614</v>
      </c>
      <c r="E4827" s="22" t="str">
        <f>HYPERLINK("https://twitter.com/19KK19/status/922467274446970880","922467274446970880")</f>
        <v>922467274446970880</v>
      </c>
      <c r="F4827" s="23" t="s">
        <v>33</v>
      </c>
      <c r="G4827" s="24">
        <v>196.0</v>
      </c>
      <c r="H4827" s="24">
        <v>182.0</v>
      </c>
      <c r="I4827" s="24">
        <v>159.0</v>
      </c>
      <c r="J4827" s="24">
        <v>0.0</v>
      </c>
      <c r="K4827" s="23" t="s">
        <v>34</v>
      </c>
      <c r="L4827" s="25">
        <v>41495.17550925926</v>
      </c>
      <c r="M4827" s="26" t="s">
        <v>11098</v>
      </c>
      <c r="N4827" s="26" t="s">
        <v>11099</v>
      </c>
      <c r="O4827" s="22" t="str">
        <f>HYPERLINK("https://pbs.twimg.com/profile_images/378800000264886825/75ec55e7b330d55991df4b25871215fc_normal.jpeg","View")</f>
        <v>View</v>
      </c>
      <c r="P4827" s="27"/>
    </row>
    <row r="4828">
      <c r="A4828" s="14">
        <v>43031.30457175926</v>
      </c>
      <c r="B4828" s="20" t="str">
        <f>HYPERLINK("https://twitter.com/dineshjoshi18","@dineshjoshi18")</f>
        <v>@dineshjoshi18</v>
      </c>
      <c r="C4828" s="21" t="s">
        <v>11100</v>
      </c>
      <c r="D4828" s="21" t="s">
        <v>42</v>
      </c>
      <c r="E4828" s="22" t="str">
        <f>HYPERLINK("https://twitter.com/dineshjoshi18/status/922467290301341697","922467290301341697")</f>
        <v>922467290301341697</v>
      </c>
      <c r="F4828" s="23" t="s">
        <v>43</v>
      </c>
      <c r="G4828" s="24">
        <v>88.0</v>
      </c>
      <c r="H4828" s="24">
        <v>238.0</v>
      </c>
      <c r="I4828" s="24">
        <v>8501.0</v>
      </c>
      <c r="J4828" s="24">
        <v>0.0</v>
      </c>
      <c r="K4828" s="23" t="s">
        <v>34</v>
      </c>
      <c r="L4828" s="25">
        <v>40172.87548611111</v>
      </c>
      <c r="M4828" s="26" t="s">
        <v>575</v>
      </c>
      <c r="N4828" s="28"/>
      <c r="O4828" s="22" t="str">
        <f>HYPERLINK("https://pbs.twimg.com/profile_images/907320751685898240/IqXnZSn9_normal.jpg","View")</f>
        <v>View</v>
      </c>
      <c r="P4828" s="27"/>
    </row>
    <row r="4829">
      <c r="A4829" s="14">
        <v>43031.30459490741</v>
      </c>
      <c r="B4829" s="20" t="str">
        <f>HYPERLINK("https://twitter.com/pgawarle","@pgawarle")</f>
        <v>@pgawarle</v>
      </c>
      <c r="C4829" s="21" t="s">
        <v>11101</v>
      </c>
      <c r="D4829" s="21" t="s">
        <v>42</v>
      </c>
      <c r="E4829" s="22" t="str">
        <f>HYPERLINK("https://twitter.com/pgawarle/status/922467298056716288","922467298056716288")</f>
        <v>922467298056716288</v>
      </c>
      <c r="F4829" s="23" t="s">
        <v>43</v>
      </c>
      <c r="G4829" s="24">
        <v>21.0</v>
      </c>
      <c r="H4829" s="24">
        <v>109.0</v>
      </c>
      <c r="I4829" s="24">
        <v>8501.0</v>
      </c>
      <c r="J4829" s="24">
        <v>0.0</v>
      </c>
      <c r="K4829" s="23" t="s">
        <v>34</v>
      </c>
      <c r="L4829" s="25">
        <v>41112.267222222225</v>
      </c>
      <c r="M4829" s="26" t="s">
        <v>11102</v>
      </c>
      <c r="N4829" s="28"/>
      <c r="O4829" s="22" t="str">
        <f>HYPERLINK("https://pbs.twimg.com/profile_images/882921369058648064/mRXutMj4_normal.jpg","View")</f>
        <v>View</v>
      </c>
      <c r="P4829" s="27"/>
    </row>
    <row r="4830">
      <c r="A4830" s="14">
        <v>43031.304606481484</v>
      </c>
      <c r="B4830" s="20" t="str">
        <f>HYPERLINK("https://twitter.com/CrystalsOfGaea","@CrystalsOfGaea")</f>
        <v>@CrystalsOfGaea</v>
      </c>
      <c r="C4830" s="21" t="s">
        <v>11103</v>
      </c>
      <c r="D4830" s="21" t="s">
        <v>11104</v>
      </c>
      <c r="E4830" s="22" t="str">
        <f>HYPERLINK("https://twitter.com/CrystalsOfGaea/status/922467305413427201","922467305413427201")</f>
        <v>922467305413427201</v>
      </c>
      <c r="F4830" s="23" t="s">
        <v>230</v>
      </c>
      <c r="G4830" s="24">
        <v>4665.0</v>
      </c>
      <c r="H4830" s="24">
        <v>961.0</v>
      </c>
      <c r="I4830" s="24">
        <v>5.0</v>
      </c>
      <c r="J4830" s="24">
        <v>0.0</v>
      </c>
      <c r="K4830" s="23" t="s">
        <v>34</v>
      </c>
      <c r="L4830" s="25">
        <v>42695.73278935185</v>
      </c>
      <c r="M4830" s="36">
        <v>43024.0</v>
      </c>
      <c r="N4830" s="26" t="s">
        <v>11105</v>
      </c>
      <c r="O4830" s="22" t="str">
        <f>HYPERLINK("https://pbs.twimg.com/profile_images/833875909715251200/Tc2dOz8o_normal.jpg","View")</f>
        <v>View</v>
      </c>
      <c r="P4830" s="27"/>
    </row>
    <row r="4831">
      <c r="A4831" s="14">
        <v>43031.30466435185</v>
      </c>
      <c r="B4831" s="20" t="str">
        <f>HYPERLINK("https://twitter.com/rashi_vkgskb","@rashi_vkgskb")</f>
        <v>@rashi_vkgskb</v>
      </c>
      <c r="C4831" s="21" t="s">
        <v>11106</v>
      </c>
      <c r="D4831" s="21" t="s">
        <v>42</v>
      </c>
      <c r="E4831" s="22" t="str">
        <f>HYPERLINK("https://twitter.com/rashi_vkgskb/status/922467325919371264","922467325919371264")</f>
        <v>922467325919371264</v>
      </c>
      <c r="F4831" s="23" t="s">
        <v>43</v>
      </c>
      <c r="G4831" s="24">
        <v>411.0</v>
      </c>
      <c r="H4831" s="24">
        <v>68.0</v>
      </c>
      <c r="I4831" s="24">
        <v>8501.0</v>
      </c>
      <c r="J4831" s="24">
        <v>0.0</v>
      </c>
      <c r="K4831" s="23" t="s">
        <v>34</v>
      </c>
      <c r="L4831" s="25">
        <v>42661.27413194445</v>
      </c>
      <c r="M4831" s="28"/>
      <c r="N4831" s="26" t="s">
        <v>11107</v>
      </c>
      <c r="O4831" s="22" t="str">
        <f>HYPERLINK("https://pbs.twimg.com/profile_images/888416971452293122/lC5uaACb_normal.jpg","View")</f>
        <v>View</v>
      </c>
      <c r="P4831" s="27"/>
    </row>
    <row r="4832">
      <c r="A4832" s="14">
        <v>43031.30466435185</v>
      </c>
      <c r="B4832" s="20" t="str">
        <f>HYPERLINK("https://twitter.com/oniaya29","@oniaya29")</f>
        <v>@oniaya29</v>
      </c>
      <c r="C4832" s="21" t="s">
        <v>11108</v>
      </c>
      <c r="D4832" s="21" t="s">
        <v>42</v>
      </c>
      <c r="E4832" s="22" t="str">
        <f>HYPERLINK("https://twitter.com/oniaya29/status/922467326703710209","922467326703710209")</f>
        <v>922467326703710209</v>
      </c>
      <c r="F4832" s="23" t="s">
        <v>33</v>
      </c>
      <c r="G4832" s="24">
        <v>1958.0</v>
      </c>
      <c r="H4832" s="24">
        <v>2229.0</v>
      </c>
      <c r="I4832" s="24">
        <v>8501.0</v>
      </c>
      <c r="J4832" s="24">
        <v>0.0</v>
      </c>
      <c r="K4832" s="23" t="s">
        <v>34</v>
      </c>
      <c r="L4832" s="25">
        <v>41353.38269675926</v>
      </c>
      <c r="M4832" s="26" t="s">
        <v>11109</v>
      </c>
      <c r="N4832" s="26" t="s">
        <v>11110</v>
      </c>
      <c r="O4832" s="22" t="str">
        <f>HYPERLINK("https://pbs.twimg.com/profile_images/797084058291294209/Pel4lFzG_normal.jpg","View")</f>
        <v>View</v>
      </c>
      <c r="P4832" s="27"/>
    </row>
    <row r="4833">
      <c r="A4833" s="14">
        <v>43031.30471064815</v>
      </c>
      <c r="B4833" s="20" t="str">
        <f>HYPERLINK("https://twitter.com/ohayojames","@ohayojames")</f>
        <v>@ohayojames</v>
      </c>
      <c r="C4833" s="21" t="s">
        <v>11111</v>
      </c>
      <c r="D4833" s="21" t="s">
        <v>32</v>
      </c>
      <c r="E4833" s="22" t="str">
        <f>HYPERLINK("https://twitter.com/ohayojames/status/922467343355273216","922467343355273216")</f>
        <v>922467343355273216</v>
      </c>
      <c r="F4833" s="23" t="s">
        <v>33</v>
      </c>
      <c r="G4833" s="24">
        <v>86.0</v>
      </c>
      <c r="H4833" s="24">
        <v>215.0</v>
      </c>
      <c r="I4833" s="24">
        <v>471.0</v>
      </c>
      <c r="J4833" s="24">
        <v>0.0</v>
      </c>
      <c r="K4833" s="23" t="s">
        <v>34</v>
      </c>
      <c r="L4833" s="25">
        <v>42449.888333333336</v>
      </c>
      <c r="M4833" s="28"/>
      <c r="N4833" s="28"/>
      <c r="O4833" s="22" t="str">
        <f>HYPERLINK("https://pbs.twimg.com/profile_images/911542544164642817/xMsBMGsp_normal.jpg","View")</f>
        <v>View</v>
      </c>
      <c r="P4833" s="27"/>
    </row>
    <row r="4834">
      <c r="A4834" s="14">
        <v>43031.304861111115</v>
      </c>
      <c r="B4834" s="20" t="str">
        <f>HYPERLINK("https://twitter.com/dehydratedpaani","@dehydratedpaani")</f>
        <v>@dehydratedpaani</v>
      </c>
      <c r="C4834" s="21" t="s">
        <v>9945</v>
      </c>
      <c r="D4834" s="21" t="s">
        <v>42</v>
      </c>
      <c r="E4834" s="22" t="str">
        <f>HYPERLINK("https://twitter.com/dehydratedpaani/status/922467397361004544","922467397361004544")</f>
        <v>922467397361004544</v>
      </c>
      <c r="F4834" s="23" t="s">
        <v>55</v>
      </c>
      <c r="G4834" s="24">
        <v>999.0</v>
      </c>
      <c r="H4834" s="24">
        <v>245.0</v>
      </c>
      <c r="I4834" s="24">
        <v>8501.0</v>
      </c>
      <c r="J4834" s="24">
        <v>0.0</v>
      </c>
      <c r="K4834" s="23" t="s">
        <v>34</v>
      </c>
      <c r="L4834" s="25">
        <v>40598.278715277775</v>
      </c>
      <c r="M4834" s="28"/>
      <c r="N4834" s="26" t="s">
        <v>9946</v>
      </c>
      <c r="O4834" s="22" t="str">
        <f>HYPERLINK("https://pbs.twimg.com/profile_images/906945011975036928/NXaxOUBj_normal.jpg","View")</f>
        <v>View</v>
      </c>
      <c r="P4834" s="27"/>
    </row>
    <row r="4835">
      <c r="A4835" s="14">
        <v>43031.3049537037</v>
      </c>
      <c r="B4835" s="20" t="str">
        <f>HYPERLINK("https://twitter.com/RomainTorrese","@RomainTorrese")</f>
        <v>@RomainTorrese</v>
      </c>
      <c r="C4835" s="21" t="s">
        <v>11112</v>
      </c>
      <c r="D4835" s="21" t="s">
        <v>10614</v>
      </c>
      <c r="E4835" s="22" t="str">
        <f>HYPERLINK("https://twitter.com/RomainTorrese/status/922467427593711617","922467427593711617")</f>
        <v>922467427593711617</v>
      </c>
      <c r="F4835" s="23" t="s">
        <v>39</v>
      </c>
      <c r="G4835" s="24">
        <v>5104.0</v>
      </c>
      <c r="H4835" s="24">
        <v>496.0</v>
      </c>
      <c r="I4835" s="24">
        <v>159.0</v>
      </c>
      <c r="J4835" s="24">
        <v>0.0</v>
      </c>
      <c r="K4835" s="23" t="s">
        <v>34</v>
      </c>
      <c r="L4835" s="25">
        <v>41088.5278587963</v>
      </c>
      <c r="M4835" s="26" t="s">
        <v>40</v>
      </c>
      <c r="N4835" s="26" t="s">
        <v>11113</v>
      </c>
      <c r="O4835" s="22" t="str">
        <f>HYPERLINK("https://pbs.twimg.com/profile_images/911290208334876672/herJt6wu_normal.jpg","View")</f>
        <v>View</v>
      </c>
      <c r="P4835" s="27"/>
    </row>
    <row r="4836">
      <c r="A4836" s="14">
        <v>43031.3053125</v>
      </c>
      <c r="B4836" s="20" t="str">
        <f>HYPERLINK("https://twitter.com/mksbabbles","@mksbabbles")</f>
        <v>@mksbabbles</v>
      </c>
      <c r="C4836" s="21" t="s">
        <v>11114</v>
      </c>
      <c r="D4836" s="21" t="s">
        <v>42</v>
      </c>
      <c r="E4836" s="22" t="str">
        <f>HYPERLINK("https://twitter.com/mksbabbles/status/922467560028889088","922467560028889088")</f>
        <v>922467560028889088</v>
      </c>
      <c r="F4836" s="23" t="s">
        <v>33</v>
      </c>
      <c r="G4836" s="24">
        <v>61.0</v>
      </c>
      <c r="H4836" s="24">
        <v>136.0</v>
      </c>
      <c r="I4836" s="24">
        <v>8501.0</v>
      </c>
      <c r="J4836" s="24">
        <v>0.0</v>
      </c>
      <c r="K4836" s="23" t="s">
        <v>34</v>
      </c>
      <c r="L4836" s="25">
        <v>41846.979849537034</v>
      </c>
      <c r="M4836" s="26" t="s">
        <v>246</v>
      </c>
      <c r="N4836" s="26" t="s">
        <v>11115</v>
      </c>
      <c r="O4836" s="22" t="str">
        <f>HYPERLINK("https://pbs.twimg.com/profile_images/880410442085957632/Z9XfeAce_normal.jpg","View")</f>
        <v>View</v>
      </c>
      <c r="P4836" s="27"/>
    </row>
    <row r="4837">
      <c r="A4837" s="14">
        <v>43031.30540509259</v>
      </c>
      <c r="B4837" s="20" t="str">
        <f>HYPERLINK("https://twitter.com/okadascape","@okadascape")</f>
        <v>@okadascape</v>
      </c>
      <c r="C4837" s="21" t="s">
        <v>7512</v>
      </c>
      <c r="D4837" s="21" t="s">
        <v>10614</v>
      </c>
      <c r="E4837" s="22" t="str">
        <f>HYPERLINK("https://twitter.com/okadascape/status/922467593696329729","922467593696329729")</f>
        <v>922467593696329729</v>
      </c>
      <c r="F4837" s="23" t="s">
        <v>55</v>
      </c>
      <c r="G4837" s="24">
        <v>1751.0</v>
      </c>
      <c r="H4837" s="24">
        <v>123.0</v>
      </c>
      <c r="I4837" s="24">
        <v>159.0</v>
      </c>
      <c r="J4837" s="24">
        <v>0.0</v>
      </c>
      <c r="K4837" s="23" t="s">
        <v>34</v>
      </c>
      <c r="L4837" s="25">
        <v>40135.186435185184</v>
      </c>
      <c r="M4837" s="26" t="s">
        <v>7513</v>
      </c>
      <c r="N4837" s="26" t="s">
        <v>7514</v>
      </c>
      <c r="O4837" s="22" t="str">
        <f>HYPERLINK("https://pbs.twimg.com/profile_images/769311561458384896/szRKT5Yb_normal.jpg","View")</f>
        <v>View</v>
      </c>
      <c r="P4837" s="27"/>
    </row>
    <row r="4838">
      <c r="A4838" s="14">
        <v>43031.30545138889</v>
      </c>
      <c r="B4838" s="20" t="str">
        <f>HYPERLINK("https://twitter.com/sejinpaik","@sejinpaik")</f>
        <v>@sejinpaik</v>
      </c>
      <c r="C4838" s="21" t="s">
        <v>11116</v>
      </c>
      <c r="D4838" s="21" t="s">
        <v>9940</v>
      </c>
      <c r="E4838" s="22" t="str">
        <f>HYPERLINK("https://twitter.com/sejinpaik/status/922467611052511232","922467611052511232")</f>
        <v>922467611052511232</v>
      </c>
      <c r="F4838" s="23" t="s">
        <v>55</v>
      </c>
      <c r="G4838" s="24">
        <v>107.0</v>
      </c>
      <c r="H4838" s="24">
        <v>769.0</v>
      </c>
      <c r="I4838" s="24">
        <v>27.0</v>
      </c>
      <c r="J4838" s="24">
        <v>0.0</v>
      </c>
      <c r="K4838" s="23" t="s">
        <v>34</v>
      </c>
      <c r="L4838" s="25">
        <v>42553.097557870366</v>
      </c>
      <c r="M4838" s="28"/>
      <c r="N4838" s="26" t="s">
        <v>11117</v>
      </c>
      <c r="O4838" s="22" t="str">
        <f>HYPERLINK("https://pbs.twimg.com/profile_images/751652205678039040/4J_uioAm_normal.jpg","View")</f>
        <v>View</v>
      </c>
      <c r="P4838" s="27"/>
    </row>
    <row r="4839">
      <c r="A4839" s="14">
        <v>43031.305497685185</v>
      </c>
      <c r="B4839" s="20" t="str">
        <f>HYPERLINK("https://twitter.com/SomeshDubey11","@SomeshDubey11")</f>
        <v>@SomeshDubey11</v>
      </c>
      <c r="C4839" s="21" t="s">
        <v>11118</v>
      </c>
      <c r="D4839" s="21" t="s">
        <v>42</v>
      </c>
      <c r="E4839" s="22" t="str">
        <f>HYPERLINK("https://twitter.com/SomeshDubey11/status/922467626059669504","922467626059669504")</f>
        <v>922467626059669504</v>
      </c>
      <c r="F4839" s="23" t="s">
        <v>33</v>
      </c>
      <c r="G4839" s="24">
        <v>268.0</v>
      </c>
      <c r="H4839" s="24">
        <v>503.0</v>
      </c>
      <c r="I4839" s="24">
        <v>8501.0</v>
      </c>
      <c r="J4839" s="24">
        <v>0.0</v>
      </c>
      <c r="K4839" s="23" t="s">
        <v>34</v>
      </c>
      <c r="L4839" s="25">
        <v>42621.30609953703</v>
      </c>
      <c r="M4839" s="26" t="s">
        <v>11119</v>
      </c>
      <c r="N4839" s="26" t="s">
        <v>11120</v>
      </c>
      <c r="O4839" s="22" t="str">
        <f>HYPERLINK("https://pbs.twimg.com/profile_images/875409309093339137/D5AUViSH_normal.jpg","View")</f>
        <v>View</v>
      </c>
      <c r="P4839" s="27"/>
    </row>
    <row r="4840">
      <c r="A4840" s="14">
        <v>43031.30552083333</v>
      </c>
      <c r="B4840" s="20" t="str">
        <f>HYPERLINK("https://twitter.com/kunchalavinay","@kunchalavinay")</f>
        <v>@kunchalavinay</v>
      </c>
      <c r="C4840" s="21" t="s">
        <v>11121</v>
      </c>
      <c r="D4840" s="21" t="s">
        <v>42</v>
      </c>
      <c r="E4840" s="22" t="str">
        <f>HYPERLINK("https://twitter.com/kunchalavinay/status/922467633110302720","922467633110302720")</f>
        <v>922467633110302720</v>
      </c>
      <c r="F4840" s="23" t="s">
        <v>55</v>
      </c>
      <c r="G4840" s="24">
        <v>135.0</v>
      </c>
      <c r="H4840" s="24">
        <v>1002.0</v>
      </c>
      <c r="I4840" s="24">
        <v>8501.0</v>
      </c>
      <c r="J4840" s="24">
        <v>0.0</v>
      </c>
      <c r="K4840" s="23" t="s">
        <v>34</v>
      </c>
      <c r="L4840" s="25">
        <v>40598.29965277778</v>
      </c>
      <c r="M4840" s="26" t="s">
        <v>167</v>
      </c>
      <c r="N4840" s="26" t="s">
        <v>11122</v>
      </c>
      <c r="O4840" s="22" t="str">
        <f>HYPERLINK("https://pbs.twimg.com/profile_images/914782744730771456/rztFnegr_normal.jpg","View")</f>
        <v>View</v>
      </c>
      <c r="P4840" s="27"/>
    </row>
    <row r="4841">
      <c r="A4841" s="14">
        <v>43031.30553240741</v>
      </c>
      <c r="B4841" s="20" t="str">
        <f>HYPERLINK("https://twitter.com/Pradipta0007","@Pradipta0007")</f>
        <v>@Pradipta0007</v>
      </c>
      <c r="C4841" s="21" t="s">
        <v>11123</v>
      </c>
      <c r="D4841" s="21" t="s">
        <v>42</v>
      </c>
      <c r="E4841" s="22" t="str">
        <f>HYPERLINK("https://twitter.com/Pradipta0007/status/922467639431016449","922467639431016449")</f>
        <v>922467639431016449</v>
      </c>
      <c r="F4841" s="23" t="s">
        <v>33</v>
      </c>
      <c r="G4841" s="24">
        <v>6.0</v>
      </c>
      <c r="H4841" s="24">
        <v>80.0</v>
      </c>
      <c r="I4841" s="24">
        <v>8501.0</v>
      </c>
      <c r="J4841" s="24">
        <v>0.0</v>
      </c>
      <c r="K4841" s="23" t="s">
        <v>34</v>
      </c>
      <c r="L4841" s="25">
        <v>41007.932337962964</v>
      </c>
      <c r="M4841" s="28"/>
      <c r="N4841" s="28"/>
      <c r="O4841" s="22" t="str">
        <f>HYPERLINK("https://abs.twimg.com/sticky/default_profile_images/default_profile_normal.png","View")</f>
        <v>View</v>
      </c>
      <c r="P4841" s="27"/>
    </row>
    <row r="4842">
      <c r="A4842" s="14">
        <v>43031.305555555555</v>
      </c>
      <c r="B4842" s="20" t="str">
        <f>HYPERLINK("https://twitter.com/ben__ache","@ben__ache")</f>
        <v>@ben__ache</v>
      </c>
      <c r="C4842" s="21" t="s">
        <v>11124</v>
      </c>
      <c r="D4842" s="21" t="s">
        <v>32</v>
      </c>
      <c r="E4842" s="22" t="str">
        <f>HYPERLINK("https://twitter.com/ben__ache/status/922467648646107138","922467648646107138")</f>
        <v>922467648646107138</v>
      </c>
      <c r="F4842" s="23" t="s">
        <v>39</v>
      </c>
      <c r="G4842" s="24">
        <v>153.0</v>
      </c>
      <c r="H4842" s="24">
        <v>146.0</v>
      </c>
      <c r="I4842" s="24">
        <v>471.0</v>
      </c>
      <c r="J4842" s="24">
        <v>0.0</v>
      </c>
      <c r="K4842" s="23" t="s">
        <v>34</v>
      </c>
      <c r="L4842" s="25">
        <v>42889.587743055556</v>
      </c>
      <c r="M4842" s="26" t="s">
        <v>11125</v>
      </c>
      <c r="N4842" s="26" t="s">
        <v>11126</v>
      </c>
      <c r="O4842" s="22" t="str">
        <f>HYPERLINK("https://pbs.twimg.com/profile_images/872270646486675456/ravsKFrV_normal.jpg","View")</f>
        <v>View</v>
      </c>
      <c r="P4842" s="27"/>
    </row>
    <row r="4843">
      <c r="A4843" s="14">
        <v>43031.30556712963</v>
      </c>
      <c r="B4843" s="20" t="str">
        <f>HYPERLINK("https://twitter.com/tarun83","@tarun83")</f>
        <v>@tarun83</v>
      </c>
      <c r="C4843" s="21" t="s">
        <v>11127</v>
      </c>
      <c r="D4843" s="21" t="s">
        <v>42</v>
      </c>
      <c r="E4843" s="22" t="str">
        <f>HYPERLINK("https://twitter.com/tarun83/status/922467653834326016","922467653834326016")</f>
        <v>922467653834326016</v>
      </c>
      <c r="F4843" s="23" t="s">
        <v>33</v>
      </c>
      <c r="G4843" s="24">
        <v>72.0</v>
      </c>
      <c r="H4843" s="24">
        <v>19.0</v>
      </c>
      <c r="I4843" s="24">
        <v>8501.0</v>
      </c>
      <c r="J4843" s="24">
        <v>0.0</v>
      </c>
      <c r="K4843" s="23" t="s">
        <v>34</v>
      </c>
      <c r="L4843" s="25">
        <v>40208.05063657407</v>
      </c>
      <c r="M4843" s="26" t="s">
        <v>11128</v>
      </c>
      <c r="N4843" s="28"/>
      <c r="O4843" s="22" t="str">
        <f>HYPERLINK("https://pbs.twimg.com/profile_images/668359039743475712/37UvuKvF_normal.jpg","View")</f>
        <v>View</v>
      </c>
      <c r="P4843" s="27"/>
    </row>
    <row r="4844">
      <c r="A4844" s="14">
        <v>43031.3055787037</v>
      </c>
      <c r="B4844" s="20" t="str">
        <f>HYPERLINK("https://twitter.com/hemster","@hemster")</f>
        <v>@hemster</v>
      </c>
      <c r="C4844" s="21" t="s">
        <v>11129</v>
      </c>
      <c r="D4844" s="21" t="s">
        <v>42</v>
      </c>
      <c r="E4844" s="22" t="str">
        <f>HYPERLINK("https://twitter.com/hemster/status/922467655671463936","922467655671463936")</f>
        <v>922467655671463936</v>
      </c>
      <c r="F4844" s="23" t="s">
        <v>33</v>
      </c>
      <c r="G4844" s="24">
        <v>3537.0</v>
      </c>
      <c r="H4844" s="24">
        <v>192.0</v>
      </c>
      <c r="I4844" s="24">
        <v>8501.0</v>
      </c>
      <c r="J4844" s="24">
        <v>0.0</v>
      </c>
      <c r="K4844" s="23" t="s">
        <v>34</v>
      </c>
      <c r="L4844" s="25">
        <v>39249.95846064815</v>
      </c>
      <c r="M4844" s="26" t="s">
        <v>11130</v>
      </c>
      <c r="N4844" s="26" t="s">
        <v>11131</v>
      </c>
      <c r="O4844" s="22" t="str">
        <f>HYPERLINK("https://pbs.twimg.com/profile_images/898746790391894016/WNDrcCfe_normal.jpg","View")</f>
        <v>View</v>
      </c>
      <c r="P4844" s="27"/>
    </row>
    <row r="4845">
      <c r="A4845" s="14">
        <v>43031.30563657408</v>
      </c>
      <c r="B4845" s="20" t="str">
        <f>HYPERLINK("https://twitter.com/Zak_Files","@Zak_Files")</f>
        <v>@Zak_Files</v>
      </c>
      <c r="C4845" s="21" t="s">
        <v>11132</v>
      </c>
      <c r="D4845" s="21" t="s">
        <v>9463</v>
      </c>
      <c r="E4845" s="22" t="str">
        <f>HYPERLINK("https://twitter.com/Zak_Files/status/922467677028978689","922467677028978689")</f>
        <v>922467677028978689</v>
      </c>
      <c r="F4845" s="23" t="s">
        <v>33</v>
      </c>
      <c r="G4845" s="24">
        <v>598.0</v>
      </c>
      <c r="H4845" s="24">
        <v>547.0</v>
      </c>
      <c r="I4845" s="24">
        <v>4.0</v>
      </c>
      <c r="J4845" s="24">
        <v>0.0</v>
      </c>
      <c r="K4845" s="23" t="s">
        <v>34</v>
      </c>
      <c r="L4845" s="25">
        <v>42298.03178240741</v>
      </c>
      <c r="M4845" s="28"/>
      <c r="N4845" s="26" t="s">
        <v>11133</v>
      </c>
      <c r="O4845" s="22" t="str">
        <f>HYPERLINK("https://pbs.twimg.com/profile_images/657810351828938752/onaLkSay_normal.jpg","View")</f>
        <v>View</v>
      </c>
      <c r="P4845" s="27"/>
    </row>
    <row r="4846">
      <c r="A4846" s="14">
        <v>43031.30563657408</v>
      </c>
      <c r="B4846" s="20" t="str">
        <f>HYPERLINK("https://twitter.com/Tin_Tin_in_Tibt","@Tin_Tin_in_Tibt")</f>
        <v>@Tin_Tin_in_Tibt</v>
      </c>
      <c r="C4846" s="21" t="s">
        <v>11134</v>
      </c>
      <c r="D4846" s="21" t="s">
        <v>11135</v>
      </c>
      <c r="E4846" s="22" t="str">
        <f>HYPERLINK("https://twitter.com/Tin_Tin_in_Tibt/status/922467678366896134","922467678366896134")</f>
        <v>922467678366896134</v>
      </c>
      <c r="F4846" s="23" t="s">
        <v>55</v>
      </c>
      <c r="G4846" s="24">
        <v>63.0</v>
      </c>
      <c r="H4846" s="24">
        <v>135.0</v>
      </c>
      <c r="I4846" s="24">
        <v>4.0</v>
      </c>
      <c r="J4846" s="24">
        <v>0.0</v>
      </c>
      <c r="K4846" s="23" t="s">
        <v>34</v>
      </c>
      <c r="L4846" s="25">
        <v>42937.44719907407</v>
      </c>
      <c r="M4846" s="28"/>
      <c r="N4846" s="26" t="s">
        <v>11136</v>
      </c>
      <c r="O4846" s="22" t="str">
        <f>HYPERLINK("https://pbs.twimg.com/profile_images/888458418142543872/K-H4qK4d_normal.jpg","View")</f>
        <v>View</v>
      </c>
      <c r="P4846" s="27"/>
    </row>
    <row r="4847">
      <c r="A4847" s="14">
        <v>43031.30571759259</v>
      </c>
      <c r="B4847" s="20" t="str">
        <f>HYPERLINK("https://twitter.com/MaureenKelsey","@MaureenKelsey")</f>
        <v>@MaureenKelsey</v>
      </c>
      <c r="C4847" s="21" t="s">
        <v>11137</v>
      </c>
      <c r="D4847" s="21" t="s">
        <v>11138</v>
      </c>
      <c r="E4847" s="22" t="str">
        <f>HYPERLINK("https://twitter.com/MaureenKelsey/status/922467706061950977","922467706061950977")</f>
        <v>922467706061950977</v>
      </c>
      <c r="F4847" s="23" t="s">
        <v>48</v>
      </c>
      <c r="G4847" s="24">
        <v>3531.0</v>
      </c>
      <c r="H4847" s="24">
        <v>4462.0</v>
      </c>
      <c r="I4847" s="24">
        <v>0.0</v>
      </c>
      <c r="J4847" s="24">
        <v>0.0</v>
      </c>
      <c r="K4847" s="23" t="s">
        <v>34</v>
      </c>
      <c r="L4847" s="25">
        <v>40782.55190972222</v>
      </c>
      <c r="M4847" s="26" t="s">
        <v>10709</v>
      </c>
      <c r="N4847" s="26" t="s">
        <v>11139</v>
      </c>
      <c r="O4847" s="22" t="str">
        <f>HYPERLINK("https://pbs.twimg.com/profile_images/1520572564/IMG000015_normal.jpg","View")</f>
        <v>View</v>
      </c>
      <c r="P4847" s="27"/>
    </row>
    <row r="4848">
      <c r="A4848" s="14">
        <v>43031.305810185186</v>
      </c>
      <c r="B4848" s="20" t="str">
        <f>HYPERLINK("https://twitter.com/Tridibans","@Tridibans")</f>
        <v>@Tridibans</v>
      </c>
      <c r="C4848" s="21" t="s">
        <v>11140</v>
      </c>
      <c r="D4848" s="21" t="s">
        <v>42</v>
      </c>
      <c r="E4848" s="22" t="str">
        <f>HYPERLINK("https://twitter.com/Tridibans/status/922467741969387520","922467741969387520")</f>
        <v>922467741969387520</v>
      </c>
      <c r="F4848" s="23" t="s">
        <v>43</v>
      </c>
      <c r="G4848" s="24">
        <v>186.0</v>
      </c>
      <c r="H4848" s="24">
        <v>594.0</v>
      </c>
      <c r="I4848" s="24">
        <v>8501.0</v>
      </c>
      <c r="J4848" s="24">
        <v>0.0</v>
      </c>
      <c r="K4848" s="23" t="s">
        <v>34</v>
      </c>
      <c r="L4848" s="25">
        <v>41778.282997685186</v>
      </c>
      <c r="M4848" s="26" t="s">
        <v>207</v>
      </c>
      <c r="N4848" s="28"/>
      <c r="O4848" s="22" t="str">
        <f>HYPERLINK("https://pbs.twimg.com/profile_images/703253354726576129/pW6ogJq4_normal.jpg","View")</f>
        <v>View</v>
      </c>
      <c r="P4848" s="27"/>
    </row>
    <row r="4849">
      <c r="A4849" s="14">
        <v>43031.30583333333</v>
      </c>
      <c r="B4849" s="20" t="str">
        <f>HYPERLINK("https://twitter.com/lorenzoology","@lorenzoology")</f>
        <v>@lorenzoology</v>
      </c>
      <c r="C4849" s="21" t="s">
        <v>11141</v>
      </c>
      <c r="D4849" s="21" t="s">
        <v>10614</v>
      </c>
      <c r="E4849" s="22" t="str">
        <f>HYPERLINK("https://twitter.com/lorenzoology/status/922467747296169986","922467747296169986")</f>
        <v>922467747296169986</v>
      </c>
      <c r="F4849" s="23" t="s">
        <v>39</v>
      </c>
      <c r="G4849" s="24">
        <v>1477.0</v>
      </c>
      <c r="H4849" s="24">
        <v>1052.0</v>
      </c>
      <c r="I4849" s="24">
        <v>159.0</v>
      </c>
      <c r="J4849" s="24">
        <v>0.0</v>
      </c>
      <c r="K4849" s="23" t="s">
        <v>34</v>
      </c>
      <c r="L4849" s="25">
        <v>42017.94663194445</v>
      </c>
      <c r="M4849" s="26" t="s">
        <v>1961</v>
      </c>
      <c r="N4849" s="26" t="s">
        <v>11142</v>
      </c>
      <c r="O4849" s="22" t="str">
        <f>HYPERLINK("https://pbs.twimg.com/profile_images/919764166067589121/GyHn-GnZ_normal.jpg","View")</f>
        <v>View</v>
      </c>
      <c r="P4849" s="27"/>
    </row>
    <row r="4850">
      <c r="A4850" s="14">
        <v>43031.305868055555</v>
      </c>
      <c r="B4850" s="20" t="str">
        <f>HYPERLINK("https://twitter.com/rvsharma2008","@rvsharma2008")</f>
        <v>@rvsharma2008</v>
      </c>
      <c r="C4850" s="21" t="s">
        <v>4499</v>
      </c>
      <c r="D4850" s="21" t="s">
        <v>42</v>
      </c>
      <c r="E4850" s="22" t="str">
        <f>HYPERLINK("https://twitter.com/rvsharma2008/status/922467759073648643","922467759073648643")</f>
        <v>922467759073648643</v>
      </c>
      <c r="F4850" s="23" t="s">
        <v>39</v>
      </c>
      <c r="G4850" s="24">
        <v>621.0</v>
      </c>
      <c r="H4850" s="24">
        <v>4149.0</v>
      </c>
      <c r="I4850" s="24">
        <v>8501.0</v>
      </c>
      <c r="J4850" s="24">
        <v>0.0</v>
      </c>
      <c r="K4850" s="23" t="s">
        <v>34</v>
      </c>
      <c r="L4850" s="25">
        <v>41920.18304398148</v>
      </c>
      <c r="M4850" s="26" t="s">
        <v>164</v>
      </c>
      <c r="N4850" s="28"/>
      <c r="O4850" s="22" t="str">
        <f>HYPERLINK("https://pbs.twimg.com/profile_images/519844605827624960/la5iqD1I_normal.jpeg","View")</f>
        <v>View</v>
      </c>
      <c r="P4850" s="27"/>
    </row>
    <row r="4851">
      <c r="A4851" s="14">
        <v>43031.30608796296</v>
      </c>
      <c r="B4851" s="20" t="str">
        <f>HYPERLINK("https://twitter.com/trumpathon","@trumpathon")</f>
        <v>@trumpathon</v>
      </c>
      <c r="C4851" s="21" t="s">
        <v>11143</v>
      </c>
      <c r="D4851" s="21" t="s">
        <v>11144</v>
      </c>
      <c r="E4851" s="22" t="str">
        <f>HYPERLINK("https://twitter.com/trumpathon/status/922467842544545792","922467842544545792")</f>
        <v>922467842544545792</v>
      </c>
      <c r="F4851" s="30" t="s">
        <v>191</v>
      </c>
      <c r="G4851" s="24">
        <v>513.0</v>
      </c>
      <c r="H4851" s="24">
        <v>263.0</v>
      </c>
      <c r="I4851" s="24">
        <v>0.0</v>
      </c>
      <c r="J4851" s="24">
        <v>0.0</v>
      </c>
      <c r="K4851" s="23" t="s">
        <v>34</v>
      </c>
      <c r="L4851" s="25">
        <v>41660.50895833333</v>
      </c>
      <c r="M4851" s="28"/>
      <c r="N4851" s="26" t="s">
        <v>11145</v>
      </c>
      <c r="O4851" s="22" t="str">
        <f>HYPERLINK("https://pbs.twimg.com/profile_images/835521451310493696/m9w442dK_normal.jpg","View")</f>
        <v>View</v>
      </c>
      <c r="P4851" s="27"/>
    </row>
    <row r="4852">
      <c r="A4852" s="14">
        <v>43031.306180555555</v>
      </c>
      <c r="B4852" s="20" t="str">
        <f>HYPERLINK("https://twitter.com/_Jakuzure","@_Jakuzure")</f>
        <v>@_Jakuzure</v>
      </c>
      <c r="C4852" s="21" t="s">
        <v>11146</v>
      </c>
      <c r="D4852" s="21" t="s">
        <v>11147</v>
      </c>
      <c r="E4852" s="22" t="str">
        <f>HYPERLINK("https://twitter.com/_Jakuzure/status/922467875322986497","922467875322986497")</f>
        <v>922467875322986497</v>
      </c>
      <c r="F4852" s="23" t="s">
        <v>33</v>
      </c>
      <c r="G4852" s="24">
        <v>213.0</v>
      </c>
      <c r="H4852" s="24">
        <v>237.0</v>
      </c>
      <c r="I4852" s="24">
        <v>0.0</v>
      </c>
      <c r="J4852" s="24">
        <v>0.0</v>
      </c>
      <c r="K4852" s="23" t="s">
        <v>34</v>
      </c>
      <c r="L4852" s="25">
        <v>42527.64392361111</v>
      </c>
      <c r="M4852" s="28"/>
      <c r="N4852" s="26" t="s">
        <v>11148</v>
      </c>
      <c r="O4852" s="22" t="str">
        <f>HYPERLINK("https://pbs.twimg.com/profile_images/907717685085184000/N2fhBiJF_normal.jpg","View")</f>
        <v>View</v>
      </c>
      <c r="P4852" s="27"/>
    </row>
    <row r="4853">
      <c r="A4853" s="14">
        <v>43031.306226851855</v>
      </c>
      <c r="B4853" s="20" t="str">
        <f>HYPERLINK("https://twitter.com/im_sujeet_India","@im_sujeet_India")</f>
        <v>@im_sujeet_India</v>
      </c>
      <c r="C4853" s="21" t="s">
        <v>11149</v>
      </c>
      <c r="D4853" s="21" t="s">
        <v>42</v>
      </c>
      <c r="E4853" s="22" t="str">
        <f>HYPERLINK("https://twitter.com/im_sujeet_India/status/922467891903188992","922467891903188992")</f>
        <v>922467891903188992</v>
      </c>
      <c r="F4853" s="23" t="s">
        <v>33</v>
      </c>
      <c r="G4853" s="24">
        <v>3.0</v>
      </c>
      <c r="H4853" s="24">
        <v>99.0</v>
      </c>
      <c r="I4853" s="24">
        <v>8501.0</v>
      </c>
      <c r="J4853" s="24">
        <v>0.0</v>
      </c>
      <c r="K4853" s="23" t="s">
        <v>34</v>
      </c>
      <c r="L4853" s="25">
        <v>43029.93089120371</v>
      </c>
      <c r="M4853" s="26" t="s">
        <v>11150</v>
      </c>
      <c r="N4853" s="26" t="s">
        <v>11151</v>
      </c>
      <c r="O4853" s="22" t="str">
        <f>HYPERLINK("https://pbs.twimg.com/profile_images/921972330632564737/9Z06BS_L_normal.jpg","View")</f>
        <v>View</v>
      </c>
      <c r="P4853" s="27"/>
    </row>
    <row r="4854">
      <c r="A4854" s="14">
        <v>43031.306226851855</v>
      </c>
      <c r="B4854" s="20" t="str">
        <f>HYPERLINK("https://twitter.com/Kw_Saa","@Kw_Saa")</f>
        <v>@Kw_Saa</v>
      </c>
      <c r="C4854" s="21" t="s">
        <v>11152</v>
      </c>
      <c r="D4854" s="21" t="s">
        <v>42</v>
      </c>
      <c r="E4854" s="22" t="str">
        <f>HYPERLINK("https://twitter.com/Kw_Saa/status/922467892708360199","922467892708360199")</f>
        <v>922467892708360199</v>
      </c>
      <c r="F4854" s="23" t="s">
        <v>33</v>
      </c>
      <c r="G4854" s="24">
        <v>464.0</v>
      </c>
      <c r="H4854" s="24">
        <v>262.0</v>
      </c>
      <c r="I4854" s="24">
        <v>8501.0</v>
      </c>
      <c r="J4854" s="24">
        <v>0.0</v>
      </c>
      <c r="K4854" s="23" t="s">
        <v>34</v>
      </c>
      <c r="L4854" s="25">
        <v>41880.212476851855</v>
      </c>
      <c r="M4854" s="26" t="s">
        <v>11153</v>
      </c>
      <c r="N4854" s="26" t="s">
        <v>11154</v>
      </c>
      <c r="O4854" s="22" t="str">
        <f>HYPERLINK("https://pbs.twimg.com/profile_images/921183554863751169/5og-9aiB_normal.jpg","View")</f>
        <v>View</v>
      </c>
      <c r="P4854" s="27"/>
    </row>
    <row r="4855">
      <c r="A4855" s="14">
        <v>43031.30627314815</v>
      </c>
      <c r="B4855" s="20" t="str">
        <f>HYPERLINK("https://twitter.com/MaureenKelsey","@MaureenKelsey")</f>
        <v>@MaureenKelsey</v>
      </c>
      <c r="C4855" s="21" t="s">
        <v>11137</v>
      </c>
      <c r="D4855" s="21" t="s">
        <v>11155</v>
      </c>
      <c r="E4855" s="22" t="str">
        <f>HYPERLINK("https://twitter.com/MaureenKelsey/status/922467907552075776","922467907552075776")</f>
        <v>922467907552075776</v>
      </c>
      <c r="F4855" s="23" t="s">
        <v>1570</v>
      </c>
      <c r="G4855" s="24">
        <v>3531.0</v>
      </c>
      <c r="H4855" s="24">
        <v>4462.0</v>
      </c>
      <c r="I4855" s="24">
        <v>0.0</v>
      </c>
      <c r="J4855" s="24">
        <v>0.0</v>
      </c>
      <c r="K4855" s="23" t="s">
        <v>34</v>
      </c>
      <c r="L4855" s="25">
        <v>40782.55190972222</v>
      </c>
      <c r="M4855" s="26" t="s">
        <v>10709</v>
      </c>
      <c r="N4855" s="26" t="s">
        <v>11139</v>
      </c>
      <c r="O4855" s="22" t="str">
        <f>HYPERLINK("https://pbs.twimg.com/profile_images/1520572564/IMG000015_normal.jpg","View")</f>
        <v>View</v>
      </c>
      <c r="P4855" s="27"/>
    </row>
    <row r="4856">
      <c r="A4856" s="14">
        <v>43031.30627314815</v>
      </c>
      <c r="B4856" s="20" t="str">
        <f>HYPERLINK("https://twitter.com/EvelynZebro","@EvelynZebro")</f>
        <v>@EvelynZebro</v>
      </c>
      <c r="C4856" s="21" t="s">
        <v>11156</v>
      </c>
      <c r="D4856" s="21" t="s">
        <v>11157</v>
      </c>
      <c r="E4856" s="22" t="str">
        <f>HYPERLINK("https://twitter.com/EvelynZebro/status/922467908269338624","922467908269338624")</f>
        <v>922467908269338624</v>
      </c>
      <c r="F4856" s="23" t="s">
        <v>55</v>
      </c>
      <c r="G4856" s="24">
        <v>2.0</v>
      </c>
      <c r="H4856" s="24">
        <v>2.0</v>
      </c>
      <c r="I4856" s="24">
        <v>0.0</v>
      </c>
      <c r="J4856" s="24">
        <v>0.0</v>
      </c>
      <c r="K4856" s="23" t="s">
        <v>34</v>
      </c>
      <c r="L4856" s="25">
        <v>41961.74747685185</v>
      </c>
      <c r="M4856" s="28"/>
      <c r="N4856" s="28"/>
      <c r="O4856" s="22" t="str">
        <f>HYPERLINK("https://pbs.twimg.com/profile_images/534888088292839425/C9jj0MTl_normal.jpeg","View")</f>
        <v>View</v>
      </c>
      <c r="P4856" s="27"/>
    </row>
    <row r="4857">
      <c r="A4857" s="14">
        <v>43031.30640046296</v>
      </c>
      <c r="B4857" s="20" t="str">
        <f>HYPERLINK("https://twitter.com/WalkingImpress","@WalkingImpress")</f>
        <v>@WalkingImpress</v>
      </c>
      <c r="C4857" s="21" t="s">
        <v>11158</v>
      </c>
      <c r="D4857" s="21" t="s">
        <v>11159</v>
      </c>
      <c r="E4857" s="22" t="str">
        <f>HYPERLINK("https://twitter.com/WalkingImpress/status/922467954230484994","922467954230484994")</f>
        <v>922467954230484994</v>
      </c>
      <c r="F4857" s="23" t="s">
        <v>11160</v>
      </c>
      <c r="G4857" s="24">
        <v>7010.0</v>
      </c>
      <c r="H4857" s="24">
        <v>1172.0</v>
      </c>
      <c r="I4857" s="24">
        <v>1.0</v>
      </c>
      <c r="J4857" s="24">
        <v>0.0</v>
      </c>
      <c r="K4857" s="23" t="s">
        <v>34</v>
      </c>
      <c r="L4857" s="25">
        <v>41827.68814814815</v>
      </c>
      <c r="M4857" s="26" t="s">
        <v>40</v>
      </c>
      <c r="N4857" s="26" t="s">
        <v>11161</v>
      </c>
      <c r="O4857" s="22" t="str">
        <f>HYPERLINK("https://pbs.twimg.com/profile_images/899379951165681665/VDnehfbM_normal.jpg","View")</f>
        <v>View</v>
      </c>
      <c r="P4857" s="27"/>
    </row>
    <row r="4858">
      <c r="A4858" s="14">
        <v>43031.306481481486</v>
      </c>
      <c r="B4858" s="20" t="str">
        <f>HYPERLINK("https://twitter.com/kabukimonokabu","@kabukimonokabu")</f>
        <v>@kabukimonokabu</v>
      </c>
      <c r="C4858" s="21" t="s">
        <v>11162</v>
      </c>
      <c r="D4858" s="21" t="s">
        <v>10653</v>
      </c>
      <c r="E4858" s="22" t="str">
        <f>HYPERLINK("https://twitter.com/kabukimonokabu/status/922467984236408832","922467984236408832")</f>
        <v>922467984236408832</v>
      </c>
      <c r="F4858" s="23" t="s">
        <v>33</v>
      </c>
      <c r="G4858" s="24">
        <v>6753.0</v>
      </c>
      <c r="H4858" s="24">
        <v>828.0</v>
      </c>
      <c r="I4858" s="24">
        <v>9.0</v>
      </c>
      <c r="J4858" s="24">
        <v>0.0</v>
      </c>
      <c r="K4858" s="23" t="s">
        <v>34</v>
      </c>
      <c r="L4858" s="25">
        <v>42110.195856481485</v>
      </c>
      <c r="M4858" s="28"/>
      <c r="N4858" s="26" t="s">
        <v>11163</v>
      </c>
      <c r="O4858" s="22" t="str">
        <f>HYPERLINK("https://pbs.twimg.com/profile_images/921306370409766912/lEskFUVU_normal.jpg","View")</f>
        <v>View</v>
      </c>
      <c r="P4858" s="27"/>
    </row>
    <row r="4859">
      <c r="A4859" s="14">
        <v>43031.306493055556</v>
      </c>
      <c r="B4859" s="20" t="str">
        <f>HYPERLINK("https://twitter.com/SixFaces1","@SixFaces1")</f>
        <v>@SixFaces1</v>
      </c>
      <c r="C4859" s="21" t="s">
        <v>11164</v>
      </c>
      <c r="D4859" s="21" t="s">
        <v>42</v>
      </c>
      <c r="E4859" s="22" t="str">
        <f>HYPERLINK("https://twitter.com/SixFaces1/status/922467985574391808","922467985574391808")</f>
        <v>922467985574391808</v>
      </c>
      <c r="F4859" s="23" t="s">
        <v>33</v>
      </c>
      <c r="G4859" s="24">
        <v>214.0</v>
      </c>
      <c r="H4859" s="24">
        <v>2617.0</v>
      </c>
      <c r="I4859" s="24">
        <v>8501.0</v>
      </c>
      <c r="J4859" s="24">
        <v>0.0</v>
      </c>
      <c r="K4859" s="23" t="s">
        <v>34</v>
      </c>
      <c r="L4859" s="25">
        <v>41203.28631944444</v>
      </c>
      <c r="M4859" s="28"/>
      <c r="N4859" s="26" t="s">
        <v>11165</v>
      </c>
      <c r="O4859" s="22" t="str">
        <f>HYPERLINK("https://pbs.twimg.com/profile_images/2823771004/f338afababe0b6ed8c614f99f1c9b66c_normal.png","View")</f>
        <v>View</v>
      </c>
      <c r="P4859" s="27"/>
    </row>
    <row r="4860">
      <c r="A4860" s="14">
        <v>43031.3065625</v>
      </c>
      <c r="B4860" s="20" t="str">
        <f>HYPERLINK("https://twitter.com/Mahendra8396","@Mahendra8396")</f>
        <v>@Mahendra8396</v>
      </c>
      <c r="C4860" s="21" t="s">
        <v>11166</v>
      </c>
      <c r="D4860" s="21" t="s">
        <v>42</v>
      </c>
      <c r="E4860" s="22" t="str">
        <f>HYPERLINK("https://twitter.com/Mahendra8396/status/922468011885215744","922468011885215744")</f>
        <v>922468011885215744</v>
      </c>
      <c r="F4860" s="23" t="s">
        <v>43</v>
      </c>
      <c r="G4860" s="24">
        <v>37.0</v>
      </c>
      <c r="H4860" s="24">
        <v>101.0</v>
      </c>
      <c r="I4860" s="24">
        <v>8501.0</v>
      </c>
      <c r="J4860" s="24">
        <v>0.0</v>
      </c>
      <c r="K4860" s="23" t="s">
        <v>34</v>
      </c>
      <c r="L4860" s="25">
        <v>42496.924062499995</v>
      </c>
      <c r="M4860" s="28"/>
      <c r="N4860" s="26" t="s">
        <v>11167</v>
      </c>
      <c r="O4860" s="22" t="str">
        <f>HYPERLINK("https://pbs.twimg.com/profile_images/728816740285566976/KMnDIntQ_normal.jpg","View")</f>
        <v>View</v>
      </c>
      <c r="P4860" s="27"/>
    </row>
    <row r="4861">
      <c r="A4861" s="14">
        <v>43031.30662037037</v>
      </c>
      <c r="B4861" s="20" t="str">
        <f>HYPERLINK("https://twitter.com/gs9867","@gs9867")</f>
        <v>@gs9867</v>
      </c>
      <c r="C4861" s="21" t="s">
        <v>11168</v>
      </c>
      <c r="D4861" s="21" t="s">
        <v>42</v>
      </c>
      <c r="E4861" s="22" t="str">
        <f>HYPERLINK("https://twitter.com/gs9867/status/922468031644569601","922468031644569601")</f>
        <v>922468031644569601</v>
      </c>
      <c r="F4861" s="23" t="s">
        <v>33</v>
      </c>
      <c r="G4861" s="24">
        <v>864.0</v>
      </c>
      <c r="H4861" s="24">
        <v>5001.0</v>
      </c>
      <c r="I4861" s="24">
        <v>8501.0</v>
      </c>
      <c r="J4861" s="24">
        <v>0.0</v>
      </c>
      <c r="K4861" s="23" t="s">
        <v>34</v>
      </c>
      <c r="L4861" s="25">
        <v>41348.31668981482</v>
      </c>
      <c r="M4861" s="26" t="s">
        <v>11169</v>
      </c>
      <c r="N4861" s="26" t="s">
        <v>11170</v>
      </c>
      <c r="O4861" s="22" t="str">
        <f>HYPERLINK("https://pbs.twimg.com/profile_images/914033767194419201/-vQlq9rX_normal.jpg","View")</f>
        <v>View</v>
      </c>
      <c r="P4861" s="27"/>
    </row>
    <row r="4862">
      <c r="A4862" s="14">
        <v>43031.306655092594</v>
      </c>
      <c r="B4862" s="20" t="str">
        <f>HYPERLINK("https://twitter.com/Shailen55100408","@Shailen55100408")</f>
        <v>@Shailen55100408</v>
      </c>
      <c r="C4862" s="21" t="s">
        <v>11171</v>
      </c>
      <c r="D4862" s="21" t="s">
        <v>42</v>
      </c>
      <c r="E4862" s="22" t="str">
        <f>HYPERLINK("https://twitter.com/Shailen55100408/status/922468046123364352","922468046123364352")</f>
        <v>922468046123364352</v>
      </c>
      <c r="F4862" s="23" t="s">
        <v>33</v>
      </c>
      <c r="G4862" s="24">
        <v>61.0</v>
      </c>
      <c r="H4862" s="24">
        <v>295.0</v>
      </c>
      <c r="I4862" s="24">
        <v>8501.0</v>
      </c>
      <c r="J4862" s="24">
        <v>0.0</v>
      </c>
      <c r="K4862" s="23" t="s">
        <v>34</v>
      </c>
      <c r="L4862" s="25">
        <v>42195.87971064815</v>
      </c>
      <c r="M4862" s="26" t="s">
        <v>11172</v>
      </c>
      <c r="N4862" s="26" t="s">
        <v>11173</v>
      </c>
      <c r="O4862" s="22" t="str">
        <f>HYPERLINK("https://pbs.twimg.com/profile_images/853181150436741120/_vrpMCQw_normal.jpg","View")</f>
        <v>View</v>
      </c>
      <c r="P4862" s="27"/>
    </row>
    <row r="4863">
      <c r="A4863" s="14">
        <v>43031.30673611111</v>
      </c>
      <c r="B4863" s="20" t="str">
        <f>HYPERLINK("https://twitter.com/Bhartiyalist","@Bhartiyalist")</f>
        <v>@Bhartiyalist</v>
      </c>
      <c r="C4863" s="21" t="s">
        <v>11174</v>
      </c>
      <c r="D4863" s="21" t="s">
        <v>42</v>
      </c>
      <c r="E4863" s="22" t="str">
        <f>HYPERLINK("https://twitter.com/Bhartiyalist/status/922468076599132163","922468076599132163")</f>
        <v>922468076599132163</v>
      </c>
      <c r="F4863" s="23" t="s">
        <v>33</v>
      </c>
      <c r="G4863" s="24">
        <v>440.0</v>
      </c>
      <c r="H4863" s="24">
        <v>291.0</v>
      </c>
      <c r="I4863" s="24">
        <v>8501.0</v>
      </c>
      <c r="J4863" s="24">
        <v>0.0</v>
      </c>
      <c r="K4863" s="23" t="s">
        <v>34</v>
      </c>
      <c r="L4863" s="25">
        <v>40711.193564814814</v>
      </c>
      <c r="M4863" s="26" t="s">
        <v>246</v>
      </c>
      <c r="N4863" s="26" t="s">
        <v>11175</v>
      </c>
      <c r="O4863" s="22" t="str">
        <f>HYPERLINK("https://pbs.twimg.com/profile_images/919528669281796096/Hjr8ttEG_normal.jpg","View")</f>
        <v>View</v>
      </c>
      <c r="P4863" s="27"/>
    </row>
    <row r="4864">
      <c r="A4864" s="14">
        <v>43031.306759259256</v>
      </c>
      <c r="B4864" s="20" t="str">
        <f>HYPERLINK("https://twitter.com/TapanSamal15","@TapanSamal15")</f>
        <v>@TapanSamal15</v>
      </c>
      <c r="C4864" s="21" t="s">
        <v>11176</v>
      </c>
      <c r="D4864" s="21" t="s">
        <v>42</v>
      </c>
      <c r="E4864" s="22" t="str">
        <f>HYPERLINK("https://twitter.com/TapanSamal15/status/922468085495250944","922468085495250944")</f>
        <v>922468085495250944</v>
      </c>
      <c r="F4864" s="23" t="s">
        <v>33</v>
      </c>
      <c r="G4864" s="24">
        <v>380.0</v>
      </c>
      <c r="H4864" s="24">
        <v>2389.0</v>
      </c>
      <c r="I4864" s="24">
        <v>8501.0</v>
      </c>
      <c r="J4864" s="24">
        <v>0.0</v>
      </c>
      <c r="K4864" s="23" t="s">
        <v>34</v>
      </c>
      <c r="L4864" s="25">
        <v>42688.940937499996</v>
      </c>
      <c r="M4864" s="26" t="s">
        <v>572</v>
      </c>
      <c r="N4864" s="26" t="s">
        <v>11177</v>
      </c>
      <c r="O4864" s="22" t="str">
        <f>HYPERLINK("https://pbs.twimg.com/profile_images/921472789009141760/LI9sZZ4X_normal.jpg","View")</f>
        <v>View</v>
      </c>
      <c r="P4864" s="27"/>
    </row>
    <row r="4865">
      <c r="A4865" s="14">
        <v>43031.306967592594</v>
      </c>
      <c r="B4865" s="20" t="str">
        <f>HYPERLINK("https://twitter.com/arunpampa","@arunpampa")</f>
        <v>@arunpampa</v>
      </c>
      <c r="C4865" s="21" t="s">
        <v>11178</v>
      </c>
      <c r="D4865" s="21" t="s">
        <v>10614</v>
      </c>
      <c r="E4865" s="22" t="str">
        <f>HYPERLINK("https://twitter.com/arunpampa/status/922468159998717952","922468159998717952")</f>
        <v>922468159998717952</v>
      </c>
      <c r="F4865" s="23" t="s">
        <v>2119</v>
      </c>
      <c r="G4865" s="24">
        <v>49.0</v>
      </c>
      <c r="H4865" s="24">
        <v>389.0</v>
      </c>
      <c r="I4865" s="24">
        <v>159.0</v>
      </c>
      <c r="J4865" s="24">
        <v>0.0</v>
      </c>
      <c r="K4865" s="23" t="s">
        <v>34</v>
      </c>
      <c r="L4865" s="25">
        <v>42819.07400462963</v>
      </c>
      <c r="M4865" s="26" t="s">
        <v>1545</v>
      </c>
      <c r="N4865" s="26" t="s">
        <v>11179</v>
      </c>
      <c r="O4865" s="22" t="str">
        <f>HYPERLINK("https://pbs.twimg.com/profile_images/845970282561048576/_Z-AoeL3_normal.jpg","View")</f>
        <v>View</v>
      </c>
      <c r="P4865" s="27"/>
    </row>
    <row r="4866">
      <c r="A4866" s="14">
        <v>43031.3070949074</v>
      </c>
      <c r="B4866" s="20" t="str">
        <f>HYPERLINK("https://twitter.com/UQ2dvOGG10nCo5N","@UQ2dvOGG10nCo5N")</f>
        <v>@UQ2dvOGG10nCo5N</v>
      </c>
      <c r="C4866" s="21" t="s">
        <v>11180</v>
      </c>
      <c r="D4866" s="21" t="s">
        <v>42</v>
      </c>
      <c r="E4866" s="22" t="str">
        <f>HYPERLINK("https://twitter.com/UQ2dvOGG10nCo5N/status/922468203808284674","922468203808284674")</f>
        <v>922468203808284674</v>
      </c>
      <c r="F4866" s="23" t="s">
        <v>33</v>
      </c>
      <c r="G4866" s="24">
        <v>358.0</v>
      </c>
      <c r="H4866" s="24">
        <v>360.0</v>
      </c>
      <c r="I4866" s="24">
        <v>8501.0</v>
      </c>
      <c r="J4866" s="24">
        <v>0.0</v>
      </c>
      <c r="K4866" s="23" t="s">
        <v>34</v>
      </c>
      <c r="L4866" s="25">
        <v>42951.139803240745</v>
      </c>
      <c r="M4866" s="28"/>
      <c r="N4866" s="26" t="s">
        <v>11181</v>
      </c>
      <c r="O4866" s="22" t="str">
        <f>HYPERLINK("https://pbs.twimg.com/profile_images/894157255888715776/0nUdP2va_normal.jpg","View")</f>
        <v>View</v>
      </c>
      <c r="P4866" s="27"/>
    </row>
    <row r="4867">
      <c r="A4867" s="14">
        <v>43031.30737268519</v>
      </c>
      <c r="B4867" s="20" t="str">
        <f>HYPERLINK("https://twitter.com/tgloss55","@tgloss55")</f>
        <v>@tgloss55</v>
      </c>
      <c r="C4867" s="21" t="s">
        <v>11182</v>
      </c>
      <c r="D4867" s="21" t="s">
        <v>10437</v>
      </c>
      <c r="E4867" s="22" t="str">
        <f>HYPERLINK("https://twitter.com/tgloss55/status/922468305981538305","922468305981538305")</f>
        <v>922468305981538305</v>
      </c>
      <c r="F4867" s="23" t="s">
        <v>33</v>
      </c>
      <c r="G4867" s="24">
        <v>73.0</v>
      </c>
      <c r="H4867" s="24">
        <v>94.0</v>
      </c>
      <c r="I4867" s="24">
        <v>16.0</v>
      </c>
      <c r="J4867" s="24">
        <v>0.0</v>
      </c>
      <c r="K4867" s="23" t="s">
        <v>34</v>
      </c>
      <c r="L4867" s="25">
        <v>40232.47116898148</v>
      </c>
      <c r="M4867" s="26" t="s">
        <v>11183</v>
      </c>
      <c r="N4867" s="28"/>
      <c r="O4867" s="22" t="str">
        <f>HYPERLINK("https://pbs.twimg.com/profile_images/886335837688012800/PWstZcdD_normal.jpg","View")</f>
        <v>View</v>
      </c>
      <c r="P4867" s="27"/>
    </row>
    <row r="4868">
      <c r="A4868" s="14">
        <v>43031.30752314815</v>
      </c>
      <c r="B4868" s="20" t="str">
        <f>HYPERLINK("https://twitter.com/bftbarry","@bftbarry")</f>
        <v>@bftbarry</v>
      </c>
      <c r="C4868" s="21" t="s">
        <v>11184</v>
      </c>
      <c r="D4868" s="21" t="s">
        <v>10614</v>
      </c>
      <c r="E4868" s="22" t="str">
        <f>HYPERLINK("https://twitter.com/bftbarry/status/922468359018614784","922468359018614784")</f>
        <v>922468359018614784</v>
      </c>
      <c r="F4868" s="23" t="s">
        <v>33</v>
      </c>
      <c r="G4868" s="24">
        <v>245.0</v>
      </c>
      <c r="H4868" s="24">
        <v>541.0</v>
      </c>
      <c r="I4868" s="24">
        <v>159.0</v>
      </c>
      <c r="J4868" s="24">
        <v>0.0</v>
      </c>
      <c r="K4868" s="23" t="s">
        <v>34</v>
      </c>
      <c r="L4868" s="25">
        <v>41767.66961805556</v>
      </c>
      <c r="M4868" s="28"/>
      <c r="N4868" s="28"/>
      <c r="O4868" s="22" t="str">
        <f>HYPERLINK("https://pbs.twimg.com/profile_images/486266300633583616/j59NP20j_normal.jpeg","View")</f>
        <v>View</v>
      </c>
      <c r="P4868" s="27"/>
    </row>
    <row r="4869">
      <c r="A4869" s="14">
        <v>43031.30763888889</v>
      </c>
      <c r="B4869" s="20" t="str">
        <f>HYPERLINK("https://twitter.com/1234pkp","@1234pkp")</f>
        <v>@1234pkp</v>
      </c>
      <c r="C4869" s="21" t="s">
        <v>11185</v>
      </c>
      <c r="D4869" s="21" t="s">
        <v>42</v>
      </c>
      <c r="E4869" s="22" t="str">
        <f>HYPERLINK("https://twitter.com/1234pkp/status/922468402387607552","922468402387607552")</f>
        <v>922468402387607552</v>
      </c>
      <c r="F4869" s="23" t="s">
        <v>33</v>
      </c>
      <c r="G4869" s="24">
        <v>77.0</v>
      </c>
      <c r="H4869" s="24">
        <v>428.0</v>
      </c>
      <c r="I4869" s="24">
        <v>8501.0</v>
      </c>
      <c r="J4869" s="24">
        <v>0.0</v>
      </c>
      <c r="K4869" s="23" t="s">
        <v>34</v>
      </c>
      <c r="L4869" s="25">
        <v>42123.17020833334</v>
      </c>
      <c r="M4869" s="28"/>
      <c r="N4869" s="28"/>
      <c r="O4869" s="22" t="str">
        <f>HYPERLINK("https://abs.twimg.com/sticky/default_profile_images/default_profile_normal.png","View")</f>
        <v>View</v>
      </c>
      <c r="P4869" s="27"/>
    </row>
    <row r="4870">
      <c r="A4870" s="14">
        <v>43031.30766203704</v>
      </c>
      <c r="B4870" s="20" t="str">
        <f>HYPERLINK("https://twitter.com/ADARSH1610","@ADARSH1610")</f>
        <v>@ADARSH1610</v>
      </c>
      <c r="C4870" s="21" t="s">
        <v>11186</v>
      </c>
      <c r="D4870" s="21" t="s">
        <v>42</v>
      </c>
      <c r="E4870" s="22" t="str">
        <f>HYPERLINK("https://twitter.com/ADARSH1610/status/922468411107504135","922468411107504135")</f>
        <v>922468411107504135</v>
      </c>
      <c r="F4870" s="23" t="s">
        <v>39</v>
      </c>
      <c r="G4870" s="24">
        <v>197.0</v>
      </c>
      <c r="H4870" s="24">
        <v>306.0</v>
      </c>
      <c r="I4870" s="24">
        <v>8501.0</v>
      </c>
      <c r="J4870" s="24">
        <v>0.0</v>
      </c>
      <c r="K4870" s="23" t="s">
        <v>34</v>
      </c>
      <c r="L4870" s="25">
        <v>41666.18869212963</v>
      </c>
      <c r="M4870" s="26" t="s">
        <v>11187</v>
      </c>
      <c r="N4870" s="26" t="s">
        <v>11188</v>
      </c>
      <c r="O4870" s="22" t="str">
        <f>HYPERLINK("https://pbs.twimg.com/profile_images/912338703275532289/WVA_96Ai_normal.jpg","View")</f>
        <v>View</v>
      </c>
      <c r="P4870" s="27"/>
    </row>
    <row r="4871">
      <c r="A4871" s="14">
        <v>43031.30774305556</v>
      </c>
      <c r="B4871" s="20" t="str">
        <f>HYPERLINK("https://twitter.com/vincentmenezes","@vincentmenezes")</f>
        <v>@vincentmenezes</v>
      </c>
      <c r="C4871" s="21" t="s">
        <v>10758</v>
      </c>
      <c r="D4871" s="21" t="s">
        <v>179</v>
      </c>
      <c r="E4871" s="22" t="str">
        <f>HYPERLINK("https://twitter.com/vincentmenezes/status/922468439179984896","922468439179984896")</f>
        <v>922468439179984896</v>
      </c>
      <c r="F4871" s="23" t="s">
        <v>39</v>
      </c>
      <c r="G4871" s="24">
        <v>61799.0</v>
      </c>
      <c r="H4871" s="24">
        <v>48578.0</v>
      </c>
      <c r="I4871" s="24">
        <v>30.0</v>
      </c>
      <c r="J4871" s="24">
        <v>0.0</v>
      </c>
      <c r="K4871" s="23" t="s">
        <v>34</v>
      </c>
      <c r="L4871" s="25">
        <v>40219.2875</v>
      </c>
      <c r="M4871" s="26" t="s">
        <v>1991</v>
      </c>
      <c r="N4871" s="26" t="s">
        <v>10759</v>
      </c>
      <c r="O4871" s="22" t="str">
        <f>HYPERLINK("https://pbs.twimg.com/profile_images/834469241348710400/EuYLTAAo_normal.jpg","View")</f>
        <v>View</v>
      </c>
      <c r="P4871" s="27"/>
    </row>
    <row r="4872">
      <c r="A4872" s="14">
        <v>43031.30774305556</v>
      </c>
      <c r="B4872" s="20" t="str">
        <f>HYPERLINK("https://twitter.com/Andy_Burton","@Andy_Burton")</f>
        <v>@Andy_Burton</v>
      </c>
      <c r="C4872" s="21" t="s">
        <v>11189</v>
      </c>
      <c r="D4872" s="21" t="s">
        <v>11190</v>
      </c>
      <c r="E4872" s="22" t="str">
        <f>HYPERLINK("https://twitter.com/Andy_Burton/status/922468441398714369","922468441398714369")</f>
        <v>922468441398714369</v>
      </c>
      <c r="F4872" s="30" t="s">
        <v>411</v>
      </c>
      <c r="G4872" s="24">
        <v>73521.0</v>
      </c>
      <c r="H4872" s="24">
        <v>66286.0</v>
      </c>
      <c r="I4872" s="24">
        <v>0.0</v>
      </c>
      <c r="J4872" s="24">
        <v>0.0</v>
      </c>
      <c r="K4872" s="23" t="s">
        <v>34</v>
      </c>
      <c r="L4872" s="25">
        <v>39807.48415509259</v>
      </c>
      <c r="M4872" s="26" t="s">
        <v>11191</v>
      </c>
      <c r="N4872" s="26" t="s">
        <v>11192</v>
      </c>
      <c r="O4872" s="22" t="str">
        <f>HYPERLINK("https://pbs.twimg.com/profile_images/653575702600622080/qyoEQUPC_normal.jpg","View")</f>
        <v>View</v>
      </c>
      <c r="P4872" s="27"/>
    </row>
    <row r="4873">
      <c r="A4873" s="14">
        <v>43031.3077662037</v>
      </c>
      <c r="B4873" s="20" t="str">
        <f>HYPERLINK("https://twitter.com/sandyc1772","@sandyc1772")</f>
        <v>@sandyc1772</v>
      </c>
      <c r="C4873" s="21" t="s">
        <v>10470</v>
      </c>
      <c r="D4873" s="21" t="s">
        <v>11193</v>
      </c>
      <c r="E4873" s="22" t="str">
        <f>HYPERLINK("https://twitter.com/sandyc1772/status/922468448260804608","922468448260804608")</f>
        <v>922468448260804608</v>
      </c>
      <c r="F4873" s="23" t="s">
        <v>33</v>
      </c>
      <c r="G4873" s="24">
        <v>722.0</v>
      </c>
      <c r="H4873" s="24">
        <v>194.0</v>
      </c>
      <c r="I4873" s="24">
        <v>3.0</v>
      </c>
      <c r="J4873" s="24">
        <v>0.0</v>
      </c>
      <c r="K4873" s="23" t="s">
        <v>34</v>
      </c>
      <c r="L4873" s="25">
        <v>42412.37425925926</v>
      </c>
      <c r="M4873" s="28"/>
      <c r="N4873" s="28"/>
      <c r="O4873" s="22" t="str">
        <f>HYPERLINK("https://pbs.twimg.com/profile_images/732702453615984640/Wz20IPr3_normal.jpg","View")</f>
        <v>View</v>
      </c>
      <c r="P4873" s="27"/>
    </row>
    <row r="4874">
      <c r="A4874" s="14">
        <v>43031.30795138889</v>
      </c>
      <c r="B4874" s="20" t="str">
        <f>HYPERLINK("https://twitter.com/govee007","@govee007")</f>
        <v>@govee007</v>
      </c>
      <c r="C4874" s="21" t="s">
        <v>11194</v>
      </c>
      <c r="D4874" s="21" t="s">
        <v>163</v>
      </c>
      <c r="E4874" s="22" t="str">
        <f>HYPERLINK("https://twitter.com/govee007/status/922468516376338437","922468516376338437")</f>
        <v>922468516376338437</v>
      </c>
      <c r="F4874" s="23" t="s">
        <v>39</v>
      </c>
      <c r="G4874" s="24">
        <v>1017.0</v>
      </c>
      <c r="H4874" s="24">
        <v>515.0</v>
      </c>
      <c r="I4874" s="24">
        <v>1005.0</v>
      </c>
      <c r="J4874" s="24">
        <v>0.0</v>
      </c>
      <c r="K4874" s="23" t="s">
        <v>34</v>
      </c>
      <c r="L4874" s="25">
        <v>40983.272835648146</v>
      </c>
      <c r="M4874" s="26" t="s">
        <v>207</v>
      </c>
      <c r="N4874" s="26" t="s">
        <v>11195</v>
      </c>
      <c r="O4874" s="22" t="str">
        <f>HYPERLINK("https://pbs.twimg.com/profile_images/728917862505713665/5V4ixER2_normal.jpg","View")</f>
        <v>View</v>
      </c>
      <c r="P4874" s="27"/>
    </row>
    <row r="4875">
      <c r="A4875" s="14">
        <v>43031.30805555556</v>
      </c>
      <c r="B4875" s="20" t="str">
        <f>HYPERLINK("https://twitter.com/ArunTha42420945","@ArunTha42420945")</f>
        <v>@ArunTha42420945</v>
      </c>
      <c r="C4875" s="21" t="s">
        <v>11196</v>
      </c>
      <c r="D4875" s="21" t="s">
        <v>42</v>
      </c>
      <c r="E4875" s="22" t="str">
        <f>HYPERLINK("https://twitter.com/ArunTha42420945/status/922468554171080705","922468554171080705")</f>
        <v>922468554171080705</v>
      </c>
      <c r="F4875" s="23" t="s">
        <v>33</v>
      </c>
      <c r="G4875" s="24">
        <v>46.0</v>
      </c>
      <c r="H4875" s="24">
        <v>88.0</v>
      </c>
      <c r="I4875" s="24">
        <v>8501.0</v>
      </c>
      <c r="J4875" s="24">
        <v>0.0</v>
      </c>
      <c r="K4875" s="23" t="s">
        <v>34</v>
      </c>
      <c r="L4875" s="25">
        <v>42940.93997685185</v>
      </c>
      <c r="M4875" s="28"/>
      <c r="N4875" s="28"/>
      <c r="O4875" s="22" t="str">
        <f>HYPERLINK("https://abs.twimg.com/sticky/default_profile_images/default_profile_normal.png","View")</f>
        <v>View</v>
      </c>
      <c r="P4875" s="27"/>
    </row>
    <row r="4876">
      <c r="A4876" s="14">
        <v>43031.3080787037</v>
      </c>
      <c r="B4876" s="20" t="str">
        <f>HYPERLINK("https://twitter.com/karan03007120","@karan03007120")</f>
        <v>@karan03007120</v>
      </c>
      <c r="C4876" s="21" t="s">
        <v>11197</v>
      </c>
      <c r="D4876" s="21" t="s">
        <v>42</v>
      </c>
      <c r="E4876" s="22" t="str">
        <f>HYPERLINK("https://twitter.com/karan03007120/status/922468562379399168","922468562379399168")</f>
        <v>922468562379399168</v>
      </c>
      <c r="F4876" s="23" t="s">
        <v>33</v>
      </c>
      <c r="G4876" s="24">
        <v>327.0</v>
      </c>
      <c r="H4876" s="24">
        <v>939.0</v>
      </c>
      <c r="I4876" s="24">
        <v>8501.0</v>
      </c>
      <c r="J4876" s="24">
        <v>0.0</v>
      </c>
      <c r="K4876" s="23" t="s">
        <v>34</v>
      </c>
      <c r="L4876" s="25">
        <v>42602.87462962963</v>
      </c>
      <c r="M4876" s="26" t="s">
        <v>11198</v>
      </c>
      <c r="N4876" s="26" t="s">
        <v>11199</v>
      </c>
      <c r="O4876" s="22" t="str">
        <f>HYPERLINK("https://pbs.twimg.com/profile_images/921778969753550848/B6Xcuwy4_normal.jpg","View")</f>
        <v>View</v>
      </c>
      <c r="P4876" s="27"/>
    </row>
    <row r="4877">
      <c r="A4877" s="14">
        <v>43031.30819444444</v>
      </c>
      <c r="B4877" s="20" t="str">
        <f>HYPERLINK("https://twitter.com/News247WorldPre","@News247WorldPre")</f>
        <v>@News247WorldPre</v>
      </c>
      <c r="C4877" s="21" t="s">
        <v>11200</v>
      </c>
      <c r="D4877" s="21" t="s">
        <v>11201</v>
      </c>
      <c r="E4877" s="22" t="str">
        <f>HYPERLINK("https://twitter.com/News247WorldPre/status/922468602745425920","922468602745425920")</f>
        <v>922468602745425920</v>
      </c>
      <c r="F4877" s="30" t="s">
        <v>191</v>
      </c>
      <c r="G4877" s="24">
        <v>272.0</v>
      </c>
      <c r="H4877" s="24">
        <v>340.0</v>
      </c>
      <c r="I4877" s="24">
        <v>0.0</v>
      </c>
      <c r="J4877" s="24">
        <v>0.0</v>
      </c>
      <c r="K4877" s="23" t="s">
        <v>34</v>
      </c>
      <c r="L4877" s="25">
        <v>41979.56165509259</v>
      </c>
      <c r="M4877" s="26" t="s">
        <v>40</v>
      </c>
      <c r="N4877" s="26" t="s">
        <v>11202</v>
      </c>
      <c r="O4877" s="22" t="str">
        <f>HYPERLINK("https://pbs.twimg.com/profile_images/541343662672588800/g6RS79lu_normal.jpeg","View")</f>
        <v>View</v>
      </c>
      <c r="P4877" s="27"/>
    </row>
    <row r="4878">
      <c r="A4878" s="14">
        <v>43031.30820601852</v>
      </c>
      <c r="B4878" s="20" t="str">
        <f>HYPERLINK("https://twitter.com/udaypanchpor","@udaypanchpor")</f>
        <v>@udaypanchpor</v>
      </c>
      <c r="C4878" s="21" t="s">
        <v>11203</v>
      </c>
      <c r="D4878" s="21" t="s">
        <v>42</v>
      </c>
      <c r="E4878" s="22" t="str">
        <f>HYPERLINK("https://twitter.com/udaypanchpor/status/922468609707798528","922468609707798528")</f>
        <v>922468609707798528</v>
      </c>
      <c r="F4878" s="23" t="s">
        <v>33</v>
      </c>
      <c r="G4878" s="24">
        <v>266.0</v>
      </c>
      <c r="H4878" s="24">
        <v>1009.0</v>
      </c>
      <c r="I4878" s="24">
        <v>8501.0</v>
      </c>
      <c r="J4878" s="24">
        <v>0.0</v>
      </c>
      <c r="K4878" s="23" t="s">
        <v>34</v>
      </c>
      <c r="L4878" s="25">
        <v>39915.208391203705</v>
      </c>
      <c r="M4878" s="26" t="s">
        <v>1162</v>
      </c>
      <c r="N4878" s="26" t="s">
        <v>11204</v>
      </c>
      <c r="O4878" s="22" t="str">
        <f>HYPERLINK("https://pbs.twimg.com/profile_images/299820198/jnu-textbooks-team2_normal.jpg","View")</f>
        <v>View</v>
      </c>
      <c r="P4878" s="27"/>
    </row>
    <row r="4879">
      <c r="A4879" s="14">
        <v>43031.30835648148</v>
      </c>
      <c r="B4879" s="20" t="str">
        <f>HYPERLINK("https://twitter.com/DrKynast","@DrKynast")</f>
        <v>@DrKynast</v>
      </c>
      <c r="C4879" s="21" t="s">
        <v>9188</v>
      </c>
      <c r="D4879" s="21" t="s">
        <v>6917</v>
      </c>
      <c r="E4879" s="22" t="str">
        <f>HYPERLINK("https://twitter.com/DrKynast/status/922468664292577281","922468664292577281")</f>
        <v>922468664292577281</v>
      </c>
      <c r="F4879" s="23" t="s">
        <v>43</v>
      </c>
      <c r="G4879" s="24">
        <v>2455.0</v>
      </c>
      <c r="H4879" s="24">
        <v>2607.0</v>
      </c>
      <c r="I4879" s="24">
        <v>8.0</v>
      </c>
      <c r="J4879" s="24">
        <v>0.0</v>
      </c>
      <c r="K4879" s="23" t="s">
        <v>34</v>
      </c>
      <c r="L4879" s="25">
        <v>42619.794016203705</v>
      </c>
      <c r="M4879" s="26" t="s">
        <v>9190</v>
      </c>
      <c r="N4879" s="26" t="s">
        <v>9191</v>
      </c>
      <c r="O4879" s="22" t="str">
        <f>HYPERLINK("https://pbs.twimg.com/profile_images/773512285629345792/2AmdEU5W_normal.jpg","View")</f>
        <v>View</v>
      </c>
      <c r="P4879" s="27"/>
    </row>
    <row r="4880">
      <c r="A4880" s="14">
        <v>43031.30841435185</v>
      </c>
      <c r="B4880" s="20" t="str">
        <f>HYPERLINK("https://twitter.com/kosuke64","@kosuke64")</f>
        <v>@kosuke64</v>
      </c>
      <c r="C4880" s="21" t="s">
        <v>11205</v>
      </c>
      <c r="D4880" s="21" t="s">
        <v>1642</v>
      </c>
      <c r="E4880" s="22" t="str">
        <f>HYPERLINK("https://twitter.com/kosuke64/status/922468682617438209","922468682617438209")</f>
        <v>922468682617438209</v>
      </c>
      <c r="F4880" s="23" t="s">
        <v>55</v>
      </c>
      <c r="G4880" s="24">
        <v>1607.0</v>
      </c>
      <c r="H4880" s="24">
        <v>602.0</v>
      </c>
      <c r="I4880" s="24">
        <v>199.0</v>
      </c>
      <c r="J4880" s="24">
        <v>0.0</v>
      </c>
      <c r="K4880" s="23" t="s">
        <v>34</v>
      </c>
      <c r="L4880" s="25">
        <v>39947.92980324074</v>
      </c>
      <c r="M4880" s="26" t="s">
        <v>8540</v>
      </c>
      <c r="N4880" s="26" t="s">
        <v>11206</v>
      </c>
      <c r="O4880" s="22" t="str">
        <f>HYPERLINK("https://pbs.twimg.com/profile_images/901401776703758344/Vci2CuRb_normal.jpg","View")</f>
        <v>View</v>
      </c>
      <c r="P4880" s="27"/>
    </row>
    <row r="4881">
      <c r="A4881" s="14">
        <v>43031.30841435185</v>
      </c>
      <c r="B4881" s="20" t="str">
        <f>HYPERLINK("https://twitter.com/BhagwaanUvacha","@BhagwaanUvacha")</f>
        <v>@BhagwaanUvacha</v>
      </c>
      <c r="C4881" s="21" t="s">
        <v>11207</v>
      </c>
      <c r="D4881" s="21" t="s">
        <v>42</v>
      </c>
      <c r="E4881" s="22" t="str">
        <f>HYPERLINK("https://twitter.com/BhagwaanUvacha/status/922468685247385600","922468685247385600")</f>
        <v>922468685247385600</v>
      </c>
      <c r="F4881" s="23" t="s">
        <v>33</v>
      </c>
      <c r="G4881" s="24">
        <v>2804.0</v>
      </c>
      <c r="H4881" s="24">
        <v>933.0</v>
      </c>
      <c r="I4881" s="24">
        <v>8501.0</v>
      </c>
      <c r="J4881" s="24">
        <v>0.0</v>
      </c>
      <c r="K4881" s="23" t="s">
        <v>34</v>
      </c>
      <c r="L4881" s="25">
        <v>40941.54393518518</v>
      </c>
      <c r="M4881" s="26" t="s">
        <v>11208</v>
      </c>
      <c r="N4881" s="26" t="s">
        <v>11209</v>
      </c>
      <c r="O4881" s="22" t="str">
        <f>HYPERLINK("https://pbs.twimg.com/profile_images/834451446384959490/FP2Bp5Z8_normal.jpg","View")</f>
        <v>View</v>
      </c>
      <c r="P4881" s="27"/>
    </row>
    <row r="4882">
      <c r="A4882" s="14">
        <v>43031.30846064815</v>
      </c>
      <c r="B4882" s="20" t="str">
        <f>HYPERLINK("https://twitter.com/toshasaoka","@toshasaoka")</f>
        <v>@toshasaoka</v>
      </c>
      <c r="C4882" s="21" t="s">
        <v>11210</v>
      </c>
      <c r="D4882" s="21" t="s">
        <v>11211</v>
      </c>
      <c r="E4882" s="22" t="str">
        <f>HYPERLINK("https://twitter.com/toshasaoka/status/922468699629670400","922468699629670400")</f>
        <v>922468699629670400</v>
      </c>
      <c r="F4882" s="23" t="s">
        <v>55</v>
      </c>
      <c r="G4882" s="24">
        <v>129.0</v>
      </c>
      <c r="H4882" s="24">
        <v>283.0</v>
      </c>
      <c r="I4882" s="24">
        <v>0.0</v>
      </c>
      <c r="J4882" s="24">
        <v>0.0</v>
      </c>
      <c r="K4882" s="23" t="s">
        <v>34</v>
      </c>
      <c r="L4882" s="25">
        <v>41674.42690972222</v>
      </c>
      <c r="M4882" s="26" t="s">
        <v>4225</v>
      </c>
      <c r="N4882" s="26" t="s">
        <v>11212</v>
      </c>
      <c r="O4882" s="22" t="str">
        <f>HYPERLINK("https://pbs.twimg.com/profile_images/869016698757804033/0f0XE-Rk_normal.jpg","View")</f>
        <v>View</v>
      </c>
      <c r="P4882" s="27"/>
    </row>
    <row r="4883">
      <c r="A4883" s="14">
        <v>43031.30850694445</v>
      </c>
      <c r="B4883" s="20" t="str">
        <f>HYPERLINK("https://twitter.com/bllshbrsh","@bllshbrsh")</f>
        <v>@bllshbrsh</v>
      </c>
      <c r="C4883" s="21" t="s">
        <v>138</v>
      </c>
      <c r="D4883" s="21" t="s">
        <v>11213</v>
      </c>
      <c r="E4883" s="22" t="str">
        <f>HYPERLINK("https://twitter.com/bllshbrsh/status/922468719116288000","922468719116288000")</f>
        <v>922468719116288000</v>
      </c>
      <c r="F4883" s="23" t="s">
        <v>140</v>
      </c>
      <c r="G4883" s="24">
        <v>6148.0</v>
      </c>
      <c r="H4883" s="24">
        <v>6416.0</v>
      </c>
      <c r="I4883" s="24">
        <v>0.0</v>
      </c>
      <c r="J4883" s="24">
        <v>0.0</v>
      </c>
      <c r="K4883" s="23" t="s">
        <v>34</v>
      </c>
      <c r="L4883" s="25">
        <v>42682.29137731482</v>
      </c>
      <c r="M4883" s="28"/>
      <c r="N4883" s="28"/>
      <c r="O4883" s="22" t="str">
        <f>HYPERLINK("https://pbs.twimg.com/profile_images/825303907752673284/OSI50AgE_normal.jpg","View")</f>
        <v>View</v>
      </c>
      <c r="P4883" s="27"/>
    </row>
    <row r="4884">
      <c r="A4884" s="14">
        <v>43031.308587962965</v>
      </c>
      <c r="B4884" s="20" t="str">
        <f>HYPERLINK("https://twitter.com/DrKynast","@DrKynast")</f>
        <v>@DrKynast</v>
      </c>
      <c r="C4884" s="21" t="s">
        <v>9188</v>
      </c>
      <c r="D4884" s="21" t="s">
        <v>5262</v>
      </c>
      <c r="E4884" s="22" t="str">
        <f>HYPERLINK("https://twitter.com/DrKynast/status/922468746844876800","922468746844876800")</f>
        <v>922468746844876800</v>
      </c>
      <c r="F4884" s="23" t="s">
        <v>43</v>
      </c>
      <c r="G4884" s="24">
        <v>2455.0</v>
      </c>
      <c r="H4884" s="24">
        <v>2607.0</v>
      </c>
      <c r="I4884" s="24">
        <v>22.0</v>
      </c>
      <c r="J4884" s="24">
        <v>0.0</v>
      </c>
      <c r="K4884" s="23" t="s">
        <v>34</v>
      </c>
      <c r="L4884" s="25">
        <v>42619.794016203705</v>
      </c>
      <c r="M4884" s="26" t="s">
        <v>9190</v>
      </c>
      <c r="N4884" s="26" t="s">
        <v>9191</v>
      </c>
      <c r="O4884" s="22" t="str">
        <f>HYPERLINK("https://pbs.twimg.com/profile_images/773512285629345792/2AmdEU5W_normal.jpg","View")</f>
        <v>View</v>
      </c>
      <c r="P4884" s="27"/>
    </row>
    <row r="4885">
      <c r="A4885" s="14">
        <v>43031.30861111111</v>
      </c>
      <c r="B4885" s="20" t="str">
        <f>HYPERLINK("https://twitter.com/MithileshOjha87","@MithileshOjha87")</f>
        <v>@MithileshOjha87</v>
      </c>
      <c r="C4885" s="21" t="s">
        <v>11214</v>
      </c>
      <c r="D4885" s="21" t="s">
        <v>42</v>
      </c>
      <c r="E4885" s="22" t="str">
        <f>HYPERLINK("https://twitter.com/MithileshOjha87/status/922468753081753602","922468753081753602")</f>
        <v>922468753081753602</v>
      </c>
      <c r="F4885" s="23" t="s">
        <v>33</v>
      </c>
      <c r="G4885" s="24">
        <v>74.0</v>
      </c>
      <c r="H4885" s="24">
        <v>56.0</v>
      </c>
      <c r="I4885" s="24">
        <v>8501.0</v>
      </c>
      <c r="J4885" s="24">
        <v>0.0</v>
      </c>
      <c r="K4885" s="23" t="s">
        <v>34</v>
      </c>
      <c r="L4885" s="25">
        <v>41227.30496527778</v>
      </c>
      <c r="M4885" s="26" t="s">
        <v>164</v>
      </c>
      <c r="N4885" s="26" t="s">
        <v>11215</v>
      </c>
      <c r="O4885" s="22" t="str">
        <f>HYPERLINK("https://pbs.twimg.com/profile_images/378800000329487058/3ae6516c68022636a56d5300c60ef879_normal.jpeg","View")</f>
        <v>View</v>
      </c>
      <c r="P4885" s="27"/>
    </row>
    <row r="4886">
      <c r="A4886" s="14">
        <v>43031.30871527777</v>
      </c>
      <c r="B4886" s="20" t="str">
        <f>HYPERLINK("https://twitter.com/liz_k0819","@liz_k0819")</f>
        <v>@liz_k0819</v>
      </c>
      <c r="C4886" s="21" t="s">
        <v>11216</v>
      </c>
      <c r="D4886" s="21" t="s">
        <v>42</v>
      </c>
      <c r="E4886" s="22" t="str">
        <f>HYPERLINK("https://twitter.com/liz_k0819/status/922468792264830976","922468792264830976")</f>
        <v>922468792264830976</v>
      </c>
      <c r="F4886" s="23" t="s">
        <v>33</v>
      </c>
      <c r="G4886" s="24">
        <v>12.0</v>
      </c>
      <c r="H4886" s="24">
        <v>39.0</v>
      </c>
      <c r="I4886" s="24">
        <v>8501.0</v>
      </c>
      <c r="J4886" s="24">
        <v>0.0</v>
      </c>
      <c r="K4886" s="23" t="s">
        <v>34</v>
      </c>
      <c r="L4886" s="25">
        <v>42275.141550925924</v>
      </c>
      <c r="M4886" s="28"/>
      <c r="N4886" s="26" t="s">
        <v>11217</v>
      </c>
      <c r="O4886" s="22" t="str">
        <f>HYPERLINK("https://pbs.twimg.com/profile_images/744580706173542400/w2pEo-av_normal.jpg","View")</f>
        <v>View</v>
      </c>
      <c r="P4886" s="27"/>
    </row>
    <row r="4887">
      <c r="A4887" s="14">
        <v>43031.30881944444</v>
      </c>
      <c r="B4887" s="20" t="str">
        <f>HYPERLINK("https://twitter.com/pradeepr683","@pradeepr683")</f>
        <v>@pradeepr683</v>
      </c>
      <c r="C4887" s="21" t="s">
        <v>11218</v>
      </c>
      <c r="D4887" s="21" t="s">
        <v>42</v>
      </c>
      <c r="E4887" s="22" t="str">
        <f>HYPERLINK("https://twitter.com/pradeepr683/status/922468830273617920","922468830273617920")</f>
        <v>922468830273617920</v>
      </c>
      <c r="F4887" s="23" t="s">
        <v>55</v>
      </c>
      <c r="G4887" s="24">
        <v>353.0</v>
      </c>
      <c r="H4887" s="24">
        <v>524.0</v>
      </c>
      <c r="I4887" s="24">
        <v>8501.0</v>
      </c>
      <c r="J4887" s="24">
        <v>0.0</v>
      </c>
      <c r="K4887" s="23" t="s">
        <v>34</v>
      </c>
      <c r="L4887" s="25">
        <v>40854.85582175926</v>
      </c>
      <c r="M4887" s="26" t="s">
        <v>11219</v>
      </c>
      <c r="N4887" s="28"/>
      <c r="O4887" s="22" t="str">
        <f>HYPERLINK("https://pbs.twimg.com/profile_images/1898357942/Picture_1_normal.jpg","View")</f>
        <v>View</v>
      </c>
      <c r="P4887" s="27"/>
    </row>
    <row r="4888">
      <c r="A4888" s="14">
        <v>43031.30887731482</v>
      </c>
      <c r="B4888" s="20" t="str">
        <f>HYPERLINK("https://twitter.com/CMEActiveTrader","@CMEActiveTrader")</f>
        <v>@CMEActiveTrader</v>
      </c>
      <c r="C4888" s="21" t="s">
        <v>11220</v>
      </c>
      <c r="D4888" s="21" t="s">
        <v>11221</v>
      </c>
      <c r="E4888" s="22" t="str">
        <f>HYPERLINK("https://twitter.com/CMEActiveTrader/status/922468850662363141","922468850662363141")</f>
        <v>922468850662363141</v>
      </c>
      <c r="F4888" s="23" t="s">
        <v>11222</v>
      </c>
      <c r="G4888" s="24">
        <v>4719.0</v>
      </c>
      <c r="H4888" s="24">
        <v>176.0</v>
      </c>
      <c r="I4888" s="24">
        <v>7.0</v>
      </c>
      <c r="J4888" s="24">
        <v>64.0</v>
      </c>
      <c r="K4888" s="23" t="s">
        <v>34</v>
      </c>
      <c r="L4888" s="25">
        <v>41750.51180555556</v>
      </c>
      <c r="M4888" s="28"/>
      <c r="N4888" s="26" t="s">
        <v>11223</v>
      </c>
      <c r="O4888" s="22" t="str">
        <f>HYPERLINK("https://pbs.twimg.com/profile_images/885171724244975618/rvingG0p_normal.jpg","View")</f>
        <v>View</v>
      </c>
      <c r="P4888" s="27"/>
    </row>
    <row r="4889">
      <c r="A4889" s="14">
        <v>43031.30898148148</v>
      </c>
      <c r="B4889" s="20" t="str">
        <f>HYPERLINK("https://twitter.com/CameronAhmad","@CameronAhmad")</f>
        <v>@CameronAhmad</v>
      </c>
      <c r="C4889" s="21" t="s">
        <v>11224</v>
      </c>
      <c r="D4889" s="21" t="s">
        <v>11225</v>
      </c>
      <c r="E4889" s="22" t="str">
        <f>HYPERLINK("https://twitter.com/CameronAhmad/status/922468891149946880","922468891149946880")</f>
        <v>922468891149946880</v>
      </c>
      <c r="F4889" s="23" t="s">
        <v>55</v>
      </c>
      <c r="G4889" s="24">
        <v>3526.0</v>
      </c>
      <c r="H4889" s="24">
        <v>4371.0</v>
      </c>
      <c r="I4889" s="24">
        <v>3.0</v>
      </c>
      <c r="J4889" s="24">
        <v>2.0</v>
      </c>
      <c r="K4889" s="23" t="s">
        <v>34</v>
      </c>
      <c r="L4889" s="25">
        <v>40464.45165509259</v>
      </c>
      <c r="M4889" s="26" t="s">
        <v>11226</v>
      </c>
      <c r="N4889" s="26" t="s">
        <v>11227</v>
      </c>
      <c r="O4889" s="22" t="str">
        <f>HYPERLINK("https://pbs.twimg.com/profile_images/492093886265692162/PUtvfeWZ_normal.jpeg","View")</f>
        <v>View</v>
      </c>
      <c r="P4889" s="27"/>
    </row>
    <row r="4890">
      <c r="A4890" s="14">
        <v>43031.309016203704</v>
      </c>
      <c r="B4890" s="20" t="str">
        <f>HYPERLINK("https://twitter.com/GuptaSanjay286","@GuptaSanjay286")</f>
        <v>@GuptaSanjay286</v>
      </c>
      <c r="C4890" s="21" t="s">
        <v>11228</v>
      </c>
      <c r="D4890" s="21" t="s">
        <v>42</v>
      </c>
      <c r="E4890" s="22" t="str">
        <f>HYPERLINK("https://twitter.com/GuptaSanjay286/status/922468903376142337","922468903376142337")</f>
        <v>922468903376142337</v>
      </c>
      <c r="F4890" s="23" t="s">
        <v>33</v>
      </c>
      <c r="G4890" s="24">
        <v>410.0</v>
      </c>
      <c r="H4890" s="24">
        <v>98.0</v>
      </c>
      <c r="I4890" s="24">
        <v>8501.0</v>
      </c>
      <c r="J4890" s="24">
        <v>0.0</v>
      </c>
      <c r="K4890" s="23" t="s">
        <v>34</v>
      </c>
      <c r="L4890" s="25">
        <v>42112.503009259264</v>
      </c>
      <c r="M4890" s="26" t="s">
        <v>11229</v>
      </c>
      <c r="N4890" s="26" t="s">
        <v>11230</v>
      </c>
      <c r="O4890" s="22" t="str">
        <f>HYPERLINK("https://pbs.twimg.com/profile_images/922898188310167552/eSh2EFq-_normal.jpg","View")</f>
        <v>View</v>
      </c>
      <c r="P4890" s="27"/>
    </row>
    <row r="4891">
      <c r="A4891" s="14">
        <v>43031.3091087963</v>
      </c>
      <c r="B4891" s="20" t="str">
        <f>HYPERLINK("https://twitter.com/Bob_Iaccino","@Bob_Iaccino")</f>
        <v>@Bob_Iaccino</v>
      </c>
      <c r="C4891" s="21" t="s">
        <v>11231</v>
      </c>
      <c r="D4891" s="21" t="s">
        <v>11232</v>
      </c>
      <c r="E4891" s="22" t="str">
        <f>HYPERLINK("https://twitter.com/Bob_Iaccino/status/922468937199124480","922468937199124480")</f>
        <v>922468937199124480</v>
      </c>
      <c r="F4891" s="23" t="s">
        <v>39</v>
      </c>
      <c r="G4891" s="24">
        <v>1033.0</v>
      </c>
      <c r="H4891" s="24">
        <v>601.0</v>
      </c>
      <c r="I4891" s="24">
        <v>7.0</v>
      </c>
      <c r="J4891" s="24">
        <v>0.0</v>
      </c>
      <c r="K4891" s="23" t="s">
        <v>34</v>
      </c>
      <c r="L4891" s="25">
        <v>39889.25839120371</v>
      </c>
      <c r="M4891" s="26" t="s">
        <v>478</v>
      </c>
      <c r="N4891" s="26" t="s">
        <v>11233</v>
      </c>
      <c r="O4891" s="22" t="str">
        <f>HYPERLINK("https://pbs.twimg.com/profile_images/885160507682029568/IX3qTEGs_normal.jpg","View")</f>
        <v>View</v>
      </c>
      <c r="P4891" s="27"/>
    </row>
    <row r="4892">
      <c r="A4892" s="14">
        <v>43031.309212962966</v>
      </c>
      <c r="B4892" s="20" t="str">
        <f>HYPERLINK("https://twitter.com/sid2585","@sid2585")</f>
        <v>@sid2585</v>
      </c>
      <c r="C4892" s="21" t="s">
        <v>11234</v>
      </c>
      <c r="D4892" s="21" t="s">
        <v>42</v>
      </c>
      <c r="E4892" s="22" t="str">
        <f>HYPERLINK("https://twitter.com/sid2585/status/922468974226415616","922468974226415616")</f>
        <v>922468974226415616</v>
      </c>
      <c r="F4892" s="23" t="s">
        <v>33</v>
      </c>
      <c r="G4892" s="24">
        <v>506.0</v>
      </c>
      <c r="H4892" s="24">
        <v>271.0</v>
      </c>
      <c r="I4892" s="24">
        <v>8501.0</v>
      </c>
      <c r="J4892" s="24">
        <v>0.0</v>
      </c>
      <c r="K4892" s="23" t="s">
        <v>34</v>
      </c>
      <c r="L4892" s="25">
        <v>42420.243252314816</v>
      </c>
      <c r="M4892" s="28"/>
      <c r="N4892" s="28"/>
      <c r="O4892" s="22" t="str">
        <f>HYPERLINK("https://pbs.twimg.com/profile_images/755407796963725312/0C46IT_A_normal.jpg","View")</f>
        <v>View</v>
      </c>
      <c r="P4892" s="27"/>
    </row>
    <row r="4893">
      <c r="A4893" s="14">
        <v>43031.309224537035</v>
      </c>
      <c r="B4893" s="20" t="str">
        <f>HYPERLINK("https://twitter.com/YuminTanaka","@YuminTanaka")</f>
        <v>@YuminTanaka</v>
      </c>
      <c r="C4893" s="21" t="s">
        <v>11235</v>
      </c>
      <c r="D4893" s="21" t="s">
        <v>1642</v>
      </c>
      <c r="E4893" s="22" t="str">
        <f>HYPERLINK("https://twitter.com/YuminTanaka/status/922468976382357504","922468976382357504")</f>
        <v>922468976382357504</v>
      </c>
      <c r="F4893" s="23" t="s">
        <v>39</v>
      </c>
      <c r="G4893" s="24">
        <v>2888.0</v>
      </c>
      <c r="H4893" s="24">
        <v>320.0</v>
      </c>
      <c r="I4893" s="24">
        <v>199.0</v>
      </c>
      <c r="J4893" s="24">
        <v>0.0</v>
      </c>
      <c r="K4893" s="23" t="s">
        <v>34</v>
      </c>
      <c r="L4893" s="25">
        <v>40482.63998842593</v>
      </c>
      <c r="M4893" s="26" t="s">
        <v>120</v>
      </c>
      <c r="N4893" s="26" t="s">
        <v>11236</v>
      </c>
      <c r="O4893" s="22" t="str">
        <f>HYPERLINK("https://pbs.twimg.com/profile_images/822799921636114432/uvc8MyJn_normal.jpg","View")</f>
        <v>View</v>
      </c>
      <c r="P4893" s="27"/>
    </row>
    <row r="4894">
      <c r="A4894" s="14">
        <v>43031.30927083333</v>
      </c>
      <c r="B4894" s="20" t="str">
        <f>HYPERLINK("https://twitter.com/AnkitGupta31297","@AnkitGupta31297")</f>
        <v>@AnkitGupta31297</v>
      </c>
      <c r="C4894" s="21" t="s">
        <v>11237</v>
      </c>
      <c r="D4894" s="21" t="s">
        <v>42</v>
      </c>
      <c r="E4894" s="22" t="str">
        <f>HYPERLINK("https://twitter.com/AnkitGupta31297/status/922468994442862592","922468994442862592")</f>
        <v>922468994442862592</v>
      </c>
      <c r="F4894" s="23" t="s">
        <v>33</v>
      </c>
      <c r="G4894" s="24">
        <v>36.0</v>
      </c>
      <c r="H4894" s="24">
        <v>248.0</v>
      </c>
      <c r="I4894" s="24">
        <v>8501.0</v>
      </c>
      <c r="J4894" s="24">
        <v>0.0</v>
      </c>
      <c r="K4894" s="23" t="s">
        <v>34</v>
      </c>
      <c r="L4894" s="25">
        <v>42704.42895833333</v>
      </c>
      <c r="M4894" s="26" t="s">
        <v>11238</v>
      </c>
      <c r="N4894" s="26" t="s">
        <v>11239</v>
      </c>
      <c r="O4894" s="22" t="str">
        <f>HYPERLINK("https://pbs.twimg.com/profile_images/854346626055516160/XUZglAyx_normal.jpg","View")</f>
        <v>View</v>
      </c>
      <c r="P4894" s="27"/>
    </row>
    <row r="4895">
      <c r="A4895" s="14">
        <v>43031.309375</v>
      </c>
      <c r="B4895" s="20" t="str">
        <f>HYPERLINK("https://twitter.com/Osam_U","@Osam_U")</f>
        <v>@Osam_U</v>
      </c>
      <c r="C4895" s="21" t="s">
        <v>11240</v>
      </c>
      <c r="D4895" s="21" t="s">
        <v>42</v>
      </c>
      <c r="E4895" s="22" t="str">
        <f>HYPERLINK("https://twitter.com/Osam_U/status/922469029784166401","922469029784166401")</f>
        <v>922469029784166401</v>
      </c>
      <c r="F4895" s="23" t="s">
        <v>39</v>
      </c>
      <c r="G4895" s="24">
        <v>32794.0</v>
      </c>
      <c r="H4895" s="24">
        <v>5221.0</v>
      </c>
      <c r="I4895" s="24">
        <v>8501.0</v>
      </c>
      <c r="J4895" s="24">
        <v>0.0</v>
      </c>
      <c r="K4895" s="23" t="s">
        <v>34</v>
      </c>
      <c r="L4895" s="25">
        <v>40220.07135416666</v>
      </c>
      <c r="M4895" s="26" t="s">
        <v>11241</v>
      </c>
      <c r="N4895" s="26" t="s">
        <v>11242</v>
      </c>
      <c r="O4895" s="22" t="str">
        <f>HYPERLINK("https://pbs.twimg.com/profile_images/876806792512065536/_zNJK2pj_normal.jpg","View")</f>
        <v>View</v>
      </c>
      <c r="P4895" s="27"/>
    </row>
    <row r="4896">
      <c r="A4896" s="14">
        <v>43031.30944444444</v>
      </c>
      <c r="B4896" s="20" t="str">
        <f>HYPERLINK("https://twitter.com/tamiki2016","@tamiki2016")</f>
        <v>@tamiki2016</v>
      </c>
      <c r="C4896" s="21" t="s">
        <v>11243</v>
      </c>
      <c r="D4896" s="21" t="s">
        <v>42</v>
      </c>
      <c r="E4896" s="22" t="str">
        <f>HYPERLINK("https://twitter.com/tamiki2016/status/922469055318994944","922469055318994944")</f>
        <v>922469055318994944</v>
      </c>
      <c r="F4896" s="23" t="s">
        <v>39</v>
      </c>
      <c r="G4896" s="24">
        <v>1256.0</v>
      </c>
      <c r="H4896" s="24">
        <v>1319.0</v>
      </c>
      <c r="I4896" s="24">
        <v>8501.0</v>
      </c>
      <c r="J4896" s="24">
        <v>0.0</v>
      </c>
      <c r="K4896" s="23" t="s">
        <v>34</v>
      </c>
      <c r="L4896" s="25">
        <v>42461.827997685185</v>
      </c>
      <c r="M4896" s="26" t="s">
        <v>11244</v>
      </c>
      <c r="N4896" s="26" t="s">
        <v>11245</v>
      </c>
      <c r="O4896" s="22" t="str">
        <f>HYPERLINK("https://pbs.twimg.com/profile_images/716097722336485377/Nfee3emV_normal.jpg","View")</f>
        <v>View</v>
      </c>
      <c r="P4896" s="27"/>
    </row>
    <row r="4897">
      <c r="A4897" s="14">
        <v>43031.30954861111</v>
      </c>
      <c r="B4897" s="20" t="str">
        <f>HYPERLINK("https://twitter.com/utada_san","@utada_san")</f>
        <v>@utada_san</v>
      </c>
      <c r="C4897" s="21" t="s">
        <v>11246</v>
      </c>
      <c r="D4897" s="21" t="s">
        <v>11232</v>
      </c>
      <c r="E4897" s="22" t="str">
        <f>HYPERLINK("https://twitter.com/utada_san/status/922469092702875648","922469092702875648")</f>
        <v>922469092702875648</v>
      </c>
      <c r="F4897" s="23" t="s">
        <v>769</v>
      </c>
      <c r="G4897" s="24">
        <v>1751.0</v>
      </c>
      <c r="H4897" s="24">
        <v>758.0</v>
      </c>
      <c r="I4897" s="24">
        <v>7.0</v>
      </c>
      <c r="J4897" s="24">
        <v>0.0</v>
      </c>
      <c r="K4897" s="23" t="s">
        <v>34</v>
      </c>
      <c r="L4897" s="25">
        <v>40012.088113425925</v>
      </c>
      <c r="M4897" s="28"/>
      <c r="N4897" s="26" t="s">
        <v>11247</v>
      </c>
      <c r="O4897" s="22" t="str">
        <f>HYPERLINK("https://pbs.twimg.com/profile_images/800232733809065984/shaCgRoh_normal.jpg","View")</f>
        <v>View</v>
      </c>
      <c r="P4897" s="27"/>
    </row>
    <row r="4898">
      <c r="A4898" s="14">
        <v>43031.30956018518</v>
      </c>
      <c r="B4898" s="20" t="str">
        <f>HYPERLINK("https://twitter.com/hanwenyi","@hanwenyi")</f>
        <v>@hanwenyi</v>
      </c>
      <c r="C4898" s="21" t="s">
        <v>11248</v>
      </c>
      <c r="D4898" s="21" t="s">
        <v>10437</v>
      </c>
      <c r="E4898" s="22" t="str">
        <f>HYPERLINK("https://twitter.com/hanwenyi/status/922469097945698304","922469097945698304")</f>
        <v>922469097945698304</v>
      </c>
      <c r="F4898" s="23" t="s">
        <v>39</v>
      </c>
      <c r="G4898" s="24">
        <v>152.0</v>
      </c>
      <c r="H4898" s="24">
        <v>172.0</v>
      </c>
      <c r="I4898" s="24">
        <v>16.0</v>
      </c>
      <c r="J4898" s="24">
        <v>0.0</v>
      </c>
      <c r="K4898" s="23" t="s">
        <v>34</v>
      </c>
      <c r="L4898" s="25">
        <v>39666.980717592596</v>
      </c>
      <c r="M4898" s="26" t="s">
        <v>11249</v>
      </c>
      <c r="N4898" s="26" t="s">
        <v>11250</v>
      </c>
      <c r="O4898" s="22" t="str">
        <f>HYPERLINK("https://pbs.twimg.com/profile_images/594482425381556224/FEmXhcGO_normal.jpg","View")</f>
        <v>View</v>
      </c>
      <c r="P4898" s="27"/>
    </row>
    <row r="4899">
      <c r="A4899" s="14">
        <v>43031.30960648148</v>
      </c>
      <c r="B4899" s="20" t="str">
        <f>HYPERLINK("https://twitter.com/shubhampareek03","@shubhampareek03")</f>
        <v>@shubhampareek03</v>
      </c>
      <c r="C4899" s="21" t="s">
        <v>11251</v>
      </c>
      <c r="D4899" s="21" t="s">
        <v>42</v>
      </c>
      <c r="E4899" s="22" t="str">
        <f>HYPERLINK("https://twitter.com/shubhampareek03/status/922469114588815366","922469114588815366")</f>
        <v>922469114588815366</v>
      </c>
      <c r="F4899" s="23" t="s">
        <v>33</v>
      </c>
      <c r="G4899" s="24">
        <v>28.0</v>
      </c>
      <c r="H4899" s="24">
        <v>214.0</v>
      </c>
      <c r="I4899" s="24">
        <v>8501.0</v>
      </c>
      <c r="J4899" s="24">
        <v>0.0</v>
      </c>
      <c r="K4899" s="23" t="s">
        <v>34</v>
      </c>
      <c r="L4899" s="25">
        <v>41565.143425925926</v>
      </c>
      <c r="M4899" s="26" t="s">
        <v>11252</v>
      </c>
      <c r="N4899" s="28"/>
      <c r="O4899" s="22" t="str">
        <f>HYPERLINK("https://pbs.twimg.com/profile_images/828067121624027136/sAcFMJ05_normal.jpg","View")</f>
        <v>View</v>
      </c>
      <c r="P4899" s="27"/>
    </row>
    <row r="4900">
      <c r="A4900" s="14">
        <v>43031.30966435185</v>
      </c>
      <c r="B4900" s="20" t="str">
        <f>HYPERLINK("https://twitter.com/anutaurian","@anutaurian")</f>
        <v>@anutaurian</v>
      </c>
      <c r="C4900" s="21" t="s">
        <v>11253</v>
      </c>
      <c r="D4900" s="21" t="s">
        <v>42</v>
      </c>
      <c r="E4900" s="22" t="str">
        <f>HYPERLINK("https://twitter.com/anutaurian/status/922469138412355585","922469138412355585")</f>
        <v>922469138412355585</v>
      </c>
      <c r="F4900" s="23" t="s">
        <v>33</v>
      </c>
      <c r="G4900" s="24">
        <v>88.0</v>
      </c>
      <c r="H4900" s="24">
        <v>119.0</v>
      </c>
      <c r="I4900" s="24">
        <v>8501.0</v>
      </c>
      <c r="J4900" s="24">
        <v>0.0</v>
      </c>
      <c r="K4900" s="23" t="s">
        <v>34</v>
      </c>
      <c r="L4900" s="25">
        <v>40106.35172453704</v>
      </c>
      <c r="M4900" s="28"/>
      <c r="N4900" s="28"/>
      <c r="O4900" s="22" t="str">
        <f>HYPERLINK("https://pbs.twimg.com/profile_images/378800000369934868/745a1227bd5bc141749f339a3ccc1db8_normal.jpeg","View")</f>
        <v>View</v>
      </c>
      <c r="P4900" s="27"/>
    </row>
    <row r="4901">
      <c r="A4901" s="14">
        <v>43031.30972222222</v>
      </c>
      <c r="B4901" s="20" t="str">
        <f>HYPERLINK("https://twitter.com/ravipatnaik5111","@ravipatnaik5111")</f>
        <v>@ravipatnaik5111</v>
      </c>
      <c r="C4901" s="21" t="s">
        <v>11254</v>
      </c>
      <c r="D4901" s="21" t="s">
        <v>42</v>
      </c>
      <c r="E4901" s="22" t="str">
        <f>HYPERLINK("https://twitter.com/ravipatnaik5111/status/922469155697078279","922469155697078279")</f>
        <v>922469155697078279</v>
      </c>
      <c r="F4901" s="23" t="s">
        <v>33</v>
      </c>
      <c r="G4901" s="24">
        <v>240.0</v>
      </c>
      <c r="H4901" s="24">
        <v>441.0</v>
      </c>
      <c r="I4901" s="24">
        <v>8501.0</v>
      </c>
      <c r="J4901" s="24">
        <v>0.0</v>
      </c>
      <c r="K4901" s="23" t="s">
        <v>34</v>
      </c>
      <c r="L4901" s="25">
        <v>40457.814097222225</v>
      </c>
      <c r="M4901" s="26" t="s">
        <v>11255</v>
      </c>
      <c r="N4901" s="26" t="s">
        <v>11256</v>
      </c>
      <c r="O4901" s="22" t="str">
        <f>HYPERLINK("https://pbs.twimg.com/profile_images/552144099772362753/uzInrZjH_normal.jpeg","View")</f>
        <v>View</v>
      </c>
      <c r="P4901" s="27"/>
    </row>
    <row r="4902">
      <c r="A4902" s="14">
        <v>43031.30979166667</v>
      </c>
      <c r="B4902" s="20" t="str">
        <f>HYPERLINK("https://twitter.com/polacarrillo","@polacarrillo")</f>
        <v>@polacarrillo</v>
      </c>
      <c r="C4902" s="21" t="s">
        <v>11257</v>
      </c>
      <c r="D4902" s="21" t="s">
        <v>6198</v>
      </c>
      <c r="E4902" s="22" t="str">
        <f>HYPERLINK("https://twitter.com/polacarrillo/status/922469183933128709","922469183933128709")</f>
        <v>922469183933128709</v>
      </c>
      <c r="F4902" s="23" t="s">
        <v>33</v>
      </c>
      <c r="G4902" s="24">
        <v>963.0</v>
      </c>
      <c r="H4902" s="24">
        <v>2147.0</v>
      </c>
      <c r="I4902" s="24">
        <v>3.0</v>
      </c>
      <c r="J4902" s="24">
        <v>0.0</v>
      </c>
      <c r="K4902" s="23" t="s">
        <v>34</v>
      </c>
      <c r="L4902" s="25">
        <v>40424.70054398148</v>
      </c>
      <c r="M4902" s="26" t="s">
        <v>11258</v>
      </c>
      <c r="N4902" s="26" t="s">
        <v>11259</v>
      </c>
      <c r="O4902" s="22" t="str">
        <f>HYPERLINK("https://pbs.twimg.com/profile_images/786229432491118592/5a5eHX5f_normal.jpg","View")</f>
        <v>View</v>
      </c>
      <c r="P4902" s="27"/>
    </row>
    <row r="4903">
      <c r="A4903" s="14">
        <v>43031.30987268519</v>
      </c>
      <c r="B4903" s="20" t="str">
        <f>HYPERLINK("https://twitter.com/TFTCS","@TFTCS")</f>
        <v>@TFTCS</v>
      </c>
      <c r="C4903" s="21" t="s">
        <v>1851</v>
      </c>
      <c r="D4903" s="21" t="s">
        <v>11260</v>
      </c>
      <c r="E4903" s="22" t="str">
        <f>HYPERLINK("https://twitter.com/TFTCS/status/922469212211343361","922469212211343361")</f>
        <v>922469212211343361</v>
      </c>
      <c r="F4903" s="23" t="s">
        <v>187</v>
      </c>
      <c r="G4903" s="24">
        <v>4389.0</v>
      </c>
      <c r="H4903" s="24">
        <v>4555.0</v>
      </c>
      <c r="I4903" s="24">
        <v>0.0</v>
      </c>
      <c r="J4903" s="24">
        <v>0.0</v>
      </c>
      <c r="K4903" s="23" t="s">
        <v>34</v>
      </c>
      <c r="L4903" s="25">
        <v>41868.76810185185</v>
      </c>
      <c r="M4903" s="26" t="s">
        <v>1853</v>
      </c>
      <c r="N4903" s="26" t="s">
        <v>1854</v>
      </c>
      <c r="O4903" s="22" t="str">
        <f>HYPERLINK("https://pbs.twimg.com/profile_images/736027772800368640/DdLGgNNU_normal.jpg","View")</f>
        <v>View</v>
      </c>
      <c r="P4903" s="27"/>
    </row>
    <row r="4904">
      <c r="A4904" s="14">
        <v>43031.30994212963</v>
      </c>
      <c r="B4904" s="20" t="str">
        <f>HYPERLINK("https://twitter.com/BIZLInet","@BIZLInet")</f>
        <v>@BIZLInet</v>
      </c>
      <c r="C4904" s="21" t="s">
        <v>11261</v>
      </c>
      <c r="D4904" s="21" t="s">
        <v>11262</v>
      </c>
      <c r="E4904" s="22" t="str">
        <f>HYPERLINK("https://twitter.com/BIZLInet/status/922469236097933319","922469236097933319")</f>
        <v>922469236097933319</v>
      </c>
      <c r="F4904" s="30" t="s">
        <v>11263</v>
      </c>
      <c r="G4904" s="24">
        <v>159.0</v>
      </c>
      <c r="H4904" s="24">
        <v>126.0</v>
      </c>
      <c r="I4904" s="24">
        <v>0.0</v>
      </c>
      <c r="J4904" s="24">
        <v>0.0</v>
      </c>
      <c r="K4904" s="23" t="s">
        <v>34</v>
      </c>
      <c r="L4904" s="25">
        <v>42887.96738425926</v>
      </c>
      <c r="M4904" s="26" t="s">
        <v>11264</v>
      </c>
      <c r="N4904" s="28"/>
      <c r="O4904" s="22" t="str">
        <f>HYPERLINK("https://pbs.twimg.com/profile_images/874264683909439488/POYbeaqn_normal.jpg","View")</f>
        <v>View</v>
      </c>
      <c r="P4904" s="27"/>
    </row>
    <row r="4905">
      <c r="A4905" s="14">
        <v>43031.30994212963</v>
      </c>
      <c r="B4905" s="20" t="str">
        <f>HYPERLINK("https://twitter.com/ManojGa08103405","@ManojGa08103405")</f>
        <v>@ManojGa08103405</v>
      </c>
      <c r="C4905" s="21" t="s">
        <v>11265</v>
      </c>
      <c r="D4905" s="21" t="s">
        <v>42</v>
      </c>
      <c r="E4905" s="22" t="str">
        <f>HYPERLINK("https://twitter.com/ManojGa08103405/status/922469238907928576","922469238907928576")</f>
        <v>922469238907928576</v>
      </c>
      <c r="F4905" s="23" t="s">
        <v>33</v>
      </c>
      <c r="G4905" s="24">
        <v>7.0</v>
      </c>
      <c r="H4905" s="24">
        <v>11.0</v>
      </c>
      <c r="I4905" s="24">
        <v>8501.0</v>
      </c>
      <c r="J4905" s="24">
        <v>0.0</v>
      </c>
      <c r="K4905" s="23" t="s">
        <v>34</v>
      </c>
      <c r="L4905" s="25">
        <v>43013.056597222225</v>
      </c>
      <c r="M4905" s="26" t="s">
        <v>2953</v>
      </c>
      <c r="N4905" s="26" t="s">
        <v>11266</v>
      </c>
      <c r="O4905" s="22" t="str">
        <f>HYPERLINK("https://pbs.twimg.com/profile_images/916200777130979328/iqHdf5Dw_normal.jpg","View")</f>
        <v>View</v>
      </c>
      <c r="P4905" s="27"/>
    </row>
    <row r="4906">
      <c r="A4906" s="14">
        <v>43031.31030092592</v>
      </c>
      <c r="B4906" s="20" t="str">
        <f>HYPERLINK("https://twitter.com/Venkat88848216","@Venkat88848216")</f>
        <v>@Venkat88848216</v>
      </c>
      <c r="C4906" s="21" t="s">
        <v>11267</v>
      </c>
      <c r="D4906" s="21" t="s">
        <v>163</v>
      </c>
      <c r="E4906" s="22" t="str">
        <f>HYPERLINK("https://twitter.com/Venkat88848216/status/922469366314172416","922469366314172416")</f>
        <v>922469366314172416</v>
      </c>
      <c r="F4906" s="23" t="s">
        <v>33</v>
      </c>
      <c r="G4906" s="24">
        <v>8.0</v>
      </c>
      <c r="H4906" s="24">
        <v>99.0</v>
      </c>
      <c r="I4906" s="24">
        <v>1005.0</v>
      </c>
      <c r="J4906" s="24">
        <v>0.0</v>
      </c>
      <c r="K4906" s="23" t="s">
        <v>34</v>
      </c>
      <c r="L4906" s="25">
        <v>43007.21355324074</v>
      </c>
      <c r="M4906" s="26" t="s">
        <v>246</v>
      </c>
      <c r="N4906" s="26" t="s">
        <v>11268</v>
      </c>
      <c r="O4906" s="22" t="str">
        <f>HYPERLINK("https://pbs.twimg.com/profile_images/922447521292734464/dmRahF4-_normal.jpg","View")</f>
        <v>View</v>
      </c>
      <c r="P4906" s="27"/>
    </row>
    <row r="4907">
      <c r="A4907" s="14">
        <v>43031.31043981481</v>
      </c>
      <c r="B4907" s="20" t="str">
        <f>HYPERLINK("https://twitter.com/Khetara75458441","@Khetara75458441")</f>
        <v>@Khetara75458441</v>
      </c>
      <c r="C4907" s="21" t="s">
        <v>11269</v>
      </c>
      <c r="D4907" s="21" t="s">
        <v>42</v>
      </c>
      <c r="E4907" s="22" t="str">
        <f>HYPERLINK("https://twitter.com/Khetara75458441/status/922469418386407424","922469418386407424")</f>
        <v>922469418386407424</v>
      </c>
      <c r="F4907" s="23" t="s">
        <v>33</v>
      </c>
      <c r="G4907" s="24">
        <v>245.0</v>
      </c>
      <c r="H4907" s="24">
        <v>511.0</v>
      </c>
      <c r="I4907" s="24">
        <v>8501.0</v>
      </c>
      <c r="J4907" s="24">
        <v>0.0</v>
      </c>
      <c r="K4907" s="23" t="s">
        <v>34</v>
      </c>
      <c r="L4907" s="25">
        <v>42944.223761574074</v>
      </c>
      <c r="M4907" s="28"/>
      <c r="N4907" s="28"/>
      <c r="O4907" s="22" t="str">
        <f>HYPERLINK("https://abs.twimg.com/sticky/default_profile_images/default_profile_normal.png","View")</f>
        <v>View</v>
      </c>
      <c r="P4907" s="27"/>
    </row>
    <row r="4908">
      <c r="A4908" s="14">
        <v>43031.31047453704</v>
      </c>
      <c r="B4908" s="20" t="str">
        <f>HYPERLINK("https://twitter.com/62WalterP","@62WalterP")</f>
        <v>@62WalterP</v>
      </c>
      <c r="C4908" s="21" t="s">
        <v>11270</v>
      </c>
      <c r="D4908" s="21" t="s">
        <v>10614</v>
      </c>
      <c r="E4908" s="22" t="str">
        <f>HYPERLINK("https://twitter.com/62WalterP/status/922469429199409152","922469429199409152")</f>
        <v>922469429199409152</v>
      </c>
      <c r="F4908" s="23" t="s">
        <v>33</v>
      </c>
      <c r="G4908" s="24">
        <v>433.0</v>
      </c>
      <c r="H4908" s="24">
        <v>457.0</v>
      </c>
      <c r="I4908" s="24">
        <v>159.0</v>
      </c>
      <c r="J4908" s="24">
        <v>0.0</v>
      </c>
      <c r="K4908" s="23" t="s">
        <v>34</v>
      </c>
      <c r="L4908" s="25">
        <v>42966.78322916667</v>
      </c>
      <c r="M4908" s="28"/>
      <c r="N4908" s="26" t="s">
        <v>11271</v>
      </c>
      <c r="O4908" s="22" t="str">
        <f>HYPERLINK("https://pbs.twimg.com/profile_images/900940671917281281/I6v6bWgk_normal.jpg","View")</f>
        <v>View</v>
      </c>
      <c r="P4908" s="27"/>
    </row>
    <row r="4909">
      <c r="A4909" s="14">
        <v>43031.3106712963</v>
      </c>
      <c r="B4909" s="20" t="str">
        <f>HYPERLINK("https://twitter.com/luciomlsascp","@luciomlsascp")</f>
        <v>@luciomlsascp</v>
      </c>
      <c r="C4909" s="21" t="s">
        <v>11272</v>
      </c>
      <c r="D4909" s="21" t="s">
        <v>11273</v>
      </c>
      <c r="E4909" s="22" t="str">
        <f>HYPERLINK("https://twitter.com/luciomlsascp/status/922469502314573824","922469502314573824")</f>
        <v>922469502314573824</v>
      </c>
      <c r="F4909" s="23" t="s">
        <v>55</v>
      </c>
      <c r="G4909" s="24">
        <v>11.0</v>
      </c>
      <c r="H4909" s="24">
        <v>60.0</v>
      </c>
      <c r="I4909" s="24">
        <v>0.0</v>
      </c>
      <c r="J4909" s="24">
        <v>0.0</v>
      </c>
      <c r="K4909" s="23" t="s">
        <v>34</v>
      </c>
      <c r="L4909" s="25">
        <v>42076.69048611111</v>
      </c>
      <c r="M4909" s="26" t="s">
        <v>11274</v>
      </c>
      <c r="N4909" s="26" t="s">
        <v>11275</v>
      </c>
      <c r="O4909" s="22" t="str">
        <f>HYPERLINK("https://pbs.twimg.com/profile_images/912459105977040896/4qQDEgVw_normal.jpg","View")</f>
        <v>View</v>
      </c>
      <c r="P4909" s="27"/>
    </row>
    <row r="4910">
      <c r="A4910" s="14">
        <v>43031.31072916667</v>
      </c>
      <c r="B4910" s="20" t="str">
        <f>HYPERLINK("https://twitter.com/Fenil866","@Fenil866")</f>
        <v>@Fenil866</v>
      </c>
      <c r="C4910" s="21" t="s">
        <v>11276</v>
      </c>
      <c r="D4910" s="21" t="s">
        <v>42</v>
      </c>
      <c r="E4910" s="22" t="str">
        <f>HYPERLINK("https://twitter.com/Fenil866/status/922469524221366272","922469524221366272")</f>
        <v>922469524221366272</v>
      </c>
      <c r="F4910" s="23" t="s">
        <v>39</v>
      </c>
      <c r="G4910" s="24">
        <v>711.0</v>
      </c>
      <c r="H4910" s="24">
        <v>3585.0</v>
      </c>
      <c r="I4910" s="24">
        <v>8501.0</v>
      </c>
      <c r="J4910" s="24">
        <v>0.0</v>
      </c>
      <c r="K4910" s="23" t="s">
        <v>34</v>
      </c>
      <c r="L4910" s="25">
        <v>41506.37081018518</v>
      </c>
      <c r="M4910" s="26" t="s">
        <v>1354</v>
      </c>
      <c r="N4910" s="26" t="s">
        <v>11277</v>
      </c>
      <c r="O4910" s="22" t="str">
        <f>HYPERLINK("https://pbs.twimg.com/profile_images/884415690723049472/8vMNj5RD_normal.jpg","View")</f>
        <v>View</v>
      </c>
      <c r="P4910" s="27"/>
    </row>
    <row r="4911">
      <c r="A4911" s="14">
        <v>43031.31076388889</v>
      </c>
      <c r="B4911" s="20" t="str">
        <f>HYPERLINK("https://twitter.com/CNBCTradersFan","@CNBCTradersFan")</f>
        <v>@CNBCTradersFan</v>
      </c>
      <c r="C4911" s="21" t="s">
        <v>1945</v>
      </c>
      <c r="D4911" s="21" t="s">
        <v>11278</v>
      </c>
      <c r="E4911" s="22" t="str">
        <f>HYPERLINK("https://twitter.com/CNBCTradersFan/status/922469533557936128","922469533557936128")</f>
        <v>922469533557936128</v>
      </c>
      <c r="F4911" s="23" t="s">
        <v>187</v>
      </c>
      <c r="G4911" s="24">
        <v>17128.0</v>
      </c>
      <c r="H4911" s="24">
        <v>11615.0</v>
      </c>
      <c r="I4911" s="24">
        <v>0.0</v>
      </c>
      <c r="J4911" s="24">
        <v>0.0</v>
      </c>
      <c r="K4911" s="23" t="s">
        <v>34</v>
      </c>
      <c r="L4911" s="25">
        <v>40922.50542824074</v>
      </c>
      <c r="M4911" s="26" t="s">
        <v>1947</v>
      </c>
      <c r="N4911" s="26" t="s">
        <v>1948</v>
      </c>
      <c r="O4911" s="22" t="str">
        <f>HYPERLINK("https://pbs.twimg.com/profile_images/731870469318684672/Ckf7rDdJ_normal.jpg","View")</f>
        <v>View</v>
      </c>
      <c r="P4911" s="27"/>
    </row>
    <row r="4912">
      <c r="A4912" s="14">
        <v>43031.31103009259</v>
      </c>
      <c r="B4912" s="20" t="str">
        <f>HYPERLINK("https://twitter.com/vaibhav362","@vaibhav362")</f>
        <v>@vaibhav362</v>
      </c>
      <c r="C4912" s="21" t="s">
        <v>11279</v>
      </c>
      <c r="D4912" s="21" t="s">
        <v>42</v>
      </c>
      <c r="E4912" s="22" t="str">
        <f>HYPERLINK("https://twitter.com/vaibhav362/status/922469629905137665","922469629905137665")</f>
        <v>922469629905137665</v>
      </c>
      <c r="F4912" s="23" t="s">
        <v>33</v>
      </c>
      <c r="G4912" s="24">
        <v>23.0</v>
      </c>
      <c r="H4912" s="24">
        <v>46.0</v>
      </c>
      <c r="I4912" s="24">
        <v>8501.0</v>
      </c>
      <c r="J4912" s="24">
        <v>0.0</v>
      </c>
      <c r="K4912" s="23" t="s">
        <v>34</v>
      </c>
      <c r="L4912" s="25">
        <v>40304.26204861111</v>
      </c>
      <c r="M4912" s="26" t="s">
        <v>207</v>
      </c>
      <c r="N4912" s="28"/>
      <c r="O4912" s="22" t="str">
        <f>HYPERLINK("https://pbs.twimg.com/profile_images/1174756613/Photo0008_normal.jpg","View")</f>
        <v>View</v>
      </c>
      <c r="P4912" s="27"/>
    </row>
    <row r="4913">
      <c r="A4913" s="14">
        <v>43031.31103009259</v>
      </c>
      <c r="B4913" s="20" t="str">
        <f>HYPERLINK("https://twitter.com/EggmanOrWalrus","@EggmanOrWalrus")</f>
        <v>@EggmanOrWalrus</v>
      </c>
      <c r="C4913" s="21" t="s">
        <v>4917</v>
      </c>
      <c r="D4913" s="21" t="s">
        <v>11280</v>
      </c>
      <c r="E4913" s="22" t="str">
        <f>HYPERLINK("https://twitter.com/EggmanOrWalrus/status/922469631230664704","922469631230664704")</f>
        <v>922469631230664704</v>
      </c>
      <c r="F4913" s="23" t="s">
        <v>4919</v>
      </c>
      <c r="G4913" s="24">
        <v>149.0</v>
      </c>
      <c r="H4913" s="24">
        <v>35.0</v>
      </c>
      <c r="I4913" s="24">
        <v>0.0</v>
      </c>
      <c r="J4913" s="24">
        <v>0.0</v>
      </c>
      <c r="K4913" s="23" t="s">
        <v>34</v>
      </c>
      <c r="L4913" s="25">
        <v>39883.69174768518</v>
      </c>
      <c r="M4913" s="26" t="s">
        <v>4920</v>
      </c>
      <c r="N4913" s="26" t="s">
        <v>4921</v>
      </c>
      <c r="O4913" s="22" t="str">
        <f>HYPERLINK("https://pbs.twimg.com/profile_images/805175433767567360/yLKWytM0_normal.jpg","View")</f>
        <v>View</v>
      </c>
      <c r="P4913" s="27"/>
    </row>
    <row r="4914">
      <c r="A4914" s="14">
        <v>43031.311064814814</v>
      </c>
      <c r="B4914" s="20" t="str">
        <f>HYPERLINK("https://twitter.com/ILike60988485","@ILike60988485")</f>
        <v>@ILike60988485</v>
      </c>
      <c r="C4914" s="21" t="s">
        <v>11281</v>
      </c>
      <c r="D4914" s="21" t="s">
        <v>42</v>
      </c>
      <c r="E4914" s="22" t="str">
        <f>HYPERLINK("https://twitter.com/ILike60988485/status/922469644967010304","922469644967010304")</f>
        <v>922469644967010304</v>
      </c>
      <c r="F4914" s="23" t="s">
        <v>33</v>
      </c>
      <c r="G4914" s="24">
        <v>11.0</v>
      </c>
      <c r="H4914" s="24">
        <v>138.0</v>
      </c>
      <c r="I4914" s="24">
        <v>8501.0</v>
      </c>
      <c r="J4914" s="24">
        <v>0.0</v>
      </c>
      <c r="K4914" s="23" t="s">
        <v>34</v>
      </c>
      <c r="L4914" s="25">
        <v>43030.47716435185</v>
      </c>
      <c r="M4914" s="26" t="s">
        <v>2761</v>
      </c>
      <c r="N4914" s="26" t="s">
        <v>11282</v>
      </c>
      <c r="O4914" s="22" t="str">
        <f>HYPERLINK("https://pbs.twimg.com/profile_images/922169951691116544/a205ysnq_normal.jpg","View")</f>
        <v>View</v>
      </c>
      <c r="P4914" s="27"/>
    </row>
    <row r="4915">
      <c r="A4915" s="14">
        <v>43031.31107638888</v>
      </c>
      <c r="B4915" s="20" t="str">
        <f>HYPERLINK("https://twitter.com/KopitiamBot","@KopitiamBot")</f>
        <v>@KopitiamBot</v>
      </c>
      <c r="C4915" s="21" t="s">
        <v>11283</v>
      </c>
      <c r="D4915" s="21" t="s">
        <v>11284</v>
      </c>
      <c r="E4915" s="22" t="str">
        <f>HYPERLINK("https://twitter.com/KopitiamBot/status/922469648393801729","922469648393801729")</f>
        <v>922469648393801729</v>
      </c>
      <c r="F4915" s="30" t="s">
        <v>191</v>
      </c>
      <c r="G4915" s="24">
        <v>135.0</v>
      </c>
      <c r="H4915" s="24">
        <v>0.0</v>
      </c>
      <c r="I4915" s="24">
        <v>0.0</v>
      </c>
      <c r="J4915" s="24">
        <v>1.0</v>
      </c>
      <c r="K4915" s="23" t="s">
        <v>34</v>
      </c>
      <c r="L4915" s="25">
        <v>42492.91247685185</v>
      </c>
      <c r="M4915" s="26" t="s">
        <v>1224</v>
      </c>
      <c r="N4915" s="26" t="s">
        <v>11285</v>
      </c>
      <c r="O4915" s="22" t="str">
        <f>HYPERLINK("https://pbs.twimg.com/profile_images/727361549673730048/8lLDWbpp_normal.jpg","View")</f>
        <v>View</v>
      </c>
      <c r="P4915" s="27"/>
    </row>
    <row r="4916">
      <c r="A4916" s="14">
        <v>43031.31108796297</v>
      </c>
      <c r="B4916" s="20" t="str">
        <f>HYPERLINK("https://twitter.com/MeetIndia","@MeetIndia")</f>
        <v>@MeetIndia</v>
      </c>
      <c r="C4916" s="21" t="s">
        <v>11286</v>
      </c>
      <c r="D4916" s="21" t="s">
        <v>42</v>
      </c>
      <c r="E4916" s="22" t="str">
        <f>HYPERLINK("https://twitter.com/MeetIndia/status/922469653414367232","922469653414367232")</f>
        <v>922469653414367232</v>
      </c>
      <c r="F4916" s="23" t="s">
        <v>33</v>
      </c>
      <c r="G4916" s="24">
        <v>1549.0</v>
      </c>
      <c r="H4916" s="24">
        <v>1394.0</v>
      </c>
      <c r="I4916" s="24">
        <v>8501.0</v>
      </c>
      <c r="J4916" s="24">
        <v>0.0</v>
      </c>
      <c r="K4916" s="23" t="s">
        <v>34</v>
      </c>
      <c r="L4916" s="25">
        <v>41821.68696759259</v>
      </c>
      <c r="M4916" s="28"/>
      <c r="N4916" s="26" t="s">
        <v>11287</v>
      </c>
      <c r="O4916" s="22" t="str">
        <f>HYPERLINK("https://pbs.twimg.com/profile_images/890203141043572740/q_yrFmN6_normal.jpg","View")</f>
        <v>View</v>
      </c>
      <c r="P4916" s="27"/>
    </row>
    <row r="4917">
      <c r="A4917" s="14">
        <v>43031.31114583333</v>
      </c>
      <c r="B4917" s="20" t="str">
        <f>HYPERLINK("https://twitter.com/blue_glass_bird","@blue_glass_bird")</f>
        <v>@blue_glass_bird</v>
      </c>
      <c r="C4917" s="21" t="s">
        <v>11288</v>
      </c>
      <c r="D4917" s="21" t="s">
        <v>42</v>
      </c>
      <c r="E4917" s="22" t="str">
        <f>HYPERLINK("https://twitter.com/blue_glass_bird/status/922469673077153793","922469673077153793")</f>
        <v>922469673077153793</v>
      </c>
      <c r="F4917" s="23" t="s">
        <v>769</v>
      </c>
      <c r="G4917" s="24">
        <v>46.0</v>
      </c>
      <c r="H4917" s="24">
        <v>99.0</v>
      </c>
      <c r="I4917" s="24">
        <v>8501.0</v>
      </c>
      <c r="J4917" s="24">
        <v>0.0</v>
      </c>
      <c r="K4917" s="23" t="s">
        <v>34</v>
      </c>
      <c r="L4917" s="25">
        <v>42772.16181712963</v>
      </c>
      <c r="M4917" s="26" t="s">
        <v>71</v>
      </c>
      <c r="N4917" s="26" t="s">
        <v>11289</v>
      </c>
      <c r="O4917" s="22" t="str">
        <f>HYPERLINK("https://pbs.twimg.com/profile_images/830261895869239296/1sMDLZo0_normal.jpg","View")</f>
        <v>View</v>
      </c>
      <c r="P4917" s="27"/>
    </row>
    <row r="4918">
      <c r="A4918" s="14">
        <v>43031.31118055555</v>
      </c>
      <c r="B4918" s="20" t="str">
        <f>HYPERLINK("https://twitter.com/OfflcialCoe","@OfflcialCoe")</f>
        <v>@OfflcialCoe</v>
      </c>
      <c r="C4918" s="21" t="s">
        <v>11290</v>
      </c>
      <c r="D4918" s="21" t="s">
        <v>2369</v>
      </c>
      <c r="E4918" s="22" t="str">
        <f>HYPERLINK("https://twitter.com/OfflcialCoe/status/922469685609852928","922469685609852928")</f>
        <v>922469685609852928</v>
      </c>
      <c r="F4918" s="23" t="s">
        <v>33</v>
      </c>
      <c r="G4918" s="24">
        <v>40.0</v>
      </c>
      <c r="H4918" s="24">
        <v>1591.0</v>
      </c>
      <c r="I4918" s="24">
        <v>23.0</v>
      </c>
      <c r="J4918" s="24">
        <v>0.0</v>
      </c>
      <c r="K4918" s="23" t="s">
        <v>34</v>
      </c>
      <c r="L4918" s="25">
        <v>41742.535208333335</v>
      </c>
      <c r="M4918" s="26" t="s">
        <v>11291</v>
      </c>
      <c r="N4918" s="28"/>
      <c r="O4918" s="22" t="str">
        <f>HYPERLINK("https://pbs.twimg.com/profile_images/764252515110191104/YVVJtgNO_normal.jpg","View")</f>
        <v>View</v>
      </c>
      <c r="P4918" s="27"/>
    </row>
    <row r="4919">
      <c r="A4919" s="14">
        <v>43031.31128472222</v>
      </c>
      <c r="B4919" s="20" t="str">
        <f>HYPERLINK("https://twitter.com/turbostocks","@turbostocks")</f>
        <v>@turbostocks</v>
      </c>
      <c r="C4919" s="21" t="s">
        <v>5588</v>
      </c>
      <c r="D4919" s="21" t="s">
        <v>11292</v>
      </c>
      <c r="E4919" s="22" t="str">
        <f>HYPERLINK("https://twitter.com/turbostocks/status/922469723249545217","922469723249545217")</f>
        <v>922469723249545217</v>
      </c>
      <c r="F4919" s="23" t="s">
        <v>187</v>
      </c>
      <c r="G4919" s="24">
        <v>2951.0</v>
      </c>
      <c r="H4919" s="24">
        <v>3485.0</v>
      </c>
      <c r="I4919" s="24">
        <v>0.0</v>
      </c>
      <c r="J4919" s="24">
        <v>0.0</v>
      </c>
      <c r="K4919" s="23" t="s">
        <v>34</v>
      </c>
      <c r="L4919" s="25">
        <v>41908.76828703703</v>
      </c>
      <c r="M4919" s="26" t="s">
        <v>1986</v>
      </c>
      <c r="N4919" s="26" t="s">
        <v>5590</v>
      </c>
      <c r="O4919" s="22" t="str">
        <f>HYPERLINK("https://pbs.twimg.com/profile_images/844239888996339712/915Nwbkj_normal.jpg","View")</f>
        <v>View</v>
      </c>
      <c r="P4919" s="27"/>
    </row>
    <row r="4920">
      <c r="A4920" s="14">
        <v>43031.31138888889</v>
      </c>
      <c r="B4920" s="20" t="str">
        <f>HYPERLINK("https://twitter.com/GiantponyGP","@GiantponyGP")</f>
        <v>@GiantponyGP</v>
      </c>
      <c r="C4920" s="21" t="s">
        <v>11293</v>
      </c>
      <c r="D4920" s="21" t="s">
        <v>10614</v>
      </c>
      <c r="E4920" s="22" t="str">
        <f>HYPERLINK("https://twitter.com/GiantponyGP/status/922469763334459392","922469763334459392")</f>
        <v>922469763334459392</v>
      </c>
      <c r="F4920" s="23" t="s">
        <v>39</v>
      </c>
      <c r="G4920" s="24">
        <v>182.0</v>
      </c>
      <c r="H4920" s="24">
        <v>148.0</v>
      </c>
      <c r="I4920" s="24">
        <v>159.0</v>
      </c>
      <c r="J4920" s="24">
        <v>0.0</v>
      </c>
      <c r="K4920" s="23" t="s">
        <v>34</v>
      </c>
      <c r="L4920" s="25">
        <v>42701.762465277774</v>
      </c>
      <c r="M4920" s="26" t="s">
        <v>92</v>
      </c>
      <c r="N4920" s="26" t="s">
        <v>11294</v>
      </c>
      <c r="O4920" s="22" t="str">
        <f>HYPERLINK("https://pbs.twimg.com/profile_images/908453697784549376/wVpjUd7T_normal.jpg","View")</f>
        <v>View</v>
      </c>
      <c r="P4920" s="27"/>
    </row>
    <row r="4921">
      <c r="A4921" s="14">
        <v>43031.311481481476</v>
      </c>
      <c r="B4921" s="20" t="str">
        <f>HYPERLINK("https://twitter.com/itooamsandy","@itooamsandy")</f>
        <v>@itooamsandy</v>
      </c>
      <c r="C4921" s="21" t="s">
        <v>11295</v>
      </c>
      <c r="D4921" s="21" t="s">
        <v>42</v>
      </c>
      <c r="E4921" s="22" t="str">
        <f>HYPERLINK("https://twitter.com/itooamsandy/status/922469794795761664","922469794795761664")</f>
        <v>922469794795761664</v>
      </c>
      <c r="F4921" s="23" t="s">
        <v>33</v>
      </c>
      <c r="G4921" s="24">
        <v>1.0</v>
      </c>
      <c r="H4921" s="24">
        <v>25.0</v>
      </c>
      <c r="I4921" s="24">
        <v>8501.0</v>
      </c>
      <c r="J4921" s="24">
        <v>0.0</v>
      </c>
      <c r="K4921" s="23" t="s">
        <v>34</v>
      </c>
      <c r="L4921" s="25">
        <v>41843.87284722222</v>
      </c>
      <c r="M4921" s="28"/>
      <c r="N4921" s="28"/>
      <c r="O4921" s="22" t="str">
        <f>HYPERLINK("https://pbs.twimg.com/profile_images/777541529225224192/vNIxe7h0_normal.jpg","View")</f>
        <v>View</v>
      </c>
      <c r="P4921" s="27"/>
    </row>
    <row r="4922">
      <c r="A4922" s="14">
        <v>43031.3115162037</v>
      </c>
      <c r="B4922" s="20" t="str">
        <f>HYPERLINK("https://twitter.com/rashid999","@rashid999")</f>
        <v>@rashid999</v>
      </c>
      <c r="C4922" s="21" t="s">
        <v>11296</v>
      </c>
      <c r="D4922" s="21" t="s">
        <v>42</v>
      </c>
      <c r="E4922" s="22" t="str">
        <f>HYPERLINK("https://twitter.com/rashid999/status/922469808435691520","922469808435691520")</f>
        <v>922469808435691520</v>
      </c>
      <c r="F4922" s="23" t="s">
        <v>33</v>
      </c>
      <c r="G4922" s="24">
        <v>713.0</v>
      </c>
      <c r="H4922" s="24">
        <v>181.0</v>
      </c>
      <c r="I4922" s="24">
        <v>8501.0</v>
      </c>
      <c r="J4922" s="24">
        <v>0.0</v>
      </c>
      <c r="K4922" s="23" t="s">
        <v>34</v>
      </c>
      <c r="L4922" s="25">
        <v>40624.93153935185</v>
      </c>
      <c r="M4922" s="26" t="s">
        <v>11297</v>
      </c>
      <c r="N4922" s="26" t="s">
        <v>11298</v>
      </c>
      <c r="O4922" s="22" t="str">
        <f>HYPERLINK("https://pbs.twimg.com/profile_images/893811974705786881/WNIwEs1N_normal.jpg","View")</f>
        <v>View</v>
      </c>
      <c r="P4922" s="27"/>
    </row>
    <row r="4923">
      <c r="A4923" s="14">
        <v>43031.31155092592</v>
      </c>
      <c r="B4923" s="20" t="str">
        <f>HYPERLINK("https://twitter.com/kiranrahul1234","@kiranrahul1234")</f>
        <v>@kiranrahul1234</v>
      </c>
      <c r="C4923" s="21" t="s">
        <v>11299</v>
      </c>
      <c r="D4923" s="21" t="s">
        <v>42</v>
      </c>
      <c r="E4923" s="22" t="str">
        <f>HYPERLINK("https://twitter.com/kiranrahul1234/status/922469820813078528","922469820813078528")</f>
        <v>922469820813078528</v>
      </c>
      <c r="F4923" s="23" t="s">
        <v>33</v>
      </c>
      <c r="G4923" s="24">
        <v>239.0</v>
      </c>
      <c r="H4923" s="24">
        <v>2140.0</v>
      </c>
      <c r="I4923" s="24">
        <v>8501.0</v>
      </c>
      <c r="J4923" s="24">
        <v>0.0</v>
      </c>
      <c r="K4923" s="23" t="s">
        <v>34</v>
      </c>
      <c r="L4923" s="25">
        <v>40075.098125000004</v>
      </c>
      <c r="M4923" s="28"/>
      <c r="N4923" s="28"/>
      <c r="O4923" s="22" t="str">
        <f>HYPERLINK("https://abs.twimg.com/sticky/default_profile_images/default_profile_normal.png","View")</f>
        <v>View</v>
      </c>
      <c r="P4923" s="27"/>
    </row>
    <row r="4924">
      <c r="A4924" s="14">
        <v>43031.311678240745</v>
      </c>
      <c r="B4924" s="20" t="str">
        <f>HYPERLINK("https://twitter.com/AbhiMarkhedkar","@AbhiMarkhedkar")</f>
        <v>@AbhiMarkhedkar</v>
      </c>
      <c r="C4924" s="21" t="s">
        <v>11300</v>
      </c>
      <c r="D4924" s="21" t="s">
        <v>42</v>
      </c>
      <c r="E4924" s="22" t="str">
        <f>HYPERLINK("https://twitter.com/AbhiMarkhedkar/status/922469865180540929","922469865180540929")</f>
        <v>922469865180540929</v>
      </c>
      <c r="F4924" s="23" t="s">
        <v>33</v>
      </c>
      <c r="G4924" s="24">
        <v>163.0</v>
      </c>
      <c r="H4924" s="24">
        <v>336.0</v>
      </c>
      <c r="I4924" s="24">
        <v>8501.0</v>
      </c>
      <c r="J4924" s="24">
        <v>0.0</v>
      </c>
      <c r="K4924" s="23" t="s">
        <v>34</v>
      </c>
      <c r="L4924" s="25">
        <v>41530.430763888886</v>
      </c>
      <c r="M4924" s="26" t="s">
        <v>418</v>
      </c>
      <c r="N4924" s="26" t="s">
        <v>11301</v>
      </c>
      <c r="O4924" s="22" t="str">
        <f>HYPERLINK("https://pbs.twimg.com/profile_images/803284510800547840/vGcvLf6u_normal.jpg","View")</f>
        <v>View</v>
      </c>
      <c r="P4924" s="27"/>
    </row>
    <row r="4925">
      <c r="A4925" s="14">
        <v>43031.311678240745</v>
      </c>
      <c r="B4925" s="20" t="str">
        <f>HYPERLINK("https://twitter.com/HarlanPeterson1","@HarlanPeterson1")</f>
        <v>@HarlanPeterson1</v>
      </c>
      <c r="C4925" s="21" t="s">
        <v>11302</v>
      </c>
      <c r="D4925" s="21" t="s">
        <v>11303</v>
      </c>
      <c r="E4925" s="22" t="str">
        <f>HYPERLINK("https://twitter.com/HarlanPeterson1/status/922469868598947840","922469868598947840")</f>
        <v>922469868598947840</v>
      </c>
      <c r="F4925" s="23" t="s">
        <v>230</v>
      </c>
      <c r="G4925" s="24">
        <v>73.0</v>
      </c>
      <c r="H4925" s="24">
        <v>215.0</v>
      </c>
      <c r="I4925" s="24">
        <v>0.0</v>
      </c>
      <c r="J4925" s="24">
        <v>0.0</v>
      </c>
      <c r="K4925" s="23" t="s">
        <v>34</v>
      </c>
      <c r="L4925" s="25">
        <v>42687.430706018524</v>
      </c>
      <c r="M4925" s="26" t="s">
        <v>11304</v>
      </c>
      <c r="N4925" s="26" t="s">
        <v>11305</v>
      </c>
      <c r="O4925" s="22" t="str">
        <f>HYPERLINK("https://pbs.twimg.com/profile_images/824407175019823104/XMLqnBOe_normal.jpg","View")</f>
        <v>View</v>
      </c>
      <c r="P4925" s="27"/>
    </row>
    <row r="4926">
      <c r="A4926" s="14">
        <v>43031.311701388884</v>
      </c>
      <c r="B4926" s="20" t="str">
        <f>HYPERLINK("https://twitter.com/lovelycatnoir","@lovelycatnoir")</f>
        <v>@lovelycatnoir</v>
      </c>
      <c r="C4926" s="21" t="s">
        <v>11306</v>
      </c>
      <c r="D4926" s="21" t="s">
        <v>42</v>
      </c>
      <c r="E4926" s="22" t="str">
        <f>HYPERLINK("https://twitter.com/lovelycatnoir/status/922469875590688770","922469875590688770")</f>
        <v>922469875590688770</v>
      </c>
      <c r="F4926" s="23" t="s">
        <v>55</v>
      </c>
      <c r="G4926" s="24">
        <v>1079.0</v>
      </c>
      <c r="H4926" s="24">
        <v>1221.0</v>
      </c>
      <c r="I4926" s="24">
        <v>8501.0</v>
      </c>
      <c r="J4926" s="24">
        <v>0.0</v>
      </c>
      <c r="K4926" s="23" t="s">
        <v>34</v>
      </c>
      <c r="L4926" s="25">
        <v>41567.241064814814</v>
      </c>
      <c r="M4926" s="26" t="s">
        <v>4577</v>
      </c>
      <c r="N4926" s="26" t="s">
        <v>11307</v>
      </c>
      <c r="O4926" s="22" t="str">
        <f>HYPERLINK("https://pbs.twimg.com/profile_images/418953900981383170/OC-lWr22_normal.jpeg","View")</f>
        <v>View</v>
      </c>
      <c r="P4926" s="27"/>
    </row>
    <row r="4927">
      <c r="A4927" s="14">
        <v>43031.311956018515</v>
      </c>
      <c r="B4927" s="20" t="str">
        <f>HYPERLINK("https://twitter.com/mit_obe","@mit_obe")</f>
        <v>@mit_obe</v>
      </c>
      <c r="C4927" s="21" t="s">
        <v>10397</v>
      </c>
      <c r="D4927" s="21" t="s">
        <v>11308</v>
      </c>
      <c r="E4927" s="22" t="str">
        <f>HYPERLINK("https://twitter.com/mit_obe/status/922469965759889410","922469965759889410")</f>
        <v>922469965759889410</v>
      </c>
      <c r="F4927" s="23" t="s">
        <v>55</v>
      </c>
      <c r="G4927" s="24">
        <v>1494.0</v>
      </c>
      <c r="H4927" s="24">
        <v>299.0</v>
      </c>
      <c r="I4927" s="24">
        <v>1.0</v>
      </c>
      <c r="J4927" s="24">
        <v>1.0</v>
      </c>
      <c r="K4927" s="23" t="s">
        <v>34</v>
      </c>
      <c r="L4927" s="25">
        <v>41472.72362268518</v>
      </c>
      <c r="M4927" s="26" t="s">
        <v>3693</v>
      </c>
      <c r="N4927" s="26" t="s">
        <v>10399</v>
      </c>
      <c r="O4927" s="22" t="str">
        <f>HYPERLINK("https://pbs.twimg.com/profile_images/912457089007575041/iunAue57_normal.jpg","View")</f>
        <v>View</v>
      </c>
      <c r="P4927" s="27"/>
    </row>
    <row r="4928">
      <c r="A4928" s="14">
        <v>43031.31201388889</v>
      </c>
      <c r="B4928" s="20" t="str">
        <f>HYPERLINK("https://twitter.com/RAHULGU28685656","@RAHULGU28685656")</f>
        <v>@RAHULGU28685656</v>
      </c>
      <c r="C4928" s="21" t="s">
        <v>11309</v>
      </c>
      <c r="D4928" s="21" t="s">
        <v>42</v>
      </c>
      <c r="E4928" s="22" t="str">
        <f>HYPERLINK("https://twitter.com/RAHULGU28685656/status/922469986542800897","922469986542800897")</f>
        <v>922469986542800897</v>
      </c>
      <c r="F4928" s="23" t="s">
        <v>780</v>
      </c>
      <c r="G4928" s="24">
        <v>2.0</v>
      </c>
      <c r="H4928" s="24">
        <v>7.0</v>
      </c>
      <c r="I4928" s="24">
        <v>8501.0</v>
      </c>
      <c r="J4928" s="24">
        <v>0.0</v>
      </c>
      <c r="K4928" s="23" t="s">
        <v>34</v>
      </c>
      <c r="L4928" s="25">
        <v>42977.0394212963</v>
      </c>
      <c r="M4928" s="28"/>
      <c r="N4928" s="28"/>
      <c r="O4928" s="22" t="str">
        <f>HYPERLINK("https://pbs.twimg.com/profile_images/902808337024147456/2HRTjE9M_normal.jpg","View")</f>
        <v>View</v>
      </c>
      <c r="P4928" s="27"/>
    </row>
    <row r="4929">
      <c r="A4929" s="14">
        <v>43031.31201388889</v>
      </c>
      <c r="B4929" s="20" t="str">
        <f>HYPERLINK("https://twitter.com/krishan_yd","@krishan_yd")</f>
        <v>@krishan_yd</v>
      </c>
      <c r="C4929" s="21" t="s">
        <v>11310</v>
      </c>
      <c r="D4929" s="21" t="s">
        <v>42</v>
      </c>
      <c r="E4929" s="22" t="str">
        <f>HYPERLINK("https://twitter.com/krishan_yd/status/922469987125682176","922469987125682176")</f>
        <v>922469987125682176</v>
      </c>
      <c r="F4929" s="23" t="s">
        <v>43</v>
      </c>
      <c r="G4929" s="24">
        <v>3.0</v>
      </c>
      <c r="H4929" s="24">
        <v>22.0</v>
      </c>
      <c r="I4929" s="24">
        <v>8501.0</v>
      </c>
      <c r="J4929" s="24">
        <v>0.0</v>
      </c>
      <c r="K4929" s="23" t="s">
        <v>34</v>
      </c>
      <c r="L4929" s="25">
        <v>42998.07561342593</v>
      </c>
      <c r="M4929" s="28"/>
      <c r="N4929" s="28"/>
      <c r="O4929" s="22" t="str">
        <f>HYPERLINK("https://abs.twimg.com/sticky/default_profile_images/default_profile_normal.png","View")</f>
        <v>View</v>
      </c>
      <c r="P4929" s="27"/>
    </row>
    <row r="4930">
      <c r="A4930" s="14">
        <v>43031.312060185184</v>
      </c>
      <c r="B4930" s="20" t="str">
        <f>HYPERLINK("https://twitter.com/arajhauns","@arajhauns")</f>
        <v>@arajhauns</v>
      </c>
      <c r="C4930" s="21" t="s">
        <v>11311</v>
      </c>
      <c r="D4930" s="21" t="s">
        <v>42</v>
      </c>
      <c r="E4930" s="22" t="str">
        <f>HYPERLINK("https://twitter.com/arajhauns/status/922470006780071936","922470006780071936")</f>
        <v>922470006780071936</v>
      </c>
      <c r="F4930" s="23" t="s">
        <v>55</v>
      </c>
      <c r="G4930" s="24">
        <v>128.0</v>
      </c>
      <c r="H4930" s="24">
        <v>345.0</v>
      </c>
      <c r="I4930" s="24">
        <v>8501.0</v>
      </c>
      <c r="J4930" s="24">
        <v>0.0</v>
      </c>
      <c r="K4930" s="23" t="s">
        <v>34</v>
      </c>
      <c r="L4930" s="25">
        <v>40303.09543981482</v>
      </c>
      <c r="M4930" s="26" t="s">
        <v>1162</v>
      </c>
      <c r="N4930" s="26" t="s">
        <v>11312</v>
      </c>
      <c r="O4930" s="22" t="str">
        <f>HYPERLINK("https://pbs.twimg.com/profile_images/469107861033734144/lh0f-bwf_normal.png","View")</f>
        <v>View</v>
      </c>
      <c r="P4930" s="27"/>
    </row>
    <row r="4931">
      <c r="A4931" s="14">
        <v>43031.31209490741</v>
      </c>
      <c r="B4931" s="20" t="str">
        <f>HYPERLINK("https://twitter.com/SB_Singh_1960","@SB_Singh_1960")</f>
        <v>@SB_Singh_1960</v>
      </c>
      <c r="C4931" s="21" t="s">
        <v>11313</v>
      </c>
      <c r="D4931" s="21" t="s">
        <v>42</v>
      </c>
      <c r="E4931" s="22" t="str">
        <f>HYPERLINK("https://twitter.com/SB_Singh_1960/status/922470018712870918","922470018712870918")</f>
        <v>922470018712870918</v>
      </c>
      <c r="F4931" s="23" t="s">
        <v>33</v>
      </c>
      <c r="G4931" s="24">
        <v>0.0</v>
      </c>
      <c r="H4931" s="24">
        <v>41.0</v>
      </c>
      <c r="I4931" s="24">
        <v>8501.0</v>
      </c>
      <c r="J4931" s="24">
        <v>0.0</v>
      </c>
      <c r="K4931" s="23" t="s">
        <v>34</v>
      </c>
      <c r="L4931" s="25">
        <v>43005.224745370375</v>
      </c>
      <c r="M4931" s="28"/>
      <c r="N4931" s="28"/>
      <c r="O4931" s="22" t="str">
        <f>HYPERLINK("https://pbs.twimg.com/profile_images/913022588820918274/favZhnhT_normal.jpg","View")</f>
        <v>View</v>
      </c>
      <c r="P4931" s="27"/>
    </row>
    <row r="4932">
      <c r="A4932" s="14">
        <v>43031.31215277778</v>
      </c>
      <c r="B4932" s="20" t="str">
        <f>HYPERLINK("https://twitter.com/lacen_erev","@lacen_erev")</f>
        <v>@lacen_erev</v>
      </c>
      <c r="C4932" s="21" t="s">
        <v>11314</v>
      </c>
      <c r="D4932" s="21" t="s">
        <v>42</v>
      </c>
      <c r="E4932" s="22" t="str">
        <f>HYPERLINK("https://twitter.com/lacen_erev/status/922470036488331264","922470036488331264")</f>
        <v>922470036488331264</v>
      </c>
      <c r="F4932" s="23" t="s">
        <v>33</v>
      </c>
      <c r="G4932" s="24">
        <v>726.0</v>
      </c>
      <c r="H4932" s="24">
        <v>692.0</v>
      </c>
      <c r="I4932" s="24">
        <v>8501.0</v>
      </c>
      <c r="J4932" s="24">
        <v>0.0</v>
      </c>
      <c r="K4932" s="23" t="s">
        <v>34</v>
      </c>
      <c r="L4932" s="25">
        <v>42629.162245370375</v>
      </c>
      <c r="M4932" s="26" t="s">
        <v>11315</v>
      </c>
      <c r="N4932" s="26" t="s">
        <v>11316</v>
      </c>
      <c r="O4932" s="22" t="str">
        <f>HYPERLINK("https://pbs.twimg.com/profile_images/915930551911047174/O5oXqs3t_normal.jpg","View")</f>
        <v>View</v>
      </c>
      <c r="P4932" s="27"/>
    </row>
    <row r="4933">
      <c r="A4933" s="14">
        <v>43031.31215277778</v>
      </c>
      <c r="B4933" s="20" t="str">
        <f>HYPERLINK("https://twitter.com/vishalpandey86","@vishalpandey86")</f>
        <v>@vishalpandey86</v>
      </c>
      <c r="C4933" s="21" t="s">
        <v>11317</v>
      </c>
      <c r="D4933" s="21" t="s">
        <v>42</v>
      </c>
      <c r="E4933" s="22" t="str">
        <f>HYPERLINK("https://twitter.com/vishalpandey86/status/922470037709115393","922470037709115393")</f>
        <v>922470037709115393</v>
      </c>
      <c r="F4933" s="23" t="s">
        <v>39</v>
      </c>
      <c r="G4933" s="24">
        <v>19.0</v>
      </c>
      <c r="H4933" s="24">
        <v>139.0</v>
      </c>
      <c r="I4933" s="24">
        <v>8501.0</v>
      </c>
      <c r="J4933" s="24">
        <v>0.0</v>
      </c>
      <c r="K4933" s="23" t="s">
        <v>34</v>
      </c>
      <c r="L4933" s="25">
        <v>42184.75803240741</v>
      </c>
      <c r="M4933" s="26" t="s">
        <v>68</v>
      </c>
      <c r="N4933" s="26" t="s">
        <v>815</v>
      </c>
      <c r="O4933" s="22" t="str">
        <f>HYPERLINK("https://pbs.twimg.com/profile_images/757491257123872768/hYJ1qLGl_normal.jpg","View")</f>
        <v>View</v>
      </c>
      <c r="P4933" s="27"/>
    </row>
    <row r="4934">
      <c r="A4934" s="14">
        <v>43031.312314814815</v>
      </c>
      <c r="B4934" s="20" t="str">
        <f>HYPERLINK("https://twitter.com/GauravJoshi1","@GauravJoshi1")</f>
        <v>@GauravJoshi1</v>
      </c>
      <c r="C4934" s="21" t="s">
        <v>11318</v>
      </c>
      <c r="D4934" s="21" t="s">
        <v>42</v>
      </c>
      <c r="E4934" s="22" t="str">
        <f>HYPERLINK("https://twitter.com/GauravJoshi1/status/922470096575926272","922470096575926272")</f>
        <v>922470096575926272</v>
      </c>
      <c r="F4934" s="23" t="s">
        <v>33</v>
      </c>
      <c r="G4934" s="24">
        <v>189.0</v>
      </c>
      <c r="H4934" s="24">
        <v>548.0</v>
      </c>
      <c r="I4934" s="24">
        <v>8501.0</v>
      </c>
      <c r="J4934" s="24">
        <v>0.0</v>
      </c>
      <c r="K4934" s="23" t="s">
        <v>34</v>
      </c>
      <c r="L4934" s="25">
        <v>40128.61037037037</v>
      </c>
      <c r="M4934" s="26" t="s">
        <v>575</v>
      </c>
      <c r="N4934" s="28"/>
      <c r="O4934" s="22" t="str">
        <f>HYPERLINK("https://pbs.twimg.com/profile_images/2417393973/cx7hik8oo0tmw1toyt0c_normal.png","View")</f>
        <v>View</v>
      </c>
      <c r="P4934" s="27"/>
    </row>
    <row r="4935">
      <c r="A4935" s="14">
        <v>43031.31233796296</v>
      </c>
      <c r="B4935" s="20" t="str">
        <f>HYPERLINK("https://twitter.com/bjp_sarswat","@bjp_sarswat")</f>
        <v>@bjp_sarswat</v>
      </c>
      <c r="C4935" s="21" t="s">
        <v>11319</v>
      </c>
      <c r="D4935" s="21" t="s">
        <v>42</v>
      </c>
      <c r="E4935" s="22" t="str">
        <f>HYPERLINK("https://twitter.com/bjp_sarswat/status/922470103970729984","922470103970729984")</f>
        <v>922470103970729984</v>
      </c>
      <c r="F4935" s="23" t="s">
        <v>33</v>
      </c>
      <c r="G4935" s="24">
        <v>640.0</v>
      </c>
      <c r="H4935" s="24">
        <v>1458.0</v>
      </c>
      <c r="I4935" s="24">
        <v>8501.0</v>
      </c>
      <c r="J4935" s="24">
        <v>0.0</v>
      </c>
      <c r="K4935" s="23" t="s">
        <v>34</v>
      </c>
      <c r="L4935" s="25">
        <v>41961.421944444446</v>
      </c>
      <c r="M4935" s="26" t="s">
        <v>11320</v>
      </c>
      <c r="N4935" s="26" t="s">
        <v>11321</v>
      </c>
      <c r="O4935" s="22" t="str">
        <f>HYPERLINK("https://pbs.twimg.com/profile_images/915626499935531009/DAlbBA7Z_normal.jpg","View")</f>
        <v>View</v>
      </c>
      <c r="P4935" s="27"/>
    </row>
    <row r="4936">
      <c r="A4936" s="14">
        <v>43031.31240740741</v>
      </c>
      <c r="B4936" s="20" t="str">
        <f>HYPERLINK("https://twitter.com/3639Haru0519","@3639Haru0519")</f>
        <v>@3639Haru0519</v>
      </c>
      <c r="C4936" s="21" t="s">
        <v>11322</v>
      </c>
      <c r="D4936" s="21" t="s">
        <v>10614</v>
      </c>
      <c r="E4936" s="22" t="str">
        <f>HYPERLINK("https://twitter.com/3639Haru0519/status/922470132382801921","922470132382801921")</f>
        <v>922470132382801921</v>
      </c>
      <c r="F4936" s="23" t="s">
        <v>33</v>
      </c>
      <c r="G4936" s="24">
        <v>470.0</v>
      </c>
      <c r="H4936" s="24">
        <v>543.0</v>
      </c>
      <c r="I4936" s="24">
        <v>159.0</v>
      </c>
      <c r="J4936" s="24">
        <v>0.0</v>
      </c>
      <c r="K4936" s="23" t="s">
        <v>34</v>
      </c>
      <c r="L4936" s="25">
        <v>42492.30063657407</v>
      </c>
      <c r="M4936" s="28"/>
      <c r="N4936" s="26" t="s">
        <v>11323</v>
      </c>
      <c r="O4936" s="22" t="str">
        <f>HYPERLINK("https://pbs.twimg.com/profile_images/727145993511137280/HNgoGUpl_normal.jpg","View")</f>
        <v>View</v>
      </c>
      <c r="P4936" s="27"/>
    </row>
    <row r="4937">
      <c r="A4937" s="14">
        <v>43031.31247685185</v>
      </c>
      <c r="B4937" s="20" t="str">
        <f>HYPERLINK("https://twitter.com/ckafura","@ckafura")</f>
        <v>@ckafura</v>
      </c>
      <c r="C4937" s="21" t="s">
        <v>11324</v>
      </c>
      <c r="D4937" s="21" t="s">
        <v>11325</v>
      </c>
      <c r="E4937" s="22" t="str">
        <f>HYPERLINK("https://twitter.com/ckafura/status/922470153983594497","922470153983594497")</f>
        <v>922470153983594497</v>
      </c>
      <c r="F4937" s="23" t="s">
        <v>769</v>
      </c>
      <c r="G4937" s="24">
        <v>507.0</v>
      </c>
      <c r="H4937" s="24">
        <v>639.0</v>
      </c>
      <c r="I4937" s="24">
        <v>1.0</v>
      </c>
      <c r="J4937" s="24">
        <v>0.0</v>
      </c>
      <c r="K4937" s="23" t="s">
        <v>34</v>
      </c>
      <c r="L4937" s="25">
        <v>40676.401296296295</v>
      </c>
      <c r="M4937" s="26" t="s">
        <v>3604</v>
      </c>
      <c r="N4937" s="26" t="s">
        <v>11326</v>
      </c>
      <c r="O4937" s="22" t="str">
        <f>HYPERLINK("https://pbs.twimg.com/profile_images/788951759251202048/b2O8oeda_normal.jpg","View")</f>
        <v>View</v>
      </c>
      <c r="P4937" s="27"/>
    </row>
    <row r="4938">
      <c r="A4938" s="14">
        <v>43031.3125</v>
      </c>
      <c r="B4938" s="20" t="str">
        <f>HYPERLINK("https://twitter.com/yamatotaro009","@yamatotaro009")</f>
        <v>@yamatotaro009</v>
      </c>
      <c r="C4938" s="21" t="s">
        <v>11327</v>
      </c>
      <c r="D4938" s="21" t="s">
        <v>740</v>
      </c>
      <c r="E4938" s="22" t="str">
        <f>HYPERLINK("https://twitter.com/yamatotaro009/status/922470166243328000","922470166243328000")</f>
        <v>922470166243328000</v>
      </c>
      <c r="F4938" s="23" t="s">
        <v>39</v>
      </c>
      <c r="G4938" s="24">
        <v>394.0</v>
      </c>
      <c r="H4938" s="24">
        <v>348.0</v>
      </c>
      <c r="I4938" s="24">
        <v>87.0</v>
      </c>
      <c r="J4938" s="24">
        <v>0.0</v>
      </c>
      <c r="K4938" s="23" t="s">
        <v>34</v>
      </c>
      <c r="L4938" s="25">
        <v>41516.48976851852</v>
      </c>
      <c r="M4938" s="28"/>
      <c r="N4938" s="26" t="s">
        <v>11328</v>
      </c>
      <c r="O4938" s="22" t="str">
        <f>HYPERLINK("https://pbs.twimg.com/profile_images/905093323609616384/01wEwRaA_normal.jpg","View")</f>
        <v>View</v>
      </c>
      <c r="P4938" s="27"/>
    </row>
    <row r="4939">
      <c r="A4939" s="14">
        <v>43031.312569444446</v>
      </c>
      <c r="B4939" s="20" t="str">
        <f>HYPERLINK("https://twitter.com/prasadcoolboy","@prasadcoolboy")</f>
        <v>@prasadcoolboy</v>
      </c>
      <c r="C4939" s="21" t="s">
        <v>11329</v>
      </c>
      <c r="D4939" s="21" t="s">
        <v>42</v>
      </c>
      <c r="E4939" s="22" t="str">
        <f>HYPERLINK("https://twitter.com/prasadcoolboy/status/922470187776950273","922470187776950273")</f>
        <v>922470187776950273</v>
      </c>
      <c r="F4939" s="23" t="s">
        <v>33</v>
      </c>
      <c r="G4939" s="24">
        <v>31.0</v>
      </c>
      <c r="H4939" s="24">
        <v>35.0</v>
      </c>
      <c r="I4939" s="24">
        <v>8501.0</v>
      </c>
      <c r="J4939" s="24">
        <v>0.0</v>
      </c>
      <c r="K4939" s="23" t="s">
        <v>34</v>
      </c>
      <c r="L4939" s="25">
        <v>42541.08788194445</v>
      </c>
      <c r="M4939" s="26" t="s">
        <v>224</v>
      </c>
      <c r="N4939" s="26" t="s">
        <v>11330</v>
      </c>
      <c r="O4939" s="22" t="str">
        <f>HYPERLINK("https://pbs.twimg.com/profile_images/872346663318376449/lQ8r-eA5_normal.jpg","View")</f>
        <v>View</v>
      </c>
      <c r="P4939" s="27"/>
    </row>
    <row r="4940">
      <c r="A4940" s="14">
        <v>43031.31265046296</v>
      </c>
      <c r="B4940" s="20" t="str">
        <f>HYPERLINK("https://twitter.com/jimi_barot","@jimi_barot")</f>
        <v>@jimi_barot</v>
      </c>
      <c r="C4940" s="21" t="s">
        <v>11331</v>
      </c>
      <c r="D4940" s="21" t="s">
        <v>42</v>
      </c>
      <c r="E4940" s="22" t="str">
        <f>HYPERLINK("https://twitter.com/jimi_barot/status/922470220203249664","922470220203249664")</f>
        <v>922470220203249664</v>
      </c>
      <c r="F4940" s="23" t="s">
        <v>33</v>
      </c>
      <c r="G4940" s="24">
        <v>2.0</v>
      </c>
      <c r="H4940" s="24">
        <v>42.0</v>
      </c>
      <c r="I4940" s="24">
        <v>8501.0</v>
      </c>
      <c r="J4940" s="24">
        <v>0.0</v>
      </c>
      <c r="K4940" s="23" t="s">
        <v>34</v>
      </c>
      <c r="L4940" s="25">
        <v>42975.99806712963</v>
      </c>
      <c r="M4940" s="26" t="s">
        <v>11332</v>
      </c>
      <c r="N4940" s="26" t="s">
        <v>11333</v>
      </c>
      <c r="O4940" s="22" t="str">
        <f>HYPERLINK("https://pbs.twimg.com/profile_images/917218053678682113/3fQLoZ76_normal.jpg","View")</f>
        <v>View</v>
      </c>
      <c r="P4940" s="27"/>
    </row>
    <row r="4941">
      <c r="A4941" s="14">
        <v>43031.312685185185</v>
      </c>
      <c r="B4941" s="20" t="str">
        <f>HYPERLINK("https://twitter.com/paulosisinno","@paulosisinno")</f>
        <v>@paulosisinno</v>
      </c>
      <c r="C4941" s="21" t="s">
        <v>11334</v>
      </c>
      <c r="D4941" s="21" t="s">
        <v>1566</v>
      </c>
      <c r="E4941" s="22" t="str">
        <f>HYPERLINK("https://twitter.com/paulosisinno/status/922470229741010944","922470229741010944")</f>
        <v>922470229741010944</v>
      </c>
      <c r="F4941" s="23" t="s">
        <v>55</v>
      </c>
      <c r="G4941" s="24">
        <v>1073.0</v>
      </c>
      <c r="H4941" s="24">
        <v>2740.0</v>
      </c>
      <c r="I4941" s="24">
        <v>93.0</v>
      </c>
      <c r="J4941" s="24">
        <v>0.0</v>
      </c>
      <c r="K4941" s="23" t="s">
        <v>34</v>
      </c>
      <c r="L4941" s="25">
        <v>39994.5281712963</v>
      </c>
      <c r="M4941" s="26" t="s">
        <v>11335</v>
      </c>
      <c r="N4941" s="26" t="s">
        <v>11336</v>
      </c>
      <c r="O4941" s="22" t="str">
        <f>HYPERLINK("https://pbs.twimg.com/profile_images/1206605379/Paulo_cara.psd_normal.jpg","View")</f>
        <v>View</v>
      </c>
      <c r="P4941" s="27"/>
    </row>
    <row r="4942">
      <c r="A4942" s="14">
        <v>43031.31277777778</v>
      </c>
      <c r="B4942" s="20" t="str">
        <f>HYPERLINK("https://twitter.com/Deepans49509058","@Deepans49509058")</f>
        <v>@Deepans49509058</v>
      </c>
      <c r="C4942" s="21" t="s">
        <v>11337</v>
      </c>
      <c r="D4942" s="21" t="s">
        <v>42</v>
      </c>
      <c r="E4942" s="22" t="str">
        <f>HYPERLINK("https://twitter.com/Deepans49509058/status/922470263891009539","922470263891009539")</f>
        <v>922470263891009539</v>
      </c>
      <c r="F4942" s="23" t="s">
        <v>33</v>
      </c>
      <c r="G4942" s="24">
        <v>11.0</v>
      </c>
      <c r="H4942" s="24">
        <v>115.0</v>
      </c>
      <c r="I4942" s="24">
        <v>8501.0</v>
      </c>
      <c r="J4942" s="24">
        <v>0.0</v>
      </c>
      <c r="K4942" s="23" t="s">
        <v>34</v>
      </c>
      <c r="L4942" s="25">
        <v>42986.39221064815</v>
      </c>
      <c r="M4942" s="28"/>
      <c r="N4942" s="28"/>
      <c r="O4942" s="22" t="str">
        <f>HYPERLINK("https://abs.twimg.com/sticky/default_profile_images/default_profile_normal.png","View")</f>
        <v>View</v>
      </c>
      <c r="P4942" s="27"/>
    </row>
    <row r="4943">
      <c r="A4943" s="14">
        <v>43031.31277777778</v>
      </c>
      <c r="B4943" s="20" t="str">
        <f>HYPERLINK("https://twitter.com/paulosisinno","@paulosisinno")</f>
        <v>@paulosisinno</v>
      </c>
      <c r="C4943" s="21" t="s">
        <v>11334</v>
      </c>
      <c r="D4943" s="21" t="s">
        <v>1593</v>
      </c>
      <c r="E4943" s="22" t="str">
        <f>HYPERLINK("https://twitter.com/paulosisinno/status/922470266546130944","922470266546130944")</f>
        <v>922470266546130944</v>
      </c>
      <c r="F4943" s="23" t="s">
        <v>55</v>
      </c>
      <c r="G4943" s="24">
        <v>1073.0</v>
      </c>
      <c r="H4943" s="24">
        <v>2740.0</v>
      </c>
      <c r="I4943" s="24">
        <v>110.0</v>
      </c>
      <c r="J4943" s="24">
        <v>0.0</v>
      </c>
      <c r="K4943" s="23" t="s">
        <v>34</v>
      </c>
      <c r="L4943" s="25">
        <v>39994.5281712963</v>
      </c>
      <c r="M4943" s="26" t="s">
        <v>11335</v>
      </c>
      <c r="N4943" s="26" t="s">
        <v>11336</v>
      </c>
      <c r="O4943" s="22" t="str">
        <f>HYPERLINK("https://pbs.twimg.com/profile_images/1206605379/Paulo_cara.psd_normal.jpg","View")</f>
        <v>View</v>
      </c>
      <c r="P4943" s="27"/>
    </row>
    <row r="4944">
      <c r="A4944" s="14">
        <v>43031.31280092592</v>
      </c>
      <c r="B4944" s="20" t="str">
        <f>HYPERLINK("https://twitter.com/iamcheekuk","@iamcheekuk")</f>
        <v>@iamcheekuk</v>
      </c>
      <c r="C4944" s="21" t="s">
        <v>11338</v>
      </c>
      <c r="D4944" s="21" t="s">
        <v>42</v>
      </c>
      <c r="E4944" s="22" t="str">
        <f>HYPERLINK("https://twitter.com/iamcheekuk/status/922470273403588608","922470273403588608")</f>
        <v>922470273403588608</v>
      </c>
      <c r="F4944" s="23" t="s">
        <v>33</v>
      </c>
      <c r="G4944" s="24">
        <v>403.0</v>
      </c>
      <c r="H4944" s="24">
        <v>2263.0</v>
      </c>
      <c r="I4944" s="24">
        <v>8501.0</v>
      </c>
      <c r="J4944" s="24">
        <v>0.0</v>
      </c>
      <c r="K4944" s="23" t="s">
        <v>34</v>
      </c>
      <c r="L4944" s="25">
        <v>40302.118009259255</v>
      </c>
      <c r="M4944" s="26" t="s">
        <v>204</v>
      </c>
      <c r="N4944" s="28"/>
      <c r="O4944" s="22" t="str">
        <f>HYPERLINK("https://pbs.twimg.com/profile_images/918123189338640385/5cJCNQgO_normal.jpg","View")</f>
        <v>View</v>
      </c>
      <c r="P4944" s="27"/>
    </row>
    <row r="4945">
      <c r="A4945" s="14">
        <v>43031.31290509259</v>
      </c>
      <c r="B4945" s="20" t="str">
        <f>HYPERLINK("https://twitter.com/ForeignAffairs","@ForeignAffairs")</f>
        <v>@ForeignAffairs</v>
      </c>
      <c r="C4945" s="21" t="s">
        <v>11339</v>
      </c>
      <c r="D4945" s="21" t="s">
        <v>11340</v>
      </c>
      <c r="E4945" s="22" t="str">
        <f>HYPERLINK("https://twitter.com/ForeignAffairs/status/922470311701905409","922470311701905409")</f>
        <v>922470311701905409</v>
      </c>
      <c r="F4945" s="23" t="s">
        <v>427</v>
      </c>
      <c r="G4945" s="24">
        <v>625896.0</v>
      </c>
      <c r="H4945" s="24">
        <v>2186.0</v>
      </c>
      <c r="I4945" s="24">
        <v>4.0</v>
      </c>
      <c r="J4945" s="24">
        <v>4.0</v>
      </c>
      <c r="K4945" s="23" t="s">
        <v>34</v>
      </c>
      <c r="L4945" s="25">
        <v>39861.438472222224</v>
      </c>
      <c r="M4945" s="26" t="s">
        <v>2534</v>
      </c>
      <c r="N4945" s="26" t="s">
        <v>11341</v>
      </c>
      <c r="O4945" s="22" t="str">
        <f>HYPERLINK("https://pbs.twimg.com/profile_images/472450440747962369/mUbM-DPs_normal.jpeg","View")</f>
        <v>View</v>
      </c>
      <c r="P4945" s="27"/>
    </row>
    <row r="4946">
      <c r="A4946" s="14">
        <v>43031.312951388885</v>
      </c>
      <c r="B4946" s="20" t="str">
        <f>HYPERLINK("https://twitter.com/caracalglobal","@caracalglobal")</f>
        <v>@caracalglobal</v>
      </c>
      <c r="C4946" s="21" t="s">
        <v>11342</v>
      </c>
      <c r="D4946" s="21" t="s">
        <v>11343</v>
      </c>
      <c r="E4946" s="22" t="str">
        <f>HYPERLINK("https://twitter.com/caracalglobal/status/922470328298823681","922470328298823681")</f>
        <v>922470328298823681</v>
      </c>
      <c r="F4946" s="23" t="s">
        <v>4619</v>
      </c>
      <c r="G4946" s="24">
        <v>232.0</v>
      </c>
      <c r="H4946" s="24">
        <v>260.0</v>
      </c>
      <c r="I4946" s="24">
        <v>0.0</v>
      </c>
      <c r="J4946" s="24">
        <v>1.0</v>
      </c>
      <c r="K4946" s="23" t="s">
        <v>34</v>
      </c>
      <c r="L4946" s="25">
        <v>42115.804768518516</v>
      </c>
      <c r="M4946" s="26" t="s">
        <v>4239</v>
      </c>
      <c r="N4946" s="26" t="s">
        <v>11344</v>
      </c>
      <c r="O4946" s="22" t="str">
        <f>HYPERLINK("https://pbs.twimg.com/profile_images/614431330567221248/yy4SdSpa_normal.jpg","View")</f>
        <v>View</v>
      </c>
      <c r="P4946" s="27"/>
    </row>
    <row r="4947">
      <c r="A4947" s="14">
        <v>43031.31297453704</v>
      </c>
      <c r="B4947" s="20" t="str">
        <f>HYPERLINK("https://twitter.com/therealmario33","@therealmario33")</f>
        <v>@therealmario33</v>
      </c>
      <c r="C4947" s="21" t="s">
        <v>11345</v>
      </c>
      <c r="D4947" s="21" t="s">
        <v>2369</v>
      </c>
      <c r="E4947" s="22" t="str">
        <f>HYPERLINK("https://twitter.com/therealmario33/status/922470337069109248","922470337069109248")</f>
        <v>922470337069109248</v>
      </c>
      <c r="F4947" s="23" t="s">
        <v>33</v>
      </c>
      <c r="G4947" s="24">
        <v>88.0</v>
      </c>
      <c r="H4947" s="24">
        <v>2245.0</v>
      </c>
      <c r="I4947" s="24">
        <v>23.0</v>
      </c>
      <c r="J4947" s="24">
        <v>0.0</v>
      </c>
      <c r="K4947" s="23" t="s">
        <v>34</v>
      </c>
      <c r="L4947" s="25">
        <v>40649.20458333333</v>
      </c>
      <c r="M4947" s="26" t="s">
        <v>478</v>
      </c>
      <c r="N4947" s="26" t="s">
        <v>11346</v>
      </c>
      <c r="O4947" s="22" t="str">
        <f>HYPERLINK("https://pbs.twimg.com/profile_images/763022258231271424/fhDXxxJy_normal.jpg","View")</f>
        <v>View</v>
      </c>
      <c r="P4947" s="27"/>
    </row>
    <row r="4948">
      <c r="A4948" s="14">
        <v>43031.312997685185</v>
      </c>
      <c r="B4948" s="20" t="str">
        <f>HYPERLINK("https://twitter.com/marketpulsecom","@marketpulsecom")</f>
        <v>@marketpulsecom</v>
      </c>
      <c r="C4948" s="21" t="s">
        <v>11347</v>
      </c>
      <c r="D4948" s="21" t="s">
        <v>11348</v>
      </c>
      <c r="E4948" s="22" t="str">
        <f>HYPERLINK("https://twitter.com/marketpulsecom/status/922470343653986304","922470343653986304")</f>
        <v>922470343653986304</v>
      </c>
      <c r="F4948" s="23" t="s">
        <v>11349</v>
      </c>
      <c r="G4948" s="24">
        <v>20297.0</v>
      </c>
      <c r="H4948" s="24">
        <v>102.0</v>
      </c>
      <c r="I4948" s="24">
        <v>1.0</v>
      </c>
      <c r="J4948" s="24">
        <v>0.0</v>
      </c>
      <c r="K4948" s="23" t="s">
        <v>34</v>
      </c>
      <c r="L4948" s="25">
        <v>40044.3455787037</v>
      </c>
      <c r="M4948" s="26" t="s">
        <v>3507</v>
      </c>
      <c r="N4948" s="26" t="s">
        <v>11350</v>
      </c>
      <c r="O4948" s="22" t="str">
        <f>HYPERLINK("https://pbs.twimg.com/profile_images/745259068894359552/FZTHM2dI_normal.jpg","View")</f>
        <v>View</v>
      </c>
      <c r="P4948" s="27"/>
    </row>
    <row r="4949">
      <c r="A4949" s="14">
        <v>43031.31300925926</v>
      </c>
      <c r="B4949" s="20" t="str">
        <f>HYPERLINK("https://twitter.com/Nepal_News_En","@Nepal_News_En")</f>
        <v>@Nepal_News_En</v>
      </c>
      <c r="C4949" s="21" t="s">
        <v>11351</v>
      </c>
      <c r="D4949" s="21" t="s">
        <v>11352</v>
      </c>
      <c r="E4949" s="22" t="str">
        <f>HYPERLINK("https://twitter.com/Nepal_News_En/status/922470348829970433","922470348829970433")</f>
        <v>922470348829970433</v>
      </c>
      <c r="F4949" s="23" t="s">
        <v>187</v>
      </c>
      <c r="G4949" s="24">
        <v>9997.0</v>
      </c>
      <c r="H4949" s="24">
        <v>53.0</v>
      </c>
      <c r="I4949" s="24">
        <v>0.0</v>
      </c>
      <c r="J4949" s="24">
        <v>0.0</v>
      </c>
      <c r="K4949" s="23" t="s">
        <v>34</v>
      </c>
      <c r="L4949" s="25">
        <v>41726.86542824074</v>
      </c>
      <c r="M4949" s="26" t="s">
        <v>5867</v>
      </c>
      <c r="N4949" s="26" t="s">
        <v>11353</v>
      </c>
      <c r="O4949" s="22" t="str">
        <f>HYPERLINK("https://pbs.twimg.com/profile_images/449756431990788096/G1zT-nAm_normal.jpeg","View")</f>
        <v>View</v>
      </c>
      <c r="P4949" s="27"/>
    </row>
    <row r="4950">
      <c r="A4950" s="14">
        <v>43031.31306712963</v>
      </c>
      <c r="B4950" s="20" t="str">
        <f>HYPERLINK("https://twitter.com/imamanchauhan","@imamanchauhan")</f>
        <v>@imamanchauhan</v>
      </c>
      <c r="C4950" s="21" t="s">
        <v>11354</v>
      </c>
      <c r="D4950" s="21" t="s">
        <v>42</v>
      </c>
      <c r="E4950" s="22" t="str">
        <f>HYPERLINK("https://twitter.com/imamanchauhan/status/922470369386045441","922470369386045441")</f>
        <v>922470369386045441</v>
      </c>
      <c r="F4950" s="23" t="s">
        <v>33</v>
      </c>
      <c r="G4950" s="24">
        <v>84.0</v>
      </c>
      <c r="H4950" s="24">
        <v>59.0</v>
      </c>
      <c r="I4950" s="24">
        <v>8501.0</v>
      </c>
      <c r="J4950" s="24">
        <v>0.0</v>
      </c>
      <c r="K4950" s="23" t="s">
        <v>34</v>
      </c>
      <c r="L4950" s="25">
        <v>41718.22430555556</v>
      </c>
      <c r="M4950" s="26" t="s">
        <v>11355</v>
      </c>
      <c r="N4950" s="26" t="s">
        <v>11356</v>
      </c>
      <c r="O4950" s="22" t="str">
        <f>HYPERLINK("https://pbs.twimg.com/profile_images/687857366524534785/WCm96_LO_normal.jpg","View")</f>
        <v>View</v>
      </c>
      <c r="P4950" s="27"/>
    </row>
    <row r="4951">
      <c r="A4951" s="14">
        <v>43031.31310185185</v>
      </c>
      <c r="B4951" s="20" t="str">
        <f>HYPERLINK("https://twitter.com/VarunSa55112312","@VarunSa55112312")</f>
        <v>@VarunSa55112312</v>
      </c>
      <c r="C4951" s="21" t="s">
        <v>11357</v>
      </c>
      <c r="D4951" s="21" t="s">
        <v>42</v>
      </c>
      <c r="E4951" s="22" t="str">
        <f>HYPERLINK("https://twitter.com/VarunSa55112312/status/922470382539378688","922470382539378688")</f>
        <v>922470382539378688</v>
      </c>
      <c r="F4951" s="23" t="s">
        <v>33</v>
      </c>
      <c r="G4951" s="24">
        <v>58.0</v>
      </c>
      <c r="H4951" s="24">
        <v>95.0</v>
      </c>
      <c r="I4951" s="24">
        <v>8501.0</v>
      </c>
      <c r="J4951" s="24">
        <v>0.0</v>
      </c>
      <c r="K4951" s="23" t="s">
        <v>34</v>
      </c>
      <c r="L4951" s="25">
        <v>42537.24018518519</v>
      </c>
      <c r="M4951" s="26" t="s">
        <v>8918</v>
      </c>
      <c r="N4951" s="28"/>
      <c r="O4951" s="22" t="str">
        <f>HYPERLINK("https://pbs.twimg.com/profile_images/914502034421719040/IJl5WkfG_normal.jpg","View")</f>
        <v>View</v>
      </c>
      <c r="P4951" s="27"/>
    </row>
    <row r="4952">
      <c r="A4952" s="14">
        <v>43031.313159722224</v>
      </c>
      <c r="B4952" s="20" t="str">
        <f>HYPERLINK("https://twitter.com/timesofnewseu","@timesofnewseu")</f>
        <v>@timesofnewseu</v>
      </c>
      <c r="C4952" s="21" t="s">
        <v>11358</v>
      </c>
      <c r="D4952" s="21" t="s">
        <v>11359</v>
      </c>
      <c r="E4952" s="22" t="str">
        <f>HYPERLINK("https://twitter.com/timesofnewseu/status/922470401397141506","922470401397141506")</f>
        <v>922470401397141506</v>
      </c>
      <c r="F4952" s="23" t="s">
        <v>11360</v>
      </c>
      <c r="G4952" s="24">
        <v>118.0</v>
      </c>
      <c r="H4952" s="24">
        <v>68.0</v>
      </c>
      <c r="I4952" s="24">
        <v>0.0</v>
      </c>
      <c r="J4952" s="24">
        <v>0.0</v>
      </c>
      <c r="K4952" s="23" t="s">
        <v>34</v>
      </c>
      <c r="L4952" s="25">
        <v>42707.5840625</v>
      </c>
      <c r="M4952" s="26" t="s">
        <v>575</v>
      </c>
      <c r="N4952" s="26" t="s">
        <v>11361</v>
      </c>
      <c r="O4952" s="22" t="str">
        <f>HYPERLINK("https://pbs.twimg.com/profile_images/805170669059063808/9koIPBrk_normal.jpg","View")</f>
        <v>View</v>
      </c>
      <c r="P4952" s="27"/>
    </row>
    <row r="4953">
      <c r="A4953" s="14">
        <v>43031.31334490741</v>
      </c>
      <c r="B4953" s="20" t="str">
        <f>HYPERLINK("https://twitter.com/poochlucky11","@poochlucky11")</f>
        <v>@poochlucky11</v>
      </c>
      <c r="C4953" s="21" t="s">
        <v>11362</v>
      </c>
      <c r="D4953" s="21" t="s">
        <v>42</v>
      </c>
      <c r="E4953" s="22" t="str">
        <f>HYPERLINK("https://twitter.com/poochlucky11/status/922470469759938560","922470469759938560")</f>
        <v>922470469759938560</v>
      </c>
      <c r="F4953" s="23" t="s">
        <v>230</v>
      </c>
      <c r="G4953" s="24">
        <v>435.0</v>
      </c>
      <c r="H4953" s="24">
        <v>445.0</v>
      </c>
      <c r="I4953" s="24">
        <v>8501.0</v>
      </c>
      <c r="J4953" s="24">
        <v>0.0</v>
      </c>
      <c r="K4953" s="23" t="s">
        <v>34</v>
      </c>
      <c r="L4953" s="25">
        <v>41825.98467592592</v>
      </c>
      <c r="M4953" s="28"/>
      <c r="N4953" s="26" t="s">
        <v>11363</v>
      </c>
      <c r="O4953" s="22" t="str">
        <f>HYPERLINK("https://abs.twimg.com/sticky/default_profile_images/default_profile_normal.png","View")</f>
        <v>View</v>
      </c>
      <c r="P4953" s="27"/>
    </row>
    <row r="4954">
      <c r="A4954" s="14">
        <v>43031.31335648148</v>
      </c>
      <c r="B4954" s="20" t="str">
        <f>HYPERLINK("https://twitter.com/kitonga_abel","@kitonga_abel")</f>
        <v>@kitonga_abel</v>
      </c>
      <c r="C4954" s="21" t="s">
        <v>11364</v>
      </c>
      <c r="D4954" s="21" t="s">
        <v>32</v>
      </c>
      <c r="E4954" s="22" t="str">
        <f>HYPERLINK("https://twitter.com/kitonga_abel/status/922470472616435712","922470472616435712")</f>
        <v>922470472616435712</v>
      </c>
      <c r="F4954" s="23" t="s">
        <v>33</v>
      </c>
      <c r="G4954" s="24">
        <v>250.0</v>
      </c>
      <c r="H4954" s="24">
        <v>1339.0</v>
      </c>
      <c r="I4954" s="24">
        <v>471.0</v>
      </c>
      <c r="J4954" s="24">
        <v>0.0</v>
      </c>
      <c r="K4954" s="23" t="s">
        <v>34</v>
      </c>
      <c r="L4954" s="25">
        <v>42565.293958333335</v>
      </c>
      <c r="M4954" s="28"/>
      <c r="N4954" s="28"/>
      <c r="O4954" s="22" t="str">
        <f>HYPERLINK("https://pbs.twimg.com/profile_images/914778927775830016/xevAKJZX_normal.jpg","View")</f>
        <v>View</v>
      </c>
      <c r="P4954" s="27"/>
    </row>
    <row r="4955">
      <c r="A4955" s="14">
        <v>43031.3133912037</v>
      </c>
      <c r="B4955" s="20" t="str">
        <f>HYPERLINK("https://twitter.com/CNBCTradersFan","@CNBCTradersFan")</f>
        <v>@CNBCTradersFan</v>
      </c>
      <c r="C4955" s="21" t="s">
        <v>1945</v>
      </c>
      <c r="D4955" s="21" t="s">
        <v>11365</v>
      </c>
      <c r="E4955" s="22" t="str">
        <f>HYPERLINK("https://twitter.com/CNBCTradersFan/status/922470485795004422","922470485795004422")</f>
        <v>922470485795004422</v>
      </c>
      <c r="F4955" s="23" t="s">
        <v>187</v>
      </c>
      <c r="G4955" s="24">
        <v>17128.0</v>
      </c>
      <c r="H4955" s="24">
        <v>11615.0</v>
      </c>
      <c r="I4955" s="24">
        <v>0.0</v>
      </c>
      <c r="J4955" s="24">
        <v>0.0</v>
      </c>
      <c r="K4955" s="23" t="s">
        <v>34</v>
      </c>
      <c r="L4955" s="25">
        <v>40922.50542824074</v>
      </c>
      <c r="M4955" s="26" t="s">
        <v>1947</v>
      </c>
      <c r="N4955" s="26" t="s">
        <v>1948</v>
      </c>
      <c r="O4955" s="22" t="str">
        <f>HYPERLINK("https://pbs.twimg.com/profile_images/731870469318684672/Ckf7rDdJ_normal.jpg","View")</f>
        <v>View</v>
      </c>
      <c r="P4955" s="27"/>
    </row>
    <row r="4956">
      <c r="A4956" s="14">
        <v>43031.3133912037</v>
      </c>
      <c r="B4956" s="20" t="str">
        <f>HYPERLINK("https://twitter.com/Path_Trading","@Path_Trading")</f>
        <v>@Path_Trading</v>
      </c>
      <c r="C4956" s="21" t="s">
        <v>11366</v>
      </c>
      <c r="D4956" s="21" t="s">
        <v>11232</v>
      </c>
      <c r="E4956" s="22" t="str">
        <f>HYPERLINK("https://twitter.com/Path_Trading/status/922470485841113089","922470485841113089")</f>
        <v>922470485841113089</v>
      </c>
      <c r="F4956" s="23" t="s">
        <v>55</v>
      </c>
      <c r="G4956" s="24">
        <v>2113.0</v>
      </c>
      <c r="H4956" s="24">
        <v>5000.0</v>
      </c>
      <c r="I4956" s="24">
        <v>7.0</v>
      </c>
      <c r="J4956" s="24">
        <v>0.0</v>
      </c>
      <c r="K4956" s="23" t="s">
        <v>34</v>
      </c>
      <c r="L4956" s="25">
        <v>42271.5812037037</v>
      </c>
      <c r="M4956" s="26" t="s">
        <v>478</v>
      </c>
      <c r="N4956" s="26" t="s">
        <v>11367</v>
      </c>
      <c r="O4956" s="22" t="str">
        <f>HYPERLINK("https://pbs.twimg.com/profile_images/840657756411449344/yiBJbUIE_normal.jpg","View")</f>
        <v>View</v>
      </c>
      <c r="P4956" s="27"/>
    </row>
    <row r="4957">
      <c r="A4957" s="14">
        <v>43031.3134375</v>
      </c>
      <c r="B4957" s="20" t="str">
        <f>HYPERLINK("https://twitter.com/dannyrrussel","@dannyrrussel")</f>
        <v>@dannyrrussel</v>
      </c>
      <c r="C4957" s="21" t="s">
        <v>11368</v>
      </c>
      <c r="D4957" s="21" t="s">
        <v>11369</v>
      </c>
      <c r="E4957" s="22" t="str">
        <f>HYPERLINK("https://twitter.com/dannyrrussel/status/922470503373209600","922470503373209600")</f>
        <v>922470503373209600</v>
      </c>
      <c r="F4957" s="23" t="s">
        <v>55</v>
      </c>
      <c r="G4957" s="24">
        <v>339.0</v>
      </c>
      <c r="H4957" s="24">
        <v>148.0</v>
      </c>
      <c r="I4957" s="24">
        <v>1.0</v>
      </c>
      <c r="J4957" s="24">
        <v>2.0</v>
      </c>
      <c r="K4957" s="23" t="s">
        <v>34</v>
      </c>
      <c r="L4957" s="25">
        <v>40838.32456018518</v>
      </c>
      <c r="M4957" s="26" t="s">
        <v>2534</v>
      </c>
      <c r="N4957" s="26" t="s">
        <v>11370</v>
      </c>
      <c r="O4957" s="22" t="str">
        <f>HYPERLINK("https://pbs.twimg.com/profile_images/858052911066226695/RjVHT7Bd_normal.jpg","View")</f>
        <v>View</v>
      </c>
      <c r="P4957" s="27"/>
    </row>
    <row r="4958">
      <c r="A4958" s="14">
        <v>43031.313518518524</v>
      </c>
      <c r="B4958" s="20" t="str">
        <f>HYPERLINK("https://twitter.com/hrishims","@hrishims")</f>
        <v>@hrishims</v>
      </c>
      <c r="C4958" s="21" t="s">
        <v>11371</v>
      </c>
      <c r="D4958" s="21" t="s">
        <v>163</v>
      </c>
      <c r="E4958" s="22" t="str">
        <f>HYPERLINK("https://twitter.com/hrishims/status/922470533165342720","922470533165342720")</f>
        <v>922470533165342720</v>
      </c>
      <c r="F4958" s="23" t="s">
        <v>39</v>
      </c>
      <c r="G4958" s="24">
        <v>58.0</v>
      </c>
      <c r="H4958" s="24">
        <v>138.0</v>
      </c>
      <c r="I4958" s="24">
        <v>1005.0</v>
      </c>
      <c r="J4958" s="24">
        <v>0.0</v>
      </c>
      <c r="K4958" s="23" t="s">
        <v>34</v>
      </c>
      <c r="L4958" s="25">
        <v>40250.98594907408</v>
      </c>
      <c r="M4958" s="26" t="s">
        <v>11372</v>
      </c>
      <c r="N4958" s="28"/>
      <c r="O4958" s="22" t="str">
        <f>HYPERLINK("https://pbs.twimg.com/profile_images/419730369135390720/StFmOxSN_normal.jpeg","View")</f>
        <v>View</v>
      </c>
      <c r="P4958" s="27"/>
    </row>
    <row r="4959">
      <c r="A4959" s="14">
        <v>43031.313576388886</v>
      </c>
      <c r="B4959" s="20" t="str">
        <f>HYPERLINK("https://twitter.com/apjmt1986","@apjmt1986")</f>
        <v>@apjmt1986</v>
      </c>
      <c r="C4959" s="21" t="s">
        <v>11373</v>
      </c>
      <c r="D4959" s="21" t="s">
        <v>42</v>
      </c>
      <c r="E4959" s="22" t="str">
        <f>HYPERLINK("https://twitter.com/apjmt1986/status/922470554250067969","922470554250067969")</f>
        <v>922470554250067969</v>
      </c>
      <c r="F4959" s="23" t="s">
        <v>33</v>
      </c>
      <c r="G4959" s="24">
        <v>136.0</v>
      </c>
      <c r="H4959" s="24">
        <v>77.0</v>
      </c>
      <c r="I4959" s="24">
        <v>8501.0</v>
      </c>
      <c r="J4959" s="24">
        <v>0.0</v>
      </c>
      <c r="K4959" s="23" t="s">
        <v>34</v>
      </c>
      <c r="L4959" s="25">
        <v>41175.24962962963</v>
      </c>
      <c r="M4959" s="26" t="s">
        <v>204</v>
      </c>
      <c r="N4959" s="26" t="s">
        <v>11374</v>
      </c>
      <c r="O4959" s="22" t="str">
        <f>HYPERLINK("https://pbs.twimg.com/profile_images/904915200423346176/Gschp1f4_normal.jpg","View")</f>
        <v>View</v>
      </c>
      <c r="P4959" s="27"/>
    </row>
    <row r="4960">
      <c r="A4960" s="14">
        <v>43031.31358796296</v>
      </c>
      <c r="B4960" s="20" t="str">
        <f>HYPERLINK("https://twitter.com/health_toronto","@health_toronto")</f>
        <v>@health_toronto</v>
      </c>
      <c r="C4960" s="21" t="s">
        <v>11375</v>
      </c>
      <c r="D4960" s="21" t="s">
        <v>11376</v>
      </c>
      <c r="E4960" s="22" t="str">
        <f>HYPERLINK("https://twitter.com/health_toronto/status/922470556842180609","922470556842180609")</f>
        <v>922470556842180609</v>
      </c>
      <c r="F4960" s="23" t="s">
        <v>10574</v>
      </c>
      <c r="G4960" s="24">
        <v>565.0</v>
      </c>
      <c r="H4960" s="24">
        <v>837.0</v>
      </c>
      <c r="I4960" s="24">
        <v>0.0</v>
      </c>
      <c r="J4960" s="24">
        <v>0.0</v>
      </c>
      <c r="K4960" s="23" t="s">
        <v>34</v>
      </c>
      <c r="L4960" s="25">
        <v>41571.53173611111</v>
      </c>
      <c r="M4960" s="28"/>
      <c r="N4960" s="26" t="s">
        <v>11377</v>
      </c>
      <c r="O4960" s="22" t="str">
        <f>HYPERLINK("https://pbs.twimg.com/profile_images/736844469924990976/AuhDp-VP_normal.jpg","View")</f>
        <v>View</v>
      </c>
      <c r="P4960" s="27"/>
    </row>
    <row r="4961">
      <c r="A4961" s="14">
        <v>43031.31359953704</v>
      </c>
      <c r="B4961" s="20" t="str">
        <f>HYPERLINK("https://twitter.com/rishusingh2207","@rishusingh2207")</f>
        <v>@rishusingh2207</v>
      </c>
      <c r="C4961" s="21" t="s">
        <v>11378</v>
      </c>
      <c r="D4961" s="21" t="s">
        <v>42</v>
      </c>
      <c r="E4961" s="22" t="str">
        <f>HYPERLINK("https://twitter.com/rishusingh2207/status/922470563464937473","922470563464937473")</f>
        <v>922470563464937473</v>
      </c>
      <c r="F4961" s="23" t="s">
        <v>33</v>
      </c>
      <c r="G4961" s="24">
        <v>1334.0</v>
      </c>
      <c r="H4961" s="24">
        <v>4568.0</v>
      </c>
      <c r="I4961" s="24">
        <v>8501.0</v>
      </c>
      <c r="J4961" s="24">
        <v>0.0</v>
      </c>
      <c r="K4961" s="23" t="s">
        <v>34</v>
      </c>
      <c r="L4961" s="25">
        <v>41375.105416666665</v>
      </c>
      <c r="M4961" s="26" t="s">
        <v>11379</v>
      </c>
      <c r="N4961" s="26" t="s">
        <v>11380</v>
      </c>
      <c r="O4961" s="22" t="str">
        <f>HYPERLINK("https://pbs.twimg.com/profile_images/857143754997854209/QKplL6tp_normal.jpg","View")</f>
        <v>View</v>
      </c>
      <c r="P4961" s="27"/>
    </row>
    <row r="4962">
      <c r="A4962" s="14">
        <v>43031.313680555555</v>
      </c>
      <c r="B4962" s="20" t="str">
        <f>HYPERLINK("https://twitter.com/Lynxxrider","@Lynxxrider")</f>
        <v>@Lynxxrider</v>
      </c>
      <c r="C4962" s="21" t="s">
        <v>11381</v>
      </c>
      <c r="D4962" s="21" t="s">
        <v>213</v>
      </c>
      <c r="E4962" s="22" t="str">
        <f>HYPERLINK("https://twitter.com/Lynxxrider/status/922470591529041925","922470591529041925")</f>
        <v>922470591529041925</v>
      </c>
      <c r="F4962" s="23" t="s">
        <v>230</v>
      </c>
      <c r="G4962" s="24">
        <v>248.0</v>
      </c>
      <c r="H4962" s="24">
        <v>94.0</v>
      </c>
      <c r="I4962" s="24">
        <v>94.0</v>
      </c>
      <c r="J4962" s="24">
        <v>0.0</v>
      </c>
      <c r="K4962" s="23" t="s">
        <v>34</v>
      </c>
      <c r="L4962" s="25">
        <v>40313.1162037037</v>
      </c>
      <c r="M4962" s="28"/>
      <c r="N4962" s="28"/>
      <c r="O4962" s="22" t="str">
        <f>HYPERLINK("https://abs.twimg.com/sticky/default_profile_images/default_profile_normal.png","View")</f>
        <v>View</v>
      </c>
      <c r="P4962" s="27"/>
    </row>
    <row r="4963">
      <c r="A4963" s="14">
        <v>43031.313796296294</v>
      </c>
      <c r="B4963" s="20" t="str">
        <f>HYPERLINK("https://twitter.com/shellgai","@shellgai")</f>
        <v>@shellgai</v>
      </c>
      <c r="C4963" s="21" t="s">
        <v>11382</v>
      </c>
      <c r="D4963" s="21" t="s">
        <v>9013</v>
      </c>
      <c r="E4963" s="22" t="str">
        <f>HYPERLINK("https://twitter.com/shellgai/status/922470635392999425","922470635392999425")</f>
        <v>922470635392999425</v>
      </c>
      <c r="F4963" s="23" t="s">
        <v>55</v>
      </c>
      <c r="G4963" s="24">
        <v>1069.0</v>
      </c>
      <c r="H4963" s="24">
        <v>2333.0</v>
      </c>
      <c r="I4963" s="24">
        <v>31.0</v>
      </c>
      <c r="J4963" s="24">
        <v>0.0</v>
      </c>
      <c r="K4963" s="23" t="s">
        <v>34</v>
      </c>
      <c r="L4963" s="25">
        <v>40214.12702546296</v>
      </c>
      <c r="M4963" s="26" t="s">
        <v>11383</v>
      </c>
      <c r="N4963" s="26" t="s">
        <v>11384</v>
      </c>
      <c r="O4963" s="22" t="str">
        <f>HYPERLINK("https://pbs.twimg.com/profile_images/528152362595004416/s8CeeU6v_normal.png","View")</f>
        <v>View</v>
      </c>
      <c r="P4963" s="27"/>
    </row>
    <row r="4964">
      <c r="A4964" s="14">
        <v>43031.3140625</v>
      </c>
      <c r="B4964" s="20" t="str">
        <f>HYPERLINK("https://twitter.com/semubhatt","@semubhatt")</f>
        <v>@semubhatt</v>
      </c>
      <c r="C4964" s="21" t="s">
        <v>11385</v>
      </c>
      <c r="D4964" s="21" t="s">
        <v>42</v>
      </c>
      <c r="E4964" s="22" t="str">
        <f>HYPERLINK("https://twitter.com/semubhatt/status/922470732189270017","922470732189270017")</f>
        <v>922470732189270017</v>
      </c>
      <c r="F4964" s="23" t="s">
        <v>39</v>
      </c>
      <c r="G4964" s="24">
        <v>7443.0</v>
      </c>
      <c r="H4964" s="24">
        <v>96.0</v>
      </c>
      <c r="I4964" s="24">
        <v>8501.0</v>
      </c>
      <c r="J4964" s="24">
        <v>0.0</v>
      </c>
      <c r="K4964" s="23" t="s">
        <v>34</v>
      </c>
      <c r="L4964" s="25">
        <v>40010.04650462963</v>
      </c>
      <c r="M4964" s="26" t="s">
        <v>204</v>
      </c>
      <c r="N4964" s="26" t="s">
        <v>11386</v>
      </c>
      <c r="O4964" s="22" t="str">
        <f>HYPERLINK("https://pbs.twimg.com/profile_images/864560547668213760/tBHYvT2z_normal.jpg","View")</f>
        <v>View</v>
      </c>
      <c r="P4964" s="27"/>
    </row>
    <row r="4965">
      <c r="A4965" s="14">
        <v>43031.31417824074</v>
      </c>
      <c r="B4965" s="20" t="str">
        <f>HYPERLINK("https://twitter.com/nirajkumar4m","@nirajkumar4m")</f>
        <v>@nirajkumar4m</v>
      </c>
      <c r="C4965" s="21" t="s">
        <v>11387</v>
      </c>
      <c r="D4965" s="21" t="s">
        <v>42</v>
      </c>
      <c r="E4965" s="22" t="str">
        <f>HYPERLINK("https://twitter.com/nirajkumar4m/status/922470772546748416","922470772546748416")</f>
        <v>922470772546748416</v>
      </c>
      <c r="F4965" s="23" t="s">
        <v>33</v>
      </c>
      <c r="G4965" s="24">
        <v>16.0</v>
      </c>
      <c r="H4965" s="24">
        <v>23.0</v>
      </c>
      <c r="I4965" s="24">
        <v>8501.0</v>
      </c>
      <c r="J4965" s="24">
        <v>0.0</v>
      </c>
      <c r="K4965" s="23" t="s">
        <v>34</v>
      </c>
      <c r="L4965" s="25">
        <v>42671.92017361111</v>
      </c>
      <c r="M4965" s="28"/>
      <c r="N4965" s="28"/>
      <c r="O4965" s="22" t="str">
        <f>HYPERLINK("https://abs.twimg.com/sticky/default_profile_images/default_profile_normal.png","View")</f>
        <v>View</v>
      </c>
      <c r="P4965" s="27"/>
    </row>
    <row r="4966">
      <c r="A4966" s="14">
        <v>43031.31417824074</v>
      </c>
      <c r="B4966" s="20" t="str">
        <f>HYPERLINK("https://twitter.com/JuanRestrepo9","@JuanRestrepo9")</f>
        <v>@JuanRestrepo9</v>
      </c>
      <c r="C4966" s="21" t="s">
        <v>11388</v>
      </c>
      <c r="D4966" s="21" t="s">
        <v>1109</v>
      </c>
      <c r="E4966" s="22" t="str">
        <f>HYPERLINK("https://twitter.com/JuanRestrepo9/status/922470772907626496","922470772907626496")</f>
        <v>922470772907626496</v>
      </c>
      <c r="F4966" s="23" t="s">
        <v>55</v>
      </c>
      <c r="G4966" s="24">
        <v>1197.0</v>
      </c>
      <c r="H4966" s="24">
        <v>83.0</v>
      </c>
      <c r="I4966" s="24">
        <v>71.0</v>
      </c>
      <c r="J4966" s="24">
        <v>0.0</v>
      </c>
      <c r="K4966" s="23" t="s">
        <v>34</v>
      </c>
      <c r="L4966" s="25">
        <v>40835.51696759259</v>
      </c>
      <c r="M4966" s="26" t="s">
        <v>11389</v>
      </c>
      <c r="N4966" s="26" t="s">
        <v>11390</v>
      </c>
      <c r="O4966" s="22" t="str">
        <f>HYPERLINK("https://pbs.twimg.com/profile_images/3043611670/514de7c187a08d5444a2048117ff12e4_normal.jpeg","View")</f>
        <v>View</v>
      </c>
      <c r="P4966" s="27"/>
    </row>
    <row r="4967">
      <c r="A4967" s="14">
        <v>43031.314293981486</v>
      </c>
      <c r="B4967" s="20" t="str">
        <f>HYPERLINK("https://twitter.com/Chetna311","@Chetna311")</f>
        <v>@Chetna311</v>
      </c>
      <c r="C4967" s="21" t="s">
        <v>11391</v>
      </c>
      <c r="D4967" s="21" t="s">
        <v>42</v>
      </c>
      <c r="E4967" s="22" t="str">
        <f>HYPERLINK("https://twitter.com/Chetna311/status/922470813009305601","922470813009305601")</f>
        <v>922470813009305601</v>
      </c>
      <c r="F4967" s="23" t="s">
        <v>33</v>
      </c>
      <c r="G4967" s="24">
        <v>14.0</v>
      </c>
      <c r="H4967" s="24">
        <v>367.0</v>
      </c>
      <c r="I4967" s="24">
        <v>8501.0</v>
      </c>
      <c r="J4967" s="24">
        <v>0.0</v>
      </c>
      <c r="K4967" s="23" t="s">
        <v>34</v>
      </c>
      <c r="L4967" s="25">
        <v>41043.1871875</v>
      </c>
      <c r="M4967" s="28"/>
      <c r="N4967" s="26" t="s">
        <v>11392</v>
      </c>
      <c r="O4967" s="22" t="str">
        <f>HYPERLINK("https://pbs.twimg.com/profile_images/2254008913/Cub_normal.jpg","View")</f>
        <v>View</v>
      </c>
      <c r="P4967" s="27"/>
    </row>
    <row r="4968">
      <c r="A4968" s="14">
        <v>43031.31435185185</v>
      </c>
      <c r="B4968" s="20" t="str">
        <f>HYPERLINK("https://twitter.com/LiberalJoc","@LiberalJoc")</f>
        <v>@LiberalJoc</v>
      </c>
      <c r="C4968" s="21" t="s">
        <v>11393</v>
      </c>
      <c r="D4968" s="21" t="s">
        <v>10614</v>
      </c>
      <c r="E4968" s="22" t="str">
        <f>HYPERLINK("https://twitter.com/LiberalJoc/status/922470835884929024","922470835884929024")</f>
        <v>922470835884929024</v>
      </c>
      <c r="F4968" s="23" t="s">
        <v>39</v>
      </c>
      <c r="G4968" s="24">
        <v>1423.0</v>
      </c>
      <c r="H4968" s="24">
        <v>1400.0</v>
      </c>
      <c r="I4968" s="24">
        <v>159.0</v>
      </c>
      <c r="J4968" s="24">
        <v>0.0</v>
      </c>
      <c r="K4968" s="23" t="s">
        <v>34</v>
      </c>
      <c r="L4968" s="25">
        <v>42594.543020833335</v>
      </c>
      <c r="M4968" s="26" t="s">
        <v>11394</v>
      </c>
      <c r="N4968" s="26" t="s">
        <v>11395</v>
      </c>
      <c r="O4968" s="22" t="str">
        <f>HYPERLINK("https://pbs.twimg.com/profile_images/850733688677699584/F10pbZvy_normal.jpg","View")</f>
        <v>View</v>
      </c>
      <c r="P4968" s="27"/>
    </row>
    <row r="4969">
      <c r="A4969" s="14">
        <v>43031.314363425925</v>
      </c>
      <c r="B4969" s="20" t="str">
        <f>HYPERLINK("https://twitter.com/venkatiyer26","@venkatiyer26")</f>
        <v>@venkatiyer26</v>
      </c>
      <c r="C4969" s="21" t="s">
        <v>11396</v>
      </c>
      <c r="D4969" s="21" t="s">
        <v>42</v>
      </c>
      <c r="E4969" s="22" t="str">
        <f>HYPERLINK("https://twitter.com/venkatiyer26/status/922470841685721088","922470841685721088")</f>
        <v>922470841685721088</v>
      </c>
      <c r="F4969" s="23" t="s">
        <v>33</v>
      </c>
      <c r="G4969" s="24">
        <v>259.0</v>
      </c>
      <c r="H4969" s="24">
        <v>546.0</v>
      </c>
      <c r="I4969" s="24">
        <v>8501.0</v>
      </c>
      <c r="J4969" s="24">
        <v>0.0</v>
      </c>
      <c r="K4969" s="23" t="s">
        <v>34</v>
      </c>
      <c r="L4969" s="25">
        <v>40223.829097222224</v>
      </c>
      <c r="M4969" s="26" t="s">
        <v>11397</v>
      </c>
      <c r="N4969" s="26" t="s">
        <v>11398</v>
      </c>
      <c r="O4969" s="22" t="str">
        <f>HYPERLINK("https://pbs.twimg.com/profile_images/516903970636181504/8ybgEX8P_normal.jpeg","View")</f>
        <v>View</v>
      </c>
      <c r="P4969" s="27"/>
    </row>
    <row r="4970">
      <c r="A4970" s="14">
        <v>43031.31454861111</v>
      </c>
      <c r="B4970" s="20" t="str">
        <f>HYPERLINK("https://twitter.com/jgdhemant","@jgdhemant")</f>
        <v>@jgdhemant</v>
      </c>
      <c r="C4970" s="21" t="s">
        <v>11399</v>
      </c>
      <c r="D4970" s="21" t="s">
        <v>42</v>
      </c>
      <c r="E4970" s="22" t="str">
        <f>HYPERLINK("https://twitter.com/jgdhemant/status/922470906886160384","922470906886160384")</f>
        <v>922470906886160384</v>
      </c>
      <c r="F4970" s="23" t="s">
        <v>55</v>
      </c>
      <c r="G4970" s="24">
        <v>314.0</v>
      </c>
      <c r="H4970" s="24">
        <v>2039.0</v>
      </c>
      <c r="I4970" s="24">
        <v>8501.0</v>
      </c>
      <c r="J4970" s="24">
        <v>0.0</v>
      </c>
      <c r="K4970" s="23" t="s">
        <v>34</v>
      </c>
      <c r="L4970" s="25">
        <v>40897.22106481482</v>
      </c>
      <c r="M4970" s="28"/>
      <c r="N4970" s="28"/>
      <c r="O4970" s="22" t="str">
        <f>HYPERLINK("https://abs.twimg.com/sticky/default_profile_images/default_profile_normal.png","View")</f>
        <v>View</v>
      </c>
      <c r="P4970" s="27"/>
    </row>
    <row r="4971">
      <c r="A4971" s="14">
        <v>43031.31465277778</v>
      </c>
      <c r="B4971" s="20" t="str">
        <f>HYPERLINK("https://twitter.com/santosh787570","@santosh787570")</f>
        <v>@santosh787570</v>
      </c>
      <c r="C4971" s="21" t="s">
        <v>11400</v>
      </c>
      <c r="D4971" s="21" t="s">
        <v>42</v>
      </c>
      <c r="E4971" s="22" t="str">
        <f>HYPERLINK("https://twitter.com/santosh787570/status/922470942541987840","922470942541987840")</f>
        <v>922470942541987840</v>
      </c>
      <c r="F4971" s="23" t="s">
        <v>33</v>
      </c>
      <c r="G4971" s="24">
        <v>8.0</v>
      </c>
      <c r="H4971" s="24">
        <v>77.0</v>
      </c>
      <c r="I4971" s="24">
        <v>8501.0</v>
      </c>
      <c r="J4971" s="24">
        <v>0.0</v>
      </c>
      <c r="K4971" s="23" t="s">
        <v>34</v>
      </c>
      <c r="L4971" s="25">
        <v>42367.89884259259</v>
      </c>
      <c r="M4971" s="26" t="s">
        <v>11401</v>
      </c>
      <c r="N4971" s="26" t="s">
        <v>11402</v>
      </c>
      <c r="O4971" s="22" t="str">
        <f>HYPERLINK("https://pbs.twimg.com/profile_images/682202436652539906/zalNfqf8_normal.jpg","View")</f>
        <v>View</v>
      </c>
      <c r="P4971" s="27"/>
    </row>
    <row r="4972">
      <c r="A4972" s="14">
        <v>43031.314675925925</v>
      </c>
      <c r="B4972" s="20" t="str">
        <f>HYPERLINK("https://twitter.com/sunny22457","@sunny22457")</f>
        <v>@sunny22457</v>
      </c>
      <c r="C4972" s="21" t="s">
        <v>11403</v>
      </c>
      <c r="D4972" s="21" t="s">
        <v>6403</v>
      </c>
      <c r="E4972" s="22" t="str">
        <f>HYPERLINK("https://twitter.com/sunny22457/status/922470953900179456","922470953900179456")</f>
        <v>922470953900179456</v>
      </c>
      <c r="F4972" s="23" t="s">
        <v>33</v>
      </c>
      <c r="G4972" s="24">
        <v>203.0</v>
      </c>
      <c r="H4972" s="24">
        <v>96.0</v>
      </c>
      <c r="I4972" s="24">
        <v>97.0</v>
      </c>
      <c r="J4972" s="24">
        <v>0.0</v>
      </c>
      <c r="K4972" s="23" t="s">
        <v>34</v>
      </c>
      <c r="L4972" s="25">
        <v>41946.35539351852</v>
      </c>
      <c r="M4972" s="26" t="s">
        <v>11404</v>
      </c>
      <c r="N4972" s="26" t="s">
        <v>11405</v>
      </c>
      <c r="O4972" s="22" t="str">
        <f>HYPERLINK("https://pbs.twimg.com/profile_images/586612156931551232/_p8XouV6_normal.jpg","View")</f>
        <v>View</v>
      </c>
      <c r="P4972" s="27"/>
    </row>
    <row r="4973">
      <c r="A4973" s="14">
        <v>43031.314733796295</v>
      </c>
      <c r="B4973" s="20" t="str">
        <f>HYPERLINK("https://twitter.com/luanquan29425","@luanquan29425")</f>
        <v>@luanquan29425</v>
      </c>
      <c r="C4973" s="21" t="s">
        <v>10865</v>
      </c>
      <c r="D4973" s="21" t="s">
        <v>11406</v>
      </c>
      <c r="E4973" s="22" t="str">
        <f>HYPERLINK("https://twitter.com/luanquan29425/status/922470974926217217","922470974926217217")</f>
        <v>922470974926217217</v>
      </c>
      <c r="F4973" s="23" t="s">
        <v>55</v>
      </c>
      <c r="G4973" s="24">
        <v>0.0</v>
      </c>
      <c r="H4973" s="24">
        <v>0.0</v>
      </c>
      <c r="I4973" s="24">
        <v>0.0</v>
      </c>
      <c r="J4973" s="24">
        <v>0.0</v>
      </c>
      <c r="K4973" s="23" t="s">
        <v>34</v>
      </c>
      <c r="L4973" s="25">
        <v>43029.47225694444</v>
      </c>
      <c r="M4973" s="28"/>
      <c r="N4973" s="28"/>
      <c r="O4973" s="22" t="str">
        <f>HYPERLINK("https://abs.twimg.com/sticky/default_profile_images/default_profile_normal.png","View")</f>
        <v>View</v>
      </c>
      <c r="P4973" s="27"/>
    </row>
    <row r="4974">
      <c r="A4974" s="14">
        <v>43031.31484953704</v>
      </c>
      <c r="B4974" s="20" t="str">
        <f>HYPERLINK("https://twitter.com/NLakshey","@NLakshey")</f>
        <v>@NLakshey</v>
      </c>
      <c r="C4974" s="21" t="s">
        <v>125</v>
      </c>
      <c r="D4974" s="21" t="s">
        <v>11135</v>
      </c>
      <c r="E4974" s="22" t="str">
        <f>HYPERLINK("https://twitter.com/NLakshey/status/922471014826524673","922471014826524673")</f>
        <v>922471014826524673</v>
      </c>
      <c r="F4974" s="23" t="s">
        <v>33</v>
      </c>
      <c r="G4974" s="24">
        <v>306.0</v>
      </c>
      <c r="H4974" s="24">
        <v>1025.0</v>
      </c>
      <c r="I4974" s="24">
        <v>4.0</v>
      </c>
      <c r="J4974" s="24">
        <v>0.0</v>
      </c>
      <c r="K4974" s="23" t="s">
        <v>34</v>
      </c>
      <c r="L4974" s="25">
        <v>41658.97289351852</v>
      </c>
      <c r="M4974" s="26" t="s">
        <v>127</v>
      </c>
      <c r="N4974" s="26" t="s">
        <v>128</v>
      </c>
      <c r="O4974" s="22" t="str">
        <f>HYPERLINK("https://pbs.twimg.com/profile_images/911173726997143552/5HzTBWrG_normal.jpg","View")</f>
        <v>View</v>
      </c>
      <c r="P4974" s="27"/>
    </row>
    <row r="4975">
      <c r="A4975" s="14">
        <v>43031.314988425926</v>
      </c>
      <c r="B4975" s="20" t="str">
        <f>HYPERLINK("https://twitter.com/kmorit","@kmorit")</f>
        <v>@kmorit</v>
      </c>
      <c r="C4975" s="21" t="s">
        <v>11407</v>
      </c>
      <c r="D4975" s="21" t="s">
        <v>10614</v>
      </c>
      <c r="E4975" s="22" t="str">
        <f>HYPERLINK("https://twitter.com/kmorit/status/922471064088612866","922471064088612866")</f>
        <v>922471064088612866</v>
      </c>
      <c r="F4975" s="23" t="s">
        <v>39</v>
      </c>
      <c r="G4975" s="24">
        <v>2045.0</v>
      </c>
      <c r="H4975" s="24">
        <v>1369.0</v>
      </c>
      <c r="I4975" s="24">
        <v>159.0</v>
      </c>
      <c r="J4975" s="24">
        <v>0.0</v>
      </c>
      <c r="K4975" s="23" t="s">
        <v>34</v>
      </c>
      <c r="L4975" s="25">
        <v>39913.387465277774</v>
      </c>
      <c r="M4975" s="26" t="s">
        <v>923</v>
      </c>
      <c r="N4975" s="26" t="s">
        <v>11408</v>
      </c>
      <c r="O4975" s="22" t="str">
        <f>HYPERLINK("https://pbs.twimg.com/profile_images/277790818/IMG_1097_2_crop_normal.JPG","View")</f>
        <v>View</v>
      </c>
      <c r="P4975" s="27"/>
    </row>
    <row r="4976">
      <c r="A4976" s="14">
        <v>43031.31501157407</v>
      </c>
      <c r="B4976" s="20" t="str">
        <f>HYPERLINK("https://twitter.com/sheetal_here","@sheetal_here")</f>
        <v>@sheetal_here</v>
      </c>
      <c r="C4976" s="21" t="s">
        <v>11409</v>
      </c>
      <c r="D4976" s="21" t="s">
        <v>42</v>
      </c>
      <c r="E4976" s="22" t="str">
        <f>HYPERLINK("https://twitter.com/sheetal_here/status/922471072766705664","922471072766705664")</f>
        <v>922471072766705664</v>
      </c>
      <c r="F4976" s="23" t="s">
        <v>39</v>
      </c>
      <c r="G4976" s="24">
        <v>661.0</v>
      </c>
      <c r="H4976" s="24">
        <v>385.0</v>
      </c>
      <c r="I4976" s="24">
        <v>8501.0</v>
      </c>
      <c r="J4976" s="24">
        <v>0.0</v>
      </c>
      <c r="K4976" s="23" t="s">
        <v>34</v>
      </c>
      <c r="L4976" s="25">
        <v>40327.11649305555</v>
      </c>
      <c r="M4976" s="28"/>
      <c r="N4976" s="26" t="s">
        <v>11410</v>
      </c>
      <c r="O4976" s="22" t="str">
        <f>HYPERLINK("https://pbs.twimg.com/profile_images/920490712939970560/lT0ig42p_normal.jpg","View")</f>
        <v>View</v>
      </c>
      <c r="P4976" s="27"/>
    </row>
    <row r="4977">
      <c r="A4977" s="14">
        <v>43031.31505787037</v>
      </c>
      <c r="B4977" s="20" t="str">
        <f>HYPERLINK("https://twitter.com/djpatel36","@djpatel36")</f>
        <v>@djpatel36</v>
      </c>
      <c r="C4977" s="21" t="s">
        <v>11411</v>
      </c>
      <c r="D4977" s="21" t="s">
        <v>42</v>
      </c>
      <c r="E4977" s="22" t="str">
        <f>HYPERLINK("https://twitter.com/djpatel36/status/922471091330727936","922471091330727936")</f>
        <v>922471091330727936</v>
      </c>
      <c r="F4977" s="23" t="s">
        <v>55</v>
      </c>
      <c r="G4977" s="24">
        <v>140.0</v>
      </c>
      <c r="H4977" s="24">
        <v>664.0</v>
      </c>
      <c r="I4977" s="24">
        <v>8501.0</v>
      </c>
      <c r="J4977" s="24">
        <v>0.0</v>
      </c>
      <c r="K4977" s="23" t="s">
        <v>34</v>
      </c>
      <c r="L4977" s="25">
        <v>40367.23079861111</v>
      </c>
      <c r="M4977" s="28"/>
      <c r="N4977" s="28"/>
      <c r="O4977" s="22" t="str">
        <f>HYPERLINK("https://pbs.twimg.com/profile_images/1821697873/Webcam_photo-dharmesh_normal.jpg","View")</f>
        <v>View</v>
      </c>
      <c r="P4977" s="27"/>
    </row>
    <row r="4978">
      <c r="A4978" s="14">
        <v>43031.31513888889</v>
      </c>
      <c r="B4978" s="20" t="str">
        <f>HYPERLINK("https://twitter.com/KaushikiChatte1","@KaushikiChatte1")</f>
        <v>@KaushikiChatte1</v>
      </c>
      <c r="C4978" s="21" t="s">
        <v>11412</v>
      </c>
      <c r="D4978" s="21" t="s">
        <v>10437</v>
      </c>
      <c r="E4978" s="22" t="str">
        <f>HYPERLINK("https://twitter.com/KaushikiChatte1/status/922471120401416198","922471120401416198")</f>
        <v>922471120401416198</v>
      </c>
      <c r="F4978" s="23" t="s">
        <v>33</v>
      </c>
      <c r="G4978" s="24">
        <v>465.0</v>
      </c>
      <c r="H4978" s="24">
        <v>1266.0</v>
      </c>
      <c r="I4978" s="24">
        <v>16.0</v>
      </c>
      <c r="J4978" s="24">
        <v>0.0</v>
      </c>
      <c r="K4978" s="23" t="s">
        <v>34</v>
      </c>
      <c r="L4978" s="25">
        <v>42607.06247685185</v>
      </c>
      <c r="M4978" s="26" t="s">
        <v>3295</v>
      </c>
      <c r="N4978" s="26" t="s">
        <v>11413</v>
      </c>
      <c r="O4978" s="22" t="str">
        <f>HYPERLINK("https://pbs.twimg.com/profile_images/920262117948768256/WYuTLmN5_normal.jpg","View")</f>
        <v>View</v>
      </c>
      <c r="P4978" s="27"/>
    </row>
    <row r="4979">
      <c r="A4979" s="14">
        <v>43031.31524305556</v>
      </c>
      <c r="B4979" s="20" t="str">
        <f>HYPERLINK("https://twitter.com/beckalim","@beckalim")</f>
        <v>@beckalim</v>
      </c>
      <c r="C4979" s="21" t="s">
        <v>11414</v>
      </c>
      <c r="D4979" s="21" t="s">
        <v>105</v>
      </c>
      <c r="E4979" s="22" t="str">
        <f>HYPERLINK("https://twitter.com/beckalim/status/922471158754164736","922471158754164736")</f>
        <v>922471158754164736</v>
      </c>
      <c r="F4979" s="23" t="s">
        <v>39</v>
      </c>
      <c r="G4979" s="24">
        <v>934.0</v>
      </c>
      <c r="H4979" s="24">
        <v>2061.0</v>
      </c>
      <c r="I4979" s="24">
        <v>69.0</v>
      </c>
      <c r="J4979" s="24">
        <v>0.0</v>
      </c>
      <c r="K4979" s="23" t="s">
        <v>34</v>
      </c>
      <c r="L4979" s="25">
        <v>39850.57326388889</v>
      </c>
      <c r="M4979" s="26" t="s">
        <v>11415</v>
      </c>
      <c r="N4979" s="26" t="s">
        <v>11416</v>
      </c>
      <c r="O4979" s="22" t="str">
        <f>HYPERLINK("https://pbs.twimg.com/profile_images/723916054397734912/3S8ZYV99_normal.jpg","View")</f>
        <v>View</v>
      </c>
      <c r="P4979" s="27"/>
    </row>
    <row r="4980">
      <c r="A4980" s="14">
        <v>43031.315358796295</v>
      </c>
      <c r="B4980" s="20" t="str">
        <f>HYPERLINK("https://twitter.com/TheMarketStorm","@TheMarketStorm")</f>
        <v>@TheMarketStorm</v>
      </c>
      <c r="C4980" s="21" t="s">
        <v>11417</v>
      </c>
      <c r="D4980" s="21" t="s">
        <v>2748</v>
      </c>
      <c r="E4980" s="22" t="str">
        <f>HYPERLINK("https://twitter.com/TheMarketStorm/status/922471198549618691","922471198549618691")</f>
        <v>922471198549618691</v>
      </c>
      <c r="F4980" s="23" t="s">
        <v>11418</v>
      </c>
      <c r="G4980" s="24">
        <v>1084.0</v>
      </c>
      <c r="H4980" s="24">
        <v>578.0</v>
      </c>
      <c r="I4980" s="24">
        <v>15.0</v>
      </c>
      <c r="J4980" s="24">
        <v>0.0</v>
      </c>
      <c r="K4980" s="23" t="s">
        <v>34</v>
      </c>
      <c r="L4980" s="25">
        <v>42885.29153935185</v>
      </c>
      <c r="M4980" s="28"/>
      <c r="N4980" s="35" t="s">
        <v>11419</v>
      </c>
      <c r="O4980" s="22" t="str">
        <f>HYPERLINK("https://pbs.twimg.com/profile_images/869555019871277056/TKOtBSpD_normal.jpg","View")</f>
        <v>View</v>
      </c>
      <c r="P4980" s="27"/>
    </row>
    <row r="4981">
      <c r="A4981" s="14">
        <v>43031.315416666665</v>
      </c>
      <c r="B4981" s="20" t="str">
        <f>HYPERLINK("https://twitter.com/SumanTraKa","@SumanTraKa")</f>
        <v>@SumanTraKa</v>
      </c>
      <c r="C4981" s="21" t="s">
        <v>11420</v>
      </c>
      <c r="D4981" s="21" t="s">
        <v>42</v>
      </c>
      <c r="E4981" s="22" t="str">
        <f>HYPERLINK("https://twitter.com/SumanTraKa/status/922471220389462017","922471220389462017")</f>
        <v>922471220389462017</v>
      </c>
      <c r="F4981" s="23" t="s">
        <v>33</v>
      </c>
      <c r="G4981" s="24">
        <v>14.0</v>
      </c>
      <c r="H4981" s="24">
        <v>39.0</v>
      </c>
      <c r="I4981" s="24">
        <v>8501.0</v>
      </c>
      <c r="J4981" s="24">
        <v>0.0</v>
      </c>
      <c r="K4981" s="23" t="s">
        <v>34</v>
      </c>
      <c r="L4981" s="25">
        <v>40449.258263888885</v>
      </c>
      <c r="M4981" s="28"/>
      <c r="N4981" s="28"/>
      <c r="O4981" s="22" t="str">
        <f>HYPERLINK("https://abs.twimg.com/sticky/default_profile_images/default_profile_normal.png","View")</f>
        <v>View</v>
      </c>
      <c r="P4981" s="27"/>
    </row>
    <row r="4982">
      <c r="A4982" s="14">
        <v>43031.315520833334</v>
      </c>
      <c r="B4982" s="20" t="str">
        <f>HYPERLINK("https://twitter.com/zojo2gud","@zojo2gud")</f>
        <v>@zojo2gud</v>
      </c>
      <c r="C4982" s="21" t="s">
        <v>11421</v>
      </c>
      <c r="D4982" s="21" t="s">
        <v>2595</v>
      </c>
      <c r="E4982" s="22" t="str">
        <f>HYPERLINK("https://twitter.com/zojo2gud/status/922471259761446912","922471259761446912")</f>
        <v>922471259761446912</v>
      </c>
      <c r="F4982" s="23" t="s">
        <v>39</v>
      </c>
      <c r="G4982" s="24">
        <v>81.0</v>
      </c>
      <c r="H4982" s="24">
        <v>19.0</v>
      </c>
      <c r="I4982" s="24">
        <v>170.0</v>
      </c>
      <c r="J4982" s="24">
        <v>0.0</v>
      </c>
      <c r="K4982" s="23" t="s">
        <v>34</v>
      </c>
      <c r="L4982" s="25">
        <v>43000.79690972222</v>
      </c>
      <c r="M4982" s="28"/>
      <c r="N4982" s="26" t="s">
        <v>11422</v>
      </c>
      <c r="O4982" s="22" t="str">
        <f>HYPERLINK("https://pbs.twimg.com/profile_images/922108369888038916/dVfpv9QE_normal.jpg","View")</f>
        <v>View</v>
      </c>
      <c r="P4982" s="27"/>
    </row>
    <row r="4983">
      <c r="A4983" s="14">
        <v>43031.3155324074</v>
      </c>
      <c r="B4983" s="20" t="str">
        <f>HYPERLINK("https://twitter.com/CatalanRobot","@CatalanRobot")</f>
        <v>@CatalanRobot</v>
      </c>
      <c r="C4983" s="21" t="s">
        <v>11423</v>
      </c>
      <c r="D4983" s="21" t="s">
        <v>2748</v>
      </c>
      <c r="E4983" s="22" t="str">
        <f>HYPERLINK("https://twitter.com/CatalanRobot/status/922471263162990597","922471263162990597")</f>
        <v>922471263162990597</v>
      </c>
      <c r="F4983" s="23" t="s">
        <v>11424</v>
      </c>
      <c r="G4983" s="24">
        <v>367.0</v>
      </c>
      <c r="H4983" s="24">
        <v>1.0</v>
      </c>
      <c r="I4983" s="24">
        <v>15.0</v>
      </c>
      <c r="J4983" s="24">
        <v>0.0</v>
      </c>
      <c r="K4983" s="23" t="s">
        <v>34</v>
      </c>
      <c r="L4983" s="25">
        <v>42985.25420138889</v>
      </c>
      <c r="M4983" s="26" t="s">
        <v>8554</v>
      </c>
      <c r="N4983" s="26" t="s">
        <v>11425</v>
      </c>
      <c r="O4983" s="22" t="str">
        <f>HYPERLINK("https://pbs.twimg.com/profile_images/905829030842294272/mEQrkhOh_normal.jpg","View")</f>
        <v>View</v>
      </c>
      <c r="P4983" s="27"/>
    </row>
    <row r="4984">
      <c r="A4984" s="14">
        <v>43031.31564814815</v>
      </c>
      <c r="B4984" s="20" t="str">
        <f>HYPERLINK("https://twitter.com/CNBCTradersFan","@CNBCTradersFan")</f>
        <v>@CNBCTradersFan</v>
      </c>
      <c r="C4984" s="21" t="s">
        <v>1945</v>
      </c>
      <c r="D4984" s="21" t="s">
        <v>11426</v>
      </c>
      <c r="E4984" s="22" t="str">
        <f>HYPERLINK("https://twitter.com/CNBCTradersFan/status/922471305428992000","922471305428992000")</f>
        <v>922471305428992000</v>
      </c>
      <c r="F4984" s="23" t="s">
        <v>187</v>
      </c>
      <c r="G4984" s="24">
        <v>17128.0</v>
      </c>
      <c r="H4984" s="24">
        <v>11615.0</v>
      </c>
      <c r="I4984" s="24">
        <v>0.0</v>
      </c>
      <c r="J4984" s="24">
        <v>0.0</v>
      </c>
      <c r="K4984" s="23" t="s">
        <v>34</v>
      </c>
      <c r="L4984" s="25">
        <v>40922.50542824074</v>
      </c>
      <c r="M4984" s="26" t="s">
        <v>1947</v>
      </c>
      <c r="N4984" s="26" t="s">
        <v>1948</v>
      </c>
      <c r="O4984" s="22" t="str">
        <f>HYPERLINK("https://pbs.twimg.com/profile_images/731870469318684672/Ckf7rDdJ_normal.jpg","View")</f>
        <v>View</v>
      </c>
      <c r="P4984" s="27"/>
    </row>
    <row r="4985">
      <c r="A4985" s="14">
        <v>43031.31579861111</v>
      </c>
      <c r="B4985" s="20" t="str">
        <f>HYPERLINK("https://twitter.com/chickuwadi","@chickuwadi")</f>
        <v>@chickuwadi</v>
      </c>
      <c r="C4985" s="21" t="s">
        <v>11427</v>
      </c>
      <c r="D4985" s="21" t="s">
        <v>42</v>
      </c>
      <c r="E4985" s="22" t="str">
        <f>HYPERLINK("https://twitter.com/chickuwadi/status/922471360508637184","922471360508637184")</f>
        <v>922471360508637184</v>
      </c>
      <c r="F4985" s="23" t="s">
        <v>39</v>
      </c>
      <c r="G4985" s="24">
        <v>89.0</v>
      </c>
      <c r="H4985" s="24">
        <v>219.0</v>
      </c>
      <c r="I4985" s="24">
        <v>8501.0</v>
      </c>
      <c r="J4985" s="24">
        <v>0.0</v>
      </c>
      <c r="K4985" s="23" t="s">
        <v>34</v>
      </c>
      <c r="L4985" s="25">
        <v>40293.12369212963</v>
      </c>
      <c r="M4985" s="26" t="s">
        <v>11428</v>
      </c>
      <c r="N4985" s="28"/>
      <c r="O4985" s="22" t="str">
        <f>HYPERLINK("https://abs.twimg.com/sticky/default_profile_images/default_profile_normal.png","View")</f>
        <v>View</v>
      </c>
      <c r="P4985" s="27"/>
    </row>
    <row r="4986">
      <c r="A4986" s="14">
        <v>43031.31585648148</v>
      </c>
      <c r="B4986" s="20" t="str">
        <f>HYPERLINK("https://twitter.com/MLMANDOWARA","@MLMANDOWARA")</f>
        <v>@MLMANDOWARA</v>
      </c>
      <c r="C4986" s="21" t="s">
        <v>525</v>
      </c>
      <c r="D4986" s="21" t="s">
        <v>42</v>
      </c>
      <c r="E4986" s="22" t="str">
        <f>HYPERLINK("https://twitter.com/MLMANDOWARA/status/922471379139682304","922471379139682304")</f>
        <v>922471379139682304</v>
      </c>
      <c r="F4986" s="23" t="s">
        <v>39</v>
      </c>
      <c r="G4986" s="24">
        <v>2351.0</v>
      </c>
      <c r="H4986" s="24">
        <v>415.0</v>
      </c>
      <c r="I4986" s="24">
        <v>8501.0</v>
      </c>
      <c r="J4986" s="24">
        <v>0.0</v>
      </c>
      <c r="K4986" s="23" t="s">
        <v>34</v>
      </c>
      <c r="L4986" s="25">
        <v>41192.21517361111</v>
      </c>
      <c r="M4986" s="26" t="s">
        <v>526</v>
      </c>
      <c r="N4986" s="26" t="s">
        <v>527</v>
      </c>
      <c r="O4986" s="22" t="str">
        <f>HYPERLINK("https://pbs.twimg.com/profile_images/897811799617097728/LcIJmgBO_normal.jpg","View")</f>
        <v>View</v>
      </c>
      <c r="P4986" s="27"/>
    </row>
    <row r="4987">
      <c r="A4987" s="14">
        <v>43031.31592592593</v>
      </c>
      <c r="B4987" s="20" t="str">
        <f>HYPERLINK("https://twitter.com/keithmfitz","@keithmfitz")</f>
        <v>@keithmfitz</v>
      </c>
      <c r="C4987" s="21" t="s">
        <v>11429</v>
      </c>
      <c r="D4987" s="21" t="s">
        <v>11430</v>
      </c>
      <c r="E4987" s="22" t="str">
        <f>HYPERLINK("https://twitter.com/keithmfitz/status/922471404045443072","922471404045443072")</f>
        <v>922471404045443072</v>
      </c>
      <c r="F4987" s="23" t="s">
        <v>33</v>
      </c>
      <c r="G4987" s="24">
        <v>1957.0</v>
      </c>
      <c r="H4987" s="24">
        <v>3413.0</v>
      </c>
      <c r="I4987" s="24">
        <v>4.0</v>
      </c>
      <c r="J4987" s="24">
        <v>0.0</v>
      </c>
      <c r="K4987" s="23" t="s">
        <v>34</v>
      </c>
      <c r="L4987" s="25">
        <v>40041.930810185186</v>
      </c>
      <c r="M4987" s="26" t="s">
        <v>11431</v>
      </c>
      <c r="N4987" s="26" t="s">
        <v>11432</v>
      </c>
      <c r="O4987" s="22" t="str">
        <f>HYPERLINK("https://pbs.twimg.com/profile_images/826541676915068928/thIo7aa__normal.jpg","View")</f>
        <v>View</v>
      </c>
      <c r="P4987" s="27"/>
    </row>
    <row r="4988">
      <c r="A4988" s="14">
        <v>43031.315937499996</v>
      </c>
      <c r="B4988" s="20" t="str">
        <f>HYPERLINK("https://twitter.com/Mohittailor2","@Mohittailor2")</f>
        <v>@Mohittailor2</v>
      </c>
      <c r="C4988" s="21" t="s">
        <v>11433</v>
      </c>
      <c r="D4988" s="21" t="s">
        <v>42</v>
      </c>
      <c r="E4988" s="22" t="str">
        <f>HYPERLINK("https://twitter.com/Mohittailor2/status/922471410911477763","922471410911477763")</f>
        <v>922471410911477763</v>
      </c>
      <c r="F4988" s="23" t="s">
        <v>33</v>
      </c>
      <c r="G4988" s="24">
        <v>8.0</v>
      </c>
      <c r="H4988" s="24">
        <v>49.0</v>
      </c>
      <c r="I4988" s="24">
        <v>8501.0</v>
      </c>
      <c r="J4988" s="24">
        <v>0.0</v>
      </c>
      <c r="K4988" s="23" t="s">
        <v>34</v>
      </c>
      <c r="L4988" s="25">
        <v>40956.153287037036</v>
      </c>
      <c r="M4988" s="26" t="s">
        <v>204</v>
      </c>
      <c r="N4988" s="28"/>
      <c r="O4988" s="22" t="str">
        <f>HYPERLINK("https://pbs.twimg.com/profile_images/895986699498430464/JxfQmrqC_normal.jpg","View")</f>
        <v>View</v>
      </c>
      <c r="P4988" s="27"/>
    </row>
    <row r="4989">
      <c r="A4989" s="14">
        <v>43031.31597222222</v>
      </c>
      <c r="B4989" s="20" t="str">
        <f>HYPERLINK("https://twitter.com/RoCc0_11","@RoCc0_11")</f>
        <v>@RoCc0_11</v>
      </c>
      <c r="C4989" s="21" t="s">
        <v>11434</v>
      </c>
      <c r="D4989" s="21" t="s">
        <v>42</v>
      </c>
      <c r="E4989" s="22" t="str">
        <f>HYPERLINK("https://twitter.com/RoCc0_11/status/922471422252822528","922471422252822528")</f>
        <v>922471422252822528</v>
      </c>
      <c r="F4989" s="23" t="s">
        <v>33</v>
      </c>
      <c r="G4989" s="24">
        <v>35.0</v>
      </c>
      <c r="H4989" s="24">
        <v>60.0</v>
      </c>
      <c r="I4989" s="24">
        <v>8501.0</v>
      </c>
      <c r="J4989" s="24">
        <v>0.0</v>
      </c>
      <c r="K4989" s="23" t="s">
        <v>34</v>
      </c>
      <c r="L4989" s="25">
        <v>41860.531863425924</v>
      </c>
      <c r="M4989" s="26" t="s">
        <v>204</v>
      </c>
      <c r="N4989" s="28"/>
      <c r="O4989" s="22" t="str">
        <f>HYPERLINK("https://pbs.twimg.com/profile_images/918302187423334400/juddKV_y_normal.jpg","View")</f>
        <v>View</v>
      </c>
      <c r="P4989" s="27"/>
    </row>
    <row r="4990">
      <c r="A4990" s="14">
        <v>43031.31599537037</v>
      </c>
      <c r="B4990" s="20" t="str">
        <f>HYPERLINK("https://twitter.com/mit_obe","@mit_obe")</f>
        <v>@mit_obe</v>
      </c>
      <c r="C4990" s="21" t="s">
        <v>10397</v>
      </c>
      <c r="D4990" s="21" t="s">
        <v>11435</v>
      </c>
      <c r="E4990" s="22" t="str">
        <f>HYPERLINK("https://twitter.com/mit_obe/status/922471431375527936","922471431375527936")</f>
        <v>922471431375527936</v>
      </c>
      <c r="F4990" s="23" t="s">
        <v>55</v>
      </c>
      <c r="G4990" s="24">
        <v>1494.0</v>
      </c>
      <c r="H4990" s="24">
        <v>299.0</v>
      </c>
      <c r="I4990" s="24">
        <v>0.0</v>
      </c>
      <c r="J4990" s="24">
        <v>0.0</v>
      </c>
      <c r="K4990" s="23" t="s">
        <v>34</v>
      </c>
      <c r="L4990" s="25">
        <v>41472.72362268518</v>
      </c>
      <c r="M4990" s="26" t="s">
        <v>3693</v>
      </c>
      <c r="N4990" s="26" t="s">
        <v>10399</v>
      </c>
      <c r="O4990" s="22" t="str">
        <f>HYPERLINK("https://pbs.twimg.com/profile_images/912457089007575041/iunAue57_normal.jpg","View")</f>
        <v>View</v>
      </c>
      <c r="P4990" s="27"/>
    </row>
    <row r="4991">
      <c r="A4991" s="14">
        <v>43031.31605324074</v>
      </c>
      <c r="B4991" s="20" t="str">
        <f>HYPERLINK("https://twitter.com/deepnewsmulti","@deepnewsmulti")</f>
        <v>@deepnewsmulti</v>
      </c>
      <c r="C4991" s="21" t="s">
        <v>11436</v>
      </c>
      <c r="D4991" s="21" t="s">
        <v>82</v>
      </c>
      <c r="E4991" s="22" t="str">
        <f>HYPERLINK("https://twitter.com/deepnewsmulti/status/922471453425053697","922471453425053697")</f>
        <v>922471453425053697</v>
      </c>
      <c r="F4991" s="23" t="s">
        <v>33</v>
      </c>
      <c r="G4991" s="24">
        <v>1072.0</v>
      </c>
      <c r="H4991" s="24">
        <v>4988.0</v>
      </c>
      <c r="I4991" s="24">
        <v>38.0</v>
      </c>
      <c r="J4991" s="24">
        <v>0.0</v>
      </c>
      <c r="K4991" s="23" t="s">
        <v>34</v>
      </c>
      <c r="L4991" s="25">
        <v>42783.11554398148</v>
      </c>
      <c r="M4991" s="28"/>
      <c r="N4991" s="26" t="s">
        <v>11437</v>
      </c>
      <c r="O4991" s="22" t="str">
        <f>HYPERLINK("https://pbs.twimg.com/profile_images/832543287596765185/vFP-x0SL_normal.jpg","View")</f>
        <v>View</v>
      </c>
      <c r="P4991" s="27"/>
    </row>
    <row r="4992">
      <c r="A4992" s="14">
        <v>43031.31643518519</v>
      </c>
      <c r="B4992" s="20" t="str">
        <f>HYPERLINK("https://twitter.com/wearehash","@wearehash")</f>
        <v>@wearehash</v>
      </c>
      <c r="C4992" s="21" t="s">
        <v>11438</v>
      </c>
      <c r="D4992" s="21" t="s">
        <v>11439</v>
      </c>
      <c r="E4992" s="22" t="str">
        <f>HYPERLINK("https://twitter.com/wearehash/status/922471590499176448","922471590499176448")</f>
        <v>922471590499176448</v>
      </c>
      <c r="F4992" s="23" t="s">
        <v>55</v>
      </c>
      <c r="G4992" s="24">
        <v>509.0</v>
      </c>
      <c r="H4992" s="24">
        <v>284.0</v>
      </c>
      <c r="I4992" s="24">
        <v>1.0</v>
      </c>
      <c r="J4992" s="24">
        <v>0.0</v>
      </c>
      <c r="K4992" s="23" t="s">
        <v>34</v>
      </c>
      <c r="L4992" s="25">
        <v>41928.74188657408</v>
      </c>
      <c r="M4992" s="28"/>
      <c r="N4992" s="26" t="s">
        <v>11440</v>
      </c>
      <c r="O4992" s="22" t="str">
        <f>HYPERLINK("https://pbs.twimg.com/profile_images/753113837663117313/ObqYPtoK_normal.jpg","View")</f>
        <v>View</v>
      </c>
      <c r="P4992" s="27"/>
    </row>
    <row r="4993">
      <c r="A4993" s="14">
        <v>43031.316655092596</v>
      </c>
      <c r="B4993" s="20" t="str">
        <f>HYPERLINK("https://twitter.com/lubnakTOI","@lubnakTOI")</f>
        <v>@lubnakTOI</v>
      </c>
      <c r="C4993" s="21" t="s">
        <v>11441</v>
      </c>
      <c r="D4993" s="21" t="s">
        <v>42</v>
      </c>
      <c r="E4993" s="22" t="str">
        <f>HYPERLINK("https://twitter.com/lubnakTOI/status/922471670606045185","922471670606045185")</f>
        <v>922471670606045185</v>
      </c>
      <c r="F4993" s="23" t="s">
        <v>33</v>
      </c>
      <c r="G4993" s="24">
        <v>2142.0</v>
      </c>
      <c r="H4993" s="24">
        <v>1103.0</v>
      </c>
      <c r="I4993" s="24">
        <v>8501.0</v>
      </c>
      <c r="J4993" s="24">
        <v>0.0</v>
      </c>
      <c r="K4993" s="23" t="s">
        <v>34</v>
      </c>
      <c r="L4993" s="25">
        <v>41921.22613425926</v>
      </c>
      <c r="M4993" s="26" t="s">
        <v>156</v>
      </c>
      <c r="N4993" s="26" t="s">
        <v>11442</v>
      </c>
      <c r="O4993" s="22" t="str">
        <f>HYPERLINK("https://pbs.twimg.com/profile_images/912647429320695808/9WRcuT7Y_normal.jpg","View")</f>
        <v>View</v>
      </c>
      <c r="P4993" s="27"/>
    </row>
    <row r="4994">
      <c r="A4994" s="14">
        <v>43031.316828703704</v>
      </c>
      <c r="B4994" s="20" t="str">
        <f>HYPERLINK("https://twitter.com/ramita_sharma30","@ramita_sharma30")</f>
        <v>@ramita_sharma30</v>
      </c>
      <c r="C4994" s="21" t="s">
        <v>11443</v>
      </c>
      <c r="D4994" s="21" t="s">
        <v>42</v>
      </c>
      <c r="E4994" s="22" t="str">
        <f>HYPERLINK("https://twitter.com/ramita_sharma30/status/922471732270604288","922471732270604288")</f>
        <v>922471732270604288</v>
      </c>
      <c r="F4994" s="23" t="s">
        <v>33</v>
      </c>
      <c r="G4994" s="24">
        <v>131.0</v>
      </c>
      <c r="H4994" s="24">
        <v>114.0</v>
      </c>
      <c r="I4994" s="24">
        <v>8501.0</v>
      </c>
      <c r="J4994" s="24">
        <v>0.0</v>
      </c>
      <c r="K4994" s="23" t="s">
        <v>34</v>
      </c>
      <c r="L4994" s="25">
        <v>41919.11104166666</v>
      </c>
      <c r="M4994" s="26" t="s">
        <v>575</v>
      </c>
      <c r="N4994" s="26" t="s">
        <v>11444</v>
      </c>
      <c r="O4994" s="22" t="str">
        <f>HYPERLINK("https://pbs.twimg.com/profile_images/866671431215656960/GNs-mYYp_normal.jpg","View")</f>
        <v>View</v>
      </c>
      <c r="P4994" s="27"/>
    </row>
    <row r="4995">
      <c r="A4995" s="14">
        <v>43031.31696759259</v>
      </c>
      <c r="B4995" s="20" t="str">
        <f>HYPERLINK("https://twitter.com/anilkssocialnet","@anilkssocialnet")</f>
        <v>@anilkssocialnet</v>
      </c>
      <c r="C4995" s="21" t="s">
        <v>8927</v>
      </c>
      <c r="D4995" s="21" t="s">
        <v>11445</v>
      </c>
      <c r="E4995" s="22" t="str">
        <f>HYPERLINK("https://twitter.com/anilkssocialnet/status/922471784812724224","922471784812724224")</f>
        <v>922471784812724224</v>
      </c>
      <c r="F4995" s="23" t="s">
        <v>33</v>
      </c>
      <c r="G4995" s="24">
        <v>835.0</v>
      </c>
      <c r="H4995" s="24">
        <v>1803.0</v>
      </c>
      <c r="I4995" s="24">
        <v>0.0</v>
      </c>
      <c r="J4995" s="24">
        <v>1.0</v>
      </c>
      <c r="K4995" s="23" t="s">
        <v>34</v>
      </c>
      <c r="L4995" s="25">
        <v>40224.94918981481</v>
      </c>
      <c r="M4995" s="26" t="s">
        <v>11446</v>
      </c>
      <c r="N4995" s="26" t="s">
        <v>11447</v>
      </c>
      <c r="O4995" s="22" t="str">
        <f>HYPERLINK("https://pbs.twimg.com/profile_images/872027998932815872/ipAUyHD2_normal.jpg","View")</f>
        <v>View</v>
      </c>
      <c r="P4995" s="27"/>
    </row>
    <row r="4996">
      <c r="A4996" s="14">
        <v>43031.31700231481</v>
      </c>
      <c r="B4996" s="20" t="str">
        <f>HYPERLINK("https://twitter.com/EZ997RS","@EZ997RS")</f>
        <v>@EZ997RS</v>
      </c>
      <c r="C4996" s="21" t="s">
        <v>11448</v>
      </c>
      <c r="D4996" s="21" t="s">
        <v>1642</v>
      </c>
      <c r="E4996" s="22" t="str">
        <f>HYPERLINK("https://twitter.com/EZ997RS/status/922471794862260225","922471794862260225")</f>
        <v>922471794862260225</v>
      </c>
      <c r="F4996" s="23" t="s">
        <v>33</v>
      </c>
      <c r="G4996" s="24">
        <v>1930.0</v>
      </c>
      <c r="H4996" s="24">
        <v>2225.0</v>
      </c>
      <c r="I4996" s="24">
        <v>199.0</v>
      </c>
      <c r="J4996" s="24">
        <v>0.0</v>
      </c>
      <c r="K4996" s="23" t="s">
        <v>34</v>
      </c>
      <c r="L4996" s="25">
        <v>39276.28380787037</v>
      </c>
      <c r="M4996" s="26" t="s">
        <v>11449</v>
      </c>
      <c r="N4996" s="26" t="s">
        <v>11450</v>
      </c>
      <c r="O4996" s="22" t="str">
        <f>HYPERLINK("https://pbs.twimg.com/profile_images/378800000803247401/4990f9bde1710fad6eedc5648090b49e_normal.jpeg","View")</f>
        <v>View</v>
      </c>
      <c r="P4996" s="27"/>
    </row>
    <row r="4997">
      <c r="A4997" s="14">
        <v>43031.317199074074</v>
      </c>
      <c r="B4997" s="20" t="str">
        <f>HYPERLINK("https://twitter.com/nepal123","@nepal123")</f>
        <v>@nepal123</v>
      </c>
      <c r="C4997" s="29" t="s">
        <v>11451</v>
      </c>
      <c r="D4997" s="21" t="s">
        <v>11452</v>
      </c>
      <c r="E4997" s="22" t="str">
        <f>HYPERLINK("https://twitter.com/nepal123/status/922471866815655937","922471866815655937")</f>
        <v>922471866815655937</v>
      </c>
      <c r="F4997" s="30" t="s">
        <v>191</v>
      </c>
      <c r="G4997" s="24">
        <v>1220.0</v>
      </c>
      <c r="H4997" s="24">
        <v>939.0</v>
      </c>
      <c r="I4997" s="24">
        <v>0.0</v>
      </c>
      <c r="J4997" s="24">
        <v>0.0</v>
      </c>
      <c r="K4997" s="23" t="s">
        <v>34</v>
      </c>
      <c r="L4997" s="25">
        <v>39870.5258912037</v>
      </c>
      <c r="M4997" s="26" t="s">
        <v>2170</v>
      </c>
      <c r="N4997" s="26" t="s">
        <v>11453</v>
      </c>
      <c r="O4997" s="22" t="str">
        <f>HYPERLINK("https://pbs.twimg.com/profile_images/687525882852950017/npwDvbGc_normal.jpg","View")</f>
        <v>View</v>
      </c>
      <c r="P4997" s="27"/>
    </row>
    <row r="4998">
      <c r="A4998" s="14">
        <v>43031.31721064815</v>
      </c>
      <c r="B4998" s="20" t="str">
        <f>HYPERLINK("https://twitter.com/lokeshbagri1","@lokeshbagri1")</f>
        <v>@lokeshbagri1</v>
      </c>
      <c r="C4998" s="21" t="s">
        <v>11454</v>
      </c>
      <c r="D4998" s="21" t="s">
        <v>42</v>
      </c>
      <c r="E4998" s="22" t="str">
        <f>HYPERLINK("https://twitter.com/lokeshbagri1/status/922471869780918272","922471869780918272")</f>
        <v>922471869780918272</v>
      </c>
      <c r="F4998" s="23" t="s">
        <v>33</v>
      </c>
      <c r="G4998" s="24">
        <v>217.0</v>
      </c>
      <c r="H4998" s="24">
        <v>75.0</v>
      </c>
      <c r="I4998" s="24">
        <v>8501.0</v>
      </c>
      <c r="J4998" s="24">
        <v>0.0</v>
      </c>
      <c r="K4998" s="23" t="s">
        <v>34</v>
      </c>
      <c r="L4998" s="25">
        <v>40161.938252314816</v>
      </c>
      <c r="M4998" s="26" t="s">
        <v>11455</v>
      </c>
      <c r="N4998" s="26" t="s">
        <v>11456</v>
      </c>
      <c r="O4998" s="22" t="str">
        <f>HYPERLINK("https://pbs.twimg.com/profile_images/883885736319213569/B7rtRS8g_normal.jpg","View")</f>
        <v>View</v>
      </c>
      <c r="P4998" s="27"/>
    </row>
    <row r="4999">
      <c r="A4999" s="14">
        <v>43031.31721064815</v>
      </c>
      <c r="B4999" s="20" t="str">
        <f>HYPERLINK("https://twitter.com/NarayanexDGP","@NarayanexDGP")</f>
        <v>@NarayanexDGP</v>
      </c>
      <c r="C4999" s="21" t="s">
        <v>11457</v>
      </c>
      <c r="D4999" s="21" t="s">
        <v>42</v>
      </c>
      <c r="E4999" s="22" t="str">
        <f>HYPERLINK("https://twitter.com/NarayanexDGP/status/922471870787600384","922471870787600384")</f>
        <v>922471870787600384</v>
      </c>
      <c r="F4999" s="23" t="s">
        <v>33</v>
      </c>
      <c r="G4999" s="24">
        <v>501.0</v>
      </c>
      <c r="H4999" s="24">
        <v>846.0</v>
      </c>
      <c r="I4999" s="24">
        <v>8501.0</v>
      </c>
      <c r="J4999" s="24">
        <v>0.0</v>
      </c>
      <c r="K4999" s="23" t="s">
        <v>34</v>
      </c>
      <c r="L4999" s="25">
        <v>41730.3350462963</v>
      </c>
      <c r="M4999" s="26" t="s">
        <v>3736</v>
      </c>
      <c r="N4999" s="26" t="s">
        <v>11458</v>
      </c>
      <c r="O4999" s="22" t="str">
        <f>HYPERLINK("https://pbs.twimg.com/profile_images/914152744579063814/FITnx-AH_normal.jpg","View")</f>
        <v>View</v>
      </c>
      <c r="P4999" s="27"/>
    </row>
    <row r="5000">
      <c r="A5000" s="14">
        <v>43031.31726851852</v>
      </c>
      <c r="B5000" s="20" t="str">
        <f>HYPERLINK("https://twitter.com/Rajivranj91","@Rajivranj91")</f>
        <v>@Rajivranj91</v>
      </c>
      <c r="C5000" s="21" t="s">
        <v>11459</v>
      </c>
      <c r="D5000" s="21" t="s">
        <v>42</v>
      </c>
      <c r="E5000" s="22" t="str">
        <f>HYPERLINK("https://twitter.com/Rajivranj91/status/922471891410993152","922471891410993152")</f>
        <v>922471891410993152</v>
      </c>
      <c r="F5000" s="23" t="s">
        <v>33</v>
      </c>
      <c r="G5000" s="24">
        <v>3.0</v>
      </c>
      <c r="H5000" s="24">
        <v>167.0</v>
      </c>
      <c r="I5000" s="24">
        <v>8501.0</v>
      </c>
      <c r="J5000" s="24">
        <v>0.0</v>
      </c>
      <c r="K5000" s="23" t="s">
        <v>34</v>
      </c>
      <c r="L5000" s="25">
        <v>43029.31818287037</v>
      </c>
      <c r="M5000" s="26" t="s">
        <v>11460</v>
      </c>
      <c r="N5000" s="28"/>
      <c r="O5000" s="22" t="str">
        <f>HYPERLINK("https://pbs.twimg.com/profile_images/921751283370885120/pZsmoVoJ_normal.jpg","View")</f>
        <v>View</v>
      </c>
      <c r="P5000" s="27"/>
    </row>
    <row r="5001">
      <c r="A5001" s="14">
        <v>43031.317453703705</v>
      </c>
      <c r="B5001" s="20" t="str">
        <f>HYPERLINK("https://twitter.com/GodfreyOundoh","@GodfreyOundoh")</f>
        <v>@GodfreyOundoh</v>
      </c>
      <c r="C5001" s="21" t="s">
        <v>11461</v>
      </c>
      <c r="D5001" s="21" t="s">
        <v>32</v>
      </c>
      <c r="E5001" s="22" t="str">
        <f>HYPERLINK("https://twitter.com/GodfreyOundoh/status/922471961044946945","922471961044946945")</f>
        <v>922471961044946945</v>
      </c>
      <c r="F5001" s="23" t="s">
        <v>33</v>
      </c>
      <c r="G5001" s="24">
        <v>276.0</v>
      </c>
      <c r="H5001" s="24">
        <v>873.0</v>
      </c>
      <c r="I5001" s="24">
        <v>471.0</v>
      </c>
      <c r="J5001" s="24">
        <v>0.0</v>
      </c>
      <c r="K5001" s="23" t="s">
        <v>34</v>
      </c>
      <c r="L5001" s="25">
        <v>40820.52960648148</v>
      </c>
      <c r="M5001" s="26" t="s">
        <v>11462</v>
      </c>
      <c r="N5001" s="26" t="s">
        <v>11463</v>
      </c>
      <c r="O5001" s="22" t="str">
        <f>HYPERLINK("https://pbs.twimg.com/profile_images/908609185578930176/kJE6XBth_normal.jpg","View")</f>
        <v>View</v>
      </c>
      <c r="P5001" s="27"/>
    </row>
    <row r="5002">
      <c r="A5002" s="14">
        <v>43031.31746527778</v>
      </c>
      <c r="B5002" s="20" t="str">
        <f>HYPERLINK("https://twitter.com/1BuDdHuJiVi","@1BuDdHuJiVi")</f>
        <v>@1BuDdHuJiVi</v>
      </c>
      <c r="C5002" s="21" t="s">
        <v>11464</v>
      </c>
      <c r="D5002" s="21" t="s">
        <v>42</v>
      </c>
      <c r="E5002" s="22" t="str">
        <f>HYPERLINK("https://twitter.com/1BuDdHuJiVi/status/922471962273861632","922471962273861632")</f>
        <v>922471962273861632</v>
      </c>
      <c r="F5002" s="23" t="s">
        <v>43</v>
      </c>
      <c r="G5002" s="24">
        <v>192.0</v>
      </c>
      <c r="H5002" s="24">
        <v>519.0</v>
      </c>
      <c r="I5002" s="24">
        <v>8501.0</v>
      </c>
      <c r="J5002" s="24">
        <v>0.0</v>
      </c>
      <c r="K5002" s="23" t="s">
        <v>34</v>
      </c>
      <c r="L5002" s="25">
        <v>42007.424664351856</v>
      </c>
      <c r="M5002" s="26" t="s">
        <v>11465</v>
      </c>
      <c r="N5002" s="26" t="s">
        <v>11466</v>
      </c>
      <c r="O5002" s="22" t="str">
        <f>HYPERLINK("https://pbs.twimg.com/profile_images/909469702442901504/wALnRwmQ_normal.jpg","View")</f>
        <v>View</v>
      </c>
      <c r="P5002" s="27"/>
    </row>
    <row r="5003">
      <c r="A5003" s="14">
        <v>43031.31747685185</v>
      </c>
      <c r="B5003" s="20" t="str">
        <f>HYPERLINK("https://twitter.com/NewsNumberFlash","@NewsNumberFlash")</f>
        <v>@NewsNumberFlash</v>
      </c>
      <c r="C5003" s="29" t="s">
        <v>2757</v>
      </c>
      <c r="D5003" s="21" t="s">
        <v>11467</v>
      </c>
      <c r="E5003" s="22" t="str">
        <f>HYPERLINK("https://twitter.com/NewsNumberFlash/status/922471966740594688","922471966740594688")</f>
        <v>922471966740594688</v>
      </c>
      <c r="F5003" s="23" t="s">
        <v>48</v>
      </c>
      <c r="G5003" s="24">
        <v>72.0</v>
      </c>
      <c r="H5003" s="24">
        <v>71.0</v>
      </c>
      <c r="I5003" s="24">
        <v>0.0</v>
      </c>
      <c r="J5003" s="24">
        <v>0.0</v>
      </c>
      <c r="K5003" s="23" t="s">
        <v>34</v>
      </c>
      <c r="L5003" s="25">
        <v>41996.67371527778</v>
      </c>
      <c r="M5003" s="28"/>
      <c r="N5003" s="26" t="s">
        <v>2759</v>
      </c>
      <c r="O5003" s="22" t="str">
        <f>HYPERLINK("https://pbs.twimg.com/profile_images/602234476391964672/vsGUUP6F_normal.jpg","View")</f>
        <v>View</v>
      </c>
      <c r="P5003" s="27"/>
    </row>
    <row r="5004">
      <c r="A5004" s="14">
        <v>43031.3175462963</v>
      </c>
      <c r="B5004" s="20" t="str">
        <f>HYPERLINK("https://twitter.com/1234pkp","@1234pkp")</f>
        <v>@1234pkp</v>
      </c>
      <c r="C5004" s="21" t="s">
        <v>11185</v>
      </c>
      <c r="D5004" s="21" t="s">
        <v>163</v>
      </c>
      <c r="E5004" s="22" t="str">
        <f>HYPERLINK("https://twitter.com/1234pkp/status/922471994775318528","922471994775318528")</f>
        <v>922471994775318528</v>
      </c>
      <c r="F5004" s="23" t="s">
        <v>33</v>
      </c>
      <c r="G5004" s="24">
        <v>77.0</v>
      </c>
      <c r="H5004" s="24">
        <v>428.0</v>
      </c>
      <c r="I5004" s="24">
        <v>1005.0</v>
      </c>
      <c r="J5004" s="24">
        <v>0.0</v>
      </c>
      <c r="K5004" s="23" t="s">
        <v>34</v>
      </c>
      <c r="L5004" s="25">
        <v>42123.17020833334</v>
      </c>
      <c r="M5004" s="28"/>
      <c r="N5004" s="28"/>
      <c r="O5004" s="22" t="str">
        <f>HYPERLINK("https://abs.twimg.com/sticky/default_profile_images/default_profile_normal.png","View")</f>
        <v>View</v>
      </c>
      <c r="P5004" s="27"/>
    </row>
    <row r="5005">
      <c r="A5005" s="14">
        <v>43031.317766203705</v>
      </c>
      <c r="B5005" s="20" t="str">
        <f>HYPERLINK("https://twitter.com/Yogesh_R_P","@Yogesh_R_P")</f>
        <v>@Yogesh_R_P</v>
      </c>
      <c r="C5005" s="21" t="s">
        <v>11468</v>
      </c>
      <c r="D5005" s="21" t="s">
        <v>42</v>
      </c>
      <c r="E5005" s="22" t="str">
        <f>HYPERLINK("https://twitter.com/Yogesh_R_P/status/922472072537784322","922472072537784322")</f>
        <v>922472072537784322</v>
      </c>
      <c r="F5005" s="23" t="s">
        <v>33</v>
      </c>
      <c r="G5005" s="24">
        <v>307.0</v>
      </c>
      <c r="H5005" s="24">
        <v>473.0</v>
      </c>
      <c r="I5005" s="24">
        <v>8501.0</v>
      </c>
      <c r="J5005" s="24">
        <v>0.0</v>
      </c>
      <c r="K5005" s="23" t="s">
        <v>34</v>
      </c>
      <c r="L5005" s="25">
        <v>42697.425034722226</v>
      </c>
      <c r="M5005" s="26" t="s">
        <v>2310</v>
      </c>
      <c r="N5005" s="26" t="s">
        <v>11469</v>
      </c>
      <c r="O5005" s="22" t="str">
        <f>HYPERLINK("https://pbs.twimg.com/profile_images/918426857455861760/Vvx-AMsb_normal.jpg","View")</f>
        <v>View</v>
      </c>
      <c r="P5005" s="27"/>
    </row>
    <row r="5006">
      <c r="A5006" s="14">
        <v>43031.3179050926</v>
      </c>
      <c r="B5006" s="20" t="str">
        <f>HYPERLINK("https://twitter.com/iamJParihar","@iamJParihar")</f>
        <v>@iamJParihar</v>
      </c>
      <c r="C5006" s="21" t="s">
        <v>11470</v>
      </c>
      <c r="D5006" s="21" t="s">
        <v>42</v>
      </c>
      <c r="E5006" s="22" t="str">
        <f>HYPERLINK("https://twitter.com/iamJParihar/status/922472121195905024","922472121195905024")</f>
        <v>922472121195905024</v>
      </c>
      <c r="F5006" s="23" t="s">
        <v>33</v>
      </c>
      <c r="G5006" s="24">
        <v>1181.0</v>
      </c>
      <c r="H5006" s="24">
        <v>4997.0</v>
      </c>
      <c r="I5006" s="24">
        <v>8501.0</v>
      </c>
      <c r="J5006" s="24">
        <v>0.0</v>
      </c>
      <c r="K5006" s="23" t="s">
        <v>34</v>
      </c>
      <c r="L5006" s="25">
        <v>42320.9783912037</v>
      </c>
      <c r="M5006" s="26" t="s">
        <v>11471</v>
      </c>
      <c r="N5006" s="26" t="s">
        <v>11472</v>
      </c>
      <c r="O5006" s="22" t="str">
        <f>HYPERLINK("https://pbs.twimg.com/profile_images/919867527240355840/9-_DnuPT_normal.jpg","View")</f>
        <v>View</v>
      </c>
      <c r="P5006" s="27"/>
    </row>
    <row r="5007">
      <c r="A5007" s="14">
        <v>43031.31793981481</v>
      </c>
      <c r="B5007" s="20" t="str">
        <f>HYPERLINK("https://twitter.com/songbogong","@songbogong")</f>
        <v>@songbogong</v>
      </c>
      <c r="C5007" s="21" t="s">
        <v>11473</v>
      </c>
      <c r="D5007" s="21" t="s">
        <v>11474</v>
      </c>
      <c r="E5007" s="22" t="str">
        <f>HYPERLINK("https://twitter.com/songbogong/status/922472136958083072","922472136958083072")</f>
        <v>922472136958083072</v>
      </c>
      <c r="F5007" s="23" t="s">
        <v>55</v>
      </c>
      <c r="G5007" s="24">
        <v>152.0</v>
      </c>
      <c r="H5007" s="24">
        <v>1219.0</v>
      </c>
      <c r="I5007" s="24">
        <v>6.0</v>
      </c>
      <c r="J5007" s="24">
        <v>6.0</v>
      </c>
      <c r="K5007" s="23" t="s">
        <v>34</v>
      </c>
      <c r="L5007" s="25">
        <v>40476.4484375</v>
      </c>
      <c r="M5007" s="26" t="s">
        <v>10001</v>
      </c>
      <c r="N5007" s="26" t="s">
        <v>11475</v>
      </c>
      <c r="O5007" s="22" t="str">
        <f>HYPERLINK("https://pbs.twimg.com/profile_images/1411660972/imat_normal.png","View")</f>
        <v>View</v>
      </c>
      <c r="P5007" s="27"/>
    </row>
    <row r="5008">
      <c r="A5008" s="14">
        <v>43031.31793981481</v>
      </c>
      <c r="B5008" s="20" t="str">
        <f>HYPERLINK("https://twitter.com/Thailatex2017","@Thailatex2017")</f>
        <v>@Thailatex2017</v>
      </c>
      <c r="C5008" s="21" t="s">
        <v>11476</v>
      </c>
      <c r="D5008" s="21" t="s">
        <v>10614</v>
      </c>
      <c r="E5008" s="22" t="str">
        <f>HYPERLINK("https://twitter.com/Thailatex2017/status/922472137113272320","922472137113272320")</f>
        <v>922472137113272320</v>
      </c>
      <c r="F5008" s="23" t="s">
        <v>33</v>
      </c>
      <c r="G5008" s="24">
        <v>163.0</v>
      </c>
      <c r="H5008" s="24">
        <v>108.0</v>
      </c>
      <c r="I5008" s="24">
        <v>159.0</v>
      </c>
      <c r="J5008" s="24">
        <v>0.0</v>
      </c>
      <c r="K5008" s="23" t="s">
        <v>34</v>
      </c>
      <c r="L5008" s="25">
        <v>42935.097650462965</v>
      </c>
      <c r="M5008" s="26" t="s">
        <v>1735</v>
      </c>
      <c r="N5008" s="26" t="s">
        <v>11477</v>
      </c>
      <c r="O5008" s="22" t="str">
        <f>HYPERLINK("https://pbs.twimg.com/profile_images/899696481979973632/s8U4KZkl_normal.jpg","View")</f>
        <v>View</v>
      </c>
      <c r="P5008" s="27"/>
    </row>
    <row r="5009">
      <c r="A5009" s="14">
        <v>43031.317974537036</v>
      </c>
      <c r="B5009" s="20" t="str">
        <f>HYPERLINK("https://twitter.com/chandri1940","@chandri1940")</f>
        <v>@chandri1940</v>
      </c>
      <c r="C5009" s="21" t="s">
        <v>11478</v>
      </c>
      <c r="D5009" s="21" t="s">
        <v>163</v>
      </c>
      <c r="E5009" s="22" t="str">
        <f>HYPERLINK("https://twitter.com/chandri1940/status/922472148781842432","922472148781842432")</f>
        <v>922472148781842432</v>
      </c>
      <c r="F5009" s="23" t="s">
        <v>33</v>
      </c>
      <c r="G5009" s="24">
        <v>3812.0</v>
      </c>
      <c r="H5009" s="24">
        <v>320.0</v>
      </c>
      <c r="I5009" s="24">
        <v>1005.0</v>
      </c>
      <c r="J5009" s="24">
        <v>0.0</v>
      </c>
      <c r="K5009" s="23" t="s">
        <v>34</v>
      </c>
      <c r="L5009" s="25">
        <v>41781.24886574074</v>
      </c>
      <c r="M5009" s="26" t="s">
        <v>207</v>
      </c>
      <c r="N5009" s="26" t="s">
        <v>11479</v>
      </c>
      <c r="O5009" s="22" t="str">
        <f>HYPERLINK("https://pbs.twimg.com/profile_images/632193918025646080/91sfxcbi_normal.png","View")</f>
        <v>View</v>
      </c>
      <c r="P5009" s="27"/>
    </row>
    <row r="5010">
      <c r="A5010" s="14">
        <v>43031.31798611111</v>
      </c>
      <c r="B5010" s="20" t="str">
        <f>HYPERLINK("https://twitter.com/9b3OR2qdITMbDcd","@9b3OR2qdITMbDcd")</f>
        <v>@9b3OR2qdITMbDcd</v>
      </c>
      <c r="C5010" s="21" t="s">
        <v>11480</v>
      </c>
      <c r="D5010" s="21" t="s">
        <v>42</v>
      </c>
      <c r="E5010" s="22" t="str">
        <f>HYPERLINK("https://twitter.com/9b3OR2qdITMbDcd/status/922472152699355137","922472152699355137")</f>
        <v>922472152699355137</v>
      </c>
      <c r="F5010" s="23" t="s">
        <v>230</v>
      </c>
      <c r="G5010" s="24">
        <v>1256382.0</v>
      </c>
      <c r="H5010" s="24">
        <v>2236.0</v>
      </c>
      <c r="I5010" s="24">
        <v>8501.0</v>
      </c>
      <c r="J5010" s="24">
        <v>0.0</v>
      </c>
      <c r="K5010" s="23" t="s">
        <v>34</v>
      </c>
      <c r="L5010" s="25">
        <v>42581.3831712963</v>
      </c>
      <c r="M5010" s="26" t="s">
        <v>11481</v>
      </c>
      <c r="N5010" s="26" t="s">
        <v>11482</v>
      </c>
      <c r="O5010" s="22" t="str">
        <f>HYPERLINK("https://pbs.twimg.com/profile_images/759426044512178176/e8MouqvM_normal.jpg","View")</f>
        <v>View</v>
      </c>
      <c r="P5010" s="27"/>
    </row>
    <row r="5011">
      <c r="A5011" s="14">
        <v>43031.31818287037</v>
      </c>
      <c r="B5011" s="20" t="str">
        <f>HYPERLINK("https://twitter.com/hrishims","@hrishims")</f>
        <v>@hrishims</v>
      </c>
      <c r="C5011" s="21" t="s">
        <v>11371</v>
      </c>
      <c r="D5011" s="21" t="s">
        <v>42</v>
      </c>
      <c r="E5011" s="22" t="str">
        <f>HYPERLINK("https://twitter.com/hrishims/status/922472223171997696","922472223171997696")</f>
        <v>922472223171997696</v>
      </c>
      <c r="F5011" s="23" t="s">
        <v>39</v>
      </c>
      <c r="G5011" s="24">
        <v>58.0</v>
      </c>
      <c r="H5011" s="24">
        <v>138.0</v>
      </c>
      <c r="I5011" s="24">
        <v>8501.0</v>
      </c>
      <c r="J5011" s="24">
        <v>0.0</v>
      </c>
      <c r="K5011" s="23" t="s">
        <v>34</v>
      </c>
      <c r="L5011" s="25">
        <v>40250.98594907408</v>
      </c>
      <c r="M5011" s="26" t="s">
        <v>11372</v>
      </c>
      <c r="N5011" s="28"/>
      <c r="O5011" s="22" t="str">
        <f>HYPERLINK("https://pbs.twimg.com/profile_images/419730369135390720/StFmOxSN_normal.jpeg","View")</f>
        <v>View</v>
      </c>
      <c r="P5011" s="27"/>
    </row>
    <row r="5012">
      <c r="A5012" s="14">
        <v>43031.318240740744</v>
      </c>
      <c r="B5012" s="20" t="str">
        <f>HYPERLINK("https://twitter.com/raghavjn","@raghavjn")</f>
        <v>@raghavjn</v>
      </c>
      <c r="C5012" s="21" t="s">
        <v>11483</v>
      </c>
      <c r="D5012" s="21" t="s">
        <v>42</v>
      </c>
      <c r="E5012" s="22" t="str">
        <f>HYPERLINK("https://twitter.com/raghavjn/status/922472243430539265","922472243430539265")</f>
        <v>922472243430539265</v>
      </c>
      <c r="F5012" s="23" t="s">
        <v>39</v>
      </c>
      <c r="G5012" s="24">
        <v>817.0</v>
      </c>
      <c r="H5012" s="24">
        <v>1018.0</v>
      </c>
      <c r="I5012" s="24">
        <v>8501.0</v>
      </c>
      <c r="J5012" s="24">
        <v>0.0</v>
      </c>
      <c r="K5012" s="23" t="s">
        <v>34</v>
      </c>
      <c r="L5012" s="25">
        <v>41267.41614583333</v>
      </c>
      <c r="M5012" s="26" t="s">
        <v>96</v>
      </c>
      <c r="N5012" s="26" t="s">
        <v>11484</v>
      </c>
      <c r="O5012" s="22" t="str">
        <f>HYPERLINK("https://pbs.twimg.com/profile_images/907976268414681088/MolXFIFm_normal.jpg","View")</f>
        <v>View</v>
      </c>
      <c r="P5012" s="27"/>
    </row>
    <row r="5013">
      <c r="A5013" s="14">
        <v>43031.31827546297</v>
      </c>
      <c r="B5013" s="20" t="str">
        <f>HYPERLINK("https://twitter.com/Tomatofroggg","@Tomatofroggg")</f>
        <v>@Tomatofroggg</v>
      </c>
      <c r="C5013" s="21" t="s">
        <v>11485</v>
      </c>
      <c r="D5013" s="21" t="s">
        <v>1642</v>
      </c>
      <c r="E5013" s="22" t="str">
        <f>HYPERLINK("https://twitter.com/Tomatofroggg/status/922472256927760385","922472256927760385")</f>
        <v>922472256927760385</v>
      </c>
      <c r="F5013" s="23" t="s">
        <v>55</v>
      </c>
      <c r="G5013" s="24">
        <v>147.0</v>
      </c>
      <c r="H5013" s="24">
        <v>1505.0</v>
      </c>
      <c r="I5013" s="24">
        <v>199.0</v>
      </c>
      <c r="J5013" s="24">
        <v>0.0</v>
      </c>
      <c r="K5013" s="23" t="s">
        <v>34</v>
      </c>
      <c r="L5013" s="25">
        <v>41177.15961805556</v>
      </c>
      <c r="M5013" s="28"/>
      <c r="N5013" s="26" t="s">
        <v>11486</v>
      </c>
      <c r="O5013" s="22" t="str">
        <f>HYPERLINK("https://pbs.twimg.com/profile_images/2647952044/6111c111b310d62bd17ac92432411da2_normal.jpeg","View")</f>
        <v>View</v>
      </c>
      <c r="P5013" s="27"/>
    </row>
    <row r="5014">
      <c r="A5014" s="14">
        <v>43031.31828703704</v>
      </c>
      <c r="B5014" s="20" t="str">
        <f>HYPERLINK("https://twitter.com/chatterboxCC","@chatterboxCC")</f>
        <v>@chatterboxCC</v>
      </c>
      <c r="C5014" s="21" t="s">
        <v>11487</v>
      </c>
      <c r="D5014" s="21" t="s">
        <v>11488</v>
      </c>
      <c r="E5014" s="22" t="str">
        <f>HYPERLINK("https://twitter.com/chatterboxCC/status/922472262699122689","922472262699122689")</f>
        <v>922472262699122689</v>
      </c>
      <c r="F5014" s="23" t="s">
        <v>33</v>
      </c>
      <c r="G5014" s="24">
        <v>1844.0</v>
      </c>
      <c r="H5014" s="24">
        <v>2029.0</v>
      </c>
      <c r="I5014" s="24">
        <v>0.0</v>
      </c>
      <c r="J5014" s="24">
        <v>0.0</v>
      </c>
      <c r="K5014" s="23" t="s">
        <v>34</v>
      </c>
      <c r="L5014" s="25">
        <v>39939.28570601852</v>
      </c>
      <c r="M5014" s="26" t="s">
        <v>11489</v>
      </c>
      <c r="N5014" s="26" t="s">
        <v>11490</v>
      </c>
      <c r="O5014" s="22" t="str">
        <f>HYPERLINK("https://pbs.twimg.com/profile_images/759102320709890048/8nrUc34U_normal.jpg","View")</f>
        <v>View</v>
      </c>
      <c r="P5014" s="27"/>
    </row>
    <row r="5015">
      <c r="A5015" s="14">
        <v>43031.318298611106</v>
      </c>
      <c r="B5015" s="20" t="str">
        <f>HYPERLINK("https://twitter.com/from20131017","@from20131017")</f>
        <v>@from20131017</v>
      </c>
      <c r="C5015" s="21" t="s">
        <v>11491</v>
      </c>
      <c r="D5015" s="21" t="s">
        <v>10614</v>
      </c>
      <c r="E5015" s="22" t="str">
        <f>HYPERLINK("https://twitter.com/from20131017/status/922472267086315521","922472267086315521")</f>
        <v>922472267086315521</v>
      </c>
      <c r="F5015" s="23" t="s">
        <v>55</v>
      </c>
      <c r="G5015" s="24">
        <v>440.0</v>
      </c>
      <c r="H5015" s="24">
        <v>309.0</v>
      </c>
      <c r="I5015" s="24">
        <v>159.0</v>
      </c>
      <c r="J5015" s="24">
        <v>0.0</v>
      </c>
      <c r="K5015" s="23" t="s">
        <v>34</v>
      </c>
      <c r="L5015" s="25">
        <v>41564.05716435185</v>
      </c>
      <c r="M5015" s="26" t="s">
        <v>71</v>
      </c>
      <c r="N5015" s="26" t="s">
        <v>11492</v>
      </c>
      <c r="O5015" s="22" t="str">
        <f>HYPERLINK("https://pbs.twimg.com/profile_images/514991482852216832/h31UwbLX_normal.png","View")</f>
        <v>View</v>
      </c>
      <c r="P5015" s="27"/>
    </row>
    <row r="5016">
      <c r="A5016" s="14">
        <v>43031.318298611106</v>
      </c>
      <c r="B5016" s="20" t="str">
        <f>HYPERLINK("https://twitter.com/kjoshi1973","@kjoshi1973")</f>
        <v>@kjoshi1973</v>
      </c>
      <c r="C5016" s="21" t="s">
        <v>11493</v>
      </c>
      <c r="D5016" s="21" t="s">
        <v>42</v>
      </c>
      <c r="E5016" s="22" t="str">
        <f>HYPERLINK("https://twitter.com/kjoshi1973/status/922472267686096898","922472267686096898")</f>
        <v>922472267686096898</v>
      </c>
      <c r="F5016" s="23" t="s">
        <v>33</v>
      </c>
      <c r="G5016" s="24">
        <v>64.0</v>
      </c>
      <c r="H5016" s="24">
        <v>264.0</v>
      </c>
      <c r="I5016" s="24">
        <v>8501.0</v>
      </c>
      <c r="J5016" s="24">
        <v>0.0</v>
      </c>
      <c r="K5016" s="23" t="s">
        <v>34</v>
      </c>
      <c r="L5016" s="25">
        <v>40781.112291666665</v>
      </c>
      <c r="M5016" s="28"/>
      <c r="N5016" s="28"/>
      <c r="O5016" s="22" t="str">
        <f>HYPERLINK("https://pbs.twimg.com/profile_images/665246813000077312/JJpNcJFb_normal.jpg","View")</f>
        <v>View</v>
      </c>
      <c r="P5016" s="27"/>
    </row>
    <row r="5017">
      <c r="A5017" s="14">
        <v>43031.318518518514</v>
      </c>
      <c r="B5017" s="20" t="str">
        <f>HYPERLINK("https://twitter.com/UPr3QGsoDKvE3wK","@UPr3QGsoDKvE3wK")</f>
        <v>@UPr3QGsoDKvE3wK</v>
      </c>
      <c r="C5017" s="21" t="s">
        <v>11494</v>
      </c>
      <c r="D5017" s="21" t="s">
        <v>42</v>
      </c>
      <c r="E5017" s="22" t="str">
        <f>HYPERLINK("https://twitter.com/UPr3QGsoDKvE3wK/status/922472347096907776","922472347096907776")</f>
        <v>922472347096907776</v>
      </c>
      <c r="F5017" s="23" t="s">
        <v>39</v>
      </c>
      <c r="G5017" s="24">
        <v>1.0</v>
      </c>
      <c r="H5017" s="24">
        <v>14.0</v>
      </c>
      <c r="I5017" s="24">
        <v>8501.0</v>
      </c>
      <c r="J5017" s="24">
        <v>0.0</v>
      </c>
      <c r="K5017" s="23" t="s">
        <v>34</v>
      </c>
      <c r="L5017" s="25">
        <v>43018.41292824074</v>
      </c>
      <c r="M5017" s="28"/>
      <c r="N5017" s="28"/>
      <c r="O5017" s="22" t="str">
        <f>HYPERLINK("https://abs.twimg.com/sticky/default_profile_images/default_profile_normal.png","View")</f>
        <v>View</v>
      </c>
      <c r="P5017" s="27"/>
    </row>
    <row r="5018">
      <c r="A5018" s="14">
        <v>43031.318657407406</v>
      </c>
      <c r="B5018" s="20" t="str">
        <f>HYPERLINK("https://twitter.com/mystic_gemini24","@mystic_gemini24")</f>
        <v>@mystic_gemini24</v>
      </c>
      <c r="C5018" s="21" t="s">
        <v>11495</v>
      </c>
      <c r="D5018" s="21" t="s">
        <v>163</v>
      </c>
      <c r="E5018" s="22" t="str">
        <f>HYPERLINK("https://twitter.com/mystic_gemini24/status/922472397449584641","922472397449584641")</f>
        <v>922472397449584641</v>
      </c>
      <c r="F5018" s="23" t="s">
        <v>39</v>
      </c>
      <c r="G5018" s="24">
        <v>10648.0</v>
      </c>
      <c r="H5018" s="24">
        <v>1781.0</v>
      </c>
      <c r="I5018" s="24">
        <v>1005.0</v>
      </c>
      <c r="J5018" s="24">
        <v>0.0</v>
      </c>
      <c r="K5018" s="23" t="s">
        <v>34</v>
      </c>
      <c r="L5018" s="25">
        <v>42355.81638888889</v>
      </c>
      <c r="M5018" s="26" t="s">
        <v>204</v>
      </c>
      <c r="N5018" s="26" t="s">
        <v>11496</v>
      </c>
      <c r="O5018" s="22" t="str">
        <f>HYPERLINK("https://pbs.twimg.com/profile_images/919802104918638592/BO8u260D_normal.jpg","View")</f>
        <v>View</v>
      </c>
      <c r="P5018" s="27"/>
    </row>
    <row r="5019">
      <c r="A5019" s="14">
        <v>43031.31866898148</v>
      </c>
      <c r="B5019" s="20" t="str">
        <f>HYPERLINK("https://twitter.com/Mamta810","@Mamta810")</f>
        <v>@Mamta810</v>
      </c>
      <c r="C5019" s="21" t="s">
        <v>11497</v>
      </c>
      <c r="D5019" s="21" t="s">
        <v>42</v>
      </c>
      <c r="E5019" s="22" t="str">
        <f>HYPERLINK("https://twitter.com/Mamta810/status/922472401673207810","922472401673207810")</f>
        <v>922472401673207810</v>
      </c>
      <c r="F5019" s="23" t="s">
        <v>33</v>
      </c>
      <c r="G5019" s="24">
        <v>20.0</v>
      </c>
      <c r="H5019" s="24">
        <v>151.0</v>
      </c>
      <c r="I5019" s="24">
        <v>8501.0</v>
      </c>
      <c r="J5019" s="24">
        <v>0.0</v>
      </c>
      <c r="K5019" s="23" t="s">
        <v>34</v>
      </c>
      <c r="L5019" s="25">
        <v>41402.977627314816</v>
      </c>
      <c r="M5019" s="28"/>
      <c r="N5019" s="28"/>
      <c r="O5019" s="22" t="str">
        <f>HYPERLINK("https://pbs.twimg.com/profile_images/887725594787446784/QXKzH8Ft_normal.jpg","View")</f>
        <v>View</v>
      </c>
      <c r="P5019" s="27"/>
    </row>
    <row r="5020">
      <c r="A5020" s="14">
        <v>43031.3187037037</v>
      </c>
      <c r="B5020" s="20" t="str">
        <f>HYPERLINK("https://twitter.com/AtulRaval17","@AtulRaval17")</f>
        <v>@AtulRaval17</v>
      </c>
      <c r="C5020" s="21" t="s">
        <v>11498</v>
      </c>
      <c r="D5020" s="21" t="s">
        <v>42</v>
      </c>
      <c r="E5020" s="22" t="str">
        <f>HYPERLINK("https://twitter.com/AtulRaval17/status/922472414080094210","922472414080094210")</f>
        <v>922472414080094210</v>
      </c>
      <c r="F5020" s="23" t="s">
        <v>33</v>
      </c>
      <c r="G5020" s="24">
        <v>6.0</v>
      </c>
      <c r="H5020" s="24">
        <v>130.0</v>
      </c>
      <c r="I5020" s="24">
        <v>8501.0</v>
      </c>
      <c r="J5020" s="24">
        <v>0.0</v>
      </c>
      <c r="K5020" s="23" t="s">
        <v>34</v>
      </c>
      <c r="L5020" s="25">
        <v>43018.80243055556</v>
      </c>
      <c r="M5020" s="26" t="s">
        <v>11499</v>
      </c>
      <c r="N5020" s="26" t="s">
        <v>11500</v>
      </c>
      <c r="O5020" s="22" t="str">
        <f>HYPERLINK("https://pbs.twimg.com/profile_images/918059599135158273/2fXO7Tkj_normal.jpg","View")</f>
        <v>View</v>
      </c>
      <c r="P5020" s="27"/>
    </row>
    <row r="5021">
      <c r="A5021" s="14">
        <v>43031.318761574075</v>
      </c>
      <c r="B5021" s="20" t="str">
        <f>HYPERLINK("https://twitter.com/RitaOnyango","@RitaOnyango")</f>
        <v>@RitaOnyango</v>
      </c>
      <c r="C5021" s="21" t="s">
        <v>11501</v>
      </c>
      <c r="D5021" s="21" t="s">
        <v>32</v>
      </c>
      <c r="E5021" s="22" t="str">
        <f>HYPERLINK("https://twitter.com/RitaOnyango/status/922472433914925058","922472433914925058")</f>
        <v>922472433914925058</v>
      </c>
      <c r="F5021" s="23" t="s">
        <v>33</v>
      </c>
      <c r="G5021" s="24">
        <v>66.0</v>
      </c>
      <c r="H5021" s="24">
        <v>130.0</v>
      </c>
      <c r="I5021" s="24">
        <v>471.0</v>
      </c>
      <c r="J5021" s="24">
        <v>0.0</v>
      </c>
      <c r="K5021" s="23" t="s">
        <v>34</v>
      </c>
      <c r="L5021" s="25">
        <v>41694.272465277776</v>
      </c>
      <c r="M5021" s="26" t="s">
        <v>843</v>
      </c>
      <c r="N5021" s="26" t="s">
        <v>11502</v>
      </c>
      <c r="O5021" s="22" t="str">
        <f>HYPERLINK("https://pbs.twimg.com/profile_images/700307177462984705/ho9sCmuM_normal.jpg","View")</f>
        <v>View</v>
      </c>
      <c r="P5021" s="27"/>
    </row>
    <row r="5022">
      <c r="A5022" s="14">
        <v>43031.318865740745</v>
      </c>
      <c r="B5022" s="20" t="str">
        <f>HYPERLINK("https://twitter.com/KSMISHRA","@KSMISHRA")</f>
        <v>@KSMISHRA</v>
      </c>
      <c r="C5022" s="21" t="s">
        <v>11503</v>
      </c>
      <c r="D5022" s="21" t="s">
        <v>42</v>
      </c>
      <c r="E5022" s="22" t="str">
        <f>HYPERLINK("https://twitter.com/KSMISHRA/status/922472469734100992","922472469734100992")</f>
        <v>922472469734100992</v>
      </c>
      <c r="F5022" s="23" t="s">
        <v>33</v>
      </c>
      <c r="G5022" s="24">
        <v>79.0</v>
      </c>
      <c r="H5022" s="24">
        <v>911.0</v>
      </c>
      <c r="I5022" s="24">
        <v>8501.0</v>
      </c>
      <c r="J5022" s="24">
        <v>0.0</v>
      </c>
      <c r="K5022" s="23" t="s">
        <v>34</v>
      </c>
      <c r="L5022" s="25">
        <v>40083.9462962963</v>
      </c>
      <c r="M5022" s="28"/>
      <c r="N5022" s="28"/>
      <c r="O5022" s="22" t="str">
        <f>HYPERLINK("https://pbs.twimg.com/profile_images/921744895232094213/QA57LJjh_normal.jpg","View")</f>
        <v>View</v>
      </c>
      <c r="P5022" s="27"/>
    </row>
    <row r="5023">
      <c r="A5023" s="14">
        <v>43031.31893518519</v>
      </c>
      <c r="B5023" s="20" t="str">
        <f>HYPERLINK("https://twitter.com/AficionadoYash","@AficionadoYash")</f>
        <v>@AficionadoYash</v>
      </c>
      <c r="C5023" s="21" t="s">
        <v>11504</v>
      </c>
      <c r="D5023" s="21" t="s">
        <v>11505</v>
      </c>
      <c r="E5023" s="22" t="str">
        <f>HYPERLINK("https://twitter.com/AficionadoYash/status/922472495067824128","922472495067824128")</f>
        <v>922472495067824128</v>
      </c>
      <c r="F5023" s="23" t="s">
        <v>187</v>
      </c>
      <c r="G5023" s="24">
        <v>2581.0</v>
      </c>
      <c r="H5023" s="24">
        <v>948.0</v>
      </c>
      <c r="I5023" s="24">
        <v>0.0</v>
      </c>
      <c r="J5023" s="24">
        <v>0.0</v>
      </c>
      <c r="K5023" s="23" t="s">
        <v>34</v>
      </c>
      <c r="L5023" s="25">
        <v>40905.1268287037</v>
      </c>
      <c r="M5023" s="26" t="s">
        <v>204</v>
      </c>
      <c r="N5023" s="26" t="s">
        <v>11506</v>
      </c>
      <c r="O5023" s="22" t="str">
        <f>HYPERLINK("https://pbs.twimg.com/profile_images/731065154129928192/gauLWTlp_normal.jpg","View")</f>
        <v>View</v>
      </c>
      <c r="P5023" s="27"/>
    </row>
    <row r="5024">
      <c r="A5024" s="14">
        <v>43031.31900462963</v>
      </c>
      <c r="B5024" s="20" t="str">
        <f>HYPERLINK("https://twitter.com/matolkur","@matolkur")</f>
        <v>@matolkur</v>
      </c>
      <c r="C5024" s="21" t="s">
        <v>11507</v>
      </c>
      <c r="D5024" s="21" t="s">
        <v>42</v>
      </c>
      <c r="E5024" s="22" t="str">
        <f>HYPERLINK("https://twitter.com/matolkur/status/922472519709351936","922472519709351936")</f>
        <v>922472519709351936</v>
      </c>
      <c r="F5024" s="23" t="s">
        <v>33</v>
      </c>
      <c r="G5024" s="24">
        <v>3854.0</v>
      </c>
      <c r="H5024" s="24">
        <v>2595.0</v>
      </c>
      <c r="I5024" s="24">
        <v>8501.0</v>
      </c>
      <c r="J5024" s="24">
        <v>0.0</v>
      </c>
      <c r="K5024" s="23" t="s">
        <v>34</v>
      </c>
      <c r="L5024" s="25">
        <v>42410.98706018519</v>
      </c>
      <c r="M5024" s="26" t="s">
        <v>11508</v>
      </c>
      <c r="N5024" s="26" t="s">
        <v>11509</v>
      </c>
      <c r="O5024" s="22" t="str">
        <f>HYPERLINK("https://pbs.twimg.com/profile_images/904802288828592129/LH2tpyap_normal.jpg","View")</f>
        <v>View</v>
      </c>
      <c r="P5024" s="27"/>
    </row>
    <row r="5025">
      <c r="A5025" s="14">
        <v>43031.31903935185</v>
      </c>
      <c r="B5025" s="20" t="str">
        <f>HYPERLINK("https://twitter.com/josemedinajr","@josemedinajr")</f>
        <v>@josemedinajr</v>
      </c>
      <c r="C5025" s="21" t="s">
        <v>11510</v>
      </c>
      <c r="D5025" s="21" t="s">
        <v>11511</v>
      </c>
      <c r="E5025" s="22" t="str">
        <f>HYPERLINK("https://twitter.com/josemedinajr/status/922472536113340418","922472536113340418")</f>
        <v>922472536113340418</v>
      </c>
      <c r="F5025" s="23" t="s">
        <v>11512</v>
      </c>
      <c r="G5025" s="24">
        <v>1061.0</v>
      </c>
      <c r="H5025" s="24">
        <v>668.0</v>
      </c>
      <c r="I5025" s="24">
        <v>0.0</v>
      </c>
      <c r="J5025" s="24">
        <v>0.0</v>
      </c>
      <c r="K5025" s="23" t="s">
        <v>34</v>
      </c>
      <c r="L5025" s="25">
        <v>39862.80391203704</v>
      </c>
      <c r="M5025" s="26" t="s">
        <v>11513</v>
      </c>
      <c r="N5025" s="26" t="s">
        <v>11514</v>
      </c>
      <c r="O5025" s="22" t="str">
        <f>HYPERLINK("https://pbs.twimg.com/profile_images/829519558482468865/-YoKQtEC_normal.jpg","View")</f>
        <v>View</v>
      </c>
      <c r="P5025" s="27"/>
    </row>
    <row r="5026">
      <c r="A5026" s="14">
        <v>43031.31920138889</v>
      </c>
      <c r="B5026" s="20" t="str">
        <f>HYPERLINK("https://twitter.com/BJPVOTE","@BJPVOTE")</f>
        <v>@BJPVOTE</v>
      </c>
      <c r="C5026" s="21" t="s">
        <v>11515</v>
      </c>
      <c r="D5026" s="21" t="s">
        <v>11516</v>
      </c>
      <c r="E5026" s="22" t="str">
        <f>HYPERLINK("https://twitter.com/BJPVOTE/status/922472591062740992","922472591062740992")</f>
        <v>922472591062740992</v>
      </c>
      <c r="F5026" s="23" t="s">
        <v>33</v>
      </c>
      <c r="G5026" s="24">
        <v>1720.0</v>
      </c>
      <c r="H5026" s="24">
        <v>1463.0</v>
      </c>
      <c r="I5026" s="24">
        <v>0.0</v>
      </c>
      <c r="J5026" s="24">
        <v>0.0</v>
      </c>
      <c r="K5026" s="23" t="s">
        <v>34</v>
      </c>
      <c r="L5026" s="25">
        <v>41784.30064814815</v>
      </c>
      <c r="M5026" s="26" t="s">
        <v>204</v>
      </c>
      <c r="N5026" s="26" t="s">
        <v>11517</v>
      </c>
      <c r="O5026" s="22" t="str">
        <f>HYPERLINK("https://pbs.twimg.com/profile_images/832931027941224448/7cW4iE9r_normal.jpg","View")</f>
        <v>View</v>
      </c>
      <c r="P5026" s="27"/>
    </row>
    <row r="5027">
      <c r="A5027" s="14">
        <v>43031.319247685184</v>
      </c>
      <c r="B5027" s="20" t="str">
        <f>HYPERLINK("https://twitter.com/tomwoods55","@tomwoods55")</f>
        <v>@tomwoods55</v>
      </c>
      <c r="C5027" s="21" t="s">
        <v>7529</v>
      </c>
      <c r="D5027" s="21" t="s">
        <v>11518</v>
      </c>
      <c r="E5027" s="22" t="str">
        <f>HYPERLINK("https://twitter.com/tomwoods55/status/922472610927136769","922472610927136769")</f>
        <v>922472610927136769</v>
      </c>
      <c r="F5027" s="23" t="s">
        <v>33</v>
      </c>
      <c r="G5027" s="24">
        <v>16603.0</v>
      </c>
      <c r="H5027" s="24">
        <v>16493.0</v>
      </c>
      <c r="I5027" s="24">
        <v>1.0</v>
      </c>
      <c r="J5027" s="24">
        <v>0.0</v>
      </c>
      <c r="K5027" s="23" t="s">
        <v>34</v>
      </c>
      <c r="L5027" s="25">
        <v>40242.34008101852</v>
      </c>
      <c r="M5027" s="26" t="s">
        <v>7531</v>
      </c>
      <c r="N5027" s="26" t="s">
        <v>7532</v>
      </c>
      <c r="O5027" s="22" t="str">
        <f>HYPERLINK("https://pbs.twimg.com/profile_images/836899893423779840/3G5NXW6j_normal.jpg","View")</f>
        <v>View</v>
      </c>
      <c r="P5027" s="27"/>
    </row>
    <row r="5028">
      <c r="A5028" s="14">
        <v>43031.31928240741</v>
      </c>
      <c r="B5028" s="20" t="str">
        <f>HYPERLINK("https://twitter.com/nitumukund03","@nitumukund03")</f>
        <v>@nitumukund03</v>
      </c>
      <c r="C5028" s="21" t="s">
        <v>10917</v>
      </c>
      <c r="D5028" s="21" t="s">
        <v>430</v>
      </c>
      <c r="E5028" s="22" t="str">
        <f>HYPERLINK("https://twitter.com/nitumukund03/status/922472622041923584","922472622041923584")</f>
        <v>922472622041923584</v>
      </c>
      <c r="F5028" s="23" t="s">
        <v>33</v>
      </c>
      <c r="G5028" s="24">
        <v>119.0</v>
      </c>
      <c r="H5028" s="24">
        <v>184.0</v>
      </c>
      <c r="I5028" s="24">
        <v>62.0</v>
      </c>
      <c r="J5028" s="24">
        <v>0.0</v>
      </c>
      <c r="K5028" s="23" t="s">
        <v>34</v>
      </c>
      <c r="L5028" s="25">
        <v>42004.20971064815</v>
      </c>
      <c r="M5028" s="28"/>
      <c r="N5028" s="28"/>
      <c r="O5028" s="22" t="str">
        <f>HYPERLINK("https://abs.twimg.com/sticky/default_profile_images/default_profile_normal.png","View")</f>
        <v>View</v>
      </c>
      <c r="P5028" s="27"/>
    </row>
    <row r="5029">
      <c r="A5029" s="14">
        <v>43031.3193287037</v>
      </c>
      <c r="B5029" s="20" t="str">
        <f>HYPERLINK("https://twitter.com/sachipandey04","@sachipandey04")</f>
        <v>@sachipandey04</v>
      </c>
      <c r="C5029" s="21" t="s">
        <v>11519</v>
      </c>
      <c r="D5029" s="21" t="s">
        <v>42</v>
      </c>
      <c r="E5029" s="22" t="str">
        <f>HYPERLINK("https://twitter.com/sachipandey04/status/922472638882070528","922472638882070528")</f>
        <v>922472638882070528</v>
      </c>
      <c r="F5029" s="23" t="s">
        <v>33</v>
      </c>
      <c r="G5029" s="24">
        <v>229.0</v>
      </c>
      <c r="H5029" s="24">
        <v>85.0</v>
      </c>
      <c r="I5029" s="24">
        <v>8501.0</v>
      </c>
      <c r="J5029" s="24">
        <v>0.0</v>
      </c>
      <c r="K5029" s="23" t="s">
        <v>34</v>
      </c>
      <c r="L5029" s="25">
        <v>41147.055763888886</v>
      </c>
      <c r="M5029" s="26" t="s">
        <v>11520</v>
      </c>
      <c r="N5029" s="26" t="s">
        <v>11521</v>
      </c>
      <c r="O5029" s="22" t="str">
        <f>HYPERLINK("https://pbs.twimg.com/profile_images/922862124505874437/x6mrQBDb_normal.jpg","View")</f>
        <v>View</v>
      </c>
      <c r="P5029" s="27"/>
    </row>
    <row r="5030">
      <c r="A5030" s="14">
        <v>43031.319386574076</v>
      </c>
      <c r="B5030" s="20" t="str">
        <f>HYPERLINK("https://twitter.com/tomwoods55","@tomwoods55")</f>
        <v>@tomwoods55</v>
      </c>
      <c r="C5030" s="21" t="s">
        <v>7529</v>
      </c>
      <c r="D5030" s="21" t="s">
        <v>11522</v>
      </c>
      <c r="E5030" s="22" t="str">
        <f>HYPERLINK("https://twitter.com/tomwoods55/status/922472659266531329","922472659266531329")</f>
        <v>922472659266531329</v>
      </c>
      <c r="F5030" s="23" t="s">
        <v>48</v>
      </c>
      <c r="G5030" s="24">
        <v>16603.0</v>
      </c>
      <c r="H5030" s="24">
        <v>16493.0</v>
      </c>
      <c r="I5030" s="24">
        <v>0.0</v>
      </c>
      <c r="J5030" s="24">
        <v>0.0</v>
      </c>
      <c r="K5030" s="23" t="s">
        <v>34</v>
      </c>
      <c r="L5030" s="25">
        <v>40242.34008101852</v>
      </c>
      <c r="M5030" s="26" t="s">
        <v>7531</v>
      </c>
      <c r="N5030" s="26" t="s">
        <v>7532</v>
      </c>
      <c r="O5030" s="22" t="str">
        <f>HYPERLINK("https://pbs.twimg.com/profile_images/836899893423779840/3G5NXW6j_normal.jpg","View")</f>
        <v>View</v>
      </c>
      <c r="P5030" s="27"/>
    </row>
    <row r="5031">
      <c r="A5031" s="14">
        <v>43031.3194212963</v>
      </c>
      <c r="B5031" s="20" t="str">
        <f>HYPERLINK("https://twitter.com/chiragsp1","@chiragsp1")</f>
        <v>@chiragsp1</v>
      </c>
      <c r="C5031" s="29" t="s">
        <v>11523</v>
      </c>
      <c r="D5031" s="21" t="s">
        <v>42</v>
      </c>
      <c r="E5031" s="22" t="str">
        <f>HYPERLINK("https://twitter.com/chiragsp1/status/922472670825873409","922472670825873409")</f>
        <v>922472670825873409</v>
      </c>
      <c r="F5031" s="23" t="s">
        <v>39</v>
      </c>
      <c r="G5031" s="24">
        <v>27.0</v>
      </c>
      <c r="H5031" s="24">
        <v>190.0</v>
      </c>
      <c r="I5031" s="24">
        <v>8501.0</v>
      </c>
      <c r="J5031" s="24">
        <v>0.0</v>
      </c>
      <c r="K5031" s="23" t="s">
        <v>34</v>
      </c>
      <c r="L5031" s="25">
        <v>40905.179513888885</v>
      </c>
      <c r="M5031" s="26" t="s">
        <v>10848</v>
      </c>
      <c r="N5031" s="28"/>
      <c r="O5031" s="22" t="str">
        <f>HYPERLINK("https://pbs.twimg.com/profile_images/671676641349795840/98yjr3CH_normal.jpg","View")</f>
        <v>View</v>
      </c>
      <c r="P5031" s="27"/>
    </row>
    <row r="5032">
      <c r="A5032" s="14">
        <v>43031.31943287037</v>
      </c>
      <c r="B5032" s="20" t="str">
        <f>HYPERLINK("https://twitter.com/sandeep_koganti","@sandeep_koganti")</f>
        <v>@sandeep_koganti</v>
      </c>
      <c r="C5032" s="21" t="s">
        <v>11524</v>
      </c>
      <c r="D5032" s="21" t="s">
        <v>42</v>
      </c>
      <c r="E5032" s="22" t="str">
        <f>HYPERLINK("https://twitter.com/sandeep_koganti/status/922472675234033665","922472675234033665")</f>
        <v>922472675234033665</v>
      </c>
      <c r="F5032" s="23" t="s">
        <v>33</v>
      </c>
      <c r="G5032" s="24">
        <v>4.0</v>
      </c>
      <c r="H5032" s="24">
        <v>43.0</v>
      </c>
      <c r="I5032" s="24">
        <v>8501.0</v>
      </c>
      <c r="J5032" s="24">
        <v>0.0</v>
      </c>
      <c r="K5032" s="23" t="s">
        <v>34</v>
      </c>
      <c r="L5032" s="25">
        <v>42819.99804398148</v>
      </c>
      <c r="M5032" s="28"/>
      <c r="N5032" s="28"/>
      <c r="O5032" s="22" t="str">
        <f>HYPERLINK("https://abs.twimg.com/sticky/default_profile_images/default_profile_normal.png","View")</f>
        <v>View</v>
      </c>
      <c r="P5032" s="27"/>
    </row>
    <row r="5033">
      <c r="A5033" s="14">
        <v>43031.319490740745</v>
      </c>
      <c r="B5033" s="20" t="str">
        <f>HYPERLINK("https://twitter.com/TheHarshNamdev","@TheHarshNamdev")</f>
        <v>@TheHarshNamdev</v>
      </c>
      <c r="C5033" s="21" t="s">
        <v>11525</v>
      </c>
      <c r="D5033" s="21" t="s">
        <v>42</v>
      </c>
      <c r="E5033" s="22" t="str">
        <f>HYPERLINK("https://twitter.com/TheHarshNamdev/status/922472695605764098","922472695605764098")</f>
        <v>922472695605764098</v>
      </c>
      <c r="F5033" s="23" t="s">
        <v>33</v>
      </c>
      <c r="G5033" s="24">
        <v>3704.0</v>
      </c>
      <c r="H5033" s="24">
        <v>469.0</v>
      </c>
      <c r="I5033" s="24">
        <v>8501.0</v>
      </c>
      <c r="J5033" s="24">
        <v>0.0</v>
      </c>
      <c r="K5033" s="23" t="s">
        <v>34</v>
      </c>
      <c r="L5033" s="25">
        <v>42668.3537037037</v>
      </c>
      <c r="M5033" s="26" t="s">
        <v>11526</v>
      </c>
      <c r="N5033" s="26" t="s">
        <v>11527</v>
      </c>
      <c r="O5033" s="22" t="str">
        <f>HYPERLINK("https://pbs.twimg.com/profile_images/914753385487675392/35e6OkKf_normal.jpg","View")</f>
        <v>View</v>
      </c>
      <c r="P5033" s="27"/>
    </row>
    <row r="5034">
      <c r="A5034" s="14">
        <v>43031.31953703704</v>
      </c>
      <c r="B5034" s="20" t="str">
        <f>HYPERLINK("https://twitter.com/mattakaneko","@mattakaneko")</f>
        <v>@mattakaneko</v>
      </c>
      <c r="C5034" s="21" t="s">
        <v>10851</v>
      </c>
      <c r="D5034" s="21" t="s">
        <v>11528</v>
      </c>
      <c r="E5034" s="22" t="str">
        <f>HYPERLINK("https://twitter.com/mattakaneko/status/922472716359303168","922472716359303168")</f>
        <v>922472716359303168</v>
      </c>
      <c r="F5034" s="23" t="s">
        <v>55</v>
      </c>
      <c r="G5034" s="24">
        <v>211.0</v>
      </c>
      <c r="H5034" s="24">
        <v>448.0</v>
      </c>
      <c r="I5034" s="24">
        <v>0.0</v>
      </c>
      <c r="J5034" s="24">
        <v>0.0</v>
      </c>
      <c r="K5034" s="23" t="s">
        <v>34</v>
      </c>
      <c r="L5034" s="25">
        <v>41631.97341435185</v>
      </c>
      <c r="M5034" s="26" t="s">
        <v>10853</v>
      </c>
      <c r="N5034" s="26" t="s">
        <v>10854</v>
      </c>
      <c r="O5034" s="22" t="str">
        <f>HYPERLINK("https://pbs.twimg.com/profile_images/919868903165186048/7OpJaFa2_normal.jpg","View")</f>
        <v>View</v>
      </c>
      <c r="P5034" s="27"/>
    </row>
    <row r="5035">
      <c r="A5035" s="14">
        <v>43031.31957175926</v>
      </c>
      <c r="B5035" s="20" t="str">
        <f>HYPERLINK("https://twitter.com/Julia_Gulia_1","@Julia_Gulia_1")</f>
        <v>@Julia_Gulia_1</v>
      </c>
      <c r="C5035" s="21" t="s">
        <v>11529</v>
      </c>
      <c r="D5035" s="21" t="s">
        <v>9013</v>
      </c>
      <c r="E5035" s="22" t="str">
        <f>HYPERLINK("https://twitter.com/Julia_Gulia_1/status/922472725016432640","922472725016432640")</f>
        <v>922472725016432640</v>
      </c>
      <c r="F5035" s="23" t="s">
        <v>39</v>
      </c>
      <c r="G5035" s="24">
        <v>6494.0</v>
      </c>
      <c r="H5035" s="24">
        <v>4878.0</v>
      </c>
      <c r="I5035" s="24">
        <v>31.0</v>
      </c>
      <c r="J5035" s="24">
        <v>0.0</v>
      </c>
      <c r="K5035" s="23" t="s">
        <v>34</v>
      </c>
      <c r="L5035" s="25">
        <v>41932.60349537037</v>
      </c>
      <c r="M5035" s="26" t="s">
        <v>11530</v>
      </c>
      <c r="N5035" s="26" t="s">
        <v>11531</v>
      </c>
      <c r="O5035" s="22" t="str">
        <f>HYPERLINK("https://pbs.twimg.com/profile_images/906912360748777472/zZZTbQ9t_normal.jpg","View")</f>
        <v>View</v>
      </c>
      <c r="P5035" s="27"/>
    </row>
    <row r="5036">
      <c r="A5036" s="14">
        <v>43031.319606481484</v>
      </c>
      <c r="B5036" s="20" t="str">
        <f>HYPERLINK("https://twitter.com/livemint","@livemint")</f>
        <v>@livemint</v>
      </c>
      <c r="C5036" s="21" t="s">
        <v>11532</v>
      </c>
      <c r="D5036" s="21" t="s">
        <v>11533</v>
      </c>
      <c r="E5036" s="22" t="str">
        <f>HYPERLINK("https://twitter.com/livemint/status/922472737561563136","922472737561563136")</f>
        <v>922472737561563136</v>
      </c>
      <c r="F5036" s="23" t="s">
        <v>187</v>
      </c>
      <c r="G5036" s="24">
        <v>1691199.0</v>
      </c>
      <c r="H5036" s="24">
        <v>351.0</v>
      </c>
      <c r="I5036" s="24">
        <v>10.0</v>
      </c>
      <c r="J5036" s="24">
        <v>20.0</v>
      </c>
      <c r="K5036" s="23" t="s">
        <v>34</v>
      </c>
      <c r="L5036" s="25">
        <v>39779.04696759259</v>
      </c>
      <c r="M5036" s="26" t="s">
        <v>204</v>
      </c>
      <c r="N5036" s="26" t="s">
        <v>11534</v>
      </c>
      <c r="O5036" s="22" t="str">
        <f>HYPERLINK("https://pbs.twimg.com/profile_images/786768566280458240/10bMmNvU_normal.jpg","View")</f>
        <v>View</v>
      </c>
      <c r="P5036" s="27"/>
    </row>
    <row r="5037">
      <c r="A5037" s="14">
        <v>43031.31961805555</v>
      </c>
      <c r="B5037" s="20" t="str">
        <f>HYPERLINK("https://twitter.com/bogmate","@bogmate")</f>
        <v>@bogmate</v>
      </c>
      <c r="C5037" s="21" t="s">
        <v>11535</v>
      </c>
      <c r="D5037" s="21" t="s">
        <v>11536</v>
      </c>
      <c r="E5037" s="22" t="str">
        <f>HYPERLINK("https://twitter.com/bogmate/status/922472743593037824","922472743593037824")</f>
        <v>922472743593037824</v>
      </c>
      <c r="F5037" s="23" t="s">
        <v>187</v>
      </c>
      <c r="G5037" s="24">
        <v>20.0</v>
      </c>
      <c r="H5037" s="24">
        <v>392.0</v>
      </c>
      <c r="I5037" s="24">
        <v>0.0</v>
      </c>
      <c r="J5037" s="24">
        <v>0.0</v>
      </c>
      <c r="K5037" s="23" t="s">
        <v>34</v>
      </c>
      <c r="L5037" s="25">
        <v>42230.8846412037</v>
      </c>
      <c r="M5037" s="28"/>
      <c r="N5037" s="28"/>
      <c r="O5037" s="22" t="str">
        <f>HYPERLINK("https://abs.twimg.com/sticky/default_profile_images/default_profile_normal.png","View")</f>
        <v>View</v>
      </c>
      <c r="P5037" s="27"/>
    </row>
    <row r="5038">
      <c r="A5038" s="14">
        <v>43031.319652777776</v>
      </c>
      <c r="B5038" s="20" t="str">
        <f>HYPERLINK("https://twitter.com/japantimes","@japantimes")</f>
        <v>@japantimes</v>
      </c>
      <c r="C5038" s="21" t="s">
        <v>3842</v>
      </c>
      <c r="D5038" s="21" t="s">
        <v>11537</v>
      </c>
      <c r="E5038" s="22" t="str">
        <f>HYPERLINK("https://twitter.com/japantimes/status/922472758180831232","922472758180831232")</f>
        <v>922472758180831232</v>
      </c>
      <c r="F5038" s="23" t="s">
        <v>427</v>
      </c>
      <c r="G5038" s="24">
        <v>257870.0</v>
      </c>
      <c r="H5038" s="24">
        <v>40.0</v>
      </c>
      <c r="I5038" s="24">
        <v>14.0</v>
      </c>
      <c r="J5038" s="24">
        <v>15.0</v>
      </c>
      <c r="K5038" s="23" t="s">
        <v>34</v>
      </c>
      <c r="L5038" s="25">
        <v>39275.096875</v>
      </c>
      <c r="M5038" s="26" t="s">
        <v>923</v>
      </c>
      <c r="N5038" s="26" t="s">
        <v>3844</v>
      </c>
      <c r="O5038" s="22" t="str">
        <f>HYPERLINK("https://pbs.twimg.com/profile_images/877093724714434560/RlloH0si_normal.jpg","View")</f>
        <v>View</v>
      </c>
      <c r="P5038" s="27"/>
    </row>
    <row r="5039">
      <c r="A5039" s="14">
        <v>43031.31973379629</v>
      </c>
      <c r="B5039" s="20" t="str">
        <f>HYPERLINK("https://twitter.com/EggmanOrWalrus","@EggmanOrWalrus")</f>
        <v>@EggmanOrWalrus</v>
      </c>
      <c r="C5039" s="21" t="s">
        <v>4917</v>
      </c>
      <c r="D5039" s="21" t="s">
        <v>11538</v>
      </c>
      <c r="E5039" s="22" t="str">
        <f>HYPERLINK("https://twitter.com/EggmanOrWalrus/status/922472786647552003","922472786647552003")</f>
        <v>922472786647552003</v>
      </c>
      <c r="F5039" s="23" t="s">
        <v>4919</v>
      </c>
      <c r="G5039" s="24">
        <v>149.0</v>
      </c>
      <c r="H5039" s="24">
        <v>35.0</v>
      </c>
      <c r="I5039" s="24">
        <v>0.0</v>
      </c>
      <c r="J5039" s="24">
        <v>0.0</v>
      </c>
      <c r="K5039" s="23" t="s">
        <v>34</v>
      </c>
      <c r="L5039" s="25">
        <v>39883.69174768518</v>
      </c>
      <c r="M5039" s="26" t="s">
        <v>4920</v>
      </c>
      <c r="N5039" s="26" t="s">
        <v>4921</v>
      </c>
      <c r="O5039" s="22" t="str">
        <f>HYPERLINK("https://pbs.twimg.com/profile_images/805175433767567360/yLKWytM0_normal.jpg","View")</f>
        <v>View</v>
      </c>
      <c r="P5039" s="27"/>
    </row>
    <row r="5040">
      <c r="A5040" s="14">
        <v>43031.32001157408</v>
      </c>
      <c r="B5040" s="20" t="str">
        <f>HYPERLINK("https://twitter.com/JorgeJuan2089","@JorgeJuan2089")</f>
        <v>@JorgeJuan2089</v>
      </c>
      <c r="C5040" s="21" t="s">
        <v>11539</v>
      </c>
      <c r="D5040" s="21" t="s">
        <v>11540</v>
      </c>
      <c r="E5040" s="22" t="str">
        <f>HYPERLINK("https://twitter.com/JorgeJuan2089/status/922472887495413760","922472887495413760")</f>
        <v>922472887495413760</v>
      </c>
      <c r="F5040" s="23" t="s">
        <v>230</v>
      </c>
      <c r="G5040" s="24">
        <v>721.0</v>
      </c>
      <c r="H5040" s="24">
        <v>805.0</v>
      </c>
      <c r="I5040" s="24">
        <v>14.0</v>
      </c>
      <c r="J5040" s="24">
        <v>0.0</v>
      </c>
      <c r="K5040" s="23" t="s">
        <v>34</v>
      </c>
      <c r="L5040" s="25">
        <v>41430.08259259259</v>
      </c>
      <c r="M5040" s="28"/>
      <c r="N5040" s="26" t="s">
        <v>11541</v>
      </c>
      <c r="O5040" s="22" t="str">
        <f>HYPERLINK("https://pbs.twimg.com/profile_images/3758051921/f5c23c61bfe64585c0a40392c837c493_normal.jpeg","View")</f>
        <v>View</v>
      </c>
      <c r="P5040" s="27"/>
    </row>
    <row r="5041">
      <c r="A5041" s="14">
        <v>43031.32003472222</v>
      </c>
      <c r="B5041" s="20" t="str">
        <f>HYPERLINK("https://twitter.com/Abhishe50846218","@Abhishe50846218")</f>
        <v>@Abhishe50846218</v>
      </c>
      <c r="C5041" s="21" t="s">
        <v>11542</v>
      </c>
      <c r="D5041" s="21" t="s">
        <v>42</v>
      </c>
      <c r="E5041" s="22" t="str">
        <f>HYPERLINK("https://twitter.com/Abhishe50846218/status/922472895577649152","922472895577649152")</f>
        <v>922472895577649152</v>
      </c>
      <c r="F5041" s="23" t="s">
        <v>33</v>
      </c>
      <c r="G5041" s="24">
        <v>5.0</v>
      </c>
      <c r="H5041" s="24">
        <v>87.0</v>
      </c>
      <c r="I5041" s="24">
        <v>8501.0</v>
      </c>
      <c r="J5041" s="24">
        <v>0.0</v>
      </c>
      <c r="K5041" s="23" t="s">
        <v>34</v>
      </c>
      <c r="L5041" s="25">
        <v>42653.27576388889</v>
      </c>
      <c r="M5041" s="26" t="s">
        <v>11543</v>
      </c>
      <c r="N5041" s="26" t="s">
        <v>11544</v>
      </c>
      <c r="O5041" s="22" t="str">
        <f>HYPERLINK("https://pbs.twimg.com/profile_images/834446320400113664/63kA_B_2_normal.jpg","View")</f>
        <v>View</v>
      </c>
      <c r="P5041" s="27"/>
    </row>
    <row r="5042">
      <c r="A5042" s="14">
        <v>43031.3200462963</v>
      </c>
      <c r="B5042" s="20" t="str">
        <f>HYPERLINK("https://twitter.com/nzioks_1","@nzioks_1")</f>
        <v>@nzioks_1</v>
      </c>
      <c r="C5042" s="21" t="s">
        <v>11545</v>
      </c>
      <c r="D5042" s="21" t="s">
        <v>32</v>
      </c>
      <c r="E5042" s="22" t="str">
        <f>HYPERLINK("https://twitter.com/nzioks_1/status/922472898929061888","922472898929061888")</f>
        <v>922472898929061888</v>
      </c>
      <c r="F5042" s="23" t="s">
        <v>33</v>
      </c>
      <c r="G5042" s="24">
        <v>613.0</v>
      </c>
      <c r="H5042" s="24">
        <v>232.0</v>
      </c>
      <c r="I5042" s="24">
        <v>471.0</v>
      </c>
      <c r="J5042" s="24">
        <v>0.0</v>
      </c>
      <c r="K5042" s="23" t="s">
        <v>34</v>
      </c>
      <c r="L5042" s="25">
        <v>41537.357511574075</v>
      </c>
      <c r="M5042" s="28"/>
      <c r="N5042" s="26" t="s">
        <v>11546</v>
      </c>
      <c r="O5042" s="22" t="str">
        <f>HYPERLINK("https://pbs.twimg.com/profile_images/917796794490327041/k1m8UipB_normal.jpg","View")</f>
        <v>View</v>
      </c>
      <c r="P5042" s="27"/>
    </row>
    <row r="5043">
      <c r="A5043" s="14">
        <v>43031.32005787037</v>
      </c>
      <c r="B5043" s="20" t="str">
        <f>HYPERLINK("https://twitter.com/mayur21111992","@mayur21111992")</f>
        <v>@mayur21111992</v>
      </c>
      <c r="C5043" s="21" t="s">
        <v>11547</v>
      </c>
      <c r="D5043" s="21" t="s">
        <v>42</v>
      </c>
      <c r="E5043" s="22" t="str">
        <f>HYPERLINK("https://twitter.com/mayur21111992/status/922472902892457985","922472902892457985")</f>
        <v>922472902892457985</v>
      </c>
      <c r="F5043" s="23" t="s">
        <v>33</v>
      </c>
      <c r="G5043" s="24">
        <v>595.0</v>
      </c>
      <c r="H5043" s="24">
        <v>2909.0</v>
      </c>
      <c r="I5043" s="24">
        <v>8501.0</v>
      </c>
      <c r="J5043" s="24">
        <v>0.0</v>
      </c>
      <c r="K5043" s="23" t="s">
        <v>34</v>
      </c>
      <c r="L5043" s="25">
        <v>41031.24232638889</v>
      </c>
      <c r="M5043" s="26" t="s">
        <v>11548</v>
      </c>
      <c r="N5043" s="26" t="s">
        <v>11549</v>
      </c>
      <c r="O5043" s="22" t="str">
        <f>HYPERLINK("https://pbs.twimg.com/profile_images/716105207160045568/LG4a1QaO_normal.jpg","View")</f>
        <v>View</v>
      </c>
      <c r="P5043" s="27"/>
    </row>
    <row r="5044">
      <c r="A5044" s="14">
        <v>43031.32008101852</v>
      </c>
      <c r="B5044" s="20" t="str">
        <f>HYPERLINK("https://twitter.com/JoNotoGregorick","@JoNotoGregorick")</f>
        <v>@JoNotoGregorick</v>
      </c>
      <c r="C5044" s="21" t="s">
        <v>11550</v>
      </c>
      <c r="D5044" s="21" t="s">
        <v>42</v>
      </c>
      <c r="E5044" s="22" t="str">
        <f>HYPERLINK("https://twitter.com/JoNotoGregorick/status/922472912023465987","922472912023465987")</f>
        <v>922472912023465987</v>
      </c>
      <c r="F5044" s="23" t="s">
        <v>43</v>
      </c>
      <c r="G5044" s="24">
        <v>149.0</v>
      </c>
      <c r="H5044" s="24">
        <v>359.0</v>
      </c>
      <c r="I5044" s="24">
        <v>8501.0</v>
      </c>
      <c r="J5044" s="24">
        <v>0.0</v>
      </c>
      <c r="K5044" s="23" t="s">
        <v>34</v>
      </c>
      <c r="L5044" s="25">
        <v>42238.045625</v>
      </c>
      <c r="M5044" s="26" t="s">
        <v>1465</v>
      </c>
      <c r="N5044" s="26" t="s">
        <v>11551</v>
      </c>
      <c r="O5044" s="22" t="str">
        <f>HYPERLINK("https://pbs.twimg.com/profile_images/889596485809184768/VRvKj_lO_normal.jpg","View")</f>
        <v>View</v>
      </c>
      <c r="P5044" s="27"/>
    </row>
    <row r="5045">
      <c r="A5045" s="14">
        <v>43031.32009259259</v>
      </c>
      <c r="B5045" s="20" t="str">
        <f>HYPERLINK("https://twitter.com/SBSatpathy2","@SBSatpathy2")</f>
        <v>@SBSatpathy2</v>
      </c>
      <c r="C5045" s="21" t="s">
        <v>11552</v>
      </c>
      <c r="D5045" s="21" t="s">
        <v>163</v>
      </c>
      <c r="E5045" s="22" t="str">
        <f>HYPERLINK("https://twitter.com/SBSatpathy2/status/922472914900807680","922472914900807680")</f>
        <v>922472914900807680</v>
      </c>
      <c r="F5045" s="23" t="s">
        <v>33</v>
      </c>
      <c r="G5045" s="24">
        <v>184.0</v>
      </c>
      <c r="H5045" s="24">
        <v>553.0</v>
      </c>
      <c r="I5045" s="24">
        <v>1005.0</v>
      </c>
      <c r="J5045" s="24">
        <v>0.0</v>
      </c>
      <c r="K5045" s="23" t="s">
        <v>34</v>
      </c>
      <c r="L5045" s="25">
        <v>41852.31119212963</v>
      </c>
      <c r="M5045" s="26" t="s">
        <v>11553</v>
      </c>
      <c r="N5045" s="28"/>
      <c r="O5045" s="22" t="str">
        <f>HYPERLINK("https://pbs.twimg.com/profile_images/496670013223215104/4N6OaPAW_normal.jpeg","View")</f>
        <v>View</v>
      </c>
      <c r="P5045" s="27"/>
    </row>
    <row r="5046">
      <c r="A5046" s="14">
        <v>43031.32010416666</v>
      </c>
      <c r="B5046" s="20" t="str">
        <f>HYPERLINK("https://twitter.com/JamieTengan415","@JamieTengan415")</f>
        <v>@JamieTengan415</v>
      </c>
      <c r="C5046" s="21" t="s">
        <v>2488</v>
      </c>
      <c r="D5046" s="21" t="s">
        <v>11554</v>
      </c>
      <c r="E5046" s="22" t="str">
        <f>HYPERLINK("https://twitter.com/JamieTengan415/status/922472921490001920","922472921490001920")</f>
        <v>922472921490001920</v>
      </c>
      <c r="F5046" s="23" t="s">
        <v>39</v>
      </c>
      <c r="G5046" s="24">
        <v>824.0</v>
      </c>
      <c r="H5046" s="24">
        <v>1577.0</v>
      </c>
      <c r="I5046" s="24">
        <v>0.0</v>
      </c>
      <c r="J5046" s="24">
        <v>0.0</v>
      </c>
      <c r="K5046" s="23" t="s">
        <v>34</v>
      </c>
      <c r="L5046" s="25">
        <v>39829.85927083333</v>
      </c>
      <c r="M5046" s="26" t="s">
        <v>923</v>
      </c>
      <c r="N5046" s="26" t="s">
        <v>2490</v>
      </c>
      <c r="O5046" s="22" t="str">
        <f>HYPERLINK("https://pbs.twimg.com/profile_images/705975272365912064/7DZ2qOv__normal.jpg","View")</f>
        <v>View</v>
      </c>
      <c r="P5046" s="27"/>
    </row>
    <row r="5047">
      <c r="A5047" s="14">
        <v>43031.320138888885</v>
      </c>
      <c r="B5047" s="20" t="str">
        <f>HYPERLINK("https://twitter.com/environmentguru","@environmentguru")</f>
        <v>@environmentguru</v>
      </c>
      <c r="C5047" s="21" t="s">
        <v>11555</v>
      </c>
      <c r="D5047" s="21" t="s">
        <v>11556</v>
      </c>
      <c r="E5047" s="22" t="str">
        <f>HYPERLINK("https://twitter.com/environmentguru/status/922472933271982080","922472933271982080")</f>
        <v>922472933271982080</v>
      </c>
      <c r="F5047" s="23" t="s">
        <v>91</v>
      </c>
      <c r="G5047" s="24">
        <v>5980.0</v>
      </c>
      <c r="H5047" s="24">
        <v>3830.0</v>
      </c>
      <c r="I5047" s="24">
        <v>0.0</v>
      </c>
      <c r="J5047" s="24">
        <v>0.0</v>
      </c>
      <c r="K5047" s="23" t="s">
        <v>34</v>
      </c>
      <c r="L5047" s="25">
        <v>39938.6040162037</v>
      </c>
      <c r="M5047" s="26" t="s">
        <v>11557</v>
      </c>
      <c r="N5047" s="26" t="s">
        <v>11558</v>
      </c>
      <c r="O5047" s="22" t="str">
        <f>HYPERLINK("https://pbs.twimg.com/profile_images/421855691/Fotolia_3816932_M_normal.jpg","View")</f>
        <v>View</v>
      </c>
      <c r="P5047" s="27"/>
    </row>
    <row r="5048">
      <c r="A5048" s="14">
        <v>43031.32019675926</v>
      </c>
      <c r="B5048" s="20" t="str">
        <f>HYPERLINK("https://twitter.com/adi27588","@adi27588")</f>
        <v>@adi27588</v>
      </c>
      <c r="C5048" s="21" t="s">
        <v>11559</v>
      </c>
      <c r="D5048" s="21" t="s">
        <v>42</v>
      </c>
      <c r="E5048" s="22" t="str">
        <f>HYPERLINK("https://twitter.com/adi27588/status/922472952594968577","922472952594968577")</f>
        <v>922472952594968577</v>
      </c>
      <c r="F5048" s="23" t="s">
        <v>55</v>
      </c>
      <c r="G5048" s="24">
        <v>217.0</v>
      </c>
      <c r="H5048" s="24">
        <v>302.0</v>
      </c>
      <c r="I5048" s="24">
        <v>8501.0</v>
      </c>
      <c r="J5048" s="24">
        <v>0.0</v>
      </c>
      <c r="K5048" s="23" t="s">
        <v>34</v>
      </c>
      <c r="L5048" s="25">
        <v>40027.24030092593</v>
      </c>
      <c r="M5048" s="26" t="s">
        <v>1162</v>
      </c>
      <c r="N5048" s="26" t="s">
        <v>11560</v>
      </c>
      <c r="O5048" s="22" t="str">
        <f>HYPERLINK("https://pbs.twimg.com/profile_images/922726959204810752/sA3subhY_normal.jpg","View")</f>
        <v>View</v>
      </c>
      <c r="P5048" s="27"/>
    </row>
    <row r="5049">
      <c r="A5049" s="14">
        <v>43031.32027777778</v>
      </c>
      <c r="B5049" s="20" t="str">
        <f>HYPERLINK("https://twitter.com/moderateright","@moderateright")</f>
        <v>@moderateright</v>
      </c>
      <c r="C5049" s="21" t="s">
        <v>11561</v>
      </c>
      <c r="D5049" s="21" t="s">
        <v>163</v>
      </c>
      <c r="E5049" s="22" t="str">
        <f>HYPERLINK("https://twitter.com/moderateright/status/922472983024754689","922472983024754689")</f>
        <v>922472983024754689</v>
      </c>
      <c r="F5049" s="23" t="s">
        <v>33</v>
      </c>
      <c r="G5049" s="24">
        <v>2964.0</v>
      </c>
      <c r="H5049" s="24">
        <v>258.0</v>
      </c>
      <c r="I5049" s="24">
        <v>1005.0</v>
      </c>
      <c r="J5049" s="24">
        <v>0.0</v>
      </c>
      <c r="K5049" s="23" t="s">
        <v>34</v>
      </c>
      <c r="L5049" s="25">
        <v>40560.0653125</v>
      </c>
      <c r="M5049" s="26" t="s">
        <v>11562</v>
      </c>
      <c r="N5049" s="26" t="s">
        <v>11563</v>
      </c>
      <c r="O5049" s="22" t="str">
        <f>HYPERLINK("https://pbs.twimg.com/profile_images/798055682968850432/m453Jiyh_normal.jpg","View")</f>
        <v>View</v>
      </c>
      <c r="P5049" s="27"/>
    </row>
    <row r="5050">
      <c r="A5050" s="14">
        <v>43031.32027777778</v>
      </c>
      <c r="B5050" s="20" t="str">
        <f>HYPERLINK("https://twitter.com/JayBisnik","@JayBisnik")</f>
        <v>@JayBisnik</v>
      </c>
      <c r="C5050" s="21" t="s">
        <v>4245</v>
      </c>
      <c r="D5050" s="21" t="s">
        <v>42</v>
      </c>
      <c r="E5050" s="22" t="str">
        <f>HYPERLINK("https://twitter.com/JayBisnik/status/922472983448338432","922472983448338432")</f>
        <v>922472983448338432</v>
      </c>
      <c r="F5050" s="23" t="s">
        <v>39</v>
      </c>
      <c r="G5050" s="24">
        <v>82.0</v>
      </c>
      <c r="H5050" s="24">
        <v>347.0</v>
      </c>
      <c r="I5050" s="24">
        <v>8501.0</v>
      </c>
      <c r="J5050" s="24">
        <v>0.0</v>
      </c>
      <c r="K5050" s="23" t="s">
        <v>34</v>
      </c>
      <c r="L5050" s="25">
        <v>40292.94274305555</v>
      </c>
      <c r="M5050" s="28"/>
      <c r="N5050" s="26" t="s">
        <v>11564</v>
      </c>
      <c r="O5050" s="22" t="str">
        <f>HYPERLINK("https://abs.twimg.com/sticky/default_profile_images/default_profile_normal.png","View")</f>
        <v>View</v>
      </c>
      <c r="P5050" s="27"/>
    </row>
    <row r="5051">
      <c r="A5051" s="14">
        <v>43031.32042824074</v>
      </c>
      <c r="B5051" s="20" t="str">
        <f>HYPERLINK("https://twitter.com/Vinayku22564133","@Vinayku22564133")</f>
        <v>@Vinayku22564133</v>
      </c>
      <c r="C5051" s="21" t="s">
        <v>11565</v>
      </c>
      <c r="D5051" s="21" t="s">
        <v>42</v>
      </c>
      <c r="E5051" s="22" t="str">
        <f>HYPERLINK("https://twitter.com/Vinayku22564133/status/922473038183936004","922473038183936004")</f>
        <v>922473038183936004</v>
      </c>
      <c r="F5051" s="23" t="s">
        <v>43</v>
      </c>
      <c r="G5051" s="24">
        <v>21.0</v>
      </c>
      <c r="H5051" s="24">
        <v>61.0</v>
      </c>
      <c r="I5051" s="24">
        <v>8501.0</v>
      </c>
      <c r="J5051" s="24">
        <v>0.0</v>
      </c>
      <c r="K5051" s="23" t="s">
        <v>34</v>
      </c>
      <c r="L5051" s="25">
        <v>42497.43711805556</v>
      </c>
      <c r="M5051" s="26" t="s">
        <v>11566</v>
      </c>
      <c r="N5051" s="28"/>
      <c r="O5051" s="22" t="str">
        <f>HYPERLINK("https://pbs.twimg.com/profile_images/841847758260707328/sY7YK1vQ_normal.jpg","View")</f>
        <v>View</v>
      </c>
      <c r="P5051" s="27"/>
    </row>
    <row r="5052">
      <c r="A5052" s="14">
        <v>43031.32047453704</v>
      </c>
      <c r="B5052" s="20" t="str">
        <f>HYPERLINK("https://twitter.com/Indira19240204","@Indira19240204")</f>
        <v>@Indira19240204</v>
      </c>
      <c r="C5052" s="21" t="s">
        <v>11567</v>
      </c>
      <c r="D5052" s="21" t="s">
        <v>42</v>
      </c>
      <c r="E5052" s="22" t="str">
        <f>HYPERLINK("https://twitter.com/Indira19240204/status/922473055259160576","922473055259160576")</f>
        <v>922473055259160576</v>
      </c>
      <c r="F5052" s="23" t="s">
        <v>33</v>
      </c>
      <c r="G5052" s="24">
        <v>273.0</v>
      </c>
      <c r="H5052" s="24">
        <v>954.0</v>
      </c>
      <c r="I5052" s="24">
        <v>8501.0</v>
      </c>
      <c r="J5052" s="24">
        <v>0.0</v>
      </c>
      <c r="K5052" s="23" t="s">
        <v>34</v>
      </c>
      <c r="L5052" s="25">
        <v>42806.40603009259</v>
      </c>
      <c r="M5052" s="26" t="s">
        <v>204</v>
      </c>
      <c r="N5052" s="26" t="s">
        <v>11568</v>
      </c>
      <c r="O5052" s="22" t="str">
        <f>HYPERLINK("https://pbs.twimg.com/profile_images/840978343797370882/CAaLdD7p_normal.jpg","View")</f>
        <v>View</v>
      </c>
      <c r="P5052" s="27"/>
    </row>
    <row r="5053">
      <c r="A5053" s="14">
        <v>43031.320486111115</v>
      </c>
      <c r="B5053" s="20" t="str">
        <f>HYPERLINK("https://twitter.com/Timesolizer","@Timesolizer")</f>
        <v>@Timesolizer</v>
      </c>
      <c r="C5053" s="21" t="s">
        <v>11569</v>
      </c>
      <c r="D5053" s="21" t="s">
        <v>11570</v>
      </c>
      <c r="E5053" s="22" t="str">
        <f>HYPERLINK("https://twitter.com/Timesolizer/status/922473060183302145","922473060183302145")</f>
        <v>922473060183302145</v>
      </c>
      <c r="F5053" s="23" t="s">
        <v>11571</v>
      </c>
      <c r="G5053" s="24">
        <v>1798.0</v>
      </c>
      <c r="H5053" s="24">
        <v>361.0</v>
      </c>
      <c r="I5053" s="24">
        <v>0.0</v>
      </c>
      <c r="J5053" s="24">
        <v>0.0</v>
      </c>
      <c r="K5053" s="23" t="s">
        <v>34</v>
      </c>
      <c r="L5053" s="25">
        <v>42027.10524305556</v>
      </c>
      <c r="M5053" s="26" t="s">
        <v>92</v>
      </c>
      <c r="N5053" s="26" t="s">
        <v>11572</v>
      </c>
      <c r="O5053" s="22" t="str">
        <f>HYPERLINK("https://pbs.twimg.com/profile_images/558573226423353344/Xjj7p4qe_normal.jpeg","View")</f>
        <v>View</v>
      </c>
      <c r="P5053" s="27"/>
    </row>
    <row r="5054">
      <c r="A5054" s="14">
        <v>43031.32059027778</v>
      </c>
      <c r="B5054" s="20" t="str">
        <f>HYPERLINK("https://twitter.com/srinivas986","@srinivas986")</f>
        <v>@srinivas986</v>
      </c>
      <c r="C5054" s="21" t="s">
        <v>11573</v>
      </c>
      <c r="D5054" s="21" t="s">
        <v>163</v>
      </c>
      <c r="E5054" s="22" t="str">
        <f>HYPERLINK("https://twitter.com/srinivas986/status/922473096786804741","922473096786804741")</f>
        <v>922473096786804741</v>
      </c>
      <c r="F5054" s="23" t="s">
        <v>33</v>
      </c>
      <c r="G5054" s="24">
        <v>9.0</v>
      </c>
      <c r="H5054" s="24">
        <v>257.0</v>
      </c>
      <c r="I5054" s="24">
        <v>1005.0</v>
      </c>
      <c r="J5054" s="24">
        <v>0.0</v>
      </c>
      <c r="K5054" s="23" t="s">
        <v>34</v>
      </c>
      <c r="L5054" s="25">
        <v>42508.84179398148</v>
      </c>
      <c r="M5054" s="28"/>
      <c r="N5054" s="28"/>
      <c r="O5054" s="22" t="str">
        <f>HYPERLINK("https://abs.twimg.com/sticky/default_profile_images/default_profile_normal.png","View")</f>
        <v>View</v>
      </c>
      <c r="P5054" s="27"/>
    </row>
    <row r="5055">
      <c r="A5055" s="14">
        <v>43031.32063657408</v>
      </c>
      <c r="B5055" s="20" t="str">
        <f>HYPERLINK("https://twitter.com/IAS_Gurukul","@IAS_Gurukul")</f>
        <v>@IAS_Gurukul</v>
      </c>
      <c r="C5055" s="21" t="s">
        <v>11574</v>
      </c>
      <c r="D5055" s="21" t="s">
        <v>11575</v>
      </c>
      <c r="E5055" s="22" t="str">
        <f>HYPERLINK("https://twitter.com/IAS_Gurukul/status/922473113811550208","922473113811550208")</f>
        <v>922473113811550208</v>
      </c>
      <c r="F5055" s="23" t="s">
        <v>187</v>
      </c>
      <c r="G5055" s="24">
        <v>160.0</v>
      </c>
      <c r="H5055" s="24">
        <v>70.0</v>
      </c>
      <c r="I5055" s="24">
        <v>0.0</v>
      </c>
      <c r="J5055" s="24">
        <v>0.0</v>
      </c>
      <c r="K5055" s="23" t="s">
        <v>34</v>
      </c>
      <c r="L5055" s="25">
        <v>42635.83704861111</v>
      </c>
      <c r="M5055" s="26" t="s">
        <v>575</v>
      </c>
      <c r="N5055" s="26" t="s">
        <v>11576</v>
      </c>
      <c r="O5055" s="22" t="str">
        <f>HYPERLINK("https://pbs.twimg.com/profile_images/898138063557214209/uxDcvkn3_normal.jpg","View")</f>
        <v>View</v>
      </c>
      <c r="P5055" s="27"/>
    </row>
    <row r="5056">
      <c r="A5056" s="14">
        <v>43031.32069444444</v>
      </c>
      <c r="B5056" s="20" t="str">
        <f>HYPERLINK("https://twitter.com/filhopaulo2012","@filhopaulo2012")</f>
        <v>@filhopaulo2012</v>
      </c>
      <c r="C5056" s="21" t="s">
        <v>11577</v>
      </c>
      <c r="D5056" s="21" t="s">
        <v>108</v>
      </c>
      <c r="E5056" s="22" t="str">
        <f>HYPERLINK("https://twitter.com/filhopaulo2012/status/922473135760465920","922473135760465920")</f>
        <v>922473135760465920</v>
      </c>
      <c r="F5056" s="23" t="s">
        <v>33</v>
      </c>
      <c r="G5056" s="24">
        <v>223.0</v>
      </c>
      <c r="H5056" s="24">
        <v>147.0</v>
      </c>
      <c r="I5056" s="24">
        <v>88.0</v>
      </c>
      <c r="J5056" s="24">
        <v>0.0</v>
      </c>
      <c r="K5056" s="23" t="s">
        <v>34</v>
      </c>
      <c r="L5056" s="25">
        <v>41691.80652777778</v>
      </c>
      <c r="M5056" s="28"/>
      <c r="N5056" s="28"/>
      <c r="O5056" s="22" t="str">
        <f>HYPERLINK("https://pbs.twimg.com/profile_images/904390660857450497/QSL4hjp5_normal.jpg","View")</f>
        <v>View</v>
      </c>
      <c r="P5056" s="27"/>
    </row>
    <row r="5057">
      <c r="A5057" s="14">
        <v>43031.32069444444</v>
      </c>
      <c r="B5057" s="20" t="str">
        <f>HYPERLINK("https://twitter.com/bolger2008","@bolger2008")</f>
        <v>@bolger2008</v>
      </c>
      <c r="C5057" s="21" t="s">
        <v>5308</v>
      </c>
      <c r="D5057" s="21" t="s">
        <v>11578</v>
      </c>
      <c r="E5057" s="22" t="str">
        <f>HYPERLINK("https://twitter.com/bolger2008/status/922473135890452480","922473135890452480")</f>
        <v>922473135890452480</v>
      </c>
      <c r="F5057" s="23" t="s">
        <v>39</v>
      </c>
      <c r="G5057" s="24">
        <v>126.0</v>
      </c>
      <c r="H5057" s="24">
        <v>732.0</v>
      </c>
      <c r="I5057" s="24">
        <v>0.0</v>
      </c>
      <c r="J5057" s="24">
        <v>0.0</v>
      </c>
      <c r="K5057" s="23" t="s">
        <v>34</v>
      </c>
      <c r="L5057" s="25">
        <v>39537.43609953704</v>
      </c>
      <c r="M5057" s="26" t="s">
        <v>4239</v>
      </c>
      <c r="N5057" s="26" t="s">
        <v>5310</v>
      </c>
      <c r="O5057" s="22" t="str">
        <f>HYPERLINK("https://pbs.twimg.com/profile_images/3601576031/ceec98fd9eec97edb958d420b1000480_normal.jpeg","View")</f>
        <v>View</v>
      </c>
      <c r="P5057" s="27"/>
    </row>
    <row r="5058">
      <c r="A5058" s="14">
        <v>43031.32072916666</v>
      </c>
      <c r="B5058" s="20" t="str">
        <f>HYPERLINK("https://twitter.com/drashtipurohit","@drashtipurohit")</f>
        <v>@drashtipurohit</v>
      </c>
      <c r="C5058" s="21" t="s">
        <v>11579</v>
      </c>
      <c r="D5058" s="21" t="s">
        <v>42</v>
      </c>
      <c r="E5058" s="22" t="str">
        <f>HYPERLINK("https://twitter.com/drashtipurohit/status/922473144400732160","922473144400732160")</f>
        <v>922473144400732160</v>
      </c>
      <c r="F5058" s="23" t="s">
        <v>780</v>
      </c>
      <c r="G5058" s="24">
        <v>227.0</v>
      </c>
      <c r="H5058" s="24">
        <v>25.0</v>
      </c>
      <c r="I5058" s="24">
        <v>8501.0</v>
      </c>
      <c r="J5058" s="24">
        <v>0.0</v>
      </c>
      <c r="K5058" s="23" t="s">
        <v>34</v>
      </c>
      <c r="L5058" s="25">
        <v>41164.28262731482</v>
      </c>
      <c r="M5058" s="26" t="s">
        <v>11580</v>
      </c>
      <c r="N5058" s="26" t="s">
        <v>11581</v>
      </c>
      <c r="O5058" s="22" t="str">
        <f>HYPERLINK("https://pbs.twimg.com/profile_images/799645125974560768/DjvbdFnq_normal.jpg","View")</f>
        <v>View</v>
      </c>
      <c r="P5058" s="27"/>
    </row>
    <row r="5059">
      <c r="A5059" s="14">
        <v>43031.320810185185</v>
      </c>
      <c r="B5059" s="20" t="str">
        <f>HYPERLINK("https://twitter.com/raghave007","@raghave007")</f>
        <v>@raghave007</v>
      </c>
      <c r="C5059" s="21" t="s">
        <v>11582</v>
      </c>
      <c r="D5059" s="21" t="s">
        <v>42</v>
      </c>
      <c r="E5059" s="22" t="str">
        <f>HYPERLINK("https://twitter.com/raghave007/status/922473176570920962","922473176570920962")</f>
        <v>922473176570920962</v>
      </c>
      <c r="F5059" s="23" t="s">
        <v>39</v>
      </c>
      <c r="G5059" s="24">
        <v>135.0</v>
      </c>
      <c r="H5059" s="24">
        <v>388.0</v>
      </c>
      <c r="I5059" s="24">
        <v>8501.0</v>
      </c>
      <c r="J5059" s="24">
        <v>0.0</v>
      </c>
      <c r="K5059" s="23" t="s">
        <v>34</v>
      </c>
      <c r="L5059" s="25">
        <v>41419.944872685184</v>
      </c>
      <c r="M5059" s="28"/>
      <c r="N5059" s="26" t="s">
        <v>11583</v>
      </c>
      <c r="O5059" s="22" t="str">
        <f>HYPERLINK("https://pbs.twimg.com/profile_images/765234762785165313/d-Jx5rJE_normal.jpg","View")</f>
        <v>View</v>
      </c>
      <c r="P5059" s="27"/>
    </row>
    <row r="5060">
      <c r="A5060" s="14">
        <v>43031.32098379629</v>
      </c>
      <c r="B5060" s="20" t="str">
        <f>HYPERLINK("https://twitter.com/manohermm","@manohermm")</f>
        <v>@manohermm</v>
      </c>
      <c r="C5060" s="21" t="s">
        <v>11584</v>
      </c>
      <c r="D5060" s="21" t="s">
        <v>42</v>
      </c>
      <c r="E5060" s="22" t="str">
        <f>HYPERLINK("https://twitter.com/manohermm/status/922473239317659649","922473239317659649")</f>
        <v>922473239317659649</v>
      </c>
      <c r="F5060" s="23" t="s">
        <v>33</v>
      </c>
      <c r="G5060" s="24">
        <v>2355.0</v>
      </c>
      <c r="H5060" s="24">
        <v>345.0</v>
      </c>
      <c r="I5060" s="24">
        <v>8501.0</v>
      </c>
      <c r="J5060" s="24">
        <v>0.0</v>
      </c>
      <c r="K5060" s="23" t="s">
        <v>34</v>
      </c>
      <c r="L5060" s="25">
        <v>41912.04825231482</v>
      </c>
      <c r="M5060" s="26" t="s">
        <v>204</v>
      </c>
      <c r="N5060" s="26" t="s">
        <v>11585</v>
      </c>
      <c r="O5060" s="22" t="str">
        <f>HYPERLINK("https://pbs.twimg.com/profile_images/921952816410673153/eHPuuz69_normal.jpg","View")</f>
        <v>View</v>
      </c>
      <c r="P5060" s="27"/>
    </row>
    <row r="5061">
      <c r="A5061" s="14">
        <v>43031.32104166667</v>
      </c>
      <c r="B5061" s="20" t="str">
        <f>HYPERLINK("https://twitter.com/5883kimura","@5883kimura")</f>
        <v>@5883kimura</v>
      </c>
      <c r="C5061" s="21" t="s">
        <v>11586</v>
      </c>
      <c r="D5061" s="21" t="s">
        <v>6403</v>
      </c>
      <c r="E5061" s="22" t="str">
        <f>HYPERLINK("https://twitter.com/5883kimura/status/922473258825367553","922473258825367553")</f>
        <v>922473258825367553</v>
      </c>
      <c r="F5061" s="23" t="s">
        <v>39</v>
      </c>
      <c r="G5061" s="24">
        <v>95.0</v>
      </c>
      <c r="H5061" s="24">
        <v>124.0</v>
      </c>
      <c r="I5061" s="24">
        <v>97.0</v>
      </c>
      <c r="J5061" s="24">
        <v>0.0</v>
      </c>
      <c r="K5061" s="23" t="s">
        <v>34</v>
      </c>
      <c r="L5061" s="25">
        <v>41472.298310185186</v>
      </c>
      <c r="M5061" s="26" t="s">
        <v>11587</v>
      </c>
      <c r="N5061" s="26" t="s">
        <v>11588</v>
      </c>
      <c r="O5061" s="22" t="str">
        <f>HYPERLINK("https://pbs.twimg.com/profile_images/918805462505496578/nDGgaX7v_normal.jpg","View")</f>
        <v>View</v>
      </c>
      <c r="P5061" s="27"/>
    </row>
    <row r="5062">
      <c r="A5062" s="14">
        <v>43031.32114583333</v>
      </c>
      <c r="B5062" s="20" t="str">
        <f>HYPERLINK("https://twitter.com/Counter_Part_X","@Counter_Part_X")</f>
        <v>@Counter_Part_X</v>
      </c>
      <c r="C5062" s="21" t="s">
        <v>11589</v>
      </c>
      <c r="D5062" s="21" t="s">
        <v>42</v>
      </c>
      <c r="E5062" s="22" t="str">
        <f>HYPERLINK("https://twitter.com/Counter_Part_X/status/922473296913764352","922473296913764352")</f>
        <v>922473296913764352</v>
      </c>
      <c r="F5062" s="23" t="s">
        <v>33</v>
      </c>
      <c r="G5062" s="24">
        <v>673.0</v>
      </c>
      <c r="H5062" s="24">
        <v>481.0</v>
      </c>
      <c r="I5062" s="24">
        <v>8501.0</v>
      </c>
      <c r="J5062" s="24">
        <v>0.0</v>
      </c>
      <c r="K5062" s="23" t="s">
        <v>34</v>
      </c>
      <c r="L5062" s="25">
        <v>41493.20347222222</v>
      </c>
      <c r="M5062" s="26" t="s">
        <v>11590</v>
      </c>
      <c r="N5062" s="26" t="s">
        <v>11591</v>
      </c>
      <c r="O5062" s="22" t="str">
        <f>HYPERLINK("https://pbs.twimg.com/profile_images/772723088593154048/P8Gpvwl__normal.jpg","View")</f>
        <v>View</v>
      </c>
      <c r="P5062" s="27"/>
    </row>
    <row r="5063">
      <c r="A5063" s="14">
        <v>43031.3212962963</v>
      </c>
      <c r="B5063" s="20" t="str">
        <f>HYPERLINK("https://twitter.com/energyball38","@energyball38")</f>
        <v>@energyball38</v>
      </c>
      <c r="C5063" s="21" t="s">
        <v>11592</v>
      </c>
      <c r="D5063" s="21" t="s">
        <v>11540</v>
      </c>
      <c r="E5063" s="22" t="str">
        <f>HYPERLINK("https://twitter.com/energyball38/status/922473351674699777","922473351674699777")</f>
        <v>922473351674699777</v>
      </c>
      <c r="F5063" s="23" t="s">
        <v>55</v>
      </c>
      <c r="G5063" s="24">
        <v>253.0</v>
      </c>
      <c r="H5063" s="24">
        <v>80.0</v>
      </c>
      <c r="I5063" s="24">
        <v>14.0</v>
      </c>
      <c r="J5063" s="24">
        <v>0.0</v>
      </c>
      <c r="K5063" s="23" t="s">
        <v>34</v>
      </c>
      <c r="L5063" s="25">
        <v>42451.13171296296</v>
      </c>
      <c r="M5063" s="26" t="s">
        <v>271</v>
      </c>
      <c r="N5063" s="26" t="s">
        <v>11593</v>
      </c>
      <c r="O5063" s="22" t="str">
        <f>HYPERLINK("https://pbs.twimg.com/profile_images/878535746033811461/b7FH_YfX_normal.jpg","View")</f>
        <v>View</v>
      </c>
      <c r="P5063" s="27"/>
    </row>
    <row r="5064">
      <c r="A5064" s="14">
        <v>43031.3212962963</v>
      </c>
      <c r="B5064" s="20" t="str">
        <f>HYPERLINK("https://twitter.com/amannamra","@amannamra")</f>
        <v>@amannamra</v>
      </c>
      <c r="C5064" s="21" t="s">
        <v>11594</v>
      </c>
      <c r="D5064" s="21" t="s">
        <v>11595</v>
      </c>
      <c r="E5064" s="22" t="str">
        <f>HYPERLINK("https://twitter.com/amannamra/status/922473351704141824","922473351704141824")</f>
        <v>922473351704141824</v>
      </c>
      <c r="F5064" s="23" t="s">
        <v>55</v>
      </c>
      <c r="G5064" s="24">
        <v>1237.0</v>
      </c>
      <c r="H5064" s="24">
        <v>2394.0</v>
      </c>
      <c r="I5064" s="24">
        <v>10.0</v>
      </c>
      <c r="J5064" s="24">
        <v>0.0</v>
      </c>
      <c r="K5064" s="23" t="s">
        <v>34</v>
      </c>
      <c r="L5064" s="25">
        <v>39987.11449074074</v>
      </c>
      <c r="M5064" s="26" t="s">
        <v>734</v>
      </c>
      <c r="N5064" s="26" t="s">
        <v>11596</v>
      </c>
      <c r="O5064" s="22" t="str">
        <f>HYPERLINK("https://pbs.twimg.com/profile_images/785559630336360448/Td0iISjr_normal.jpg","View")</f>
        <v>View</v>
      </c>
      <c r="P5064" s="27"/>
    </row>
    <row r="5065">
      <c r="A5065" s="14">
        <v>43031.32141203704</v>
      </c>
      <c r="B5065" s="20" t="str">
        <f>HYPERLINK("https://twitter.com/trulyajays","@trulyajays")</f>
        <v>@trulyajays</v>
      </c>
      <c r="C5065" s="21" t="s">
        <v>882</v>
      </c>
      <c r="D5065" s="21" t="s">
        <v>42</v>
      </c>
      <c r="E5065" s="22" t="str">
        <f>HYPERLINK("https://twitter.com/trulyajays/status/922473392002949121","922473392002949121")</f>
        <v>922473392002949121</v>
      </c>
      <c r="F5065" s="23" t="s">
        <v>39</v>
      </c>
      <c r="G5065" s="24">
        <v>379.0</v>
      </c>
      <c r="H5065" s="24">
        <v>634.0</v>
      </c>
      <c r="I5065" s="24">
        <v>8501.0</v>
      </c>
      <c r="J5065" s="24">
        <v>0.0</v>
      </c>
      <c r="K5065" s="23" t="s">
        <v>34</v>
      </c>
      <c r="L5065" s="25">
        <v>40189.204618055555</v>
      </c>
      <c r="M5065" s="26" t="s">
        <v>11597</v>
      </c>
      <c r="N5065" s="26" t="s">
        <v>11598</v>
      </c>
      <c r="O5065" s="22" t="str">
        <f>HYPERLINK("https://pbs.twimg.com/profile_images/922815957340340225/YIFyTZoi_normal.jpg","View")</f>
        <v>View</v>
      </c>
      <c r="P5065" s="27"/>
    </row>
    <row r="5066">
      <c r="A5066" s="14">
        <v>43031.32145833333</v>
      </c>
      <c r="B5066" s="20" t="str">
        <f>HYPERLINK("https://twitter.com/filhopaulo2012","@filhopaulo2012")</f>
        <v>@filhopaulo2012</v>
      </c>
      <c r="C5066" s="21" t="s">
        <v>11577</v>
      </c>
      <c r="D5066" s="21" t="s">
        <v>105</v>
      </c>
      <c r="E5066" s="22" t="str">
        <f>HYPERLINK("https://twitter.com/filhopaulo2012/status/922473411997323264","922473411997323264")</f>
        <v>922473411997323264</v>
      </c>
      <c r="F5066" s="23" t="s">
        <v>33</v>
      </c>
      <c r="G5066" s="24">
        <v>223.0</v>
      </c>
      <c r="H5066" s="24">
        <v>147.0</v>
      </c>
      <c r="I5066" s="24">
        <v>69.0</v>
      </c>
      <c r="J5066" s="24">
        <v>0.0</v>
      </c>
      <c r="K5066" s="23" t="s">
        <v>34</v>
      </c>
      <c r="L5066" s="25">
        <v>41691.80652777778</v>
      </c>
      <c r="M5066" s="28"/>
      <c r="N5066" s="28"/>
      <c r="O5066" s="22" t="str">
        <f>HYPERLINK("https://pbs.twimg.com/profile_images/904390660857450497/QSL4hjp5_normal.jpg","View")</f>
        <v>View</v>
      </c>
      <c r="P5066" s="27"/>
    </row>
    <row r="5067">
      <c r="A5067" s="14">
        <v>43031.321481481486</v>
      </c>
      <c r="B5067" s="20" t="str">
        <f>HYPERLINK("https://twitter.com/manishbhartiya1","@manishbhartiya1")</f>
        <v>@manishbhartiya1</v>
      </c>
      <c r="C5067" s="21" t="s">
        <v>11599</v>
      </c>
      <c r="D5067" s="21" t="s">
        <v>42</v>
      </c>
      <c r="E5067" s="22" t="str">
        <f>HYPERLINK("https://twitter.com/manishbhartiya1/status/922473417126715393","922473417126715393")</f>
        <v>922473417126715393</v>
      </c>
      <c r="F5067" s="23" t="s">
        <v>33</v>
      </c>
      <c r="G5067" s="24">
        <v>1506.0</v>
      </c>
      <c r="H5067" s="24">
        <v>593.0</v>
      </c>
      <c r="I5067" s="24">
        <v>8501.0</v>
      </c>
      <c r="J5067" s="24">
        <v>0.0</v>
      </c>
      <c r="K5067" s="23" t="s">
        <v>34</v>
      </c>
      <c r="L5067" s="25">
        <v>40820.005208333336</v>
      </c>
      <c r="M5067" s="26" t="s">
        <v>11600</v>
      </c>
      <c r="N5067" s="33" t="s">
        <v>11601</v>
      </c>
      <c r="O5067" s="22" t="str">
        <f>HYPERLINK("https://pbs.twimg.com/profile_images/880815618878058496/RIzPI-xH_normal.jpg","View")</f>
        <v>View</v>
      </c>
      <c r="P5067" s="27"/>
    </row>
    <row r="5068">
      <c r="A5068" s="14">
        <v>43031.321597222224</v>
      </c>
      <c r="B5068" s="20" t="str">
        <f>HYPERLINK("https://twitter.com/Lynxxrider","@Lynxxrider")</f>
        <v>@Lynxxrider</v>
      </c>
      <c r="C5068" s="21" t="s">
        <v>11381</v>
      </c>
      <c r="D5068" s="21" t="s">
        <v>10653</v>
      </c>
      <c r="E5068" s="22" t="str">
        <f>HYPERLINK("https://twitter.com/Lynxxrider/status/922473459828977666","922473459828977666")</f>
        <v>922473459828977666</v>
      </c>
      <c r="F5068" s="23" t="s">
        <v>230</v>
      </c>
      <c r="G5068" s="24">
        <v>248.0</v>
      </c>
      <c r="H5068" s="24">
        <v>94.0</v>
      </c>
      <c r="I5068" s="24">
        <v>9.0</v>
      </c>
      <c r="J5068" s="24">
        <v>0.0</v>
      </c>
      <c r="K5068" s="23" t="s">
        <v>34</v>
      </c>
      <c r="L5068" s="25">
        <v>40313.1162037037</v>
      </c>
      <c r="M5068" s="28"/>
      <c r="N5068" s="28"/>
      <c r="O5068" s="22" t="str">
        <f t="shared" ref="O5068:O5069" si="78">HYPERLINK("https://abs.twimg.com/sticky/default_profile_images/default_profile_normal.png","View")</f>
        <v>View</v>
      </c>
      <c r="P5068" s="27"/>
    </row>
    <row r="5069">
      <c r="A5069" s="14">
        <v>43031.32171296296</v>
      </c>
      <c r="B5069" s="20" t="str">
        <f>HYPERLINK("https://twitter.com/vipulgoswami909","@vipulgoswami909")</f>
        <v>@vipulgoswami909</v>
      </c>
      <c r="C5069" s="21" t="s">
        <v>11602</v>
      </c>
      <c r="D5069" s="21" t="s">
        <v>42</v>
      </c>
      <c r="E5069" s="22" t="str">
        <f>HYPERLINK("https://twitter.com/vipulgoswami909/status/922473503026221057","922473503026221057")</f>
        <v>922473503026221057</v>
      </c>
      <c r="F5069" s="23" t="s">
        <v>33</v>
      </c>
      <c r="G5069" s="24">
        <v>47.0</v>
      </c>
      <c r="H5069" s="24">
        <v>458.0</v>
      </c>
      <c r="I5069" s="24">
        <v>8501.0</v>
      </c>
      <c r="J5069" s="24">
        <v>0.0</v>
      </c>
      <c r="K5069" s="23" t="s">
        <v>34</v>
      </c>
      <c r="L5069" s="25">
        <v>41176.21896990741</v>
      </c>
      <c r="M5069" s="26" t="s">
        <v>11603</v>
      </c>
      <c r="N5069" s="28"/>
      <c r="O5069" s="22" t="str">
        <f t="shared" si="78"/>
        <v>View</v>
      </c>
      <c r="P5069" s="27"/>
    </row>
    <row r="5070">
      <c r="A5070" s="14">
        <v>43031.32172453703</v>
      </c>
      <c r="B5070" s="20" t="str">
        <f>HYPERLINK("https://twitter.com/shalin5960","@shalin5960")</f>
        <v>@shalin5960</v>
      </c>
      <c r="C5070" s="21" t="s">
        <v>11604</v>
      </c>
      <c r="D5070" s="21" t="s">
        <v>11605</v>
      </c>
      <c r="E5070" s="22" t="str">
        <f>HYPERLINK("https://twitter.com/shalin5960/status/922473508965441536","922473508965441536")</f>
        <v>922473508965441536</v>
      </c>
      <c r="F5070" s="23" t="s">
        <v>187</v>
      </c>
      <c r="G5070" s="24">
        <v>234.0</v>
      </c>
      <c r="H5070" s="24">
        <v>167.0</v>
      </c>
      <c r="I5070" s="24">
        <v>0.0</v>
      </c>
      <c r="J5070" s="24">
        <v>0.0</v>
      </c>
      <c r="K5070" s="23" t="s">
        <v>34</v>
      </c>
      <c r="L5070" s="25">
        <v>40276.41585648148</v>
      </c>
      <c r="M5070" s="26" t="s">
        <v>2310</v>
      </c>
      <c r="N5070" s="26" t="s">
        <v>11606</v>
      </c>
      <c r="O5070" s="22" t="str">
        <f>HYPERLINK("https://pbs.twimg.com/profile_images/883907510070935552/d2p-brHu_normal.jpg","View")</f>
        <v>View</v>
      </c>
      <c r="P5070" s="27"/>
    </row>
    <row r="5071">
      <c r="A5071" s="14">
        <v>43031.321747685186</v>
      </c>
      <c r="B5071" s="20" t="str">
        <f>HYPERLINK("https://twitter.com/appoke0421","@appoke0421")</f>
        <v>@appoke0421</v>
      </c>
      <c r="C5071" s="21" t="s">
        <v>11607</v>
      </c>
      <c r="D5071" s="21" t="s">
        <v>42</v>
      </c>
      <c r="E5071" s="22" t="str">
        <f>HYPERLINK("https://twitter.com/appoke0421/status/922473516535967744","922473516535967744")</f>
        <v>922473516535967744</v>
      </c>
      <c r="F5071" s="23" t="s">
        <v>33</v>
      </c>
      <c r="G5071" s="24">
        <v>1829.0</v>
      </c>
      <c r="H5071" s="24">
        <v>2483.0</v>
      </c>
      <c r="I5071" s="24">
        <v>8501.0</v>
      </c>
      <c r="J5071" s="24">
        <v>0.0</v>
      </c>
      <c r="K5071" s="23" t="s">
        <v>34</v>
      </c>
      <c r="L5071" s="25">
        <v>39926.63346064815</v>
      </c>
      <c r="M5071" s="26" t="s">
        <v>5401</v>
      </c>
      <c r="N5071" s="26" t="s">
        <v>11608</v>
      </c>
      <c r="O5071" s="22" t="str">
        <f>HYPERLINK("https://pbs.twimg.com/profile_images/489061644568252417/pC2W5ESN_normal.jpeg","View")</f>
        <v>View</v>
      </c>
      <c r="P5071" s="27"/>
    </row>
    <row r="5072">
      <c r="A5072" s="14">
        <v>43031.32177083333</v>
      </c>
      <c r="B5072" s="20" t="str">
        <f>HYPERLINK("https://twitter.com/allstartupsin","@allstartupsin")</f>
        <v>@allstartupsin</v>
      </c>
      <c r="C5072" s="29" t="s">
        <v>11609</v>
      </c>
      <c r="D5072" s="21" t="s">
        <v>11610</v>
      </c>
      <c r="E5072" s="22" t="str">
        <f>HYPERLINK("https://twitter.com/allstartupsin/status/922473522877943808","922473522877943808")</f>
        <v>922473522877943808</v>
      </c>
      <c r="F5072" s="23" t="s">
        <v>187</v>
      </c>
      <c r="G5072" s="24">
        <v>1607.0</v>
      </c>
      <c r="H5072" s="24">
        <v>1993.0</v>
      </c>
      <c r="I5072" s="24">
        <v>0.0</v>
      </c>
      <c r="J5072" s="24">
        <v>0.0</v>
      </c>
      <c r="K5072" s="23" t="s">
        <v>34</v>
      </c>
      <c r="L5072" s="25">
        <v>41453.370046296295</v>
      </c>
      <c r="M5072" s="26" t="s">
        <v>204</v>
      </c>
      <c r="N5072" s="26" t="s">
        <v>11611</v>
      </c>
      <c r="O5072" s="22" t="str">
        <f>HYPERLINK("https://pbs.twimg.com/profile_images/770675004446941184/DgZiAFjn_normal.jpg","View")</f>
        <v>View</v>
      </c>
      <c r="P5072" s="27"/>
    </row>
    <row r="5073">
      <c r="A5073" s="14">
        <v>43031.32181712963</v>
      </c>
      <c r="B5073" s="20" t="str">
        <f>HYPERLINK("https://twitter.com/jepangnet","@jepangnet")</f>
        <v>@jepangnet</v>
      </c>
      <c r="C5073" s="29" t="s">
        <v>3404</v>
      </c>
      <c r="D5073" s="21" t="s">
        <v>11612</v>
      </c>
      <c r="E5073" s="22" t="str">
        <f>HYPERLINK("https://twitter.com/jepangnet/status/922473539269251073","922473539269251073")</f>
        <v>922473539269251073</v>
      </c>
      <c r="F5073" s="23" t="s">
        <v>187</v>
      </c>
      <c r="G5073" s="24">
        <v>1830.0</v>
      </c>
      <c r="H5073" s="24">
        <v>73.0</v>
      </c>
      <c r="I5073" s="24">
        <v>0.0</v>
      </c>
      <c r="J5073" s="24">
        <v>0.0</v>
      </c>
      <c r="K5073" s="23" t="s">
        <v>34</v>
      </c>
      <c r="L5073" s="25">
        <v>41367.07915509259</v>
      </c>
      <c r="M5073" s="28"/>
      <c r="N5073" s="26" t="s">
        <v>3406</v>
      </c>
      <c r="O5073" s="22" t="str">
        <f>HYPERLINK("https://pbs.twimg.com/profile_images/584780080838115328/JAX1NIUM_normal.jpg","View")</f>
        <v>View</v>
      </c>
      <c r="P5073" s="27"/>
    </row>
    <row r="5074">
      <c r="A5074" s="14">
        <v>43031.32189814815</v>
      </c>
      <c r="B5074" s="20" t="str">
        <f>HYPERLINK("https://twitter.com/fafafanfun","@fafafanfun")</f>
        <v>@fafafanfun</v>
      </c>
      <c r="C5074" s="21" t="s">
        <v>11613</v>
      </c>
      <c r="D5074" s="21" t="s">
        <v>42</v>
      </c>
      <c r="E5074" s="22" t="str">
        <f>HYPERLINK("https://twitter.com/fafafanfun/status/922473570365665281","922473570365665281")</f>
        <v>922473570365665281</v>
      </c>
      <c r="F5074" s="23" t="s">
        <v>55</v>
      </c>
      <c r="G5074" s="24">
        <v>918.0</v>
      </c>
      <c r="H5074" s="24">
        <v>934.0</v>
      </c>
      <c r="I5074" s="24">
        <v>8501.0</v>
      </c>
      <c r="J5074" s="24">
        <v>0.0</v>
      </c>
      <c r="K5074" s="23" t="s">
        <v>34</v>
      </c>
      <c r="L5074" s="25">
        <v>40917.09375</v>
      </c>
      <c r="M5074" s="26" t="s">
        <v>71</v>
      </c>
      <c r="N5074" s="26" t="s">
        <v>11614</v>
      </c>
      <c r="O5074" s="22" t="str">
        <f>HYPERLINK("https://pbs.twimg.com/profile_images/717536403735732225/eDCegszN_normal.jpg","View")</f>
        <v>View</v>
      </c>
      <c r="P5074" s="27"/>
    </row>
    <row r="5075">
      <c r="A5075" s="14">
        <v>43031.32200231482</v>
      </c>
      <c r="B5075" s="20" t="str">
        <f>HYPERLINK("https://twitter.com/VinodGi48794235","@VinodGi48794235")</f>
        <v>@VinodGi48794235</v>
      </c>
      <c r="C5075" s="21" t="s">
        <v>11615</v>
      </c>
      <c r="D5075" s="21" t="s">
        <v>42</v>
      </c>
      <c r="E5075" s="22" t="str">
        <f>HYPERLINK("https://twitter.com/VinodGi48794235/status/922473608684847104","922473608684847104")</f>
        <v>922473608684847104</v>
      </c>
      <c r="F5075" s="23" t="s">
        <v>33</v>
      </c>
      <c r="G5075" s="24">
        <v>4.0</v>
      </c>
      <c r="H5075" s="24">
        <v>52.0</v>
      </c>
      <c r="I5075" s="24">
        <v>8501.0</v>
      </c>
      <c r="J5075" s="24">
        <v>0.0</v>
      </c>
      <c r="K5075" s="23" t="s">
        <v>34</v>
      </c>
      <c r="L5075" s="25">
        <v>43014.446180555555</v>
      </c>
      <c r="M5075" s="26" t="s">
        <v>204</v>
      </c>
      <c r="N5075" s="26" t="s">
        <v>11616</v>
      </c>
      <c r="O5075" s="22" t="str">
        <f>HYPERLINK("https://pbs.twimg.com/profile_images/916664325720256512/MmRC_09q_normal.jpg","View")</f>
        <v>View</v>
      </c>
      <c r="P5075" s="27"/>
    </row>
    <row r="5076">
      <c r="A5076" s="14">
        <v>43031.322060185186</v>
      </c>
      <c r="B5076" s="20" t="str">
        <f>HYPERLINK("https://twitter.com/Im4fit","@Im4fit")</f>
        <v>@Im4fit</v>
      </c>
      <c r="C5076" s="21" t="s">
        <v>11617</v>
      </c>
      <c r="D5076" s="21" t="s">
        <v>1444</v>
      </c>
      <c r="E5076" s="22" t="str">
        <f>HYPERLINK("https://twitter.com/Im4fit/status/922473628943265792","922473628943265792")</f>
        <v>922473628943265792</v>
      </c>
      <c r="F5076" s="23" t="s">
        <v>39</v>
      </c>
      <c r="G5076" s="24">
        <v>1867.0</v>
      </c>
      <c r="H5076" s="24">
        <v>4998.0</v>
      </c>
      <c r="I5076" s="24">
        <v>50.0</v>
      </c>
      <c r="J5076" s="24">
        <v>0.0</v>
      </c>
      <c r="K5076" s="23" t="s">
        <v>34</v>
      </c>
      <c r="L5076" s="25">
        <v>40959.55274305555</v>
      </c>
      <c r="M5076" s="26" t="s">
        <v>5783</v>
      </c>
      <c r="N5076" s="26" t="s">
        <v>11618</v>
      </c>
      <c r="O5076" s="22" t="str">
        <f>HYPERLINK("https://pbs.twimg.com/profile_images/568803907476799488/TWNxXFWK_normal.jpeg","View")</f>
        <v>View</v>
      </c>
      <c r="P5076" s="27"/>
    </row>
    <row r="5077">
      <c r="A5077" s="14">
        <v>43031.32216435185</v>
      </c>
      <c r="B5077" s="20" t="str">
        <f>HYPERLINK("https://twitter.com/TomFlowers","@TomFlowers")</f>
        <v>@TomFlowers</v>
      </c>
      <c r="C5077" s="21" t="s">
        <v>11619</v>
      </c>
      <c r="D5077" s="21" t="s">
        <v>760</v>
      </c>
      <c r="E5077" s="22" t="str">
        <f>HYPERLINK("https://twitter.com/TomFlowers/status/922473665614278657","922473665614278657")</f>
        <v>922473665614278657</v>
      </c>
      <c r="F5077" s="23" t="s">
        <v>55</v>
      </c>
      <c r="G5077" s="24">
        <v>42821.0</v>
      </c>
      <c r="H5077" s="24">
        <v>45300.0</v>
      </c>
      <c r="I5077" s="24">
        <v>62.0</v>
      </c>
      <c r="J5077" s="24">
        <v>0.0</v>
      </c>
      <c r="K5077" s="23" t="s">
        <v>34</v>
      </c>
      <c r="L5077" s="25">
        <v>40668.67358796296</v>
      </c>
      <c r="M5077" s="26" t="s">
        <v>11620</v>
      </c>
      <c r="N5077" s="26" t="s">
        <v>11621</v>
      </c>
      <c r="O5077" s="22" t="str">
        <f>HYPERLINK("https://pbs.twimg.com/profile_images/915215547331002368/pgREb2gQ_normal.jpg","View")</f>
        <v>View</v>
      </c>
      <c r="P5077" s="27"/>
    </row>
    <row r="5078">
      <c r="A5078" s="14">
        <v>43031.322233796294</v>
      </c>
      <c r="B5078" s="20" t="str">
        <f>HYPERLINK("https://twitter.com/CMEGroup","@CMEGroup")</f>
        <v>@CMEGroup</v>
      </c>
      <c r="C5078" s="21" t="s">
        <v>11622</v>
      </c>
      <c r="D5078" s="21" t="s">
        <v>11232</v>
      </c>
      <c r="E5078" s="22" t="str">
        <f>HYPERLINK("https://twitter.com/CMEGroup/status/922473689790255104","922473689790255104")</f>
        <v>922473689790255104</v>
      </c>
      <c r="F5078" s="23" t="s">
        <v>55</v>
      </c>
      <c r="G5078" s="24">
        <v>771410.0</v>
      </c>
      <c r="H5078" s="24">
        <v>6963.0</v>
      </c>
      <c r="I5078" s="24">
        <v>7.0</v>
      </c>
      <c r="J5078" s="24">
        <v>0.0</v>
      </c>
      <c r="K5078" s="23" t="s">
        <v>34</v>
      </c>
      <c r="L5078" s="25">
        <v>39681.518912037034</v>
      </c>
      <c r="M5078" s="26" t="s">
        <v>478</v>
      </c>
      <c r="N5078" s="26" t="s">
        <v>11623</v>
      </c>
      <c r="O5078" s="22" t="str">
        <f>HYPERLINK("https://pbs.twimg.com/profile_images/885170499193643009/G-O8TZmm_normal.jpg","View")</f>
        <v>View</v>
      </c>
      <c r="P5078" s="27"/>
    </row>
    <row r="5079">
      <c r="A5079" s="14">
        <v>43031.32233796296</v>
      </c>
      <c r="B5079" s="20" t="str">
        <f>HYPERLINK("https://twitter.com/curiousonly","@curiousonly")</f>
        <v>@curiousonly</v>
      </c>
      <c r="C5079" s="21" t="s">
        <v>11624</v>
      </c>
      <c r="D5079" s="21" t="s">
        <v>11625</v>
      </c>
      <c r="E5079" s="22" t="str">
        <f>HYPERLINK("https://twitter.com/curiousonly/status/922473729044627459","922473729044627459")</f>
        <v>922473729044627459</v>
      </c>
      <c r="F5079" s="23" t="s">
        <v>55</v>
      </c>
      <c r="G5079" s="24">
        <v>701.0</v>
      </c>
      <c r="H5079" s="24">
        <v>415.0</v>
      </c>
      <c r="I5079" s="24">
        <v>11.0</v>
      </c>
      <c r="J5079" s="24">
        <v>0.0</v>
      </c>
      <c r="K5079" s="23" t="s">
        <v>34</v>
      </c>
      <c r="L5079" s="25">
        <v>40346.61857638889</v>
      </c>
      <c r="M5079" s="26" t="s">
        <v>11626</v>
      </c>
      <c r="N5079" s="26" t="s">
        <v>11627</v>
      </c>
      <c r="O5079" s="22" t="str">
        <f>HYPERLINK("https://pbs.twimg.com/profile_images/919758964279074816/5--r7U51_normal.jpg","View")</f>
        <v>View</v>
      </c>
      <c r="P5079" s="27"/>
    </row>
    <row r="5080">
      <c r="A5080" s="14">
        <v>43031.32244212963</v>
      </c>
      <c r="B5080" s="20" t="str">
        <f>HYPERLINK("https://twitter.com/iamshalabh21","@iamshalabh21")</f>
        <v>@iamshalabh21</v>
      </c>
      <c r="C5080" s="21" t="s">
        <v>11628</v>
      </c>
      <c r="D5080" s="21" t="s">
        <v>11595</v>
      </c>
      <c r="E5080" s="22" t="str">
        <f>HYPERLINK("https://twitter.com/iamshalabh21/status/922473765593681920","922473765593681920")</f>
        <v>922473765593681920</v>
      </c>
      <c r="F5080" s="23" t="s">
        <v>33</v>
      </c>
      <c r="G5080" s="24">
        <v>345.0</v>
      </c>
      <c r="H5080" s="24">
        <v>1520.0</v>
      </c>
      <c r="I5080" s="24">
        <v>10.0</v>
      </c>
      <c r="J5080" s="24">
        <v>0.0</v>
      </c>
      <c r="K5080" s="23" t="s">
        <v>34</v>
      </c>
      <c r="L5080" s="25">
        <v>41050.51872685185</v>
      </c>
      <c r="M5080" s="26" t="s">
        <v>1189</v>
      </c>
      <c r="N5080" s="26" t="s">
        <v>11629</v>
      </c>
      <c r="O5080" s="22" t="str">
        <f>HYPERLINK("https://pbs.twimg.com/profile_images/2240902541/Shalabh_normal.jpg","View")</f>
        <v>View</v>
      </c>
      <c r="P5080" s="27"/>
    </row>
    <row r="5081">
      <c r="A5081" s="14">
        <v>43031.32246527778</v>
      </c>
      <c r="B5081" s="20" t="str">
        <f>HYPERLINK("https://twitter.com/AsiaPolicy","@AsiaPolicy")</f>
        <v>@AsiaPolicy</v>
      </c>
      <c r="C5081" s="21" t="s">
        <v>11630</v>
      </c>
      <c r="D5081" s="21" t="s">
        <v>11631</v>
      </c>
      <c r="E5081" s="22" t="str">
        <f>HYPERLINK("https://twitter.com/AsiaPolicy/status/922473777082060800","922473777082060800")</f>
        <v>922473777082060800</v>
      </c>
      <c r="F5081" s="23" t="s">
        <v>769</v>
      </c>
      <c r="G5081" s="24">
        <v>3852.0</v>
      </c>
      <c r="H5081" s="24">
        <v>808.0</v>
      </c>
      <c r="I5081" s="24">
        <v>0.0</v>
      </c>
      <c r="J5081" s="24">
        <v>0.0</v>
      </c>
      <c r="K5081" s="23" t="s">
        <v>34</v>
      </c>
      <c r="L5081" s="25">
        <v>41310.6343287037</v>
      </c>
      <c r="M5081" s="26" t="s">
        <v>11632</v>
      </c>
      <c r="N5081" s="26" t="s">
        <v>11633</v>
      </c>
      <c r="O5081" s="22" t="str">
        <f>HYPERLINK("https://pbs.twimg.com/profile_images/606601194434363392/11lpAbki_normal.png","View")</f>
        <v>View</v>
      </c>
      <c r="P5081" s="27"/>
    </row>
    <row r="5082">
      <c r="A5082" s="14">
        <v>43031.32263888889</v>
      </c>
      <c r="B5082" s="20" t="str">
        <f>HYPERLINK("https://twitter.com/ecodaren","@ecodaren")</f>
        <v>@ecodaren</v>
      </c>
      <c r="C5082" s="21" t="s">
        <v>11634</v>
      </c>
      <c r="D5082" s="21" t="s">
        <v>11635</v>
      </c>
      <c r="E5082" s="22" t="str">
        <f>HYPERLINK("https://twitter.com/ecodaren/status/922473839501516800","922473839501516800")</f>
        <v>922473839501516800</v>
      </c>
      <c r="F5082" s="23" t="s">
        <v>33</v>
      </c>
      <c r="G5082" s="24">
        <v>3186.0</v>
      </c>
      <c r="H5082" s="24">
        <v>666.0</v>
      </c>
      <c r="I5082" s="24">
        <v>1.0</v>
      </c>
      <c r="J5082" s="24">
        <v>0.0</v>
      </c>
      <c r="K5082" s="23" t="s">
        <v>34</v>
      </c>
      <c r="L5082" s="25">
        <v>40242.97725694445</v>
      </c>
      <c r="M5082" s="26" t="s">
        <v>11636</v>
      </c>
      <c r="N5082" s="26" t="s">
        <v>11637</v>
      </c>
      <c r="O5082" s="22" t="str">
        <f>HYPERLINK("https://pbs.twimg.com/profile_images/735550709/imgffbe007fzikbzj_normal.jpg","View")</f>
        <v>View</v>
      </c>
      <c r="P5082" s="27"/>
    </row>
    <row r="5083">
      <c r="A5083" s="14">
        <v>43031.322650462964</v>
      </c>
      <c r="B5083" s="20" t="str">
        <f>HYPERLINK("https://twitter.com/poppy757","@poppy757")</f>
        <v>@poppy757</v>
      </c>
      <c r="C5083" s="21" t="s">
        <v>11638</v>
      </c>
      <c r="D5083" s="21" t="s">
        <v>42</v>
      </c>
      <c r="E5083" s="22" t="str">
        <f>HYPERLINK("https://twitter.com/poppy757/status/922473844245483522","922473844245483522")</f>
        <v>922473844245483522</v>
      </c>
      <c r="F5083" s="23" t="s">
        <v>55</v>
      </c>
      <c r="G5083" s="24">
        <v>198.0</v>
      </c>
      <c r="H5083" s="24">
        <v>179.0</v>
      </c>
      <c r="I5083" s="24">
        <v>8501.0</v>
      </c>
      <c r="J5083" s="24">
        <v>0.0</v>
      </c>
      <c r="K5083" s="23" t="s">
        <v>34</v>
      </c>
      <c r="L5083" s="25">
        <v>41119.310578703706</v>
      </c>
      <c r="M5083" s="26" t="s">
        <v>11639</v>
      </c>
      <c r="N5083" s="26" t="s">
        <v>11640</v>
      </c>
      <c r="O5083" s="22" t="str">
        <f>HYPERLINK("https://pbs.twimg.com/profile_images/575350432110747648/zUrnmsKc_normal.jpeg","View")</f>
        <v>View</v>
      </c>
      <c r="P5083" s="27"/>
    </row>
    <row r="5084">
      <c r="A5084" s="14">
        <v>43031.32267361111</v>
      </c>
      <c r="B5084" s="20" t="str">
        <f>HYPERLINK("https://twitter.com/MoreMuckrakers","@MoreMuckrakers")</f>
        <v>@MoreMuckrakers</v>
      </c>
      <c r="C5084" s="21" t="s">
        <v>11641</v>
      </c>
      <c r="D5084" s="21" t="s">
        <v>11642</v>
      </c>
      <c r="E5084" s="22" t="str">
        <f>HYPERLINK("https://twitter.com/MoreMuckrakers/status/922473850172071936","922473850172071936")</f>
        <v>922473850172071936</v>
      </c>
      <c r="F5084" s="23" t="s">
        <v>55</v>
      </c>
      <c r="G5084" s="24">
        <v>351.0</v>
      </c>
      <c r="H5084" s="24">
        <v>231.0</v>
      </c>
      <c r="I5084" s="24">
        <v>0.0</v>
      </c>
      <c r="J5084" s="24">
        <v>0.0</v>
      </c>
      <c r="K5084" s="23" t="s">
        <v>34</v>
      </c>
      <c r="L5084" s="25">
        <v>40723.352847222224</v>
      </c>
      <c r="M5084" s="26" t="s">
        <v>920</v>
      </c>
      <c r="N5084" s="26" t="s">
        <v>11643</v>
      </c>
      <c r="O5084" s="22" t="str">
        <f>HYPERLINK("https://pbs.twimg.com/profile_images/656841215955062784/Yi6tOHqv_normal.png","View")</f>
        <v>View</v>
      </c>
      <c r="P5084" s="27"/>
    </row>
    <row r="5085">
      <c r="A5085" s="14">
        <v>43031.322743055556</v>
      </c>
      <c r="B5085" s="20" t="str">
        <f>HYPERLINK("https://twitter.com/ChintanPatidar2","@ChintanPatidar2")</f>
        <v>@ChintanPatidar2</v>
      </c>
      <c r="C5085" s="21" t="s">
        <v>11644</v>
      </c>
      <c r="D5085" s="21" t="s">
        <v>42</v>
      </c>
      <c r="E5085" s="22" t="str">
        <f>HYPERLINK("https://twitter.com/ChintanPatidar2/status/922473876449255425","922473876449255425")</f>
        <v>922473876449255425</v>
      </c>
      <c r="F5085" s="23" t="s">
        <v>33</v>
      </c>
      <c r="G5085" s="24">
        <v>169.0</v>
      </c>
      <c r="H5085" s="24">
        <v>134.0</v>
      </c>
      <c r="I5085" s="24">
        <v>8501.0</v>
      </c>
      <c r="J5085" s="24">
        <v>0.0</v>
      </c>
      <c r="K5085" s="23" t="s">
        <v>34</v>
      </c>
      <c r="L5085" s="25">
        <v>42751.3746875</v>
      </c>
      <c r="M5085" s="26" t="s">
        <v>11645</v>
      </c>
      <c r="N5085" s="26" t="s">
        <v>11646</v>
      </c>
      <c r="O5085" s="22" t="str">
        <f>HYPERLINK("https://pbs.twimg.com/profile_images/908554944793387008/VfbWi57n_normal.jpg","View")</f>
        <v>View</v>
      </c>
      <c r="P5085" s="27"/>
    </row>
    <row r="5086">
      <c r="A5086" s="14">
        <v>43031.32289351852</v>
      </c>
      <c r="B5086" s="20" t="str">
        <f>HYPERLINK("https://twitter.com/rumi35","@rumi35")</f>
        <v>@rumi35</v>
      </c>
      <c r="C5086" s="21" t="s">
        <v>11647</v>
      </c>
      <c r="D5086" s="21" t="s">
        <v>10614</v>
      </c>
      <c r="E5086" s="22" t="str">
        <f>HYPERLINK("https://twitter.com/rumi35/status/922473929205170176","922473929205170176")</f>
        <v>922473929205170176</v>
      </c>
      <c r="F5086" s="23" t="s">
        <v>39</v>
      </c>
      <c r="G5086" s="24">
        <v>139.0</v>
      </c>
      <c r="H5086" s="24">
        <v>189.0</v>
      </c>
      <c r="I5086" s="24">
        <v>159.0</v>
      </c>
      <c r="J5086" s="24">
        <v>0.0</v>
      </c>
      <c r="K5086" s="23" t="s">
        <v>34</v>
      </c>
      <c r="L5086" s="25">
        <v>40590.22822916666</v>
      </c>
      <c r="M5086" s="28"/>
      <c r="N5086" s="26" t="s">
        <v>11648</v>
      </c>
      <c r="O5086" s="22" t="str">
        <f>HYPERLINK("https://pbs.twimg.com/profile_images/1684411969/image_normal.jpg","View")</f>
        <v>View</v>
      </c>
      <c r="P5086" s="27"/>
    </row>
    <row r="5087">
      <c r="A5087" s="14">
        <v>43031.322962962964</v>
      </c>
      <c r="B5087" s="20" t="str">
        <f>HYPERLINK("https://twitter.com/Sameerd67083826","@Sameerd67083826")</f>
        <v>@Sameerd67083826</v>
      </c>
      <c r="C5087" s="21" t="s">
        <v>11649</v>
      </c>
      <c r="D5087" s="21" t="s">
        <v>42</v>
      </c>
      <c r="E5087" s="22" t="str">
        <f>HYPERLINK("https://twitter.com/Sameerd67083826/status/922473958053761024","922473958053761024")</f>
        <v>922473958053761024</v>
      </c>
      <c r="F5087" s="23" t="s">
        <v>33</v>
      </c>
      <c r="G5087" s="24">
        <v>150.0</v>
      </c>
      <c r="H5087" s="24">
        <v>71.0</v>
      </c>
      <c r="I5087" s="24">
        <v>8501.0</v>
      </c>
      <c r="J5087" s="24">
        <v>0.0</v>
      </c>
      <c r="K5087" s="23" t="s">
        <v>34</v>
      </c>
      <c r="L5087" s="25">
        <v>42800.9197337963</v>
      </c>
      <c r="M5087" s="28"/>
      <c r="N5087" s="26" t="s">
        <v>11650</v>
      </c>
      <c r="O5087" s="22" t="str">
        <f>HYPERLINK("https://pbs.twimg.com/profile_images/914424933949870080/dt_o8ezX_normal.jpg","View")</f>
        <v>View</v>
      </c>
      <c r="P5087" s="27"/>
    </row>
    <row r="5088">
      <c r="A5088" s="14">
        <v>43031.32313657408</v>
      </c>
      <c r="B5088" s="20" t="str">
        <f>HYPERLINK("https://twitter.com/QxNews","@QxNews")</f>
        <v>@QxNews</v>
      </c>
      <c r="C5088" s="21" t="s">
        <v>3818</v>
      </c>
      <c r="D5088" s="21" t="s">
        <v>11540</v>
      </c>
      <c r="E5088" s="22" t="str">
        <f>HYPERLINK("https://twitter.com/QxNews/status/922474019735068672","922474019735068672")</f>
        <v>922474019735068672</v>
      </c>
      <c r="F5088" s="23" t="s">
        <v>3819</v>
      </c>
      <c r="G5088" s="24">
        <v>3220.0</v>
      </c>
      <c r="H5088" s="24">
        <v>271.0</v>
      </c>
      <c r="I5088" s="24">
        <v>14.0</v>
      </c>
      <c r="J5088" s="24">
        <v>0.0</v>
      </c>
      <c r="K5088" s="23" t="s">
        <v>34</v>
      </c>
      <c r="L5088" s="25">
        <v>41497.85806712963</v>
      </c>
      <c r="M5088" s="26" t="s">
        <v>905</v>
      </c>
      <c r="N5088" s="26" t="s">
        <v>3820</v>
      </c>
      <c r="O5088" s="22" t="str">
        <f>HYPERLINK("https://pbs.twimg.com/profile_images/597288578092240896/ePlmSYCH_normal.png","View")</f>
        <v>View</v>
      </c>
      <c r="P5088" s="27"/>
    </row>
    <row r="5089">
      <c r="A5089" s="14">
        <v>43031.32313657408</v>
      </c>
      <c r="B5089" s="20" t="str">
        <f>HYPERLINK("https://twitter.com/jimmyhoshi","@jimmyhoshi")</f>
        <v>@jimmyhoshi</v>
      </c>
      <c r="C5089" s="21" t="s">
        <v>11651</v>
      </c>
      <c r="D5089" s="21" t="s">
        <v>11652</v>
      </c>
      <c r="E5089" s="22" t="str">
        <f>HYPERLINK("https://twitter.com/jimmyhoshi/status/922474020548702213","922474020548702213")</f>
        <v>922474020548702213</v>
      </c>
      <c r="F5089" s="23" t="s">
        <v>11653</v>
      </c>
      <c r="G5089" s="24">
        <v>8727.0</v>
      </c>
      <c r="H5089" s="24">
        <v>8446.0</v>
      </c>
      <c r="I5089" s="24">
        <v>0.0</v>
      </c>
      <c r="J5089" s="24">
        <v>0.0</v>
      </c>
      <c r="K5089" s="23" t="s">
        <v>34</v>
      </c>
      <c r="L5089" s="25">
        <v>41922.7041087963</v>
      </c>
      <c r="M5089" s="26" t="s">
        <v>11654</v>
      </c>
      <c r="N5089" s="26" t="s">
        <v>11655</v>
      </c>
      <c r="O5089" s="22" t="str">
        <f>HYPERLINK("https://pbs.twimg.com/profile_images/525551979565555712/q1hl0v2W_normal.png","View")</f>
        <v>View</v>
      </c>
      <c r="P5089" s="27"/>
    </row>
    <row r="5090">
      <c r="A5090" s="14">
        <v>43031.32318287037</v>
      </c>
      <c r="B5090" s="20" t="str">
        <f>HYPERLINK("https://twitter.com/HAZUMA_JPN","@HAZUMA_JPN")</f>
        <v>@HAZUMA_JPN</v>
      </c>
      <c r="C5090" s="21" t="s">
        <v>11656</v>
      </c>
      <c r="D5090" s="21" t="s">
        <v>11657</v>
      </c>
      <c r="E5090" s="22" t="str">
        <f>HYPERLINK("https://twitter.com/HAZUMA_JPN/status/922474037380550656","922474037380550656")</f>
        <v>922474037380550656</v>
      </c>
      <c r="F5090" s="23" t="s">
        <v>55</v>
      </c>
      <c r="G5090" s="24">
        <v>464.0</v>
      </c>
      <c r="H5090" s="24">
        <v>3160.0</v>
      </c>
      <c r="I5090" s="24">
        <v>0.0</v>
      </c>
      <c r="J5090" s="24">
        <v>0.0</v>
      </c>
      <c r="K5090" s="23" t="s">
        <v>34</v>
      </c>
      <c r="L5090" s="25">
        <v>41559.63921296296</v>
      </c>
      <c r="M5090" s="26" t="s">
        <v>4239</v>
      </c>
      <c r="N5090" s="26" t="s">
        <v>11658</v>
      </c>
      <c r="O5090" s="22" t="str">
        <f>HYPERLINK("https://pbs.twimg.com/profile_images/770376087977230336/zeh0Ktrm_normal.jpg","View")</f>
        <v>View</v>
      </c>
      <c r="P5090" s="27"/>
    </row>
    <row r="5091">
      <c r="A5091" s="14">
        <v>43031.32329861111</v>
      </c>
      <c r="B5091" s="20" t="str">
        <f>HYPERLINK("https://twitter.com/KnucklDraginSam","@KnucklDraginSam")</f>
        <v>@KnucklDraginSam</v>
      </c>
      <c r="C5091" s="21" t="s">
        <v>11659</v>
      </c>
      <c r="D5091" s="21" t="s">
        <v>11540</v>
      </c>
      <c r="E5091" s="22" t="str">
        <f>HYPERLINK("https://twitter.com/KnucklDraginSam/status/922474076488257537","922474076488257537")</f>
        <v>922474076488257537</v>
      </c>
      <c r="F5091" s="23" t="s">
        <v>39</v>
      </c>
      <c r="G5091" s="24">
        <v>7221.0</v>
      </c>
      <c r="H5091" s="24">
        <v>5471.0</v>
      </c>
      <c r="I5091" s="24">
        <v>14.0</v>
      </c>
      <c r="J5091" s="24">
        <v>0.0</v>
      </c>
      <c r="K5091" s="23" t="s">
        <v>34</v>
      </c>
      <c r="L5091" s="25">
        <v>40575.40175925926</v>
      </c>
      <c r="M5091" s="26" t="s">
        <v>11660</v>
      </c>
      <c r="N5091" s="26" t="s">
        <v>11661</v>
      </c>
      <c r="O5091" s="22" t="str">
        <f>HYPERLINK("https://pbs.twimg.com/profile_images/920317429502312449/tO9M7yRy_normal.jpg","View")</f>
        <v>View</v>
      </c>
      <c r="P5091" s="27"/>
    </row>
    <row r="5092">
      <c r="A5092" s="14">
        <v>43031.32335648148</v>
      </c>
      <c r="B5092" s="20" t="str">
        <f>HYPERLINK("https://twitter.com/craig_forex","@craig_forex")</f>
        <v>@craig_forex</v>
      </c>
      <c r="C5092" s="21" t="s">
        <v>11662</v>
      </c>
      <c r="D5092" s="21" t="s">
        <v>11663</v>
      </c>
      <c r="E5092" s="22" t="str">
        <f>HYPERLINK("https://twitter.com/craig_forex/status/922474100341256192","922474100341256192")</f>
        <v>922474100341256192</v>
      </c>
      <c r="F5092" s="23" t="s">
        <v>769</v>
      </c>
      <c r="G5092" s="24">
        <v>5040.0</v>
      </c>
      <c r="H5092" s="24">
        <v>458.0</v>
      </c>
      <c r="I5092" s="24">
        <v>1.0</v>
      </c>
      <c r="J5092" s="24">
        <v>0.0</v>
      </c>
      <c r="K5092" s="23" t="s">
        <v>34</v>
      </c>
      <c r="L5092" s="25">
        <v>40505.51405092592</v>
      </c>
      <c r="M5092" s="26" t="s">
        <v>334</v>
      </c>
      <c r="N5092" s="26" t="s">
        <v>11664</v>
      </c>
      <c r="O5092" s="22" t="str">
        <f>HYPERLINK("https://pbs.twimg.com/profile_images/748263726441205766/bF9tw-Z-_normal.jpg","View")</f>
        <v>View</v>
      </c>
      <c r="P5092" s="27"/>
    </row>
    <row r="5093">
      <c r="A5093" s="14">
        <v>43031.323379629626</v>
      </c>
      <c r="B5093" s="20" t="str">
        <f>HYPERLINK("https://twitter.com/gregmcleodtradr","@gregmcleodtradr")</f>
        <v>@gregmcleodtradr</v>
      </c>
      <c r="C5093" s="21" t="s">
        <v>11665</v>
      </c>
      <c r="D5093" s="21" t="s">
        <v>11666</v>
      </c>
      <c r="E5093" s="22" t="str">
        <f>HYPERLINK("https://twitter.com/gregmcleodtradr/status/922474108134313984","922474108134313984")</f>
        <v>922474108134313984</v>
      </c>
      <c r="F5093" s="23" t="s">
        <v>55</v>
      </c>
      <c r="G5093" s="24">
        <v>18112.0</v>
      </c>
      <c r="H5093" s="24">
        <v>1564.0</v>
      </c>
      <c r="I5093" s="24">
        <v>1.0</v>
      </c>
      <c r="J5093" s="24">
        <v>0.0</v>
      </c>
      <c r="K5093" s="23" t="s">
        <v>34</v>
      </c>
      <c r="L5093" s="25">
        <v>40358.79516203704</v>
      </c>
      <c r="M5093" s="26" t="s">
        <v>11667</v>
      </c>
      <c r="N5093" s="26" t="s">
        <v>11668</v>
      </c>
      <c r="O5093" s="22" t="str">
        <f>HYPERLINK("https://pbs.twimg.com/profile_images/820509151998529536/-XAi7PAh_normal.jpg","View")</f>
        <v>View</v>
      </c>
      <c r="P5093" s="27"/>
    </row>
    <row r="5094">
      <c r="A5094" s="14">
        <v>43031.323425925926</v>
      </c>
      <c r="B5094" s="20" t="str">
        <f>HYPERLINK("https://twitter.com/sanket539","@sanket539")</f>
        <v>@sanket539</v>
      </c>
      <c r="C5094" s="21" t="s">
        <v>11669</v>
      </c>
      <c r="D5094" s="21" t="s">
        <v>42</v>
      </c>
      <c r="E5094" s="22" t="str">
        <f>HYPERLINK("https://twitter.com/sanket539/status/922474123988647936","922474123988647936")</f>
        <v>922474123988647936</v>
      </c>
      <c r="F5094" s="23" t="s">
        <v>33</v>
      </c>
      <c r="G5094" s="24">
        <v>17086.0</v>
      </c>
      <c r="H5094" s="24">
        <v>17183.0</v>
      </c>
      <c r="I5094" s="24">
        <v>8501.0</v>
      </c>
      <c r="J5094" s="24">
        <v>0.0</v>
      </c>
      <c r="K5094" s="23" t="s">
        <v>34</v>
      </c>
      <c r="L5094" s="25">
        <v>40909.629155092596</v>
      </c>
      <c r="M5094" s="26" t="s">
        <v>11670</v>
      </c>
      <c r="N5094" s="26" t="s">
        <v>11671</v>
      </c>
      <c r="O5094" s="22" t="str">
        <f>HYPERLINK("https://pbs.twimg.com/profile_images/872566485960474624/uaQ5W9Dx_normal.jpg","View")</f>
        <v>View</v>
      </c>
      <c r="P5094" s="27"/>
    </row>
    <row r="5095">
      <c r="A5095" s="14">
        <v>43031.32357638889</v>
      </c>
      <c r="B5095" s="20" t="str">
        <f>HYPERLINK("https://twitter.com/ravitex123","@ravitex123")</f>
        <v>@ravitex123</v>
      </c>
      <c r="C5095" s="21" t="s">
        <v>11672</v>
      </c>
      <c r="D5095" s="21" t="s">
        <v>163</v>
      </c>
      <c r="E5095" s="22" t="str">
        <f>HYPERLINK("https://twitter.com/ravitex123/status/922474178934013953","922474178934013953")</f>
        <v>922474178934013953</v>
      </c>
      <c r="F5095" s="23" t="s">
        <v>55</v>
      </c>
      <c r="G5095" s="24">
        <v>296.0</v>
      </c>
      <c r="H5095" s="24">
        <v>313.0</v>
      </c>
      <c r="I5095" s="24">
        <v>1005.0</v>
      </c>
      <c r="J5095" s="24">
        <v>0.0</v>
      </c>
      <c r="K5095" s="23" t="s">
        <v>34</v>
      </c>
      <c r="L5095" s="25">
        <v>40568.71309027778</v>
      </c>
      <c r="M5095" s="26" t="s">
        <v>11673</v>
      </c>
      <c r="N5095" s="26" t="s">
        <v>11674</v>
      </c>
      <c r="O5095" s="22" t="str">
        <f>HYPERLINK("https://pbs.twimg.com/profile_images/738584856536350720/GICYRuqT_normal.jpg","View")</f>
        <v>View</v>
      </c>
      <c r="P5095" s="27"/>
    </row>
    <row r="5096">
      <c r="A5096" s="14">
        <v>43031.323587962965</v>
      </c>
      <c r="B5096" s="20" t="str">
        <f>HYPERLINK("https://twitter.com/KumarSh92910660","@KumarSh92910660")</f>
        <v>@KumarSh92910660</v>
      </c>
      <c r="C5096" s="21" t="s">
        <v>11675</v>
      </c>
      <c r="D5096" s="21" t="s">
        <v>42</v>
      </c>
      <c r="E5096" s="22" t="str">
        <f>HYPERLINK("https://twitter.com/KumarSh92910660/status/922474183514132480","922474183514132480")</f>
        <v>922474183514132480</v>
      </c>
      <c r="F5096" s="23" t="s">
        <v>33</v>
      </c>
      <c r="G5096" s="24">
        <v>50.0</v>
      </c>
      <c r="H5096" s="24">
        <v>511.0</v>
      </c>
      <c r="I5096" s="24">
        <v>8501.0</v>
      </c>
      <c r="J5096" s="24">
        <v>0.0</v>
      </c>
      <c r="K5096" s="23" t="s">
        <v>34</v>
      </c>
      <c r="L5096" s="25">
        <v>42878.24287037037</v>
      </c>
      <c r="M5096" s="26" t="s">
        <v>6717</v>
      </c>
      <c r="N5096" s="26" t="s">
        <v>11676</v>
      </c>
      <c r="O5096" s="22" t="str">
        <f>HYPERLINK("https://pbs.twimg.com/profile_images/919198900921155584/vYrk32CB_normal.jpg","View")</f>
        <v>View</v>
      </c>
      <c r="P5096" s="27"/>
    </row>
    <row r="5097">
      <c r="A5097" s="14">
        <v>43031.323854166665</v>
      </c>
      <c r="B5097" s="20" t="str">
        <f>HYPERLINK("https://twitter.com/ROCHERRY","@ROCHERRY")</f>
        <v>@ROCHERRY</v>
      </c>
      <c r="C5097" s="21" t="s">
        <v>11677</v>
      </c>
      <c r="D5097" s="21" t="s">
        <v>11540</v>
      </c>
      <c r="E5097" s="22" t="str">
        <f>HYPERLINK("https://twitter.com/ROCHERRY/status/922474277718327299","922474277718327299")</f>
        <v>922474277718327299</v>
      </c>
      <c r="F5097" s="23" t="s">
        <v>33</v>
      </c>
      <c r="G5097" s="24">
        <v>888.0</v>
      </c>
      <c r="H5097" s="24">
        <v>1659.0</v>
      </c>
      <c r="I5097" s="24">
        <v>14.0</v>
      </c>
      <c r="J5097" s="24">
        <v>0.0</v>
      </c>
      <c r="K5097" s="23" t="s">
        <v>34</v>
      </c>
      <c r="L5097" s="25">
        <v>40194.54761574074</v>
      </c>
      <c r="M5097" s="26" t="s">
        <v>590</v>
      </c>
      <c r="N5097" s="26" t="s">
        <v>11678</v>
      </c>
      <c r="O5097" s="22" t="str">
        <f>HYPERLINK("https://pbs.twimg.com/profile_images/2738057689/7f12378fddd7cd1f6ab790d525a4b76f_normal.jpeg","View")</f>
        <v>View</v>
      </c>
      <c r="P5097" s="27"/>
    </row>
    <row r="5098">
      <c r="A5098" s="14">
        <v>43031.3240625</v>
      </c>
      <c r="B5098" s="20" t="str">
        <f>HYPERLINK("https://twitter.com/AmitSha92735988","@AmitSha92735988")</f>
        <v>@AmitSha92735988</v>
      </c>
      <c r="C5098" s="21" t="s">
        <v>10555</v>
      </c>
      <c r="D5098" s="21" t="s">
        <v>11679</v>
      </c>
      <c r="E5098" s="22" t="str">
        <f>HYPERLINK("https://twitter.com/AmitSha92735988/status/922474353589084160","922474353589084160")</f>
        <v>922474353589084160</v>
      </c>
      <c r="F5098" s="23" t="s">
        <v>39</v>
      </c>
      <c r="G5098" s="24">
        <v>51.0</v>
      </c>
      <c r="H5098" s="24">
        <v>7.0</v>
      </c>
      <c r="I5098" s="24">
        <v>0.0</v>
      </c>
      <c r="J5098" s="24">
        <v>0.0</v>
      </c>
      <c r="K5098" s="23" t="s">
        <v>34</v>
      </c>
      <c r="L5098" s="25">
        <v>42731.22173611111</v>
      </c>
      <c r="M5098" s="26" t="s">
        <v>204</v>
      </c>
      <c r="N5098" s="28"/>
      <c r="O5098" s="22" t="str">
        <f>HYPERLINK("https://pbs.twimg.com/profile_images/814849772943122432/nn6HqC2H_normal.jpg","View")</f>
        <v>View</v>
      </c>
      <c r="P5098" s="27"/>
    </row>
    <row r="5099">
      <c r="A5099" s="14">
        <v>43031.324108796296</v>
      </c>
      <c r="B5099" s="20" t="str">
        <f>HYPERLINK("https://twitter.com/Hari__Khichar","@Hari__Khichar")</f>
        <v>@Hari__Khichar</v>
      </c>
      <c r="C5099" s="21" t="s">
        <v>11680</v>
      </c>
      <c r="D5099" s="21" t="s">
        <v>42</v>
      </c>
      <c r="E5099" s="22" t="str">
        <f>HYPERLINK("https://twitter.com/Hari__Khichar/status/922474373298057216","922474373298057216")</f>
        <v>922474373298057216</v>
      </c>
      <c r="F5099" s="23" t="s">
        <v>33</v>
      </c>
      <c r="G5099" s="24">
        <v>0.0</v>
      </c>
      <c r="H5099" s="24">
        <v>37.0</v>
      </c>
      <c r="I5099" s="24">
        <v>8501.0</v>
      </c>
      <c r="J5099" s="24">
        <v>0.0</v>
      </c>
      <c r="K5099" s="23" t="s">
        <v>34</v>
      </c>
      <c r="L5099" s="25">
        <v>43031.31245370371</v>
      </c>
      <c r="M5099" s="26" t="s">
        <v>11681</v>
      </c>
      <c r="N5099" s="26" t="s">
        <v>11682</v>
      </c>
      <c r="O5099" s="22" t="str">
        <f>HYPERLINK("https://pbs.twimg.com/profile_images/922473167976742912/HtLRknF0_normal.jpg","View")</f>
        <v>View</v>
      </c>
      <c r="P5099" s="27"/>
    </row>
    <row r="5100">
      <c r="A5100" s="14">
        <v>43031.32414351852</v>
      </c>
      <c r="B5100" s="20" t="str">
        <f>HYPERLINK("https://twitter.com/PPanduprem","@PPanduprem")</f>
        <v>@PPanduprem</v>
      </c>
      <c r="C5100" s="21" t="s">
        <v>11683</v>
      </c>
      <c r="D5100" s="21" t="s">
        <v>163</v>
      </c>
      <c r="E5100" s="22" t="str">
        <f>HYPERLINK("https://twitter.com/PPanduprem/status/922474385365114880","922474385365114880")</f>
        <v>922474385365114880</v>
      </c>
      <c r="F5100" s="23" t="s">
        <v>33</v>
      </c>
      <c r="G5100" s="24">
        <v>143.0</v>
      </c>
      <c r="H5100" s="24">
        <v>482.0</v>
      </c>
      <c r="I5100" s="24">
        <v>1005.0</v>
      </c>
      <c r="J5100" s="24">
        <v>0.0</v>
      </c>
      <c r="K5100" s="23" t="s">
        <v>34</v>
      </c>
      <c r="L5100" s="25">
        <v>41994.23265046296</v>
      </c>
      <c r="M5100" s="28"/>
      <c r="N5100" s="28"/>
      <c r="O5100" s="22" t="str">
        <f>HYPERLINK("https://pbs.twimg.com/profile_images/679328981145903104/OuZk742D_normal.jpg","View")</f>
        <v>View</v>
      </c>
      <c r="P5100" s="27"/>
    </row>
    <row r="5101">
      <c r="A5101" s="14">
        <v>43031.32415509259</v>
      </c>
      <c r="B5101" s="20" t="str">
        <f>HYPERLINK("https://twitter.com/KnowVidLeaks","@KnowVidLeaks")</f>
        <v>@KnowVidLeaks</v>
      </c>
      <c r="C5101" s="21" t="s">
        <v>11684</v>
      </c>
      <c r="D5101" s="21" t="s">
        <v>11685</v>
      </c>
      <c r="E5101" s="22" t="str">
        <f>HYPERLINK("https://twitter.com/KnowVidLeaks/status/922474387714072576","922474387714072576")</f>
        <v>922474387714072576</v>
      </c>
      <c r="F5101" s="23" t="s">
        <v>11686</v>
      </c>
      <c r="G5101" s="24">
        <v>475.0</v>
      </c>
      <c r="H5101" s="24">
        <v>0.0</v>
      </c>
      <c r="I5101" s="24">
        <v>0.0</v>
      </c>
      <c r="J5101" s="24">
        <v>0.0</v>
      </c>
      <c r="K5101" s="23" t="s">
        <v>34</v>
      </c>
      <c r="L5101" s="25">
        <v>42775.428773148145</v>
      </c>
      <c r="M5101" s="28"/>
      <c r="N5101" s="26" t="s">
        <v>11687</v>
      </c>
      <c r="O5101" s="22" t="str">
        <f>HYPERLINK("https://pbs.twimg.com/profile_images/829855546073300992/rwlCFh_X_normal.jpg","View")</f>
        <v>View</v>
      </c>
      <c r="P5101" s="27"/>
    </row>
    <row r="5102">
      <c r="A5102" s="14">
        <v>43031.32420138889</v>
      </c>
      <c r="B5102" s="20" t="str">
        <f>HYPERLINK("https://twitter.com/NishantMehta97","@NishantMehta97")</f>
        <v>@NishantMehta97</v>
      </c>
      <c r="C5102" s="21" t="s">
        <v>11688</v>
      </c>
      <c r="D5102" s="21" t="s">
        <v>42</v>
      </c>
      <c r="E5102" s="22" t="str">
        <f>HYPERLINK("https://twitter.com/NishantMehta97/status/922474405791272961","922474405791272961")</f>
        <v>922474405791272961</v>
      </c>
      <c r="F5102" s="23" t="s">
        <v>33</v>
      </c>
      <c r="G5102" s="24">
        <v>514.0</v>
      </c>
      <c r="H5102" s="24">
        <v>1839.0</v>
      </c>
      <c r="I5102" s="24">
        <v>8501.0</v>
      </c>
      <c r="J5102" s="24">
        <v>0.0</v>
      </c>
      <c r="K5102" s="23" t="s">
        <v>34</v>
      </c>
      <c r="L5102" s="25">
        <v>41742.24010416667</v>
      </c>
      <c r="M5102" s="26" t="s">
        <v>11689</v>
      </c>
      <c r="N5102" s="26" t="s">
        <v>11690</v>
      </c>
      <c r="O5102" s="22" t="str">
        <f>HYPERLINK("https://pbs.twimg.com/profile_images/912559306385608704/1hcNEhYS_normal.jpg","View")</f>
        <v>View</v>
      </c>
      <c r="P5102" s="27"/>
    </row>
    <row r="5103">
      <c r="A5103" s="14">
        <v>43031.324270833335</v>
      </c>
      <c r="B5103" s="20" t="str">
        <f>HYPERLINK("https://twitter.com/ShuklaKumar1997","@ShuklaKumar1997")</f>
        <v>@ShuklaKumar1997</v>
      </c>
      <c r="C5103" s="21" t="s">
        <v>11691</v>
      </c>
      <c r="D5103" s="21" t="s">
        <v>42</v>
      </c>
      <c r="E5103" s="22" t="str">
        <f>HYPERLINK("https://twitter.com/ShuklaKumar1997/status/922474429786890246","922474429786890246")</f>
        <v>922474429786890246</v>
      </c>
      <c r="F5103" s="23" t="s">
        <v>43</v>
      </c>
      <c r="G5103" s="24">
        <v>18.0</v>
      </c>
      <c r="H5103" s="24">
        <v>276.0</v>
      </c>
      <c r="I5103" s="24">
        <v>8501.0</v>
      </c>
      <c r="J5103" s="24">
        <v>0.0</v>
      </c>
      <c r="K5103" s="23" t="s">
        <v>34</v>
      </c>
      <c r="L5103" s="25">
        <v>42209.017071759255</v>
      </c>
      <c r="M5103" s="26" t="s">
        <v>11692</v>
      </c>
      <c r="N5103" s="26" t="s">
        <v>11693</v>
      </c>
      <c r="O5103" s="22" t="str">
        <f>HYPERLINK("https://pbs.twimg.com/profile_images/919874897844645888/3r9qUVOU_normal.jpg","View")</f>
        <v>View</v>
      </c>
      <c r="P5103" s="27"/>
    </row>
    <row r="5104">
      <c r="A5104" s="14">
        <v>43031.32429398148</v>
      </c>
      <c r="B5104" s="20" t="str">
        <f>HYPERLINK("https://twitter.com/ssss070801","@ssss070801")</f>
        <v>@ssss070801</v>
      </c>
      <c r="C5104" s="21" t="s">
        <v>11694</v>
      </c>
      <c r="D5104" s="21" t="s">
        <v>42</v>
      </c>
      <c r="E5104" s="22" t="str">
        <f>HYPERLINK("https://twitter.com/ssss070801/status/922474436795629569","922474436795629569")</f>
        <v>922474436795629569</v>
      </c>
      <c r="F5104" s="23" t="s">
        <v>39</v>
      </c>
      <c r="G5104" s="24">
        <v>2.0</v>
      </c>
      <c r="H5104" s="24">
        <v>10.0</v>
      </c>
      <c r="I5104" s="24">
        <v>8501.0</v>
      </c>
      <c r="J5104" s="24">
        <v>0.0</v>
      </c>
      <c r="K5104" s="23" t="s">
        <v>34</v>
      </c>
      <c r="L5104" s="25">
        <v>42638.40689814815</v>
      </c>
      <c r="M5104" s="26" t="s">
        <v>204</v>
      </c>
      <c r="N5104" s="26" t="s">
        <v>11695</v>
      </c>
      <c r="O5104" s="22" t="str">
        <f>HYPERLINK("https://pbs.twimg.com/profile_images/802970047039893504/EtUt538a_normal.jpg","View")</f>
        <v>View</v>
      </c>
      <c r="P5104" s="27"/>
    </row>
    <row r="5105">
      <c r="A5105" s="14">
        <v>43031.32430555555</v>
      </c>
      <c r="B5105" s="20" t="str">
        <f>HYPERLINK("https://twitter.com/belalazhari","@belalazhari")</f>
        <v>@belalazhari</v>
      </c>
      <c r="C5105" s="21" t="s">
        <v>11696</v>
      </c>
      <c r="D5105" s="21" t="s">
        <v>42</v>
      </c>
      <c r="E5105" s="22" t="str">
        <f>HYPERLINK("https://twitter.com/belalazhari/status/922474440776073221","922474440776073221")</f>
        <v>922474440776073221</v>
      </c>
      <c r="F5105" s="23" t="s">
        <v>33</v>
      </c>
      <c r="G5105" s="24">
        <v>57.0</v>
      </c>
      <c r="H5105" s="24">
        <v>831.0</v>
      </c>
      <c r="I5105" s="24">
        <v>8501.0</v>
      </c>
      <c r="J5105" s="24">
        <v>0.0</v>
      </c>
      <c r="K5105" s="23" t="s">
        <v>34</v>
      </c>
      <c r="L5105" s="25">
        <v>40994.44961805556</v>
      </c>
      <c r="M5105" s="26" t="s">
        <v>204</v>
      </c>
      <c r="N5105" s="26" t="s">
        <v>11697</v>
      </c>
      <c r="O5105" s="22" t="str">
        <f>HYPERLINK("https://pbs.twimg.com/profile_images/922279121920475137/aeA8mjy2_normal.jpg","View")</f>
        <v>View</v>
      </c>
      <c r="P5105" s="27"/>
    </row>
    <row r="5106">
      <c r="A5106" s="14">
        <v>43031.324317129634</v>
      </c>
      <c r="B5106" s="20" t="str">
        <f>HYPERLINK("https://twitter.com/SHASHIK34462458","@SHASHIK34462458")</f>
        <v>@SHASHIK34462458</v>
      </c>
      <c r="C5106" s="21" t="s">
        <v>11698</v>
      </c>
      <c r="D5106" s="21" t="s">
        <v>42</v>
      </c>
      <c r="E5106" s="22" t="str">
        <f>HYPERLINK("https://twitter.com/SHASHIK34462458/status/922474447046549504","922474447046549504")</f>
        <v>922474447046549504</v>
      </c>
      <c r="F5106" s="23" t="s">
        <v>33</v>
      </c>
      <c r="G5106" s="24">
        <v>40.0</v>
      </c>
      <c r="H5106" s="24">
        <v>13.0</v>
      </c>
      <c r="I5106" s="24">
        <v>8501.0</v>
      </c>
      <c r="J5106" s="24">
        <v>0.0</v>
      </c>
      <c r="K5106" s="23" t="s">
        <v>34</v>
      </c>
      <c r="L5106" s="25">
        <v>42686.07373842593</v>
      </c>
      <c r="M5106" s="26" t="s">
        <v>4398</v>
      </c>
      <c r="N5106" s="26" t="s">
        <v>11699</v>
      </c>
      <c r="O5106" s="22" t="str">
        <f>HYPERLINK("https://pbs.twimg.com/profile_images/893422357083070464/7JWPSkCk_normal.jpg","View")</f>
        <v>View</v>
      </c>
      <c r="P5106" s="27"/>
    </row>
    <row r="5107">
      <c r="A5107" s="14">
        <v>43031.324328703704</v>
      </c>
      <c r="B5107" s="20" t="str">
        <f>HYPERLINK("https://twitter.com/SilasDuski","@SilasDuski")</f>
        <v>@SilasDuski</v>
      </c>
      <c r="C5107" s="21" t="s">
        <v>11700</v>
      </c>
      <c r="D5107" s="21" t="s">
        <v>10614</v>
      </c>
      <c r="E5107" s="22" t="str">
        <f>HYPERLINK("https://twitter.com/SilasDuski/status/922474450913845250","922474450913845250")</f>
        <v>922474450913845250</v>
      </c>
      <c r="F5107" s="23" t="s">
        <v>39</v>
      </c>
      <c r="G5107" s="24">
        <v>408.0</v>
      </c>
      <c r="H5107" s="24">
        <v>1470.0</v>
      </c>
      <c r="I5107" s="24">
        <v>159.0</v>
      </c>
      <c r="J5107" s="24">
        <v>0.0</v>
      </c>
      <c r="K5107" s="23" t="s">
        <v>34</v>
      </c>
      <c r="L5107" s="25">
        <v>42715.45199074074</v>
      </c>
      <c r="M5107" s="26" t="s">
        <v>11701</v>
      </c>
      <c r="N5107" s="26" t="s">
        <v>11702</v>
      </c>
      <c r="O5107" s="22" t="str">
        <f>HYPERLINK("https://pbs.twimg.com/profile_images/808023003896414208/eqiTvtTm_normal.jpg","View")</f>
        <v>View</v>
      </c>
      <c r="P5107" s="27"/>
    </row>
    <row r="5108">
      <c r="A5108" s="14">
        <v>43031.32450231482</v>
      </c>
      <c r="B5108" s="20" t="str">
        <f>HYPERLINK("https://twitter.com/ch_piyu","@ch_piyu")</f>
        <v>@ch_piyu</v>
      </c>
      <c r="C5108" s="21" t="s">
        <v>11703</v>
      </c>
      <c r="D5108" s="21" t="s">
        <v>42</v>
      </c>
      <c r="E5108" s="22" t="str">
        <f>HYPERLINK("https://twitter.com/ch_piyu/status/922474514859966464","922474514859966464")</f>
        <v>922474514859966464</v>
      </c>
      <c r="F5108" s="23" t="s">
        <v>33</v>
      </c>
      <c r="G5108" s="24">
        <v>141.0</v>
      </c>
      <c r="H5108" s="24">
        <v>95.0</v>
      </c>
      <c r="I5108" s="24">
        <v>8501.0</v>
      </c>
      <c r="J5108" s="24">
        <v>0.0</v>
      </c>
      <c r="K5108" s="23" t="s">
        <v>34</v>
      </c>
      <c r="L5108" s="25">
        <v>41721.50297453704</v>
      </c>
      <c r="M5108" s="28"/>
      <c r="N5108" s="26" t="s">
        <v>11704</v>
      </c>
      <c r="O5108" s="22" t="str">
        <f>HYPERLINK("https://pbs.twimg.com/profile_images/854289936824094720/6wG8wJhm_normal.jpg","View")</f>
        <v>View</v>
      </c>
      <c r="P5108" s="27"/>
    </row>
    <row r="5109">
      <c r="A5109" s="14">
        <v>43031.32460648148</v>
      </c>
      <c r="B5109" s="20" t="str">
        <f>HYPERLINK("https://twitter.com/Ajathasathru22","@Ajathasathru22")</f>
        <v>@Ajathasathru22</v>
      </c>
      <c r="C5109" s="21" t="s">
        <v>11705</v>
      </c>
      <c r="D5109" s="21" t="s">
        <v>163</v>
      </c>
      <c r="E5109" s="22" t="str">
        <f>HYPERLINK("https://twitter.com/Ajathasathru22/status/922474551300313088","922474551300313088")</f>
        <v>922474551300313088</v>
      </c>
      <c r="F5109" s="23" t="s">
        <v>39</v>
      </c>
      <c r="G5109" s="24">
        <v>27.0</v>
      </c>
      <c r="H5109" s="24">
        <v>98.0</v>
      </c>
      <c r="I5109" s="24">
        <v>1005.0</v>
      </c>
      <c r="J5109" s="24">
        <v>0.0</v>
      </c>
      <c r="K5109" s="23" t="s">
        <v>34</v>
      </c>
      <c r="L5109" s="25">
        <v>42878.510624999995</v>
      </c>
      <c r="M5109" s="28"/>
      <c r="N5109" s="26" t="s">
        <v>11706</v>
      </c>
      <c r="O5109" s="22" t="str">
        <f>HYPERLINK("https://abs.twimg.com/sticky/default_profile_images/default_profile_normal.png","View")</f>
        <v>View</v>
      </c>
      <c r="P5109" s="27"/>
    </row>
    <row r="5110">
      <c r="A5110" s="14">
        <v>43031.32467592593</v>
      </c>
      <c r="B5110" s="20" t="str">
        <f>HYPERLINK("https://twitter.com/vsantosh74","@vsantosh74")</f>
        <v>@vsantosh74</v>
      </c>
      <c r="C5110" s="21" t="s">
        <v>11707</v>
      </c>
      <c r="D5110" s="21" t="s">
        <v>42</v>
      </c>
      <c r="E5110" s="22" t="str">
        <f>HYPERLINK("https://twitter.com/vsantosh74/status/922474578592505856","922474578592505856")</f>
        <v>922474578592505856</v>
      </c>
      <c r="F5110" s="23" t="s">
        <v>33</v>
      </c>
      <c r="G5110" s="24">
        <v>28.0</v>
      </c>
      <c r="H5110" s="24">
        <v>85.0</v>
      </c>
      <c r="I5110" s="24">
        <v>8501.0</v>
      </c>
      <c r="J5110" s="24">
        <v>0.0</v>
      </c>
      <c r="K5110" s="23" t="s">
        <v>34</v>
      </c>
      <c r="L5110" s="25">
        <v>40189.91575231482</v>
      </c>
      <c r="M5110" s="26" t="s">
        <v>531</v>
      </c>
      <c r="N5110" s="28"/>
      <c r="O5110" s="22" t="str">
        <f>HYPERLINK("https://pbs.twimg.com/profile_images/795914090136928256/Xfisqw9T_normal.jpg","View")</f>
        <v>View</v>
      </c>
      <c r="P5110" s="27"/>
    </row>
    <row r="5111">
      <c r="A5111" s="14">
        <v>43031.324745370366</v>
      </c>
      <c r="B5111" s="20" t="str">
        <f>HYPERLINK("https://twitter.com/Chandra_bhs","@Chandra_bhs")</f>
        <v>@Chandra_bhs</v>
      </c>
      <c r="C5111" s="21" t="s">
        <v>11708</v>
      </c>
      <c r="D5111" s="21" t="s">
        <v>11595</v>
      </c>
      <c r="E5111" s="22" t="str">
        <f>HYPERLINK("https://twitter.com/Chandra_bhs/status/922474603674443776","922474603674443776")</f>
        <v>922474603674443776</v>
      </c>
      <c r="F5111" s="23" t="s">
        <v>33</v>
      </c>
      <c r="G5111" s="24">
        <v>1077.0</v>
      </c>
      <c r="H5111" s="24">
        <v>590.0</v>
      </c>
      <c r="I5111" s="24">
        <v>10.0</v>
      </c>
      <c r="J5111" s="24">
        <v>0.0</v>
      </c>
      <c r="K5111" s="23" t="s">
        <v>34</v>
      </c>
      <c r="L5111" s="25">
        <v>40974.47417824074</v>
      </c>
      <c r="M5111" s="26" t="s">
        <v>204</v>
      </c>
      <c r="N5111" s="26" t="s">
        <v>11709</v>
      </c>
      <c r="O5111" s="22" t="str">
        <f>HYPERLINK("https://pbs.twimg.com/profile_images/765640570941214720/nl8KhIem_normal.jpg","View")</f>
        <v>View</v>
      </c>
      <c r="P5111" s="27"/>
    </row>
    <row r="5112">
      <c r="A5112" s="14">
        <v>43031.32488425926</v>
      </c>
      <c r="B5112" s="20" t="str">
        <f>HYPERLINK("https://twitter.com/JudeJack","@JudeJack")</f>
        <v>@JudeJack</v>
      </c>
      <c r="C5112" s="21" t="s">
        <v>11710</v>
      </c>
      <c r="D5112" s="21" t="s">
        <v>6311</v>
      </c>
      <c r="E5112" s="22" t="str">
        <f>HYPERLINK("https://twitter.com/JudeJack/status/922474650902433792","922474650902433792")</f>
        <v>922474650902433792</v>
      </c>
      <c r="F5112" s="23" t="s">
        <v>230</v>
      </c>
      <c r="G5112" s="24">
        <v>1098.0</v>
      </c>
      <c r="H5112" s="24">
        <v>2717.0</v>
      </c>
      <c r="I5112" s="24">
        <v>4.0</v>
      </c>
      <c r="J5112" s="24">
        <v>0.0</v>
      </c>
      <c r="K5112" s="23" t="s">
        <v>34</v>
      </c>
      <c r="L5112" s="25">
        <v>39865.28393518519</v>
      </c>
      <c r="M5112" s="26" t="s">
        <v>4746</v>
      </c>
      <c r="N5112" s="26" t="s">
        <v>11711</v>
      </c>
      <c r="O5112" s="22" t="str">
        <f>HYPERLINK("https://pbs.twimg.com/profile_images/830394184238497792/OGfJcQna_normal.jpg","View")</f>
        <v>View</v>
      </c>
      <c r="P5112" s="27"/>
    </row>
    <row r="5113">
      <c r="A5113" s="14">
        <v>43031.32493055555</v>
      </c>
      <c r="B5113" s="20" t="str">
        <f>HYPERLINK("https://twitter.com/das_prashant777","@das_prashant777")</f>
        <v>@das_prashant777</v>
      </c>
      <c r="C5113" s="21" t="s">
        <v>11712</v>
      </c>
      <c r="D5113" s="21" t="s">
        <v>42</v>
      </c>
      <c r="E5113" s="22" t="str">
        <f>HYPERLINK("https://twitter.com/das_prashant777/status/922474667528433666","922474667528433666")</f>
        <v>922474667528433666</v>
      </c>
      <c r="F5113" s="23" t="s">
        <v>33</v>
      </c>
      <c r="G5113" s="24">
        <v>2572.0</v>
      </c>
      <c r="H5113" s="24">
        <v>1092.0</v>
      </c>
      <c r="I5113" s="24">
        <v>8501.0</v>
      </c>
      <c r="J5113" s="24">
        <v>0.0</v>
      </c>
      <c r="K5113" s="23" t="s">
        <v>34</v>
      </c>
      <c r="L5113" s="25">
        <v>41283.892534722225</v>
      </c>
      <c r="M5113" s="26" t="s">
        <v>11713</v>
      </c>
      <c r="N5113" s="26" t="s">
        <v>11714</v>
      </c>
      <c r="O5113" s="22" t="str">
        <f>HYPERLINK("https://pbs.twimg.com/profile_images/876072436206157824/kA2pB_6N_normal.jpg","View")</f>
        <v>View</v>
      </c>
      <c r="P5113" s="27"/>
    </row>
    <row r="5114">
      <c r="A5114" s="14">
        <v>43031.32493055555</v>
      </c>
      <c r="B5114" s="20" t="str">
        <f>HYPERLINK("https://twitter.com/yomctac","@yomctac")</f>
        <v>@yomctac</v>
      </c>
      <c r="C5114" s="21" t="s">
        <v>11715</v>
      </c>
      <c r="D5114" s="21" t="s">
        <v>6798</v>
      </c>
      <c r="E5114" s="22" t="str">
        <f>HYPERLINK("https://twitter.com/yomctac/status/922474668401012742","922474668401012742")</f>
        <v>922474668401012742</v>
      </c>
      <c r="F5114" s="23" t="s">
        <v>39</v>
      </c>
      <c r="G5114" s="24">
        <v>109.0</v>
      </c>
      <c r="H5114" s="24">
        <v>272.0</v>
      </c>
      <c r="I5114" s="24">
        <v>7.0</v>
      </c>
      <c r="J5114" s="24">
        <v>0.0</v>
      </c>
      <c r="K5114" s="23" t="s">
        <v>34</v>
      </c>
      <c r="L5114" s="25">
        <v>40856.72174768519</v>
      </c>
      <c r="M5114" s="28"/>
      <c r="N5114" s="28"/>
      <c r="O5114" s="22" t="str">
        <f>HYPERLINK("https://pbs.twimg.com/profile_images/787786449412169729/89SDbtrP_normal.jpg","View")</f>
        <v>View</v>
      </c>
      <c r="P5114" s="27"/>
    </row>
    <row r="5115">
      <c r="A5115" s="14">
        <v>43031.325219907405</v>
      </c>
      <c r="B5115" s="20" t="str">
        <f>HYPERLINK("https://twitter.com/hangeki_mizuki2","@hangeki_mizuki2")</f>
        <v>@hangeki_mizuki2</v>
      </c>
      <c r="C5115" s="21" t="s">
        <v>11716</v>
      </c>
      <c r="D5115" s="21" t="s">
        <v>11717</v>
      </c>
      <c r="E5115" s="22" t="str">
        <f>HYPERLINK("https://twitter.com/hangeki_mizuki2/status/922474775825575936","922474775825575936")</f>
        <v>922474775825575936</v>
      </c>
      <c r="F5115" s="23" t="s">
        <v>187</v>
      </c>
      <c r="G5115" s="24">
        <v>1671.0</v>
      </c>
      <c r="H5115" s="24">
        <v>1838.0</v>
      </c>
      <c r="I5115" s="24">
        <v>0.0</v>
      </c>
      <c r="J5115" s="24">
        <v>0.0</v>
      </c>
      <c r="K5115" s="23" t="s">
        <v>34</v>
      </c>
      <c r="L5115" s="25">
        <v>42859.40237268519</v>
      </c>
      <c r="M5115" s="28"/>
      <c r="N5115" s="26" t="s">
        <v>11718</v>
      </c>
      <c r="O5115" s="22" t="str">
        <f>HYPERLINK("https://pbs.twimg.com/profile_images/867697978206826499/scNJZkD0_normal.jpg","View")</f>
        <v>View</v>
      </c>
      <c r="P5115" s="27"/>
    </row>
    <row r="5116">
      <c r="A5116" s="14">
        <v>43031.32527777778</v>
      </c>
      <c r="B5116" s="20" t="str">
        <f>HYPERLINK("https://twitter.com/DesaiMhesh6677","@DesaiMhesh6677")</f>
        <v>@DesaiMhesh6677</v>
      </c>
      <c r="C5116" s="21" t="s">
        <v>11719</v>
      </c>
      <c r="D5116" s="21" t="s">
        <v>42</v>
      </c>
      <c r="E5116" s="22" t="str">
        <f>HYPERLINK("https://twitter.com/DesaiMhesh6677/status/922474793307217920","922474793307217920")</f>
        <v>922474793307217920</v>
      </c>
      <c r="F5116" s="23" t="s">
        <v>33</v>
      </c>
      <c r="G5116" s="24">
        <v>4.0</v>
      </c>
      <c r="H5116" s="24">
        <v>49.0</v>
      </c>
      <c r="I5116" s="24">
        <v>8501.0</v>
      </c>
      <c r="J5116" s="24">
        <v>0.0</v>
      </c>
      <c r="K5116" s="23" t="s">
        <v>34</v>
      </c>
      <c r="L5116" s="25">
        <v>43031.31688657407</v>
      </c>
      <c r="M5116" s="26" t="s">
        <v>1354</v>
      </c>
      <c r="N5116" s="26" t="s">
        <v>6878</v>
      </c>
      <c r="O5116" s="22" t="str">
        <f>HYPERLINK("https://pbs.twimg.com/profile_images/922476523768094720/dEyYCdAM_normal.jpg","View")</f>
        <v>View</v>
      </c>
      <c r="P5116" s="27"/>
    </row>
    <row r="5117">
      <c r="A5117" s="14">
        <v>43031.32527777778</v>
      </c>
      <c r="B5117" s="20" t="str">
        <f>HYPERLINK("https://twitter.com/ashishoutlook","@ashishoutlook")</f>
        <v>@ashishoutlook</v>
      </c>
      <c r="C5117" s="21" t="s">
        <v>11720</v>
      </c>
      <c r="D5117" s="21" t="s">
        <v>42</v>
      </c>
      <c r="E5117" s="22" t="str">
        <f>HYPERLINK("https://twitter.com/ashishoutlook/status/922474795307999232","922474795307999232")</f>
        <v>922474795307999232</v>
      </c>
      <c r="F5117" s="23" t="s">
        <v>33</v>
      </c>
      <c r="G5117" s="24">
        <v>349.0</v>
      </c>
      <c r="H5117" s="24">
        <v>153.0</v>
      </c>
      <c r="I5117" s="24">
        <v>8501.0</v>
      </c>
      <c r="J5117" s="24">
        <v>0.0</v>
      </c>
      <c r="K5117" s="23" t="s">
        <v>34</v>
      </c>
      <c r="L5117" s="25">
        <v>41511.418171296296</v>
      </c>
      <c r="M5117" s="28"/>
      <c r="N5117" s="26" t="s">
        <v>11721</v>
      </c>
      <c r="O5117" s="22" t="str">
        <f>HYPERLINK("https://pbs.twimg.com/profile_images/417905724958969856/UyMi_4oW_normal.jpeg","View")</f>
        <v>View</v>
      </c>
      <c r="P5117" s="27"/>
    </row>
    <row r="5118">
      <c r="A5118" s="14">
        <v>43031.32545138889</v>
      </c>
      <c r="B5118" s="20" t="str">
        <f>HYPERLINK("https://twitter.com/bluebirdtrini","@bluebirdtrini")</f>
        <v>@bluebirdtrini</v>
      </c>
      <c r="C5118" s="21" t="s">
        <v>11722</v>
      </c>
      <c r="D5118" s="21" t="s">
        <v>11723</v>
      </c>
      <c r="E5118" s="22" t="str">
        <f>HYPERLINK("https://twitter.com/bluebirdtrini/status/922474855764721666","922474855764721666")</f>
        <v>922474855764721666</v>
      </c>
      <c r="F5118" s="23" t="s">
        <v>55</v>
      </c>
      <c r="G5118" s="24">
        <v>412.0</v>
      </c>
      <c r="H5118" s="24">
        <v>1051.0</v>
      </c>
      <c r="I5118" s="24">
        <v>0.0</v>
      </c>
      <c r="J5118" s="24">
        <v>0.0</v>
      </c>
      <c r="K5118" s="23" t="s">
        <v>34</v>
      </c>
      <c r="L5118" s="25">
        <v>40475.62746527778</v>
      </c>
      <c r="M5118" s="26" t="s">
        <v>11724</v>
      </c>
      <c r="N5118" s="26" t="s">
        <v>11725</v>
      </c>
      <c r="O5118" s="22" t="str">
        <f>HYPERLINK("https://pbs.twimg.com/profile_images/879733500773113856/Zywm_1I5_normal.jpg","View")</f>
        <v>View</v>
      </c>
      <c r="P5118" s="27"/>
    </row>
    <row r="5119">
      <c r="A5119" s="14">
        <v>43031.325787037036</v>
      </c>
      <c r="B5119" s="20" t="str">
        <f>HYPERLINK("https://twitter.com/awesome_spark","@awesome_spark")</f>
        <v>@awesome_spark</v>
      </c>
      <c r="C5119" s="21" t="s">
        <v>7521</v>
      </c>
      <c r="D5119" s="21" t="s">
        <v>11726</v>
      </c>
      <c r="E5119" s="22" t="str">
        <f>HYPERLINK("https://twitter.com/awesome_spark/status/922474977798082560","922474977798082560")</f>
        <v>922474977798082560</v>
      </c>
      <c r="F5119" s="23" t="s">
        <v>7523</v>
      </c>
      <c r="G5119" s="24">
        <v>1096.0</v>
      </c>
      <c r="H5119" s="24">
        <v>851.0</v>
      </c>
      <c r="I5119" s="24">
        <v>0.0</v>
      </c>
      <c r="J5119" s="24">
        <v>0.0</v>
      </c>
      <c r="K5119" s="23" t="s">
        <v>34</v>
      </c>
      <c r="L5119" s="25">
        <v>41076.38034722222</v>
      </c>
      <c r="M5119" s="26" t="s">
        <v>7524</v>
      </c>
      <c r="N5119" s="26" t="s">
        <v>7525</v>
      </c>
      <c r="O5119" s="22" t="str">
        <f>HYPERLINK("https://pbs.twimg.com/profile_images/886646754812284930/UjBJFZwX_normal.jpg","View")</f>
        <v>View</v>
      </c>
      <c r="P5119" s="27"/>
    </row>
    <row r="5120">
      <c r="A5120" s="14">
        <v>43031.325787037036</v>
      </c>
      <c r="B5120" s="20" t="str">
        <f>HYPERLINK("https://twitter.com/softwarehype","@softwarehype")</f>
        <v>@softwarehype</v>
      </c>
      <c r="C5120" s="21" t="s">
        <v>7518</v>
      </c>
      <c r="D5120" s="21" t="s">
        <v>11727</v>
      </c>
      <c r="E5120" s="22" t="str">
        <f>HYPERLINK("https://twitter.com/softwarehype/status/922474981295919104","922474981295919104")</f>
        <v>922474981295919104</v>
      </c>
      <c r="F5120" s="23" t="s">
        <v>48</v>
      </c>
      <c r="G5120" s="24">
        <v>448.0</v>
      </c>
      <c r="H5120" s="24">
        <v>590.0</v>
      </c>
      <c r="I5120" s="24">
        <v>0.0</v>
      </c>
      <c r="J5120" s="24">
        <v>0.0</v>
      </c>
      <c r="K5120" s="23" t="s">
        <v>34</v>
      </c>
      <c r="L5120" s="25">
        <v>40156.45649305556</v>
      </c>
      <c r="M5120" s="26" t="s">
        <v>905</v>
      </c>
      <c r="N5120" s="26" t="s">
        <v>7520</v>
      </c>
      <c r="O5120" s="22" t="str">
        <f>HYPERLINK("https://pbs.twimg.com/profile_images/580036188712669184/3dRpUijw_normal.png","View")</f>
        <v>View</v>
      </c>
      <c r="P5120" s="27"/>
    </row>
    <row r="5121">
      <c r="A5121" s="14">
        <v>43031.32579861111</v>
      </c>
      <c r="B5121" s="20" t="str">
        <f>HYPERLINK("https://twitter.com/HT107642","@HT107642")</f>
        <v>@HT107642</v>
      </c>
      <c r="C5121" s="21" t="s">
        <v>3880</v>
      </c>
      <c r="D5121" s="21" t="s">
        <v>11595</v>
      </c>
      <c r="E5121" s="22" t="str">
        <f>HYPERLINK("https://twitter.com/HT107642/status/922474983506325509","922474983506325509")</f>
        <v>922474983506325509</v>
      </c>
      <c r="F5121" s="23" t="s">
        <v>33</v>
      </c>
      <c r="G5121" s="24">
        <v>1785.0</v>
      </c>
      <c r="H5121" s="24">
        <v>2393.0</v>
      </c>
      <c r="I5121" s="24">
        <v>10.0</v>
      </c>
      <c r="J5121" s="24">
        <v>0.0</v>
      </c>
      <c r="K5121" s="23" t="s">
        <v>34</v>
      </c>
      <c r="L5121" s="25">
        <v>42384.156331018516</v>
      </c>
      <c r="M5121" s="28"/>
      <c r="N5121" s="28"/>
      <c r="O5121" s="22" t="str">
        <f>HYPERLINK("https://pbs.twimg.com/profile_images/687965148967915520/v0Wg9mP4_normal.jpg","View")</f>
        <v>View</v>
      </c>
      <c r="P5121" s="27"/>
    </row>
    <row r="5122">
      <c r="A5122" s="14">
        <v>43031.32601851852</v>
      </c>
      <c r="B5122" s="20" t="str">
        <f>HYPERLINK("https://twitter.com/ChipPWSmith","@ChipPWSmith")</f>
        <v>@ChipPWSmith</v>
      </c>
      <c r="C5122" s="21" t="s">
        <v>11728</v>
      </c>
      <c r="D5122" s="21" t="s">
        <v>10614</v>
      </c>
      <c r="E5122" s="22" t="str">
        <f>HYPERLINK("https://twitter.com/ChipPWSmith/status/922475063227703296","922475063227703296")</f>
        <v>922475063227703296</v>
      </c>
      <c r="F5122" s="23" t="s">
        <v>55</v>
      </c>
      <c r="G5122" s="24">
        <v>319.0</v>
      </c>
      <c r="H5122" s="24">
        <v>230.0</v>
      </c>
      <c r="I5122" s="24">
        <v>159.0</v>
      </c>
      <c r="J5122" s="24">
        <v>0.0</v>
      </c>
      <c r="K5122" s="23" t="s">
        <v>34</v>
      </c>
      <c r="L5122" s="25">
        <v>42033.463842592595</v>
      </c>
      <c r="M5122" s="26" t="s">
        <v>11729</v>
      </c>
      <c r="N5122" s="26" t="s">
        <v>11730</v>
      </c>
      <c r="O5122" s="22" t="str">
        <f>HYPERLINK("https://pbs.twimg.com/profile_images/894327561349722112/ILU4LBwp_normal.jpg","View")</f>
        <v>View</v>
      </c>
      <c r="P5122" s="27"/>
    </row>
    <row r="5123">
      <c r="A5123" s="14">
        <v>43031.3262962963</v>
      </c>
      <c r="B5123" s="20" t="str">
        <f>HYPERLINK("https://twitter.com/KSSTEWART5","@KSSTEWART5")</f>
        <v>@KSSTEWART5</v>
      </c>
      <c r="C5123" s="21" t="s">
        <v>11731</v>
      </c>
      <c r="D5123" s="21" t="s">
        <v>10614</v>
      </c>
      <c r="E5123" s="22" t="str">
        <f>HYPERLINK("https://twitter.com/KSSTEWART5/status/922475164125691907","922475164125691907")</f>
        <v>922475164125691907</v>
      </c>
      <c r="F5123" s="23" t="s">
        <v>33</v>
      </c>
      <c r="G5123" s="24">
        <v>142.0</v>
      </c>
      <c r="H5123" s="24">
        <v>49.0</v>
      </c>
      <c r="I5123" s="24">
        <v>159.0</v>
      </c>
      <c r="J5123" s="24">
        <v>0.0</v>
      </c>
      <c r="K5123" s="23" t="s">
        <v>34</v>
      </c>
      <c r="L5123" s="25">
        <v>42984.057870370365</v>
      </c>
      <c r="M5123" s="26" t="s">
        <v>575</v>
      </c>
      <c r="N5123" s="28"/>
      <c r="O5123" s="22" t="str">
        <f>HYPERLINK("https://pbs.twimg.com/profile_images/906053477347893250/cV8TO_vs_normal.jpg","View")</f>
        <v>View</v>
      </c>
      <c r="P5123" s="27"/>
    </row>
    <row r="5124">
      <c r="A5124" s="14">
        <v>43031.32655092592</v>
      </c>
      <c r="B5124" s="20" t="str">
        <f>HYPERLINK("https://twitter.com/JasonRobinsonCP","@JasonRobinsonCP")</f>
        <v>@JasonRobinsonCP</v>
      </c>
      <c r="C5124" s="21" t="s">
        <v>11732</v>
      </c>
      <c r="D5124" s="21" t="s">
        <v>11733</v>
      </c>
      <c r="E5124" s="22" t="str">
        <f>HYPERLINK("https://twitter.com/JasonRobinsonCP/status/922475256555757568","922475256555757568")</f>
        <v>922475256555757568</v>
      </c>
      <c r="F5124" s="23" t="s">
        <v>33</v>
      </c>
      <c r="G5124" s="24">
        <v>8.0</v>
      </c>
      <c r="H5124" s="24">
        <v>42.0</v>
      </c>
      <c r="I5124" s="24">
        <v>0.0</v>
      </c>
      <c r="J5124" s="24">
        <v>0.0</v>
      </c>
      <c r="K5124" s="23" t="s">
        <v>34</v>
      </c>
      <c r="L5124" s="25">
        <v>42321.59148148148</v>
      </c>
      <c r="M5124" s="26" t="s">
        <v>11734</v>
      </c>
      <c r="N5124" s="26" t="s">
        <v>11735</v>
      </c>
      <c r="O5124" s="22" t="str">
        <f>HYPERLINK("https://pbs.twimg.com/profile_images/914476752696676352/3d73Eldw_normal.jpg","View")</f>
        <v>View</v>
      </c>
      <c r="P5124" s="27"/>
    </row>
    <row r="5125">
      <c r="A5125" s="14">
        <v>43031.326689814814</v>
      </c>
      <c r="B5125" s="20" t="str">
        <f>HYPERLINK("https://twitter.com/Mark3Ds","@Mark3Ds")</f>
        <v>@Mark3Ds</v>
      </c>
      <c r="C5125" s="21" t="s">
        <v>11736</v>
      </c>
      <c r="D5125" s="21" t="s">
        <v>11737</v>
      </c>
      <c r="E5125" s="22" t="str">
        <f>HYPERLINK("https://twitter.com/Mark3Ds/status/922475306044346368","922475306044346368")</f>
        <v>922475306044346368</v>
      </c>
      <c r="F5125" s="23" t="s">
        <v>55</v>
      </c>
      <c r="G5125" s="24">
        <v>1055.0</v>
      </c>
      <c r="H5125" s="24">
        <v>105.0</v>
      </c>
      <c r="I5125" s="24">
        <v>0.0</v>
      </c>
      <c r="J5125" s="24">
        <v>0.0</v>
      </c>
      <c r="K5125" s="23" t="s">
        <v>34</v>
      </c>
      <c r="L5125" s="25">
        <v>41337.71623842593</v>
      </c>
      <c r="M5125" s="26" t="s">
        <v>11738</v>
      </c>
      <c r="N5125" s="26" t="s">
        <v>11739</v>
      </c>
      <c r="O5125" s="22" t="str">
        <f>HYPERLINK("https://pbs.twimg.com/profile_images/3610373060/70f7c3166b8a323771ca3cae6f33d00b_normal.png","View")</f>
        <v>View</v>
      </c>
      <c r="P5125" s="27"/>
    </row>
    <row r="5126">
      <c r="A5126" s="14">
        <v>43031.32675925926</v>
      </c>
      <c r="B5126" s="20" t="str">
        <f>HYPERLINK("https://twitter.com/AnjooSrivastava","@AnjooSrivastava")</f>
        <v>@AnjooSrivastava</v>
      </c>
      <c r="C5126" s="21" t="s">
        <v>11740</v>
      </c>
      <c r="D5126" s="21" t="s">
        <v>42</v>
      </c>
      <c r="E5126" s="22" t="str">
        <f>HYPERLINK("https://twitter.com/AnjooSrivastava/status/922475331390459904","922475331390459904")</f>
        <v>922475331390459904</v>
      </c>
      <c r="F5126" s="23" t="s">
        <v>33</v>
      </c>
      <c r="G5126" s="24">
        <v>53.0</v>
      </c>
      <c r="H5126" s="24">
        <v>4.0</v>
      </c>
      <c r="I5126" s="24">
        <v>8501.0</v>
      </c>
      <c r="J5126" s="24">
        <v>0.0</v>
      </c>
      <c r="K5126" s="23" t="s">
        <v>34</v>
      </c>
      <c r="L5126" s="25">
        <v>42938.28528935185</v>
      </c>
      <c r="M5126" s="26" t="s">
        <v>11741</v>
      </c>
      <c r="N5126" s="26" t="s">
        <v>11742</v>
      </c>
      <c r="O5126" s="22" t="str">
        <f>HYPERLINK("https://pbs.twimg.com/profile_images/912588458002087938/yvrh4859_normal.jpg","View")</f>
        <v>View</v>
      </c>
      <c r="P5126" s="27"/>
    </row>
    <row r="5127">
      <c r="A5127" s="14">
        <v>43031.32679398148</v>
      </c>
      <c r="B5127" s="20" t="str">
        <f>HYPERLINK("https://twitter.com/CanadianPM","@CanadianPM")</f>
        <v>@CanadianPM</v>
      </c>
      <c r="C5127" s="21" t="s">
        <v>11743</v>
      </c>
      <c r="D5127" s="21" t="s">
        <v>11744</v>
      </c>
      <c r="E5127" s="22" t="str">
        <f>HYPERLINK("https://twitter.com/CanadianPM/status/922475344002736131","922475344002736131")</f>
        <v>922475344002736131</v>
      </c>
      <c r="F5127" s="23" t="s">
        <v>427</v>
      </c>
      <c r="G5127" s="24">
        <v>123431.0</v>
      </c>
      <c r="H5127" s="24">
        <v>1071.0</v>
      </c>
      <c r="I5127" s="24">
        <v>35.0</v>
      </c>
      <c r="J5127" s="24">
        <v>67.0</v>
      </c>
      <c r="K5127" s="23" t="s">
        <v>34</v>
      </c>
      <c r="L5127" s="25">
        <v>39577.309328703705</v>
      </c>
      <c r="M5127" s="26" t="s">
        <v>2932</v>
      </c>
      <c r="N5127" s="26" t="s">
        <v>11745</v>
      </c>
      <c r="O5127" s="22" t="str">
        <f>HYPERLINK("https://pbs.twimg.com/profile_images/877227485724909568/U3Pxb5h1_normal.jpg","View")</f>
        <v>View</v>
      </c>
      <c r="P5127" s="27"/>
    </row>
    <row r="5128">
      <c r="A5128" s="14">
        <v>43031.326840277776</v>
      </c>
      <c r="B5128" s="20" t="str">
        <f>HYPERLINK("https://twitter.com/RobinKwong","@RobinKwong")</f>
        <v>@RobinKwong</v>
      </c>
      <c r="C5128" s="21" t="s">
        <v>11746</v>
      </c>
      <c r="D5128" s="21" t="s">
        <v>11747</v>
      </c>
      <c r="E5128" s="22" t="str">
        <f>HYPERLINK("https://twitter.com/RobinKwong/status/922475359978905601","922475359978905601")</f>
        <v>922475359978905601</v>
      </c>
      <c r="F5128" s="23" t="s">
        <v>39</v>
      </c>
      <c r="G5128" s="24">
        <v>3686.0</v>
      </c>
      <c r="H5128" s="24">
        <v>2819.0</v>
      </c>
      <c r="I5128" s="24">
        <v>6.0</v>
      </c>
      <c r="J5128" s="24">
        <v>0.0</v>
      </c>
      <c r="K5128" s="23" t="s">
        <v>34</v>
      </c>
      <c r="L5128" s="25">
        <v>41086.312430555554</v>
      </c>
      <c r="M5128" s="26" t="s">
        <v>334</v>
      </c>
      <c r="N5128" s="26" t="s">
        <v>11748</v>
      </c>
      <c r="O5128" s="22" t="str">
        <f>HYPERLINK("https://pbs.twimg.com/profile_images/573132358301323265/HgnIcpfF_normal.jpeg","View")</f>
        <v>View</v>
      </c>
      <c r="P5128" s="27"/>
    </row>
    <row r="5129">
      <c r="A5129" s="14">
        <v>43031.326932870375</v>
      </c>
      <c r="B5129" s="20" t="str">
        <f>HYPERLINK("https://twitter.com/Anglaigus","@Anglaigus")</f>
        <v>@Anglaigus</v>
      </c>
      <c r="C5129" s="21" t="s">
        <v>11749</v>
      </c>
      <c r="D5129" s="21" t="s">
        <v>11750</v>
      </c>
      <c r="E5129" s="22" t="str">
        <f>HYPERLINK("https://twitter.com/Anglaigus/status/922475393420025856","922475393420025856")</f>
        <v>922475393420025856</v>
      </c>
      <c r="F5129" s="23" t="s">
        <v>769</v>
      </c>
      <c r="G5129" s="24">
        <v>624.0</v>
      </c>
      <c r="H5129" s="24">
        <v>1905.0</v>
      </c>
      <c r="I5129" s="24">
        <v>35.0</v>
      </c>
      <c r="J5129" s="24">
        <v>0.0</v>
      </c>
      <c r="K5129" s="23" t="s">
        <v>34</v>
      </c>
      <c r="L5129" s="25">
        <v>40300.01998842593</v>
      </c>
      <c r="M5129" s="26" t="s">
        <v>11751</v>
      </c>
      <c r="N5129" s="26" t="s">
        <v>11752</v>
      </c>
      <c r="O5129" s="22" t="str">
        <f>HYPERLINK("https://pbs.twimg.com/profile_images/819347599505428480/K1j6FFRu_normal.jpg","View")</f>
        <v>View</v>
      </c>
      <c r="P5129" s="27"/>
    </row>
    <row r="5130">
      <c r="A5130" s="14">
        <v>43031.32696759259</v>
      </c>
      <c r="B5130" s="20" t="str">
        <f>HYPERLINK("https://twitter.com/rumi_aries","@rumi_aries")</f>
        <v>@rumi_aries</v>
      </c>
      <c r="C5130" s="21" t="s">
        <v>11753</v>
      </c>
      <c r="D5130" s="21" t="s">
        <v>10614</v>
      </c>
      <c r="E5130" s="22" t="str">
        <f>HYPERLINK("https://twitter.com/rumi_aries/status/922475408536117248","922475408536117248")</f>
        <v>922475408536117248</v>
      </c>
      <c r="F5130" s="23" t="s">
        <v>75</v>
      </c>
      <c r="G5130" s="24">
        <v>103.0</v>
      </c>
      <c r="H5130" s="24">
        <v>202.0</v>
      </c>
      <c r="I5130" s="24">
        <v>159.0</v>
      </c>
      <c r="J5130" s="24">
        <v>0.0</v>
      </c>
      <c r="K5130" s="23" t="s">
        <v>34</v>
      </c>
      <c r="L5130" s="25">
        <v>41011.036458333336</v>
      </c>
      <c r="M5130" s="26" t="s">
        <v>271</v>
      </c>
      <c r="N5130" s="26" t="s">
        <v>11754</v>
      </c>
      <c r="O5130" s="22" t="str">
        <f>HYPERLINK("https://pbs.twimg.com/profile_images/2100429135/DSCF0436_normal.JPG","View")</f>
        <v>View</v>
      </c>
      <c r="P5130" s="27"/>
    </row>
    <row r="5131">
      <c r="A5131" s="14">
        <v>43031.32707175926</v>
      </c>
      <c r="B5131" s="20" t="str">
        <f>HYPERLINK("https://twitter.com/kishannagadiya1","@kishannagadiya1")</f>
        <v>@kishannagadiya1</v>
      </c>
      <c r="C5131" s="21" t="s">
        <v>11755</v>
      </c>
      <c r="D5131" s="21" t="s">
        <v>42</v>
      </c>
      <c r="E5131" s="22" t="str">
        <f>HYPERLINK("https://twitter.com/kishannagadiya1/status/922475446800859137","922475446800859137")</f>
        <v>922475446800859137</v>
      </c>
      <c r="F5131" s="23" t="s">
        <v>33</v>
      </c>
      <c r="G5131" s="24">
        <v>209.0</v>
      </c>
      <c r="H5131" s="24">
        <v>125.0</v>
      </c>
      <c r="I5131" s="24">
        <v>8501.0</v>
      </c>
      <c r="J5131" s="24">
        <v>0.0</v>
      </c>
      <c r="K5131" s="23" t="s">
        <v>34</v>
      </c>
      <c r="L5131" s="25">
        <v>41735.20039351852</v>
      </c>
      <c r="M5131" s="26" t="s">
        <v>11756</v>
      </c>
      <c r="N5131" s="26" t="s">
        <v>11757</v>
      </c>
      <c r="O5131" s="22" t="str">
        <f>HYPERLINK("https://pbs.twimg.com/profile_images/908998155726761985/tcWXroW2_normal.jpg","View")</f>
        <v>View</v>
      </c>
      <c r="P5131" s="27"/>
    </row>
    <row r="5132">
      <c r="A5132" s="14">
        <v>43031.327106481476</v>
      </c>
      <c r="B5132" s="20" t="str">
        <f>HYPERLINK("https://twitter.com/RobertJMolnar","@RobertJMolnar")</f>
        <v>@RobertJMolnar</v>
      </c>
      <c r="C5132" s="21" t="s">
        <v>11758</v>
      </c>
      <c r="D5132" s="21" t="s">
        <v>11759</v>
      </c>
      <c r="E5132" s="22" t="str">
        <f>HYPERLINK("https://twitter.com/RobertJMolnar/status/922475457005498370","922475457005498370")</f>
        <v>922475457005498370</v>
      </c>
      <c r="F5132" s="23" t="s">
        <v>55</v>
      </c>
      <c r="G5132" s="24">
        <v>1216.0</v>
      </c>
      <c r="H5132" s="24">
        <v>835.0</v>
      </c>
      <c r="I5132" s="24">
        <v>0.0</v>
      </c>
      <c r="J5132" s="24">
        <v>0.0</v>
      </c>
      <c r="K5132" s="23" t="s">
        <v>34</v>
      </c>
      <c r="L5132" s="25">
        <v>40492.34983796296</v>
      </c>
      <c r="M5132" s="26" t="s">
        <v>11760</v>
      </c>
      <c r="N5132" s="26" t="s">
        <v>11761</v>
      </c>
      <c r="O5132" s="22" t="str">
        <f>HYPERLINK("https://pbs.twimg.com/profile_images/922272383641063424/2I_xwX8C_normal.jpg","View")</f>
        <v>View</v>
      </c>
      <c r="P5132" s="27"/>
    </row>
    <row r="5133">
      <c r="A5133" s="14">
        <v>43031.3271412037</v>
      </c>
      <c r="B5133" s="20" t="str">
        <f>HYPERLINK("https://twitter.com/viswadhar2","@viswadhar2")</f>
        <v>@viswadhar2</v>
      </c>
      <c r="C5133" s="21" t="s">
        <v>11762</v>
      </c>
      <c r="D5133" s="21" t="s">
        <v>42</v>
      </c>
      <c r="E5133" s="22" t="str">
        <f>HYPERLINK("https://twitter.com/viswadhar2/status/922475469550653440","922475469550653440")</f>
        <v>922475469550653440</v>
      </c>
      <c r="F5133" s="23" t="s">
        <v>33</v>
      </c>
      <c r="G5133" s="24">
        <v>9.0</v>
      </c>
      <c r="H5133" s="24">
        <v>121.0</v>
      </c>
      <c r="I5133" s="24">
        <v>8501.0</v>
      </c>
      <c r="J5133" s="24">
        <v>0.0</v>
      </c>
      <c r="K5133" s="23" t="s">
        <v>34</v>
      </c>
      <c r="L5133" s="25">
        <v>42584.416851851856</v>
      </c>
      <c r="M5133" s="28"/>
      <c r="N5133" s="28"/>
      <c r="O5133" s="22" t="str">
        <f>HYPERLINK("https://abs.twimg.com/sticky/default_profile_images/default_profile_normal.png","View")</f>
        <v>View</v>
      </c>
      <c r="P5133" s="27"/>
    </row>
    <row r="5134">
      <c r="A5134" s="14">
        <v>43031.3271412037</v>
      </c>
      <c r="B5134" s="20" t="str">
        <f>HYPERLINK("https://twitter.com/BJPITPALAMURU","@BJPITPALAMURU")</f>
        <v>@BJPITPALAMURU</v>
      </c>
      <c r="C5134" s="21" t="s">
        <v>11763</v>
      </c>
      <c r="D5134" s="21" t="s">
        <v>42</v>
      </c>
      <c r="E5134" s="22" t="str">
        <f>HYPERLINK("https://twitter.com/BJPITPALAMURU/status/922475472067354624","922475472067354624")</f>
        <v>922475472067354624</v>
      </c>
      <c r="F5134" s="23" t="s">
        <v>33</v>
      </c>
      <c r="G5134" s="24">
        <v>167.0</v>
      </c>
      <c r="H5134" s="24">
        <v>364.0</v>
      </c>
      <c r="I5134" s="24">
        <v>8501.0</v>
      </c>
      <c r="J5134" s="24">
        <v>0.0</v>
      </c>
      <c r="K5134" s="23" t="s">
        <v>34</v>
      </c>
      <c r="L5134" s="25">
        <v>42065.089097222226</v>
      </c>
      <c r="M5134" s="26" t="s">
        <v>11764</v>
      </c>
      <c r="N5134" s="26" t="s">
        <v>11765</v>
      </c>
      <c r="O5134" s="22" t="str">
        <f>HYPERLINK("https://pbs.twimg.com/profile_images/572338865357070336/hFlEo1vb_normal.jpeg","View")</f>
        <v>View</v>
      </c>
      <c r="P5134" s="27"/>
    </row>
    <row r="5135">
      <c r="A5135" s="14">
        <v>43031.327256944445</v>
      </c>
      <c r="B5135" s="20" t="str">
        <f>HYPERLINK("https://twitter.com/NewsBossIndia","@NewsBossIndia")</f>
        <v>@NewsBossIndia</v>
      </c>
      <c r="C5135" s="29" t="s">
        <v>148</v>
      </c>
      <c r="D5135" s="21" t="s">
        <v>11766</v>
      </c>
      <c r="E5135" s="22" t="str">
        <f>HYPERLINK("https://twitter.com/NewsBossIndia/status/922475512273846272","922475512273846272")</f>
        <v>922475512273846272</v>
      </c>
      <c r="F5135" s="30" t="s">
        <v>148</v>
      </c>
      <c r="G5135" s="24">
        <v>991.0</v>
      </c>
      <c r="H5135" s="24">
        <v>1.0</v>
      </c>
      <c r="I5135" s="24">
        <v>0.0</v>
      </c>
      <c r="J5135" s="24">
        <v>0.0</v>
      </c>
      <c r="K5135" s="23" t="s">
        <v>34</v>
      </c>
      <c r="L5135" s="25">
        <v>42564.38061342592</v>
      </c>
      <c r="M5135" s="28"/>
      <c r="N5135" s="26" t="s">
        <v>150</v>
      </c>
      <c r="O5135" s="22" t="str">
        <f>HYPERLINK("https://pbs.twimg.com/profile_images/753260679692333057/AS4Xiw4q_normal.jpg","View")</f>
        <v>View</v>
      </c>
      <c r="P5135" s="27"/>
    </row>
    <row r="5136">
      <c r="A5136" s="14">
        <v>43031.32726851852</v>
      </c>
      <c r="B5136" s="20" t="str">
        <f>HYPERLINK("https://twitter.com/varunvd","@varunvd")</f>
        <v>@varunvd</v>
      </c>
      <c r="C5136" s="21" t="s">
        <v>11767</v>
      </c>
      <c r="D5136" s="21" t="s">
        <v>42</v>
      </c>
      <c r="E5136" s="22" t="str">
        <f>HYPERLINK("https://twitter.com/varunvd/status/922475516866781186","922475516866781186")</f>
        <v>922475516866781186</v>
      </c>
      <c r="F5136" s="23" t="s">
        <v>33</v>
      </c>
      <c r="G5136" s="24">
        <v>1471.0</v>
      </c>
      <c r="H5136" s="24">
        <v>4998.0</v>
      </c>
      <c r="I5136" s="24">
        <v>8501.0</v>
      </c>
      <c r="J5136" s="24">
        <v>0.0</v>
      </c>
      <c r="K5136" s="23" t="s">
        <v>34</v>
      </c>
      <c r="L5136" s="25">
        <v>40059.14766203704</v>
      </c>
      <c r="M5136" s="26" t="s">
        <v>11768</v>
      </c>
      <c r="N5136" s="26" t="s">
        <v>11769</v>
      </c>
      <c r="O5136" s="22" t="str">
        <f>HYPERLINK("https://pbs.twimg.com/profile_images/921410394958082049/7lSsVbzm_normal.jpg","View")</f>
        <v>View</v>
      </c>
      <c r="P5136" s="27"/>
    </row>
    <row r="5137">
      <c r="A5137" s="14">
        <v>43031.32728009259</v>
      </c>
      <c r="B5137" s="20" t="str">
        <f>HYPERLINK("https://twitter.com/Nikhilk29642463","@Nikhilk29642463")</f>
        <v>@Nikhilk29642463</v>
      </c>
      <c r="C5137" s="21" t="s">
        <v>11770</v>
      </c>
      <c r="D5137" s="21" t="s">
        <v>42</v>
      </c>
      <c r="E5137" s="22" t="str">
        <f>HYPERLINK("https://twitter.com/Nikhilk29642463/status/922475518699565057","922475518699565057")</f>
        <v>922475518699565057</v>
      </c>
      <c r="F5137" s="23" t="s">
        <v>33</v>
      </c>
      <c r="G5137" s="24">
        <v>28.0</v>
      </c>
      <c r="H5137" s="24">
        <v>186.0</v>
      </c>
      <c r="I5137" s="24">
        <v>8501.0</v>
      </c>
      <c r="J5137" s="24">
        <v>0.0</v>
      </c>
      <c r="K5137" s="23" t="s">
        <v>34</v>
      </c>
      <c r="L5137" s="25">
        <v>42943.294328703705</v>
      </c>
      <c r="M5137" s="28"/>
      <c r="N5137" s="28"/>
      <c r="O5137" s="22" t="str">
        <f>HYPERLINK("https://abs.twimg.com/sticky/default_profile_images/default_profile_normal.png","View")</f>
        <v>View</v>
      </c>
      <c r="P5137" s="27"/>
    </row>
    <row r="5138">
      <c r="A5138" s="14">
        <v>43031.327303240745</v>
      </c>
      <c r="B5138" s="20" t="str">
        <f>HYPERLINK("https://twitter.com/ckraaman","@ckraaman")</f>
        <v>@ckraaman</v>
      </c>
      <c r="C5138" s="21" t="s">
        <v>11771</v>
      </c>
      <c r="D5138" s="21" t="s">
        <v>42</v>
      </c>
      <c r="E5138" s="22" t="str">
        <f>HYPERLINK("https://twitter.com/ckraaman/status/922475528350711808","922475528350711808")</f>
        <v>922475528350711808</v>
      </c>
      <c r="F5138" s="23" t="s">
        <v>39</v>
      </c>
      <c r="G5138" s="24">
        <v>97.0</v>
      </c>
      <c r="H5138" s="24">
        <v>187.0</v>
      </c>
      <c r="I5138" s="24">
        <v>8501.0</v>
      </c>
      <c r="J5138" s="24">
        <v>0.0</v>
      </c>
      <c r="K5138" s="23" t="s">
        <v>34</v>
      </c>
      <c r="L5138" s="25">
        <v>40424.35722222222</v>
      </c>
      <c r="M5138" s="26" t="s">
        <v>11772</v>
      </c>
      <c r="N5138" s="26" t="s">
        <v>11773</v>
      </c>
      <c r="O5138" s="22" t="str">
        <f>HYPERLINK("https://pbs.twimg.com/profile_images/862332293385297921/4tomdlzj_normal.jpg","View")</f>
        <v>View</v>
      </c>
      <c r="P5138" s="27"/>
    </row>
    <row r="5139">
      <c r="A5139" s="14">
        <v>43031.32736111111</v>
      </c>
      <c r="B5139" s="20" t="str">
        <f>HYPERLINK("https://twitter.com/dudehasnodesire","@dudehasnodesire")</f>
        <v>@dudehasnodesire</v>
      </c>
      <c r="C5139" s="21" t="s">
        <v>11774</v>
      </c>
      <c r="D5139" s="21" t="s">
        <v>42</v>
      </c>
      <c r="E5139" s="22" t="str">
        <f>HYPERLINK("https://twitter.com/dudehasnodesire/status/922475549859094528","922475549859094528")</f>
        <v>922475549859094528</v>
      </c>
      <c r="F5139" s="23" t="s">
        <v>33</v>
      </c>
      <c r="G5139" s="24">
        <v>31.0</v>
      </c>
      <c r="H5139" s="24">
        <v>119.0</v>
      </c>
      <c r="I5139" s="24">
        <v>8501.0</v>
      </c>
      <c r="J5139" s="24">
        <v>0.0</v>
      </c>
      <c r="K5139" s="23" t="s">
        <v>34</v>
      </c>
      <c r="L5139" s="25">
        <v>42547.14130787037</v>
      </c>
      <c r="M5139" s="26" t="s">
        <v>11775</v>
      </c>
      <c r="N5139" s="26" t="s">
        <v>11776</v>
      </c>
      <c r="O5139" s="22" t="str">
        <f>HYPERLINK("https://pbs.twimg.com/profile_images/857261275486846976/UVvdDFzv_normal.jpg","View")</f>
        <v>View</v>
      </c>
      <c r="P5139" s="27"/>
    </row>
    <row r="5140">
      <c r="A5140" s="14">
        <v>43031.327372685184</v>
      </c>
      <c r="B5140" s="20" t="str">
        <f>HYPERLINK("https://twitter.com/RakeshChil","@RakeshChil")</f>
        <v>@RakeshChil</v>
      </c>
      <c r="C5140" s="21" t="s">
        <v>11777</v>
      </c>
      <c r="D5140" s="21" t="s">
        <v>42</v>
      </c>
      <c r="E5140" s="22" t="str">
        <f>HYPERLINK("https://twitter.com/RakeshChil/status/922475555840180226","922475555840180226")</f>
        <v>922475555840180226</v>
      </c>
      <c r="F5140" s="23" t="s">
        <v>33</v>
      </c>
      <c r="G5140" s="24">
        <v>1450.0</v>
      </c>
      <c r="H5140" s="24">
        <v>685.0</v>
      </c>
      <c r="I5140" s="24">
        <v>8501.0</v>
      </c>
      <c r="J5140" s="24">
        <v>0.0</v>
      </c>
      <c r="K5140" s="23" t="s">
        <v>34</v>
      </c>
      <c r="L5140" s="25">
        <v>40108.03357638889</v>
      </c>
      <c r="M5140" s="26" t="s">
        <v>1991</v>
      </c>
      <c r="N5140" s="26" t="s">
        <v>11778</v>
      </c>
      <c r="O5140" s="22" t="str">
        <f>HYPERLINK("https://pbs.twimg.com/profile_images/851894182633394177/YZxM9jdI_normal.jpg","View")</f>
        <v>View</v>
      </c>
      <c r="P5140" s="27"/>
    </row>
    <row r="5141">
      <c r="A5141" s="14">
        <v>43031.32739583333</v>
      </c>
      <c r="B5141" s="20" t="str">
        <f>HYPERLINK("https://twitter.com/SMunhir","@SMunhir")</f>
        <v>@SMunhir</v>
      </c>
      <c r="C5141" s="21" t="s">
        <v>11779</v>
      </c>
      <c r="D5141" s="21" t="s">
        <v>6036</v>
      </c>
      <c r="E5141" s="22" t="str">
        <f>HYPERLINK("https://twitter.com/SMunhir/status/922475564002304001","922475564002304001")</f>
        <v>922475564002304001</v>
      </c>
      <c r="F5141" s="23" t="s">
        <v>33</v>
      </c>
      <c r="G5141" s="24">
        <v>411.0</v>
      </c>
      <c r="H5141" s="24">
        <v>1790.0</v>
      </c>
      <c r="I5141" s="24">
        <v>4.0</v>
      </c>
      <c r="J5141" s="24">
        <v>0.0</v>
      </c>
      <c r="K5141" s="23" t="s">
        <v>34</v>
      </c>
      <c r="L5141" s="25">
        <v>42868.10502314815</v>
      </c>
      <c r="M5141" s="26" t="s">
        <v>7210</v>
      </c>
      <c r="N5141" s="26" t="s">
        <v>11780</v>
      </c>
      <c r="O5141" s="22" t="str">
        <f>HYPERLINK("https://pbs.twimg.com/profile_images/863336305115095040/6jB4WgFR_normal.jpg","View")</f>
        <v>View</v>
      </c>
      <c r="P5141" s="27"/>
    </row>
    <row r="5142">
      <c r="A5142" s="14">
        <v>43031.32774305556</v>
      </c>
      <c r="B5142" s="20" t="str">
        <f>HYPERLINK("https://twitter.com/Vinayak_0604","@Vinayak_0604")</f>
        <v>@Vinayak_0604</v>
      </c>
      <c r="C5142" s="21" t="s">
        <v>11781</v>
      </c>
      <c r="D5142" s="21" t="s">
        <v>163</v>
      </c>
      <c r="E5142" s="22" t="str">
        <f>HYPERLINK("https://twitter.com/Vinayak_0604/status/922475689705480192","922475689705480192")</f>
        <v>922475689705480192</v>
      </c>
      <c r="F5142" s="23" t="s">
        <v>33</v>
      </c>
      <c r="G5142" s="24">
        <v>34.0</v>
      </c>
      <c r="H5142" s="24">
        <v>145.0</v>
      </c>
      <c r="I5142" s="24">
        <v>1005.0</v>
      </c>
      <c r="J5142" s="24">
        <v>0.0</v>
      </c>
      <c r="K5142" s="23" t="s">
        <v>34</v>
      </c>
      <c r="L5142" s="25">
        <v>42455.85454861111</v>
      </c>
      <c r="M5142" s="26" t="s">
        <v>11782</v>
      </c>
      <c r="N5142" s="26" t="s">
        <v>11783</v>
      </c>
      <c r="O5142" s="22" t="str">
        <f>HYPERLINK("https://pbs.twimg.com/profile_images/824644173777240064/0aGqU2FJ_normal.jpg","View")</f>
        <v>View</v>
      </c>
      <c r="P5142" s="27"/>
    </row>
    <row r="5143">
      <c r="A5143" s="14">
        <v>43031.32780092592</v>
      </c>
      <c r="B5143" s="20" t="str">
        <f t="shared" ref="B5143:B5144" si="79">HYPERLINK("https://twitter.com/NewsBossIndia","@NewsBossIndia")</f>
        <v>@NewsBossIndia</v>
      </c>
      <c r="C5143" s="29" t="s">
        <v>148</v>
      </c>
      <c r="D5143" s="21" t="s">
        <v>11784</v>
      </c>
      <c r="E5143" s="22" t="str">
        <f>HYPERLINK("https://twitter.com/NewsBossIndia/status/922475709167124480","922475709167124480")</f>
        <v>922475709167124480</v>
      </c>
      <c r="F5143" s="30" t="s">
        <v>148</v>
      </c>
      <c r="G5143" s="24">
        <v>991.0</v>
      </c>
      <c r="H5143" s="24">
        <v>1.0</v>
      </c>
      <c r="I5143" s="24">
        <v>0.0</v>
      </c>
      <c r="J5143" s="24">
        <v>0.0</v>
      </c>
      <c r="K5143" s="23" t="s">
        <v>34</v>
      </c>
      <c r="L5143" s="25">
        <v>42564.38061342592</v>
      </c>
      <c r="M5143" s="28"/>
      <c r="N5143" s="26" t="s">
        <v>150</v>
      </c>
      <c r="O5143" s="22" t="str">
        <f t="shared" ref="O5143:O5144" si="80">HYPERLINK("https://pbs.twimg.com/profile_images/753260679692333057/AS4Xiw4q_normal.jpg","View")</f>
        <v>View</v>
      </c>
      <c r="P5143" s="27"/>
    </row>
    <row r="5144">
      <c r="A5144" s="14">
        <v>43031.3278125</v>
      </c>
      <c r="B5144" s="20" t="str">
        <f t="shared" si="79"/>
        <v>@NewsBossIndia</v>
      </c>
      <c r="C5144" s="29" t="s">
        <v>148</v>
      </c>
      <c r="D5144" s="21" t="s">
        <v>11785</v>
      </c>
      <c r="E5144" s="22" t="str">
        <f>HYPERLINK("https://twitter.com/NewsBossIndia/status/922475712342142976","922475712342142976")</f>
        <v>922475712342142976</v>
      </c>
      <c r="F5144" s="30" t="s">
        <v>148</v>
      </c>
      <c r="G5144" s="24">
        <v>991.0</v>
      </c>
      <c r="H5144" s="24">
        <v>1.0</v>
      </c>
      <c r="I5144" s="24">
        <v>0.0</v>
      </c>
      <c r="J5144" s="24">
        <v>0.0</v>
      </c>
      <c r="K5144" s="23" t="s">
        <v>34</v>
      </c>
      <c r="L5144" s="25">
        <v>42564.38061342592</v>
      </c>
      <c r="M5144" s="28"/>
      <c r="N5144" s="26" t="s">
        <v>150</v>
      </c>
      <c r="O5144" s="22" t="str">
        <f t="shared" si="80"/>
        <v>View</v>
      </c>
      <c r="P5144" s="27"/>
    </row>
    <row r="5145">
      <c r="A5145" s="14">
        <v>43031.32807870371</v>
      </c>
      <c r="B5145" s="20" t="str">
        <f>HYPERLINK("https://twitter.com/vinay__rajput","@vinay__rajput")</f>
        <v>@vinay__rajput</v>
      </c>
      <c r="C5145" s="21" t="s">
        <v>11786</v>
      </c>
      <c r="D5145" s="21" t="s">
        <v>42</v>
      </c>
      <c r="E5145" s="22" t="str">
        <f>HYPERLINK("https://twitter.com/vinay__rajput/status/922475811646484480","922475811646484480")</f>
        <v>922475811646484480</v>
      </c>
      <c r="F5145" s="23" t="s">
        <v>33</v>
      </c>
      <c r="G5145" s="24">
        <v>152.0</v>
      </c>
      <c r="H5145" s="24">
        <v>20.0</v>
      </c>
      <c r="I5145" s="24">
        <v>8501.0</v>
      </c>
      <c r="J5145" s="24">
        <v>0.0</v>
      </c>
      <c r="K5145" s="23" t="s">
        <v>34</v>
      </c>
      <c r="L5145" s="25">
        <v>42733.08792824074</v>
      </c>
      <c r="M5145" s="26" t="s">
        <v>1545</v>
      </c>
      <c r="N5145" s="26" t="s">
        <v>11787</v>
      </c>
      <c r="O5145" s="22" t="str">
        <f>HYPERLINK("https://pbs.twimg.com/profile_images/914882084690288640/8OdnACXh_normal.jpg","View")</f>
        <v>View</v>
      </c>
      <c r="P5145" s="27"/>
    </row>
    <row r="5146">
      <c r="A5146" s="14">
        <v>43031.32811342593</v>
      </c>
      <c r="B5146" s="20" t="str">
        <f>HYPERLINK("https://twitter.com/DaisyMaxey","@DaisyMaxey")</f>
        <v>@DaisyMaxey</v>
      </c>
      <c r="C5146" s="21" t="s">
        <v>11788</v>
      </c>
      <c r="D5146" s="21" t="s">
        <v>11789</v>
      </c>
      <c r="E5146" s="22" t="str">
        <f>HYPERLINK("https://twitter.com/DaisyMaxey/status/922475822774177792","922475822774177792")</f>
        <v>922475822774177792</v>
      </c>
      <c r="F5146" s="23" t="s">
        <v>55</v>
      </c>
      <c r="G5146" s="24">
        <v>8004.0</v>
      </c>
      <c r="H5146" s="24">
        <v>6344.0</v>
      </c>
      <c r="I5146" s="24">
        <v>0.0</v>
      </c>
      <c r="J5146" s="24">
        <v>0.0</v>
      </c>
      <c r="K5146" s="23" t="s">
        <v>34</v>
      </c>
      <c r="L5146" s="25">
        <v>40759.40298611111</v>
      </c>
      <c r="M5146" s="26" t="s">
        <v>11790</v>
      </c>
      <c r="N5146" s="26" t="s">
        <v>11791</v>
      </c>
      <c r="O5146" s="22" t="str">
        <f>HYPERLINK("https://pbs.twimg.com/profile_images/1604741697/daisyimage_normal.jpg","View")</f>
        <v>View</v>
      </c>
      <c r="P5146" s="27"/>
    </row>
    <row r="5147">
      <c r="A5147" s="14">
        <v>43031.32815972222</v>
      </c>
      <c r="B5147" s="20" t="str">
        <f>HYPERLINK("https://twitter.com/ImARyadav","@ImARyadav")</f>
        <v>@ImARyadav</v>
      </c>
      <c r="C5147" s="21" t="s">
        <v>11792</v>
      </c>
      <c r="D5147" s="21" t="s">
        <v>42</v>
      </c>
      <c r="E5147" s="22" t="str">
        <f>HYPERLINK("https://twitter.com/ImARyadav/status/922475838175449089","922475838175449089")</f>
        <v>922475838175449089</v>
      </c>
      <c r="F5147" s="23" t="s">
        <v>33</v>
      </c>
      <c r="G5147" s="24">
        <v>5.0</v>
      </c>
      <c r="H5147" s="24">
        <v>45.0</v>
      </c>
      <c r="I5147" s="24">
        <v>8501.0</v>
      </c>
      <c r="J5147" s="24">
        <v>0.0</v>
      </c>
      <c r="K5147" s="23" t="s">
        <v>34</v>
      </c>
      <c r="L5147" s="25">
        <v>42949.15354166667</v>
      </c>
      <c r="M5147" s="26" t="s">
        <v>142</v>
      </c>
      <c r="N5147" s="26" t="s">
        <v>11793</v>
      </c>
      <c r="O5147" s="22" t="str">
        <f>HYPERLINK("https://pbs.twimg.com/profile_images/910836740205690881/7tLb-8Iu_normal.jpg","View")</f>
        <v>View</v>
      </c>
      <c r="P5147" s="27"/>
    </row>
    <row r="5148">
      <c r="A5148" s="14">
        <v>43031.32818287037</v>
      </c>
      <c r="B5148" s="20" t="str">
        <f>HYPERLINK("https://twitter.com/sdalwinder","@sdalwinder")</f>
        <v>@sdalwinder</v>
      </c>
      <c r="C5148" s="21" t="s">
        <v>11794</v>
      </c>
      <c r="D5148" s="21" t="s">
        <v>42</v>
      </c>
      <c r="E5148" s="22" t="str">
        <f>HYPERLINK("https://twitter.com/sdalwinder/status/922475845712613376","922475845712613376")</f>
        <v>922475845712613376</v>
      </c>
      <c r="F5148" s="23" t="s">
        <v>39</v>
      </c>
      <c r="G5148" s="24">
        <v>28.0</v>
      </c>
      <c r="H5148" s="24">
        <v>112.0</v>
      </c>
      <c r="I5148" s="24">
        <v>8501.0</v>
      </c>
      <c r="J5148" s="24">
        <v>0.0</v>
      </c>
      <c r="K5148" s="23" t="s">
        <v>34</v>
      </c>
      <c r="L5148" s="25">
        <v>40847.15810185185</v>
      </c>
      <c r="M5148" s="26" t="s">
        <v>11795</v>
      </c>
      <c r="N5148" s="28"/>
      <c r="O5148" s="22" t="str">
        <f>HYPERLINK("https://pbs.twimg.com/profile_images/895817875415609344/9gxzPAFe_normal.jpg","View")</f>
        <v>View</v>
      </c>
      <c r="P5148" s="27"/>
    </row>
    <row r="5149">
      <c r="A5149" s="14">
        <v>43031.328206018516</v>
      </c>
      <c r="B5149" s="20" t="str">
        <f>HYPERLINK("https://twitter.com/techee11","@techee11")</f>
        <v>@techee11</v>
      </c>
      <c r="C5149" s="21" t="s">
        <v>11796</v>
      </c>
      <c r="D5149" s="21" t="s">
        <v>42</v>
      </c>
      <c r="E5149" s="22" t="str">
        <f>HYPERLINK("https://twitter.com/techee11/status/922475856160636929","922475856160636929")</f>
        <v>922475856160636929</v>
      </c>
      <c r="F5149" s="23" t="s">
        <v>33</v>
      </c>
      <c r="G5149" s="24">
        <v>116.0</v>
      </c>
      <c r="H5149" s="24">
        <v>416.0</v>
      </c>
      <c r="I5149" s="24">
        <v>8501.0</v>
      </c>
      <c r="J5149" s="24">
        <v>0.0</v>
      </c>
      <c r="K5149" s="23" t="s">
        <v>34</v>
      </c>
      <c r="L5149" s="25">
        <v>42436.90756944445</v>
      </c>
      <c r="M5149" s="26" t="s">
        <v>11797</v>
      </c>
      <c r="N5149" s="26" t="s">
        <v>11798</v>
      </c>
      <c r="O5149" s="22" t="str">
        <f>HYPERLINK("https://pbs.twimg.com/profile_images/783798338772533248/glUFOwIM_normal.jpg","View")</f>
        <v>View</v>
      </c>
      <c r="P5149" s="27"/>
    </row>
    <row r="5150">
      <c r="A5150" s="14">
        <v>43031.32821759259</v>
      </c>
      <c r="B5150" s="20" t="str">
        <f>HYPERLINK("https://twitter.com/dinulala80","@dinulala80")</f>
        <v>@dinulala80</v>
      </c>
      <c r="C5150" s="21" t="s">
        <v>11799</v>
      </c>
      <c r="D5150" s="21" t="s">
        <v>42</v>
      </c>
      <c r="E5150" s="22" t="str">
        <f>HYPERLINK("https://twitter.com/dinulala80/status/922475860178829312","922475860178829312")</f>
        <v>922475860178829312</v>
      </c>
      <c r="F5150" s="23" t="s">
        <v>33</v>
      </c>
      <c r="G5150" s="24">
        <v>872.0</v>
      </c>
      <c r="H5150" s="24">
        <v>349.0</v>
      </c>
      <c r="I5150" s="24">
        <v>8501.0</v>
      </c>
      <c r="J5150" s="24">
        <v>0.0</v>
      </c>
      <c r="K5150" s="23" t="s">
        <v>34</v>
      </c>
      <c r="L5150" s="25">
        <v>40774.286875</v>
      </c>
      <c r="M5150" s="26" t="s">
        <v>2739</v>
      </c>
      <c r="N5150" s="26" t="s">
        <v>11800</v>
      </c>
      <c r="O5150" s="22" t="str">
        <f>HYPERLINK("https://pbs.twimg.com/profile_images/880753519610998784/Yw25viQ0_normal.jpg","View")</f>
        <v>View</v>
      </c>
      <c r="P5150" s="27"/>
    </row>
    <row r="5151">
      <c r="A5151" s="14">
        <v>43031.32824074074</v>
      </c>
      <c r="B5151" s="20" t="str">
        <f>HYPERLINK("https://twitter.com/srinaren17","@srinaren17")</f>
        <v>@srinaren17</v>
      </c>
      <c r="C5151" s="21" t="s">
        <v>11801</v>
      </c>
      <c r="D5151" s="21" t="s">
        <v>163</v>
      </c>
      <c r="E5151" s="22" t="str">
        <f>HYPERLINK("https://twitter.com/srinaren17/status/922475868026490881","922475868026490881")</f>
        <v>922475868026490881</v>
      </c>
      <c r="F5151" s="23" t="s">
        <v>33</v>
      </c>
      <c r="G5151" s="24">
        <v>164.0</v>
      </c>
      <c r="H5151" s="24">
        <v>154.0</v>
      </c>
      <c r="I5151" s="24">
        <v>1005.0</v>
      </c>
      <c r="J5151" s="24">
        <v>0.0</v>
      </c>
      <c r="K5151" s="23" t="s">
        <v>34</v>
      </c>
      <c r="L5151" s="25">
        <v>42278.032546296294</v>
      </c>
      <c r="M5151" s="26" t="s">
        <v>8685</v>
      </c>
      <c r="N5151" s="26" t="s">
        <v>11802</v>
      </c>
      <c r="O5151" s="22" t="str">
        <f>HYPERLINK("https://pbs.twimg.com/profile_images/744372641088188417/4QUNgr_x_normal.jpg","View")</f>
        <v>View</v>
      </c>
      <c r="P5151" s="27"/>
    </row>
    <row r="5152">
      <c r="A5152" s="14">
        <v>43031.328321759254</v>
      </c>
      <c r="B5152" s="20" t="str">
        <f>HYPERLINK("https://twitter.com/Geetanj55555266","@Geetanj55555266")</f>
        <v>@Geetanj55555266</v>
      </c>
      <c r="C5152" s="21" t="s">
        <v>11803</v>
      </c>
      <c r="D5152" s="21" t="s">
        <v>42</v>
      </c>
      <c r="E5152" s="22" t="str">
        <f>HYPERLINK("https://twitter.com/Geetanj55555266/status/922475898166657024","922475898166657024")</f>
        <v>922475898166657024</v>
      </c>
      <c r="F5152" s="23" t="s">
        <v>33</v>
      </c>
      <c r="G5152" s="24">
        <v>55.0</v>
      </c>
      <c r="H5152" s="24">
        <v>39.0</v>
      </c>
      <c r="I5152" s="24">
        <v>8501.0</v>
      </c>
      <c r="J5152" s="24">
        <v>0.0</v>
      </c>
      <c r="K5152" s="23" t="s">
        <v>34</v>
      </c>
      <c r="L5152" s="25">
        <v>42823.35744212963</v>
      </c>
      <c r="M5152" s="26" t="s">
        <v>195</v>
      </c>
      <c r="N5152" s="26" t="s">
        <v>11804</v>
      </c>
      <c r="O5152" s="22" t="str">
        <f>HYPERLINK("https://pbs.twimg.com/profile_images/920211738976329728/QBzwEBNW_normal.jpg","View")</f>
        <v>View</v>
      </c>
      <c r="P5152" s="27"/>
    </row>
    <row r="5153">
      <c r="A5153" s="14">
        <v>43031.32835648148</v>
      </c>
      <c r="B5153" s="20" t="str">
        <f>HYPERLINK("https://twitter.com/RobertOuko62","@RobertOuko62")</f>
        <v>@RobertOuko62</v>
      </c>
      <c r="C5153" s="21" t="s">
        <v>11805</v>
      </c>
      <c r="D5153" s="21" t="s">
        <v>32</v>
      </c>
      <c r="E5153" s="22" t="str">
        <f>HYPERLINK("https://twitter.com/RobertOuko62/status/922475910607048704","922475910607048704")</f>
        <v>922475910607048704</v>
      </c>
      <c r="F5153" s="23" t="s">
        <v>39</v>
      </c>
      <c r="G5153" s="24">
        <v>777.0</v>
      </c>
      <c r="H5153" s="24">
        <v>1586.0</v>
      </c>
      <c r="I5153" s="24">
        <v>471.0</v>
      </c>
      <c r="J5153" s="24">
        <v>0.0</v>
      </c>
      <c r="K5153" s="23" t="s">
        <v>34</v>
      </c>
      <c r="L5153" s="25">
        <v>42775.65715277778</v>
      </c>
      <c r="M5153" s="26" t="s">
        <v>114</v>
      </c>
      <c r="N5153" s="26" t="s">
        <v>11806</v>
      </c>
      <c r="O5153" s="22" t="str">
        <f>HYPERLINK("https://pbs.twimg.com/profile_images/916408515970859008/oKHc7uSD_normal.jpg","View")</f>
        <v>View</v>
      </c>
      <c r="P5153" s="27"/>
    </row>
    <row r="5154">
      <c r="A5154" s="14">
        <v>43031.32850694444</v>
      </c>
      <c r="B5154" s="20" t="str">
        <f>HYPERLINK("https://twitter.com/dwivedy21977","@dwivedy21977")</f>
        <v>@dwivedy21977</v>
      </c>
      <c r="C5154" s="21" t="s">
        <v>11807</v>
      </c>
      <c r="D5154" s="21" t="s">
        <v>42</v>
      </c>
      <c r="E5154" s="22" t="str">
        <f>HYPERLINK("https://twitter.com/dwivedy21977/status/922475963631353856","922475963631353856")</f>
        <v>922475963631353856</v>
      </c>
      <c r="F5154" s="23" t="s">
        <v>33</v>
      </c>
      <c r="G5154" s="24">
        <v>574.0</v>
      </c>
      <c r="H5154" s="24">
        <v>678.0</v>
      </c>
      <c r="I5154" s="24">
        <v>8501.0</v>
      </c>
      <c r="J5154" s="24">
        <v>0.0</v>
      </c>
      <c r="K5154" s="23" t="s">
        <v>34</v>
      </c>
      <c r="L5154" s="25">
        <v>41397.0984837963</v>
      </c>
      <c r="M5154" s="26" t="s">
        <v>3771</v>
      </c>
      <c r="N5154" s="26" t="s">
        <v>11808</v>
      </c>
      <c r="O5154" s="22" t="str">
        <f>HYPERLINK("https://pbs.twimg.com/profile_images/824954851679412226/qjEmkw7a_normal.jpg","View")</f>
        <v>View</v>
      </c>
      <c r="P5154" s="27"/>
    </row>
    <row r="5155">
      <c r="A5155" s="14">
        <v>43031.328576388885</v>
      </c>
      <c r="B5155" s="20" t="str">
        <f>HYPERLINK("https://twitter.com/BJPGuru","@BJPGuru")</f>
        <v>@BJPGuru</v>
      </c>
      <c r="C5155" s="21" t="s">
        <v>11809</v>
      </c>
      <c r="D5155" s="21" t="s">
        <v>42</v>
      </c>
      <c r="E5155" s="22" t="str">
        <f>HYPERLINK("https://twitter.com/BJPGuru/status/922475990755897344","922475990755897344")</f>
        <v>922475990755897344</v>
      </c>
      <c r="F5155" s="23" t="s">
        <v>43</v>
      </c>
      <c r="G5155" s="24">
        <v>583.0</v>
      </c>
      <c r="H5155" s="24">
        <v>299.0</v>
      </c>
      <c r="I5155" s="24">
        <v>8501.0</v>
      </c>
      <c r="J5155" s="24">
        <v>0.0</v>
      </c>
      <c r="K5155" s="23" t="s">
        <v>34</v>
      </c>
      <c r="L5155" s="25">
        <v>42658.2884375</v>
      </c>
      <c r="M5155" s="26" t="s">
        <v>11810</v>
      </c>
      <c r="N5155" s="26" t="s">
        <v>11811</v>
      </c>
      <c r="O5155" s="22" t="str">
        <f>HYPERLINK("https://pbs.twimg.com/profile_images/922832280233447424/MhXFlCpc_normal.jpg","View")</f>
        <v>View</v>
      </c>
      <c r="P5155" s="27"/>
    </row>
    <row r="5156">
      <c r="A5156" s="14">
        <v>43031.32861111111</v>
      </c>
      <c r="B5156" s="20" t="str">
        <f>HYPERLINK("https://twitter.com/Vande_Mataram","@Vande_Mataram")</f>
        <v>@Vande_Mataram</v>
      </c>
      <c r="C5156" s="29" t="s">
        <v>11812</v>
      </c>
      <c r="D5156" s="21" t="s">
        <v>42</v>
      </c>
      <c r="E5156" s="22" t="str">
        <f>HYPERLINK("https://twitter.com/Vande_Mataram/status/922476003020230657","922476003020230657")</f>
        <v>922476003020230657</v>
      </c>
      <c r="F5156" s="23" t="s">
        <v>55</v>
      </c>
      <c r="G5156" s="24">
        <v>7585.0</v>
      </c>
      <c r="H5156" s="24">
        <v>97.0</v>
      </c>
      <c r="I5156" s="24">
        <v>8501.0</v>
      </c>
      <c r="J5156" s="24">
        <v>0.0</v>
      </c>
      <c r="K5156" s="23" t="s">
        <v>34</v>
      </c>
      <c r="L5156" s="25">
        <v>39779.69473379629</v>
      </c>
      <c r="M5156" s="26" t="s">
        <v>478</v>
      </c>
      <c r="N5156" s="26" t="s">
        <v>11813</v>
      </c>
      <c r="O5156" s="22" t="str">
        <f>HYPERLINK("https://pbs.twimg.com/profile_images/867214654002663425/pK3gFSmg_normal.jpg","View")</f>
        <v>View</v>
      </c>
      <c r="P5156" s="27"/>
    </row>
    <row r="5157">
      <c r="A5157" s="14">
        <v>43031.32865740741</v>
      </c>
      <c r="B5157" s="20" t="str">
        <f>HYPERLINK("https://twitter.com/NewsBossIndia","@NewsBossIndia")</f>
        <v>@NewsBossIndia</v>
      </c>
      <c r="C5157" s="29" t="s">
        <v>148</v>
      </c>
      <c r="D5157" s="21" t="s">
        <v>11814</v>
      </c>
      <c r="E5157" s="22" t="str">
        <f>HYPERLINK("https://twitter.com/NewsBossIndia/status/922476018077593605","922476018077593605")</f>
        <v>922476018077593605</v>
      </c>
      <c r="F5157" s="30" t="s">
        <v>148</v>
      </c>
      <c r="G5157" s="24">
        <v>991.0</v>
      </c>
      <c r="H5157" s="24">
        <v>1.0</v>
      </c>
      <c r="I5157" s="24">
        <v>0.0</v>
      </c>
      <c r="J5157" s="24">
        <v>0.0</v>
      </c>
      <c r="K5157" s="23" t="s">
        <v>34</v>
      </c>
      <c r="L5157" s="25">
        <v>42564.38061342592</v>
      </c>
      <c r="M5157" s="28"/>
      <c r="N5157" s="26" t="s">
        <v>150</v>
      </c>
      <c r="O5157" s="22" t="str">
        <f>HYPERLINK("https://pbs.twimg.com/profile_images/753260679692333057/AS4Xiw4q_normal.jpg","View")</f>
        <v>View</v>
      </c>
      <c r="P5157" s="27"/>
    </row>
    <row r="5158">
      <c r="A5158" s="14">
        <v>43031.328784722224</v>
      </c>
      <c r="B5158" s="20" t="str">
        <f>HYPERLINK("https://twitter.com/Abhinav8051","@Abhinav8051")</f>
        <v>@Abhinav8051</v>
      </c>
      <c r="C5158" s="21" t="s">
        <v>11815</v>
      </c>
      <c r="D5158" s="21" t="s">
        <v>42</v>
      </c>
      <c r="E5158" s="22" t="str">
        <f>HYPERLINK("https://twitter.com/Abhinav8051/status/922476065741611008","922476065741611008")</f>
        <v>922476065741611008</v>
      </c>
      <c r="F5158" s="23" t="s">
        <v>33</v>
      </c>
      <c r="G5158" s="24">
        <v>23.0</v>
      </c>
      <c r="H5158" s="24">
        <v>219.0</v>
      </c>
      <c r="I5158" s="24">
        <v>8501.0</v>
      </c>
      <c r="J5158" s="24">
        <v>0.0</v>
      </c>
      <c r="K5158" s="23" t="s">
        <v>34</v>
      </c>
      <c r="L5158" s="25">
        <v>42488.97883101852</v>
      </c>
      <c r="M5158" s="28"/>
      <c r="N5158" s="28"/>
      <c r="O5158" s="22" t="str">
        <f>HYPERLINK("https://pbs.twimg.com/profile_images/725936979561443331/x2G4XpuK_normal.jpg","View")</f>
        <v>View</v>
      </c>
      <c r="P5158" s="27"/>
    </row>
    <row r="5159">
      <c r="A5159" s="14">
        <v>43031.32886574074</v>
      </c>
      <c r="B5159" s="20" t="str">
        <f>HYPERLINK("https://twitter.com/trendytradepd","@trendytradepd")</f>
        <v>@trendytradepd</v>
      </c>
      <c r="C5159" s="21" t="s">
        <v>11816</v>
      </c>
      <c r="D5159" s="21" t="s">
        <v>11232</v>
      </c>
      <c r="E5159" s="22" t="str">
        <f>HYPERLINK("https://twitter.com/trendytradepd/status/922476094233640961","922476094233640961")</f>
        <v>922476094233640961</v>
      </c>
      <c r="F5159" s="23" t="s">
        <v>39</v>
      </c>
      <c r="G5159" s="24">
        <v>3647.0</v>
      </c>
      <c r="H5159" s="24">
        <v>20.0</v>
      </c>
      <c r="I5159" s="24">
        <v>7.0</v>
      </c>
      <c r="J5159" s="24">
        <v>0.0</v>
      </c>
      <c r="K5159" s="23" t="s">
        <v>34</v>
      </c>
      <c r="L5159" s="25">
        <v>42410.223275462966</v>
      </c>
      <c r="M5159" s="26" t="s">
        <v>1983</v>
      </c>
      <c r="N5159" s="26" t="s">
        <v>11817</v>
      </c>
      <c r="O5159" s="22" t="str">
        <f>HYPERLINK("https://pbs.twimg.com/profile_images/909839624968732673/95bgiJ9G_normal.jpg","View")</f>
        <v>View</v>
      </c>
      <c r="P5159" s="27"/>
    </row>
    <row r="5160">
      <c r="A5160" s="14">
        <v>43031.32891203703</v>
      </c>
      <c r="B5160" s="20" t="str">
        <f>HYPERLINK("https://twitter.com/9b3OR2qdITMbDcd","@9b3OR2qdITMbDcd")</f>
        <v>@9b3OR2qdITMbDcd</v>
      </c>
      <c r="C5160" s="21" t="s">
        <v>11480</v>
      </c>
      <c r="D5160" s="21" t="s">
        <v>6403</v>
      </c>
      <c r="E5160" s="22" t="str">
        <f>HYPERLINK("https://twitter.com/9b3OR2qdITMbDcd/status/922476110004158464","922476110004158464")</f>
        <v>922476110004158464</v>
      </c>
      <c r="F5160" s="23" t="s">
        <v>230</v>
      </c>
      <c r="G5160" s="24">
        <v>1256382.0</v>
      </c>
      <c r="H5160" s="24">
        <v>2236.0</v>
      </c>
      <c r="I5160" s="24">
        <v>97.0</v>
      </c>
      <c r="J5160" s="24">
        <v>0.0</v>
      </c>
      <c r="K5160" s="23" t="s">
        <v>34</v>
      </c>
      <c r="L5160" s="25">
        <v>42581.3831712963</v>
      </c>
      <c r="M5160" s="26" t="s">
        <v>11481</v>
      </c>
      <c r="N5160" s="26" t="s">
        <v>11482</v>
      </c>
      <c r="O5160" s="22" t="str">
        <f>HYPERLINK("https://pbs.twimg.com/profile_images/759426044512178176/e8MouqvM_normal.jpg","View")</f>
        <v>View</v>
      </c>
      <c r="P5160" s="27"/>
    </row>
    <row r="5161">
      <c r="A5161" s="14">
        <v>43031.32913194444</v>
      </c>
      <c r="B5161" s="20" t="str">
        <f>HYPERLINK("https://twitter.com/AbbyLizz07","@AbbyLizz07")</f>
        <v>@AbbyLizz07</v>
      </c>
      <c r="C5161" s="21" t="s">
        <v>11818</v>
      </c>
      <c r="D5161" s="21" t="s">
        <v>42</v>
      </c>
      <c r="E5161" s="22" t="str">
        <f>HYPERLINK("https://twitter.com/AbbyLizz07/status/922476193131192322","922476193131192322")</f>
        <v>922476193131192322</v>
      </c>
      <c r="F5161" s="23" t="s">
        <v>33</v>
      </c>
      <c r="G5161" s="24">
        <v>89.0</v>
      </c>
      <c r="H5161" s="24">
        <v>477.0</v>
      </c>
      <c r="I5161" s="24">
        <v>8501.0</v>
      </c>
      <c r="J5161" s="24">
        <v>0.0</v>
      </c>
      <c r="K5161" s="23" t="s">
        <v>34</v>
      </c>
      <c r="L5161" s="25">
        <v>42587.944386574076</v>
      </c>
      <c r="M5161" s="26" t="s">
        <v>11819</v>
      </c>
      <c r="N5161" s="26" t="s">
        <v>11820</v>
      </c>
      <c r="O5161" s="22" t="str">
        <f>HYPERLINK("https://pbs.twimg.com/profile_images/761806170419933184/FgII_oeq_normal.jpg","View")</f>
        <v>View</v>
      </c>
      <c r="P5161" s="27"/>
    </row>
    <row r="5162">
      <c r="A5162" s="14">
        <v>43031.32916666666</v>
      </c>
      <c r="B5162" s="20" t="str">
        <f>HYPERLINK("https://twitter.com/flippedlip","@flippedlip")</f>
        <v>@flippedlip</v>
      </c>
      <c r="C5162" s="21" t="s">
        <v>11821</v>
      </c>
      <c r="D5162" s="21" t="s">
        <v>10614</v>
      </c>
      <c r="E5162" s="22" t="str">
        <f>HYPERLINK("https://twitter.com/flippedlip/status/922476204489195520","922476204489195520")</f>
        <v>922476204489195520</v>
      </c>
      <c r="F5162" s="23" t="s">
        <v>33</v>
      </c>
      <c r="G5162" s="24">
        <v>74.0</v>
      </c>
      <c r="H5162" s="24">
        <v>20.0</v>
      </c>
      <c r="I5162" s="24">
        <v>159.0</v>
      </c>
      <c r="J5162" s="24">
        <v>0.0</v>
      </c>
      <c r="K5162" s="23" t="s">
        <v>34</v>
      </c>
      <c r="L5162" s="25">
        <v>42307.761666666665</v>
      </c>
      <c r="M5162" s="28"/>
      <c r="N5162" s="28"/>
      <c r="O5162" s="22" t="str">
        <f>HYPERLINK("https://pbs.twimg.com/profile_images/660266172688916480/PpiZeJKV_normal.jpg","View")</f>
        <v>View</v>
      </c>
      <c r="P5162" s="27"/>
    </row>
    <row r="5163">
      <c r="A5163" s="14">
        <v>43031.32928240741</v>
      </c>
      <c r="B5163" s="20" t="str">
        <f>HYPERLINK("https://twitter.com/CFgmb","@CFgmb")</f>
        <v>@CFgmb</v>
      </c>
      <c r="C5163" s="21" t="s">
        <v>11822</v>
      </c>
      <c r="D5163" s="21" t="s">
        <v>11747</v>
      </c>
      <c r="E5163" s="22" t="str">
        <f>HYPERLINK("https://twitter.com/CFgmb/status/922476243991257088","922476243991257088")</f>
        <v>922476243991257088</v>
      </c>
      <c r="F5163" s="23" t="s">
        <v>427</v>
      </c>
      <c r="G5163" s="24">
        <v>314.0</v>
      </c>
      <c r="H5163" s="24">
        <v>232.0</v>
      </c>
      <c r="I5163" s="24">
        <v>6.0</v>
      </c>
      <c r="J5163" s="24">
        <v>0.0</v>
      </c>
      <c r="K5163" s="23" t="s">
        <v>34</v>
      </c>
      <c r="L5163" s="25">
        <v>41179.02951388889</v>
      </c>
      <c r="M5163" s="26" t="s">
        <v>11823</v>
      </c>
      <c r="N5163" s="26" t="s">
        <v>11824</v>
      </c>
      <c r="O5163" s="22" t="str">
        <f>HYPERLINK("https://pbs.twimg.com/profile_images/839111395572498432/-LT7C-e5_normal.jpg","View")</f>
        <v>View</v>
      </c>
      <c r="P5163" s="27"/>
    </row>
    <row r="5164">
      <c r="A5164" s="14">
        <v>43031.329571759255</v>
      </c>
      <c r="B5164" s="20" t="str">
        <f>HYPERLINK("https://twitter.com/LivingOnChi","@LivingOnChi")</f>
        <v>@LivingOnChi</v>
      </c>
      <c r="C5164" s="21" t="s">
        <v>9666</v>
      </c>
      <c r="D5164" s="21" t="s">
        <v>11825</v>
      </c>
      <c r="E5164" s="22" t="str">
        <f>HYPERLINK("https://twitter.com/LivingOnChi/status/922476350182772736","922476350182772736")</f>
        <v>922476350182772736</v>
      </c>
      <c r="F5164" s="23" t="s">
        <v>55</v>
      </c>
      <c r="G5164" s="24">
        <v>15314.0</v>
      </c>
      <c r="H5164" s="24">
        <v>2574.0</v>
      </c>
      <c r="I5164" s="24">
        <v>1.0</v>
      </c>
      <c r="J5164" s="24">
        <v>2.0</v>
      </c>
      <c r="K5164" s="23" t="s">
        <v>34</v>
      </c>
      <c r="L5164" s="25">
        <v>42094.67599537037</v>
      </c>
      <c r="M5164" s="26" t="s">
        <v>567</v>
      </c>
      <c r="N5164" s="26" t="s">
        <v>9668</v>
      </c>
      <c r="O5164" s="22" t="str">
        <f>HYPERLINK("https://pbs.twimg.com/profile_images/896112045204131840/AzzTG4oZ_normal.jpg","View")</f>
        <v>View</v>
      </c>
      <c r="P5164" s="27"/>
    </row>
    <row r="5165">
      <c r="A5165" s="14">
        <v>43031.329675925925</v>
      </c>
      <c r="B5165" s="20" t="str">
        <f>HYPERLINK("https://twitter.com/turbostocks","@turbostocks")</f>
        <v>@turbostocks</v>
      </c>
      <c r="C5165" s="21" t="s">
        <v>5588</v>
      </c>
      <c r="D5165" s="21" t="s">
        <v>11826</v>
      </c>
      <c r="E5165" s="22" t="str">
        <f>HYPERLINK("https://twitter.com/turbostocks/status/922476387541356545","922476387541356545")</f>
        <v>922476387541356545</v>
      </c>
      <c r="F5165" s="23" t="s">
        <v>187</v>
      </c>
      <c r="G5165" s="24">
        <v>2951.0</v>
      </c>
      <c r="H5165" s="24">
        <v>3485.0</v>
      </c>
      <c r="I5165" s="24">
        <v>0.0</v>
      </c>
      <c r="J5165" s="24">
        <v>1.0</v>
      </c>
      <c r="K5165" s="23" t="s">
        <v>34</v>
      </c>
      <c r="L5165" s="25">
        <v>41908.76828703703</v>
      </c>
      <c r="M5165" s="26" t="s">
        <v>1986</v>
      </c>
      <c r="N5165" s="26" t="s">
        <v>5590</v>
      </c>
      <c r="O5165" s="22" t="str">
        <f>HYPERLINK("https://pbs.twimg.com/profile_images/844239888996339712/915Nwbkj_normal.jpg","View")</f>
        <v>View</v>
      </c>
      <c r="P5165" s="27"/>
    </row>
    <row r="5166">
      <c r="A5166" s="14">
        <v>43031.329675925925</v>
      </c>
      <c r="B5166" s="20" t="str">
        <f>HYPERLINK("https://twitter.com/AnlaboTsong","@AnlaboTsong")</f>
        <v>@AnlaboTsong</v>
      </c>
      <c r="C5166" s="21" t="s">
        <v>11827</v>
      </c>
      <c r="D5166" s="21" t="s">
        <v>11828</v>
      </c>
      <c r="E5166" s="22" t="str">
        <f>HYPERLINK("https://twitter.com/AnlaboTsong/status/922476388157759489","922476388157759489")</f>
        <v>922476388157759489</v>
      </c>
      <c r="F5166" s="23" t="s">
        <v>48</v>
      </c>
      <c r="G5166" s="24">
        <v>19591.0</v>
      </c>
      <c r="H5166" s="24">
        <v>582.0</v>
      </c>
      <c r="I5166" s="24">
        <v>1.0</v>
      </c>
      <c r="J5166" s="24">
        <v>1.0</v>
      </c>
      <c r="K5166" s="23" t="s">
        <v>34</v>
      </c>
      <c r="L5166" s="25">
        <v>40965.01467592592</v>
      </c>
      <c r="M5166" s="26" t="s">
        <v>11829</v>
      </c>
      <c r="N5166" s="26" t="s">
        <v>11830</v>
      </c>
      <c r="O5166" s="22" t="str">
        <f>HYPERLINK("https://pbs.twimg.com/profile_images/915109239596580864/_65K5jQv_normal.jpg","View")</f>
        <v>View</v>
      </c>
      <c r="P5166" s="27"/>
    </row>
    <row r="5167">
      <c r="A5167" s="14">
        <v>43031.32971064815</v>
      </c>
      <c r="B5167" s="20" t="str">
        <f>HYPERLINK("https://twitter.com/Kahn_00","@Kahn_00")</f>
        <v>@Kahn_00</v>
      </c>
      <c r="C5167" s="21" t="s">
        <v>11831</v>
      </c>
      <c r="D5167" s="21" t="s">
        <v>42</v>
      </c>
      <c r="E5167" s="22" t="str">
        <f>HYPERLINK("https://twitter.com/Kahn_00/status/922476402561052672","922476402561052672")</f>
        <v>922476402561052672</v>
      </c>
      <c r="F5167" s="23" t="s">
        <v>33</v>
      </c>
      <c r="G5167" s="24">
        <v>21.0</v>
      </c>
      <c r="H5167" s="24">
        <v>160.0</v>
      </c>
      <c r="I5167" s="24">
        <v>8501.0</v>
      </c>
      <c r="J5167" s="24">
        <v>0.0</v>
      </c>
      <c r="K5167" s="23" t="s">
        <v>34</v>
      </c>
      <c r="L5167" s="25">
        <v>42524.06414351852</v>
      </c>
      <c r="M5167" s="28"/>
      <c r="N5167" s="28"/>
      <c r="O5167" s="22" t="str">
        <f>HYPERLINK("https://pbs.twimg.com/profile_images/738653823389032448/TTq_KaLy_normal.jpg","View")</f>
        <v>View</v>
      </c>
      <c r="P5167" s="27"/>
    </row>
    <row r="5168">
      <c r="A5168" s="14">
        <v>43031.32972222222</v>
      </c>
      <c r="B5168" s="20" t="str">
        <f>HYPERLINK("https://twitter.com/AlisynGayle","@AlisynGayle")</f>
        <v>@AlisynGayle</v>
      </c>
      <c r="C5168" s="21" t="s">
        <v>11832</v>
      </c>
      <c r="D5168" s="21" t="s">
        <v>108</v>
      </c>
      <c r="E5168" s="22" t="str">
        <f>HYPERLINK("https://twitter.com/AlisynGayle/status/922476403387457536","922476403387457536")</f>
        <v>922476403387457536</v>
      </c>
      <c r="F5168" s="23" t="s">
        <v>39</v>
      </c>
      <c r="G5168" s="24">
        <v>2494.0</v>
      </c>
      <c r="H5168" s="24">
        <v>1760.0</v>
      </c>
      <c r="I5168" s="24">
        <v>88.0</v>
      </c>
      <c r="J5168" s="24">
        <v>0.0</v>
      </c>
      <c r="K5168" s="23" t="s">
        <v>34</v>
      </c>
      <c r="L5168" s="25">
        <v>40134.593460648146</v>
      </c>
      <c r="M5168" s="28"/>
      <c r="N5168" s="28"/>
      <c r="O5168" s="22" t="str">
        <f>HYPERLINK("https://pbs.twimg.com/profile_images/462952291612368897/4AvbF1M-_normal.jpeg","View")</f>
        <v>View</v>
      </c>
      <c r="P5168" s="27"/>
    </row>
    <row r="5169">
      <c r="A5169" s="14">
        <v>43031.32979166666</v>
      </c>
      <c r="B5169" s="20" t="str">
        <f>HYPERLINK("https://twitter.com/Azadtiwarichun","@Azadtiwarichun")</f>
        <v>@Azadtiwarichun</v>
      </c>
      <c r="C5169" s="21" t="s">
        <v>11833</v>
      </c>
      <c r="D5169" s="21" t="s">
        <v>42</v>
      </c>
      <c r="E5169" s="22" t="str">
        <f>HYPERLINK("https://twitter.com/Azadtiwarichun/status/922476432047013888","922476432047013888")</f>
        <v>922476432047013888</v>
      </c>
      <c r="F5169" s="23" t="s">
        <v>33</v>
      </c>
      <c r="G5169" s="24">
        <v>1.0</v>
      </c>
      <c r="H5169" s="24">
        <v>100.0</v>
      </c>
      <c r="I5169" s="24">
        <v>8501.0</v>
      </c>
      <c r="J5169" s="24">
        <v>0.0</v>
      </c>
      <c r="K5169" s="23" t="s">
        <v>34</v>
      </c>
      <c r="L5169" s="25">
        <v>43025.90474537037</v>
      </c>
      <c r="M5169" s="28"/>
      <c r="N5169" s="28"/>
      <c r="O5169" s="22" t="str">
        <f>HYPERLINK("https://abs.twimg.com/sticky/default_profile_images/default_profile_normal.png","View")</f>
        <v>View</v>
      </c>
      <c r="P5169" s="27"/>
    </row>
    <row r="5170">
      <c r="A5170" s="14">
        <v>43031.329872685186</v>
      </c>
      <c r="B5170" s="20" t="str">
        <f>HYPERLINK("https://twitter.com/AlisynGayle","@AlisynGayle")</f>
        <v>@AlisynGayle</v>
      </c>
      <c r="C5170" s="21" t="s">
        <v>11832</v>
      </c>
      <c r="D5170" s="21" t="s">
        <v>760</v>
      </c>
      <c r="E5170" s="22" t="str">
        <f>HYPERLINK("https://twitter.com/AlisynGayle/status/922476461600247808","922476461600247808")</f>
        <v>922476461600247808</v>
      </c>
      <c r="F5170" s="23" t="s">
        <v>39</v>
      </c>
      <c r="G5170" s="24">
        <v>2494.0</v>
      </c>
      <c r="H5170" s="24">
        <v>1760.0</v>
      </c>
      <c r="I5170" s="24">
        <v>62.0</v>
      </c>
      <c r="J5170" s="24">
        <v>0.0</v>
      </c>
      <c r="K5170" s="23" t="s">
        <v>34</v>
      </c>
      <c r="L5170" s="25">
        <v>40134.593460648146</v>
      </c>
      <c r="M5170" s="28"/>
      <c r="N5170" s="28"/>
      <c r="O5170" s="22" t="str">
        <f>HYPERLINK("https://pbs.twimg.com/profile_images/462952291612368897/4AvbF1M-_normal.jpeg","View")</f>
        <v>View</v>
      </c>
      <c r="P5170" s="27"/>
    </row>
    <row r="5171">
      <c r="A5171" s="14">
        <v>43031.33</v>
      </c>
      <c r="B5171" s="20" t="str">
        <f>HYPERLINK("https://twitter.com/marcaross","@marcaross")</f>
        <v>@marcaross</v>
      </c>
      <c r="C5171" s="21" t="s">
        <v>11834</v>
      </c>
      <c r="D5171" s="21" t="s">
        <v>11343</v>
      </c>
      <c r="E5171" s="22" t="str">
        <f>HYPERLINK("https://twitter.com/marcaross/status/922476504474365952","922476504474365952")</f>
        <v>922476504474365952</v>
      </c>
      <c r="F5171" s="23" t="s">
        <v>4619</v>
      </c>
      <c r="G5171" s="24">
        <v>3347.0</v>
      </c>
      <c r="H5171" s="24">
        <v>1474.0</v>
      </c>
      <c r="I5171" s="24">
        <v>0.0</v>
      </c>
      <c r="J5171" s="24">
        <v>0.0</v>
      </c>
      <c r="K5171" s="23" t="s">
        <v>34</v>
      </c>
      <c r="L5171" s="25">
        <v>39821.7704050926</v>
      </c>
      <c r="M5171" s="26" t="s">
        <v>11835</v>
      </c>
      <c r="N5171" s="26" t="s">
        <v>11836</v>
      </c>
      <c r="O5171" s="22" t="str">
        <f>HYPERLINK("https://pbs.twimg.com/profile_images/818622966367981568/xquOdQFx_normal.jpg","View")</f>
        <v>View</v>
      </c>
      <c r="P5171" s="27"/>
    </row>
    <row r="5172">
      <c r="A5172" s="14">
        <v>43031.330034722225</v>
      </c>
      <c r="B5172" s="20" t="str">
        <f>HYPERLINK("https://twitter.com/BigMoneyTraders","@BigMoneyTraders")</f>
        <v>@BigMoneyTraders</v>
      </c>
      <c r="C5172" s="21" t="s">
        <v>5628</v>
      </c>
      <c r="D5172" s="21" t="s">
        <v>11837</v>
      </c>
      <c r="E5172" s="22" t="str">
        <f>HYPERLINK("https://twitter.com/BigMoneyTraders/status/922476517472526337","922476517472526337")</f>
        <v>922476517472526337</v>
      </c>
      <c r="F5172" s="23" t="s">
        <v>187</v>
      </c>
      <c r="G5172" s="24">
        <v>5398.0</v>
      </c>
      <c r="H5172" s="24">
        <v>5658.0</v>
      </c>
      <c r="I5172" s="24">
        <v>0.0</v>
      </c>
      <c r="J5172" s="24">
        <v>0.0</v>
      </c>
      <c r="K5172" s="23" t="s">
        <v>34</v>
      </c>
      <c r="L5172" s="25">
        <v>41845.68021990741</v>
      </c>
      <c r="M5172" s="26" t="s">
        <v>5630</v>
      </c>
      <c r="N5172" s="26" t="s">
        <v>5631</v>
      </c>
      <c r="O5172" s="22" t="str">
        <f>HYPERLINK("https://pbs.twimg.com/profile_images/743984165763321856/nbpig-6O_normal.jpg","View")</f>
        <v>View</v>
      </c>
      <c r="P5172" s="27"/>
    </row>
    <row r="5173">
      <c r="A5173" s="14">
        <v>43031.330046296294</v>
      </c>
      <c r="B5173" s="20" t="str">
        <f>HYPERLINK("https://twitter.com/josemedinajr","@josemedinajr")</f>
        <v>@josemedinajr</v>
      </c>
      <c r="C5173" s="21" t="s">
        <v>11510</v>
      </c>
      <c r="D5173" s="21" t="s">
        <v>11838</v>
      </c>
      <c r="E5173" s="22" t="str">
        <f>HYPERLINK("https://twitter.com/josemedinajr/status/922476522593771520","922476522593771520")</f>
        <v>922476522593771520</v>
      </c>
      <c r="F5173" s="23" t="s">
        <v>55</v>
      </c>
      <c r="G5173" s="24">
        <v>1061.0</v>
      </c>
      <c r="H5173" s="24">
        <v>668.0</v>
      </c>
      <c r="I5173" s="24">
        <v>0.0</v>
      </c>
      <c r="J5173" s="24">
        <v>0.0</v>
      </c>
      <c r="K5173" s="23" t="s">
        <v>34</v>
      </c>
      <c r="L5173" s="25">
        <v>39862.80391203704</v>
      </c>
      <c r="M5173" s="26" t="s">
        <v>11513</v>
      </c>
      <c r="N5173" s="26" t="s">
        <v>11514</v>
      </c>
      <c r="O5173" s="22" t="str">
        <f>HYPERLINK("https://pbs.twimg.com/profile_images/829519558482468865/-YoKQtEC_normal.jpg","View")</f>
        <v>View</v>
      </c>
      <c r="P5173" s="27"/>
    </row>
    <row r="5174">
      <c r="A5174" s="14">
        <v>43031.330046296294</v>
      </c>
      <c r="B5174" s="20" t="str">
        <f>HYPERLINK("https://twitter.com/JimCrump5","@JimCrump5")</f>
        <v>@JimCrump5</v>
      </c>
      <c r="C5174" s="21" t="s">
        <v>11839</v>
      </c>
      <c r="D5174" s="21" t="s">
        <v>11750</v>
      </c>
      <c r="E5174" s="22" t="str">
        <f>HYPERLINK("https://twitter.com/JimCrump5/status/922476523159937025","922476523159937025")</f>
        <v>922476523159937025</v>
      </c>
      <c r="F5174" s="23" t="s">
        <v>230</v>
      </c>
      <c r="G5174" s="24">
        <v>436.0</v>
      </c>
      <c r="H5174" s="24">
        <v>821.0</v>
      </c>
      <c r="I5174" s="24">
        <v>35.0</v>
      </c>
      <c r="J5174" s="24">
        <v>0.0</v>
      </c>
      <c r="K5174" s="23" t="s">
        <v>34</v>
      </c>
      <c r="L5174" s="25">
        <v>42943.85121527778</v>
      </c>
      <c r="M5174" s="26" t="s">
        <v>1961</v>
      </c>
      <c r="N5174" s="26" t="s">
        <v>11840</v>
      </c>
      <c r="O5174" s="22" t="str">
        <f>HYPERLINK("https://abs.twimg.com/sticky/default_profile_images/default_profile_normal.png","View")</f>
        <v>View</v>
      </c>
      <c r="P5174" s="27"/>
    </row>
    <row r="5175">
      <c r="A5175" s="14">
        <v>43031.33010416667</v>
      </c>
      <c r="B5175" s="20" t="str">
        <f>HYPERLINK("https://twitter.com/griffin_muhati","@griffin_muhati")</f>
        <v>@griffin_muhati</v>
      </c>
      <c r="C5175" s="21" t="s">
        <v>11841</v>
      </c>
      <c r="D5175" s="21" t="s">
        <v>32</v>
      </c>
      <c r="E5175" s="22" t="str">
        <f>HYPERLINK("https://twitter.com/griffin_muhati/status/922476543506513922","922476543506513922")</f>
        <v>922476543506513922</v>
      </c>
      <c r="F5175" s="23" t="s">
        <v>33</v>
      </c>
      <c r="G5175" s="24">
        <v>36.0</v>
      </c>
      <c r="H5175" s="24">
        <v>197.0</v>
      </c>
      <c r="I5175" s="24">
        <v>471.0</v>
      </c>
      <c r="J5175" s="24">
        <v>0.0</v>
      </c>
      <c r="K5175" s="23" t="s">
        <v>34</v>
      </c>
      <c r="L5175" s="25">
        <v>42947.214004629626</v>
      </c>
      <c r="M5175" s="28"/>
      <c r="N5175" s="28"/>
      <c r="O5175" s="22" t="str">
        <f>HYPERLINK("https://pbs.twimg.com/profile_images/920327594511421440/HjBwJqhu_normal.jpg","View")</f>
        <v>View</v>
      </c>
      <c r="P5175" s="27"/>
    </row>
    <row r="5176">
      <c r="A5176" s="14">
        <v>43031.33015046296</v>
      </c>
      <c r="B5176" s="20" t="str">
        <f>HYPERLINK("https://twitter.com/InderjeetKhann5","@InderjeetKhann5")</f>
        <v>@InderjeetKhann5</v>
      </c>
      <c r="C5176" s="21" t="s">
        <v>11842</v>
      </c>
      <c r="D5176" s="21" t="s">
        <v>11595</v>
      </c>
      <c r="E5176" s="22" t="str">
        <f>HYPERLINK("https://twitter.com/InderjeetKhann5/status/922476558765342721","922476558765342721")</f>
        <v>922476558765342721</v>
      </c>
      <c r="F5176" s="23" t="s">
        <v>33</v>
      </c>
      <c r="G5176" s="24">
        <v>229.0</v>
      </c>
      <c r="H5176" s="24">
        <v>1995.0</v>
      </c>
      <c r="I5176" s="24">
        <v>10.0</v>
      </c>
      <c r="J5176" s="24">
        <v>0.0</v>
      </c>
      <c r="K5176" s="23" t="s">
        <v>34</v>
      </c>
      <c r="L5176" s="25">
        <v>42216.40479166667</v>
      </c>
      <c r="M5176" s="28"/>
      <c r="N5176" s="26" t="s">
        <v>11843</v>
      </c>
      <c r="O5176" s="22" t="str">
        <f>HYPERLINK("https://pbs.twimg.com/profile_images/830325787358138368/NGlbTtZ0_normal.jpg","View")</f>
        <v>View</v>
      </c>
      <c r="P5176" s="27"/>
    </row>
    <row r="5177">
      <c r="A5177" s="14">
        <v>43031.33023148148</v>
      </c>
      <c r="B5177" s="20" t="str">
        <f>HYPERLINK("https://twitter.com/CKALEHPgh2PQVuu","@CKALEHPgh2PQVuu")</f>
        <v>@CKALEHPgh2PQVuu</v>
      </c>
      <c r="C5177" s="21" t="s">
        <v>11844</v>
      </c>
      <c r="D5177" s="21" t="s">
        <v>42</v>
      </c>
      <c r="E5177" s="22" t="str">
        <f>HYPERLINK("https://twitter.com/CKALEHPgh2PQVuu/status/922476589111066624","922476589111066624")</f>
        <v>922476589111066624</v>
      </c>
      <c r="F5177" s="23" t="s">
        <v>230</v>
      </c>
      <c r="G5177" s="24">
        <v>177.0</v>
      </c>
      <c r="H5177" s="24">
        <v>208.0</v>
      </c>
      <c r="I5177" s="24">
        <v>8501.0</v>
      </c>
      <c r="J5177" s="24">
        <v>0.0</v>
      </c>
      <c r="K5177" s="23" t="s">
        <v>34</v>
      </c>
      <c r="L5177" s="25">
        <v>42930.03376157407</v>
      </c>
      <c r="M5177" s="26" t="s">
        <v>210</v>
      </c>
      <c r="N5177" s="26" t="s">
        <v>11845</v>
      </c>
      <c r="O5177" s="22" t="str">
        <f>HYPERLINK("https://pbs.twimg.com/profile_images/885818613944393728/Ezk3icZq_normal.jpg","View")</f>
        <v>View</v>
      </c>
      <c r="P5177" s="27"/>
    </row>
    <row r="5178">
      <c r="A5178" s="14">
        <v>43031.33023148148</v>
      </c>
      <c r="B5178" s="20" t="str">
        <f>HYPERLINK("https://twitter.com/Aryavrata001","@Aryavrata001")</f>
        <v>@Aryavrata001</v>
      </c>
      <c r="C5178" s="21" t="s">
        <v>11846</v>
      </c>
      <c r="D5178" s="21" t="s">
        <v>42</v>
      </c>
      <c r="E5178" s="22" t="str">
        <f>HYPERLINK("https://twitter.com/Aryavrata001/status/922476591568916480","922476591568916480")</f>
        <v>922476591568916480</v>
      </c>
      <c r="F5178" s="23" t="s">
        <v>33</v>
      </c>
      <c r="G5178" s="24">
        <v>349.0</v>
      </c>
      <c r="H5178" s="24">
        <v>622.0</v>
      </c>
      <c r="I5178" s="24">
        <v>8501.0</v>
      </c>
      <c r="J5178" s="24">
        <v>0.0</v>
      </c>
      <c r="K5178" s="23" t="s">
        <v>34</v>
      </c>
      <c r="L5178" s="25">
        <v>40135.00922453704</v>
      </c>
      <c r="M5178" s="26" t="s">
        <v>423</v>
      </c>
      <c r="N5178" s="26" t="s">
        <v>11847</v>
      </c>
      <c r="O5178" s="22" t="str">
        <f>HYPERLINK("https://pbs.twimg.com/profile_images/835182116124016642/TO-cJNus_normal.jpg","View")</f>
        <v>View</v>
      </c>
      <c r="P5178" s="27"/>
    </row>
    <row r="5179">
      <c r="A5179" s="14">
        <v>43031.33027777778</v>
      </c>
      <c r="B5179" s="20" t="str">
        <f>HYPERLINK("https://twitter.com/ness_herrero","@ness_herrero")</f>
        <v>@ness_herrero</v>
      </c>
      <c r="C5179" s="21" t="s">
        <v>11848</v>
      </c>
      <c r="D5179" s="21" t="s">
        <v>108</v>
      </c>
      <c r="E5179" s="22" t="str">
        <f>HYPERLINK("https://twitter.com/ness_herrero/status/922476606488158215","922476606488158215")</f>
        <v>922476606488158215</v>
      </c>
      <c r="F5179" s="23" t="s">
        <v>39</v>
      </c>
      <c r="G5179" s="24">
        <v>356.0</v>
      </c>
      <c r="H5179" s="24">
        <v>1256.0</v>
      </c>
      <c r="I5179" s="24">
        <v>88.0</v>
      </c>
      <c r="J5179" s="24">
        <v>0.0</v>
      </c>
      <c r="K5179" s="23" t="s">
        <v>34</v>
      </c>
      <c r="L5179" s="25">
        <v>40571.84951388889</v>
      </c>
      <c r="M5179" s="28"/>
      <c r="N5179" s="26" t="s">
        <v>11849</v>
      </c>
      <c r="O5179" s="22" t="str">
        <f>HYPERLINK("https://pbs.twimg.com/profile_images/3694922805/99cf873c7d50cbe739827abe7cc192a4_normal.jpeg","View")</f>
        <v>View</v>
      </c>
      <c r="P5179" s="27"/>
    </row>
    <row r="5180">
      <c r="A5180" s="14">
        <v>43031.33038194444</v>
      </c>
      <c r="B5180" s="20" t="str">
        <f>HYPERLINK("https://twitter.com/NewsBossIndia","@NewsBossIndia")</f>
        <v>@NewsBossIndia</v>
      </c>
      <c r="C5180" s="29" t="s">
        <v>148</v>
      </c>
      <c r="D5180" s="21" t="s">
        <v>11850</v>
      </c>
      <c r="E5180" s="22" t="str">
        <f>HYPERLINK("https://twitter.com/NewsBossIndia/status/922476646178811905","922476646178811905")</f>
        <v>922476646178811905</v>
      </c>
      <c r="F5180" s="30" t="s">
        <v>148</v>
      </c>
      <c r="G5180" s="24">
        <v>991.0</v>
      </c>
      <c r="H5180" s="24">
        <v>1.0</v>
      </c>
      <c r="I5180" s="24">
        <v>0.0</v>
      </c>
      <c r="J5180" s="24">
        <v>0.0</v>
      </c>
      <c r="K5180" s="23" t="s">
        <v>34</v>
      </c>
      <c r="L5180" s="25">
        <v>42564.38061342592</v>
      </c>
      <c r="M5180" s="28"/>
      <c r="N5180" s="26" t="s">
        <v>150</v>
      </c>
      <c r="O5180" s="22" t="str">
        <f>HYPERLINK("https://pbs.twimg.com/profile_images/753260679692333057/AS4Xiw4q_normal.jpg","View")</f>
        <v>View</v>
      </c>
      <c r="P5180" s="27"/>
    </row>
    <row r="5181">
      <c r="A5181" s="14">
        <v>43031.330405092594</v>
      </c>
      <c r="B5181" s="20" t="str">
        <f>HYPERLINK("https://twitter.com/heungyu","@heungyu")</f>
        <v>@heungyu</v>
      </c>
      <c r="C5181" s="21" t="s">
        <v>11851</v>
      </c>
      <c r="D5181" s="21" t="s">
        <v>10614</v>
      </c>
      <c r="E5181" s="22" t="str">
        <f>HYPERLINK("https://twitter.com/heungyu/status/922476654097850369","922476654097850369")</f>
        <v>922476654097850369</v>
      </c>
      <c r="F5181" s="23" t="s">
        <v>39</v>
      </c>
      <c r="G5181" s="24">
        <v>75.0</v>
      </c>
      <c r="H5181" s="24">
        <v>217.0</v>
      </c>
      <c r="I5181" s="24">
        <v>159.0</v>
      </c>
      <c r="J5181" s="24">
        <v>0.0</v>
      </c>
      <c r="K5181" s="23" t="s">
        <v>34</v>
      </c>
      <c r="L5181" s="25">
        <v>40143.48609953704</v>
      </c>
      <c r="M5181" s="26" t="s">
        <v>11852</v>
      </c>
      <c r="N5181" s="26" t="s">
        <v>11853</v>
      </c>
      <c r="O5181" s="22" t="str">
        <f>HYPERLINK("https://pbs.twimg.com/profile_images/905251833576345601/p2aERwC4_normal.jpg","View")</f>
        <v>View</v>
      </c>
      <c r="P5181" s="27"/>
    </row>
    <row r="5182">
      <c r="A5182" s="14">
        <v>43031.33059027778</v>
      </c>
      <c r="B5182" s="20" t="str">
        <f>HYPERLINK("https://twitter.com/manjusrinivas","@manjusrinivas")</f>
        <v>@manjusrinivas</v>
      </c>
      <c r="C5182" s="21" t="s">
        <v>11854</v>
      </c>
      <c r="D5182" s="21" t="s">
        <v>42</v>
      </c>
      <c r="E5182" s="22" t="str">
        <f>HYPERLINK("https://twitter.com/manjusrinivas/status/922476721248518145","922476721248518145")</f>
        <v>922476721248518145</v>
      </c>
      <c r="F5182" s="23" t="s">
        <v>39</v>
      </c>
      <c r="G5182" s="24">
        <v>247.0</v>
      </c>
      <c r="H5182" s="24">
        <v>335.0</v>
      </c>
      <c r="I5182" s="24">
        <v>8501.0</v>
      </c>
      <c r="J5182" s="24">
        <v>0.0</v>
      </c>
      <c r="K5182" s="23" t="s">
        <v>34</v>
      </c>
      <c r="L5182" s="25">
        <v>39996.097546296296</v>
      </c>
      <c r="M5182" s="26" t="s">
        <v>7206</v>
      </c>
      <c r="N5182" s="26" t="s">
        <v>11855</v>
      </c>
      <c r="O5182" s="22" t="str">
        <f>HYPERLINK("https://pbs.twimg.com/profile_images/459045782121742336/9XCql1zs_normal.png","View")</f>
        <v>View</v>
      </c>
      <c r="P5182" s="27"/>
    </row>
    <row r="5183">
      <c r="A5183" s="14">
        <v>43031.33059027778</v>
      </c>
      <c r="B5183" s="20" t="str">
        <f>HYPERLINK("https://twitter.com/Avinax4","@Avinax4")</f>
        <v>@Avinax4</v>
      </c>
      <c r="C5183" s="21" t="s">
        <v>11856</v>
      </c>
      <c r="D5183" s="21" t="s">
        <v>42</v>
      </c>
      <c r="E5183" s="22" t="str">
        <f>HYPERLINK("https://twitter.com/Avinax4/status/922476721315520512","922476721315520512")</f>
        <v>922476721315520512</v>
      </c>
      <c r="F5183" s="23" t="s">
        <v>33</v>
      </c>
      <c r="G5183" s="24">
        <v>92.0</v>
      </c>
      <c r="H5183" s="24">
        <v>737.0</v>
      </c>
      <c r="I5183" s="24">
        <v>8501.0</v>
      </c>
      <c r="J5183" s="24">
        <v>0.0</v>
      </c>
      <c r="K5183" s="23" t="s">
        <v>34</v>
      </c>
      <c r="L5183" s="25">
        <v>42999.33671296296</v>
      </c>
      <c r="M5183" s="26" t="s">
        <v>68</v>
      </c>
      <c r="N5183" s="28"/>
      <c r="O5183" s="22" t="str">
        <f>HYPERLINK("https://pbs.twimg.com/profile_images/922476520823590912/LyGy9IZf_normal.jpg","View")</f>
        <v>View</v>
      </c>
      <c r="P5183" s="27"/>
    </row>
    <row r="5184">
      <c r="A5184" s="14">
        <v>43031.330625</v>
      </c>
      <c r="B5184" s="20" t="str">
        <f t="shared" ref="B5184:B5185" si="81">HYPERLINK("https://twitter.com/NewsBossIndia","@NewsBossIndia")</f>
        <v>@NewsBossIndia</v>
      </c>
      <c r="C5184" s="29" t="s">
        <v>148</v>
      </c>
      <c r="D5184" s="21" t="s">
        <v>11857</v>
      </c>
      <c r="E5184" s="22" t="str">
        <f>HYPERLINK("https://twitter.com/NewsBossIndia/status/922476732791189505","922476732791189505")</f>
        <v>922476732791189505</v>
      </c>
      <c r="F5184" s="30" t="s">
        <v>148</v>
      </c>
      <c r="G5184" s="24">
        <v>991.0</v>
      </c>
      <c r="H5184" s="24">
        <v>1.0</v>
      </c>
      <c r="I5184" s="24">
        <v>0.0</v>
      </c>
      <c r="J5184" s="24">
        <v>0.0</v>
      </c>
      <c r="K5184" s="23" t="s">
        <v>34</v>
      </c>
      <c r="L5184" s="25">
        <v>42564.38061342592</v>
      </c>
      <c r="M5184" s="28"/>
      <c r="N5184" s="26" t="s">
        <v>150</v>
      </c>
      <c r="O5184" s="22" t="str">
        <f t="shared" ref="O5184:O5185" si="82">HYPERLINK("https://pbs.twimg.com/profile_images/753260679692333057/AS4Xiw4q_normal.jpg","View")</f>
        <v>View</v>
      </c>
      <c r="P5184" s="27"/>
    </row>
    <row r="5185">
      <c r="A5185" s="14">
        <v>43031.330659722225</v>
      </c>
      <c r="B5185" s="20" t="str">
        <f t="shared" si="81"/>
        <v>@NewsBossIndia</v>
      </c>
      <c r="C5185" s="29" t="s">
        <v>148</v>
      </c>
      <c r="D5185" s="21" t="s">
        <v>11858</v>
      </c>
      <c r="E5185" s="22" t="str">
        <f>HYPERLINK("https://twitter.com/NewsBossIndia/status/922476745982337024","922476745982337024")</f>
        <v>922476745982337024</v>
      </c>
      <c r="F5185" s="30" t="s">
        <v>148</v>
      </c>
      <c r="G5185" s="24">
        <v>991.0</v>
      </c>
      <c r="H5185" s="24">
        <v>1.0</v>
      </c>
      <c r="I5185" s="24">
        <v>0.0</v>
      </c>
      <c r="J5185" s="24">
        <v>0.0</v>
      </c>
      <c r="K5185" s="23" t="s">
        <v>34</v>
      </c>
      <c r="L5185" s="25">
        <v>42564.38061342592</v>
      </c>
      <c r="M5185" s="28"/>
      <c r="N5185" s="26" t="s">
        <v>150</v>
      </c>
      <c r="O5185" s="22" t="str">
        <f t="shared" si="82"/>
        <v>View</v>
      </c>
      <c r="P5185" s="27"/>
    </row>
    <row r="5186">
      <c r="A5186" s="14">
        <v>43031.33072916667</v>
      </c>
      <c r="B5186" s="20" t="str">
        <f>HYPERLINK("https://twitter.com/slammingpicks","@slammingpicks")</f>
        <v>@slammingpicks</v>
      </c>
      <c r="C5186" s="21" t="s">
        <v>5703</v>
      </c>
      <c r="D5186" s="21" t="s">
        <v>11859</v>
      </c>
      <c r="E5186" s="22" t="str">
        <f>HYPERLINK("https://twitter.com/slammingpicks/status/922476771492225024","922476771492225024")</f>
        <v>922476771492225024</v>
      </c>
      <c r="F5186" s="23" t="s">
        <v>187</v>
      </c>
      <c r="G5186" s="24">
        <v>4129.0</v>
      </c>
      <c r="H5186" s="24">
        <v>4646.0</v>
      </c>
      <c r="I5186" s="24">
        <v>0.0</v>
      </c>
      <c r="J5186" s="24">
        <v>0.0</v>
      </c>
      <c r="K5186" s="23" t="s">
        <v>34</v>
      </c>
      <c r="L5186" s="25">
        <v>40961.83384259259</v>
      </c>
      <c r="M5186" s="26" t="s">
        <v>5705</v>
      </c>
      <c r="N5186" s="26" t="s">
        <v>5706</v>
      </c>
      <c r="O5186" s="22" t="str">
        <f>HYPERLINK("https://pbs.twimg.com/profile_images/735974135579447296/8HEhazHN_normal.jpg","View")</f>
        <v>View</v>
      </c>
      <c r="P5186" s="27"/>
    </row>
    <row r="5187">
      <c r="A5187" s="14">
        <v>43031.330775462964</v>
      </c>
      <c r="B5187" s="20" t="str">
        <f>HYPERLINK("https://twitter.com/TFTCS","@TFTCS")</f>
        <v>@TFTCS</v>
      </c>
      <c r="C5187" s="21" t="s">
        <v>1851</v>
      </c>
      <c r="D5187" s="21" t="s">
        <v>11860</v>
      </c>
      <c r="E5187" s="22" t="str">
        <f>HYPERLINK("https://twitter.com/TFTCS/status/922476786549710848","922476786549710848")</f>
        <v>922476786549710848</v>
      </c>
      <c r="F5187" s="23" t="s">
        <v>187</v>
      </c>
      <c r="G5187" s="24">
        <v>4389.0</v>
      </c>
      <c r="H5187" s="24">
        <v>4555.0</v>
      </c>
      <c r="I5187" s="24">
        <v>0.0</v>
      </c>
      <c r="J5187" s="24">
        <v>0.0</v>
      </c>
      <c r="K5187" s="23" t="s">
        <v>34</v>
      </c>
      <c r="L5187" s="25">
        <v>41868.76810185185</v>
      </c>
      <c r="M5187" s="26" t="s">
        <v>1853</v>
      </c>
      <c r="N5187" s="26" t="s">
        <v>1854</v>
      </c>
      <c r="O5187" s="22" t="str">
        <f>HYPERLINK("https://pbs.twimg.com/profile_images/736027772800368640/DdLGgNNU_normal.jpg","View")</f>
        <v>View</v>
      </c>
      <c r="P5187" s="27"/>
    </row>
    <row r="5188">
      <c r="A5188" s="14">
        <v>43031.330775462964</v>
      </c>
      <c r="B5188" s="20" t="str">
        <f>HYPERLINK("https://twitter.com/vetriii","@vetriii")</f>
        <v>@vetriii</v>
      </c>
      <c r="C5188" s="21" t="s">
        <v>11861</v>
      </c>
      <c r="D5188" s="21" t="s">
        <v>42</v>
      </c>
      <c r="E5188" s="22" t="str">
        <f>HYPERLINK("https://twitter.com/vetriii/status/922476789062033409","922476789062033409")</f>
        <v>922476789062033409</v>
      </c>
      <c r="F5188" s="23" t="s">
        <v>33</v>
      </c>
      <c r="G5188" s="24">
        <v>1633.0</v>
      </c>
      <c r="H5188" s="24">
        <v>4984.0</v>
      </c>
      <c r="I5188" s="24">
        <v>8501.0</v>
      </c>
      <c r="J5188" s="24">
        <v>0.0</v>
      </c>
      <c r="K5188" s="23" t="s">
        <v>34</v>
      </c>
      <c r="L5188" s="25">
        <v>40360.18371527777</v>
      </c>
      <c r="M5188" s="28"/>
      <c r="N5188" s="26" t="s">
        <v>11862</v>
      </c>
      <c r="O5188" s="22" t="str">
        <f>HYPERLINK("https://pbs.twimg.com/profile_images/914734118876749824/HKX64QUm_normal.jpg","View")</f>
        <v>View</v>
      </c>
      <c r="P5188" s="27"/>
    </row>
    <row r="5189">
      <c r="A5189" s="14">
        <v>43031.33084490741</v>
      </c>
      <c r="B5189" s="20" t="str">
        <f>HYPERLINK("https://twitter.com/dk_singhal","@dk_singhal")</f>
        <v>@dk_singhal</v>
      </c>
      <c r="C5189" s="21" t="s">
        <v>11863</v>
      </c>
      <c r="D5189" s="21" t="s">
        <v>42</v>
      </c>
      <c r="E5189" s="22" t="str">
        <f>HYPERLINK("https://twitter.com/dk_singhal/status/922476812877357057","922476812877357057")</f>
        <v>922476812877357057</v>
      </c>
      <c r="F5189" s="23" t="s">
        <v>55</v>
      </c>
      <c r="G5189" s="24">
        <v>5.0</v>
      </c>
      <c r="H5189" s="24">
        <v>7.0</v>
      </c>
      <c r="I5189" s="24">
        <v>8501.0</v>
      </c>
      <c r="J5189" s="24">
        <v>0.0</v>
      </c>
      <c r="K5189" s="23" t="s">
        <v>34</v>
      </c>
      <c r="L5189" s="25">
        <v>42278.26788194444</v>
      </c>
      <c r="M5189" s="26" t="s">
        <v>40</v>
      </c>
      <c r="N5189" s="26" t="s">
        <v>11864</v>
      </c>
      <c r="O5189" s="22" t="str">
        <f>HYPERLINK("https://pbs.twimg.com/profile_images/649577494811701248/wuJdyOpS_normal.jpg","View")</f>
        <v>View</v>
      </c>
      <c r="P5189" s="27"/>
    </row>
    <row r="5190">
      <c r="A5190" s="14">
        <v>43031.330925925926</v>
      </c>
      <c r="B5190" s="20" t="str">
        <f>HYPERLINK("https://twitter.com/mailranjitswain","@mailranjitswain")</f>
        <v>@mailranjitswain</v>
      </c>
      <c r="C5190" s="21" t="s">
        <v>11865</v>
      </c>
      <c r="D5190" s="21" t="s">
        <v>11595</v>
      </c>
      <c r="E5190" s="22" t="str">
        <f>HYPERLINK("https://twitter.com/mailranjitswain/status/922476839758585856","922476839758585856")</f>
        <v>922476839758585856</v>
      </c>
      <c r="F5190" s="23" t="s">
        <v>33</v>
      </c>
      <c r="G5190" s="24">
        <v>165.0</v>
      </c>
      <c r="H5190" s="24">
        <v>305.0</v>
      </c>
      <c r="I5190" s="24">
        <v>10.0</v>
      </c>
      <c r="J5190" s="24">
        <v>0.0</v>
      </c>
      <c r="K5190" s="23" t="s">
        <v>34</v>
      </c>
      <c r="L5190" s="25">
        <v>41053.042592592596</v>
      </c>
      <c r="M5190" s="26" t="s">
        <v>572</v>
      </c>
      <c r="N5190" s="26" t="s">
        <v>11866</v>
      </c>
      <c r="O5190" s="22" t="str">
        <f>HYPERLINK("https://pbs.twimg.com/profile_images/2245691877/img001_normal.JPG","View")</f>
        <v>View</v>
      </c>
      <c r="P5190" s="27"/>
    </row>
    <row r="5191">
      <c r="A5191" s="14">
        <v>43031.33096064815</v>
      </c>
      <c r="B5191" s="20" t="str">
        <f>HYPERLINK("https://twitter.com/tripurarips","@tripurarips")</f>
        <v>@tripurarips</v>
      </c>
      <c r="C5191" s="21" t="s">
        <v>11867</v>
      </c>
      <c r="D5191" s="21" t="s">
        <v>42</v>
      </c>
      <c r="E5191" s="22" t="str">
        <f>HYPERLINK("https://twitter.com/tripurarips/status/922476855084531717","922476855084531717")</f>
        <v>922476855084531717</v>
      </c>
      <c r="F5191" s="23" t="s">
        <v>33</v>
      </c>
      <c r="G5191" s="24">
        <v>2228.0</v>
      </c>
      <c r="H5191" s="24">
        <v>1811.0</v>
      </c>
      <c r="I5191" s="24">
        <v>8501.0</v>
      </c>
      <c r="J5191" s="24">
        <v>0.0</v>
      </c>
      <c r="K5191" s="23" t="s">
        <v>34</v>
      </c>
      <c r="L5191" s="25">
        <v>41957.449421296296</v>
      </c>
      <c r="M5191" s="26" t="s">
        <v>227</v>
      </c>
      <c r="N5191" s="26" t="s">
        <v>11868</v>
      </c>
      <c r="O5191" s="22" t="str">
        <f>HYPERLINK("https://pbs.twimg.com/profile_images/893753165467615232/s1ysFL9d_normal.jpg","View")</f>
        <v>View</v>
      </c>
      <c r="P5191" s="27"/>
    </row>
    <row r="5192">
      <c r="A5192" s="14">
        <v>43031.331030092595</v>
      </c>
      <c r="B5192" s="20" t="str">
        <f>HYPERLINK("https://twitter.com/shashikrsinha1","@shashikrsinha1")</f>
        <v>@shashikrsinha1</v>
      </c>
      <c r="C5192" s="21" t="s">
        <v>11869</v>
      </c>
      <c r="D5192" s="21" t="s">
        <v>42</v>
      </c>
      <c r="E5192" s="22" t="str">
        <f>HYPERLINK("https://twitter.com/shashikrsinha1/status/922476881370169346","922476881370169346")</f>
        <v>922476881370169346</v>
      </c>
      <c r="F5192" s="23" t="s">
        <v>33</v>
      </c>
      <c r="G5192" s="24">
        <v>61.0</v>
      </c>
      <c r="H5192" s="24">
        <v>145.0</v>
      </c>
      <c r="I5192" s="24">
        <v>8501.0</v>
      </c>
      <c r="J5192" s="24">
        <v>0.0</v>
      </c>
      <c r="K5192" s="23" t="s">
        <v>34</v>
      </c>
      <c r="L5192" s="25">
        <v>42948.842256944445</v>
      </c>
      <c r="M5192" s="28"/>
      <c r="N5192" s="28"/>
      <c r="O5192" s="22" t="str">
        <f>HYPERLINK("https://pbs.twimg.com/profile_images/892586793383542785/WRAhhEcw_normal.jpg","View")</f>
        <v>View</v>
      </c>
      <c r="P5192" s="27"/>
    </row>
    <row r="5193">
      <c r="A5193" s="14">
        <v>43031.33106481482</v>
      </c>
      <c r="B5193" s="20" t="str">
        <f>HYPERLINK("https://twitter.com/TradeWithSuper","@TradeWithSuper")</f>
        <v>@TradeWithSuper</v>
      </c>
      <c r="C5193" s="21" t="s">
        <v>5664</v>
      </c>
      <c r="D5193" s="21" t="s">
        <v>11870</v>
      </c>
      <c r="E5193" s="22" t="str">
        <f>HYPERLINK("https://twitter.com/TradeWithSuper/status/922476892917202944","922476892917202944")</f>
        <v>922476892917202944</v>
      </c>
      <c r="F5193" s="23" t="s">
        <v>187</v>
      </c>
      <c r="G5193" s="24">
        <v>4146.0</v>
      </c>
      <c r="H5193" s="24">
        <v>4641.0</v>
      </c>
      <c r="I5193" s="24">
        <v>0.0</v>
      </c>
      <c r="J5193" s="24">
        <v>0.0</v>
      </c>
      <c r="K5193" s="23" t="s">
        <v>34</v>
      </c>
      <c r="L5193" s="25">
        <v>41665.828125</v>
      </c>
      <c r="M5193" s="26" t="s">
        <v>5666</v>
      </c>
      <c r="N5193" s="26" t="s">
        <v>5667</v>
      </c>
      <c r="O5193" s="22" t="str">
        <f>HYPERLINK("https://pbs.twimg.com/profile_images/730814770186620928/lFK0zCBG_normal.jpg","View")</f>
        <v>View</v>
      </c>
      <c r="P5193" s="27"/>
    </row>
    <row r="5194">
      <c r="A5194" s="14">
        <v>43031.33127314815</v>
      </c>
      <c r="B5194" s="20" t="str">
        <f>HYPERLINK("https://twitter.com/bishopgames","@bishopgames")</f>
        <v>@bishopgames</v>
      </c>
      <c r="C5194" s="21" t="s">
        <v>11871</v>
      </c>
      <c r="D5194" s="21" t="s">
        <v>10904</v>
      </c>
      <c r="E5194" s="22" t="str">
        <f>HYPERLINK("https://twitter.com/bishopgames/status/922476968817422337","922476968817422337")</f>
        <v>922476968817422337</v>
      </c>
      <c r="F5194" s="23" t="s">
        <v>33</v>
      </c>
      <c r="G5194" s="24">
        <v>1006.0</v>
      </c>
      <c r="H5194" s="24">
        <v>2905.0</v>
      </c>
      <c r="I5194" s="24">
        <v>35.0</v>
      </c>
      <c r="J5194" s="24">
        <v>0.0</v>
      </c>
      <c r="K5194" s="23" t="s">
        <v>34</v>
      </c>
      <c r="L5194" s="25">
        <v>41483.55105324074</v>
      </c>
      <c r="M5194" s="26" t="s">
        <v>905</v>
      </c>
      <c r="N5194" s="26" t="s">
        <v>11872</v>
      </c>
      <c r="O5194" s="22" t="str">
        <f>HYPERLINK("https://pbs.twimg.com/profile_images/682200309964353536/9OR9WJoM_normal.jpg","View")</f>
        <v>View</v>
      </c>
      <c r="P5194" s="27"/>
    </row>
    <row r="5195">
      <c r="A5195" s="14">
        <v>43031.33137731481</v>
      </c>
      <c r="B5195" s="20" t="str">
        <f>HYPERLINK("https://twitter.com/NewsBossIndia","@NewsBossIndia")</f>
        <v>@NewsBossIndia</v>
      </c>
      <c r="C5195" s="29" t="s">
        <v>148</v>
      </c>
      <c r="D5195" s="21" t="s">
        <v>11873</v>
      </c>
      <c r="E5195" s="22" t="str">
        <f>HYPERLINK("https://twitter.com/NewsBossIndia/status/922477003881590784","922477003881590784")</f>
        <v>922477003881590784</v>
      </c>
      <c r="F5195" s="30" t="s">
        <v>148</v>
      </c>
      <c r="G5195" s="24">
        <v>991.0</v>
      </c>
      <c r="H5195" s="24">
        <v>1.0</v>
      </c>
      <c r="I5195" s="24">
        <v>0.0</v>
      </c>
      <c r="J5195" s="24">
        <v>0.0</v>
      </c>
      <c r="K5195" s="23" t="s">
        <v>34</v>
      </c>
      <c r="L5195" s="25">
        <v>42564.38061342592</v>
      </c>
      <c r="M5195" s="28"/>
      <c r="N5195" s="26" t="s">
        <v>150</v>
      </c>
      <c r="O5195" s="22" t="str">
        <f>HYPERLINK("https://pbs.twimg.com/profile_images/753260679692333057/AS4Xiw4q_normal.jpg","View")</f>
        <v>View</v>
      </c>
      <c r="P5195" s="27"/>
    </row>
    <row r="5196">
      <c r="A5196" s="14">
        <v>43031.3315162037</v>
      </c>
      <c r="B5196" s="20" t="str">
        <f>HYPERLINK("https://twitter.com/breaking_news_4","@breaking_news_4")</f>
        <v>@breaking_news_4</v>
      </c>
      <c r="C5196" s="21" t="s">
        <v>5830</v>
      </c>
      <c r="D5196" s="21" t="s">
        <v>11874</v>
      </c>
      <c r="E5196" s="22" t="str">
        <f>HYPERLINK("https://twitter.com/breaking_news_4/status/922477056600002560","922477056600002560")</f>
        <v>922477056600002560</v>
      </c>
      <c r="F5196" s="23" t="s">
        <v>187</v>
      </c>
      <c r="G5196" s="24">
        <v>1564.0</v>
      </c>
      <c r="H5196" s="24">
        <v>168.0</v>
      </c>
      <c r="I5196" s="24">
        <v>0.0</v>
      </c>
      <c r="J5196" s="24">
        <v>0.0</v>
      </c>
      <c r="K5196" s="23" t="s">
        <v>34</v>
      </c>
      <c r="L5196" s="25">
        <v>41323.59861111111</v>
      </c>
      <c r="M5196" s="28"/>
      <c r="N5196" s="28"/>
      <c r="O5196" s="22" t="str">
        <f>HYPERLINK("https://pbs.twimg.com/profile_images/3506234829/a38e573d69ee71fcc25830b97d00c179_normal.png","View")</f>
        <v>View</v>
      </c>
      <c r="P5196" s="27"/>
    </row>
    <row r="5197">
      <c r="A5197" s="14">
        <v>43031.33155092593</v>
      </c>
      <c r="B5197" s="20" t="str">
        <f>HYPERLINK("https://twitter.com/thischeena","@thischeena")</f>
        <v>@thischeena</v>
      </c>
      <c r="C5197" s="21" t="s">
        <v>11875</v>
      </c>
      <c r="D5197" s="21" t="s">
        <v>42</v>
      </c>
      <c r="E5197" s="22" t="str">
        <f>HYPERLINK("https://twitter.com/thischeena/status/922477070063505408","922477070063505408")</f>
        <v>922477070063505408</v>
      </c>
      <c r="F5197" s="23" t="s">
        <v>43</v>
      </c>
      <c r="G5197" s="24">
        <v>193.0</v>
      </c>
      <c r="H5197" s="24">
        <v>187.0</v>
      </c>
      <c r="I5197" s="24">
        <v>8501.0</v>
      </c>
      <c r="J5197" s="24">
        <v>0.0</v>
      </c>
      <c r="K5197" s="23" t="s">
        <v>34</v>
      </c>
      <c r="L5197" s="25">
        <v>40606.33561342592</v>
      </c>
      <c r="M5197" s="28"/>
      <c r="N5197" s="26" t="s">
        <v>11876</v>
      </c>
      <c r="O5197" s="22" t="str">
        <f>HYPERLINK("https://pbs.twimg.com/profile_images/378800000101433079/3bdce883e1ca286c5cf70bdca02f9d65_normal.jpeg","View")</f>
        <v>View</v>
      </c>
      <c r="P5197" s="27"/>
    </row>
    <row r="5198">
      <c r="A5198" s="14">
        <v>43031.33157407407</v>
      </c>
      <c r="B5198" s="20" t="str">
        <f>HYPERLINK("https://twitter.com/CNBCTradersFan","@CNBCTradersFan")</f>
        <v>@CNBCTradersFan</v>
      </c>
      <c r="C5198" s="21" t="s">
        <v>1945</v>
      </c>
      <c r="D5198" s="21" t="s">
        <v>11877</v>
      </c>
      <c r="E5198" s="22" t="str">
        <f>HYPERLINK("https://twitter.com/CNBCTradersFan/status/922477077680574464","922477077680574464")</f>
        <v>922477077680574464</v>
      </c>
      <c r="F5198" s="23" t="s">
        <v>187</v>
      </c>
      <c r="G5198" s="24">
        <v>17128.0</v>
      </c>
      <c r="H5198" s="24">
        <v>11615.0</v>
      </c>
      <c r="I5198" s="24">
        <v>0.0</v>
      </c>
      <c r="J5198" s="24">
        <v>0.0</v>
      </c>
      <c r="K5198" s="23" t="s">
        <v>34</v>
      </c>
      <c r="L5198" s="25">
        <v>40922.50542824074</v>
      </c>
      <c r="M5198" s="26" t="s">
        <v>1947</v>
      </c>
      <c r="N5198" s="26" t="s">
        <v>1948</v>
      </c>
      <c r="O5198" s="22" t="str">
        <f>HYPERLINK("https://pbs.twimg.com/profile_images/731870469318684672/Ckf7rDdJ_normal.jpg","View")</f>
        <v>View</v>
      </c>
      <c r="P5198" s="27"/>
    </row>
    <row r="5199">
      <c r="A5199" s="14">
        <v>43031.33159722222</v>
      </c>
      <c r="B5199" s="20" t="str">
        <f>HYPERLINK("https://twitter.com/ijay_0007","@ijay_0007")</f>
        <v>@ijay_0007</v>
      </c>
      <c r="C5199" s="21" t="s">
        <v>4245</v>
      </c>
      <c r="D5199" s="21" t="s">
        <v>42</v>
      </c>
      <c r="E5199" s="22" t="str">
        <f>HYPERLINK("https://twitter.com/ijay_0007/status/922477086505189376","922477086505189376")</f>
        <v>922477086505189376</v>
      </c>
      <c r="F5199" s="23" t="s">
        <v>33</v>
      </c>
      <c r="G5199" s="24">
        <v>73.0</v>
      </c>
      <c r="H5199" s="24">
        <v>29.0</v>
      </c>
      <c r="I5199" s="24">
        <v>8501.0</v>
      </c>
      <c r="J5199" s="24">
        <v>0.0</v>
      </c>
      <c r="K5199" s="23" t="s">
        <v>34</v>
      </c>
      <c r="L5199" s="25">
        <v>41426.46355324074</v>
      </c>
      <c r="M5199" s="28"/>
      <c r="N5199" s="28"/>
      <c r="O5199" s="22" t="str">
        <f>HYPERLINK("https://pbs.twimg.com/profile_images/560098844281540608/Zy556Aqf_normal.jpeg","View")</f>
        <v>View</v>
      </c>
      <c r="P5199" s="27"/>
    </row>
    <row r="5200">
      <c r="A5200" s="14">
        <v>43031.33159722222</v>
      </c>
      <c r="B5200" s="20" t="str">
        <f>HYPERLINK("https://twitter.com/BullFan2016","@BullFan2016")</f>
        <v>@BullFan2016</v>
      </c>
      <c r="C5200" s="21" t="s">
        <v>5697</v>
      </c>
      <c r="D5200" s="21" t="s">
        <v>11878</v>
      </c>
      <c r="E5200" s="22" t="str">
        <f>HYPERLINK("https://twitter.com/BullFan2016/status/922477086920540161","922477086920540161")</f>
        <v>922477086920540161</v>
      </c>
      <c r="F5200" s="23" t="s">
        <v>187</v>
      </c>
      <c r="G5200" s="24">
        <v>4565.0</v>
      </c>
      <c r="H5200" s="24">
        <v>4765.0</v>
      </c>
      <c r="I5200" s="24">
        <v>0.0</v>
      </c>
      <c r="J5200" s="24">
        <v>0.0</v>
      </c>
      <c r="K5200" s="23" t="s">
        <v>34</v>
      </c>
      <c r="L5200" s="25">
        <v>41681.66925925926</v>
      </c>
      <c r="M5200" s="26" t="s">
        <v>5699</v>
      </c>
      <c r="N5200" s="26" t="s">
        <v>5700</v>
      </c>
      <c r="O5200" s="22" t="str">
        <f>HYPERLINK("https://pbs.twimg.com/profile_images/731191829031313408/9mn9jGUk_normal.jpg","View")</f>
        <v>View</v>
      </c>
      <c r="P5200" s="27"/>
    </row>
    <row r="5201">
      <c r="A5201" s="14">
        <v>43031.331608796296</v>
      </c>
      <c r="B5201" s="20" t="str">
        <f>HYPERLINK("https://twitter.com/AbusidiquBlog","@AbusidiquBlog")</f>
        <v>@AbusidiquBlog</v>
      </c>
      <c r="C5201" s="29" t="s">
        <v>11879</v>
      </c>
      <c r="D5201" s="21" t="s">
        <v>11880</v>
      </c>
      <c r="E5201" s="22" t="str">
        <f>HYPERLINK("https://twitter.com/AbusidiquBlog/status/922477087050686464","922477087050686464")</f>
        <v>922477087050686464</v>
      </c>
      <c r="F5201" s="23" t="s">
        <v>11881</v>
      </c>
      <c r="G5201" s="24">
        <v>4659.0</v>
      </c>
      <c r="H5201" s="24">
        <v>14.0</v>
      </c>
      <c r="I5201" s="24">
        <v>0.0</v>
      </c>
      <c r="J5201" s="24">
        <v>0.0</v>
      </c>
      <c r="K5201" s="23" t="s">
        <v>34</v>
      </c>
      <c r="L5201" s="25">
        <v>41309.26256944444</v>
      </c>
      <c r="M5201" s="28"/>
      <c r="N5201" s="26" t="s">
        <v>11882</v>
      </c>
      <c r="O5201" s="22" t="str">
        <f>HYPERLINK("https://pbs.twimg.com/profile_images/825286205034086401/N4tLjSbm_normal.jpg","View")</f>
        <v>View</v>
      </c>
      <c r="P5201" s="27"/>
    </row>
    <row r="5202">
      <c r="A5202" s="14">
        <v>43031.331608796296</v>
      </c>
      <c r="B5202" s="20" t="str">
        <f t="shared" ref="B5202:B5203" si="83">HYPERLINK("https://twitter.com/NewsBossIndia","@NewsBossIndia")</f>
        <v>@NewsBossIndia</v>
      </c>
      <c r="C5202" s="29" t="s">
        <v>148</v>
      </c>
      <c r="D5202" s="21" t="s">
        <v>11883</v>
      </c>
      <c r="E5202" s="22" t="str">
        <f>HYPERLINK("https://twitter.com/NewsBossIndia/status/922477088719888384","922477088719888384")</f>
        <v>922477088719888384</v>
      </c>
      <c r="F5202" s="30" t="s">
        <v>148</v>
      </c>
      <c r="G5202" s="24">
        <v>991.0</v>
      </c>
      <c r="H5202" s="24">
        <v>1.0</v>
      </c>
      <c r="I5202" s="24">
        <v>0.0</v>
      </c>
      <c r="J5202" s="24">
        <v>0.0</v>
      </c>
      <c r="K5202" s="23" t="s">
        <v>34</v>
      </c>
      <c r="L5202" s="25">
        <v>42564.38061342592</v>
      </c>
      <c r="M5202" s="28"/>
      <c r="N5202" s="26" t="s">
        <v>150</v>
      </c>
      <c r="O5202" s="22" t="str">
        <f t="shared" ref="O5202:O5203" si="84">HYPERLINK("https://pbs.twimg.com/profile_images/753260679692333057/AS4Xiw4q_normal.jpg","View")</f>
        <v>View</v>
      </c>
      <c r="P5202" s="27"/>
    </row>
    <row r="5203">
      <c r="A5203" s="14">
        <v>43031.33162037037</v>
      </c>
      <c r="B5203" s="20" t="str">
        <f t="shared" si="83"/>
        <v>@NewsBossIndia</v>
      </c>
      <c r="C5203" s="29" t="s">
        <v>148</v>
      </c>
      <c r="D5203" s="21" t="s">
        <v>11884</v>
      </c>
      <c r="E5203" s="22" t="str">
        <f>HYPERLINK("https://twitter.com/NewsBossIndia/status/922477093916590080","922477093916590080")</f>
        <v>922477093916590080</v>
      </c>
      <c r="F5203" s="30" t="s">
        <v>148</v>
      </c>
      <c r="G5203" s="24">
        <v>991.0</v>
      </c>
      <c r="H5203" s="24">
        <v>1.0</v>
      </c>
      <c r="I5203" s="24">
        <v>0.0</v>
      </c>
      <c r="J5203" s="24">
        <v>0.0</v>
      </c>
      <c r="K5203" s="23" t="s">
        <v>34</v>
      </c>
      <c r="L5203" s="25">
        <v>42564.38061342592</v>
      </c>
      <c r="M5203" s="28"/>
      <c r="N5203" s="26" t="s">
        <v>150</v>
      </c>
      <c r="O5203" s="22" t="str">
        <f t="shared" si="84"/>
        <v>View</v>
      </c>
      <c r="P5203" s="27"/>
    </row>
    <row r="5204">
      <c r="A5204" s="14">
        <v>43031.331655092596</v>
      </c>
      <c r="B5204" s="20" t="str">
        <f>HYPERLINK("https://twitter.com/becarefull__","@becarefull__")</f>
        <v>@becarefull__</v>
      </c>
      <c r="C5204" s="21" t="s">
        <v>11885</v>
      </c>
      <c r="D5204" s="21" t="s">
        <v>11886</v>
      </c>
      <c r="E5204" s="22" t="str">
        <f>HYPERLINK("https://twitter.com/becarefull__/status/922477104620605442","922477104620605442")</f>
        <v>922477104620605442</v>
      </c>
      <c r="F5204" s="23" t="s">
        <v>11887</v>
      </c>
      <c r="G5204" s="24">
        <v>697.0</v>
      </c>
      <c r="H5204" s="24">
        <v>136.0</v>
      </c>
      <c r="I5204" s="24">
        <v>0.0</v>
      </c>
      <c r="J5204" s="24">
        <v>0.0</v>
      </c>
      <c r="K5204" s="23" t="s">
        <v>34</v>
      </c>
      <c r="L5204" s="25">
        <v>41461.36724537037</v>
      </c>
      <c r="M5204" s="26" t="s">
        <v>334</v>
      </c>
      <c r="N5204" s="26" t="s">
        <v>11888</v>
      </c>
      <c r="O5204" s="22" t="str">
        <f>HYPERLINK("https://pbs.twimg.com/profile_images/921904695270150145/jKGNXkJE_normal.jpg","View")</f>
        <v>View</v>
      </c>
      <c r="P5204" s="27"/>
    </row>
    <row r="5205">
      <c r="A5205" s="14">
        <v>43031.33167824074</v>
      </c>
      <c r="B5205" s="20" t="str">
        <f>HYPERLINK("https://twitter.com/MrAbuSidiq","@MrAbuSidiq")</f>
        <v>@MrAbuSidiq</v>
      </c>
      <c r="C5205" s="21" t="s">
        <v>11889</v>
      </c>
      <c r="D5205" s="21" t="s">
        <v>11890</v>
      </c>
      <c r="E5205" s="22" t="str">
        <f>HYPERLINK("https://twitter.com/MrAbuSidiq/status/922477115479609344","922477115479609344")</f>
        <v>922477115479609344</v>
      </c>
      <c r="F5205" s="23" t="s">
        <v>11891</v>
      </c>
      <c r="G5205" s="24">
        <v>29985.0</v>
      </c>
      <c r="H5205" s="24">
        <v>1364.0</v>
      </c>
      <c r="I5205" s="24">
        <v>0.0</v>
      </c>
      <c r="J5205" s="24">
        <v>0.0</v>
      </c>
      <c r="K5205" s="23" t="s">
        <v>34</v>
      </c>
      <c r="L5205" s="25">
        <v>40553.45952546296</v>
      </c>
      <c r="M5205" s="26" t="s">
        <v>4424</v>
      </c>
      <c r="N5205" s="26" t="s">
        <v>11892</v>
      </c>
      <c r="O5205" s="22" t="str">
        <f>HYPERLINK("https://pbs.twimg.com/profile_images/904723348663525376/nrG_lppk_normal.jpg","View")</f>
        <v>View</v>
      </c>
      <c r="P5205" s="27"/>
    </row>
    <row r="5206">
      <c r="A5206" s="14">
        <v>43031.33168981482</v>
      </c>
      <c r="B5206" s="20" t="str">
        <f>HYPERLINK("https://twitter.com/lekanpaul","@lekanpaul")</f>
        <v>@lekanpaul</v>
      </c>
      <c r="C5206" s="21" t="s">
        <v>11893</v>
      </c>
      <c r="D5206" s="21" t="s">
        <v>11894</v>
      </c>
      <c r="E5206" s="22" t="str">
        <f>HYPERLINK("https://twitter.com/lekanpaul/status/922477119749410816","922477119749410816")</f>
        <v>922477119749410816</v>
      </c>
      <c r="F5206" s="23" t="s">
        <v>11895</v>
      </c>
      <c r="G5206" s="24">
        <v>2236.0</v>
      </c>
      <c r="H5206" s="24">
        <v>724.0</v>
      </c>
      <c r="I5206" s="24">
        <v>0.0</v>
      </c>
      <c r="J5206" s="24">
        <v>0.0</v>
      </c>
      <c r="K5206" s="23" t="s">
        <v>34</v>
      </c>
      <c r="L5206" s="25">
        <v>40777.37894675926</v>
      </c>
      <c r="M5206" s="26" t="s">
        <v>4424</v>
      </c>
      <c r="N5206" s="26" t="s">
        <v>11896</v>
      </c>
      <c r="O5206" s="22" t="str">
        <f>HYPERLINK("https://pbs.twimg.com/profile_images/567659928391659522/gP95ZlMB_normal.jpeg","View")</f>
        <v>View</v>
      </c>
      <c r="P5206" s="27"/>
    </row>
    <row r="5207">
      <c r="A5207" s="14">
        <v>43031.33171296296</v>
      </c>
      <c r="B5207" s="20" t="str">
        <f>HYPERLINK("https://twitter.com/Shangudar","@Shangudar")</f>
        <v>@Shangudar</v>
      </c>
      <c r="C5207" s="21" t="s">
        <v>11897</v>
      </c>
      <c r="D5207" s="21" t="s">
        <v>11898</v>
      </c>
      <c r="E5207" s="22" t="str">
        <f>HYPERLINK("https://twitter.com/Shangudar/status/922477127152406529","922477127152406529")</f>
        <v>922477127152406529</v>
      </c>
      <c r="F5207" s="23" t="s">
        <v>11899</v>
      </c>
      <c r="G5207" s="24">
        <v>7318.0</v>
      </c>
      <c r="H5207" s="24">
        <v>411.0</v>
      </c>
      <c r="I5207" s="24">
        <v>0.0</v>
      </c>
      <c r="J5207" s="24">
        <v>0.0</v>
      </c>
      <c r="K5207" s="23" t="s">
        <v>34</v>
      </c>
      <c r="L5207" s="25">
        <v>40414.07574074074</v>
      </c>
      <c r="M5207" s="26" t="s">
        <v>4424</v>
      </c>
      <c r="N5207" s="26" t="s">
        <v>11900</v>
      </c>
      <c r="O5207" s="22" t="str">
        <f>HYPERLINK("https://pbs.twimg.com/profile_images/651552055811817472/QULY1Jrq_normal.jpg","View")</f>
        <v>View</v>
      </c>
      <c r="P5207" s="27"/>
    </row>
    <row r="5208">
      <c r="A5208" s="14">
        <v>43031.33174768518</v>
      </c>
      <c r="B5208" s="20" t="str">
        <f>HYPERLINK("https://twitter.com/santoshgaur27","@santoshgaur27")</f>
        <v>@santoshgaur27</v>
      </c>
      <c r="C5208" s="21" t="s">
        <v>11901</v>
      </c>
      <c r="D5208" s="21" t="s">
        <v>42</v>
      </c>
      <c r="E5208" s="22" t="str">
        <f>HYPERLINK("https://twitter.com/santoshgaur27/status/922477139680747521","922477139680747521")</f>
        <v>922477139680747521</v>
      </c>
      <c r="F5208" s="23" t="s">
        <v>33</v>
      </c>
      <c r="G5208" s="24">
        <v>1.0</v>
      </c>
      <c r="H5208" s="24">
        <v>11.0</v>
      </c>
      <c r="I5208" s="24">
        <v>8501.0</v>
      </c>
      <c r="J5208" s="24">
        <v>0.0</v>
      </c>
      <c r="K5208" s="23" t="s">
        <v>34</v>
      </c>
      <c r="L5208" s="25">
        <v>43027.84599537037</v>
      </c>
      <c r="M5208" s="28"/>
      <c r="N5208" s="28"/>
      <c r="O5208" s="22" t="str">
        <f>HYPERLINK("https://abs.twimg.com/sticky/default_profile_images/default_profile_normal.png","View")</f>
        <v>View</v>
      </c>
      <c r="P5208" s="27"/>
    </row>
    <row r="5209">
      <c r="A5209" s="14">
        <v>43031.33200231481</v>
      </c>
      <c r="B5209" s="20" t="str">
        <f>HYPERLINK("https://twitter.com/NewsbeatPortal","@NewsbeatPortal")</f>
        <v>@NewsbeatPortal</v>
      </c>
      <c r="C5209" s="21" t="s">
        <v>11902</v>
      </c>
      <c r="D5209" s="21" t="s">
        <v>11903</v>
      </c>
      <c r="E5209" s="22" t="str">
        <f>HYPERLINK("https://twitter.com/NewsbeatPortal/status/922477233515753473","922477233515753473")</f>
        <v>922477233515753473</v>
      </c>
      <c r="F5209" s="23" t="s">
        <v>11904</v>
      </c>
      <c r="G5209" s="24">
        <v>17526.0</v>
      </c>
      <c r="H5209" s="24">
        <v>63.0</v>
      </c>
      <c r="I5209" s="24">
        <v>0.0</v>
      </c>
      <c r="J5209" s="24">
        <v>0.0</v>
      </c>
      <c r="K5209" s="23" t="s">
        <v>34</v>
      </c>
      <c r="L5209" s="25">
        <v>39905.341412037036</v>
      </c>
      <c r="M5209" s="26" t="s">
        <v>11905</v>
      </c>
      <c r="N5209" s="26" t="s">
        <v>11906</v>
      </c>
      <c r="O5209" s="22" t="str">
        <f>HYPERLINK("https://pbs.twimg.com/profile_images/457029492700348416/BYzPbqlO_normal.jpeg","View")</f>
        <v>View</v>
      </c>
      <c r="P5209" s="27"/>
    </row>
    <row r="5210">
      <c r="A5210" s="14">
        <v>43031.33210648148</v>
      </c>
      <c r="B5210" s="20" t="str">
        <f>HYPERLINK("https://twitter.com/swswswswswsw1","@swswswswswsw1")</f>
        <v>@swswswswswsw1</v>
      </c>
      <c r="C5210" s="21" t="s">
        <v>11907</v>
      </c>
      <c r="D5210" s="21" t="s">
        <v>10653</v>
      </c>
      <c r="E5210" s="22" t="str">
        <f>HYPERLINK("https://twitter.com/swswswswswsw1/status/922477267711750144","922477267711750144")</f>
        <v>922477267711750144</v>
      </c>
      <c r="F5210" s="23" t="s">
        <v>39</v>
      </c>
      <c r="G5210" s="24">
        <v>19.0</v>
      </c>
      <c r="H5210" s="24">
        <v>90.0</v>
      </c>
      <c r="I5210" s="24">
        <v>9.0</v>
      </c>
      <c r="J5210" s="24">
        <v>0.0</v>
      </c>
      <c r="K5210" s="23" t="s">
        <v>34</v>
      </c>
      <c r="L5210" s="25">
        <v>40404.89969907407</v>
      </c>
      <c r="M5210" s="28"/>
      <c r="N5210" s="26" t="s">
        <v>11908</v>
      </c>
      <c r="O5210" s="22" t="str">
        <f>HYPERLINK("https://pbs.twimg.com/profile_images/917246559888084992/kdK5vVDZ_normal.jpg","View")</f>
        <v>View</v>
      </c>
      <c r="P5210" s="27"/>
    </row>
    <row r="5211">
      <c r="A5211" s="14">
        <v>43031.332129629634</v>
      </c>
      <c r="B5211" s="20" t="str">
        <f>HYPERLINK("https://twitter.com/LvrFox","@LvrFox")</f>
        <v>@LvrFox</v>
      </c>
      <c r="C5211" s="21" t="s">
        <v>11909</v>
      </c>
      <c r="D5211" s="21" t="s">
        <v>11910</v>
      </c>
      <c r="E5211" s="22" t="str">
        <f>HYPERLINK("https://twitter.com/LvrFox/status/922477276041658373","922477276041658373")</f>
        <v>922477276041658373</v>
      </c>
      <c r="F5211" s="23" t="s">
        <v>55</v>
      </c>
      <c r="G5211" s="24">
        <v>590.0</v>
      </c>
      <c r="H5211" s="24">
        <v>1381.0</v>
      </c>
      <c r="I5211" s="24">
        <v>0.0</v>
      </c>
      <c r="J5211" s="24">
        <v>0.0</v>
      </c>
      <c r="K5211" s="23" t="s">
        <v>34</v>
      </c>
      <c r="L5211" s="25">
        <v>42639.55452546296</v>
      </c>
      <c r="M5211" s="26" t="s">
        <v>11911</v>
      </c>
      <c r="N5211" s="26" t="s">
        <v>11912</v>
      </c>
      <c r="O5211" s="22" t="str">
        <f>HYPERLINK("https://pbs.twimg.com/profile_images/843416641622884352/dhXOAcVP_normal.jpg","View")</f>
        <v>View</v>
      </c>
      <c r="P5211" s="27"/>
    </row>
    <row r="5212">
      <c r="A5212" s="14">
        <v>43031.3321875</v>
      </c>
      <c r="B5212" s="20" t="str">
        <f>HYPERLINK("https://twitter.com/xavvypls","@xavvypls")</f>
        <v>@xavvypls</v>
      </c>
      <c r="C5212" s="21" t="s">
        <v>985</v>
      </c>
      <c r="D5212" s="21" t="s">
        <v>11913</v>
      </c>
      <c r="E5212" s="22" t="str">
        <f>HYPERLINK("https://twitter.com/xavvypls/status/922477300515594241","922477300515594241")</f>
        <v>922477300515594241</v>
      </c>
      <c r="F5212" s="23" t="s">
        <v>187</v>
      </c>
      <c r="G5212" s="24">
        <v>2703.0</v>
      </c>
      <c r="H5212" s="24">
        <v>2991.0</v>
      </c>
      <c r="I5212" s="24">
        <v>0.0</v>
      </c>
      <c r="J5212" s="24">
        <v>0.0</v>
      </c>
      <c r="K5212" s="23" t="s">
        <v>34</v>
      </c>
      <c r="L5212" s="25">
        <v>40108.985497685186</v>
      </c>
      <c r="M5212" s="26" t="s">
        <v>987</v>
      </c>
      <c r="N5212" s="26" t="s">
        <v>988</v>
      </c>
      <c r="O5212" s="22" t="str">
        <f>HYPERLINK("https://pbs.twimg.com/profile_images/730121330276892672/QGTLrj5q_normal.jpg","View")</f>
        <v>View</v>
      </c>
      <c r="P5212" s="27"/>
    </row>
    <row r="5213">
      <c r="A5213" s="14">
        <v>43031.33221064815</v>
      </c>
      <c r="B5213" s="20" t="str">
        <f>HYPERLINK("https://twitter.com/ZeyaniChrisanna","@ZeyaniChrisanna")</f>
        <v>@ZeyaniChrisanna</v>
      </c>
      <c r="C5213" s="21" t="s">
        <v>11914</v>
      </c>
      <c r="D5213" s="21" t="s">
        <v>11915</v>
      </c>
      <c r="E5213" s="22" t="str">
        <f>HYPERLINK("https://twitter.com/ZeyaniChrisanna/status/922477305825513473","922477305825513473")</f>
        <v>922477305825513473</v>
      </c>
      <c r="F5213" s="23" t="s">
        <v>55</v>
      </c>
      <c r="G5213" s="24">
        <v>1054.0</v>
      </c>
      <c r="H5213" s="24">
        <v>5001.0</v>
      </c>
      <c r="I5213" s="24">
        <v>1.0</v>
      </c>
      <c r="J5213" s="24">
        <v>0.0</v>
      </c>
      <c r="K5213" s="23" t="s">
        <v>34</v>
      </c>
      <c r="L5213" s="25">
        <v>39863.110081018516</v>
      </c>
      <c r="M5213" s="26" t="s">
        <v>11916</v>
      </c>
      <c r="N5213" s="26" t="s">
        <v>11917</v>
      </c>
      <c r="O5213" s="22" t="str">
        <f>HYPERLINK("https://pbs.twimg.com/profile_images/532652016372174848/cdLqLYlC_normal.jpeg","View")</f>
        <v>View</v>
      </c>
      <c r="P5213" s="27"/>
    </row>
    <row r="5214">
      <c r="A5214" s="14">
        <v>43031.332233796296</v>
      </c>
      <c r="B5214" s="20" t="str">
        <f>HYPERLINK("https://twitter.com/Mahak101","@Mahak101")</f>
        <v>@Mahak101</v>
      </c>
      <c r="C5214" s="21" t="s">
        <v>11918</v>
      </c>
      <c r="D5214" s="21" t="s">
        <v>42</v>
      </c>
      <c r="E5214" s="22" t="str">
        <f>HYPERLINK("https://twitter.com/Mahak101/status/922477314314604545","922477314314604545")</f>
        <v>922477314314604545</v>
      </c>
      <c r="F5214" s="23" t="s">
        <v>33</v>
      </c>
      <c r="G5214" s="24">
        <v>34.0</v>
      </c>
      <c r="H5214" s="24">
        <v>81.0</v>
      </c>
      <c r="I5214" s="24">
        <v>8501.0</v>
      </c>
      <c r="J5214" s="24">
        <v>0.0</v>
      </c>
      <c r="K5214" s="23" t="s">
        <v>34</v>
      </c>
      <c r="L5214" s="25">
        <v>43019.96194444444</v>
      </c>
      <c r="M5214" s="26" t="s">
        <v>204</v>
      </c>
      <c r="N5214" s="28"/>
      <c r="O5214" s="22" t="str">
        <f>HYPERLINK("https://pbs.twimg.com/profile_images/918357619122749440/OLpT541z_normal.jpg","View")</f>
        <v>View</v>
      </c>
      <c r="P5214" s="27"/>
    </row>
    <row r="5215">
      <c r="A5215" s="14">
        <v>43031.33232638889</v>
      </c>
      <c r="B5215" s="20" t="str">
        <f>HYPERLINK("https://twitter.com/jain_piyush","@jain_piyush")</f>
        <v>@jain_piyush</v>
      </c>
      <c r="C5215" s="21" t="s">
        <v>11919</v>
      </c>
      <c r="D5215" s="21" t="s">
        <v>42</v>
      </c>
      <c r="E5215" s="22" t="str">
        <f>HYPERLINK("https://twitter.com/jain_piyush/status/922477350687727618","922477350687727618")</f>
        <v>922477350687727618</v>
      </c>
      <c r="F5215" s="23" t="s">
        <v>33</v>
      </c>
      <c r="G5215" s="24">
        <v>207.0</v>
      </c>
      <c r="H5215" s="24">
        <v>467.0</v>
      </c>
      <c r="I5215" s="24">
        <v>8501.0</v>
      </c>
      <c r="J5215" s="24">
        <v>0.0</v>
      </c>
      <c r="K5215" s="23" t="s">
        <v>34</v>
      </c>
      <c r="L5215" s="25">
        <v>39861.44019675926</v>
      </c>
      <c r="M5215" s="26" t="s">
        <v>531</v>
      </c>
      <c r="N5215" s="26" t="s">
        <v>11920</v>
      </c>
      <c r="O5215" s="22" t="str">
        <f>HYPERLINK("https://pbs.twimg.com/profile_images/2452976405/1wpsia0jgu9mx34reywt_normal.jpeg","View")</f>
        <v>View</v>
      </c>
      <c r="P5215" s="27"/>
    </row>
    <row r="5216">
      <c r="A5216" s="14">
        <v>43031.33234953704</v>
      </c>
      <c r="B5216" s="20" t="str">
        <f>HYPERLINK("https://twitter.com/neeleshjadhav","@neeleshjadhav")</f>
        <v>@neeleshjadhav</v>
      </c>
      <c r="C5216" s="21" t="s">
        <v>11921</v>
      </c>
      <c r="D5216" s="21" t="s">
        <v>42</v>
      </c>
      <c r="E5216" s="22" t="str">
        <f>HYPERLINK("https://twitter.com/neeleshjadhav/status/922477355511115777","922477355511115777")</f>
        <v>922477355511115777</v>
      </c>
      <c r="F5216" s="23" t="s">
        <v>33</v>
      </c>
      <c r="G5216" s="24">
        <v>34.0</v>
      </c>
      <c r="H5216" s="24">
        <v>142.0</v>
      </c>
      <c r="I5216" s="24">
        <v>8501.0</v>
      </c>
      <c r="J5216" s="24">
        <v>0.0</v>
      </c>
      <c r="K5216" s="23" t="s">
        <v>34</v>
      </c>
      <c r="L5216" s="25">
        <v>40303.37832175926</v>
      </c>
      <c r="M5216" s="26" t="s">
        <v>1224</v>
      </c>
      <c r="N5216" s="28"/>
      <c r="O5216" s="22" t="str">
        <f>HYPERLINK("https://pbs.twimg.com/profile_images/669448144514621440/vsxz1zxM_normal.jpg","View")</f>
        <v>View</v>
      </c>
      <c r="P5216" s="27"/>
    </row>
    <row r="5217">
      <c r="A5217" s="14">
        <v>43031.332395833335</v>
      </c>
      <c r="B5217" s="20" t="str">
        <f>HYPERLINK("https://twitter.com/priyariyer","@priyariyer")</f>
        <v>@priyariyer</v>
      </c>
      <c r="C5217" s="21" t="s">
        <v>11922</v>
      </c>
      <c r="D5217" s="21" t="s">
        <v>163</v>
      </c>
      <c r="E5217" s="22" t="str">
        <f>HYPERLINK("https://twitter.com/priyariyer/status/922477373525704704","922477373525704704")</f>
        <v>922477373525704704</v>
      </c>
      <c r="F5217" s="23" t="s">
        <v>33</v>
      </c>
      <c r="G5217" s="24">
        <v>8.0</v>
      </c>
      <c r="H5217" s="24">
        <v>21.0</v>
      </c>
      <c r="I5217" s="24">
        <v>1005.0</v>
      </c>
      <c r="J5217" s="24">
        <v>0.0</v>
      </c>
      <c r="K5217" s="23" t="s">
        <v>34</v>
      </c>
      <c r="L5217" s="25">
        <v>40448.33516203704</v>
      </c>
      <c r="M5217" s="28"/>
      <c r="N5217" s="28"/>
      <c r="O5217" s="22" t="str">
        <f>HYPERLINK("https://abs.twimg.com/sticky/default_profile_images/default_profile_normal.png","View")</f>
        <v>View</v>
      </c>
      <c r="P5217" s="27"/>
    </row>
    <row r="5218">
      <c r="A5218" s="14">
        <v>43031.33246527778</v>
      </c>
      <c r="B5218" s="20" t="str">
        <f>HYPERLINK("https://twitter.com/abhayinsearch","@abhayinsearch")</f>
        <v>@abhayinsearch</v>
      </c>
      <c r="C5218" s="21" t="s">
        <v>11923</v>
      </c>
      <c r="D5218" s="21" t="s">
        <v>42</v>
      </c>
      <c r="E5218" s="22" t="str">
        <f>HYPERLINK("https://twitter.com/abhayinsearch/status/922477399274434561","922477399274434561")</f>
        <v>922477399274434561</v>
      </c>
      <c r="F5218" s="23" t="s">
        <v>33</v>
      </c>
      <c r="G5218" s="24">
        <v>122.0</v>
      </c>
      <c r="H5218" s="24">
        <v>244.0</v>
      </c>
      <c r="I5218" s="24">
        <v>8501.0</v>
      </c>
      <c r="J5218" s="24">
        <v>0.0</v>
      </c>
      <c r="K5218" s="23" t="s">
        <v>34</v>
      </c>
      <c r="L5218" s="25">
        <v>40093.34684027778</v>
      </c>
      <c r="M5218" s="26" t="s">
        <v>11924</v>
      </c>
      <c r="N5218" s="28"/>
      <c r="O5218" s="22" t="str">
        <f>HYPERLINK("https://pbs.twimg.com/profile_images/709966275116720128/14ry4tBK_normal.jpg","View")</f>
        <v>View</v>
      </c>
      <c r="P5218" s="27"/>
    </row>
    <row r="5219">
      <c r="A5219" s="14">
        <v>43031.33247685185</v>
      </c>
      <c r="B5219" s="20" t="str">
        <f>HYPERLINK("https://twitter.com/veersaraf","@veersaraf")</f>
        <v>@veersaraf</v>
      </c>
      <c r="C5219" s="21" t="s">
        <v>11925</v>
      </c>
      <c r="D5219" s="21" t="s">
        <v>42</v>
      </c>
      <c r="E5219" s="22" t="str">
        <f>HYPERLINK("https://twitter.com/veersaraf/status/922477402038550530","922477402038550530")</f>
        <v>922477402038550530</v>
      </c>
      <c r="F5219" s="23" t="s">
        <v>33</v>
      </c>
      <c r="G5219" s="24">
        <v>139.0</v>
      </c>
      <c r="H5219" s="24">
        <v>199.0</v>
      </c>
      <c r="I5219" s="24">
        <v>8501.0</v>
      </c>
      <c r="J5219" s="24">
        <v>0.0</v>
      </c>
      <c r="K5219" s="23" t="s">
        <v>34</v>
      </c>
      <c r="L5219" s="25">
        <v>40059.35471064815</v>
      </c>
      <c r="M5219" s="26" t="s">
        <v>11926</v>
      </c>
      <c r="N5219" s="26" t="s">
        <v>11927</v>
      </c>
      <c r="O5219" s="22" t="str">
        <f>HYPERLINK("https://pbs.twimg.com/profile_images/463634260599902208/9qyjaRLy_normal.jpeg","View")</f>
        <v>View</v>
      </c>
      <c r="P5219" s="27"/>
    </row>
    <row r="5220">
      <c r="A5220" s="14">
        <v>43031.33252314814</v>
      </c>
      <c r="B5220" s="20" t="str">
        <f>HYPERLINK("https://twitter.com/_PrincePaul_","@_PrincePaul_")</f>
        <v>@_PrincePaul_</v>
      </c>
      <c r="C5220" s="21" t="s">
        <v>11928</v>
      </c>
      <c r="D5220" s="21" t="s">
        <v>1115</v>
      </c>
      <c r="E5220" s="22" t="str">
        <f>HYPERLINK("https://twitter.com/_PrincePaul_/status/922477420896235521","922477420896235521")</f>
        <v>922477420896235521</v>
      </c>
      <c r="F5220" s="23" t="s">
        <v>39</v>
      </c>
      <c r="G5220" s="24">
        <v>651.0</v>
      </c>
      <c r="H5220" s="24">
        <v>750.0</v>
      </c>
      <c r="I5220" s="24">
        <v>16.0</v>
      </c>
      <c r="J5220" s="24">
        <v>0.0</v>
      </c>
      <c r="K5220" s="23" t="s">
        <v>34</v>
      </c>
      <c r="L5220" s="25">
        <v>41402.71418981481</v>
      </c>
      <c r="M5220" s="26" t="s">
        <v>11929</v>
      </c>
      <c r="N5220" s="26" t="s">
        <v>11930</v>
      </c>
      <c r="O5220" s="22" t="str">
        <f>HYPERLINK("https://pbs.twimg.com/profile_images/478119835247726592/7d-0ODze_normal.jpeg","View")</f>
        <v>View</v>
      </c>
      <c r="P5220" s="27"/>
    </row>
    <row r="5221">
      <c r="A5221" s="14">
        <v>43031.33253472223</v>
      </c>
      <c r="B5221" s="20" t="str">
        <f>HYPERLINK("https://twitter.com/meandu4trump","@meandu4trump")</f>
        <v>@meandu4trump</v>
      </c>
      <c r="C5221" s="21" t="s">
        <v>11931</v>
      </c>
      <c r="D5221" s="21" t="s">
        <v>42</v>
      </c>
      <c r="E5221" s="22" t="str">
        <f>HYPERLINK("https://twitter.com/meandu4trump/status/922477423601401856","922477423601401856")</f>
        <v>922477423601401856</v>
      </c>
      <c r="F5221" s="23" t="s">
        <v>55</v>
      </c>
      <c r="G5221" s="24">
        <v>199.0</v>
      </c>
      <c r="H5221" s="24">
        <v>172.0</v>
      </c>
      <c r="I5221" s="24">
        <v>8501.0</v>
      </c>
      <c r="J5221" s="24">
        <v>0.0</v>
      </c>
      <c r="K5221" s="23" t="s">
        <v>34</v>
      </c>
      <c r="L5221" s="25">
        <v>42478.67335648148</v>
      </c>
      <c r="M5221" s="26" t="s">
        <v>11932</v>
      </c>
      <c r="N5221" s="28"/>
      <c r="O5221" s="22" t="str">
        <f>HYPERLINK("https://pbs.twimg.com/profile_images/725348283225268228/-ndJR-_T_normal.jpg","View")</f>
        <v>View</v>
      </c>
      <c r="P5221" s="27"/>
    </row>
    <row r="5222">
      <c r="A5222" s="14">
        <v>43031.332557870366</v>
      </c>
      <c r="B5222" s="20" t="str">
        <f>HYPERLINK("https://twitter.com/hemantc12","@hemantc12")</f>
        <v>@hemantc12</v>
      </c>
      <c r="C5222" s="21" t="s">
        <v>11933</v>
      </c>
      <c r="D5222" s="21" t="s">
        <v>11595</v>
      </c>
      <c r="E5222" s="22" t="str">
        <f>HYPERLINK("https://twitter.com/hemantc12/status/922477431188996101","922477431188996101")</f>
        <v>922477431188996101</v>
      </c>
      <c r="F5222" s="23" t="s">
        <v>33</v>
      </c>
      <c r="G5222" s="24">
        <v>54.0</v>
      </c>
      <c r="H5222" s="24">
        <v>42.0</v>
      </c>
      <c r="I5222" s="24">
        <v>10.0</v>
      </c>
      <c r="J5222" s="24">
        <v>0.0</v>
      </c>
      <c r="K5222" s="23" t="s">
        <v>34</v>
      </c>
      <c r="L5222" s="25">
        <v>40083.294953703706</v>
      </c>
      <c r="M5222" s="28"/>
      <c r="N5222" s="26" t="s">
        <v>11934</v>
      </c>
      <c r="O5222" s="22" t="str">
        <f>HYPERLINK("https://pbs.twimg.com/profile_images/439009738/IMG_0692_normal.jpg","View")</f>
        <v>View</v>
      </c>
      <c r="P5222" s="27"/>
    </row>
    <row r="5223">
      <c r="A5223" s="14">
        <v>43031.33256944444</v>
      </c>
      <c r="B5223" s="20" t="str">
        <f>HYPERLINK("https://twitter.com/CanadaUN","@CanadaUN")</f>
        <v>@CanadaUN</v>
      </c>
      <c r="C5223" s="21" t="s">
        <v>11935</v>
      </c>
      <c r="D5223" s="21" t="s">
        <v>11750</v>
      </c>
      <c r="E5223" s="22" t="str">
        <f>HYPERLINK("https://twitter.com/CanadaUN/status/922477435861512193","922477435861512193")</f>
        <v>922477435861512193</v>
      </c>
      <c r="F5223" s="23" t="s">
        <v>427</v>
      </c>
      <c r="G5223" s="24">
        <v>14497.0</v>
      </c>
      <c r="H5223" s="24">
        <v>1471.0</v>
      </c>
      <c r="I5223" s="24">
        <v>35.0</v>
      </c>
      <c r="J5223" s="24">
        <v>0.0</v>
      </c>
      <c r="K5223" s="23" t="s">
        <v>34</v>
      </c>
      <c r="L5223" s="25">
        <v>41725.52609953703</v>
      </c>
      <c r="M5223" s="26" t="s">
        <v>389</v>
      </c>
      <c r="N5223" s="26" t="s">
        <v>11936</v>
      </c>
      <c r="O5223" s="22" t="str">
        <f>HYPERLINK("https://pbs.twimg.com/profile_images/889994267770408964/yAw8VtYh_normal.jpg","View")</f>
        <v>View</v>
      </c>
      <c r="P5223" s="27"/>
    </row>
    <row r="5224">
      <c r="A5224" s="14">
        <v>43031.33256944444</v>
      </c>
      <c r="B5224" s="20" t="str">
        <f>HYPERLINK("https://twitter.com/shivakumar_rm","@shivakumar_rm")</f>
        <v>@shivakumar_rm</v>
      </c>
      <c r="C5224" s="21" t="s">
        <v>11937</v>
      </c>
      <c r="D5224" s="21" t="s">
        <v>163</v>
      </c>
      <c r="E5224" s="22" t="str">
        <f>HYPERLINK("https://twitter.com/shivakumar_rm/status/922477436335353856","922477436335353856")</f>
        <v>922477436335353856</v>
      </c>
      <c r="F5224" s="23" t="s">
        <v>33</v>
      </c>
      <c r="G5224" s="24">
        <v>229.0</v>
      </c>
      <c r="H5224" s="24">
        <v>94.0</v>
      </c>
      <c r="I5224" s="24">
        <v>1005.0</v>
      </c>
      <c r="J5224" s="24">
        <v>0.0</v>
      </c>
      <c r="K5224" s="23" t="s">
        <v>34</v>
      </c>
      <c r="L5224" s="25">
        <v>40046.85098379629</v>
      </c>
      <c r="M5224" s="28"/>
      <c r="N5224" s="26" t="s">
        <v>11938</v>
      </c>
      <c r="O5224" s="22" t="str">
        <f>HYPERLINK("https://pbs.twimg.com/profile_images/825642429864767489/Z8EfEAWk_normal.jpg","View")</f>
        <v>View</v>
      </c>
      <c r="P5224" s="27"/>
    </row>
    <row r="5225">
      <c r="A5225" s="14">
        <v>43031.33256944444</v>
      </c>
      <c r="B5225" s="20" t="str">
        <f>HYPERLINK("https://twitter.com/Mahajan__rajat","@Mahajan__rajat")</f>
        <v>@Mahajan__rajat</v>
      </c>
      <c r="C5225" s="21" t="s">
        <v>11939</v>
      </c>
      <c r="D5225" s="21" t="s">
        <v>42</v>
      </c>
      <c r="E5225" s="22" t="str">
        <f>HYPERLINK("https://twitter.com/Mahajan__rajat/status/922477438965202944","922477438965202944")</f>
        <v>922477438965202944</v>
      </c>
      <c r="F5225" s="23" t="s">
        <v>33</v>
      </c>
      <c r="G5225" s="24">
        <v>5.0</v>
      </c>
      <c r="H5225" s="24">
        <v>57.0</v>
      </c>
      <c r="I5225" s="24">
        <v>8501.0</v>
      </c>
      <c r="J5225" s="24">
        <v>0.0</v>
      </c>
      <c r="K5225" s="23" t="s">
        <v>34</v>
      </c>
      <c r="L5225" s="25">
        <v>42985.46493055555</v>
      </c>
      <c r="M5225" s="28"/>
      <c r="N5225" s="28"/>
      <c r="O5225" s="22" t="str">
        <f>HYPERLINK("https://abs.twimg.com/sticky/default_profile_images/default_profile_normal.png","View")</f>
        <v>View</v>
      </c>
      <c r="P5225" s="27"/>
    </row>
    <row r="5226">
      <c r="A5226" s="14">
        <v>43031.3328587963</v>
      </c>
      <c r="B5226" s="20" t="str">
        <f>HYPERLINK("https://twitter.com/shivakumar_rm","@shivakumar_rm")</f>
        <v>@shivakumar_rm</v>
      </c>
      <c r="C5226" s="21" t="s">
        <v>11937</v>
      </c>
      <c r="D5226" s="21" t="s">
        <v>42</v>
      </c>
      <c r="E5226" s="22" t="str">
        <f>HYPERLINK("https://twitter.com/shivakumar_rm/status/922477540744224769","922477540744224769")</f>
        <v>922477540744224769</v>
      </c>
      <c r="F5226" s="23" t="s">
        <v>33</v>
      </c>
      <c r="G5226" s="24">
        <v>229.0</v>
      </c>
      <c r="H5226" s="24">
        <v>94.0</v>
      </c>
      <c r="I5226" s="24">
        <v>8501.0</v>
      </c>
      <c r="J5226" s="24">
        <v>0.0</v>
      </c>
      <c r="K5226" s="23" t="s">
        <v>34</v>
      </c>
      <c r="L5226" s="25">
        <v>40046.85098379629</v>
      </c>
      <c r="M5226" s="28"/>
      <c r="N5226" s="26" t="s">
        <v>11938</v>
      </c>
      <c r="O5226" s="22" t="str">
        <f>HYPERLINK("https://pbs.twimg.com/profile_images/825642429864767489/Z8EfEAWk_normal.jpg","View")</f>
        <v>View</v>
      </c>
      <c r="P5226" s="27"/>
    </row>
    <row r="5227">
      <c r="A5227" s="14">
        <v>43031.332974537036</v>
      </c>
      <c r="B5227" s="20" t="str">
        <f>HYPERLINK("https://twitter.com/tushar_bachhav","@tushar_bachhav")</f>
        <v>@tushar_bachhav</v>
      </c>
      <c r="C5227" s="21" t="s">
        <v>11940</v>
      </c>
      <c r="D5227" s="21" t="s">
        <v>42</v>
      </c>
      <c r="E5227" s="22" t="str">
        <f>HYPERLINK("https://twitter.com/tushar_bachhav/status/922477583236612096","922477583236612096")</f>
        <v>922477583236612096</v>
      </c>
      <c r="F5227" s="23" t="s">
        <v>33</v>
      </c>
      <c r="G5227" s="24">
        <v>6.0</v>
      </c>
      <c r="H5227" s="24">
        <v>87.0</v>
      </c>
      <c r="I5227" s="24">
        <v>8501.0</v>
      </c>
      <c r="J5227" s="24">
        <v>0.0</v>
      </c>
      <c r="K5227" s="23" t="s">
        <v>34</v>
      </c>
      <c r="L5227" s="25">
        <v>40928.12712962963</v>
      </c>
      <c r="M5227" s="26" t="s">
        <v>11941</v>
      </c>
      <c r="N5227" s="26" t="s">
        <v>11942</v>
      </c>
      <c r="O5227" s="22" t="str">
        <f>HYPERLINK("https://pbs.twimg.com/profile_images/920315573161959424/Jf8vbNvF_normal.jpg","View")</f>
        <v>View</v>
      </c>
      <c r="P5227" s="27"/>
    </row>
    <row r="5228">
      <c r="A5228" s="14">
        <v>43031.333078703705</v>
      </c>
      <c r="B5228" s="20" t="str">
        <f>HYPERLINK("https://twitter.com/dk084712","@dk084712")</f>
        <v>@dk084712</v>
      </c>
      <c r="C5228" s="21" t="s">
        <v>9692</v>
      </c>
      <c r="D5228" s="21" t="s">
        <v>42</v>
      </c>
      <c r="E5228" s="22" t="str">
        <f>HYPERLINK("https://twitter.com/dk084712/status/922477622973546497","922477622973546497")</f>
        <v>922477622973546497</v>
      </c>
      <c r="F5228" s="23" t="s">
        <v>33</v>
      </c>
      <c r="G5228" s="24">
        <v>16.0</v>
      </c>
      <c r="H5228" s="24">
        <v>86.0</v>
      </c>
      <c r="I5228" s="24">
        <v>8501.0</v>
      </c>
      <c r="J5228" s="24">
        <v>0.0</v>
      </c>
      <c r="K5228" s="23" t="s">
        <v>34</v>
      </c>
      <c r="L5228" s="25">
        <v>42629.33516203704</v>
      </c>
      <c r="M5228" s="26" t="s">
        <v>11943</v>
      </c>
      <c r="N5228" s="28"/>
      <c r="O5228" s="22" t="str">
        <f>HYPERLINK("https://pbs.twimg.com/profile_images/848954447401295872/almeR7w8_normal.jpg","View")</f>
        <v>View</v>
      </c>
      <c r="P5228" s="27"/>
    </row>
    <row r="5229">
      <c r="A5229" s="14">
        <v>43031.33311342592</v>
      </c>
      <c r="B5229" s="20" t="str">
        <f>HYPERLINK("https://twitter.com/babe471119","@babe471119")</f>
        <v>@babe471119</v>
      </c>
      <c r="C5229" s="21" t="s">
        <v>11944</v>
      </c>
      <c r="D5229" s="21" t="s">
        <v>11945</v>
      </c>
      <c r="E5229" s="22" t="str">
        <f>HYPERLINK("https://twitter.com/babe471119/status/922477633916624898","922477633916624898")</f>
        <v>922477633916624898</v>
      </c>
      <c r="F5229" s="23" t="s">
        <v>55</v>
      </c>
      <c r="G5229" s="24">
        <v>491.0</v>
      </c>
      <c r="H5229" s="24">
        <v>631.0</v>
      </c>
      <c r="I5229" s="24">
        <v>0.0</v>
      </c>
      <c r="J5229" s="24">
        <v>0.0</v>
      </c>
      <c r="K5229" s="23" t="s">
        <v>34</v>
      </c>
      <c r="L5229" s="25">
        <v>40000.339421296296</v>
      </c>
      <c r="M5229" s="26" t="s">
        <v>11946</v>
      </c>
      <c r="N5229" s="26" t="s">
        <v>11947</v>
      </c>
      <c r="O5229" s="22" t="str">
        <f>HYPERLINK("https://pbs.twimg.com/profile_images/790916464509280256/LJZJ_SOn_normal.jpg","View")</f>
        <v>View</v>
      </c>
      <c r="P5229" s="27"/>
    </row>
    <row r="5230">
      <c r="A5230" s="14">
        <v>43031.333136574074</v>
      </c>
      <c r="B5230" s="20" t="str">
        <f>HYPERLINK("https://twitter.com/SGMFX","@SGMFX")</f>
        <v>@SGMFX</v>
      </c>
      <c r="C5230" s="21" t="s">
        <v>11948</v>
      </c>
      <c r="D5230" s="21" t="s">
        <v>1109</v>
      </c>
      <c r="E5230" s="22" t="str">
        <f>HYPERLINK("https://twitter.com/SGMFX/status/922477641357299713","922477641357299713")</f>
        <v>922477641357299713</v>
      </c>
      <c r="F5230" s="23" t="s">
        <v>55</v>
      </c>
      <c r="G5230" s="24">
        <v>139.0</v>
      </c>
      <c r="H5230" s="24">
        <v>513.0</v>
      </c>
      <c r="I5230" s="24">
        <v>71.0</v>
      </c>
      <c r="J5230" s="24">
        <v>0.0</v>
      </c>
      <c r="K5230" s="23" t="s">
        <v>34</v>
      </c>
      <c r="L5230" s="25">
        <v>40848.099282407406</v>
      </c>
      <c r="M5230" s="26" t="s">
        <v>11949</v>
      </c>
      <c r="N5230" s="26" t="s">
        <v>11950</v>
      </c>
      <c r="O5230" s="22" t="str">
        <f>HYPERLINK("https://pbs.twimg.com/profile_images/816231088049815552/uUlK4eW8_normal.jpg","View")</f>
        <v>View</v>
      </c>
      <c r="P5230" s="27"/>
    </row>
    <row r="5231">
      <c r="A5231" s="14">
        <v>43031.33336805555</v>
      </c>
      <c r="B5231" s="20" t="str">
        <f>HYPERLINK("https://twitter.com/BizRevAsia","@BizRevAsia")</f>
        <v>@BizRevAsia</v>
      </c>
      <c r="C5231" s="21" t="s">
        <v>11951</v>
      </c>
      <c r="D5231" s="21" t="s">
        <v>11952</v>
      </c>
      <c r="E5231" s="22" t="str">
        <f>HYPERLINK("https://twitter.com/BizRevAsia/status/922477728007442432","922477728007442432")</f>
        <v>922477728007442432</v>
      </c>
      <c r="F5231" s="23" t="s">
        <v>10415</v>
      </c>
      <c r="G5231" s="24">
        <v>207.0</v>
      </c>
      <c r="H5231" s="24">
        <v>139.0</v>
      </c>
      <c r="I5231" s="24">
        <v>0.0</v>
      </c>
      <c r="J5231" s="24">
        <v>0.0</v>
      </c>
      <c r="K5231" s="23" t="s">
        <v>34</v>
      </c>
      <c r="L5231" s="25">
        <v>42534.19773148149</v>
      </c>
      <c r="M5231" s="26" t="s">
        <v>1224</v>
      </c>
      <c r="N5231" s="26" t="s">
        <v>11953</v>
      </c>
      <c r="O5231" s="22" t="str">
        <f>HYPERLINK("https://pbs.twimg.com/profile_images/873187917757329408/bkHn6709_normal.jpg","View")</f>
        <v>View</v>
      </c>
      <c r="P5231" s="27"/>
    </row>
    <row r="5232">
      <c r="A5232" s="14">
        <v>43031.33342592593</v>
      </c>
      <c r="B5232" s="20" t="str">
        <f>HYPERLINK("https://twitter.com/luanquan29425","@luanquan29425")</f>
        <v>@luanquan29425</v>
      </c>
      <c r="C5232" s="21" t="s">
        <v>10865</v>
      </c>
      <c r="D5232" s="21" t="s">
        <v>11954</v>
      </c>
      <c r="E5232" s="22" t="str">
        <f>HYPERLINK("https://twitter.com/luanquan29425/status/922477748626399233","922477748626399233")</f>
        <v>922477748626399233</v>
      </c>
      <c r="F5232" s="23" t="s">
        <v>55</v>
      </c>
      <c r="G5232" s="24">
        <v>0.0</v>
      </c>
      <c r="H5232" s="24">
        <v>0.0</v>
      </c>
      <c r="I5232" s="24">
        <v>0.0</v>
      </c>
      <c r="J5232" s="24">
        <v>0.0</v>
      </c>
      <c r="K5232" s="23" t="s">
        <v>34</v>
      </c>
      <c r="L5232" s="25">
        <v>43029.47225694444</v>
      </c>
      <c r="M5232" s="28"/>
      <c r="N5232" s="28"/>
      <c r="O5232" s="22" t="str">
        <f>HYPERLINK("https://abs.twimg.com/sticky/default_profile_images/default_profile_normal.png","View")</f>
        <v>View</v>
      </c>
      <c r="P5232" s="27"/>
    </row>
    <row r="5233">
      <c r="A5233" s="14">
        <v>43031.3334375</v>
      </c>
      <c r="B5233" s="20" t="str">
        <f>HYPERLINK("https://twitter.com/MatarGasti","@MatarGasti")</f>
        <v>@MatarGasti</v>
      </c>
      <c r="C5233" s="21" t="s">
        <v>11955</v>
      </c>
      <c r="D5233" s="21" t="s">
        <v>42</v>
      </c>
      <c r="E5233" s="22" t="str">
        <f>HYPERLINK("https://twitter.com/MatarGasti/status/922477753135271937","922477753135271937")</f>
        <v>922477753135271937</v>
      </c>
      <c r="F5233" s="23" t="s">
        <v>33</v>
      </c>
      <c r="G5233" s="24">
        <v>231.0</v>
      </c>
      <c r="H5233" s="24">
        <v>362.0</v>
      </c>
      <c r="I5233" s="24">
        <v>8501.0</v>
      </c>
      <c r="J5233" s="24">
        <v>0.0</v>
      </c>
      <c r="K5233" s="23" t="s">
        <v>34</v>
      </c>
      <c r="L5233" s="25">
        <v>39793.54303240741</v>
      </c>
      <c r="M5233" s="26" t="s">
        <v>11956</v>
      </c>
      <c r="N5233" s="26" t="s">
        <v>11957</v>
      </c>
      <c r="O5233" s="22" t="str">
        <f>HYPERLINK("https://pbs.twimg.com/profile_images/459372212571480064/DfdbEibY_normal.jpeg","View")</f>
        <v>View</v>
      </c>
      <c r="P5233" s="27"/>
    </row>
    <row r="5234">
      <c r="A5234" s="14">
        <v>43031.3335300926</v>
      </c>
      <c r="B5234" s="20" t="str">
        <f>HYPERLINK("https://twitter.com/GrahameLucas","@GrahameLucas")</f>
        <v>@GrahameLucas</v>
      </c>
      <c r="C5234" s="21" t="s">
        <v>11958</v>
      </c>
      <c r="D5234" s="21" t="s">
        <v>11959</v>
      </c>
      <c r="E5234" s="22" t="str">
        <f>HYPERLINK("https://twitter.com/GrahameLucas/status/922477785242853376","922477785242853376")</f>
        <v>922477785242853376</v>
      </c>
      <c r="F5234" s="23" t="s">
        <v>11960</v>
      </c>
      <c r="G5234" s="24">
        <v>42553.0</v>
      </c>
      <c r="H5234" s="24">
        <v>21809.0</v>
      </c>
      <c r="I5234" s="24">
        <v>1.0</v>
      </c>
      <c r="J5234" s="24">
        <v>1.0</v>
      </c>
      <c r="K5234" s="23" t="s">
        <v>34</v>
      </c>
      <c r="L5234" s="25">
        <v>39940.43791666666</v>
      </c>
      <c r="M5234" s="26" t="s">
        <v>11961</v>
      </c>
      <c r="N5234" s="26" t="s">
        <v>11962</v>
      </c>
      <c r="O5234" s="22" t="str">
        <f>HYPERLINK("https://pbs.twimg.com/profile_images/752976272570085376/IEmg4zC5_normal.jpg","View")</f>
        <v>View</v>
      </c>
      <c r="P5234" s="27"/>
    </row>
    <row r="5235">
      <c r="A5235" s="14">
        <v>43031.33363425926</v>
      </c>
      <c r="B5235" s="20" t="str">
        <f>HYPERLINK("https://twitter.com/dlyglobalnews","@dlyglobalnews")</f>
        <v>@dlyglobalnews</v>
      </c>
      <c r="C5235" s="21" t="s">
        <v>6239</v>
      </c>
      <c r="D5235" s="21" t="s">
        <v>11963</v>
      </c>
      <c r="E5235" s="22" t="str">
        <f>HYPERLINK("https://twitter.com/dlyglobalnews/status/922477821309739008","922477821309739008")</f>
        <v>922477821309739008</v>
      </c>
      <c r="F5235" s="30" t="s">
        <v>191</v>
      </c>
      <c r="G5235" s="24">
        <v>14368.0</v>
      </c>
      <c r="H5235" s="24">
        <v>4645.0</v>
      </c>
      <c r="I5235" s="24">
        <v>0.0</v>
      </c>
      <c r="J5235" s="24">
        <v>0.0</v>
      </c>
      <c r="K5235" s="23" t="s">
        <v>34</v>
      </c>
      <c r="L5235" s="25">
        <v>42319.237384259264</v>
      </c>
      <c r="M5235" s="26" t="s">
        <v>6241</v>
      </c>
      <c r="N5235" s="26" t="s">
        <v>6242</v>
      </c>
      <c r="O5235" s="22" t="str">
        <f>HYPERLINK("https://pbs.twimg.com/profile_images/745963667406073857/EZ6Gypvm_normal.jpg","View")</f>
        <v>View</v>
      </c>
      <c r="P5235" s="27"/>
    </row>
    <row r="5236">
      <c r="A5236" s="14">
        <v>43031.33363425926</v>
      </c>
      <c r="B5236" s="20" t="str">
        <f>HYPERLINK("https://twitter.com/cathykaku1","@cathykaku1")</f>
        <v>@cathykaku1</v>
      </c>
      <c r="C5236" s="21" t="s">
        <v>11964</v>
      </c>
      <c r="D5236" s="21" t="s">
        <v>10614</v>
      </c>
      <c r="E5236" s="22" t="str">
        <f>HYPERLINK("https://twitter.com/cathykaku1/status/922477824677744646","922477824677744646")</f>
        <v>922477824677744646</v>
      </c>
      <c r="F5236" s="23" t="s">
        <v>55</v>
      </c>
      <c r="G5236" s="24">
        <v>3082.0</v>
      </c>
      <c r="H5236" s="24">
        <v>1730.0</v>
      </c>
      <c r="I5236" s="24">
        <v>159.0</v>
      </c>
      <c r="J5236" s="24">
        <v>0.0</v>
      </c>
      <c r="K5236" s="23" t="s">
        <v>34</v>
      </c>
      <c r="L5236" s="25">
        <v>41803.37697916667</v>
      </c>
      <c r="M5236" s="26" t="s">
        <v>6037</v>
      </c>
      <c r="N5236" s="26" t="s">
        <v>11965</v>
      </c>
      <c r="O5236" s="22" t="str">
        <f>HYPERLINK("https://pbs.twimg.com/profile_images/702942506498002944/Bsq3xqAM_normal.jpg","View")</f>
        <v>View</v>
      </c>
      <c r="P5236" s="27"/>
    </row>
    <row r="5237">
      <c r="A5237" s="14">
        <v>43031.33363425926</v>
      </c>
      <c r="B5237" s="20" t="str">
        <f>HYPERLINK("https://twitter.com/iParas5","@iParas5")</f>
        <v>@iParas5</v>
      </c>
      <c r="C5237" s="21" t="s">
        <v>11966</v>
      </c>
      <c r="D5237" s="21" t="s">
        <v>42</v>
      </c>
      <c r="E5237" s="22" t="str">
        <f>HYPERLINK("https://twitter.com/iParas5/status/922477824925151237","922477824925151237")</f>
        <v>922477824925151237</v>
      </c>
      <c r="F5237" s="23" t="s">
        <v>43</v>
      </c>
      <c r="G5237" s="24">
        <v>164.0</v>
      </c>
      <c r="H5237" s="24">
        <v>616.0</v>
      </c>
      <c r="I5237" s="24">
        <v>8501.0</v>
      </c>
      <c r="J5237" s="24">
        <v>0.0</v>
      </c>
      <c r="K5237" s="23" t="s">
        <v>34</v>
      </c>
      <c r="L5237" s="25">
        <v>40688.155127314814</v>
      </c>
      <c r="M5237" s="26" t="s">
        <v>204</v>
      </c>
      <c r="N5237" s="26" t="s">
        <v>11967</v>
      </c>
      <c r="O5237" s="22" t="str">
        <f>HYPERLINK("https://pbs.twimg.com/profile_images/918207945996980224/v2X6PVNW_normal.jpg","View")</f>
        <v>View</v>
      </c>
      <c r="P5237" s="27"/>
    </row>
    <row r="5238">
      <c r="A5238" s="14">
        <v>43031.33371527778</v>
      </c>
      <c r="B5238" s="20" t="str">
        <f>HYPERLINK("https://twitter.com/Make_Me_Aware","@Make_Me_Aware")</f>
        <v>@Make_Me_Aware</v>
      </c>
      <c r="C5238" s="21" t="s">
        <v>11968</v>
      </c>
      <c r="D5238" s="21" t="s">
        <v>11969</v>
      </c>
      <c r="E5238" s="22" t="str">
        <f>HYPERLINK("https://twitter.com/Make_Me_Aware/status/922477852330688512","922477852330688512")</f>
        <v>922477852330688512</v>
      </c>
      <c r="F5238" s="23" t="s">
        <v>427</v>
      </c>
      <c r="G5238" s="24">
        <v>317.0</v>
      </c>
      <c r="H5238" s="24">
        <v>660.0</v>
      </c>
      <c r="I5238" s="24">
        <v>2.0</v>
      </c>
      <c r="J5238" s="24">
        <v>0.0</v>
      </c>
      <c r="K5238" s="23" t="s">
        <v>34</v>
      </c>
      <c r="L5238" s="25">
        <v>42391.31861111111</v>
      </c>
      <c r="M5238" s="28"/>
      <c r="N5238" s="26" t="s">
        <v>11970</v>
      </c>
      <c r="O5238" s="22" t="str">
        <f>HYPERLINK("https://pbs.twimg.com/profile_images/706853611574333441/XBT1MnNh_normal.jpg","View")</f>
        <v>View</v>
      </c>
      <c r="P5238" s="27"/>
    </row>
    <row r="5239">
      <c r="A5239" s="14">
        <v>43031.33378472222</v>
      </c>
      <c r="B5239" s="20" t="str">
        <f>HYPERLINK("https://twitter.com/asianstudiesgu","@asianstudiesgu")</f>
        <v>@asianstudiesgu</v>
      </c>
      <c r="C5239" s="21" t="s">
        <v>11971</v>
      </c>
      <c r="D5239" s="21" t="s">
        <v>11972</v>
      </c>
      <c r="E5239" s="22" t="str">
        <f>HYPERLINK("https://twitter.com/asianstudiesgu/status/922477878259929088","922477878259929088")</f>
        <v>922477878259929088</v>
      </c>
      <c r="F5239" s="23" t="s">
        <v>427</v>
      </c>
      <c r="G5239" s="24">
        <v>2806.0</v>
      </c>
      <c r="H5239" s="24">
        <v>388.0</v>
      </c>
      <c r="I5239" s="24">
        <v>0.0</v>
      </c>
      <c r="J5239" s="24">
        <v>1.0</v>
      </c>
      <c r="K5239" s="23" t="s">
        <v>34</v>
      </c>
      <c r="L5239" s="25">
        <v>40127.553078703706</v>
      </c>
      <c r="M5239" s="26" t="s">
        <v>4239</v>
      </c>
      <c r="N5239" s="26" t="s">
        <v>11973</v>
      </c>
      <c r="O5239" s="22" t="str">
        <f>HYPERLINK("https://pbs.twimg.com/profile_images/493810600196063233/b-0WMGka_normal.jpeg","View")</f>
        <v>View</v>
      </c>
      <c r="P5239" s="27"/>
    </row>
    <row r="5240">
      <c r="A5240" s="14">
        <v>43031.33380787037</v>
      </c>
      <c r="B5240" s="20" t="str">
        <f>HYPERLINK("https://twitter.com/KirstyDuncanMP","@KirstyDuncanMP")</f>
        <v>@KirstyDuncanMP</v>
      </c>
      <c r="C5240" s="21" t="s">
        <v>11974</v>
      </c>
      <c r="D5240" s="21" t="s">
        <v>10614</v>
      </c>
      <c r="E5240" s="22" t="str">
        <f>HYPERLINK("https://twitter.com/KirstyDuncanMP/status/922477887676190725","922477887676190725")</f>
        <v>922477887676190725</v>
      </c>
      <c r="F5240" s="23" t="s">
        <v>55</v>
      </c>
      <c r="G5240" s="24">
        <v>22938.0</v>
      </c>
      <c r="H5240" s="24">
        <v>1631.0</v>
      </c>
      <c r="I5240" s="24">
        <v>159.0</v>
      </c>
      <c r="J5240" s="24">
        <v>0.0</v>
      </c>
      <c r="K5240" s="23" t="s">
        <v>34</v>
      </c>
      <c r="L5240" s="25">
        <v>40625.55212962963</v>
      </c>
      <c r="M5240" s="26" t="s">
        <v>11975</v>
      </c>
      <c r="N5240" s="26" t="s">
        <v>11976</v>
      </c>
      <c r="O5240" s="22" t="str">
        <f>HYPERLINK("https://pbs.twimg.com/profile_images/721035656013553665/PSK-nMTB_normal.jpg","View")</f>
        <v>View</v>
      </c>
      <c r="P5240" s="27"/>
    </row>
    <row r="5241">
      <c r="A5241" s="14">
        <v>43031.333923611106</v>
      </c>
      <c r="B5241" s="20" t="str">
        <f>HYPERLINK("https://twitter.com/ness_herrero","@ness_herrero")</f>
        <v>@ness_herrero</v>
      </c>
      <c r="C5241" s="21" t="s">
        <v>11848</v>
      </c>
      <c r="D5241" s="21" t="s">
        <v>2157</v>
      </c>
      <c r="E5241" s="22" t="str">
        <f>HYPERLINK("https://twitter.com/ness_herrero/status/922477929543622656","922477929543622656")</f>
        <v>922477929543622656</v>
      </c>
      <c r="F5241" s="23" t="s">
        <v>39</v>
      </c>
      <c r="G5241" s="24">
        <v>356.0</v>
      </c>
      <c r="H5241" s="24">
        <v>1256.0</v>
      </c>
      <c r="I5241" s="24">
        <v>12.0</v>
      </c>
      <c r="J5241" s="24">
        <v>0.0</v>
      </c>
      <c r="K5241" s="23" t="s">
        <v>34</v>
      </c>
      <c r="L5241" s="25">
        <v>40571.84951388889</v>
      </c>
      <c r="M5241" s="28"/>
      <c r="N5241" s="26" t="s">
        <v>11849</v>
      </c>
      <c r="O5241" s="22" t="str">
        <f>HYPERLINK("https://pbs.twimg.com/profile_images/3694922805/99cf873c7d50cbe739827abe7cc192a4_normal.jpeg","View")</f>
        <v>View</v>
      </c>
      <c r="P5241" s="27"/>
    </row>
    <row r="5242">
      <c r="A5242" s="14">
        <v>43031.33403935185</v>
      </c>
      <c r="B5242" s="20" t="str">
        <f>HYPERLINK("https://twitter.com/BreakageNews","@BreakageNews")</f>
        <v>@BreakageNews</v>
      </c>
      <c r="C5242" s="21" t="s">
        <v>5830</v>
      </c>
      <c r="D5242" s="21" t="s">
        <v>11977</v>
      </c>
      <c r="E5242" s="22" t="str">
        <f>HYPERLINK("https://twitter.com/BreakageNews/status/922477969683005440","922477969683005440")</f>
        <v>922477969683005440</v>
      </c>
      <c r="F5242" s="23" t="s">
        <v>11978</v>
      </c>
      <c r="G5242" s="24">
        <v>83.0</v>
      </c>
      <c r="H5242" s="24">
        <v>2.0</v>
      </c>
      <c r="I5242" s="24">
        <v>0.0</v>
      </c>
      <c r="J5242" s="24">
        <v>0.0</v>
      </c>
      <c r="K5242" s="23" t="s">
        <v>34</v>
      </c>
      <c r="L5242" s="25">
        <v>42728.91179398148</v>
      </c>
      <c r="M5242" s="26" t="s">
        <v>2068</v>
      </c>
      <c r="N5242" s="35" t="s">
        <v>11979</v>
      </c>
      <c r="O5242" s="22" t="str">
        <f>HYPERLINK("https://pbs.twimg.com/profile_images/859335461008965633/YpXjKxaQ_normal.jpg","View")</f>
        <v>View</v>
      </c>
      <c r="P5242" s="27"/>
    </row>
    <row r="5243">
      <c r="A5243" s="14">
        <v>43031.33409722222</v>
      </c>
      <c r="B5243" s="20" t="str">
        <f>HYPERLINK("https://twitter.com/WBJ_News","@WBJ_News")</f>
        <v>@WBJ_News</v>
      </c>
      <c r="C5243" s="21" t="s">
        <v>10223</v>
      </c>
      <c r="D5243" s="21" t="s">
        <v>11193</v>
      </c>
      <c r="E5243" s="22" t="str">
        <f>HYPERLINK("https://twitter.com/WBJ_News/status/922477991581675520","922477991581675520")</f>
        <v>922477991581675520</v>
      </c>
      <c r="F5243" s="23" t="s">
        <v>55</v>
      </c>
      <c r="G5243" s="24">
        <v>3.0</v>
      </c>
      <c r="H5243" s="24">
        <v>0.0</v>
      </c>
      <c r="I5243" s="24">
        <v>3.0</v>
      </c>
      <c r="J5243" s="24">
        <v>0.0</v>
      </c>
      <c r="K5243" s="23" t="s">
        <v>34</v>
      </c>
      <c r="L5243" s="25">
        <v>43028.507372685184</v>
      </c>
      <c r="M5243" s="28"/>
      <c r="N5243" s="28"/>
      <c r="O5243" s="22" t="str">
        <f>HYPERLINK("https://abs.twimg.com/sticky/default_profile_images/default_profile_normal.png","View")</f>
        <v>View</v>
      </c>
      <c r="P5243" s="27"/>
    </row>
    <row r="5244">
      <c r="A5244" s="14">
        <v>43031.334143518514</v>
      </c>
      <c r="B5244" s="20" t="str">
        <f>HYPERLINK("https://twitter.com/gauravlath_19","@gauravlath_19")</f>
        <v>@gauravlath_19</v>
      </c>
      <c r="C5244" s="21" t="s">
        <v>11980</v>
      </c>
      <c r="D5244" s="21" t="s">
        <v>42</v>
      </c>
      <c r="E5244" s="22" t="str">
        <f>HYPERLINK("https://twitter.com/gauravlath_19/status/922478006945198080","922478006945198080")</f>
        <v>922478006945198080</v>
      </c>
      <c r="F5244" s="23" t="s">
        <v>33</v>
      </c>
      <c r="G5244" s="24">
        <v>1157.0</v>
      </c>
      <c r="H5244" s="24">
        <v>5002.0</v>
      </c>
      <c r="I5244" s="24">
        <v>8501.0</v>
      </c>
      <c r="J5244" s="24">
        <v>0.0</v>
      </c>
      <c r="K5244" s="23" t="s">
        <v>34</v>
      </c>
      <c r="L5244" s="25">
        <v>40188.077303240745</v>
      </c>
      <c r="M5244" s="26" t="s">
        <v>11981</v>
      </c>
      <c r="N5244" s="26" t="s">
        <v>11982</v>
      </c>
      <c r="O5244" s="22" t="str">
        <f>HYPERLINK("https://pbs.twimg.com/profile_images/597351410573836288/LBiWS1xp_normal.png","View")</f>
        <v>View</v>
      </c>
      <c r="P5244" s="27"/>
    </row>
    <row r="5245">
      <c r="A5245" s="14">
        <v>43031.33422453704</v>
      </c>
      <c r="B5245" s="20" t="str">
        <f>HYPERLINK("https://twitter.com/sushilkarwa","@sushilkarwa")</f>
        <v>@sushilkarwa</v>
      </c>
      <c r="C5245" s="21" t="s">
        <v>11983</v>
      </c>
      <c r="D5245" s="21" t="s">
        <v>42</v>
      </c>
      <c r="E5245" s="22" t="str">
        <f>HYPERLINK("https://twitter.com/sushilkarwa/status/922478037786087425","922478037786087425")</f>
        <v>922478037786087425</v>
      </c>
      <c r="F5245" s="23" t="s">
        <v>39</v>
      </c>
      <c r="G5245" s="24">
        <v>3734.0</v>
      </c>
      <c r="H5245" s="24">
        <v>829.0</v>
      </c>
      <c r="I5245" s="24">
        <v>8501.0</v>
      </c>
      <c r="J5245" s="24">
        <v>0.0</v>
      </c>
      <c r="K5245" s="23" t="s">
        <v>34</v>
      </c>
      <c r="L5245" s="25">
        <v>41151.89177083333</v>
      </c>
      <c r="M5245" s="26" t="s">
        <v>238</v>
      </c>
      <c r="N5245" s="26" t="s">
        <v>11984</v>
      </c>
      <c r="O5245" s="22" t="str">
        <f>HYPERLINK("https://pbs.twimg.com/profile_images/776699462475538432/UwC4e9ML_normal.jpg","View")</f>
        <v>View</v>
      </c>
      <c r="P5245" s="27"/>
    </row>
    <row r="5246">
      <c r="A5246" s="14">
        <v>43031.33430555556</v>
      </c>
      <c r="B5246" s="20" t="str">
        <f>HYPERLINK("https://twitter.com/corabambi","@corabambi")</f>
        <v>@corabambi</v>
      </c>
      <c r="C5246" s="21" t="s">
        <v>4043</v>
      </c>
      <c r="D5246" s="21" t="s">
        <v>32</v>
      </c>
      <c r="E5246" s="22" t="str">
        <f>HYPERLINK("https://twitter.com/corabambi/status/922478068400353282","922478068400353282")</f>
        <v>922478068400353282</v>
      </c>
      <c r="F5246" s="23" t="s">
        <v>39</v>
      </c>
      <c r="G5246" s="24">
        <v>359.0</v>
      </c>
      <c r="H5246" s="24">
        <v>662.0</v>
      </c>
      <c r="I5246" s="24">
        <v>471.0</v>
      </c>
      <c r="J5246" s="24">
        <v>0.0</v>
      </c>
      <c r="K5246" s="23" t="s">
        <v>34</v>
      </c>
      <c r="L5246" s="25">
        <v>41406.09107638889</v>
      </c>
      <c r="M5246" s="26" t="s">
        <v>114</v>
      </c>
      <c r="N5246" s="28"/>
      <c r="O5246" s="22" t="str">
        <f>HYPERLINK("https://pbs.twimg.com/profile_images/850052128018223105/JWYhDiEn_normal.jpg","View")</f>
        <v>View</v>
      </c>
      <c r="P5246" s="27"/>
    </row>
    <row r="5247">
      <c r="A5247" s="14">
        <v>43031.3343287037</v>
      </c>
      <c r="B5247" s="20" t="str">
        <f>HYPERLINK("https://twitter.com/topnewsource","@topnewsource")</f>
        <v>@topnewsource</v>
      </c>
      <c r="C5247" s="21" t="s">
        <v>11985</v>
      </c>
      <c r="D5247" s="21" t="s">
        <v>11986</v>
      </c>
      <c r="E5247" s="22" t="str">
        <f>HYPERLINK("https://twitter.com/topnewsource/status/922478076876992514","922478076876992514")</f>
        <v>922478076876992514</v>
      </c>
      <c r="F5247" s="23" t="s">
        <v>187</v>
      </c>
      <c r="G5247" s="24">
        <v>162.0</v>
      </c>
      <c r="H5247" s="24">
        <v>893.0</v>
      </c>
      <c r="I5247" s="24">
        <v>0.0</v>
      </c>
      <c r="J5247" s="24">
        <v>0.0</v>
      </c>
      <c r="K5247" s="23" t="s">
        <v>34</v>
      </c>
      <c r="L5247" s="25">
        <v>42736.12315972222</v>
      </c>
      <c r="M5247" s="28"/>
      <c r="N5247" s="26" t="s">
        <v>11987</v>
      </c>
      <c r="O5247" s="22" t="str">
        <f>HYPERLINK("https://pbs.twimg.com/profile_images/918475698146365441/uA-FP7Qk_normal.jpg","View")</f>
        <v>View</v>
      </c>
      <c r="P5247" s="27"/>
    </row>
    <row r="5248">
      <c r="A5248" s="14">
        <v>43031.33434027778</v>
      </c>
      <c r="B5248" s="20" t="str">
        <f>HYPERLINK("https://twitter.com/Pravinkumar_gup","@Pravinkumar_gup")</f>
        <v>@Pravinkumar_gup</v>
      </c>
      <c r="C5248" s="21" t="s">
        <v>11988</v>
      </c>
      <c r="D5248" s="21" t="s">
        <v>42</v>
      </c>
      <c r="E5248" s="22" t="str">
        <f>HYPERLINK("https://twitter.com/Pravinkumar_gup/status/922478079817027584","922478079817027584")</f>
        <v>922478079817027584</v>
      </c>
      <c r="F5248" s="23" t="s">
        <v>33</v>
      </c>
      <c r="G5248" s="24">
        <v>56.0</v>
      </c>
      <c r="H5248" s="24">
        <v>203.0</v>
      </c>
      <c r="I5248" s="24">
        <v>8501.0</v>
      </c>
      <c r="J5248" s="24">
        <v>0.0</v>
      </c>
      <c r="K5248" s="23" t="s">
        <v>34</v>
      </c>
      <c r="L5248" s="25">
        <v>40806.0927662037</v>
      </c>
      <c r="M5248" s="26" t="s">
        <v>1545</v>
      </c>
      <c r="N5248" s="26" t="s">
        <v>11989</v>
      </c>
      <c r="O5248" s="22" t="str">
        <f>HYPERLINK("https://pbs.twimg.com/profile_images/902569373952499712/LlY73Znr_normal.jpg","View")</f>
        <v>View</v>
      </c>
      <c r="P5248" s="27"/>
    </row>
    <row r="5249">
      <c r="A5249" s="14">
        <v>43031.334386574075</v>
      </c>
      <c r="B5249" s="20" t="str">
        <f>HYPERLINK("https://twitter.com/CanadaFP","@CanadaFP")</f>
        <v>@CanadaFP</v>
      </c>
      <c r="C5249" s="21" t="s">
        <v>11990</v>
      </c>
      <c r="D5249" s="21" t="s">
        <v>11750</v>
      </c>
      <c r="E5249" s="22" t="str">
        <f>HYPERLINK("https://twitter.com/CanadaFP/status/922478094069522433","922478094069522433")</f>
        <v>922478094069522433</v>
      </c>
      <c r="F5249" s="23" t="s">
        <v>427</v>
      </c>
      <c r="G5249" s="24">
        <v>73897.0</v>
      </c>
      <c r="H5249" s="24">
        <v>1210.0</v>
      </c>
      <c r="I5249" s="24">
        <v>35.0</v>
      </c>
      <c r="J5249" s="24">
        <v>0.0</v>
      </c>
      <c r="K5249" s="23" t="s">
        <v>34</v>
      </c>
      <c r="L5249" s="25">
        <v>40246.45427083333</v>
      </c>
      <c r="M5249" s="26" t="s">
        <v>920</v>
      </c>
      <c r="N5249" s="26" t="s">
        <v>11991</v>
      </c>
      <c r="O5249" s="22" t="str">
        <f>HYPERLINK("https://pbs.twimg.com/profile_images/378800000302497336/8e74cba395963a4646b8d50e58e69685_normal.png","View")</f>
        <v>View</v>
      </c>
      <c r="P5249" s="27"/>
    </row>
    <row r="5250">
      <c r="A5250" s="14">
        <v>43031.334386574075</v>
      </c>
      <c r="B5250" s="20" t="str">
        <f>HYPERLINK("https://twitter.com/FamilyDayGTA","@FamilyDayGTA")</f>
        <v>@FamilyDayGTA</v>
      </c>
      <c r="C5250" s="21" t="s">
        <v>11992</v>
      </c>
      <c r="D5250" s="21" t="s">
        <v>11993</v>
      </c>
      <c r="E5250" s="22" t="str">
        <f>HYPERLINK("https://twitter.com/FamilyDayGTA/status/922478096594456579","922478096594456579")</f>
        <v>922478096594456579</v>
      </c>
      <c r="F5250" s="23" t="s">
        <v>55</v>
      </c>
      <c r="G5250" s="24">
        <v>714.0</v>
      </c>
      <c r="H5250" s="24">
        <v>362.0</v>
      </c>
      <c r="I5250" s="24">
        <v>1.0</v>
      </c>
      <c r="J5250" s="24">
        <v>0.0</v>
      </c>
      <c r="K5250" s="23" t="s">
        <v>34</v>
      </c>
      <c r="L5250" s="25">
        <v>41928.53506944444</v>
      </c>
      <c r="M5250" s="26" t="s">
        <v>11994</v>
      </c>
      <c r="N5250" s="26" t="s">
        <v>11995</v>
      </c>
      <c r="O5250" s="22" t="str">
        <f>HYPERLINK("https://pbs.twimg.com/profile_images/735132053457506306/mKC4knG3_normal.jpg","View")</f>
        <v>View</v>
      </c>
      <c r="P5250" s="27"/>
    </row>
    <row r="5251">
      <c r="A5251" s="14">
        <v>43031.334386574075</v>
      </c>
      <c r="B5251" s="20" t="str">
        <f>HYPERLINK("https://twitter.com/Rajprasong_News","@Rajprasong_News")</f>
        <v>@Rajprasong_News</v>
      </c>
      <c r="C5251" s="21" t="s">
        <v>11996</v>
      </c>
      <c r="D5251" s="21" t="s">
        <v>11997</v>
      </c>
      <c r="E5251" s="22" t="str">
        <f>HYPERLINK("https://twitter.com/Rajprasong_News/status/922478097110151169","922478097110151169")</f>
        <v>922478097110151169</v>
      </c>
      <c r="F5251" s="23" t="s">
        <v>48</v>
      </c>
      <c r="G5251" s="24">
        <v>12278.0</v>
      </c>
      <c r="H5251" s="24">
        <v>999.0</v>
      </c>
      <c r="I5251" s="24">
        <v>0.0</v>
      </c>
      <c r="J5251" s="24">
        <v>1.0</v>
      </c>
      <c r="K5251" s="23" t="s">
        <v>34</v>
      </c>
      <c r="L5251" s="25">
        <v>40200.30773148148</v>
      </c>
      <c r="M5251" s="26" t="s">
        <v>1735</v>
      </c>
      <c r="N5251" s="26" t="s">
        <v>11998</v>
      </c>
      <c r="O5251" s="22" t="str">
        <f>HYPERLINK("https://pbs.twimg.com/profile_images/772690331217174530/DuDWOGoB_normal.jpg","View")</f>
        <v>View</v>
      </c>
      <c r="P5251" s="27"/>
    </row>
    <row r="5252">
      <c r="A5252" s="14">
        <v>43031.33452546297</v>
      </c>
      <c r="B5252" s="20" t="str">
        <f>HYPERLINK("https://twitter.com/sachin_sudkarol","@sachin_sudkarol")</f>
        <v>@sachin_sudkarol</v>
      </c>
      <c r="C5252" s="21" t="s">
        <v>11999</v>
      </c>
      <c r="D5252" s="21" t="s">
        <v>42</v>
      </c>
      <c r="E5252" s="22" t="str">
        <f>HYPERLINK("https://twitter.com/sachin_sudkarol/status/922478146292662272","922478146292662272")</f>
        <v>922478146292662272</v>
      </c>
      <c r="F5252" s="23" t="s">
        <v>33</v>
      </c>
      <c r="G5252" s="24">
        <v>107.0</v>
      </c>
      <c r="H5252" s="24">
        <v>290.0</v>
      </c>
      <c r="I5252" s="24">
        <v>8501.0</v>
      </c>
      <c r="J5252" s="24">
        <v>0.0</v>
      </c>
      <c r="K5252" s="23" t="s">
        <v>34</v>
      </c>
      <c r="L5252" s="25">
        <v>42288.32864583333</v>
      </c>
      <c r="M5252" s="26" t="s">
        <v>6934</v>
      </c>
      <c r="N5252" s="26" t="s">
        <v>12000</v>
      </c>
      <c r="O5252" s="22" t="str">
        <f>HYPERLINK("https://pbs.twimg.com/profile_images/884075172982132737/4bYlsx2I_normal.jpg","View")</f>
        <v>View</v>
      </c>
      <c r="P5252" s="27"/>
    </row>
    <row r="5253">
      <c r="A5253" s="14">
        <v>43031.334699074076</v>
      </c>
      <c r="B5253" s="20" t="str">
        <f>HYPERLINK("https://twitter.com/bunnysunny81","@bunnysunny81")</f>
        <v>@bunnysunny81</v>
      </c>
      <c r="C5253" s="21" t="s">
        <v>12001</v>
      </c>
      <c r="D5253" s="21" t="s">
        <v>42</v>
      </c>
      <c r="E5253" s="22" t="str">
        <f>HYPERLINK("https://twitter.com/bunnysunny81/status/922478209987502080","922478209987502080")</f>
        <v>922478209987502080</v>
      </c>
      <c r="F5253" s="23" t="s">
        <v>33</v>
      </c>
      <c r="G5253" s="24">
        <v>72.0</v>
      </c>
      <c r="H5253" s="24">
        <v>82.0</v>
      </c>
      <c r="I5253" s="24">
        <v>8501.0</v>
      </c>
      <c r="J5253" s="24">
        <v>0.0</v>
      </c>
      <c r="K5253" s="23" t="s">
        <v>34</v>
      </c>
      <c r="L5253" s="25">
        <v>42578.52915509259</v>
      </c>
      <c r="M5253" s="26" t="s">
        <v>12002</v>
      </c>
      <c r="N5253" s="26" t="s">
        <v>12003</v>
      </c>
      <c r="O5253" s="22" t="str">
        <f>HYPERLINK("https://pbs.twimg.com/profile_images/876656373198540801/FXL3Q4vw_normal.jpg","View")</f>
        <v>View</v>
      </c>
      <c r="P5253" s="27"/>
    </row>
    <row r="5254">
      <c r="A5254" s="14">
        <v>43031.334699074076</v>
      </c>
      <c r="B5254" s="20" t="str">
        <f>HYPERLINK("https://twitter.com/globalgypsy123","@globalgypsy123")</f>
        <v>@globalgypsy123</v>
      </c>
      <c r="C5254" s="21" t="s">
        <v>12004</v>
      </c>
      <c r="D5254" s="21" t="s">
        <v>12005</v>
      </c>
      <c r="E5254" s="22" t="str">
        <f>HYPERLINK("https://twitter.com/globalgypsy123/status/922478211069501440","922478211069501440")</f>
        <v>922478211069501440</v>
      </c>
      <c r="F5254" s="23" t="s">
        <v>55</v>
      </c>
      <c r="G5254" s="24">
        <v>1019.0</v>
      </c>
      <c r="H5254" s="24">
        <v>1963.0</v>
      </c>
      <c r="I5254" s="24">
        <v>0.0</v>
      </c>
      <c r="J5254" s="24">
        <v>0.0</v>
      </c>
      <c r="K5254" s="23" t="s">
        <v>34</v>
      </c>
      <c r="L5254" s="25">
        <v>40001.88471064815</v>
      </c>
      <c r="M5254" s="26" t="s">
        <v>12006</v>
      </c>
      <c r="N5254" s="26" t="s">
        <v>12007</v>
      </c>
      <c r="O5254" s="22" t="str">
        <f>HYPERLINK("https://pbs.twimg.com/profile_images/894269365591265281/6fEB2PFF_normal.jpg","View")</f>
        <v>View</v>
      </c>
      <c r="P5254" s="27"/>
    </row>
    <row r="5255">
      <c r="A5255" s="14">
        <v>43031.33471064815</v>
      </c>
      <c r="B5255" s="20" t="str">
        <f>HYPERLINK("https://twitter.com/sjoshi01","@sjoshi01")</f>
        <v>@sjoshi01</v>
      </c>
      <c r="C5255" s="21" t="s">
        <v>12008</v>
      </c>
      <c r="D5255" s="21" t="s">
        <v>42</v>
      </c>
      <c r="E5255" s="22" t="str">
        <f>HYPERLINK("https://twitter.com/sjoshi01/status/922478213749723137","922478213749723137")</f>
        <v>922478213749723137</v>
      </c>
      <c r="F5255" s="23" t="s">
        <v>39</v>
      </c>
      <c r="G5255" s="24">
        <v>10.0</v>
      </c>
      <c r="H5255" s="24">
        <v>36.0</v>
      </c>
      <c r="I5255" s="24">
        <v>8501.0</v>
      </c>
      <c r="J5255" s="24">
        <v>0.0</v>
      </c>
      <c r="K5255" s="23" t="s">
        <v>34</v>
      </c>
      <c r="L5255" s="25">
        <v>41135.355937500004</v>
      </c>
      <c r="M5255" s="26" t="s">
        <v>68</v>
      </c>
      <c r="N5255" s="26" t="s">
        <v>12009</v>
      </c>
      <c r="O5255" s="22" t="str">
        <f>HYPERLINK("https://pbs.twimg.com/profile_images/891852951911845888/rNdTci2R_normal.jpg","View")</f>
        <v>View</v>
      </c>
      <c r="P5255" s="27"/>
    </row>
    <row r="5256">
      <c r="A5256" s="14">
        <v>43031.334756944445</v>
      </c>
      <c r="B5256" s="20" t="str">
        <f>HYPERLINK("https://twitter.com/TheTruthArtists","@TheTruthArtists")</f>
        <v>@TheTruthArtists</v>
      </c>
      <c r="C5256" s="21" t="s">
        <v>12010</v>
      </c>
      <c r="D5256" s="34" t="s">
        <v>12011</v>
      </c>
      <c r="E5256" s="22" t="str">
        <f>HYPERLINK("https://twitter.com/TheTruthArtists/status/922478228962283521","922478228962283521")</f>
        <v>922478228962283521</v>
      </c>
      <c r="F5256" s="23" t="s">
        <v>48</v>
      </c>
      <c r="G5256" s="24">
        <v>313.0</v>
      </c>
      <c r="H5256" s="24">
        <v>47.0</v>
      </c>
      <c r="I5256" s="24">
        <v>0.0</v>
      </c>
      <c r="J5256" s="24">
        <v>0.0</v>
      </c>
      <c r="K5256" s="23" t="s">
        <v>34</v>
      </c>
      <c r="L5256" s="25">
        <v>41918.55987268519</v>
      </c>
      <c r="M5256" s="26" t="s">
        <v>12012</v>
      </c>
      <c r="N5256" s="26" t="s">
        <v>12013</v>
      </c>
      <c r="O5256" s="22" t="str">
        <f>HYPERLINK("https://pbs.twimg.com/profile_images/616415473828171776/GWoI531q_normal.png","View")</f>
        <v>View</v>
      </c>
      <c r="P5256" s="27"/>
    </row>
    <row r="5257">
      <c r="A5257" s="14">
        <v>43031.33478009259</v>
      </c>
      <c r="B5257" s="20" t="str">
        <f>HYPERLINK("https://twitter.com/Gajendrakumar80","@Gajendrakumar80")</f>
        <v>@Gajendrakumar80</v>
      </c>
      <c r="C5257" s="21" t="s">
        <v>12014</v>
      </c>
      <c r="D5257" s="21" t="s">
        <v>42</v>
      </c>
      <c r="E5257" s="22" t="str">
        <f>HYPERLINK("https://twitter.com/Gajendrakumar80/status/922478238248591360","922478238248591360")</f>
        <v>922478238248591360</v>
      </c>
      <c r="F5257" s="23" t="s">
        <v>33</v>
      </c>
      <c r="G5257" s="24">
        <v>45.0</v>
      </c>
      <c r="H5257" s="24">
        <v>40.0</v>
      </c>
      <c r="I5257" s="24">
        <v>8501.0</v>
      </c>
      <c r="J5257" s="24">
        <v>0.0</v>
      </c>
      <c r="K5257" s="23" t="s">
        <v>34</v>
      </c>
      <c r="L5257" s="25">
        <v>42875.06915509259</v>
      </c>
      <c r="M5257" s="26" t="s">
        <v>12015</v>
      </c>
      <c r="N5257" s="26" t="s">
        <v>12016</v>
      </c>
      <c r="O5257" s="22" t="str">
        <f>HYPERLINK("https://pbs.twimg.com/profile_images/912654440036950016/sPBfZuTK_normal.jpg","View")</f>
        <v>View</v>
      </c>
      <c r="P5257" s="27"/>
    </row>
    <row r="5258">
      <c r="A5258" s="14">
        <v>43031.33480324074</v>
      </c>
      <c r="B5258" s="20" t="str">
        <f>HYPERLINK("https://twitter.com/pns_123","@pns_123")</f>
        <v>@pns_123</v>
      </c>
      <c r="C5258" s="21" t="s">
        <v>12017</v>
      </c>
      <c r="D5258" s="21" t="s">
        <v>42</v>
      </c>
      <c r="E5258" s="22" t="str">
        <f>HYPERLINK("https://twitter.com/pns_123/status/922478246427529217","922478246427529217")</f>
        <v>922478246427529217</v>
      </c>
      <c r="F5258" s="23" t="s">
        <v>55</v>
      </c>
      <c r="G5258" s="24">
        <v>201.0</v>
      </c>
      <c r="H5258" s="24">
        <v>667.0</v>
      </c>
      <c r="I5258" s="24">
        <v>8501.0</v>
      </c>
      <c r="J5258" s="24">
        <v>0.0</v>
      </c>
      <c r="K5258" s="23" t="s">
        <v>34</v>
      </c>
      <c r="L5258" s="25">
        <v>42026.265625</v>
      </c>
      <c r="M5258" s="28"/>
      <c r="N5258" s="26" t="s">
        <v>12018</v>
      </c>
      <c r="O5258" s="22" t="str">
        <f>HYPERLINK("https://pbs.twimg.com/profile_images/888402110404059136/gY6_n8Fl_normal.jpg","View")</f>
        <v>View</v>
      </c>
      <c r="P5258" s="27"/>
    </row>
    <row r="5259">
      <c r="A5259" s="14">
        <v>43031.33482638889</v>
      </c>
      <c r="B5259" s="20" t="str">
        <f>HYPERLINK("https://twitter.com/Sourcingstocks","@Sourcingstocks")</f>
        <v>@Sourcingstocks</v>
      </c>
      <c r="C5259" s="21" t="s">
        <v>5559</v>
      </c>
      <c r="D5259" s="21" t="s">
        <v>12019</v>
      </c>
      <c r="E5259" s="22" t="str">
        <f>HYPERLINK("https://twitter.com/Sourcingstocks/status/922478253436174336","922478253436174336")</f>
        <v>922478253436174336</v>
      </c>
      <c r="F5259" s="23" t="s">
        <v>187</v>
      </c>
      <c r="G5259" s="24">
        <v>9028.0</v>
      </c>
      <c r="H5259" s="24">
        <v>8574.0</v>
      </c>
      <c r="I5259" s="24">
        <v>0.0</v>
      </c>
      <c r="J5259" s="24">
        <v>0.0</v>
      </c>
      <c r="K5259" s="23" t="s">
        <v>34</v>
      </c>
      <c r="L5259" s="25">
        <v>41574.44561342592</v>
      </c>
      <c r="M5259" s="26" t="s">
        <v>5561</v>
      </c>
      <c r="N5259" s="26" t="s">
        <v>5562</v>
      </c>
      <c r="O5259" s="22" t="str">
        <f>HYPERLINK("https://pbs.twimg.com/profile_images/613084166880542720/NWukrpyc_normal.png","View")</f>
        <v>View</v>
      </c>
      <c r="P5259" s="27"/>
    </row>
    <row r="5260">
      <c r="A5260" s="14">
        <v>43031.3350462963</v>
      </c>
      <c r="B5260" s="20" t="str">
        <f>HYPERLINK("https://twitter.com/theakashpawar","@theakashpawar")</f>
        <v>@theakashpawar</v>
      </c>
      <c r="C5260" s="21" t="s">
        <v>12020</v>
      </c>
      <c r="D5260" s="21" t="s">
        <v>54</v>
      </c>
      <c r="E5260" s="22" t="str">
        <f>HYPERLINK("https://twitter.com/theakashpawar/status/922478336864952322","922478336864952322")</f>
        <v>922478336864952322</v>
      </c>
      <c r="F5260" s="23" t="s">
        <v>43</v>
      </c>
      <c r="G5260" s="24">
        <v>8.0</v>
      </c>
      <c r="H5260" s="24">
        <v>139.0</v>
      </c>
      <c r="I5260" s="24">
        <v>21.0</v>
      </c>
      <c r="J5260" s="24">
        <v>0.0</v>
      </c>
      <c r="K5260" s="23" t="s">
        <v>34</v>
      </c>
      <c r="L5260" s="25">
        <v>42784.43518518518</v>
      </c>
      <c r="M5260" s="28"/>
      <c r="N5260" s="28"/>
      <c r="O5260" s="22" t="str">
        <f>HYPERLINK("https://abs.twimg.com/sticky/default_profile_images/default_profile_normal.png","View")</f>
        <v>View</v>
      </c>
      <c r="P5260" s="27"/>
    </row>
    <row r="5261">
      <c r="A5261" s="14">
        <v>43031.33510416667</v>
      </c>
      <c r="B5261" s="20" t="str">
        <f>HYPERLINK("https://twitter.com/dharmvirjangra9","@dharmvirjangra9")</f>
        <v>@dharmvirjangra9</v>
      </c>
      <c r="C5261" s="21" t="s">
        <v>12021</v>
      </c>
      <c r="D5261" s="21" t="s">
        <v>42</v>
      </c>
      <c r="E5261" s="22" t="str">
        <f>HYPERLINK("https://twitter.com/dharmvirjangra9/status/922478357270409216","922478357270409216")</f>
        <v>922478357270409216</v>
      </c>
      <c r="F5261" s="23" t="s">
        <v>33</v>
      </c>
      <c r="G5261" s="24">
        <v>3244.0</v>
      </c>
      <c r="H5261" s="24">
        <v>5001.0</v>
      </c>
      <c r="I5261" s="24">
        <v>8501.0</v>
      </c>
      <c r="J5261" s="24">
        <v>0.0</v>
      </c>
      <c r="K5261" s="23" t="s">
        <v>34</v>
      </c>
      <c r="L5261" s="25">
        <v>42244.15758101852</v>
      </c>
      <c r="M5261" s="26" t="s">
        <v>12022</v>
      </c>
      <c r="N5261" s="26" t="s">
        <v>12023</v>
      </c>
      <c r="O5261" s="22" t="str">
        <f>HYPERLINK("https://pbs.twimg.com/profile_images/799947951661576193/IikrW9GT_normal.jpg","View")</f>
        <v>View</v>
      </c>
      <c r="P5261" s="27"/>
    </row>
    <row r="5262">
      <c r="A5262" s="14">
        <v>43031.33530092593</v>
      </c>
      <c r="B5262" s="20" t="str">
        <f>HYPERLINK("https://twitter.com/BayandinPeter","@BayandinPeter")</f>
        <v>@BayandinPeter</v>
      </c>
      <c r="C5262" s="21" t="s">
        <v>12024</v>
      </c>
      <c r="D5262" s="21" t="s">
        <v>2595</v>
      </c>
      <c r="E5262" s="22" t="str">
        <f>HYPERLINK("https://twitter.com/BayandinPeter/status/922478426992402432","922478426992402432")</f>
        <v>922478426992402432</v>
      </c>
      <c r="F5262" s="23" t="s">
        <v>39</v>
      </c>
      <c r="G5262" s="24">
        <v>16.0</v>
      </c>
      <c r="H5262" s="24">
        <v>44.0</v>
      </c>
      <c r="I5262" s="24">
        <v>170.0</v>
      </c>
      <c r="J5262" s="24">
        <v>0.0</v>
      </c>
      <c r="K5262" s="23" t="s">
        <v>34</v>
      </c>
      <c r="L5262" s="25">
        <v>43025.52701388889</v>
      </c>
      <c r="M5262" s="26" t="s">
        <v>68</v>
      </c>
      <c r="N5262" s="26" t="s">
        <v>12025</v>
      </c>
      <c r="O5262" s="22" t="str">
        <f>HYPERLINK("https://pbs.twimg.com/profile_images/920389470565949440/UTjPoZy3_normal.jpg","View")</f>
        <v>View</v>
      </c>
      <c r="P5262" s="27"/>
    </row>
    <row r="5263">
      <c r="A5263" s="14">
        <v>43031.33534722222</v>
      </c>
      <c r="B5263" s="20" t="str">
        <f>HYPERLINK("https://twitter.com/inky_mark","@inky_mark")</f>
        <v>@inky_mark</v>
      </c>
      <c r="C5263" s="21" t="s">
        <v>12026</v>
      </c>
      <c r="D5263" s="21" t="s">
        <v>12027</v>
      </c>
      <c r="E5263" s="22" t="str">
        <f>HYPERLINK("https://twitter.com/inky_mark/status/922478444432314368","922478444432314368")</f>
        <v>922478444432314368</v>
      </c>
      <c r="F5263" s="23" t="s">
        <v>230</v>
      </c>
      <c r="G5263" s="24">
        <v>13801.0</v>
      </c>
      <c r="H5263" s="24">
        <v>15149.0</v>
      </c>
      <c r="I5263" s="24">
        <v>1.0</v>
      </c>
      <c r="J5263" s="24">
        <v>0.0</v>
      </c>
      <c r="K5263" s="23" t="s">
        <v>34</v>
      </c>
      <c r="L5263" s="25">
        <v>41634.47331018519</v>
      </c>
      <c r="M5263" s="26" t="s">
        <v>12028</v>
      </c>
      <c r="N5263" s="26" t="s">
        <v>12029</v>
      </c>
      <c r="O5263" s="22" t="str">
        <f>HYPERLINK("https://pbs.twimg.com/profile_images/559167372871753729/Ng4DbSZQ_normal.jpeg","View")</f>
        <v>View</v>
      </c>
      <c r="P5263" s="27"/>
    </row>
    <row r="5264">
      <c r="A5264" s="14">
        <v>43031.335486111115</v>
      </c>
      <c r="B5264" s="20" t="str">
        <f>HYPERLINK("https://twitter.com/shivarepw","@shivarepw")</f>
        <v>@shivarepw</v>
      </c>
      <c r="C5264" s="21" t="s">
        <v>12030</v>
      </c>
      <c r="D5264" s="21" t="s">
        <v>42</v>
      </c>
      <c r="E5264" s="22" t="str">
        <f>HYPERLINK("https://twitter.com/shivarepw/status/922478492909944832","922478492909944832")</f>
        <v>922478492909944832</v>
      </c>
      <c r="F5264" s="23" t="s">
        <v>33</v>
      </c>
      <c r="G5264" s="24">
        <v>129.0</v>
      </c>
      <c r="H5264" s="24">
        <v>373.0</v>
      </c>
      <c r="I5264" s="24">
        <v>8501.0</v>
      </c>
      <c r="J5264" s="24">
        <v>0.0</v>
      </c>
      <c r="K5264" s="23" t="s">
        <v>34</v>
      </c>
      <c r="L5264" s="25">
        <v>39968.93916666666</v>
      </c>
      <c r="M5264" s="26" t="s">
        <v>12031</v>
      </c>
      <c r="N5264" s="28"/>
      <c r="O5264" s="22" t="str">
        <f>HYPERLINK("https://pbs.twimg.com/profile_images/470976913142341632/BCaiGkBb_normal.jpeg","View")</f>
        <v>View</v>
      </c>
      <c r="P5264" s="27"/>
    </row>
    <row r="5265">
      <c r="A5265" s="14">
        <v>43031.3355787037</v>
      </c>
      <c r="B5265" s="20" t="str">
        <f>HYPERLINK("https://twitter.com/singpraveer","@singpraveer")</f>
        <v>@singpraveer</v>
      </c>
      <c r="C5265" s="21" t="s">
        <v>12032</v>
      </c>
      <c r="D5265" s="21" t="s">
        <v>163</v>
      </c>
      <c r="E5265" s="22" t="str">
        <f>HYPERLINK("https://twitter.com/singpraveer/status/922478528871907328","922478528871907328")</f>
        <v>922478528871907328</v>
      </c>
      <c r="F5265" s="23" t="s">
        <v>33</v>
      </c>
      <c r="G5265" s="24">
        <v>1391.0</v>
      </c>
      <c r="H5265" s="24">
        <v>1235.0</v>
      </c>
      <c r="I5265" s="24">
        <v>1005.0</v>
      </c>
      <c r="J5265" s="24">
        <v>0.0</v>
      </c>
      <c r="K5265" s="23" t="s">
        <v>34</v>
      </c>
      <c r="L5265" s="25">
        <v>40281.49636574074</v>
      </c>
      <c r="M5265" s="26" t="s">
        <v>12033</v>
      </c>
      <c r="N5265" s="26" t="s">
        <v>12034</v>
      </c>
      <c r="O5265" s="22" t="str">
        <f>HYPERLINK("https://pbs.twimg.com/profile_images/497986898384527360/r3Xy-_dL_normal.jpeg","View")</f>
        <v>View</v>
      </c>
      <c r="P5265" s="27"/>
    </row>
    <row r="5266">
      <c r="A5266" s="14">
        <v>43031.33559027778</v>
      </c>
      <c r="B5266" s="20" t="str">
        <f>HYPERLINK("https://twitter.com/LAXMANG40391811","@LAXMANG40391811")</f>
        <v>@LAXMANG40391811</v>
      </c>
      <c r="C5266" s="21" t="s">
        <v>12035</v>
      </c>
      <c r="D5266" s="21" t="s">
        <v>42</v>
      </c>
      <c r="E5266" s="22" t="str">
        <f>HYPERLINK("https://twitter.com/LAXMANG40391811/status/922478530608300032","922478530608300032")</f>
        <v>922478530608300032</v>
      </c>
      <c r="F5266" s="23" t="s">
        <v>33</v>
      </c>
      <c r="G5266" s="24">
        <v>79.0</v>
      </c>
      <c r="H5266" s="24">
        <v>346.0</v>
      </c>
      <c r="I5266" s="24">
        <v>8501.0</v>
      </c>
      <c r="J5266" s="24">
        <v>0.0</v>
      </c>
      <c r="K5266" s="23" t="s">
        <v>34</v>
      </c>
      <c r="L5266" s="25">
        <v>42819.498032407406</v>
      </c>
      <c r="M5266" s="26" t="s">
        <v>204</v>
      </c>
      <c r="N5266" s="28"/>
      <c r="O5266" s="22" t="str">
        <f>HYPERLINK("https://pbs.twimg.com/profile_images/888795321081450496/WY4WeYgv_normal.jpg","View")</f>
        <v>View</v>
      </c>
      <c r="P5266" s="27"/>
    </row>
    <row r="5267">
      <c r="A5267" s="14">
        <v>43031.33568287037</v>
      </c>
      <c r="B5267" s="20" t="str">
        <f>HYPERLINK("https://twitter.com/shajilkumar","@shajilkumar")</f>
        <v>@shajilkumar</v>
      </c>
      <c r="C5267" s="21" t="s">
        <v>12036</v>
      </c>
      <c r="D5267" s="21" t="s">
        <v>42</v>
      </c>
      <c r="E5267" s="22" t="str">
        <f>HYPERLINK("https://twitter.com/shajilkumar/status/922478565366620162","922478565366620162")</f>
        <v>922478565366620162</v>
      </c>
      <c r="F5267" s="23" t="s">
        <v>33</v>
      </c>
      <c r="G5267" s="24">
        <v>0.0</v>
      </c>
      <c r="H5267" s="24">
        <v>17.0</v>
      </c>
      <c r="I5267" s="24">
        <v>8501.0</v>
      </c>
      <c r="J5267" s="24">
        <v>0.0</v>
      </c>
      <c r="K5267" s="23" t="s">
        <v>34</v>
      </c>
      <c r="L5267" s="25">
        <v>40078.14402777778</v>
      </c>
      <c r="M5267" s="28"/>
      <c r="N5267" s="28"/>
      <c r="O5267" s="22" t="str">
        <f>HYPERLINK("https://abs.twimg.com/sticky/default_profile_images/default_profile_normal.png","View")</f>
        <v>View</v>
      </c>
      <c r="P5267" s="27"/>
    </row>
    <row r="5268">
      <c r="A5268" s="14">
        <v>43031.33583333333</v>
      </c>
      <c r="B5268" s="20" t="str">
        <f>HYPERLINK("https://twitter.com/sansaatvik29","@sansaatvik29")</f>
        <v>@sansaatvik29</v>
      </c>
      <c r="C5268" s="21" t="s">
        <v>12037</v>
      </c>
      <c r="D5268" s="21" t="s">
        <v>42</v>
      </c>
      <c r="E5268" s="22" t="str">
        <f>HYPERLINK("https://twitter.com/sansaatvik29/status/922478620072955904","922478620072955904")</f>
        <v>922478620072955904</v>
      </c>
      <c r="F5268" s="23" t="s">
        <v>39</v>
      </c>
      <c r="G5268" s="24">
        <v>85.0</v>
      </c>
      <c r="H5268" s="24">
        <v>393.0</v>
      </c>
      <c r="I5268" s="24">
        <v>8501.0</v>
      </c>
      <c r="J5268" s="24">
        <v>0.0</v>
      </c>
      <c r="K5268" s="23" t="s">
        <v>34</v>
      </c>
      <c r="L5268" s="25">
        <v>41604.99153935185</v>
      </c>
      <c r="M5268" s="26" t="s">
        <v>238</v>
      </c>
      <c r="N5268" s="26" t="s">
        <v>12038</v>
      </c>
      <c r="O5268" s="22" t="str">
        <f>HYPERLINK("https://pbs.twimg.com/profile_images/812180554468753408/fqqYdHtf_normal.jpg","View")</f>
        <v>View</v>
      </c>
      <c r="P5268" s="27"/>
    </row>
    <row r="5269">
      <c r="A5269" s="14">
        <v>43031.335856481484</v>
      </c>
      <c r="B5269" s="20" t="str">
        <f>HYPERLINK("https://twitter.com/Adithya091996","@Adithya091996")</f>
        <v>@Adithya091996</v>
      </c>
      <c r="C5269" s="21" t="s">
        <v>12039</v>
      </c>
      <c r="D5269" s="21" t="s">
        <v>42</v>
      </c>
      <c r="E5269" s="22" t="str">
        <f>HYPERLINK("https://twitter.com/Adithya091996/status/922478629233180673","922478629233180673")</f>
        <v>922478629233180673</v>
      </c>
      <c r="F5269" s="23" t="s">
        <v>33</v>
      </c>
      <c r="G5269" s="24">
        <v>1.0</v>
      </c>
      <c r="H5269" s="24">
        <v>109.0</v>
      </c>
      <c r="I5269" s="24">
        <v>8501.0</v>
      </c>
      <c r="J5269" s="24">
        <v>0.0</v>
      </c>
      <c r="K5269" s="23" t="s">
        <v>34</v>
      </c>
      <c r="L5269" s="25">
        <v>43031.32391203704</v>
      </c>
      <c r="M5269" s="28"/>
      <c r="N5269" s="28"/>
      <c r="O5269" s="22" t="str">
        <f>HYPERLINK("https://abs.twimg.com/sticky/default_profile_images/default_profile_normal.png","View")</f>
        <v>View</v>
      </c>
      <c r="P5269" s="27"/>
    </row>
    <row r="5270">
      <c r="A5270" s="14">
        <v>43031.33594907407</v>
      </c>
      <c r="B5270" s="20" t="str">
        <f>HYPERLINK("https://twitter.com/grumblingidiot","@grumblingidiot")</f>
        <v>@grumblingidiot</v>
      </c>
      <c r="C5270" s="21" t="s">
        <v>12040</v>
      </c>
      <c r="D5270" s="21" t="s">
        <v>42</v>
      </c>
      <c r="E5270" s="22" t="str">
        <f>HYPERLINK("https://twitter.com/grumblingidiot/status/922478659998441473","922478659998441473")</f>
        <v>922478659998441473</v>
      </c>
      <c r="F5270" s="23" t="s">
        <v>33</v>
      </c>
      <c r="G5270" s="24">
        <v>95.0</v>
      </c>
      <c r="H5270" s="24">
        <v>97.0</v>
      </c>
      <c r="I5270" s="24">
        <v>8501.0</v>
      </c>
      <c r="J5270" s="24">
        <v>0.0</v>
      </c>
      <c r="K5270" s="23" t="s">
        <v>34</v>
      </c>
      <c r="L5270" s="25">
        <v>39817.24010416667</v>
      </c>
      <c r="M5270" s="28"/>
      <c r="N5270" s="26" t="s">
        <v>12041</v>
      </c>
      <c r="O5270" s="22" t="str">
        <f>HYPERLINK("https://pbs.twimg.com/profile_images/908388928993992704/f6ie2zcF_normal.jpg","View")</f>
        <v>View</v>
      </c>
      <c r="P5270" s="27"/>
    </row>
    <row r="5271">
      <c r="A5271" s="14">
        <v>43031.336111111115</v>
      </c>
      <c r="B5271" s="20" t="str">
        <f>HYPERLINK("https://twitter.com/bharatputra1973","@bharatputra1973")</f>
        <v>@bharatputra1973</v>
      </c>
      <c r="C5271" s="21" t="s">
        <v>12042</v>
      </c>
      <c r="D5271" s="21" t="s">
        <v>42</v>
      </c>
      <c r="E5271" s="22" t="str">
        <f>HYPERLINK("https://twitter.com/bharatputra1973/status/922478720111206401","922478720111206401")</f>
        <v>922478720111206401</v>
      </c>
      <c r="F5271" s="23" t="s">
        <v>33</v>
      </c>
      <c r="G5271" s="24">
        <v>202.0</v>
      </c>
      <c r="H5271" s="24">
        <v>589.0</v>
      </c>
      <c r="I5271" s="24">
        <v>8501.0</v>
      </c>
      <c r="J5271" s="24">
        <v>0.0</v>
      </c>
      <c r="K5271" s="23" t="s">
        <v>34</v>
      </c>
      <c r="L5271" s="25">
        <v>40529.81769675926</v>
      </c>
      <c r="M5271" s="26" t="s">
        <v>204</v>
      </c>
      <c r="N5271" s="26" t="s">
        <v>12043</v>
      </c>
      <c r="O5271" s="22" t="str">
        <f>HYPERLINK("https://pbs.twimg.com/profile_images/434716677834412032/fFpQNx9f_normal.jpeg","View")</f>
        <v>View</v>
      </c>
      <c r="P5271" s="27"/>
    </row>
    <row r="5272">
      <c r="A5272" s="14">
        <v>43031.336134259254</v>
      </c>
      <c r="B5272" s="20" t="str">
        <f>HYPERLINK("https://twitter.com/iam_ksv","@iam_ksv")</f>
        <v>@iam_ksv</v>
      </c>
      <c r="C5272" s="21" t="s">
        <v>12044</v>
      </c>
      <c r="D5272" s="21" t="s">
        <v>42</v>
      </c>
      <c r="E5272" s="22" t="str">
        <f>HYPERLINK("https://twitter.com/iam_ksv/status/922478729615458304","922478729615458304")</f>
        <v>922478729615458304</v>
      </c>
      <c r="F5272" s="23" t="s">
        <v>33</v>
      </c>
      <c r="G5272" s="24">
        <v>365.0</v>
      </c>
      <c r="H5272" s="24">
        <v>200.0</v>
      </c>
      <c r="I5272" s="24">
        <v>8501.0</v>
      </c>
      <c r="J5272" s="24">
        <v>0.0</v>
      </c>
      <c r="K5272" s="23" t="s">
        <v>34</v>
      </c>
      <c r="L5272" s="25">
        <v>41723.12435185185</v>
      </c>
      <c r="M5272" s="26" t="s">
        <v>92</v>
      </c>
      <c r="N5272" s="28"/>
      <c r="O5272" s="22" t="str">
        <f>HYPERLINK("https://pbs.twimg.com/profile_images/904012898422317056/Ybt5aUUJ_normal.jpg","View")</f>
        <v>View</v>
      </c>
      <c r="P5272" s="27"/>
    </row>
    <row r="5273">
      <c r="A5273" s="14">
        <v>43031.33615740741</v>
      </c>
      <c r="B5273" s="20" t="str">
        <f>HYPERLINK("https://twitter.com/pravindesai33","@pravindesai33")</f>
        <v>@pravindesai33</v>
      </c>
      <c r="C5273" s="21" t="s">
        <v>12045</v>
      </c>
      <c r="D5273" s="21" t="s">
        <v>42</v>
      </c>
      <c r="E5273" s="22" t="str">
        <f>HYPERLINK("https://twitter.com/pravindesai33/status/922478738394066945","922478738394066945")</f>
        <v>922478738394066945</v>
      </c>
      <c r="F5273" s="23" t="s">
        <v>39</v>
      </c>
      <c r="G5273" s="24">
        <v>435.0</v>
      </c>
      <c r="H5273" s="24">
        <v>3186.0</v>
      </c>
      <c r="I5273" s="24">
        <v>8501.0</v>
      </c>
      <c r="J5273" s="24">
        <v>0.0</v>
      </c>
      <c r="K5273" s="23" t="s">
        <v>34</v>
      </c>
      <c r="L5273" s="25">
        <v>41469.22572916667</v>
      </c>
      <c r="M5273" s="26" t="s">
        <v>12046</v>
      </c>
      <c r="N5273" s="26" t="s">
        <v>12047</v>
      </c>
      <c r="O5273" s="22" t="str">
        <f>HYPERLINK("https://pbs.twimg.com/profile_images/774232299097522176/IpvuAUsQ_normal.jpg","View")</f>
        <v>View</v>
      </c>
      <c r="P5273" s="27"/>
    </row>
    <row r="5274">
      <c r="A5274" s="14">
        <v>43031.336180555554</v>
      </c>
      <c r="B5274" s="20" t="str">
        <f>HYPERLINK("https://twitter.com/MRsmHagan","@MRsmHagan")</f>
        <v>@MRsmHagan</v>
      </c>
      <c r="C5274" s="21" t="s">
        <v>12048</v>
      </c>
      <c r="D5274" s="21" t="s">
        <v>12049</v>
      </c>
      <c r="E5274" s="22" t="str">
        <f>HYPERLINK("https://twitter.com/MRsmHagan/status/922478744975151105","922478744975151105")</f>
        <v>922478744975151105</v>
      </c>
      <c r="F5274" s="23" t="s">
        <v>39</v>
      </c>
      <c r="G5274" s="24">
        <v>124.0</v>
      </c>
      <c r="H5274" s="24">
        <v>70.0</v>
      </c>
      <c r="I5274" s="24">
        <v>0.0</v>
      </c>
      <c r="J5274" s="24">
        <v>0.0</v>
      </c>
      <c r="K5274" s="23" t="s">
        <v>34</v>
      </c>
      <c r="L5274" s="25">
        <v>41046.18418981481</v>
      </c>
      <c r="M5274" s="26" t="s">
        <v>334</v>
      </c>
      <c r="N5274" s="26" t="s">
        <v>12050</v>
      </c>
      <c r="O5274" s="22" t="str">
        <f>HYPERLINK("https://pbs.twimg.com/profile_images/3325983438/72fcdfc924cc374251f16a8bee3680e9_normal.jpeg","View")</f>
        <v>View</v>
      </c>
      <c r="P5274" s="27"/>
    </row>
    <row r="5275">
      <c r="A5275" s="14">
        <v>43031.33627314815</v>
      </c>
      <c r="B5275" s="20" t="str">
        <f>HYPERLINK("https://twitter.com/JaydevDave4","@JaydevDave4")</f>
        <v>@JaydevDave4</v>
      </c>
      <c r="C5275" s="21" t="s">
        <v>12051</v>
      </c>
      <c r="D5275" s="21" t="s">
        <v>42</v>
      </c>
      <c r="E5275" s="22" t="str">
        <f>HYPERLINK("https://twitter.com/JaydevDave4/status/922478780504883200","922478780504883200")</f>
        <v>922478780504883200</v>
      </c>
      <c r="F5275" s="23" t="s">
        <v>39</v>
      </c>
      <c r="G5275" s="24">
        <v>93.0</v>
      </c>
      <c r="H5275" s="24">
        <v>373.0</v>
      </c>
      <c r="I5275" s="24">
        <v>8501.0</v>
      </c>
      <c r="J5275" s="24">
        <v>0.0</v>
      </c>
      <c r="K5275" s="23" t="s">
        <v>34</v>
      </c>
      <c r="L5275" s="25">
        <v>42774.235393518524</v>
      </c>
      <c r="M5275" s="26" t="s">
        <v>204</v>
      </c>
      <c r="N5275" s="28"/>
      <c r="O5275" s="22" t="str">
        <f>HYPERLINK("https://pbs.twimg.com/profile_images/833659237540716544/wb6aV8Ko_normal.jpg","View")</f>
        <v>View</v>
      </c>
      <c r="P5275" s="27"/>
    </row>
    <row r="5276">
      <c r="A5276" s="14">
        <v>43031.33628472222</v>
      </c>
      <c r="B5276" s="20" t="str">
        <f>HYPERLINK("https://twitter.com/Aceface4ever","@Aceface4ever")</f>
        <v>@Aceface4ever</v>
      </c>
      <c r="C5276" s="21" t="s">
        <v>12052</v>
      </c>
      <c r="D5276" s="21" t="s">
        <v>10614</v>
      </c>
      <c r="E5276" s="22" t="str">
        <f>HYPERLINK("https://twitter.com/Aceface4ever/status/922478782337785856","922478782337785856")</f>
        <v>922478782337785856</v>
      </c>
      <c r="F5276" s="23" t="s">
        <v>43</v>
      </c>
      <c r="G5276" s="24">
        <v>840.0</v>
      </c>
      <c r="H5276" s="24">
        <v>249.0</v>
      </c>
      <c r="I5276" s="24">
        <v>159.0</v>
      </c>
      <c r="J5276" s="24">
        <v>0.0</v>
      </c>
      <c r="K5276" s="23" t="s">
        <v>34</v>
      </c>
      <c r="L5276" s="25">
        <v>40817.35020833333</v>
      </c>
      <c r="M5276" s="28"/>
      <c r="N5276" s="28"/>
      <c r="O5276" s="22" t="str">
        <f>HYPERLINK("https://pbs.twimg.com/profile_images/902914214494216192/Zegil5x2_normal.jpg","View")</f>
        <v>View</v>
      </c>
      <c r="P5276" s="27"/>
    </row>
    <row r="5277">
      <c r="A5277" s="14">
        <v>43031.33634259259</v>
      </c>
      <c r="B5277" s="20" t="str">
        <f>HYPERLINK("https://twitter.com/summedupkenya","@summedupkenya")</f>
        <v>@summedupkenya</v>
      </c>
      <c r="C5277" s="21" t="s">
        <v>12053</v>
      </c>
      <c r="D5277" s="21" t="s">
        <v>12054</v>
      </c>
      <c r="E5277" s="22" t="str">
        <f>HYPERLINK("https://twitter.com/summedupkenya/status/922478804668334080","922478804668334080")</f>
        <v>922478804668334080</v>
      </c>
      <c r="F5277" s="23" t="s">
        <v>7945</v>
      </c>
      <c r="G5277" s="24">
        <v>159.0</v>
      </c>
      <c r="H5277" s="24">
        <v>174.0</v>
      </c>
      <c r="I5277" s="24">
        <v>0.0</v>
      </c>
      <c r="J5277" s="24">
        <v>0.0</v>
      </c>
      <c r="K5277" s="23" t="s">
        <v>34</v>
      </c>
      <c r="L5277" s="25">
        <v>42534.20846064815</v>
      </c>
      <c r="M5277" s="26" t="s">
        <v>114</v>
      </c>
      <c r="N5277" s="26" t="s">
        <v>12055</v>
      </c>
      <c r="O5277" s="22" t="str">
        <f>HYPERLINK("https://pbs.twimg.com/profile_images/742664722734927872/jhFht9g4_normal.jpg","View")</f>
        <v>View</v>
      </c>
      <c r="P5277" s="27"/>
    </row>
    <row r="5278">
      <c r="A5278" s="14">
        <v>43031.33636574074</v>
      </c>
      <c r="B5278" s="20" t="str">
        <f>HYPERLINK("https://twitter.com/sarcasticmonke","@sarcasticmonke")</f>
        <v>@sarcasticmonke</v>
      </c>
      <c r="C5278" s="21" t="s">
        <v>12056</v>
      </c>
      <c r="D5278" s="21" t="s">
        <v>42</v>
      </c>
      <c r="E5278" s="22" t="str">
        <f>HYPERLINK("https://twitter.com/sarcasticmonke/status/922478811744174080","922478811744174080")</f>
        <v>922478811744174080</v>
      </c>
      <c r="F5278" s="23" t="s">
        <v>39</v>
      </c>
      <c r="G5278" s="24">
        <v>61.0</v>
      </c>
      <c r="H5278" s="24">
        <v>251.0</v>
      </c>
      <c r="I5278" s="24">
        <v>8501.0</v>
      </c>
      <c r="J5278" s="24">
        <v>0.0</v>
      </c>
      <c r="K5278" s="23" t="s">
        <v>34</v>
      </c>
      <c r="L5278" s="25">
        <v>41272.96291666667</v>
      </c>
      <c r="M5278" s="26" t="s">
        <v>1162</v>
      </c>
      <c r="N5278" s="28"/>
      <c r="O5278" s="22" t="str">
        <f>HYPERLINK("https://pbs.twimg.com/profile_images/906555521615794176/uaIItuov_normal.jpg","View")</f>
        <v>View</v>
      </c>
      <c r="P5278" s="27"/>
    </row>
    <row r="5279">
      <c r="A5279" s="14">
        <v>43031.33644675926</v>
      </c>
      <c r="B5279" s="20" t="str">
        <f>HYPERLINK("https://twitter.com/jai_Bharatvarsh","@jai_Bharatvarsh")</f>
        <v>@jai_Bharatvarsh</v>
      </c>
      <c r="C5279" s="21" t="s">
        <v>12057</v>
      </c>
      <c r="D5279" s="21" t="s">
        <v>42</v>
      </c>
      <c r="E5279" s="22" t="str">
        <f>HYPERLINK("https://twitter.com/jai_Bharatvarsh/status/922478842458943488","922478842458943488")</f>
        <v>922478842458943488</v>
      </c>
      <c r="F5279" s="23" t="s">
        <v>33</v>
      </c>
      <c r="G5279" s="24">
        <v>1155.0</v>
      </c>
      <c r="H5279" s="24">
        <v>3108.0</v>
      </c>
      <c r="I5279" s="24">
        <v>8501.0</v>
      </c>
      <c r="J5279" s="24">
        <v>0.0</v>
      </c>
      <c r="K5279" s="23" t="s">
        <v>34</v>
      </c>
      <c r="L5279" s="25">
        <v>40186.86170138889</v>
      </c>
      <c r="M5279" s="26" t="s">
        <v>575</v>
      </c>
      <c r="N5279" s="26" t="s">
        <v>12058</v>
      </c>
      <c r="O5279" s="22" t="str">
        <f>HYPERLINK("https://pbs.twimg.com/profile_images/921086115322277888/dDdZsYpQ_normal.jpg","View")</f>
        <v>View</v>
      </c>
      <c r="P5279" s="27"/>
    </row>
    <row r="5280">
      <c r="A5280" s="14">
        <v>43031.336805555555</v>
      </c>
      <c r="B5280" s="20" t="str">
        <f>HYPERLINK("https://twitter.com/MaxSecurityLTD","@MaxSecurityLTD")</f>
        <v>@MaxSecurityLTD</v>
      </c>
      <c r="C5280" s="21" t="s">
        <v>12059</v>
      </c>
      <c r="D5280" s="21" t="s">
        <v>12060</v>
      </c>
      <c r="E5280" s="22" t="str">
        <f>HYPERLINK("https://twitter.com/MaxSecurityLTD/status/922478971702464513","922478971702464513")</f>
        <v>922478971702464513</v>
      </c>
      <c r="F5280" s="23" t="s">
        <v>7582</v>
      </c>
      <c r="G5280" s="24">
        <v>1404.0</v>
      </c>
      <c r="H5280" s="24">
        <v>721.0</v>
      </c>
      <c r="I5280" s="24">
        <v>0.0</v>
      </c>
      <c r="J5280" s="24">
        <v>0.0</v>
      </c>
      <c r="K5280" s="23" t="s">
        <v>34</v>
      </c>
      <c r="L5280" s="25">
        <v>40567.96581018518</v>
      </c>
      <c r="M5280" s="26" t="s">
        <v>12061</v>
      </c>
      <c r="N5280" s="26" t="s">
        <v>12062</v>
      </c>
      <c r="O5280" s="22" t="str">
        <f>HYPERLINK("https://pbs.twimg.com/profile_images/581107313265811456/TCGC7bNZ_normal.jpg","View")</f>
        <v>View</v>
      </c>
      <c r="P5280" s="27"/>
    </row>
    <row r="5281">
      <c r="A5281" s="14">
        <v>43031.33681712963</v>
      </c>
      <c r="B5281" s="20" t="str">
        <f>HYPERLINK("https://twitter.com/Ram8607","@Ram8607")</f>
        <v>@Ram8607</v>
      </c>
      <c r="C5281" s="21" t="s">
        <v>12063</v>
      </c>
      <c r="D5281" s="21" t="s">
        <v>42</v>
      </c>
      <c r="E5281" s="22" t="str">
        <f>HYPERLINK("https://twitter.com/Ram8607/status/922478977444323328","922478977444323328")</f>
        <v>922478977444323328</v>
      </c>
      <c r="F5281" s="23" t="s">
        <v>33</v>
      </c>
      <c r="G5281" s="24">
        <v>34.0</v>
      </c>
      <c r="H5281" s="24">
        <v>12.0</v>
      </c>
      <c r="I5281" s="24">
        <v>8501.0</v>
      </c>
      <c r="J5281" s="24">
        <v>0.0</v>
      </c>
      <c r="K5281" s="23" t="s">
        <v>34</v>
      </c>
      <c r="L5281" s="25">
        <v>42179.12331018518</v>
      </c>
      <c r="M5281" s="28"/>
      <c r="N5281" s="26" t="s">
        <v>12064</v>
      </c>
      <c r="O5281" s="22" t="str">
        <f>HYPERLINK("https://pbs.twimg.com/profile_images/613649215168712704/eqxN6VWE_normal.jpg","View")</f>
        <v>View</v>
      </c>
      <c r="P5281" s="27"/>
    </row>
    <row r="5282">
      <c r="A5282" s="14">
        <v>43031.336909722224</v>
      </c>
      <c r="B5282" s="20" t="str">
        <f>HYPERLINK("https://twitter.com/iSwapnilpathre","@iSwapnilpathre")</f>
        <v>@iSwapnilpathre</v>
      </c>
      <c r="C5282" s="21" t="s">
        <v>12065</v>
      </c>
      <c r="D5282" s="21" t="s">
        <v>42</v>
      </c>
      <c r="E5282" s="22" t="str">
        <f>HYPERLINK("https://twitter.com/iSwapnilpathre/status/922479010474467328","922479010474467328")</f>
        <v>922479010474467328</v>
      </c>
      <c r="F5282" s="23" t="s">
        <v>33</v>
      </c>
      <c r="G5282" s="24">
        <v>6221.0</v>
      </c>
      <c r="H5282" s="24">
        <v>1604.0</v>
      </c>
      <c r="I5282" s="24">
        <v>8501.0</v>
      </c>
      <c r="J5282" s="24">
        <v>0.0</v>
      </c>
      <c r="K5282" s="23" t="s">
        <v>34</v>
      </c>
      <c r="L5282" s="25">
        <v>42025.24915509259</v>
      </c>
      <c r="M5282" s="26" t="s">
        <v>12066</v>
      </c>
      <c r="N5282" s="26" t="s">
        <v>12067</v>
      </c>
      <c r="O5282" s="22" t="str">
        <f>HYPERLINK("https://pbs.twimg.com/profile_images/909976686388588545/zFJSai6u_normal.jpg","View")</f>
        <v>View</v>
      </c>
      <c r="P5282" s="27"/>
    </row>
    <row r="5283">
      <c r="A5283" s="14">
        <v>43031.336956018524</v>
      </c>
      <c r="B5283" s="20" t="str">
        <f>HYPERLINK("https://twitter.com/Subhank25219819","@Subhank25219819")</f>
        <v>@Subhank25219819</v>
      </c>
      <c r="C5283" s="21" t="s">
        <v>12068</v>
      </c>
      <c r="D5283" s="21" t="s">
        <v>11595</v>
      </c>
      <c r="E5283" s="22" t="str">
        <f>HYPERLINK("https://twitter.com/Subhank25219819/status/922479028338032641","922479028338032641")</f>
        <v>922479028338032641</v>
      </c>
      <c r="F5283" s="23" t="s">
        <v>39</v>
      </c>
      <c r="G5283" s="24">
        <v>211.0</v>
      </c>
      <c r="H5283" s="24">
        <v>227.0</v>
      </c>
      <c r="I5283" s="24">
        <v>10.0</v>
      </c>
      <c r="J5283" s="24">
        <v>0.0</v>
      </c>
      <c r="K5283" s="23" t="s">
        <v>34</v>
      </c>
      <c r="L5283" s="25">
        <v>42542.15664351852</v>
      </c>
      <c r="M5283" s="26" t="s">
        <v>246</v>
      </c>
      <c r="N5283" s="28"/>
      <c r="O5283" s="22" t="str">
        <f>HYPERLINK("https://abs.twimg.com/sticky/default_profile_images/default_profile_normal.png","View")</f>
        <v>View</v>
      </c>
      <c r="P5283" s="27"/>
    </row>
    <row r="5284">
      <c r="A5284" s="14">
        <v>43031.337002314816</v>
      </c>
      <c r="B5284" s="20" t="str">
        <f>HYPERLINK("https://twitter.com/Remberto1010","@Remberto1010")</f>
        <v>@Remberto1010</v>
      </c>
      <c r="C5284" s="21" t="s">
        <v>12069</v>
      </c>
      <c r="D5284" s="21" t="s">
        <v>12070</v>
      </c>
      <c r="E5284" s="22" t="str">
        <f>HYPERLINK("https://twitter.com/Remberto1010/status/922479044272074753","922479044272074753")</f>
        <v>922479044272074753</v>
      </c>
      <c r="F5284" s="23" t="s">
        <v>33</v>
      </c>
      <c r="G5284" s="24">
        <v>146.0</v>
      </c>
      <c r="H5284" s="24">
        <v>283.0</v>
      </c>
      <c r="I5284" s="24">
        <v>1.0</v>
      </c>
      <c r="J5284" s="24">
        <v>0.0</v>
      </c>
      <c r="K5284" s="23" t="s">
        <v>34</v>
      </c>
      <c r="L5284" s="25">
        <v>42601.99269675926</v>
      </c>
      <c r="M5284" s="28"/>
      <c r="N5284" s="28"/>
      <c r="O5284" s="22" t="str">
        <f>HYPERLINK("https://pbs.twimg.com/profile_images/875706728079347712/MfVhd3rK_normal.jpg","View")</f>
        <v>View</v>
      </c>
      <c r="P5284" s="27"/>
    </row>
    <row r="5285">
      <c r="A5285" s="14">
        <v>43031.33704861111</v>
      </c>
      <c r="B5285" s="20" t="str">
        <f>HYPERLINK("https://twitter.com/MaGuindi","@MaGuindi")</f>
        <v>@MaGuindi</v>
      </c>
      <c r="C5285" s="21" t="s">
        <v>12071</v>
      </c>
      <c r="D5285" s="21" t="s">
        <v>10614</v>
      </c>
      <c r="E5285" s="22" t="str">
        <f>HYPERLINK("https://twitter.com/MaGuindi/status/922479060181311488","922479060181311488")</f>
        <v>922479060181311488</v>
      </c>
      <c r="F5285" s="23" t="s">
        <v>230</v>
      </c>
      <c r="G5285" s="24">
        <v>838.0</v>
      </c>
      <c r="H5285" s="24">
        <v>168.0</v>
      </c>
      <c r="I5285" s="24">
        <v>159.0</v>
      </c>
      <c r="J5285" s="24">
        <v>0.0</v>
      </c>
      <c r="K5285" s="23" t="s">
        <v>34</v>
      </c>
      <c r="L5285" s="25">
        <v>40893.38972222222</v>
      </c>
      <c r="M5285" s="26" t="s">
        <v>12072</v>
      </c>
      <c r="N5285" s="32" t="s">
        <v>12073</v>
      </c>
      <c r="O5285" s="22" t="str">
        <f>HYPERLINK("https://pbs.twimg.com/profile_images/1697929453/Jesus_3_normal.jpg","View")</f>
        <v>View</v>
      </c>
      <c r="P5285" s="27"/>
    </row>
    <row r="5286">
      <c r="A5286" s="14">
        <v>43031.33709490741</v>
      </c>
      <c r="B5286" s="20" t="str">
        <f>HYPERLINK("https://twitter.com/iBhak_Be","@iBhak_Be")</f>
        <v>@iBhak_Be</v>
      </c>
      <c r="C5286" s="21" t="s">
        <v>12074</v>
      </c>
      <c r="D5286" s="21" t="s">
        <v>42</v>
      </c>
      <c r="E5286" s="22" t="str">
        <f>HYPERLINK("https://twitter.com/iBhak_Be/status/922479075599380481","922479075599380481")</f>
        <v>922479075599380481</v>
      </c>
      <c r="F5286" s="23" t="s">
        <v>33</v>
      </c>
      <c r="G5286" s="24">
        <v>12.0</v>
      </c>
      <c r="H5286" s="24">
        <v>254.0</v>
      </c>
      <c r="I5286" s="24">
        <v>8501.0</v>
      </c>
      <c r="J5286" s="24">
        <v>0.0</v>
      </c>
      <c r="K5286" s="23" t="s">
        <v>34</v>
      </c>
      <c r="L5286" s="25">
        <v>43007.23296296297</v>
      </c>
      <c r="M5286" s="26" t="s">
        <v>195</v>
      </c>
      <c r="N5286" s="26" t="s">
        <v>12075</v>
      </c>
      <c r="O5286" s="22" t="str">
        <f>HYPERLINK("https://pbs.twimg.com/profile_images/913748477234044928/31GynUa0_normal.jpg","View")</f>
        <v>View</v>
      </c>
      <c r="P5286" s="27"/>
    </row>
    <row r="5287">
      <c r="A5287" s="14">
        <v>43031.33733796296</v>
      </c>
      <c r="B5287" s="20" t="str">
        <f>HYPERLINK("https://twitter.com/AMITPARJAPATI85","@AMITPARJAPATI85")</f>
        <v>@AMITPARJAPATI85</v>
      </c>
      <c r="C5287" s="21" t="s">
        <v>12076</v>
      </c>
      <c r="D5287" s="21" t="s">
        <v>42</v>
      </c>
      <c r="E5287" s="22" t="str">
        <f>HYPERLINK("https://twitter.com/AMITPARJAPATI85/status/922479164959215616","922479164959215616")</f>
        <v>922479164959215616</v>
      </c>
      <c r="F5287" s="23" t="s">
        <v>33</v>
      </c>
      <c r="G5287" s="24">
        <v>993.0</v>
      </c>
      <c r="H5287" s="24">
        <v>1364.0</v>
      </c>
      <c r="I5287" s="24">
        <v>8501.0</v>
      </c>
      <c r="J5287" s="24">
        <v>0.0</v>
      </c>
      <c r="K5287" s="23" t="s">
        <v>34</v>
      </c>
      <c r="L5287" s="25">
        <v>41572.979351851856</v>
      </c>
      <c r="M5287" s="26" t="s">
        <v>12077</v>
      </c>
      <c r="N5287" s="26" t="s">
        <v>12078</v>
      </c>
      <c r="O5287" s="22" t="str">
        <f>HYPERLINK("https://pbs.twimg.com/profile_images/813684793225289728/q7N7rabj_normal.jpg","View")</f>
        <v>View</v>
      </c>
      <c r="P5287" s="27"/>
    </row>
    <row r="5288">
      <c r="A5288" s="14">
        <v>43031.33736111112</v>
      </c>
      <c r="B5288" s="20" t="str">
        <f>HYPERLINK("https://twitter.com/Aceface4ever","@Aceface4ever")</f>
        <v>@Aceface4ever</v>
      </c>
      <c r="C5288" s="21" t="s">
        <v>12052</v>
      </c>
      <c r="D5288" s="21" t="s">
        <v>6403</v>
      </c>
      <c r="E5288" s="22" t="str">
        <f>HYPERLINK("https://twitter.com/Aceface4ever/status/922479173737705472","922479173737705472")</f>
        <v>922479173737705472</v>
      </c>
      <c r="F5288" s="23" t="s">
        <v>43</v>
      </c>
      <c r="G5288" s="24">
        <v>840.0</v>
      </c>
      <c r="H5288" s="24">
        <v>249.0</v>
      </c>
      <c r="I5288" s="24">
        <v>97.0</v>
      </c>
      <c r="J5288" s="24">
        <v>0.0</v>
      </c>
      <c r="K5288" s="23" t="s">
        <v>34</v>
      </c>
      <c r="L5288" s="25">
        <v>40817.35020833333</v>
      </c>
      <c r="M5288" s="28"/>
      <c r="N5288" s="28"/>
      <c r="O5288" s="22" t="str">
        <f>HYPERLINK("https://pbs.twimg.com/profile_images/902914214494216192/Zegil5x2_normal.jpg","View")</f>
        <v>View</v>
      </c>
      <c r="P5288" s="27"/>
    </row>
    <row r="5289">
      <c r="A5289" s="14">
        <v>43031.3374537037</v>
      </c>
      <c r="B5289" s="20" t="str">
        <f>HYPERLINK("https://twitter.com/mudhotia","@mudhotia")</f>
        <v>@mudhotia</v>
      </c>
      <c r="C5289" s="21" t="s">
        <v>12079</v>
      </c>
      <c r="D5289" s="21" t="s">
        <v>42</v>
      </c>
      <c r="E5289" s="22" t="str">
        <f>HYPERLINK("https://twitter.com/mudhotia/status/922479208101691392","922479208101691392")</f>
        <v>922479208101691392</v>
      </c>
      <c r="F5289" s="23" t="s">
        <v>33</v>
      </c>
      <c r="G5289" s="24">
        <v>530.0</v>
      </c>
      <c r="H5289" s="24">
        <v>1787.0</v>
      </c>
      <c r="I5289" s="24">
        <v>8501.0</v>
      </c>
      <c r="J5289" s="24">
        <v>0.0</v>
      </c>
      <c r="K5289" s="23" t="s">
        <v>34</v>
      </c>
      <c r="L5289" s="25">
        <v>42747.39546296296</v>
      </c>
      <c r="M5289" s="26" t="s">
        <v>12080</v>
      </c>
      <c r="N5289" s="26" t="s">
        <v>12081</v>
      </c>
      <c r="O5289" s="22" t="str">
        <f>HYPERLINK("https://pbs.twimg.com/profile_images/829517026750263302/mZIRRhMm_normal.jpg","View")</f>
        <v>View</v>
      </c>
      <c r="P5289" s="27"/>
    </row>
    <row r="5290">
      <c r="A5290" s="14">
        <v>43031.337800925925</v>
      </c>
      <c r="B5290" s="20" t="str">
        <f>HYPERLINK("https://twitter.com/bluee_BL00D","@bluee_BL00D")</f>
        <v>@bluee_BL00D</v>
      </c>
      <c r="C5290" s="21" t="s">
        <v>12082</v>
      </c>
      <c r="D5290" s="21" t="s">
        <v>42</v>
      </c>
      <c r="E5290" s="22" t="str">
        <f>HYPERLINK("https://twitter.com/bluee_BL00D/status/922479331355500544","922479331355500544")</f>
        <v>922479331355500544</v>
      </c>
      <c r="F5290" s="23" t="s">
        <v>33</v>
      </c>
      <c r="G5290" s="24">
        <v>1490.0</v>
      </c>
      <c r="H5290" s="24">
        <v>458.0</v>
      </c>
      <c r="I5290" s="24">
        <v>8501.0</v>
      </c>
      <c r="J5290" s="24">
        <v>0.0</v>
      </c>
      <c r="K5290" s="23" t="s">
        <v>34</v>
      </c>
      <c r="L5290" s="25">
        <v>41778.25460648148</v>
      </c>
      <c r="M5290" s="26" t="s">
        <v>2189</v>
      </c>
      <c r="N5290" s="26" t="s">
        <v>12083</v>
      </c>
      <c r="O5290" s="22" t="str">
        <f>HYPERLINK("https://pbs.twimg.com/profile_images/921063402528583680/hhM3TtCt_normal.jpg","View")</f>
        <v>View</v>
      </c>
      <c r="P5290" s="27"/>
    </row>
    <row r="5291">
      <c r="A5291" s="14">
        <v>43031.337905092594</v>
      </c>
      <c r="B5291" s="20" t="str">
        <f>HYPERLINK("https://twitter.com/tri_man","@tri_man")</f>
        <v>@tri_man</v>
      </c>
      <c r="C5291" s="21" t="s">
        <v>12084</v>
      </c>
      <c r="D5291" s="21" t="s">
        <v>42</v>
      </c>
      <c r="E5291" s="22" t="str">
        <f>HYPERLINK("https://twitter.com/tri_man/status/922479370639249408","922479370639249408")</f>
        <v>922479370639249408</v>
      </c>
      <c r="F5291" s="23" t="s">
        <v>230</v>
      </c>
      <c r="G5291" s="24">
        <v>371.0</v>
      </c>
      <c r="H5291" s="24">
        <v>579.0</v>
      </c>
      <c r="I5291" s="24">
        <v>8501.0</v>
      </c>
      <c r="J5291" s="24">
        <v>0.0</v>
      </c>
      <c r="K5291" s="23" t="s">
        <v>34</v>
      </c>
      <c r="L5291" s="25">
        <v>39519.25885416666</v>
      </c>
      <c r="M5291" s="28"/>
      <c r="N5291" s="26" t="s">
        <v>12085</v>
      </c>
      <c r="O5291" s="22" t="str">
        <f>HYPERLINK("https://pbs.twimg.com/profile_images/846577446157598721/NX_I2JTD_normal.jpg","View")</f>
        <v>View</v>
      </c>
      <c r="P5291" s="27"/>
    </row>
    <row r="5292">
      <c r="A5292" s="14">
        <v>43031.33806712963</v>
      </c>
      <c r="B5292" s="20" t="str">
        <f>HYPERLINK("https://twitter.com/astrosunil20121","@astrosunil20121")</f>
        <v>@astrosunil20121</v>
      </c>
      <c r="C5292" s="21" t="s">
        <v>10565</v>
      </c>
      <c r="D5292" s="21" t="s">
        <v>12086</v>
      </c>
      <c r="E5292" s="22" t="str">
        <f>HYPERLINK("https://twitter.com/astrosunil20121/status/922479429976313856","922479429976313856")</f>
        <v>922479429976313856</v>
      </c>
      <c r="F5292" s="23" t="s">
        <v>55</v>
      </c>
      <c r="G5292" s="24">
        <v>378.0</v>
      </c>
      <c r="H5292" s="24">
        <v>3541.0</v>
      </c>
      <c r="I5292" s="24">
        <v>1.0</v>
      </c>
      <c r="J5292" s="24">
        <v>0.0</v>
      </c>
      <c r="K5292" s="23" t="s">
        <v>34</v>
      </c>
      <c r="L5292" s="25">
        <v>42262.93319444444</v>
      </c>
      <c r="M5292" s="26" t="s">
        <v>10567</v>
      </c>
      <c r="N5292" s="26" t="s">
        <v>10568</v>
      </c>
      <c r="O5292" s="22" t="str">
        <f>HYPERLINK("https://pbs.twimg.com/profile_images/776104229681278976/onrKXyxU_normal.jpg","View")</f>
        <v>View</v>
      </c>
      <c r="P5292" s="27"/>
    </row>
    <row r="5293">
      <c r="A5293" s="14">
        <v>43031.33818287037</v>
      </c>
      <c r="B5293" s="20" t="str">
        <f>HYPERLINK("https://twitter.com/SudhanDas13","@SudhanDas13")</f>
        <v>@SudhanDas13</v>
      </c>
      <c r="C5293" s="21" t="s">
        <v>12087</v>
      </c>
      <c r="D5293" s="21" t="s">
        <v>42</v>
      </c>
      <c r="E5293" s="22" t="str">
        <f>HYPERLINK("https://twitter.com/SudhanDas13/status/922479472472834049","922479472472834049")</f>
        <v>922479472472834049</v>
      </c>
      <c r="F5293" s="23" t="s">
        <v>33</v>
      </c>
      <c r="G5293" s="24">
        <v>51.0</v>
      </c>
      <c r="H5293" s="24">
        <v>211.0</v>
      </c>
      <c r="I5293" s="24">
        <v>8501.0</v>
      </c>
      <c r="J5293" s="24">
        <v>0.0</v>
      </c>
      <c r="K5293" s="23" t="s">
        <v>34</v>
      </c>
      <c r="L5293" s="25">
        <v>43005.005902777775</v>
      </c>
      <c r="M5293" s="26" t="s">
        <v>2376</v>
      </c>
      <c r="N5293" s="26" t="s">
        <v>12088</v>
      </c>
      <c r="O5293" s="22" t="str">
        <f>HYPERLINK("https://pbs.twimg.com/profile_images/913057265296347136/Za_3GQgL_normal.jpg","View")</f>
        <v>View</v>
      </c>
      <c r="P5293" s="27"/>
    </row>
    <row r="5294">
      <c r="A5294" s="14">
        <v>43031.33825231482</v>
      </c>
      <c r="B5294" s="20" t="str">
        <f>HYPERLINK("https://twitter.com/VictoriaKimenye","@VictoriaKimenye")</f>
        <v>@VictoriaKimenye</v>
      </c>
      <c r="C5294" s="21" t="s">
        <v>12089</v>
      </c>
      <c r="D5294" s="21" t="s">
        <v>32</v>
      </c>
      <c r="E5294" s="22" t="str">
        <f>HYPERLINK("https://twitter.com/VictoriaKimenye/status/922479497420726272","922479497420726272")</f>
        <v>922479497420726272</v>
      </c>
      <c r="F5294" s="23" t="s">
        <v>33</v>
      </c>
      <c r="G5294" s="24">
        <v>146.0</v>
      </c>
      <c r="H5294" s="24">
        <v>207.0</v>
      </c>
      <c r="I5294" s="24">
        <v>471.0</v>
      </c>
      <c r="J5294" s="24">
        <v>0.0</v>
      </c>
      <c r="K5294" s="23" t="s">
        <v>34</v>
      </c>
      <c r="L5294" s="25">
        <v>42134.392060185186</v>
      </c>
      <c r="M5294" s="26" t="s">
        <v>12090</v>
      </c>
      <c r="N5294" s="26" t="s">
        <v>12091</v>
      </c>
      <c r="O5294" s="22" t="str">
        <f>HYPERLINK("https://pbs.twimg.com/profile_images/857624957030998016/jHTo2gNg_normal.jpg","View")</f>
        <v>View</v>
      </c>
      <c r="P5294" s="27"/>
    </row>
    <row r="5295">
      <c r="A5295" s="14">
        <v>43031.33829861111</v>
      </c>
      <c r="B5295" s="20" t="str">
        <f>HYPERLINK("https://twitter.com/kaushalkumarya","@kaushalkumarya")</f>
        <v>@kaushalkumarya</v>
      </c>
      <c r="C5295" s="21" t="s">
        <v>12092</v>
      </c>
      <c r="D5295" s="21" t="s">
        <v>42</v>
      </c>
      <c r="E5295" s="22" t="str">
        <f>HYPERLINK("https://twitter.com/kaushalkumarya/status/922479514625519617","922479514625519617")</f>
        <v>922479514625519617</v>
      </c>
      <c r="F5295" s="23" t="s">
        <v>43</v>
      </c>
      <c r="G5295" s="24">
        <v>431.0</v>
      </c>
      <c r="H5295" s="24">
        <v>464.0</v>
      </c>
      <c r="I5295" s="24">
        <v>8501.0</v>
      </c>
      <c r="J5295" s="24">
        <v>0.0</v>
      </c>
      <c r="K5295" s="23" t="s">
        <v>34</v>
      </c>
      <c r="L5295" s="25">
        <v>42654.115219907406</v>
      </c>
      <c r="M5295" s="28"/>
      <c r="N5295" s="28"/>
      <c r="O5295" s="22" t="str">
        <f>HYPERLINK("https://pbs.twimg.com/profile_images/857187585168351232/GzxFqNDp_normal.jpg","View")</f>
        <v>View</v>
      </c>
      <c r="P5295" s="27"/>
    </row>
    <row r="5296">
      <c r="A5296" s="14">
        <v>43031.33832175926</v>
      </c>
      <c r="B5296" s="20" t="str">
        <f>HYPERLINK("https://twitter.com/Ankitbhaliya98","@Ankitbhaliya98")</f>
        <v>@Ankitbhaliya98</v>
      </c>
      <c r="C5296" s="21" t="s">
        <v>12093</v>
      </c>
      <c r="D5296" s="21" t="s">
        <v>42</v>
      </c>
      <c r="E5296" s="22" t="str">
        <f>HYPERLINK("https://twitter.com/Ankitbhaliya98/status/922479523123228672","922479523123228672")</f>
        <v>922479523123228672</v>
      </c>
      <c r="F5296" s="23" t="s">
        <v>33</v>
      </c>
      <c r="G5296" s="24">
        <v>34.0</v>
      </c>
      <c r="H5296" s="24">
        <v>511.0</v>
      </c>
      <c r="I5296" s="24">
        <v>8501.0</v>
      </c>
      <c r="J5296" s="24">
        <v>0.0</v>
      </c>
      <c r="K5296" s="23" t="s">
        <v>34</v>
      </c>
      <c r="L5296" s="25">
        <v>42358.41376157408</v>
      </c>
      <c r="M5296" s="26" t="s">
        <v>142</v>
      </c>
      <c r="N5296" s="28"/>
      <c r="O5296" s="22" t="str">
        <f>HYPERLINK("https://pbs.twimg.com/profile_images/879692233439670272/ftMnF6jH_normal.jpg","View")</f>
        <v>View</v>
      </c>
      <c r="P5296" s="27"/>
    </row>
    <row r="5297">
      <c r="A5297" s="14">
        <v>43031.33835648149</v>
      </c>
      <c r="B5297" s="20" t="str">
        <f>HYPERLINK("https://twitter.com/CHANDRA12081996","@CHANDRA12081996")</f>
        <v>@CHANDRA12081996</v>
      </c>
      <c r="C5297" s="21" t="s">
        <v>12094</v>
      </c>
      <c r="D5297" s="21" t="s">
        <v>42</v>
      </c>
      <c r="E5297" s="22" t="str">
        <f>HYPERLINK("https://twitter.com/CHANDRA12081996/status/922479536112930816","922479536112930816")</f>
        <v>922479536112930816</v>
      </c>
      <c r="F5297" s="23" t="s">
        <v>33</v>
      </c>
      <c r="G5297" s="24">
        <v>15.0</v>
      </c>
      <c r="H5297" s="24">
        <v>234.0</v>
      </c>
      <c r="I5297" s="24">
        <v>8501.0</v>
      </c>
      <c r="J5297" s="24">
        <v>0.0</v>
      </c>
      <c r="K5297" s="23" t="s">
        <v>34</v>
      </c>
      <c r="L5297" s="25">
        <v>42864.43408564814</v>
      </c>
      <c r="M5297" s="26" t="s">
        <v>603</v>
      </c>
      <c r="N5297" s="28"/>
      <c r="O5297" s="22" t="str">
        <f t="shared" ref="O5297:O5298" si="85">HYPERLINK("https://abs.twimg.com/sticky/default_profile_images/default_profile_normal.png","View")</f>
        <v>View</v>
      </c>
      <c r="P5297" s="27"/>
    </row>
    <row r="5298">
      <c r="A5298" s="14">
        <v>43031.33840277778</v>
      </c>
      <c r="B5298" s="20" t="str">
        <f>HYPERLINK("https://twitter.com/Varundeep03","@Varundeep03")</f>
        <v>@Varundeep03</v>
      </c>
      <c r="C5298" s="21" t="s">
        <v>12095</v>
      </c>
      <c r="D5298" s="21" t="s">
        <v>42</v>
      </c>
      <c r="E5298" s="22" t="str">
        <f>HYPERLINK("https://twitter.com/Varundeep03/status/922479549396393984","922479549396393984")</f>
        <v>922479549396393984</v>
      </c>
      <c r="F5298" s="23" t="s">
        <v>43</v>
      </c>
      <c r="G5298" s="24">
        <v>0.0</v>
      </c>
      <c r="H5298" s="24">
        <v>5.0</v>
      </c>
      <c r="I5298" s="24">
        <v>8501.0</v>
      </c>
      <c r="J5298" s="24">
        <v>0.0</v>
      </c>
      <c r="K5298" s="23" t="s">
        <v>34</v>
      </c>
      <c r="L5298" s="25">
        <v>43031.33170138889</v>
      </c>
      <c r="M5298" s="28"/>
      <c r="N5298" s="28"/>
      <c r="O5298" s="22" t="str">
        <f t="shared" si="85"/>
        <v>View</v>
      </c>
      <c r="P5298" s="27"/>
    </row>
    <row r="5299">
      <c r="A5299" s="14">
        <v>43031.33841435185</v>
      </c>
      <c r="B5299" s="20" t="str">
        <f>HYPERLINK("https://twitter.com/Worldnews_top","@Worldnews_top")</f>
        <v>@Worldnews_top</v>
      </c>
      <c r="C5299" s="21" t="s">
        <v>12096</v>
      </c>
      <c r="D5299" s="21" t="s">
        <v>12097</v>
      </c>
      <c r="E5299" s="22" t="str">
        <f>HYPERLINK("https://twitter.com/Worldnews_top/status/922479556791013376","922479556791013376")</f>
        <v>922479556791013376</v>
      </c>
      <c r="F5299" s="23" t="s">
        <v>187</v>
      </c>
      <c r="G5299" s="24">
        <v>1276.0</v>
      </c>
      <c r="H5299" s="24">
        <v>0.0</v>
      </c>
      <c r="I5299" s="24">
        <v>0.0</v>
      </c>
      <c r="J5299" s="24">
        <v>0.0</v>
      </c>
      <c r="K5299" s="23" t="s">
        <v>34</v>
      </c>
      <c r="L5299" s="25">
        <v>41708.28859953704</v>
      </c>
      <c r="M5299" s="26" t="s">
        <v>6022</v>
      </c>
      <c r="N5299" s="26" t="s">
        <v>12098</v>
      </c>
      <c r="O5299" s="22" t="str">
        <f>HYPERLINK("https://pbs.twimg.com/profile_images/443033125124198400/I3u-9cWC_normal.jpeg","View")</f>
        <v>View</v>
      </c>
      <c r="P5299" s="27"/>
    </row>
    <row r="5300">
      <c r="A5300" s="14">
        <v>43031.338425925926</v>
      </c>
      <c r="B5300" s="20" t="str">
        <f>HYPERLINK("https://twitter.com/Shivay33642870k","@Shivay33642870k")</f>
        <v>@Shivay33642870k</v>
      </c>
      <c r="C5300" s="21" t="s">
        <v>12099</v>
      </c>
      <c r="D5300" s="21" t="s">
        <v>42</v>
      </c>
      <c r="E5300" s="22" t="str">
        <f>HYPERLINK("https://twitter.com/Shivay33642870k/status/922479557667459074","922479557667459074")</f>
        <v>922479557667459074</v>
      </c>
      <c r="F5300" s="23" t="s">
        <v>33</v>
      </c>
      <c r="G5300" s="24">
        <v>2.0</v>
      </c>
      <c r="H5300" s="24">
        <v>105.0</v>
      </c>
      <c r="I5300" s="24">
        <v>8501.0</v>
      </c>
      <c r="J5300" s="24">
        <v>0.0</v>
      </c>
      <c r="K5300" s="23" t="s">
        <v>34</v>
      </c>
      <c r="L5300" s="25">
        <v>43029.114004629635</v>
      </c>
      <c r="M5300" s="28"/>
      <c r="N5300" s="28"/>
      <c r="O5300" s="22" t="str">
        <f>HYPERLINK("https://pbs.twimg.com/profile_images/921675116190113794/D5t6a0xs_normal.jpg","View")</f>
        <v>View</v>
      </c>
      <c r="P5300" s="27"/>
    </row>
    <row r="5301">
      <c r="A5301" s="14">
        <v>43031.33850694445</v>
      </c>
      <c r="B5301" s="20" t="str">
        <f>HYPERLINK("https://twitter.com/inner_voice23","@inner_voice23")</f>
        <v>@inner_voice23</v>
      </c>
      <c r="C5301" s="21" t="s">
        <v>12100</v>
      </c>
      <c r="D5301" s="21" t="s">
        <v>42</v>
      </c>
      <c r="E5301" s="22" t="str">
        <f>HYPERLINK("https://twitter.com/inner_voice23/status/922479589586358273","922479589586358273")</f>
        <v>922479589586358273</v>
      </c>
      <c r="F5301" s="23" t="s">
        <v>33</v>
      </c>
      <c r="G5301" s="24">
        <v>159.0</v>
      </c>
      <c r="H5301" s="24">
        <v>1259.0</v>
      </c>
      <c r="I5301" s="24">
        <v>8501.0</v>
      </c>
      <c r="J5301" s="24">
        <v>0.0</v>
      </c>
      <c r="K5301" s="23" t="s">
        <v>34</v>
      </c>
      <c r="L5301" s="25">
        <v>41787.30800925926</v>
      </c>
      <c r="M5301" s="26" t="s">
        <v>204</v>
      </c>
      <c r="N5301" s="26" t="s">
        <v>12101</v>
      </c>
      <c r="O5301" s="22" t="str">
        <f>HYPERLINK("https://pbs.twimg.com/profile_images/873841160279605248/PPAI8G_4_normal.jpg","View")</f>
        <v>View</v>
      </c>
      <c r="P5301" s="27"/>
    </row>
    <row r="5302">
      <c r="A5302" s="14">
        <v>43031.338587962964</v>
      </c>
      <c r="B5302" s="20" t="str">
        <f>HYPERLINK("https://twitter.com/HMPyuva","@HMPyuva")</f>
        <v>@HMPyuva</v>
      </c>
      <c r="C5302" s="21" t="s">
        <v>12102</v>
      </c>
      <c r="D5302" s="21" t="s">
        <v>42</v>
      </c>
      <c r="E5302" s="22" t="str">
        <f>HYPERLINK("https://twitter.com/HMPyuva/status/922479618929463296","922479618929463296")</f>
        <v>922479618929463296</v>
      </c>
      <c r="F5302" s="23" t="s">
        <v>33</v>
      </c>
      <c r="G5302" s="24">
        <v>83.0</v>
      </c>
      <c r="H5302" s="24">
        <v>87.0</v>
      </c>
      <c r="I5302" s="24">
        <v>8501.0</v>
      </c>
      <c r="J5302" s="24">
        <v>0.0</v>
      </c>
      <c r="K5302" s="23" t="s">
        <v>34</v>
      </c>
      <c r="L5302" s="25">
        <v>42867.41357638889</v>
      </c>
      <c r="M5302" s="26" t="s">
        <v>12103</v>
      </c>
      <c r="N5302" s="28"/>
      <c r="O5302" s="22" t="str">
        <f>HYPERLINK("https://pbs.twimg.com/profile_images/886974271188336641/WgUg6Bct_normal.jpg","View")</f>
        <v>View</v>
      </c>
      <c r="P5302" s="27"/>
    </row>
    <row r="5303">
      <c r="A5303" s="14">
        <v>43031.33863425926</v>
      </c>
      <c r="B5303" s="20" t="str">
        <f>HYPERLINK("https://twitter.com/WyndTalkr","@WyndTalkr")</f>
        <v>@WyndTalkr</v>
      </c>
      <c r="C5303" s="21" t="s">
        <v>12104</v>
      </c>
      <c r="D5303" s="21" t="s">
        <v>163</v>
      </c>
      <c r="E5303" s="22" t="str">
        <f>HYPERLINK("https://twitter.com/WyndTalkr/status/922479632997167105","922479632997167105")</f>
        <v>922479632997167105</v>
      </c>
      <c r="F5303" s="23" t="s">
        <v>55</v>
      </c>
      <c r="G5303" s="24">
        <v>54.0</v>
      </c>
      <c r="H5303" s="24">
        <v>344.0</v>
      </c>
      <c r="I5303" s="24">
        <v>1005.0</v>
      </c>
      <c r="J5303" s="24">
        <v>0.0</v>
      </c>
      <c r="K5303" s="23" t="s">
        <v>34</v>
      </c>
      <c r="L5303" s="25">
        <v>41656.32078703704</v>
      </c>
      <c r="M5303" s="26" t="s">
        <v>12105</v>
      </c>
      <c r="N5303" s="26" t="s">
        <v>12106</v>
      </c>
      <c r="O5303" s="22" t="str">
        <f>HYPERLINK("https://pbs.twimg.com/profile_images/811266676280868864/irI8Vlrf_normal.jpg","View")</f>
        <v>View</v>
      </c>
      <c r="P5303" s="27"/>
    </row>
    <row r="5304">
      <c r="A5304" s="14">
        <v>43031.33864583333</v>
      </c>
      <c r="B5304" s="20" t="str">
        <f>HYPERLINK("https://twitter.com/rajeshgwadhwa","@rajeshgwadhwa")</f>
        <v>@rajeshgwadhwa</v>
      </c>
      <c r="C5304" s="21" t="s">
        <v>12107</v>
      </c>
      <c r="D5304" s="21" t="s">
        <v>42</v>
      </c>
      <c r="E5304" s="22" t="str">
        <f>HYPERLINK("https://twitter.com/rajeshgwadhwa/status/922479640999903234","922479640999903234")</f>
        <v>922479640999903234</v>
      </c>
      <c r="F5304" s="23" t="s">
        <v>39</v>
      </c>
      <c r="G5304" s="24">
        <v>41.0</v>
      </c>
      <c r="H5304" s="24">
        <v>181.0</v>
      </c>
      <c r="I5304" s="24">
        <v>8501.0</v>
      </c>
      <c r="J5304" s="24">
        <v>0.0</v>
      </c>
      <c r="K5304" s="23" t="s">
        <v>34</v>
      </c>
      <c r="L5304" s="25">
        <v>42404.227638888886</v>
      </c>
      <c r="M5304" s="26" t="s">
        <v>603</v>
      </c>
      <c r="N5304" s="28"/>
      <c r="O5304" s="22" t="str">
        <f>HYPERLINK("https://pbs.twimg.com/profile_images/695238270473469952/tX_VkzfU_normal.jpg","View")</f>
        <v>View</v>
      </c>
      <c r="P5304" s="27"/>
    </row>
    <row r="5305">
      <c r="A5305" s="14">
        <v>43031.3387037037</v>
      </c>
      <c r="B5305" s="20" t="str">
        <f>HYPERLINK("https://twitter.com/iamgunjankumar","@iamgunjankumar")</f>
        <v>@iamgunjankumar</v>
      </c>
      <c r="C5305" s="21" t="s">
        <v>12108</v>
      </c>
      <c r="D5305" s="21" t="s">
        <v>42</v>
      </c>
      <c r="E5305" s="22" t="str">
        <f>HYPERLINK("https://twitter.com/iamgunjankumar/status/922479661069799424","922479661069799424")</f>
        <v>922479661069799424</v>
      </c>
      <c r="F5305" s="23" t="s">
        <v>39</v>
      </c>
      <c r="G5305" s="24">
        <v>665.0</v>
      </c>
      <c r="H5305" s="24">
        <v>1445.0</v>
      </c>
      <c r="I5305" s="24">
        <v>8501.0</v>
      </c>
      <c r="J5305" s="24">
        <v>0.0</v>
      </c>
      <c r="K5305" s="23" t="s">
        <v>34</v>
      </c>
      <c r="L5305" s="25">
        <v>40323.01561342592</v>
      </c>
      <c r="M5305" s="28"/>
      <c r="N5305" s="26" t="s">
        <v>12109</v>
      </c>
      <c r="O5305" s="22" t="str">
        <f>HYPERLINK("https://pbs.twimg.com/profile_images/378800000090733076/55070973ed4668c27bf64ad33397b7ba_normal.jpeg","View")</f>
        <v>View</v>
      </c>
      <c r="P5305" s="27"/>
    </row>
    <row r="5306">
      <c r="A5306" s="14">
        <v>43031.338900462964</v>
      </c>
      <c r="B5306" s="20" t="str">
        <f>HYPERLINK("https://twitter.com/_XPeaceful_","@_XPeaceful_")</f>
        <v>@_XPeaceful_</v>
      </c>
      <c r="C5306" s="21" t="s">
        <v>12110</v>
      </c>
      <c r="D5306" s="21" t="s">
        <v>42</v>
      </c>
      <c r="E5306" s="22" t="str">
        <f>HYPERLINK("https://twitter.com/_XPeaceful_/status/922479731898904576","922479731898904576")</f>
        <v>922479731898904576</v>
      </c>
      <c r="F5306" s="23" t="s">
        <v>33</v>
      </c>
      <c r="G5306" s="24">
        <v>48.0</v>
      </c>
      <c r="H5306" s="24">
        <v>22.0</v>
      </c>
      <c r="I5306" s="24">
        <v>8501.0</v>
      </c>
      <c r="J5306" s="24">
        <v>0.0</v>
      </c>
      <c r="K5306" s="23" t="s">
        <v>34</v>
      </c>
      <c r="L5306" s="25">
        <v>42959.42184027778</v>
      </c>
      <c r="M5306" s="28"/>
      <c r="N5306" s="28"/>
      <c r="O5306" s="22" t="str">
        <f>HYPERLINK("https://abs.twimg.com/sticky/default_profile_images/default_profile_normal.png","View")</f>
        <v>View</v>
      </c>
      <c r="P5306" s="27"/>
    </row>
    <row r="5307">
      <c r="A5307" s="14">
        <v>43031.33891203704</v>
      </c>
      <c r="B5307" s="20" t="str">
        <f>HYPERLINK("https://twitter.com/i_jijicom_eng","@i_jijicom_eng")</f>
        <v>@i_jijicom_eng</v>
      </c>
      <c r="C5307" s="21" t="s">
        <v>4706</v>
      </c>
      <c r="D5307" s="21" t="s">
        <v>12111</v>
      </c>
      <c r="E5307" s="22" t="str">
        <f>HYPERLINK("https://twitter.com/i_jijicom_eng/status/922479735329865729","922479735329865729")</f>
        <v>922479735329865729</v>
      </c>
      <c r="F5307" s="23" t="s">
        <v>4708</v>
      </c>
      <c r="G5307" s="24">
        <v>688.0</v>
      </c>
      <c r="H5307" s="24">
        <v>1.0</v>
      </c>
      <c r="I5307" s="24">
        <v>0.0</v>
      </c>
      <c r="J5307" s="24">
        <v>0.0</v>
      </c>
      <c r="K5307" s="23" t="s">
        <v>34</v>
      </c>
      <c r="L5307" s="25">
        <v>40636.78871527778</v>
      </c>
      <c r="M5307" s="26" t="s">
        <v>4709</v>
      </c>
      <c r="N5307" s="26" t="s">
        <v>4710</v>
      </c>
      <c r="O5307" s="22" t="str">
        <f>HYPERLINK("https://pbs.twimg.com/profile_images/1299223101/logo_jijicom-eng_normal.gif","View")</f>
        <v>View</v>
      </c>
      <c r="P5307" s="27"/>
    </row>
    <row r="5308">
      <c r="A5308" s="14">
        <v>43031.3389699074</v>
      </c>
      <c r="B5308" s="20" t="str">
        <f>HYPERLINK("https://twitter.com/FashionSpire","@FashionSpire")</f>
        <v>@FashionSpire</v>
      </c>
      <c r="C5308" s="21" t="s">
        <v>12112</v>
      </c>
      <c r="D5308" s="21" t="s">
        <v>1474</v>
      </c>
      <c r="E5308" s="22" t="str">
        <f>HYPERLINK("https://twitter.com/FashionSpire/status/922479756490272768","922479756490272768")</f>
        <v>922479756490272768</v>
      </c>
      <c r="F5308" s="23" t="s">
        <v>55</v>
      </c>
      <c r="G5308" s="24">
        <v>1164.0</v>
      </c>
      <c r="H5308" s="24">
        <v>3094.0</v>
      </c>
      <c r="I5308" s="24">
        <v>29.0</v>
      </c>
      <c r="J5308" s="24">
        <v>0.0</v>
      </c>
      <c r="K5308" s="23" t="s">
        <v>34</v>
      </c>
      <c r="L5308" s="25">
        <v>40435.43922453704</v>
      </c>
      <c r="M5308" s="28"/>
      <c r="N5308" s="26" t="s">
        <v>12113</v>
      </c>
      <c r="O5308" s="22" t="str">
        <f>HYPERLINK("https://pbs.twimg.com/profile_images/1309238801/GirlMirage_normal.png","View")</f>
        <v>View</v>
      </c>
      <c r="P5308" s="27"/>
    </row>
    <row r="5309">
      <c r="A5309" s="14">
        <v>43031.339050925926</v>
      </c>
      <c r="B5309" s="20" t="str">
        <f>HYPERLINK("https://twitter.com/abhishe26342097","@abhishe26342097")</f>
        <v>@abhishe26342097</v>
      </c>
      <c r="C5309" s="21" t="s">
        <v>12114</v>
      </c>
      <c r="D5309" s="21" t="s">
        <v>42</v>
      </c>
      <c r="E5309" s="22" t="str">
        <f>HYPERLINK("https://twitter.com/abhishe26342097/status/922479784331898880","922479784331898880")</f>
        <v>922479784331898880</v>
      </c>
      <c r="F5309" s="23" t="s">
        <v>33</v>
      </c>
      <c r="G5309" s="24">
        <v>259.0</v>
      </c>
      <c r="H5309" s="24">
        <v>2504.0</v>
      </c>
      <c r="I5309" s="24">
        <v>8501.0</v>
      </c>
      <c r="J5309" s="24">
        <v>0.0</v>
      </c>
      <c r="K5309" s="23" t="s">
        <v>34</v>
      </c>
      <c r="L5309" s="25">
        <v>41695.353217592594</v>
      </c>
      <c r="M5309" s="26" t="s">
        <v>8395</v>
      </c>
      <c r="N5309" s="26" t="s">
        <v>12115</v>
      </c>
      <c r="O5309" s="22" t="str">
        <f>HYPERLINK("https://pbs.twimg.com/profile_images/594232623221739520/axUMrucu_normal.jpg","View")</f>
        <v>View</v>
      </c>
      <c r="P5309" s="27"/>
    </row>
    <row r="5310">
      <c r="A5310" s="14">
        <v>43031.339212962965</v>
      </c>
      <c r="B5310" s="20" t="str">
        <f>HYPERLINK("https://twitter.com/bcburden","@bcburden")</f>
        <v>@bcburden</v>
      </c>
      <c r="C5310" s="21" t="s">
        <v>12116</v>
      </c>
      <c r="D5310" s="21" t="s">
        <v>12117</v>
      </c>
      <c r="E5310" s="22" t="str">
        <f>HYPERLINK("https://twitter.com/bcburden/status/922479843572318208","922479843572318208")</f>
        <v>922479843572318208</v>
      </c>
      <c r="F5310" s="23" t="s">
        <v>55</v>
      </c>
      <c r="G5310" s="24">
        <v>2066.0</v>
      </c>
      <c r="H5310" s="24">
        <v>124.0</v>
      </c>
      <c r="I5310" s="24">
        <v>3.0</v>
      </c>
      <c r="J5310" s="24">
        <v>0.0</v>
      </c>
      <c r="K5310" s="23" t="s">
        <v>34</v>
      </c>
      <c r="L5310" s="25">
        <v>39972.57927083333</v>
      </c>
      <c r="M5310" s="26" t="s">
        <v>12118</v>
      </c>
      <c r="N5310" s="26" t="s">
        <v>12119</v>
      </c>
      <c r="O5310" s="22" t="str">
        <f>HYPERLINK("https://pbs.twimg.com/profile_images/836661406665564160/sBzzTOgC_normal.jpg","View")</f>
        <v>View</v>
      </c>
      <c r="P5310" s="27"/>
    </row>
    <row r="5311">
      <c r="A5311" s="14">
        <v>43031.33945601852</v>
      </c>
      <c r="B5311" s="20" t="str">
        <f>HYPERLINK("https://twitter.com/Tusk8rman","@Tusk8rman")</f>
        <v>@Tusk8rman</v>
      </c>
      <c r="C5311" s="21" t="s">
        <v>1390</v>
      </c>
      <c r="D5311" s="21" t="s">
        <v>5786</v>
      </c>
      <c r="E5311" s="22" t="str">
        <f>HYPERLINK("https://twitter.com/Tusk8rman/status/922479930868424705","922479930868424705")</f>
        <v>922479930868424705</v>
      </c>
      <c r="F5311" s="23" t="s">
        <v>39</v>
      </c>
      <c r="G5311" s="24">
        <v>3053.0</v>
      </c>
      <c r="H5311" s="24">
        <v>1032.0</v>
      </c>
      <c r="I5311" s="24">
        <v>59.0</v>
      </c>
      <c r="J5311" s="24">
        <v>0.0</v>
      </c>
      <c r="K5311" s="23" t="s">
        <v>34</v>
      </c>
      <c r="L5311" s="25">
        <v>40036.4014699074</v>
      </c>
      <c r="M5311" s="26" t="s">
        <v>1391</v>
      </c>
      <c r="N5311" s="26" t="s">
        <v>1392</v>
      </c>
      <c r="O5311" s="22" t="str">
        <f>HYPERLINK("https://pbs.twimg.com/profile_images/873348900127727616/GncNTv5b_normal.jpg","View")</f>
        <v>View</v>
      </c>
      <c r="P5311" s="27"/>
    </row>
    <row r="5312">
      <c r="A5312" s="14">
        <v>43031.33953703704</v>
      </c>
      <c r="B5312" s="20" t="str">
        <f>HYPERLINK("https://twitter.com/AGamalinda","@AGamalinda")</f>
        <v>@AGamalinda</v>
      </c>
      <c r="C5312" s="21" t="s">
        <v>12120</v>
      </c>
      <c r="D5312" s="21" t="s">
        <v>11750</v>
      </c>
      <c r="E5312" s="22" t="str">
        <f>HYPERLINK("https://twitter.com/AGamalinda/status/922479963256668160","922479963256668160")</f>
        <v>922479963256668160</v>
      </c>
      <c r="F5312" s="23" t="s">
        <v>39</v>
      </c>
      <c r="G5312" s="24">
        <v>123.0</v>
      </c>
      <c r="H5312" s="24">
        <v>938.0</v>
      </c>
      <c r="I5312" s="24">
        <v>35.0</v>
      </c>
      <c r="J5312" s="24">
        <v>0.0</v>
      </c>
      <c r="K5312" s="23" t="s">
        <v>34</v>
      </c>
      <c r="L5312" s="25">
        <v>41119.81993055555</v>
      </c>
      <c r="M5312" s="26" t="s">
        <v>12121</v>
      </c>
      <c r="N5312" s="26" t="s">
        <v>12122</v>
      </c>
      <c r="O5312" s="22" t="str">
        <f>HYPERLINK("https://pbs.twimg.com/profile_images/875984901585031169/Y5sosDkJ_normal.jpg","View")</f>
        <v>View</v>
      </c>
      <c r="P5312" s="27"/>
    </row>
    <row r="5313">
      <c r="A5313" s="14">
        <v>43031.33960648148</v>
      </c>
      <c r="B5313" s="20" t="str">
        <f>HYPERLINK("https://twitter.com/DevShuk13016194","@DevShuk13016194")</f>
        <v>@DevShuk13016194</v>
      </c>
      <c r="C5313" s="21" t="s">
        <v>12123</v>
      </c>
      <c r="D5313" s="21" t="s">
        <v>42</v>
      </c>
      <c r="E5313" s="22" t="str">
        <f>HYPERLINK("https://twitter.com/DevShuk13016194/status/922479986719649794","922479986719649794")</f>
        <v>922479986719649794</v>
      </c>
      <c r="F5313" s="23" t="s">
        <v>33</v>
      </c>
      <c r="G5313" s="24">
        <v>107.0</v>
      </c>
      <c r="H5313" s="24">
        <v>92.0</v>
      </c>
      <c r="I5313" s="24">
        <v>8501.0</v>
      </c>
      <c r="J5313" s="24">
        <v>0.0</v>
      </c>
      <c r="K5313" s="23" t="s">
        <v>34</v>
      </c>
      <c r="L5313" s="25">
        <v>42815.98909722222</v>
      </c>
      <c r="M5313" s="26" t="s">
        <v>2335</v>
      </c>
      <c r="N5313" s="26" t="s">
        <v>12124</v>
      </c>
      <c r="O5313" s="22" t="str">
        <f>HYPERLINK("https://pbs.twimg.com/profile_images/886243025424236546/a8-N341z_normal.jpg","View")</f>
        <v>View</v>
      </c>
      <c r="P5313" s="27"/>
    </row>
    <row r="5314">
      <c r="A5314" s="14">
        <v>43031.33965277778</v>
      </c>
      <c r="B5314" s="20" t="str">
        <f>HYPERLINK("https://twitter.com/fpinterrupted","@fpinterrupted")</f>
        <v>@fpinterrupted</v>
      </c>
      <c r="C5314" s="21" t="s">
        <v>12125</v>
      </c>
      <c r="D5314" s="21" t="s">
        <v>12126</v>
      </c>
      <c r="E5314" s="22" t="str">
        <f>HYPERLINK("https://twitter.com/fpinterrupted/status/922480006005252096","922480006005252096")</f>
        <v>922480006005252096</v>
      </c>
      <c r="F5314" s="23" t="s">
        <v>4619</v>
      </c>
      <c r="G5314" s="24">
        <v>8047.0</v>
      </c>
      <c r="H5314" s="24">
        <v>547.0</v>
      </c>
      <c r="I5314" s="24">
        <v>0.0</v>
      </c>
      <c r="J5314" s="24">
        <v>1.0</v>
      </c>
      <c r="K5314" s="23" t="s">
        <v>34</v>
      </c>
      <c r="L5314" s="25">
        <v>41324.30084490741</v>
      </c>
      <c r="M5314" s="26" t="s">
        <v>762</v>
      </c>
      <c r="N5314" s="26" t="s">
        <v>12127</v>
      </c>
      <c r="O5314" s="22" t="str">
        <f>HYPERLINK("https://pbs.twimg.com/profile_images/475587280694804480/u5fUO_Ne_normal.png","View")</f>
        <v>View</v>
      </c>
      <c r="P5314" s="27"/>
    </row>
    <row r="5315">
      <c r="A5315" s="14">
        <v>43031.33972222223</v>
      </c>
      <c r="B5315" s="20" t="str">
        <f>HYPERLINK("https://twitter.com/OmarV09241992","@OmarV09241992")</f>
        <v>@OmarV09241992</v>
      </c>
      <c r="C5315" s="21" t="s">
        <v>12128</v>
      </c>
      <c r="D5315" s="21" t="s">
        <v>11750</v>
      </c>
      <c r="E5315" s="22" t="str">
        <f>HYPERLINK("https://twitter.com/OmarV09241992/status/922480027589017600","922480027589017600")</f>
        <v>922480027589017600</v>
      </c>
      <c r="F5315" s="23" t="s">
        <v>230</v>
      </c>
      <c r="G5315" s="24">
        <v>341.0</v>
      </c>
      <c r="H5315" s="24">
        <v>878.0</v>
      </c>
      <c r="I5315" s="24">
        <v>35.0</v>
      </c>
      <c r="J5315" s="24">
        <v>0.0</v>
      </c>
      <c r="K5315" s="23" t="s">
        <v>34</v>
      </c>
      <c r="L5315" s="25">
        <v>42296.27712962963</v>
      </c>
      <c r="M5315" s="26" t="s">
        <v>12129</v>
      </c>
      <c r="N5315" s="26" t="s">
        <v>12130</v>
      </c>
      <c r="O5315" s="22" t="str">
        <f>HYPERLINK("https://pbs.twimg.com/profile_images/842118047703941121/hW32nr4Y_normal.jpg","View")</f>
        <v>View</v>
      </c>
      <c r="P5315" s="27"/>
    </row>
    <row r="5316">
      <c r="A5316" s="14">
        <v>43031.33972222223</v>
      </c>
      <c r="B5316" s="20" t="str">
        <f>HYPERLINK("https://twitter.com/ORMlQUlc3ZgbWep","@ORMlQUlc3ZgbWep")</f>
        <v>@ORMlQUlc3ZgbWep</v>
      </c>
      <c r="C5316" s="21" t="s">
        <v>12131</v>
      </c>
      <c r="D5316" s="21" t="s">
        <v>42</v>
      </c>
      <c r="E5316" s="22" t="str">
        <f>HYPERLINK("https://twitter.com/ORMlQUlc3ZgbWep/status/922480029514088448","922480029514088448")</f>
        <v>922480029514088448</v>
      </c>
      <c r="F5316" s="23" t="s">
        <v>33</v>
      </c>
      <c r="G5316" s="24">
        <v>27.0</v>
      </c>
      <c r="H5316" s="24">
        <v>180.0</v>
      </c>
      <c r="I5316" s="24">
        <v>8501.0</v>
      </c>
      <c r="J5316" s="24">
        <v>0.0</v>
      </c>
      <c r="K5316" s="23" t="s">
        <v>34</v>
      </c>
      <c r="L5316" s="25">
        <v>42943.03074074074</v>
      </c>
      <c r="M5316" s="26" t="s">
        <v>12132</v>
      </c>
      <c r="N5316" s="26" t="s">
        <v>12133</v>
      </c>
      <c r="O5316" s="22" t="str">
        <f>HYPERLINK("https://pbs.twimg.com/profile_images/891893636815757312/yk_0gz7i_normal.jpg","View")</f>
        <v>View</v>
      </c>
      <c r="P5316" s="27"/>
    </row>
    <row r="5317">
      <c r="A5317" s="14">
        <v>43031.33981481481</v>
      </c>
      <c r="B5317" s="20" t="str">
        <f>HYPERLINK("https://twitter.com/AjoyChatterjee","@AjoyChatterjee")</f>
        <v>@AjoyChatterjee</v>
      </c>
      <c r="C5317" s="21" t="s">
        <v>12134</v>
      </c>
      <c r="D5317" s="21" t="s">
        <v>42</v>
      </c>
      <c r="E5317" s="22" t="str">
        <f>HYPERLINK("https://twitter.com/AjoyChatterjee/status/922480061609054210","922480061609054210")</f>
        <v>922480061609054210</v>
      </c>
      <c r="F5317" s="23" t="s">
        <v>230</v>
      </c>
      <c r="G5317" s="24">
        <v>3944.0</v>
      </c>
      <c r="H5317" s="24">
        <v>469.0</v>
      </c>
      <c r="I5317" s="24">
        <v>8501.0</v>
      </c>
      <c r="J5317" s="24">
        <v>0.0</v>
      </c>
      <c r="K5317" s="23" t="s">
        <v>34</v>
      </c>
      <c r="L5317" s="25">
        <v>40116.01967592593</v>
      </c>
      <c r="M5317" s="26" t="s">
        <v>12135</v>
      </c>
      <c r="N5317" s="26" t="s">
        <v>12136</v>
      </c>
      <c r="O5317" s="22" t="str">
        <f>HYPERLINK("https://pbs.twimg.com/profile_images/854549847558557700/ymSPkjsD_normal.jpg","View")</f>
        <v>View</v>
      </c>
      <c r="P5317" s="27"/>
    </row>
    <row r="5318">
      <c r="A5318" s="14">
        <v>43031.339953703704</v>
      </c>
      <c r="B5318" s="20" t="str">
        <f>HYPERLINK("https://twitter.com/madhavgp","@madhavgp")</f>
        <v>@madhavgp</v>
      </c>
      <c r="C5318" s="21" t="s">
        <v>12137</v>
      </c>
      <c r="D5318" s="21" t="s">
        <v>42</v>
      </c>
      <c r="E5318" s="22" t="str">
        <f>HYPERLINK("https://twitter.com/madhavgp/status/922480113140166657","922480113140166657")</f>
        <v>922480113140166657</v>
      </c>
      <c r="F5318" s="23" t="s">
        <v>43</v>
      </c>
      <c r="G5318" s="24">
        <v>32.0</v>
      </c>
      <c r="H5318" s="24">
        <v>1815.0</v>
      </c>
      <c r="I5318" s="24">
        <v>8501.0</v>
      </c>
      <c r="J5318" s="24">
        <v>0.0</v>
      </c>
      <c r="K5318" s="23" t="s">
        <v>34</v>
      </c>
      <c r="L5318" s="25">
        <v>40402.75084490741</v>
      </c>
      <c r="M5318" s="28"/>
      <c r="N5318" s="28"/>
      <c r="O5318" s="22" t="str">
        <f>HYPERLINK("https://pbs.twimg.com/profile_images/804067685965307904/Ia4WwUZV_normal.jpg","View")</f>
        <v>View</v>
      </c>
      <c r="P5318" s="27"/>
    </row>
    <row r="5319">
      <c r="A5319" s="14">
        <v>43031.33996527777</v>
      </c>
      <c r="B5319" s="20" t="str">
        <f>HYPERLINK("https://twitter.com/NirapadNews","@NirapadNews")</f>
        <v>@NirapadNews</v>
      </c>
      <c r="C5319" s="21" t="s">
        <v>12138</v>
      </c>
      <c r="D5319" s="21" t="s">
        <v>12139</v>
      </c>
      <c r="E5319" s="22" t="str">
        <f>HYPERLINK("https://twitter.com/NirapadNews/status/922480116566933504","922480116566933504")</f>
        <v>922480116566933504</v>
      </c>
      <c r="F5319" s="23" t="s">
        <v>55</v>
      </c>
      <c r="G5319" s="24">
        <v>778.0</v>
      </c>
      <c r="H5319" s="24">
        <v>44.0</v>
      </c>
      <c r="I5319" s="24">
        <v>0.0</v>
      </c>
      <c r="J5319" s="24">
        <v>0.0</v>
      </c>
      <c r="K5319" s="23" t="s">
        <v>34</v>
      </c>
      <c r="L5319" s="25">
        <v>41946.30138888889</v>
      </c>
      <c r="M5319" s="28"/>
      <c r="N5319" s="28"/>
      <c r="O5319" s="22" t="str">
        <f>HYPERLINK("https://pbs.twimg.com/profile_images/529293372905623552/PKduuw48_normal.jpeg","View")</f>
        <v>View</v>
      </c>
      <c r="P5319" s="27"/>
    </row>
    <row r="5320">
      <c r="A5320" s="14">
        <v>43031.33997685185</v>
      </c>
      <c r="B5320" s="20" t="str">
        <f>HYPERLINK("https://twitter.com/MorganStanley","@MorganStanley")</f>
        <v>@MorganStanley</v>
      </c>
      <c r="C5320" s="21" t="s">
        <v>12140</v>
      </c>
      <c r="D5320" s="21" t="s">
        <v>12141</v>
      </c>
      <c r="E5320" s="22" t="str">
        <f>HYPERLINK("https://twitter.com/MorganStanley/status/922480122187444224","922480122187444224")</f>
        <v>922480122187444224</v>
      </c>
      <c r="F5320" s="23" t="s">
        <v>2707</v>
      </c>
      <c r="G5320" s="24">
        <v>450651.0</v>
      </c>
      <c r="H5320" s="24">
        <v>216.0</v>
      </c>
      <c r="I5320" s="24">
        <v>5.0</v>
      </c>
      <c r="J5320" s="24">
        <v>7.0</v>
      </c>
      <c r="K5320" s="23" t="s">
        <v>34</v>
      </c>
      <c r="L5320" s="25">
        <v>40878.60060185185</v>
      </c>
      <c r="M5320" s="28"/>
      <c r="N5320" s="26" t="s">
        <v>12142</v>
      </c>
      <c r="O5320" s="22" t="str">
        <f>HYPERLINK("https://pbs.twimg.com/profile_images/767759044849336328/99u_IE90_normal.jpg","View")</f>
        <v>View</v>
      </c>
      <c r="P5320" s="27"/>
    </row>
    <row r="5321">
      <c r="A5321" s="14">
        <v>43031.34008101852</v>
      </c>
      <c r="B5321" s="20" t="str">
        <f>HYPERLINK("https://twitter.com/AlexCena_TX","@AlexCena_TX")</f>
        <v>@AlexCena_TX</v>
      </c>
      <c r="C5321" s="21" t="s">
        <v>12143</v>
      </c>
      <c r="D5321" s="21" t="s">
        <v>12144</v>
      </c>
      <c r="E5321" s="22" t="str">
        <f>HYPERLINK("https://twitter.com/AlexCena_TX/status/922480157700472833","922480157700472833")</f>
        <v>922480157700472833</v>
      </c>
      <c r="F5321" s="23" t="s">
        <v>187</v>
      </c>
      <c r="G5321" s="24">
        <v>2801.0</v>
      </c>
      <c r="H5321" s="24">
        <v>2948.0</v>
      </c>
      <c r="I5321" s="24">
        <v>0.0</v>
      </c>
      <c r="J5321" s="24">
        <v>0.0</v>
      </c>
      <c r="K5321" s="23" t="s">
        <v>34</v>
      </c>
      <c r="L5321" s="25">
        <v>42087.568298611106</v>
      </c>
      <c r="M5321" s="26" t="s">
        <v>12145</v>
      </c>
      <c r="N5321" s="26" t="s">
        <v>12146</v>
      </c>
      <c r="O5321" s="22" t="str">
        <f>HYPERLINK("https://pbs.twimg.com/profile_images/767721534320369664/DpsFz3qy_normal.jpg","View")</f>
        <v>View</v>
      </c>
      <c r="P5321" s="27"/>
    </row>
    <row r="5322">
      <c r="A5322" s="14">
        <v>43031.34019675926</v>
      </c>
      <c r="B5322" s="20" t="str">
        <f>HYPERLINK("https://twitter.com/jfalbertos","@jfalbertos")</f>
        <v>@jfalbertos</v>
      </c>
      <c r="C5322" s="21" t="s">
        <v>12147</v>
      </c>
      <c r="D5322" s="21" t="s">
        <v>12148</v>
      </c>
      <c r="E5322" s="22" t="str">
        <f>HYPERLINK("https://twitter.com/jfalbertos/status/922480200402817024","922480200402817024")</f>
        <v>922480200402817024</v>
      </c>
      <c r="F5322" s="23" t="s">
        <v>33</v>
      </c>
      <c r="G5322" s="24">
        <v>20394.0</v>
      </c>
      <c r="H5322" s="24">
        <v>1476.0</v>
      </c>
      <c r="I5322" s="24">
        <v>3.0</v>
      </c>
      <c r="J5322" s="24">
        <v>0.0</v>
      </c>
      <c r="K5322" s="23" t="s">
        <v>34</v>
      </c>
      <c r="L5322" s="25">
        <v>40686.173321759255</v>
      </c>
      <c r="M5322" s="28"/>
      <c r="N5322" s="26" t="s">
        <v>12149</v>
      </c>
      <c r="O5322" s="22" t="str">
        <f>HYPERLINK("https://pbs.twimg.com/profile_images/614486826028539904/yEDZd6Go_normal.jpg","View")</f>
        <v>View</v>
      </c>
      <c r="P5322" s="27"/>
    </row>
    <row r="5323">
      <c r="A5323" s="14">
        <v>43031.34064814815</v>
      </c>
      <c r="B5323" s="20" t="str">
        <f>HYPERLINK("https://twitter.com/2668","@2668")</f>
        <v>@2668</v>
      </c>
      <c r="C5323" s="21" t="s">
        <v>12150</v>
      </c>
      <c r="D5323" s="21" t="s">
        <v>12151</v>
      </c>
      <c r="E5323" s="22" t="str">
        <f>HYPERLINK("https://twitter.com/2668/status/922480364160978945","922480364160978945")</f>
        <v>922480364160978945</v>
      </c>
      <c r="F5323" s="23" t="s">
        <v>33</v>
      </c>
      <c r="G5323" s="24">
        <v>34.0</v>
      </c>
      <c r="H5323" s="24">
        <v>43.0</v>
      </c>
      <c r="I5323" s="24">
        <v>0.0</v>
      </c>
      <c r="J5323" s="24">
        <v>0.0</v>
      </c>
      <c r="K5323" s="23" t="s">
        <v>34</v>
      </c>
      <c r="L5323" s="25">
        <v>39893.97825231482</v>
      </c>
      <c r="M5323" s="26" t="s">
        <v>12152</v>
      </c>
      <c r="N5323" s="28"/>
      <c r="O5323" s="22" t="str">
        <f>HYPERLINK("https://pbs.twimg.com/profile_images/870414402981416960/Eoldjf7U_normal.jpg","View")</f>
        <v>View</v>
      </c>
      <c r="P5323" s="27"/>
    </row>
    <row r="5324">
      <c r="A5324" s="14">
        <v>43031.340729166666</v>
      </c>
      <c r="B5324" s="20" t="str">
        <f>HYPERLINK("https://twitter.com/pogi946","@pogi946")</f>
        <v>@pogi946</v>
      </c>
      <c r="C5324" s="21" t="s">
        <v>12153</v>
      </c>
      <c r="D5324" s="21" t="s">
        <v>2369</v>
      </c>
      <c r="E5324" s="22" t="str">
        <f>HYPERLINK("https://twitter.com/pogi946/status/922480393651187712","922480393651187712")</f>
        <v>922480393651187712</v>
      </c>
      <c r="F5324" s="23" t="s">
        <v>33</v>
      </c>
      <c r="G5324" s="24">
        <v>58.0</v>
      </c>
      <c r="H5324" s="24">
        <v>2247.0</v>
      </c>
      <c r="I5324" s="24">
        <v>23.0</v>
      </c>
      <c r="J5324" s="24">
        <v>0.0</v>
      </c>
      <c r="K5324" s="23" t="s">
        <v>34</v>
      </c>
      <c r="L5324" s="25">
        <v>40900.457395833335</v>
      </c>
      <c r="M5324" s="26" t="s">
        <v>12154</v>
      </c>
      <c r="N5324" s="26" t="s">
        <v>12155</v>
      </c>
      <c r="O5324" s="22" t="str">
        <f>HYPERLINK("https://pbs.twimg.com/profile_images/763011853278642176/32BVs0yV_normal.jpg","View")</f>
        <v>View</v>
      </c>
      <c r="P5324" s="27"/>
    </row>
    <row r="5325">
      <c r="A5325" s="14">
        <v>43031.340729166666</v>
      </c>
      <c r="B5325" s="20" t="str">
        <f>HYPERLINK("https://twitter.com/bullseyefx","@bullseyefx")</f>
        <v>@bullseyefx</v>
      </c>
      <c r="C5325" s="21" t="s">
        <v>12156</v>
      </c>
      <c r="D5325" s="21" t="s">
        <v>12157</v>
      </c>
      <c r="E5325" s="22" t="str">
        <f>HYPERLINK("https://twitter.com/bullseyefx/status/922480393936363521","922480393936363521")</f>
        <v>922480393936363521</v>
      </c>
      <c r="F5325" s="23" t="s">
        <v>12158</v>
      </c>
      <c r="G5325" s="24">
        <v>2678.0</v>
      </c>
      <c r="H5325" s="24">
        <v>1508.0</v>
      </c>
      <c r="I5325" s="24">
        <v>0.0</v>
      </c>
      <c r="J5325" s="24">
        <v>0.0</v>
      </c>
      <c r="K5325" s="23" t="s">
        <v>34</v>
      </c>
      <c r="L5325" s="25">
        <v>40545.58716435185</v>
      </c>
      <c r="M5325" s="28"/>
      <c r="N5325" s="26" t="s">
        <v>12159</v>
      </c>
      <c r="O5325" s="22" t="str">
        <f>HYPERLINK("https://pbs.twimg.com/profile_images/501975549284077568/EBxeZndr_normal.jpeg","View")</f>
        <v>View</v>
      </c>
      <c r="P5325" s="27"/>
    </row>
    <row r="5326">
      <c r="A5326" s="14">
        <v>43031.34082175926</v>
      </c>
      <c r="B5326" s="20" t="str">
        <f>HYPERLINK("https://twitter.com/deepikapadhi","@deepikapadhi")</f>
        <v>@deepikapadhi</v>
      </c>
      <c r="C5326" s="21" t="s">
        <v>12160</v>
      </c>
      <c r="D5326" s="21" t="s">
        <v>42</v>
      </c>
      <c r="E5326" s="22" t="str">
        <f>HYPERLINK("https://twitter.com/deepikapadhi/status/922480427507490817","922480427507490817")</f>
        <v>922480427507490817</v>
      </c>
      <c r="F5326" s="23" t="s">
        <v>33</v>
      </c>
      <c r="G5326" s="24">
        <v>14.0</v>
      </c>
      <c r="H5326" s="24">
        <v>104.0</v>
      </c>
      <c r="I5326" s="24">
        <v>8501.0</v>
      </c>
      <c r="J5326" s="24">
        <v>0.0</v>
      </c>
      <c r="K5326" s="23" t="s">
        <v>34</v>
      </c>
      <c r="L5326" s="25">
        <v>40655.22398148148</v>
      </c>
      <c r="M5326" s="26" t="s">
        <v>12161</v>
      </c>
      <c r="N5326" s="28"/>
      <c r="O5326" s="22" t="str">
        <f>HYPERLINK("https://pbs.twimg.com/profile_images/869292788466286594/e2fr4nfN_normal.jpg","View")</f>
        <v>View</v>
      </c>
      <c r="P5326" s="27"/>
    </row>
    <row r="5327">
      <c r="A5327" s="14">
        <v>43031.340833333335</v>
      </c>
      <c r="B5327" s="20" t="str">
        <f>HYPERLINK("https://twitter.com/imakabu_rs","@imakabu_rs")</f>
        <v>@imakabu_rs</v>
      </c>
      <c r="C5327" s="21" t="s">
        <v>12162</v>
      </c>
      <c r="D5327" s="21" t="s">
        <v>12163</v>
      </c>
      <c r="E5327" s="22" t="str">
        <f>HYPERLINK("https://twitter.com/imakabu_rs/status/922480431877963783","922480431877963783")</f>
        <v>922480431877963783</v>
      </c>
      <c r="F5327" s="23" t="s">
        <v>55</v>
      </c>
      <c r="G5327" s="24">
        <v>1961.0</v>
      </c>
      <c r="H5327" s="24">
        <v>1412.0</v>
      </c>
      <c r="I5327" s="24">
        <v>5.0</v>
      </c>
      <c r="J5327" s="24">
        <v>0.0</v>
      </c>
      <c r="K5327" s="23" t="s">
        <v>34</v>
      </c>
      <c r="L5327" s="25">
        <v>41881.83414351852</v>
      </c>
      <c r="M5327" s="28"/>
      <c r="N5327" s="26" t="s">
        <v>12164</v>
      </c>
      <c r="O5327" s="22" t="str">
        <f>HYPERLINK("https://pbs.twimg.com/profile_images/828255145477566464/T_F28ly8_normal.jpg","View")</f>
        <v>View</v>
      </c>
      <c r="P5327" s="27"/>
    </row>
    <row r="5328">
      <c r="A5328" s="14">
        <v>43031.34113425926</v>
      </c>
      <c r="B5328" s="20" t="str">
        <f>HYPERLINK("https://twitter.com/draksbond","@draksbond")</f>
        <v>@draksbond</v>
      </c>
      <c r="C5328" s="21" t="s">
        <v>12165</v>
      </c>
      <c r="D5328" s="21" t="s">
        <v>42</v>
      </c>
      <c r="E5328" s="22" t="str">
        <f>HYPERLINK("https://twitter.com/draksbond/status/922480542502625280","922480542502625280")</f>
        <v>922480542502625280</v>
      </c>
      <c r="F5328" s="23" t="s">
        <v>39</v>
      </c>
      <c r="G5328" s="24">
        <v>35884.0</v>
      </c>
      <c r="H5328" s="24">
        <v>973.0</v>
      </c>
      <c r="I5328" s="24">
        <v>8501.0</v>
      </c>
      <c r="J5328" s="24">
        <v>0.0</v>
      </c>
      <c r="K5328" s="23" t="s">
        <v>34</v>
      </c>
      <c r="L5328" s="25">
        <v>41389.43178240741</v>
      </c>
      <c r="M5328" s="26" t="s">
        <v>12166</v>
      </c>
      <c r="N5328" s="26" t="s">
        <v>12167</v>
      </c>
      <c r="O5328" s="22" t="str">
        <f>HYPERLINK("https://pbs.twimg.com/profile_images/855453128132407300/3lMfJO6u_normal.jpg","View")</f>
        <v>View</v>
      </c>
      <c r="P5328" s="27"/>
    </row>
    <row r="5329">
      <c r="A5329" s="14">
        <v>43031.34116898148</v>
      </c>
      <c r="B5329" s="20" t="str">
        <f>HYPERLINK("https://twitter.com/9ige","@9ige")</f>
        <v>@9ige</v>
      </c>
      <c r="C5329" s="21" t="s">
        <v>12168</v>
      </c>
      <c r="D5329" s="21" t="s">
        <v>32</v>
      </c>
      <c r="E5329" s="22" t="str">
        <f>HYPERLINK("https://twitter.com/9ige/status/922480554540437511","922480554540437511")</f>
        <v>922480554540437511</v>
      </c>
      <c r="F5329" s="23" t="s">
        <v>33</v>
      </c>
      <c r="G5329" s="24">
        <v>718.0</v>
      </c>
      <c r="H5329" s="24">
        <v>3375.0</v>
      </c>
      <c r="I5329" s="24">
        <v>471.0</v>
      </c>
      <c r="J5329" s="24">
        <v>0.0</v>
      </c>
      <c r="K5329" s="23" t="s">
        <v>34</v>
      </c>
      <c r="L5329" s="25">
        <v>39841.4300462963</v>
      </c>
      <c r="M5329" s="28"/>
      <c r="N5329" s="28"/>
      <c r="O5329" s="22" t="str">
        <f>HYPERLINK("https://pbs.twimg.com/profile_images/1244792139/Body_shot_of_Nigel_Tharpe_normal.jpg","View")</f>
        <v>View</v>
      </c>
      <c r="P5329" s="27"/>
    </row>
    <row r="5330">
      <c r="A5330" s="14">
        <v>43031.34137731481</v>
      </c>
      <c r="B5330" s="20" t="str">
        <f>HYPERLINK("https://twitter.com/virgini40329920","@virgini40329920")</f>
        <v>@virgini40329920</v>
      </c>
      <c r="C5330" s="21" t="s">
        <v>12169</v>
      </c>
      <c r="D5330" s="21" t="s">
        <v>12170</v>
      </c>
      <c r="E5330" s="22" t="str">
        <f>HYPERLINK("https://twitter.com/virgini40329920/status/922480629425590272","922480629425590272")</f>
        <v>922480629425590272</v>
      </c>
      <c r="F5330" s="23" t="s">
        <v>43</v>
      </c>
      <c r="G5330" s="24">
        <v>51.0</v>
      </c>
      <c r="H5330" s="24">
        <v>423.0</v>
      </c>
      <c r="I5330" s="24">
        <v>1.0</v>
      </c>
      <c r="J5330" s="24">
        <v>0.0</v>
      </c>
      <c r="K5330" s="23" t="s">
        <v>34</v>
      </c>
      <c r="L5330" s="25">
        <v>42992.11133101852</v>
      </c>
      <c r="M5330" s="26" t="s">
        <v>12171</v>
      </c>
      <c r="N5330" s="26" t="s">
        <v>12172</v>
      </c>
      <c r="O5330" s="22" t="str">
        <f>HYPERLINK("https://pbs.twimg.com/profile_images/908312481872973825/aSgXGqa__normal.jpg","View")</f>
        <v>View</v>
      </c>
      <c r="P5330" s="27"/>
    </row>
    <row r="5331">
      <c r="A5331" s="14">
        <v>43031.34155092592</v>
      </c>
      <c r="B5331" s="20" t="str">
        <f>HYPERLINK("https://twitter.com/goldbergjsbach","@goldbergjsbach")</f>
        <v>@goldbergjsbach</v>
      </c>
      <c r="C5331" s="21" t="s">
        <v>12173</v>
      </c>
      <c r="D5331" s="21" t="s">
        <v>11540</v>
      </c>
      <c r="E5331" s="22" t="str">
        <f>HYPERLINK("https://twitter.com/goldbergjsbach/status/922480690742087681","922480690742087681")</f>
        <v>922480690742087681</v>
      </c>
      <c r="F5331" s="23" t="s">
        <v>39</v>
      </c>
      <c r="G5331" s="24">
        <v>231.0</v>
      </c>
      <c r="H5331" s="24">
        <v>237.0</v>
      </c>
      <c r="I5331" s="24">
        <v>14.0</v>
      </c>
      <c r="J5331" s="24">
        <v>0.0</v>
      </c>
      <c r="K5331" s="23" t="s">
        <v>34</v>
      </c>
      <c r="L5331" s="25">
        <v>42212.34986111111</v>
      </c>
      <c r="M5331" s="26" t="s">
        <v>40</v>
      </c>
      <c r="N5331" s="26" t="s">
        <v>12174</v>
      </c>
      <c r="O5331" s="22" t="str">
        <f>HYPERLINK("https://pbs.twimg.com/profile_images/761342343354220545/p3lVw-DV_normal.jpg","View")</f>
        <v>View</v>
      </c>
      <c r="P5331" s="27"/>
    </row>
    <row r="5332">
      <c r="A5332" s="14">
        <v>43031.341631944444</v>
      </c>
      <c r="B5332" s="20" t="str">
        <f>HYPERLINK("https://twitter.com/Iam_Praveen1995","@Iam_Praveen1995")</f>
        <v>@Iam_Praveen1995</v>
      </c>
      <c r="C5332" s="21" t="s">
        <v>12175</v>
      </c>
      <c r="D5332" s="21" t="s">
        <v>42</v>
      </c>
      <c r="E5332" s="22" t="str">
        <f>HYPERLINK("https://twitter.com/Iam_Praveen1995/status/922480719439396864","922480719439396864")</f>
        <v>922480719439396864</v>
      </c>
      <c r="F5332" s="23" t="s">
        <v>33</v>
      </c>
      <c r="G5332" s="24">
        <v>831.0</v>
      </c>
      <c r="H5332" s="24">
        <v>5001.0</v>
      </c>
      <c r="I5332" s="24">
        <v>8501.0</v>
      </c>
      <c r="J5332" s="24">
        <v>0.0</v>
      </c>
      <c r="K5332" s="23" t="s">
        <v>34</v>
      </c>
      <c r="L5332" s="25">
        <v>41788.515868055554</v>
      </c>
      <c r="M5332" s="26" t="s">
        <v>12176</v>
      </c>
      <c r="N5332" s="26" t="s">
        <v>12177</v>
      </c>
      <c r="O5332" s="22" t="str">
        <f>HYPERLINK("https://pbs.twimg.com/profile_images/921055415789428737/gx6FLd4c_normal.jpg","View")</f>
        <v>View</v>
      </c>
      <c r="P5332" s="27"/>
    </row>
    <row r="5333">
      <c r="A5333" s="14">
        <v>43031.34164351852</v>
      </c>
      <c r="B5333" s="20" t="str">
        <f>HYPERLINK("https://twitter.com/togashi1206","@togashi1206")</f>
        <v>@togashi1206</v>
      </c>
      <c r="C5333" s="21" t="s">
        <v>12178</v>
      </c>
      <c r="D5333" s="21" t="s">
        <v>12163</v>
      </c>
      <c r="E5333" s="22" t="str">
        <f>HYPERLINK("https://twitter.com/togashi1206/status/922480723646283776","922480723646283776")</f>
        <v>922480723646283776</v>
      </c>
      <c r="F5333" s="23" t="s">
        <v>33</v>
      </c>
      <c r="G5333" s="24">
        <v>431.0</v>
      </c>
      <c r="H5333" s="24">
        <v>320.0</v>
      </c>
      <c r="I5333" s="24">
        <v>5.0</v>
      </c>
      <c r="J5333" s="24">
        <v>0.0</v>
      </c>
      <c r="K5333" s="23" t="s">
        <v>34</v>
      </c>
      <c r="L5333" s="25">
        <v>40479.4646875</v>
      </c>
      <c r="M5333" s="26" t="s">
        <v>4577</v>
      </c>
      <c r="N5333" s="26" t="s">
        <v>12179</v>
      </c>
      <c r="O5333" s="22" t="str">
        <f>HYPERLINK("https://pbs.twimg.com/profile_images/921863214979211265/G_1gDauM_normal.jpg","View")</f>
        <v>View</v>
      </c>
      <c r="P5333" s="27"/>
    </row>
    <row r="5334">
      <c r="A5334" s="14">
        <v>43031.34168981481</v>
      </c>
      <c r="B5334" s="20" t="str">
        <f>HYPERLINK("https://twitter.com/MohdAlf23260501","@MohdAlf23260501")</f>
        <v>@MohdAlf23260501</v>
      </c>
      <c r="C5334" s="21" t="s">
        <v>12180</v>
      </c>
      <c r="D5334" s="21" t="s">
        <v>42</v>
      </c>
      <c r="E5334" s="22" t="str">
        <f>HYPERLINK("https://twitter.com/MohdAlf23260501/status/922480741786767360","922480741786767360")</f>
        <v>922480741786767360</v>
      </c>
      <c r="F5334" s="23" t="s">
        <v>43</v>
      </c>
      <c r="G5334" s="24">
        <v>0.0</v>
      </c>
      <c r="H5334" s="24">
        <v>21.0</v>
      </c>
      <c r="I5334" s="24">
        <v>8501.0</v>
      </c>
      <c r="J5334" s="24">
        <v>0.0</v>
      </c>
      <c r="K5334" s="23" t="s">
        <v>34</v>
      </c>
      <c r="L5334" s="25">
        <v>43031.339050925926</v>
      </c>
      <c r="M5334" s="26" t="s">
        <v>96</v>
      </c>
      <c r="N5334" s="26" t="s">
        <v>12181</v>
      </c>
      <c r="O5334" s="22" t="str">
        <f>HYPERLINK("https://pbs.twimg.com/profile_images/922724260698820608/MiFd76x__normal.jpg","View")</f>
        <v>View</v>
      </c>
      <c r="P5334" s="27"/>
    </row>
    <row r="5335">
      <c r="A5335" s="14">
        <v>43031.34174768519</v>
      </c>
      <c r="B5335" s="20" t="str">
        <f>HYPERLINK("https://twitter.com/PeteSmalls","@PeteSmalls")</f>
        <v>@PeteSmalls</v>
      </c>
      <c r="C5335" s="21" t="s">
        <v>12182</v>
      </c>
      <c r="D5335" s="21" t="s">
        <v>12183</v>
      </c>
      <c r="E5335" s="22" t="str">
        <f>HYPERLINK("https://twitter.com/PeteSmalls/status/922480761462280192","922480761462280192")</f>
        <v>922480761462280192</v>
      </c>
      <c r="F5335" s="23" t="s">
        <v>48</v>
      </c>
      <c r="G5335" s="24">
        <v>857.0</v>
      </c>
      <c r="H5335" s="24">
        <v>2233.0</v>
      </c>
      <c r="I5335" s="24">
        <v>0.0</v>
      </c>
      <c r="J5335" s="24">
        <v>0.0</v>
      </c>
      <c r="K5335" s="23" t="s">
        <v>34</v>
      </c>
      <c r="L5335" s="25">
        <v>40076.97341435185</v>
      </c>
      <c r="M5335" s="26" t="s">
        <v>12184</v>
      </c>
      <c r="N5335" s="26" t="s">
        <v>12185</v>
      </c>
      <c r="O5335" s="22" t="str">
        <f>HYPERLINK("https://pbs.twimg.com/profile_images/3017753639/9063dc1fdf9cd876c491559e3d8d1074_normal.jpeg","View")</f>
        <v>View</v>
      </c>
      <c r="P5335" s="27"/>
    </row>
    <row r="5336">
      <c r="A5336" s="14">
        <v>43031.34180555555</v>
      </c>
      <c r="B5336" s="20" t="str">
        <f>HYPERLINK("https://twitter.com/KuldeepSancheti","@KuldeepSancheti")</f>
        <v>@KuldeepSancheti</v>
      </c>
      <c r="C5336" s="21" t="s">
        <v>12186</v>
      </c>
      <c r="D5336" s="21" t="s">
        <v>42</v>
      </c>
      <c r="E5336" s="22" t="str">
        <f>HYPERLINK("https://twitter.com/KuldeepSancheti/status/922480784258289665","922480784258289665")</f>
        <v>922480784258289665</v>
      </c>
      <c r="F5336" s="23" t="s">
        <v>39</v>
      </c>
      <c r="G5336" s="24">
        <v>38.0</v>
      </c>
      <c r="H5336" s="24">
        <v>309.0</v>
      </c>
      <c r="I5336" s="24">
        <v>8501.0</v>
      </c>
      <c r="J5336" s="24">
        <v>0.0</v>
      </c>
      <c r="K5336" s="23" t="s">
        <v>34</v>
      </c>
      <c r="L5336" s="25">
        <v>42802.46232638889</v>
      </c>
      <c r="M5336" s="26" t="s">
        <v>1633</v>
      </c>
      <c r="N5336" s="26" t="s">
        <v>12187</v>
      </c>
      <c r="O5336" s="22" t="str">
        <f>HYPERLINK("https://abs.twimg.com/sticky/default_profile_images/default_profile_normal.png","View")</f>
        <v>View</v>
      </c>
      <c r="P5336" s="27"/>
    </row>
    <row r="5337">
      <c r="A5337" s="14">
        <v>43031.34185185185</v>
      </c>
      <c r="B5337" s="20" t="str">
        <f>HYPERLINK("https://twitter.com/4angel4ever88","@4angel4ever88")</f>
        <v>@4angel4ever88</v>
      </c>
      <c r="C5337" s="21" t="s">
        <v>12188</v>
      </c>
      <c r="D5337" s="21" t="s">
        <v>10614</v>
      </c>
      <c r="E5337" s="22" t="str">
        <f>HYPERLINK("https://twitter.com/4angel4ever88/status/922480803048775680","922480803048775680")</f>
        <v>922480803048775680</v>
      </c>
      <c r="F5337" s="23" t="s">
        <v>33</v>
      </c>
      <c r="G5337" s="24">
        <v>1180.0</v>
      </c>
      <c r="H5337" s="24">
        <v>342.0</v>
      </c>
      <c r="I5337" s="24">
        <v>159.0</v>
      </c>
      <c r="J5337" s="24">
        <v>0.0</v>
      </c>
      <c r="K5337" s="23" t="s">
        <v>34</v>
      </c>
      <c r="L5337" s="25">
        <v>41813.58755787037</v>
      </c>
      <c r="M5337" s="26" t="s">
        <v>920</v>
      </c>
      <c r="N5337" s="26" t="s">
        <v>12189</v>
      </c>
      <c r="O5337" s="22" t="str">
        <f>HYPERLINK("https://pbs.twimg.com/profile_images/830798804546908161/95sEJ5uG_normal.jpg","View")</f>
        <v>View</v>
      </c>
      <c r="P5337" s="27"/>
    </row>
    <row r="5338">
      <c r="A5338" s="14">
        <v>43031.341944444444</v>
      </c>
      <c r="B5338" s="20" t="str">
        <f>HYPERLINK("https://twitter.com/Ashvin_BJP","@Ashvin_BJP")</f>
        <v>@Ashvin_BJP</v>
      </c>
      <c r="C5338" s="21" t="s">
        <v>12190</v>
      </c>
      <c r="D5338" s="21" t="s">
        <v>42</v>
      </c>
      <c r="E5338" s="22" t="str">
        <f>HYPERLINK("https://twitter.com/Ashvin_BJP/status/922480835244281856","922480835244281856")</f>
        <v>922480835244281856</v>
      </c>
      <c r="F5338" s="23" t="s">
        <v>33</v>
      </c>
      <c r="G5338" s="24">
        <v>138.0</v>
      </c>
      <c r="H5338" s="24">
        <v>184.0</v>
      </c>
      <c r="I5338" s="24">
        <v>8501.0</v>
      </c>
      <c r="J5338" s="24">
        <v>0.0</v>
      </c>
      <c r="K5338" s="23" t="s">
        <v>34</v>
      </c>
      <c r="L5338" s="25">
        <v>42425.36456018519</v>
      </c>
      <c r="M5338" s="26" t="s">
        <v>2739</v>
      </c>
      <c r="N5338" s="26" t="s">
        <v>12191</v>
      </c>
      <c r="O5338" s="22" t="str">
        <f>HYPERLINK("https://pbs.twimg.com/profile_images/857280550419263489/tRAKHeQo_normal.jpg","View")</f>
        <v>View</v>
      </c>
      <c r="P5338" s="27"/>
    </row>
    <row r="5339">
      <c r="A5339" s="14">
        <v>43031.341944444444</v>
      </c>
      <c r="B5339" s="20" t="str">
        <f>HYPERLINK("https://twitter.com/AdityaP74870938","@AdityaP74870938")</f>
        <v>@AdityaP74870938</v>
      </c>
      <c r="C5339" s="21" t="s">
        <v>7971</v>
      </c>
      <c r="D5339" s="21" t="s">
        <v>42</v>
      </c>
      <c r="E5339" s="22" t="str">
        <f>HYPERLINK("https://twitter.com/AdityaP74870938/status/922480835843973120","922480835843973120")</f>
        <v>922480835843973120</v>
      </c>
      <c r="F5339" s="23" t="s">
        <v>33</v>
      </c>
      <c r="G5339" s="24">
        <v>21.0</v>
      </c>
      <c r="H5339" s="24">
        <v>284.0</v>
      </c>
      <c r="I5339" s="24">
        <v>8501.0</v>
      </c>
      <c r="J5339" s="24">
        <v>0.0</v>
      </c>
      <c r="K5339" s="23" t="s">
        <v>34</v>
      </c>
      <c r="L5339" s="25">
        <v>42965.88394675926</v>
      </c>
      <c r="M5339" s="26" t="s">
        <v>394</v>
      </c>
      <c r="N5339" s="28"/>
      <c r="O5339" s="22" t="str">
        <f>HYPERLINK("https://pbs.twimg.com/profile_images/898761559953911809/WA9qhMtc_normal.jpg","View")</f>
        <v>View</v>
      </c>
      <c r="P5339" s="27"/>
    </row>
    <row r="5340">
      <c r="A5340" s="14">
        <v>43031.34206018518</v>
      </c>
      <c r="B5340" s="20" t="str">
        <f>HYPERLINK("https://twitter.com/shrikanthpd","@shrikanthpd")</f>
        <v>@shrikanthpd</v>
      </c>
      <c r="C5340" s="21" t="s">
        <v>12192</v>
      </c>
      <c r="D5340" s="21" t="s">
        <v>42</v>
      </c>
      <c r="E5340" s="22" t="str">
        <f>HYPERLINK("https://twitter.com/shrikanthpd/status/922480876943966208","922480876943966208")</f>
        <v>922480876943966208</v>
      </c>
      <c r="F5340" s="23" t="s">
        <v>39</v>
      </c>
      <c r="G5340" s="24">
        <v>22.0</v>
      </c>
      <c r="H5340" s="24">
        <v>166.0</v>
      </c>
      <c r="I5340" s="24">
        <v>8501.0</v>
      </c>
      <c r="J5340" s="24">
        <v>0.0</v>
      </c>
      <c r="K5340" s="23" t="s">
        <v>34</v>
      </c>
      <c r="L5340" s="25">
        <v>41173.946851851855</v>
      </c>
      <c r="M5340" s="26" t="s">
        <v>204</v>
      </c>
      <c r="N5340" s="26" t="s">
        <v>12193</v>
      </c>
      <c r="O5340" s="22" t="str">
        <f>HYPERLINK("https://pbs.twimg.com/profile_images/920303276930879489/2EdBfOjr_normal.jpg","View")</f>
        <v>View</v>
      </c>
      <c r="P5340" s="27"/>
    </row>
    <row r="5341">
      <c r="A5341" s="14">
        <v>43031.3421412037</v>
      </c>
      <c r="B5341" s="20" t="str">
        <f>HYPERLINK("https://twitter.com/premagarwal1945","@premagarwal1945")</f>
        <v>@premagarwal1945</v>
      </c>
      <c r="C5341" s="21" t="s">
        <v>12194</v>
      </c>
      <c r="D5341" s="21" t="s">
        <v>163</v>
      </c>
      <c r="E5341" s="22" t="str">
        <f>HYPERLINK("https://twitter.com/premagarwal1945/status/922480904605335553","922480904605335553")</f>
        <v>922480904605335553</v>
      </c>
      <c r="F5341" s="23" t="s">
        <v>33</v>
      </c>
      <c r="G5341" s="24">
        <v>224.0</v>
      </c>
      <c r="H5341" s="24">
        <v>191.0</v>
      </c>
      <c r="I5341" s="24">
        <v>1005.0</v>
      </c>
      <c r="J5341" s="24">
        <v>0.0</v>
      </c>
      <c r="K5341" s="23" t="s">
        <v>34</v>
      </c>
      <c r="L5341" s="25">
        <v>42729.34857638889</v>
      </c>
      <c r="M5341" s="28"/>
      <c r="N5341" s="28"/>
      <c r="O5341" s="22" t="str">
        <f>HYPERLINK("https://abs.twimg.com/sticky/default_profile_images/default_profile_normal.png","View")</f>
        <v>View</v>
      </c>
      <c r="P5341" s="27"/>
    </row>
    <row r="5342">
      <c r="A5342" s="14">
        <v>43031.34217592592</v>
      </c>
      <c r="B5342" s="20" t="str">
        <f>HYPERLINK("https://twitter.com/isumitksinha","@isumitksinha")</f>
        <v>@isumitksinha</v>
      </c>
      <c r="C5342" s="21" t="s">
        <v>12195</v>
      </c>
      <c r="D5342" s="21" t="s">
        <v>12196</v>
      </c>
      <c r="E5342" s="22" t="str">
        <f>HYPERLINK("https://twitter.com/isumitksinha/status/922480920367640576","922480920367640576")</f>
        <v>922480920367640576</v>
      </c>
      <c r="F5342" s="23" t="s">
        <v>91</v>
      </c>
      <c r="G5342" s="24">
        <v>821.0</v>
      </c>
      <c r="H5342" s="24">
        <v>110.0</v>
      </c>
      <c r="I5342" s="24">
        <v>0.0</v>
      </c>
      <c r="J5342" s="24">
        <v>0.0</v>
      </c>
      <c r="K5342" s="23" t="s">
        <v>34</v>
      </c>
      <c r="L5342" s="25">
        <v>40211.2578125</v>
      </c>
      <c r="M5342" s="26" t="s">
        <v>914</v>
      </c>
      <c r="N5342" s="26" t="s">
        <v>12197</v>
      </c>
      <c r="O5342" s="22" t="str">
        <f>HYPERLINK("https://pbs.twimg.com/profile_images/662292972654870528/N3kLvWAZ_normal.jpg","View")</f>
        <v>View</v>
      </c>
      <c r="P5342" s="27"/>
    </row>
    <row r="5343">
      <c r="A5343" s="14">
        <v>43031.34236111111</v>
      </c>
      <c r="B5343" s="20" t="str">
        <f>HYPERLINK("https://twitter.com/CSIS","@CSIS")</f>
        <v>@CSIS</v>
      </c>
      <c r="C5343" s="21" t="s">
        <v>12198</v>
      </c>
      <c r="D5343" s="21" t="s">
        <v>12199</v>
      </c>
      <c r="E5343" s="22" t="str">
        <f>HYPERLINK("https://twitter.com/CSIS/status/922480986356457474","922480986356457474")</f>
        <v>922480986356457474</v>
      </c>
      <c r="F5343" s="23" t="s">
        <v>769</v>
      </c>
      <c r="G5343" s="24">
        <v>234459.0</v>
      </c>
      <c r="H5343" s="24">
        <v>93.0</v>
      </c>
      <c r="I5343" s="24">
        <v>9.0</v>
      </c>
      <c r="J5343" s="24">
        <v>11.0</v>
      </c>
      <c r="K5343" s="23" t="s">
        <v>34</v>
      </c>
      <c r="L5343" s="25">
        <v>40627.42355324074</v>
      </c>
      <c r="M5343" s="26" t="s">
        <v>4239</v>
      </c>
      <c r="N5343" s="26" t="s">
        <v>12200</v>
      </c>
      <c r="O5343" s="22" t="str">
        <f>HYPERLINK("https://pbs.twimg.com/profile_images/477147454463176704/CMatM8X8_normal.jpeg","View")</f>
        <v>View</v>
      </c>
      <c r="P5343" s="27"/>
    </row>
    <row r="5344">
      <c r="A5344" s="14">
        <v>43031.342453703706</v>
      </c>
      <c r="B5344" s="20" t="str">
        <f>HYPERLINK("https://twitter.com/UpadhyaBadri","@UpadhyaBadri")</f>
        <v>@UpadhyaBadri</v>
      </c>
      <c r="C5344" s="21" t="s">
        <v>12201</v>
      </c>
      <c r="D5344" s="21" t="s">
        <v>42</v>
      </c>
      <c r="E5344" s="22" t="str">
        <f>HYPERLINK("https://twitter.com/UpadhyaBadri/status/922481019944550400","922481019944550400")</f>
        <v>922481019944550400</v>
      </c>
      <c r="F5344" s="23" t="s">
        <v>33</v>
      </c>
      <c r="G5344" s="24">
        <v>176.0</v>
      </c>
      <c r="H5344" s="24">
        <v>242.0</v>
      </c>
      <c r="I5344" s="24">
        <v>8501.0</v>
      </c>
      <c r="J5344" s="24">
        <v>0.0</v>
      </c>
      <c r="K5344" s="23" t="s">
        <v>34</v>
      </c>
      <c r="L5344" s="25">
        <v>42896.856828703705</v>
      </c>
      <c r="M5344" s="26" t="s">
        <v>12202</v>
      </c>
      <c r="N5344" s="28"/>
      <c r="O5344" s="22" t="str">
        <f>HYPERLINK("https://pbs.twimg.com/profile_images/882565737428156416/OLJF1rYD_normal.jpg","View")</f>
        <v>View</v>
      </c>
      <c r="P5344" s="27"/>
    </row>
    <row r="5345">
      <c r="A5345" s="14">
        <v>43031.342465277776</v>
      </c>
      <c r="B5345" s="20" t="str">
        <f>HYPERLINK("https://twitter.com/TheTruthArtists","@TheTruthArtists")</f>
        <v>@TheTruthArtists</v>
      </c>
      <c r="C5345" s="21" t="s">
        <v>12010</v>
      </c>
      <c r="D5345" s="21" t="s">
        <v>12203</v>
      </c>
      <c r="E5345" s="22" t="str">
        <f>HYPERLINK("https://twitter.com/TheTruthArtists/status/922481024692555780","922481024692555780")</f>
        <v>922481024692555780</v>
      </c>
      <c r="F5345" s="23" t="s">
        <v>48</v>
      </c>
      <c r="G5345" s="24">
        <v>313.0</v>
      </c>
      <c r="H5345" s="24">
        <v>47.0</v>
      </c>
      <c r="I5345" s="24">
        <v>0.0</v>
      </c>
      <c r="J5345" s="24">
        <v>0.0</v>
      </c>
      <c r="K5345" s="23" t="s">
        <v>34</v>
      </c>
      <c r="L5345" s="25">
        <v>41918.55987268519</v>
      </c>
      <c r="M5345" s="26" t="s">
        <v>12012</v>
      </c>
      <c r="N5345" s="26" t="s">
        <v>12013</v>
      </c>
      <c r="O5345" s="22" t="str">
        <f>HYPERLINK("https://pbs.twimg.com/profile_images/616415473828171776/GWoI531q_normal.png","View")</f>
        <v>View</v>
      </c>
      <c r="P5345" s="27"/>
    </row>
    <row r="5346">
      <c r="A5346" s="14">
        <v>43031.34254629629</v>
      </c>
      <c r="B5346" s="20" t="str">
        <f>HYPERLINK("https://twitter.com/CMAAjayRawat","@CMAAjayRawat")</f>
        <v>@CMAAjayRawat</v>
      </c>
      <c r="C5346" s="21" t="s">
        <v>12204</v>
      </c>
      <c r="D5346" s="21" t="s">
        <v>42</v>
      </c>
      <c r="E5346" s="22" t="str">
        <f>HYPERLINK("https://twitter.com/CMAAjayRawat/status/922481053306146817","922481053306146817")</f>
        <v>922481053306146817</v>
      </c>
      <c r="F5346" s="23" t="s">
        <v>39</v>
      </c>
      <c r="G5346" s="24">
        <v>94.0</v>
      </c>
      <c r="H5346" s="24">
        <v>150.0</v>
      </c>
      <c r="I5346" s="24">
        <v>8501.0</v>
      </c>
      <c r="J5346" s="24">
        <v>0.0</v>
      </c>
      <c r="K5346" s="23" t="s">
        <v>34</v>
      </c>
      <c r="L5346" s="25">
        <v>40285.04829861111</v>
      </c>
      <c r="M5346" s="26" t="s">
        <v>575</v>
      </c>
      <c r="N5346" s="26" t="s">
        <v>12205</v>
      </c>
      <c r="O5346" s="22" t="str">
        <f>HYPERLINK("https://pbs.twimg.com/profile_images/904192143803244544/bybWKRO6_normal.jpg","View")</f>
        <v>View</v>
      </c>
      <c r="P5346" s="27"/>
    </row>
    <row r="5347">
      <c r="A5347" s="14">
        <v>43031.342557870375</v>
      </c>
      <c r="B5347" s="20" t="str">
        <f>HYPERLINK("https://twitter.com/DylanHunt2017","@DylanHunt2017")</f>
        <v>@DylanHunt2017</v>
      </c>
      <c r="C5347" s="21" t="s">
        <v>9939</v>
      </c>
      <c r="D5347" s="21" t="s">
        <v>10614</v>
      </c>
      <c r="E5347" s="22" t="str">
        <f>HYPERLINK("https://twitter.com/DylanHunt2017/status/922481056560943104","922481056560943104")</f>
        <v>922481056560943104</v>
      </c>
      <c r="F5347" s="23" t="s">
        <v>33</v>
      </c>
      <c r="G5347" s="24">
        <v>8384.0</v>
      </c>
      <c r="H5347" s="24">
        <v>8790.0</v>
      </c>
      <c r="I5347" s="24">
        <v>159.0</v>
      </c>
      <c r="J5347" s="24">
        <v>0.0</v>
      </c>
      <c r="K5347" s="23" t="s">
        <v>34</v>
      </c>
      <c r="L5347" s="25">
        <v>40263.40834490741</v>
      </c>
      <c r="M5347" s="26" t="s">
        <v>9941</v>
      </c>
      <c r="N5347" s="26" t="s">
        <v>9942</v>
      </c>
      <c r="O5347" s="22" t="str">
        <f>HYPERLINK("https://pbs.twimg.com/profile_images/920698387166629888/P8gG594O_normal.jpg","View")</f>
        <v>View</v>
      </c>
      <c r="P5347" s="27"/>
    </row>
    <row r="5348">
      <c r="A5348" s="14">
        <v>43031.34259259259</v>
      </c>
      <c r="B5348" s="20" t="str">
        <f>HYPERLINK("https://twitter.com/TheTruthArtists","@TheTruthArtists")</f>
        <v>@TheTruthArtists</v>
      </c>
      <c r="C5348" s="21" t="s">
        <v>12010</v>
      </c>
      <c r="D5348" s="21" t="s">
        <v>12206</v>
      </c>
      <c r="E5348" s="22" t="str">
        <f>HYPERLINK("https://twitter.com/TheTruthArtists/status/922481068493754370","922481068493754370")</f>
        <v>922481068493754370</v>
      </c>
      <c r="F5348" s="23" t="s">
        <v>48</v>
      </c>
      <c r="G5348" s="24">
        <v>313.0</v>
      </c>
      <c r="H5348" s="24">
        <v>47.0</v>
      </c>
      <c r="I5348" s="24">
        <v>0.0</v>
      </c>
      <c r="J5348" s="24">
        <v>0.0</v>
      </c>
      <c r="K5348" s="23" t="s">
        <v>34</v>
      </c>
      <c r="L5348" s="25">
        <v>41918.55987268519</v>
      </c>
      <c r="M5348" s="26" t="s">
        <v>12012</v>
      </c>
      <c r="N5348" s="26" t="s">
        <v>12013</v>
      </c>
      <c r="O5348" s="22" t="str">
        <f>HYPERLINK("https://pbs.twimg.com/profile_images/616415473828171776/GWoI531q_normal.png","View")</f>
        <v>View</v>
      </c>
      <c r="P5348" s="27"/>
    </row>
    <row r="5349">
      <c r="A5349" s="14">
        <v>43031.34266203704</v>
      </c>
      <c r="B5349" s="20" t="str">
        <f>HYPERLINK("https://twitter.com/hidesomething","@hidesomething")</f>
        <v>@hidesomething</v>
      </c>
      <c r="C5349" s="21" t="s">
        <v>12207</v>
      </c>
      <c r="D5349" s="21" t="s">
        <v>1642</v>
      </c>
      <c r="E5349" s="22" t="str">
        <f>HYPERLINK("https://twitter.com/hidesomething/status/922481093894316032","922481093894316032")</f>
        <v>922481093894316032</v>
      </c>
      <c r="F5349" s="23" t="s">
        <v>55</v>
      </c>
      <c r="G5349" s="24">
        <v>162.0</v>
      </c>
      <c r="H5349" s="24">
        <v>516.0</v>
      </c>
      <c r="I5349" s="24">
        <v>199.0</v>
      </c>
      <c r="J5349" s="24">
        <v>0.0</v>
      </c>
      <c r="K5349" s="23" t="s">
        <v>34</v>
      </c>
      <c r="L5349" s="25">
        <v>40760.275243055556</v>
      </c>
      <c r="M5349" s="26" t="s">
        <v>12208</v>
      </c>
      <c r="N5349" s="26" t="s">
        <v>12209</v>
      </c>
      <c r="O5349" s="22" t="str">
        <f>HYPERLINK("https://pbs.twimg.com/profile_images/747775194475831297/RmCgcHRj_normal.jpg","View")</f>
        <v>View</v>
      </c>
      <c r="P5349" s="27"/>
    </row>
    <row r="5350">
      <c r="A5350" s="14">
        <v>43031.342685185184</v>
      </c>
      <c r="B5350" s="20" t="str">
        <f>HYPERLINK("https://twitter.com/saisavitri88","@saisavitri88")</f>
        <v>@saisavitri88</v>
      </c>
      <c r="C5350" s="21" t="s">
        <v>12210</v>
      </c>
      <c r="D5350" s="21" t="s">
        <v>42</v>
      </c>
      <c r="E5350" s="22" t="str">
        <f>HYPERLINK("https://twitter.com/saisavitri88/status/922481102526201856","922481102526201856")</f>
        <v>922481102526201856</v>
      </c>
      <c r="F5350" s="23" t="s">
        <v>39</v>
      </c>
      <c r="G5350" s="24">
        <v>12.0</v>
      </c>
      <c r="H5350" s="24">
        <v>33.0</v>
      </c>
      <c r="I5350" s="24">
        <v>8501.0</v>
      </c>
      <c r="J5350" s="24">
        <v>0.0</v>
      </c>
      <c r="K5350" s="23" t="s">
        <v>34</v>
      </c>
      <c r="L5350" s="25">
        <v>42990.81716435185</v>
      </c>
      <c r="M5350" s="28"/>
      <c r="N5350" s="26" t="s">
        <v>12211</v>
      </c>
      <c r="O5350" s="22" t="str">
        <f>HYPERLINK("https://pbs.twimg.com/profile_images/907797727173500928/lXz1ZCk9_normal.jpg","View")</f>
        <v>View</v>
      </c>
      <c r="P5350" s="27"/>
    </row>
    <row r="5351">
      <c r="A5351" s="14">
        <v>43031.34274305556</v>
      </c>
      <c r="B5351" s="20" t="str">
        <f>HYPERLINK("https://twitter.com/lalauraru777","@lalauraru777")</f>
        <v>@lalauraru777</v>
      </c>
      <c r="C5351" s="21" t="s">
        <v>12212</v>
      </c>
      <c r="D5351" s="21" t="s">
        <v>11540</v>
      </c>
      <c r="E5351" s="22" t="str">
        <f>HYPERLINK("https://twitter.com/lalauraru777/status/922481122411450368","922481122411450368")</f>
        <v>922481122411450368</v>
      </c>
      <c r="F5351" s="23" t="s">
        <v>55</v>
      </c>
      <c r="G5351" s="24">
        <v>4324.0</v>
      </c>
      <c r="H5351" s="24">
        <v>4990.0</v>
      </c>
      <c r="I5351" s="24">
        <v>14.0</v>
      </c>
      <c r="J5351" s="24">
        <v>0.0</v>
      </c>
      <c r="K5351" s="23" t="s">
        <v>34</v>
      </c>
      <c r="L5351" s="25">
        <v>41619.802777777775</v>
      </c>
      <c r="M5351" s="28"/>
      <c r="N5351" s="26" t="s">
        <v>12213</v>
      </c>
      <c r="O5351" s="22" t="str">
        <f>HYPERLINK("https://pbs.twimg.com/profile_images/755876074467258368/KAOHKqKc_normal.jpg","View")</f>
        <v>View</v>
      </c>
      <c r="P5351" s="27"/>
    </row>
    <row r="5352">
      <c r="A5352" s="14">
        <v>43031.342777777776</v>
      </c>
      <c r="B5352" s="20" t="str">
        <f>HYPERLINK("https://twitter.com/dushyantchopra2","@dushyantchopra2")</f>
        <v>@dushyantchopra2</v>
      </c>
      <c r="C5352" s="21" t="s">
        <v>12214</v>
      </c>
      <c r="D5352" s="21" t="s">
        <v>42</v>
      </c>
      <c r="E5352" s="22" t="str">
        <f>HYPERLINK("https://twitter.com/dushyantchopra2/status/922481138723147779","922481138723147779")</f>
        <v>922481138723147779</v>
      </c>
      <c r="F5352" s="23" t="s">
        <v>33</v>
      </c>
      <c r="G5352" s="24">
        <v>646.0</v>
      </c>
      <c r="H5352" s="24">
        <v>660.0</v>
      </c>
      <c r="I5352" s="24">
        <v>8501.0</v>
      </c>
      <c r="J5352" s="24">
        <v>0.0</v>
      </c>
      <c r="K5352" s="23" t="s">
        <v>34</v>
      </c>
      <c r="L5352" s="25">
        <v>41479.193773148145</v>
      </c>
      <c r="M5352" s="26" t="s">
        <v>164</v>
      </c>
      <c r="N5352" s="26" t="s">
        <v>12215</v>
      </c>
      <c r="O5352" s="22" t="str">
        <f>HYPERLINK("https://pbs.twimg.com/profile_images/892391046134591492/4W673W6O_normal.jpg","View")</f>
        <v>View</v>
      </c>
      <c r="P5352" s="27"/>
    </row>
    <row r="5353">
      <c r="A5353" s="14">
        <v>43031.34280092592</v>
      </c>
      <c r="B5353" s="20" t="str">
        <f>HYPERLINK("https://twitter.com/bolger2008","@bolger2008")</f>
        <v>@bolger2008</v>
      </c>
      <c r="C5353" s="21" t="s">
        <v>5308</v>
      </c>
      <c r="D5353" s="21" t="s">
        <v>11540</v>
      </c>
      <c r="E5353" s="22" t="str">
        <f>HYPERLINK("https://twitter.com/bolger2008/status/922481144666509312","922481144666509312")</f>
        <v>922481144666509312</v>
      </c>
      <c r="F5353" s="23" t="s">
        <v>39</v>
      </c>
      <c r="G5353" s="24">
        <v>126.0</v>
      </c>
      <c r="H5353" s="24">
        <v>732.0</v>
      </c>
      <c r="I5353" s="24">
        <v>14.0</v>
      </c>
      <c r="J5353" s="24">
        <v>0.0</v>
      </c>
      <c r="K5353" s="23" t="s">
        <v>34</v>
      </c>
      <c r="L5353" s="25">
        <v>39537.43609953704</v>
      </c>
      <c r="M5353" s="26" t="s">
        <v>4239</v>
      </c>
      <c r="N5353" s="26" t="s">
        <v>5310</v>
      </c>
      <c r="O5353" s="22" t="str">
        <f>HYPERLINK("https://pbs.twimg.com/profile_images/3601576031/ceec98fd9eec97edb958d420b1000480_normal.jpeg","View")</f>
        <v>View</v>
      </c>
      <c r="P5353" s="27"/>
    </row>
    <row r="5354">
      <c r="A5354" s="14">
        <v>43031.342881944445</v>
      </c>
      <c r="B5354" s="20" t="str">
        <f>HYPERLINK("https://twitter.com/KiranAhir83","@KiranAhir83")</f>
        <v>@KiranAhir83</v>
      </c>
      <c r="C5354" s="21" t="s">
        <v>12216</v>
      </c>
      <c r="D5354" s="21" t="s">
        <v>42</v>
      </c>
      <c r="E5354" s="22" t="str">
        <f>HYPERLINK("https://twitter.com/KiranAhir83/status/922481172470304768","922481172470304768")</f>
        <v>922481172470304768</v>
      </c>
      <c r="F5354" s="23" t="s">
        <v>33</v>
      </c>
      <c r="G5354" s="24">
        <v>1045.0</v>
      </c>
      <c r="H5354" s="24">
        <v>4853.0</v>
      </c>
      <c r="I5354" s="24">
        <v>8501.0</v>
      </c>
      <c r="J5354" s="24">
        <v>0.0</v>
      </c>
      <c r="K5354" s="23" t="s">
        <v>34</v>
      </c>
      <c r="L5354" s="25">
        <v>42976.390798611115</v>
      </c>
      <c r="M5354" s="26" t="s">
        <v>1354</v>
      </c>
      <c r="N5354" s="28"/>
      <c r="O5354" s="22" t="str">
        <f>HYPERLINK("https://pbs.twimg.com/profile_images/908011375523270657/PDEC1XaE_normal.jpg","View")</f>
        <v>View</v>
      </c>
      <c r="P5354" s="27"/>
    </row>
    <row r="5355">
      <c r="A5355" s="14">
        <v>43031.34289351852</v>
      </c>
      <c r="B5355" s="20" t="str">
        <f>HYPERLINK("https://twitter.com/TheJaggi","@TheJaggi")</f>
        <v>@TheJaggi</v>
      </c>
      <c r="C5355" s="21" t="s">
        <v>12217</v>
      </c>
      <c r="D5355" s="21" t="s">
        <v>163</v>
      </c>
      <c r="E5355" s="22" t="str">
        <f>HYPERLINK("https://twitter.com/TheJaggi/status/922481178866630656","922481178866630656")</f>
        <v>922481178866630656</v>
      </c>
      <c r="F5355" s="23" t="s">
        <v>33</v>
      </c>
      <c r="G5355" s="24">
        <v>115970.0</v>
      </c>
      <c r="H5355" s="24">
        <v>347.0</v>
      </c>
      <c r="I5355" s="24">
        <v>1005.0</v>
      </c>
      <c r="J5355" s="24">
        <v>0.0</v>
      </c>
      <c r="K5355" s="23" t="s">
        <v>34</v>
      </c>
      <c r="L5355" s="25">
        <v>40312.160266203704</v>
      </c>
      <c r="M5355" s="26" t="s">
        <v>207</v>
      </c>
      <c r="N5355" s="26" t="s">
        <v>12218</v>
      </c>
      <c r="O5355" s="22" t="str">
        <f>HYPERLINK("https://pbs.twimg.com/profile_images/435760729921052672/o6z1YeQF_normal.jpeg","View")</f>
        <v>View</v>
      </c>
      <c r="P5355" s="27"/>
    </row>
    <row r="5356">
      <c r="A5356" s="14">
        <v>43031.342928240745</v>
      </c>
      <c r="B5356" s="20" t="str">
        <f>HYPERLINK("https://twitter.com/luckythakur0099","@luckythakur0099")</f>
        <v>@luckythakur0099</v>
      </c>
      <c r="C5356" s="21" t="s">
        <v>12219</v>
      </c>
      <c r="D5356" s="21" t="s">
        <v>42</v>
      </c>
      <c r="E5356" s="22" t="str">
        <f>HYPERLINK("https://twitter.com/luckythakur0099/status/922481189671202817","922481189671202817")</f>
        <v>922481189671202817</v>
      </c>
      <c r="F5356" s="23" t="s">
        <v>33</v>
      </c>
      <c r="G5356" s="24">
        <v>231.0</v>
      </c>
      <c r="H5356" s="24">
        <v>242.0</v>
      </c>
      <c r="I5356" s="24">
        <v>8501.0</v>
      </c>
      <c r="J5356" s="24">
        <v>0.0</v>
      </c>
      <c r="K5356" s="23" t="s">
        <v>34</v>
      </c>
      <c r="L5356" s="25">
        <v>40342.02150462963</v>
      </c>
      <c r="M5356" s="26" t="s">
        <v>3136</v>
      </c>
      <c r="N5356" s="26" t="s">
        <v>12220</v>
      </c>
      <c r="O5356" s="22" t="str">
        <f>HYPERLINK("https://pbs.twimg.com/profile_images/922885995497799680/oiOKTEfn_normal.jpg","View")</f>
        <v>View</v>
      </c>
      <c r="P5356" s="27"/>
    </row>
    <row r="5357">
      <c r="A5357" s="14">
        <v>43031.34302083333</v>
      </c>
      <c r="B5357" s="20" t="str">
        <f>HYPERLINK("https://twitter.com/neeleshjadhav","@neeleshjadhav")</f>
        <v>@neeleshjadhav</v>
      </c>
      <c r="C5357" s="21" t="s">
        <v>11921</v>
      </c>
      <c r="D5357" s="21" t="s">
        <v>163</v>
      </c>
      <c r="E5357" s="22" t="str">
        <f>HYPERLINK("https://twitter.com/neeleshjadhav/status/922481225851289601","922481225851289601")</f>
        <v>922481225851289601</v>
      </c>
      <c r="F5357" s="23" t="s">
        <v>33</v>
      </c>
      <c r="G5357" s="24">
        <v>34.0</v>
      </c>
      <c r="H5357" s="24">
        <v>142.0</v>
      </c>
      <c r="I5357" s="24">
        <v>1005.0</v>
      </c>
      <c r="J5357" s="24">
        <v>0.0</v>
      </c>
      <c r="K5357" s="23" t="s">
        <v>34</v>
      </c>
      <c r="L5357" s="25">
        <v>40303.37832175926</v>
      </c>
      <c r="M5357" s="26" t="s">
        <v>1224</v>
      </c>
      <c r="N5357" s="28"/>
      <c r="O5357" s="22" t="str">
        <f>HYPERLINK("https://pbs.twimg.com/profile_images/669448144514621440/vsxz1zxM_normal.jpg","View")</f>
        <v>View</v>
      </c>
      <c r="P5357" s="27"/>
    </row>
    <row r="5358">
      <c r="A5358" s="14">
        <v>43031.343043981484</v>
      </c>
      <c r="B5358" s="20" t="str">
        <f>HYPERLINK("https://twitter.com/ashok992","@ashok992")</f>
        <v>@ashok992</v>
      </c>
      <c r="C5358" s="21" t="s">
        <v>12221</v>
      </c>
      <c r="D5358" s="21" t="s">
        <v>42</v>
      </c>
      <c r="E5358" s="22" t="str">
        <f>HYPERLINK("https://twitter.com/ashok992/status/922481233648533504","922481233648533504")</f>
        <v>922481233648533504</v>
      </c>
      <c r="F5358" s="23" t="s">
        <v>33</v>
      </c>
      <c r="G5358" s="24">
        <v>288.0</v>
      </c>
      <c r="H5358" s="24">
        <v>50.0</v>
      </c>
      <c r="I5358" s="24">
        <v>8501.0</v>
      </c>
      <c r="J5358" s="24">
        <v>0.0</v>
      </c>
      <c r="K5358" s="23" t="s">
        <v>34</v>
      </c>
      <c r="L5358" s="25">
        <v>41917.13068287037</v>
      </c>
      <c r="M5358" s="26" t="s">
        <v>12222</v>
      </c>
      <c r="N5358" s="26" t="s">
        <v>12223</v>
      </c>
      <c r="O5358" s="22" t="str">
        <f>HYPERLINK("https://pbs.twimg.com/profile_images/922696080235442176/i1SrYFfb_normal.jpg","View")</f>
        <v>View</v>
      </c>
      <c r="P5358" s="27"/>
    </row>
    <row r="5359">
      <c r="A5359" s="14">
        <v>43031.34306712963</v>
      </c>
      <c r="B5359" s="20" t="str">
        <f>HYPERLINK("https://twitter.com/vishalsijua1","@vishalsijua1")</f>
        <v>@vishalsijua1</v>
      </c>
      <c r="C5359" s="21" t="s">
        <v>12224</v>
      </c>
      <c r="D5359" s="21" t="s">
        <v>42</v>
      </c>
      <c r="E5359" s="22" t="str">
        <f>HYPERLINK("https://twitter.com/vishalsijua1/status/922481239499587585","922481239499587585")</f>
        <v>922481239499587585</v>
      </c>
      <c r="F5359" s="23" t="s">
        <v>33</v>
      </c>
      <c r="G5359" s="24">
        <v>11.0</v>
      </c>
      <c r="H5359" s="24">
        <v>54.0</v>
      </c>
      <c r="I5359" s="24">
        <v>8501.0</v>
      </c>
      <c r="J5359" s="24">
        <v>0.0</v>
      </c>
      <c r="K5359" s="23" t="s">
        <v>34</v>
      </c>
      <c r="L5359" s="25">
        <v>41060.86488425926</v>
      </c>
      <c r="M5359" s="26" t="s">
        <v>12225</v>
      </c>
      <c r="N5359" s="28"/>
      <c r="O5359" s="22" t="str">
        <f>HYPERLINK("https://pbs.twimg.com/profile_images/912696293599801344/66IkYLCw_normal.jpg","View")</f>
        <v>View</v>
      </c>
      <c r="P5359" s="27"/>
    </row>
    <row r="5360">
      <c r="A5360" s="14">
        <v>43031.34306712963</v>
      </c>
      <c r="B5360" s="20" t="str">
        <f>HYPERLINK("https://twitter.com/CityAM","@CityAM")</f>
        <v>@CityAM</v>
      </c>
      <c r="C5360" s="21" t="s">
        <v>12226</v>
      </c>
      <c r="D5360" s="21" t="s">
        <v>12227</v>
      </c>
      <c r="E5360" s="22" t="str">
        <f>HYPERLINK("https://twitter.com/CityAM/status/922481239864438785","922481239864438785")</f>
        <v>922481239864438785</v>
      </c>
      <c r="F5360" s="23" t="s">
        <v>769</v>
      </c>
      <c r="G5360" s="24">
        <v>49569.0</v>
      </c>
      <c r="H5360" s="24">
        <v>429.0</v>
      </c>
      <c r="I5360" s="24">
        <v>1.0</v>
      </c>
      <c r="J5360" s="24">
        <v>1.0</v>
      </c>
      <c r="K5360" s="23" t="s">
        <v>34</v>
      </c>
      <c r="L5360" s="25">
        <v>39973.286875</v>
      </c>
      <c r="M5360" s="26" t="s">
        <v>40</v>
      </c>
      <c r="N5360" s="26" t="s">
        <v>12228</v>
      </c>
      <c r="O5360" s="22" t="str">
        <f>HYPERLINK("https://pbs.twimg.com/profile_images/882244135255764993/imaO0-Wi_normal.jpg","View")</f>
        <v>View</v>
      </c>
      <c r="P5360" s="27"/>
    </row>
    <row r="5361">
      <c r="A5361" s="14">
        <v>43031.34313657407</v>
      </c>
      <c r="B5361" s="20" t="str">
        <f>HYPERLINK("https://twitter.com/DonJohnstonLC","@DonJohnstonLC")</f>
        <v>@DonJohnstonLC</v>
      </c>
      <c r="C5361" s="21" t="s">
        <v>12229</v>
      </c>
      <c r="D5361" s="21" t="s">
        <v>12230</v>
      </c>
      <c r="E5361" s="22" t="str">
        <f>HYPERLINK("https://twitter.com/DonJohnstonLC/status/922481268507512832","922481268507512832")</f>
        <v>922481268507512832</v>
      </c>
      <c r="F5361" s="23" t="s">
        <v>187</v>
      </c>
      <c r="G5361" s="24">
        <v>2843.0</v>
      </c>
      <c r="H5361" s="24">
        <v>782.0</v>
      </c>
      <c r="I5361" s="24">
        <v>0.0</v>
      </c>
      <c r="J5361" s="24">
        <v>0.0</v>
      </c>
      <c r="K5361" s="23" t="s">
        <v>34</v>
      </c>
      <c r="L5361" s="25">
        <v>42518.63056712963</v>
      </c>
      <c r="M5361" s="26" t="s">
        <v>2534</v>
      </c>
      <c r="N5361" s="26" t="s">
        <v>12231</v>
      </c>
      <c r="O5361" s="22" t="str">
        <f>HYPERLINK("https://pbs.twimg.com/profile_images/899843960767643648/x30pTAZ9_normal.jpg","View")</f>
        <v>View</v>
      </c>
      <c r="P5361" s="27"/>
    </row>
    <row r="5362">
      <c r="A5362" s="14">
        <v>43031.34317129629</v>
      </c>
      <c r="B5362" s="20" t="str">
        <f>HYPERLINK("https://twitter.com/TheRenouncer","@TheRenouncer")</f>
        <v>@TheRenouncer</v>
      </c>
      <c r="C5362" s="21" t="s">
        <v>12232</v>
      </c>
      <c r="D5362" s="21" t="s">
        <v>42</v>
      </c>
      <c r="E5362" s="22" t="str">
        <f>HYPERLINK("https://twitter.com/TheRenouncer/status/922481277957214210","922481277957214210")</f>
        <v>922481277957214210</v>
      </c>
      <c r="F5362" s="23" t="s">
        <v>33</v>
      </c>
      <c r="G5362" s="24">
        <v>12173.0</v>
      </c>
      <c r="H5362" s="24">
        <v>1494.0</v>
      </c>
      <c r="I5362" s="24">
        <v>8501.0</v>
      </c>
      <c r="J5362" s="24">
        <v>0.0</v>
      </c>
      <c r="K5362" s="23" t="s">
        <v>34</v>
      </c>
      <c r="L5362" s="25">
        <v>40772.19820601852</v>
      </c>
      <c r="M5362" s="26" t="s">
        <v>7919</v>
      </c>
      <c r="N5362" s="26" t="s">
        <v>12233</v>
      </c>
      <c r="O5362" s="22" t="str">
        <f>HYPERLINK("https://pbs.twimg.com/profile_images/915098134509998080/98GwCo5A_normal.jpg","View")</f>
        <v>View</v>
      </c>
      <c r="P5362" s="27"/>
    </row>
    <row r="5363">
      <c r="A5363" s="14">
        <v>43031.343194444446</v>
      </c>
      <c r="B5363" s="20" t="str">
        <f>HYPERLINK("https://twitter.com/yinhew1","@yinhew1")</f>
        <v>@yinhew1</v>
      </c>
      <c r="C5363" s="21" t="s">
        <v>12234</v>
      </c>
      <c r="D5363" s="21" t="s">
        <v>12235</v>
      </c>
      <c r="E5363" s="22" t="str">
        <f>HYPERLINK("https://twitter.com/yinhew1/status/922481287683854336","922481287683854336")</f>
        <v>922481287683854336</v>
      </c>
      <c r="F5363" s="23" t="s">
        <v>55</v>
      </c>
      <c r="G5363" s="24">
        <v>560.0</v>
      </c>
      <c r="H5363" s="24">
        <v>472.0</v>
      </c>
      <c r="I5363" s="24">
        <v>0.0</v>
      </c>
      <c r="J5363" s="24">
        <v>0.0</v>
      </c>
      <c r="K5363" s="23" t="s">
        <v>34</v>
      </c>
      <c r="L5363" s="25">
        <v>41304.79803240741</v>
      </c>
      <c r="M5363" s="26" t="s">
        <v>4480</v>
      </c>
      <c r="N5363" s="26" t="s">
        <v>12236</v>
      </c>
      <c r="O5363" s="22" t="str">
        <f>HYPERLINK("https://pbs.twimg.com/profile_images/519511366214750209/MwTy-8mz_normal.jpeg","View")</f>
        <v>View</v>
      </c>
      <c r="P5363" s="27"/>
    </row>
    <row r="5364">
      <c r="A5364" s="14">
        <v>43031.34326388889</v>
      </c>
      <c r="B5364" s="20" t="str">
        <f>HYPERLINK("https://twitter.com/TheUrbanNewz","@TheUrbanNewz")</f>
        <v>@TheUrbanNewz</v>
      </c>
      <c r="C5364" s="21" t="s">
        <v>12237</v>
      </c>
      <c r="D5364" s="21" t="s">
        <v>12238</v>
      </c>
      <c r="E5364" s="22" t="str">
        <f>HYPERLINK("https://twitter.com/TheUrbanNewz/status/922481311528361985","922481311528361985")</f>
        <v>922481311528361985</v>
      </c>
      <c r="F5364" s="30" t="s">
        <v>411</v>
      </c>
      <c r="G5364" s="24">
        <v>445.0</v>
      </c>
      <c r="H5364" s="24">
        <v>251.0</v>
      </c>
      <c r="I5364" s="24">
        <v>0.0</v>
      </c>
      <c r="J5364" s="24">
        <v>0.0</v>
      </c>
      <c r="K5364" s="23" t="s">
        <v>34</v>
      </c>
      <c r="L5364" s="25">
        <v>42453.784212962964</v>
      </c>
      <c r="M5364" s="26" t="s">
        <v>6320</v>
      </c>
      <c r="N5364" s="26" t="s">
        <v>12239</v>
      </c>
      <c r="O5364" s="22" t="str">
        <f>HYPERLINK("https://pbs.twimg.com/profile_images/800960956184612865/G93myvRL_normal.jpg","View")</f>
        <v>View</v>
      </c>
      <c r="P5364" s="27"/>
    </row>
    <row r="5365">
      <c r="A5365" s="14">
        <v>43031.34327546296</v>
      </c>
      <c r="B5365" s="20" t="str">
        <f>HYPERLINK("https://twitter.com/tokeyneale","@tokeyneale")</f>
        <v>@tokeyneale</v>
      </c>
      <c r="C5365" s="21" t="s">
        <v>12240</v>
      </c>
      <c r="D5365" s="21" t="s">
        <v>12241</v>
      </c>
      <c r="E5365" s="22" t="str">
        <f>HYPERLINK("https://twitter.com/tokeyneale/status/922481316112752641","922481316112752641")</f>
        <v>922481316112752641</v>
      </c>
      <c r="F5365" s="23" t="s">
        <v>536</v>
      </c>
      <c r="G5365" s="24">
        <v>2935.0</v>
      </c>
      <c r="H5365" s="24">
        <v>1045.0</v>
      </c>
      <c r="I5365" s="24">
        <v>9.0</v>
      </c>
      <c r="J5365" s="24">
        <v>0.0</v>
      </c>
      <c r="K5365" s="23" t="s">
        <v>34</v>
      </c>
      <c r="L5365" s="25">
        <v>40195.11246527778</v>
      </c>
      <c r="M5365" s="26" t="s">
        <v>12242</v>
      </c>
      <c r="N5365" s="26" t="s">
        <v>12243</v>
      </c>
      <c r="O5365" s="22" t="str">
        <f>HYPERLINK("https://pbs.twimg.com/profile_images/1083675039/19296967_1437038289_normal.jpg","View")</f>
        <v>View</v>
      </c>
      <c r="P5365" s="27"/>
    </row>
    <row r="5366">
      <c r="A5366" s="14">
        <v>43031.34344907408</v>
      </c>
      <c r="B5366" s="20" t="str">
        <f>HYPERLINK("https://twitter.com/channelstv","@channelstv")</f>
        <v>@channelstv</v>
      </c>
      <c r="C5366" s="21" t="s">
        <v>12244</v>
      </c>
      <c r="D5366" s="21" t="s">
        <v>12245</v>
      </c>
      <c r="E5366" s="22" t="str">
        <f>HYPERLINK("https://twitter.com/channelstv/status/922481379174174722","922481379174174722")</f>
        <v>922481379174174722</v>
      </c>
      <c r="F5366" s="23" t="s">
        <v>12246</v>
      </c>
      <c r="G5366" s="24">
        <v>2674247.0</v>
      </c>
      <c r="H5366" s="24">
        <v>155.0</v>
      </c>
      <c r="I5366" s="24">
        <v>5.0</v>
      </c>
      <c r="J5366" s="24">
        <v>11.0</v>
      </c>
      <c r="K5366" s="23" t="s">
        <v>34</v>
      </c>
      <c r="L5366" s="25">
        <v>40259.31192129629</v>
      </c>
      <c r="M5366" s="26" t="s">
        <v>4424</v>
      </c>
      <c r="N5366" s="26" t="s">
        <v>12247</v>
      </c>
      <c r="O5366" s="22" t="str">
        <f>HYPERLINK("https://pbs.twimg.com/profile_images/822745502731083776/mWsrI-b-_normal.jpg","View")</f>
        <v>View</v>
      </c>
      <c r="P5366" s="27"/>
    </row>
    <row r="5367">
      <c r="A5367" s="14">
        <v>43031.34344907408</v>
      </c>
      <c r="B5367" s="20" t="str">
        <f>HYPERLINK("https://twitter.com/almond3131","@almond3131")</f>
        <v>@almond3131</v>
      </c>
      <c r="C5367" s="21" t="s">
        <v>8578</v>
      </c>
      <c r="D5367" s="21" t="s">
        <v>12248</v>
      </c>
      <c r="E5367" s="22" t="str">
        <f>HYPERLINK("https://twitter.com/almond3131/status/922481381816467456","922481381816467456")</f>
        <v>922481381816467456</v>
      </c>
      <c r="F5367" s="23" t="s">
        <v>39</v>
      </c>
      <c r="G5367" s="24">
        <v>5375.0</v>
      </c>
      <c r="H5367" s="24">
        <v>2154.0</v>
      </c>
      <c r="I5367" s="24">
        <v>25.0</v>
      </c>
      <c r="J5367" s="24">
        <v>0.0</v>
      </c>
      <c r="K5367" s="23" t="s">
        <v>34</v>
      </c>
      <c r="L5367" s="25">
        <v>41549.06254629629</v>
      </c>
      <c r="M5367" s="28"/>
      <c r="N5367" s="28"/>
      <c r="O5367" s="22" t="str">
        <f>HYPERLINK("https://pbs.twimg.com/profile_images/582543275900321792/IShps4O7_normal.jpg","View")</f>
        <v>View</v>
      </c>
      <c r="P5367" s="27"/>
    </row>
    <row r="5368">
      <c r="A5368" s="14">
        <v>43031.34354166666</v>
      </c>
      <c r="B5368" s="20" t="str">
        <f>HYPERLINK("https://twitter.com/stelly_alice","@stelly_alice")</f>
        <v>@stelly_alice</v>
      </c>
      <c r="C5368" s="21" t="s">
        <v>12249</v>
      </c>
      <c r="D5368" s="21" t="s">
        <v>12250</v>
      </c>
      <c r="E5368" s="22" t="str">
        <f>HYPERLINK("https://twitter.com/stelly_alice/status/922481412913147905","922481412913147905")</f>
        <v>922481412913147905</v>
      </c>
      <c r="F5368" s="23" t="s">
        <v>39</v>
      </c>
      <c r="G5368" s="24">
        <v>528.0</v>
      </c>
      <c r="H5368" s="24">
        <v>852.0</v>
      </c>
      <c r="I5368" s="24">
        <v>3.0</v>
      </c>
      <c r="J5368" s="24">
        <v>0.0</v>
      </c>
      <c r="K5368" s="23" t="s">
        <v>34</v>
      </c>
      <c r="L5368" s="25">
        <v>42655.48704861111</v>
      </c>
      <c r="M5368" s="28"/>
      <c r="N5368" s="26" t="s">
        <v>12251</v>
      </c>
      <c r="O5368" s="22" t="str">
        <f>HYPERLINK("https://pbs.twimg.com/profile_images/853303060411666432/RS1WaXUW_normal.jpg","View")</f>
        <v>View</v>
      </c>
      <c r="P5368" s="27"/>
    </row>
    <row r="5369">
      <c r="A5369" s="14">
        <v>43031.34359953704</v>
      </c>
      <c r="B5369" s="20" t="str">
        <f>HYPERLINK("https://twitter.com/OsuoNyakwar","@OsuoNyakwar")</f>
        <v>@OsuoNyakwar</v>
      </c>
      <c r="C5369" s="21" t="s">
        <v>6207</v>
      </c>
      <c r="D5369" s="21" t="s">
        <v>32</v>
      </c>
      <c r="E5369" s="22" t="str">
        <f>HYPERLINK("https://twitter.com/OsuoNyakwar/status/922481434383863809","922481434383863809")</f>
        <v>922481434383863809</v>
      </c>
      <c r="F5369" s="23" t="s">
        <v>33</v>
      </c>
      <c r="G5369" s="24">
        <v>61.0</v>
      </c>
      <c r="H5369" s="24">
        <v>482.0</v>
      </c>
      <c r="I5369" s="24">
        <v>471.0</v>
      </c>
      <c r="J5369" s="24">
        <v>0.0</v>
      </c>
      <c r="K5369" s="23" t="s">
        <v>34</v>
      </c>
      <c r="L5369" s="25">
        <v>42985.334699074076</v>
      </c>
      <c r="M5369" s="28"/>
      <c r="N5369" s="28"/>
      <c r="O5369" s="22" t="str">
        <f>HYPERLINK("https://abs.twimg.com/sticky/default_profile_images/default_profile_normal.png","View")</f>
        <v>View</v>
      </c>
      <c r="P5369" s="27"/>
    </row>
    <row r="5370">
      <c r="A5370" s="14">
        <v>43031.34359953704</v>
      </c>
      <c r="B5370" s="20" t="str">
        <f>HYPERLINK("https://twitter.com/manojthaker33","@manojthaker33")</f>
        <v>@manojthaker33</v>
      </c>
      <c r="C5370" s="21" t="s">
        <v>12252</v>
      </c>
      <c r="D5370" s="21" t="s">
        <v>12253</v>
      </c>
      <c r="E5370" s="22" t="str">
        <f>HYPERLINK("https://twitter.com/manojthaker33/status/922481434501136384","922481434501136384")</f>
        <v>922481434501136384</v>
      </c>
      <c r="F5370" s="23" t="s">
        <v>55</v>
      </c>
      <c r="G5370" s="24">
        <v>179.0</v>
      </c>
      <c r="H5370" s="24">
        <v>413.0</v>
      </c>
      <c r="I5370" s="24">
        <v>0.0</v>
      </c>
      <c r="J5370" s="24">
        <v>2.0</v>
      </c>
      <c r="K5370" s="23" t="s">
        <v>34</v>
      </c>
      <c r="L5370" s="25">
        <v>40760.527349537035</v>
      </c>
      <c r="M5370" s="26" t="s">
        <v>11446</v>
      </c>
      <c r="N5370" s="26" t="s">
        <v>12254</v>
      </c>
      <c r="O5370" s="22" t="str">
        <f>HYPERLINK("https://pbs.twimg.com/profile_images/671761857410170880/NPVoPIFN_normal.jpg","View")</f>
        <v>View</v>
      </c>
      <c r="P5370" s="27"/>
    </row>
    <row r="5371">
      <c r="A5371" s="14">
        <v>43031.343680555554</v>
      </c>
      <c r="B5371" s="20" t="str">
        <f>HYPERLINK("https://twitter.com/monkeychar","@monkeychar")</f>
        <v>@monkeychar</v>
      </c>
      <c r="C5371" s="21" t="s">
        <v>12255</v>
      </c>
      <c r="D5371" s="21" t="s">
        <v>12256</v>
      </c>
      <c r="E5371" s="22" t="str">
        <f>HYPERLINK("https://twitter.com/monkeychar/status/922481463823437824","922481463823437824")</f>
        <v>922481463823437824</v>
      </c>
      <c r="F5371" s="23" t="s">
        <v>55</v>
      </c>
      <c r="G5371" s="24">
        <v>85.0</v>
      </c>
      <c r="H5371" s="24">
        <v>75.0</v>
      </c>
      <c r="I5371" s="24">
        <v>0.0</v>
      </c>
      <c r="J5371" s="24">
        <v>0.0</v>
      </c>
      <c r="K5371" s="23" t="s">
        <v>34</v>
      </c>
      <c r="L5371" s="25">
        <v>40198.2452199074</v>
      </c>
      <c r="M5371" s="26" t="s">
        <v>5401</v>
      </c>
      <c r="N5371" s="26" t="s">
        <v>12257</v>
      </c>
      <c r="O5371" s="22" t="str">
        <f>HYPERLINK("https://pbs.twimg.com/profile_images/877972915253280771/uzEJi4Xp_normal.jpg","View")</f>
        <v>View</v>
      </c>
      <c r="P5371" s="27"/>
    </row>
    <row r="5372">
      <c r="A5372" s="14">
        <v>43031.34375</v>
      </c>
      <c r="B5372" s="20" t="str">
        <f>HYPERLINK("https://twitter.com/nk_satyam6","@nk_satyam6")</f>
        <v>@nk_satyam6</v>
      </c>
      <c r="C5372" s="21" t="s">
        <v>12258</v>
      </c>
      <c r="D5372" s="21" t="s">
        <v>42</v>
      </c>
      <c r="E5372" s="22" t="str">
        <f>HYPERLINK("https://twitter.com/nk_satyam6/status/922481489681440769","922481489681440769")</f>
        <v>922481489681440769</v>
      </c>
      <c r="F5372" s="23" t="s">
        <v>33</v>
      </c>
      <c r="G5372" s="24">
        <v>5694.0</v>
      </c>
      <c r="H5372" s="24">
        <v>793.0</v>
      </c>
      <c r="I5372" s="24">
        <v>8501.0</v>
      </c>
      <c r="J5372" s="24">
        <v>0.0</v>
      </c>
      <c r="K5372" s="23" t="s">
        <v>34</v>
      </c>
      <c r="L5372" s="25">
        <v>41781.2653587963</v>
      </c>
      <c r="M5372" s="26" t="s">
        <v>4605</v>
      </c>
      <c r="N5372" s="26" t="s">
        <v>12259</v>
      </c>
      <c r="O5372" s="22" t="str">
        <f>HYPERLINK("https://pbs.twimg.com/profile_images/576424717663363073/IxpyIph7_normal.jpeg","View")</f>
        <v>View</v>
      </c>
      <c r="P5372" s="27"/>
    </row>
    <row r="5373">
      <c r="A5373" s="14">
        <v>43031.34384259259</v>
      </c>
      <c r="B5373" s="20" t="str">
        <f>HYPERLINK("https://twitter.com/lewayusuf","@lewayusuf")</f>
        <v>@lewayusuf</v>
      </c>
      <c r="C5373" s="21" t="s">
        <v>12260</v>
      </c>
      <c r="D5373" s="21" t="s">
        <v>12261</v>
      </c>
      <c r="E5373" s="22" t="str">
        <f>HYPERLINK("https://twitter.com/lewayusuf/status/922481520807464960","922481520807464960")</f>
        <v>922481520807464960</v>
      </c>
      <c r="F5373" s="23" t="s">
        <v>33</v>
      </c>
      <c r="G5373" s="24">
        <v>388.0</v>
      </c>
      <c r="H5373" s="24">
        <v>446.0</v>
      </c>
      <c r="I5373" s="24">
        <v>5.0</v>
      </c>
      <c r="J5373" s="24">
        <v>0.0</v>
      </c>
      <c r="K5373" s="23" t="s">
        <v>34</v>
      </c>
      <c r="L5373" s="25">
        <v>40780.21664351852</v>
      </c>
      <c r="M5373" s="26" t="s">
        <v>12262</v>
      </c>
      <c r="N5373" s="28"/>
      <c r="O5373" s="22" t="str">
        <f>HYPERLINK("https://pbs.twimg.com/profile_images/753153925390405632/X6Iu7VAp_normal.jpg","View")</f>
        <v>View</v>
      </c>
      <c r="P5373" s="27"/>
    </row>
    <row r="5374">
      <c r="A5374" s="14">
        <v>43031.34384259259</v>
      </c>
      <c r="B5374" s="20" t="str">
        <f>HYPERLINK("https://twitter.com/hinu_patel_","@hinu_patel_")</f>
        <v>@hinu_patel_</v>
      </c>
      <c r="C5374" s="21" t="s">
        <v>12263</v>
      </c>
      <c r="D5374" s="21" t="s">
        <v>42</v>
      </c>
      <c r="E5374" s="22" t="str">
        <f>HYPERLINK("https://twitter.com/hinu_patel_/status/922481522535366656","922481522535366656")</f>
        <v>922481522535366656</v>
      </c>
      <c r="F5374" s="23" t="s">
        <v>33</v>
      </c>
      <c r="G5374" s="24">
        <v>329.0</v>
      </c>
      <c r="H5374" s="24">
        <v>61.0</v>
      </c>
      <c r="I5374" s="24">
        <v>8501.0</v>
      </c>
      <c r="J5374" s="24">
        <v>0.0</v>
      </c>
      <c r="K5374" s="23" t="s">
        <v>34</v>
      </c>
      <c r="L5374" s="25">
        <v>42476.08877314815</v>
      </c>
      <c r="M5374" s="26" t="s">
        <v>204</v>
      </c>
      <c r="N5374" s="26" t="s">
        <v>12264</v>
      </c>
      <c r="O5374" s="22" t="str">
        <f>HYPERLINK("https://pbs.twimg.com/profile_images/922865890516860929/jsAa4O0U_normal.jpg","View")</f>
        <v>View</v>
      </c>
      <c r="P5374" s="27"/>
    </row>
    <row r="5375">
      <c r="A5375" s="14">
        <v>43031.343993055554</v>
      </c>
      <c r="B5375" s="20" t="str">
        <f>HYPERLINK("https://twitter.com/asianstudiesgu","@asianstudiesgu")</f>
        <v>@asianstudiesgu</v>
      </c>
      <c r="C5375" s="21" t="s">
        <v>11971</v>
      </c>
      <c r="D5375" s="21" t="s">
        <v>12265</v>
      </c>
      <c r="E5375" s="22" t="str">
        <f>HYPERLINK("https://twitter.com/asianstudiesgu/status/922481576189022208","922481576189022208")</f>
        <v>922481576189022208</v>
      </c>
      <c r="F5375" s="23" t="s">
        <v>427</v>
      </c>
      <c r="G5375" s="24">
        <v>2806.0</v>
      </c>
      <c r="H5375" s="24">
        <v>388.0</v>
      </c>
      <c r="I5375" s="24">
        <v>2.0</v>
      </c>
      <c r="J5375" s="24">
        <v>3.0</v>
      </c>
      <c r="K5375" s="23" t="s">
        <v>34</v>
      </c>
      <c r="L5375" s="25">
        <v>40127.553078703706</v>
      </c>
      <c r="M5375" s="26" t="s">
        <v>4239</v>
      </c>
      <c r="N5375" s="26" t="s">
        <v>11973</v>
      </c>
      <c r="O5375" s="22" t="str">
        <f>HYPERLINK("https://pbs.twimg.com/profile_images/493810600196063233/b-0WMGka_normal.jpeg","View")</f>
        <v>View</v>
      </c>
      <c r="P5375" s="27"/>
    </row>
    <row r="5376">
      <c r="A5376" s="14">
        <v>43031.34407407408</v>
      </c>
      <c r="B5376" s="20" t="str">
        <f>HYPERLINK("https://twitter.com/kohworld10x","@kohworld10x")</f>
        <v>@kohworld10x</v>
      </c>
      <c r="C5376" s="21" t="s">
        <v>12266</v>
      </c>
      <c r="D5376" s="21" t="s">
        <v>12163</v>
      </c>
      <c r="E5376" s="22" t="str">
        <f>HYPERLINK("https://twitter.com/kohworld10x/status/922481604462723073","922481604462723073")</f>
        <v>922481604462723073</v>
      </c>
      <c r="F5376" s="23" t="s">
        <v>55</v>
      </c>
      <c r="G5376" s="24">
        <v>14.0</v>
      </c>
      <c r="H5376" s="24">
        <v>56.0</v>
      </c>
      <c r="I5376" s="24">
        <v>5.0</v>
      </c>
      <c r="J5376" s="24">
        <v>0.0</v>
      </c>
      <c r="K5376" s="23" t="s">
        <v>34</v>
      </c>
      <c r="L5376" s="25">
        <v>43016.71010416667</v>
      </c>
      <c r="M5376" s="28"/>
      <c r="N5376" s="26" t="s">
        <v>12267</v>
      </c>
      <c r="O5376" s="22" t="str">
        <f>HYPERLINK("https://pbs.twimg.com/profile_images/918307542593298433/g_10UUZM_normal.jpg","View")</f>
        <v>View</v>
      </c>
      <c r="P5376" s="27"/>
    </row>
    <row r="5377">
      <c r="A5377" s="14">
        <v>43031.34408564815</v>
      </c>
      <c r="B5377" s="20" t="str">
        <f>HYPERLINK("https://twitter.com/PTNLSMdada","@PTNLSMdada")</f>
        <v>@PTNLSMdada</v>
      </c>
      <c r="C5377" s="21" t="s">
        <v>12268</v>
      </c>
      <c r="D5377" s="21" t="s">
        <v>1642</v>
      </c>
      <c r="E5377" s="22" t="str">
        <f>HYPERLINK("https://twitter.com/PTNLSMdada/status/922481611878232064","922481611878232064")</f>
        <v>922481611878232064</v>
      </c>
      <c r="F5377" s="23" t="s">
        <v>39</v>
      </c>
      <c r="G5377" s="24">
        <v>838.0</v>
      </c>
      <c r="H5377" s="24">
        <v>345.0</v>
      </c>
      <c r="I5377" s="24">
        <v>199.0</v>
      </c>
      <c r="J5377" s="24">
        <v>0.0</v>
      </c>
      <c r="K5377" s="23" t="s">
        <v>34</v>
      </c>
      <c r="L5377" s="25">
        <v>41390.80037037037</v>
      </c>
      <c r="M5377" s="26" t="s">
        <v>12269</v>
      </c>
      <c r="N5377" s="26" t="s">
        <v>12270</v>
      </c>
      <c r="O5377" s="22" t="str">
        <f>HYPERLINK("https://pbs.twimg.com/profile_images/881463347262087169/ITSiHz1R_normal.jpg","View")</f>
        <v>View</v>
      </c>
      <c r="P5377" s="27"/>
    </row>
    <row r="5378">
      <c r="A5378" s="14">
        <v>43031.34408564815</v>
      </c>
      <c r="B5378" s="20" t="str">
        <f>HYPERLINK("https://twitter.com/globalissuesweb","@globalissuesweb")</f>
        <v>@globalissuesweb</v>
      </c>
      <c r="C5378" s="21" t="s">
        <v>12271</v>
      </c>
      <c r="D5378" s="21" t="s">
        <v>12272</v>
      </c>
      <c r="E5378" s="22" t="str">
        <f>HYPERLINK("https://twitter.com/globalissuesweb/status/922481612444651522","922481612444651522")</f>
        <v>922481612444651522</v>
      </c>
      <c r="F5378" s="30" t="s">
        <v>3839</v>
      </c>
      <c r="G5378" s="24">
        <v>159507.0</v>
      </c>
      <c r="H5378" s="24">
        <v>2431.0</v>
      </c>
      <c r="I5378" s="24">
        <v>0.0</v>
      </c>
      <c r="J5378" s="24">
        <v>0.0</v>
      </c>
      <c r="K5378" s="23" t="s">
        <v>34</v>
      </c>
      <c r="L5378" s="25">
        <v>40037.46341435185</v>
      </c>
      <c r="M5378" s="26" t="s">
        <v>12273</v>
      </c>
      <c r="N5378" s="26" t="s">
        <v>12274</v>
      </c>
      <c r="O5378" s="22" t="str">
        <f>HYPERLINK("https://pbs.twimg.com/profile_images/2634696934/fbbd02b9e0ac76801b12e7fdecdf68be_normal.jpeg","View")</f>
        <v>View</v>
      </c>
      <c r="P5378" s="27"/>
    </row>
    <row r="5379">
      <c r="A5379" s="14">
        <v>43031.3441087963</v>
      </c>
      <c r="B5379" s="20" t="str">
        <f>HYPERLINK("https://twitter.com/AsifPatel79","@AsifPatel79")</f>
        <v>@AsifPatel79</v>
      </c>
      <c r="C5379" s="21" t="s">
        <v>12275</v>
      </c>
      <c r="D5379" s="21" t="s">
        <v>12276</v>
      </c>
      <c r="E5379" s="22" t="str">
        <f>HYPERLINK("https://twitter.com/AsifPatel79/status/922481619910496256","922481619910496256")</f>
        <v>922481619910496256</v>
      </c>
      <c r="F5379" s="23" t="s">
        <v>427</v>
      </c>
      <c r="G5379" s="24">
        <v>559.0</v>
      </c>
      <c r="H5379" s="24">
        <v>1277.0</v>
      </c>
      <c r="I5379" s="24">
        <v>0.0</v>
      </c>
      <c r="J5379" s="24">
        <v>1.0</v>
      </c>
      <c r="K5379" s="23" t="s">
        <v>34</v>
      </c>
      <c r="L5379" s="25">
        <v>39303.63148148148</v>
      </c>
      <c r="M5379" s="26" t="s">
        <v>590</v>
      </c>
      <c r="N5379" s="26" t="s">
        <v>12277</v>
      </c>
      <c r="O5379" s="22" t="str">
        <f>HYPERLINK("https://pbs.twimg.com/profile_images/2738826855/2848424fb05a52666aa76cd4b1f29c0b_normal.jpeg","View")</f>
        <v>View</v>
      </c>
      <c r="P5379" s="27"/>
    </row>
    <row r="5380">
      <c r="A5380" s="14">
        <v>43031.34412037037</v>
      </c>
      <c r="B5380" s="20" t="str">
        <f>HYPERLINK("https://twitter.com/WartenbergHans","@WartenbergHans")</f>
        <v>@WartenbergHans</v>
      </c>
      <c r="C5380" s="21" t="s">
        <v>12278</v>
      </c>
      <c r="D5380" s="21" t="s">
        <v>11193</v>
      </c>
      <c r="E5380" s="22" t="str">
        <f>HYPERLINK("https://twitter.com/WartenbergHans/status/922481622687109120","922481622687109120")</f>
        <v>922481622687109120</v>
      </c>
      <c r="F5380" s="23" t="s">
        <v>39</v>
      </c>
      <c r="G5380" s="24">
        <v>2980.0</v>
      </c>
      <c r="H5380" s="24">
        <v>2644.0</v>
      </c>
      <c r="I5380" s="24">
        <v>3.0</v>
      </c>
      <c r="J5380" s="24">
        <v>0.0</v>
      </c>
      <c r="K5380" s="23" t="s">
        <v>34</v>
      </c>
      <c r="L5380" s="25">
        <v>41430.35685185185</v>
      </c>
      <c r="M5380" s="26" t="s">
        <v>12279</v>
      </c>
      <c r="N5380" s="26" t="s">
        <v>12280</v>
      </c>
      <c r="O5380" s="22" t="str">
        <f>HYPERLINK("https://pbs.twimg.com/profile_images/805985249750642688/lZi6DaMW_normal.jpg","View")</f>
        <v>View</v>
      </c>
      <c r="P5380" s="27"/>
    </row>
    <row r="5381">
      <c r="A5381" s="14">
        <v>43031.34413194444</v>
      </c>
      <c r="B5381" s="20" t="str">
        <f>HYPERLINK("https://twitter.com/DasSantosh8","@DasSantosh8")</f>
        <v>@DasSantosh8</v>
      </c>
      <c r="C5381" s="21" t="s">
        <v>12281</v>
      </c>
      <c r="D5381" s="21" t="s">
        <v>42</v>
      </c>
      <c r="E5381" s="22" t="str">
        <f>HYPERLINK("https://twitter.com/DasSantosh8/status/922481626642128896","922481626642128896")</f>
        <v>922481626642128896</v>
      </c>
      <c r="F5381" s="23" t="s">
        <v>33</v>
      </c>
      <c r="G5381" s="24">
        <v>28.0</v>
      </c>
      <c r="H5381" s="24">
        <v>326.0</v>
      </c>
      <c r="I5381" s="24">
        <v>8501.0</v>
      </c>
      <c r="J5381" s="24">
        <v>0.0</v>
      </c>
      <c r="K5381" s="23" t="s">
        <v>34</v>
      </c>
      <c r="L5381" s="25">
        <v>42348.24851851852</v>
      </c>
      <c r="M5381" s="26" t="s">
        <v>12282</v>
      </c>
      <c r="N5381" s="26" t="s">
        <v>12283</v>
      </c>
      <c r="O5381" s="22" t="str">
        <f>HYPERLINK("https://pbs.twimg.com/profile_images/890827105365143552/9WLAXuDx_normal.jpg","View")</f>
        <v>View</v>
      </c>
      <c r="P5381" s="27"/>
    </row>
    <row r="5382">
      <c r="A5382" s="14">
        <v>43031.34421296296</v>
      </c>
      <c r="B5382" s="20" t="str">
        <f>HYPERLINK("https://twitter.com/PublicSituation","@PublicSituation")</f>
        <v>@PublicSituation</v>
      </c>
      <c r="C5382" s="21" t="s">
        <v>12284</v>
      </c>
      <c r="D5382" s="21" t="s">
        <v>12241</v>
      </c>
      <c r="E5382" s="22" t="str">
        <f>HYPERLINK("https://twitter.com/PublicSituation/status/922481656698687488","922481656698687488")</f>
        <v>922481656698687488</v>
      </c>
      <c r="F5382" s="23" t="s">
        <v>12285</v>
      </c>
      <c r="G5382" s="24">
        <v>3421.0</v>
      </c>
      <c r="H5382" s="24">
        <v>3219.0</v>
      </c>
      <c r="I5382" s="24">
        <v>9.0</v>
      </c>
      <c r="J5382" s="24">
        <v>0.0</v>
      </c>
      <c r="K5382" s="23" t="s">
        <v>34</v>
      </c>
      <c r="L5382" s="25">
        <v>42488.26296296297</v>
      </c>
      <c r="M5382" s="26" t="s">
        <v>12286</v>
      </c>
      <c r="N5382" s="26" t="s">
        <v>12287</v>
      </c>
      <c r="O5382" s="22" t="str">
        <f>HYPERLINK("https://pbs.twimg.com/profile_images/859458512698650625/sRsalqLV_normal.jpg","View")</f>
        <v>View</v>
      </c>
      <c r="P5382" s="27"/>
    </row>
    <row r="5383">
      <c r="A5383" s="14">
        <v>43031.34423611111</v>
      </c>
      <c r="B5383" s="20" t="str">
        <f>HYPERLINK("https://twitter.com/fiveess15","@fiveess15")</f>
        <v>@fiveess15</v>
      </c>
      <c r="C5383" s="21" t="s">
        <v>12288</v>
      </c>
      <c r="D5383" s="21" t="s">
        <v>42</v>
      </c>
      <c r="E5383" s="22" t="str">
        <f>HYPERLINK("https://twitter.com/fiveess15/status/922481664021823488","922481664021823488")</f>
        <v>922481664021823488</v>
      </c>
      <c r="F5383" s="23" t="s">
        <v>33</v>
      </c>
      <c r="G5383" s="24">
        <v>999.0</v>
      </c>
      <c r="H5383" s="24">
        <v>2679.0</v>
      </c>
      <c r="I5383" s="24">
        <v>8501.0</v>
      </c>
      <c r="J5383" s="24">
        <v>0.0</v>
      </c>
      <c r="K5383" s="23" t="s">
        <v>34</v>
      </c>
      <c r="L5383" s="25">
        <v>42015.117384259254</v>
      </c>
      <c r="M5383" s="28"/>
      <c r="N5383" s="28"/>
      <c r="O5383" s="22" t="str">
        <f>HYPERLINK("https://pbs.twimg.com/profile_images/592323266628300800/_Gv1ctgG_normal.jpg","View")</f>
        <v>View</v>
      </c>
      <c r="P5383" s="27"/>
    </row>
    <row r="5384">
      <c r="A5384" s="14">
        <v>43031.34428240741</v>
      </c>
      <c r="B5384" s="20" t="str">
        <f>HYPERLINK("https://twitter.com/libbysophya","@libbysophya")</f>
        <v>@libbysophya</v>
      </c>
      <c r="C5384" s="21" t="s">
        <v>12289</v>
      </c>
      <c r="D5384" s="21" t="s">
        <v>10614</v>
      </c>
      <c r="E5384" s="22" t="str">
        <f>HYPERLINK("https://twitter.com/libbysophya/status/922481682585923584","922481682585923584")</f>
        <v>922481682585923584</v>
      </c>
      <c r="F5384" s="23" t="s">
        <v>39</v>
      </c>
      <c r="G5384" s="24">
        <v>2510.0</v>
      </c>
      <c r="H5384" s="24">
        <v>2963.0</v>
      </c>
      <c r="I5384" s="24">
        <v>159.0</v>
      </c>
      <c r="J5384" s="24">
        <v>0.0</v>
      </c>
      <c r="K5384" s="23" t="s">
        <v>34</v>
      </c>
      <c r="L5384" s="25">
        <v>41173.756261574075</v>
      </c>
      <c r="M5384" s="28"/>
      <c r="N5384" s="26" t="s">
        <v>12290</v>
      </c>
      <c r="O5384" s="22" t="str">
        <f>HYPERLINK("https://pbs.twimg.com/profile_images/378800000421394995/b0c090457cd89ac37a6b99d50ac288e8_normal.jpeg","View")</f>
        <v>View</v>
      </c>
      <c r="P5384" s="27"/>
    </row>
    <row r="5385">
      <c r="A5385" s="14">
        <v>43031.344409722224</v>
      </c>
      <c r="B5385" s="20" t="str">
        <f>HYPERLINK("https://twitter.com/southeastasia4u","@southeastasia4u")</f>
        <v>@southeastasia4u</v>
      </c>
      <c r="C5385" s="21" t="s">
        <v>12291</v>
      </c>
      <c r="D5385" s="21" t="s">
        <v>12292</v>
      </c>
      <c r="E5385" s="22" t="str">
        <f>HYPERLINK("https://twitter.com/southeastasia4u/status/922481727964110850","922481727964110850")</f>
        <v>922481727964110850</v>
      </c>
      <c r="F5385" s="23" t="s">
        <v>427</v>
      </c>
      <c r="G5385" s="24">
        <v>10287.0</v>
      </c>
      <c r="H5385" s="24">
        <v>261.0</v>
      </c>
      <c r="I5385" s="24">
        <v>0.0</v>
      </c>
      <c r="J5385" s="24">
        <v>0.0</v>
      </c>
      <c r="K5385" s="23" t="s">
        <v>34</v>
      </c>
      <c r="L5385" s="25">
        <v>40501.255844907406</v>
      </c>
      <c r="M5385" s="28"/>
      <c r="N5385" s="26" t="s">
        <v>12293</v>
      </c>
      <c r="O5385" s="22" t="str">
        <f>HYPERLINK("https://pbs.twimg.com/profile_images/731982571609935872/8_XxaGHF_normal.jpg","View")</f>
        <v>View</v>
      </c>
      <c r="P5385" s="27"/>
    </row>
    <row r="5386">
      <c r="A5386" s="14">
        <v>43031.3446412037</v>
      </c>
      <c r="B5386" s="20" t="str">
        <f>HYPERLINK("https://twitter.com/saravindraj","@saravindraj")</f>
        <v>@saravindraj</v>
      </c>
      <c r="C5386" s="21" t="s">
        <v>12294</v>
      </c>
      <c r="D5386" s="21" t="s">
        <v>163</v>
      </c>
      <c r="E5386" s="22" t="str">
        <f>HYPERLINK("https://twitter.com/saravindraj/status/922481812542251008","922481812542251008")</f>
        <v>922481812542251008</v>
      </c>
      <c r="F5386" s="23" t="s">
        <v>43</v>
      </c>
      <c r="G5386" s="24">
        <v>39.0</v>
      </c>
      <c r="H5386" s="24">
        <v>92.0</v>
      </c>
      <c r="I5386" s="24">
        <v>1005.0</v>
      </c>
      <c r="J5386" s="24">
        <v>0.0</v>
      </c>
      <c r="K5386" s="23" t="s">
        <v>34</v>
      </c>
      <c r="L5386" s="25">
        <v>40667.83075231481</v>
      </c>
      <c r="M5386" s="26" t="s">
        <v>12295</v>
      </c>
      <c r="N5386" s="26" t="s">
        <v>12296</v>
      </c>
      <c r="O5386" s="22" t="str">
        <f>HYPERLINK("https://pbs.twimg.com/profile_images/847630153098305537/0z3-Ym9W_normal.jpg","View")</f>
        <v>View</v>
      </c>
      <c r="P5386" s="27"/>
    </row>
    <row r="5387">
      <c r="A5387" s="14">
        <v>43031.344664351855</v>
      </c>
      <c r="B5387" s="20" t="str">
        <f>HYPERLINK("https://twitter.com/LALITSHARMAHP","@LALITSHARMAHP")</f>
        <v>@LALITSHARMAHP</v>
      </c>
      <c r="C5387" s="21" t="s">
        <v>12297</v>
      </c>
      <c r="D5387" s="21" t="s">
        <v>163</v>
      </c>
      <c r="E5387" s="22" t="str">
        <f>HYPERLINK("https://twitter.com/LALITSHARMAHP/status/922481821027155968","922481821027155968")</f>
        <v>922481821027155968</v>
      </c>
      <c r="F5387" s="23" t="s">
        <v>43</v>
      </c>
      <c r="G5387" s="24">
        <v>53.0</v>
      </c>
      <c r="H5387" s="24">
        <v>49.0</v>
      </c>
      <c r="I5387" s="24">
        <v>1005.0</v>
      </c>
      <c r="J5387" s="24">
        <v>0.0</v>
      </c>
      <c r="K5387" s="23" t="s">
        <v>34</v>
      </c>
      <c r="L5387" s="25">
        <v>42338.83645833333</v>
      </c>
      <c r="M5387" s="28"/>
      <c r="N5387" s="26" t="s">
        <v>12298</v>
      </c>
      <c r="O5387" s="22" t="str">
        <f>HYPERLINK("https://abs.twimg.com/sticky/default_profile_images/default_profile_normal.png","View")</f>
        <v>View</v>
      </c>
      <c r="P5387" s="27"/>
    </row>
    <row r="5388">
      <c r="A5388" s="14">
        <v>43031.34469907408</v>
      </c>
      <c r="B5388" s="20" t="str">
        <f>HYPERLINK("https://twitter.com/SureshSadagopan","@SureshSadagopan")</f>
        <v>@SureshSadagopan</v>
      </c>
      <c r="C5388" s="21" t="s">
        <v>12299</v>
      </c>
      <c r="D5388" s="21" t="s">
        <v>163</v>
      </c>
      <c r="E5388" s="22" t="str">
        <f>HYPERLINK("https://twitter.com/SureshSadagopan/status/922481833446604801","922481833446604801")</f>
        <v>922481833446604801</v>
      </c>
      <c r="F5388" s="23" t="s">
        <v>33</v>
      </c>
      <c r="G5388" s="24">
        <v>3196.0</v>
      </c>
      <c r="H5388" s="24">
        <v>213.0</v>
      </c>
      <c r="I5388" s="24">
        <v>1005.0</v>
      </c>
      <c r="J5388" s="24">
        <v>0.0</v>
      </c>
      <c r="K5388" s="23" t="s">
        <v>34</v>
      </c>
      <c r="L5388" s="25">
        <v>40015.928761574076</v>
      </c>
      <c r="M5388" s="26" t="s">
        <v>207</v>
      </c>
      <c r="N5388" s="26" t="s">
        <v>12300</v>
      </c>
      <c r="O5388" s="22" t="str">
        <f>HYPERLINK("https://pbs.twimg.com/profile_images/1363154134/Cropped___low_resol_normal.jpg","View")</f>
        <v>View</v>
      </c>
      <c r="P5388" s="27"/>
    </row>
    <row r="5389">
      <c r="A5389" s="14">
        <v>43031.34471064815</v>
      </c>
      <c r="B5389" s="20" t="str">
        <f>HYPERLINK("https://twitter.com/mukeshpande31","@mukeshpande31")</f>
        <v>@mukeshpande31</v>
      </c>
      <c r="C5389" s="21" t="s">
        <v>6998</v>
      </c>
      <c r="D5389" s="21" t="s">
        <v>42</v>
      </c>
      <c r="E5389" s="22" t="str">
        <f>HYPERLINK("https://twitter.com/mukeshpande31/status/922481835153571840","922481835153571840")</f>
        <v>922481835153571840</v>
      </c>
      <c r="F5389" s="23" t="s">
        <v>33</v>
      </c>
      <c r="G5389" s="24">
        <v>9.0</v>
      </c>
      <c r="H5389" s="24">
        <v>24.0</v>
      </c>
      <c r="I5389" s="24">
        <v>8501.0</v>
      </c>
      <c r="J5389" s="24">
        <v>0.0</v>
      </c>
      <c r="K5389" s="23" t="s">
        <v>34</v>
      </c>
      <c r="L5389" s="25">
        <v>42319.97806712963</v>
      </c>
      <c r="M5389" s="26" t="s">
        <v>9097</v>
      </c>
      <c r="N5389" s="26" t="s">
        <v>12301</v>
      </c>
      <c r="O5389" s="22" t="str">
        <f>HYPERLINK("https://pbs.twimg.com/profile_images/664726706150764544/Ijmqok0Q_normal.jpg","View")</f>
        <v>View</v>
      </c>
      <c r="P5389" s="27"/>
    </row>
    <row r="5390">
      <c r="A5390" s="14">
        <v>43031.34475694444</v>
      </c>
      <c r="B5390" s="20" t="str">
        <f>HYPERLINK("https://twitter.com/MUNNAUNICORN","@MUNNAUNICORN")</f>
        <v>@MUNNAUNICORN</v>
      </c>
      <c r="C5390" s="21" t="s">
        <v>12302</v>
      </c>
      <c r="D5390" s="21" t="s">
        <v>42</v>
      </c>
      <c r="E5390" s="22" t="str">
        <f>HYPERLINK("https://twitter.com/MUNNAUNICORN/status/922481853918986241","922481853918986241")</f>
        <v>922481853918986241</v>
      </c>
      <c r="F5390" s="23" t="s">
        <v>55</v>
      </c>
      <c r="G5390" s="24">
        <v>98.0</v>
      </c>
      <c r="H5390" s="24">
        <v>149.0</v>
      </c>
      <c r="I5390" s="24">
        <v>8501.0</v>
      </c>
      <c r="J5390" s="24">
        <v>0.0</v>
      </c>
      <c r="K5390" s="23" t="s">
        <v>34</v>
      </c>
      <c r="L5390" s="25">
        <v>40424.83217592593</v>
      </c>
      <c r="M5390" s="28"/>
      <c r="N5390" s="28"/>
      <c r="O5390" s="22" t="str">
        <f>HYPERLINK("https://abs.twimg.com/sticky/default_profile_images/default_profile_normal.png","View")</f>
        <v>View</v>
      </c>
      <c r="P5390" s="27"/>
    </row>
    <row r="5391">
      <c r="A5391" s="14">
        <v>43031.34479166666</v>
      </c>
      <c r="B5391" s="20" t="str">
        <f>HYPERLINK("https://twitter.com/SaurabhChamoli","@SaurabhChamoli")</f>
        <v>@SaurabhChamoli</v>
      </c>
      <c r="C5391" s="21" t="s">
        <v>12303</v>
      </c>
      <c r="D5391" s="21" t="s">
        <v>42</v>
      </c>
      <c r="E5391" s="22" t="str">
        <f>HYPERLINK("https://twitter.com/SaurabhChamoli/status/922481865981804544","922481865981804544")</f>
        <v>922481865981804544</v>
      </c>
      <c r="F5391" s="23" t="s">
        <v>33</v>
      </c>
      <c r="G5391" s="24">
        <v>1979.0</v>
      </c>
      <c r="H5391" s="24">
        <v>4958.0</v>
      </c>
      <c r="I5391" s="24">
        <v>8501.0</v>
      </c>
      <c r="J5391" s="24">
        <v>0.0</v>
      </c>
      <c r="K5391" s="23" t="s">
        <v>34</v>
      </c>
      <c r="L5391" s="25">
        <v>40178.088958333334</v>
      </c>
      <c r="M5391" s="26" t="s">
        <v>96</v>
      </c>
      <c r="N5391" s="26" t="s">
        <v>12304</v>
      </c>
      <c r="O5391" s="22" t="str">
        <f>HYPERLINK("https://pbs.twimg.com/profile_images/883372755885858816/4Z6C436Q_normal.jpg","View")</f>
        <v>View</v>
      </c>
      <c r="P5391" s="27"/>
    </row>
    <row r="5392">
      <c r="A5392" s="14">
        <v>43031.34483796296</v>
      </c>
      <c r="B5392" s="20" t="str">
        <f>HYPERLINK("https://twitter.com/freelanceudit16","@freelanceudit16")</f>
        <v>@freelanceudit16</v>
      </c>
      <c r="C5392" s="21" t="s">
        <v>12305</v>
      </c>
      <c r="D5392" s="21" t="s">
        <v>42</v>
      </c>
      <c r="E5392" s="22" t="str">
        <f>HYPERLINK("https://twitter.com/freelanceudit16/status/922481881332908033","922481881332908033")</f>
        <v>922481881332908033</v>
      </c>
      <c r="F5392" s="23" t="s">
        <v>33</v>
      </c>
      <c r="G5392" s="24">
        <v>141.0</v>
      </c>
      <c r="H5392" s="24">
        <v>438.0</v>
      </c>
      <c r="I5392" s="24">
        <v>8501.0</v>
      </c>
      <c r="J5392" s="24">
        <v>0.0</v>
      </c>
      <c r="K5392" s="23" t="s">
        <v>34</v>
      </c>
      <c r="L5392" s="25">
        <v>42145.36059027778</v>
      </c>
      <c r="M5392" s="26" t="s">
        <v>1532</v>
      </c>
      <c r="N5392" s="26" t="s">
        <v>12306</v>
      </c>
      <c r="O5392" s="22" t="str">
        <f>HYPERLINK("https://pbs.twimg.com/profile_images/844113673471762432/n2C3u1hZ_normal.jpg","View")</f>
        <v>View</v>
      </c>
      <c r="P5392" s="27"/>
    </row>
    <row r="5393">
      <c r="A5393" s="14">
        <v>43031.34483796296</v>
      </c>
      <c r="B5393" s="20" t="str">
        <f>HYPERLINK("https://twitter.com/NAVARRE__","@NAVARRE__")</f>
        <v>@NAVARRE__</v>
      </c>
      <c r="C5393" s="21" t="s">
        <v>12307</v>
      </c>
      <c r="D5393" s="21" t="s">
        <v>12308</v>
      </c>
      <c r="E5393" s="22" t="str">
        <f>HYPERLINK("https://twitter.com/NAVARRE__/status/922481882335535104","922481882335535104")</f>
        <v>922481882335535104</v>
      </c>
      <c r="F5393" s="23" t="s">
        <v>39</v>
      </c>
      <c r="G5393" s="24">
        <v>719.0</v>
      </c>
      <c r="H5393" s="24">
        <v>1903.0</v>
      </c>
      <c r="I5393" s="24">
        <v>0.0</v>
      </c>
      <c r="J5393" s="24">
        <v>0.0</v>
      </c>
      <c r="K5393" s="23" t="s">
        <v>34</v>
      </c>
      <c r="L5393" s="25">
        <v>41314.292546296296</v>
      </c>
      <c r="M5393" s="26" t="s">
        <v>12309</v>
      </c>
      <c r="N5393" s="26" t="s">
        <v>12310</v>
      </c>
      <c r="O5393" s="22" t="str">
        <f>HYPERLINK("https://pbs.twimg.com/profile_images/867504688828207106/ms_dkFL9_normal.jpg","View")</f>
        <v>View</v>
      </c>
      <c r="P5393" s="27"/>
    </row>
    <row r="5394">
      <c r="A5394" s="14">
        <v>43031.345</v>
      </c>
      <c r="B5394" s="20" t="str">
        <f>HYPERLINK("https://twitter.com/ashokmalik","@ashokmalik")</f>
        <v>@ashokmalik</v>
      </c>
      <c r="C5394" s="21" t="s">
        <v>12311</v>
      </c>
      <c r="D5394" s="21" t="s">
        <v>12312</v>
      </c>
      <c r="E5394" s="22" t="str">
        <f>HYPERLINK("https://twitter.com/ashokmalik/status/922481942435577856","922481942435577856")</f>
        <v>922481942435577856</v>
      </c>
      <c r="F5394" s="23" t="s">
        <v>33</v>
      </c>
      <c r="G5394" s="24">
        <v>2442.0</v>
      </c>
      <c r="H5394" s="24">
        <v>318.0</v>
      </c>
      <c r="I5394" s="24">
        <v>2.0</v>
      </c>
      <c r="J5394" s="24">
        <v>0.0</v>
      </c>
      <c r="K5394" s="23" t="s">
        <v>34</v>
      </c>
      <c r="L5394" s="25">
        <v>40069.934849537036</v>
      </c>
      <c r="M5394" s="26" t="s">
        <v>204</v>
      </c>
      <c r="N5394" s="26" t="s">
        <v>12313</v>
      </c>
      <c r="O5394" s="22" t="str">
        <f>HYPERLINK("https://pbs.twimg.com/profile_images/877494102404628480/Mk5oWhR3_normal.jpg","View")</f>
        <v>View</v>
      </c>
      <c r="P5394" s="27"/>
    </row>
    <row r="5395">
      <c r="A5395" s="14">
        <v>43031.34510416667</v>
      </c>
      <c r="B5395" s="20" t="str">
        <f>HYPERLINK("https://twitter.com/KSP_Libs","@KSP_Libs")</f>
        <v>@KSP_Libs</v>
      </c>
      <c r="C5395" s="21" t="s">
        <v>10893</v>
      </c>
      <c r="D5395" s="21" t="s">
        <v>12314</v>
      </c>
      <c r="E5395" s="22" t="str">
        <f>HYPERLINK("https://twitter.com/KSP_Libs/status/922481978015911936","922481978015911936")</f>
        <v>922481978015911936</v>
      </c>
      <c r="F5395" s="23" t="s">
        <v>33</v>
      </c>
      <c r="G5395" s="24">
        <v>2195.0</v>
      </c>
      <c r="H5395" s="24">
        <v>3106.0</v>
      </c>
      <c r="I5395" s="24">
        <v>3.0</v>
      </c>
      <c r="J5395" s="24">
        <v>0.0</v>
      </c>
      <c r="K5395" s="23" t="s">
        <v>34</v>
      </c>
      <c r="L5395" s="25">
        <v>41332.02033564815</v>
      </c>
      <c r="M5395" s="26" t="s">
        <v>10894</v>
      </c>
      <c r="N5395" s="26" t="s">
        <v>10895</v>
      </c>
      <c r="O5395" s="22" t="str">
        <f>HYPERLINK("https://pbs.twimg.com/profile_images/799847465138540545/yH3aKw7f_normal.jpg","View")</f>
        <v>View</v>
      </c>
      <c r="P5395" s="27"/>
    </row>
    <row r="5396">
      <c r="A5396" s="14">
        <v>43031.34516203703</v>
      </c>
      <c r="B5396" s="20" t="str">
        <f>HYPERLINK("https://twitter.com/sahajagrawal1","@sahajagrawal1")</f>
        <v>@sahajagrawal1</v>
      </c>
      <c r="C5396" s="21" t="s">
        <v>12315</v>
      </c>
      <c r="D5396" s="21" t="s">
        <v>42</v>
      </c>
      <c r="E5396" s="22" t="str">
        <f>HYPERLINK("https://twitter.com/sahajagrawal1/status/922482001852104704","922482001852104704")</f>
        <v>922482001852104704</v>
      </c>
      <c r="F5396" s="23" t="s">
        <v>33</v>
      </c>
      <c r="G5396" s="24">
        <v>130.0</v>
      </c>
      <c r="H5396" s="24">
        <v>179.0</v>
      </c>
      <c r="I5396" s="24">
        <v>8501.0</v>
      </c>
      <c r="J5396" s="24">
        <v>0.0</v>
      </c>
      <c r="K5396" s="23" t="s">
        <v>34</v>
      </c>
      <c r="L5396" s="25">
        <v>41254.380277777775</v>
      </c>
      <c r="M5396" s="26" t="s">
        <v>204</v>
      </c>
      <c r="N5396" s="26" t="s">
        <v>12316</v>
      </c>
      <c r="O5396" s="22" t="str">
        <f>HYPERLINK("https://pbs.twimg.com/profile_images/611817657113837568/KElNajKS_normal.jpg","View")</f>
        <v>View</v>
      </c>
      <c r="P5396" s="27"/>
    </row>
    <row r="5397">
      <c r="A5397" s="14">
        <v>43031.34517361112</v>
      </c>
      <c r="B5397" s="20" t="str">
        <f>HYPERLINK("https://twitter.com/SSP79","@SSP79")</f>
        <v>@SSP79</v>
      </c>
      <c r="C5397" s="21" t="s">
        <v>12317</v>
      </c>
      <c r="D5397" s="21" t="s">
        <v>42</v>
      </c>
      <c r="E5397" s="22" t="str">
        <f>HYPERLINK("https://twitter.com/SSP79/status/922482006818111488","922482006818111488")</f>
        <v>922482006818111488</v>
      </c>
      <c r="F5397" s="23" t="s">
        <v>39</v>
      </c>
      <c r="G5397" s="24">
        <v>197.0</v>
      </c>
      <c r="H5397" s="24">
        <v>179.0</v>
      </c>
      <c r="I5397" s="24">
        <v>8501.0</v>
      </c>
      <c r="J5397" s="24">
        <v>0.0</v>
      </c>
      <c r="K5397" s="23" t="s">
        <v>34</v>
      </c>
      <c r="L5397" s="25">
        <v>39983.20961805555</v>
      </c>
      <c r="M5397" s="28"/>
      <c r="N5397" s="28"/>
      <c r="O5397" s="22" t="str">
        <f>HYPERLINK("https://abs.twimg.com/sticky/default_profile_images/default_profile_normal.png","View")</f>
        <v>View</v>
      </c>
      <c r="P5397" s="27"/>
    </row>
    <row r="5398">
      <c r="A5398" s="14">
        <v>43031.34542824074</v>
      </c>
      <c r="B5398" s="20" t="str">
        <f>HYPERLINK("https://twitter.com/Madrid_exterior","@Madrid_exterior")</f>
        <v>@Madrid_exterior</v>
      </c>
      <c r="C5398" s="21" t="s">
        <v>12318</v>
      </c>
      <c r="D5398" s="21" t="s">
        <v>12319</v>
      </c>
      <c r="E5398" s="22" t="str">
        <f>HYPERLINK("https://twitter.com/Madrid_exterior/status/922482097733931008","922482097733931008")</f>
        <v>922482097733931008</v>
      </c>
      <c r="F5398" s="23" t="s">
        <v>187</v>
      </c>
      <c r="G5398" s="24">
        <v>2948.0</v>
      </c>
      <c r="H5398" s="24">
        <v>2874.0</v>
      </c>
      <c r="I5398" s="24">
        <v>0.0</v>
      </c>
      <c r="J5398" s="24">
        <v>0.0</v>
      </c>
      <c r="K5398" s="23" t="s">
        <v>34</v>
      </c>
      <c r="L5398" s="25">
        <v>42557.02306712963</v>
      </c>
      <c r="M5398" s="26" t="s">
        <v>2448</v>
      </c>
      <c r="N5398" s="26" t="s">
        <v>12320</v>
      </c>
      <c r="O5398" s="22" t="str">
        <f>HYPERLINK("https://pbs.twimg.com/profile_images/750599999436840960/OnHOjWT0_normal.jpg","View")</f>
        <v>View</v>
      </c>
      <c r="P5398" s="27"/>
    </row>
    <row r="5399">
      <c r="A5399" s="14">
        <v>43031.3455324074</v>
      </c>
      <c r="B5399" s="20" t="str">
        <f>HYPERLINK("https://twitter.com/rahuulbhatia","@rahuulbhatia")</f>
        <v>@rahuulbhatia</v>
      </c>
      <c r="C5399" s="21" t="s">
        <v>12321</v>
      </c>
      <c r="D5399" s="21" t="s">
        <v>42</v>
      </c>
      <c r="E5399" s="22" t="str">
        <f>HYPERLINK("https://twitter.com/rahuulbhatia/status/922482136925401090","922482136925401090")</f>
        <v>922482136925401090</v>
      </c>
      <c r="F5399" s="23" t="s">
        <v>55</v>
      </c>
      <c r="G5399" s="24">
        <v>1280.0</v>
      </c>
      <c r="H5399" s="24">
        <v>1970.0</v>
      </c>
      <c r="I5399" s="24">
        <v>8501.0</v>
      </c>
      <c r="J5399" s="24">
        <v>0.0</v>
      </c>
      <c r="K5399" s="23" t="s">
        <v>34</v>
      </c>
      <c r="L5399" s="25">
        <v>40895.40210648148</v>
      </c>
      <c r="M5399" s="26" t="s">
        <v>3507</v>
      </c>
      <c r="N5399" s="26" t="s">
        <v>12322</v>
      </c>
      <c r="O5399" s="22" t="str">
        <f>HYPERLINK("https://abs.twimg.com/sticky/default_profile_images/default_profile_normal.png","View")</f>
        <v>View</v>
      </c>
      <c r="P5399" s="27"/>
    </row>
    <row r="5400">
      <c r="A5400" s="14">
        <v>43031.34560185185</v>
      </c>
      <c r="B5400" s="20" t="str">
        <f>HYPERLINK("https://twitter.com/itsjustinsabir","@itsjustinsabir")</f>
        <v>@itsjustinsabir</v>
      </c>
      <c r="C5400" s="21" t="s">
        <v>12323</v>
      </c>
      <c r="D5400" s="21" t="s">
        <v>42</v>
      </c>
      <c r="E5400" s="22" t="str">
        <f>HYPERLINK("https://twitter.com/itsjustinsabir/status/922482158832201734","922482158832201734")</f>
        <v>922482158832201734</v>
      </c>
      <c r="F5400" s="23" t="s">
        <v>33</v>
      </c>
      <c r="G5400" s="24">
        <v>93.0</v>
      </c>
      <c r="H5400" s="24">
        <v>409.0</v>
      </c>
      <c r="I5400" s="24">
        <v>8501.0</v>
      </c>
      <c r="J5400" s="24">
        <v>0.0</v>
      </c>
      <c r="K5400" s="23" t="s">
        <v>34</v>
      </c>
      <c r="L5400" s="25">
        <v>42647.283171296294</v>
      </c>
      <c r="M5400" s="26" t="s">
        <v>1137</v>
      </c>
      <c r="N5400" s="26" t="s">
        <v>12324</v>
      </c>
      <c r="O5400" s="22" t="str">
        <f>HYPERLINK("https://pbs.twimg.com/profile_images/897500998641475585/rCccHana_normal.jpg","View")</f>
        <v>View</v>
      </c>
      <c r="P5400" s="27"/>
    </row>
    <row r="5401">
      <c r="A5401" s="14">
        <v>43031.34560185185</v>
      </c>
      <c r="B5401" s="20" t="str">
        <f>HYPERLINK("https://twitter.com/4mycyrus","@4mycyrus")</f>
        <v>@4mycyrus</v>
      </c>
      <c r="C5401" s="21" t="s">
        <v>12325</v>
      </c>
      <c r="D5401" s="21" t="s">
        <v>3748</v>
      </c>
      <c r="E5401" s="22" t="str">
        <f>HYPERLINK("https://twitter.com/4mycyrus/status/922482160539275265","922482160539275265")</f>
        <v>922482160539275265</v>
      </c>
      <c r="F5401" s="23" t="s">
        <v>39</v>
      </c>
      <c r="G5401" s="24">
        <v>212.0</v>
      </c>
      <c r="H5401" s="24">
        <v>105.0</v>
      </c>
      <c r="I5401" s="24">
        <v>10.0</v>
      </c>
      <c r="J5401" s="24">
        <v>0.0</v>
      </c>
      <c r="K5401" s="23" t="s">
        <v>34</v>
      </c>
      <c r="L5401" s="25">
        <v>42273.39438657407</v>
      </c>
      <c r="M5401" s="28"/>
      <c r="N5401" s="26" t="s">
        <v>12326</v>
      </c>
      <c r="O5401" s="22" t="str">
        <f>HYPERLINK("https://pbs.twimg.com/profile_images/648162793288372224/x9gqtdys_normal.jpg","View")</f>
        <v>View</v>
      </c>
      <c r="P5401" s="27"/>
    </row>
    <row r="5402">
      <c r="A5402" s="14">
        <v>43031.34563657407</v>
      </c>
      <c r="B5402" s="20" t="str">
        <f>HYPERLINK("https://twitter.com/stocks_in","@stocks_in")</f>
        <v>@stocks_in</v>
      </c>
      <c r="C5402" s="21" t="s">
        <v>12327</v>
      </c>
      <c r="D5402" s="21" t="s">
        <v>12328</v>
      </c>
      <c r="E5402" s="22" t="str">
        <f>HYPERLINK("https://twitter.com/stocks_in/status/922482171146850304","922482171146850304")</f>
        <v>922482171146850304</v>
      </c>
      <c r="F5402" s="23" t="s">
        <v>12329</v>
      </c>
      <c r="G5402" s="24">
        <v>1959.0</v>
      </c>
      <c r="H5402" s="24">
        <v>106.0</v>
      </c>
      <c r="I5402" s="24">
        <v>0.0</v>
      </c>
      <c r="J5402" s="24">
        <v>1.0</v>
      </c>
      <c r="K5402" s="23" t="s">
        <v>34</v>
      </c>
      <c r="L5402" s="25">
        <v>42291.351365740746</v>
      </c>
      <c r="M5402" s="26" t="s">
        <v>204</v>
      </c>
      <c r="N5402" s="26" t="s">
        <v>12330</v>
      </c>
      <c r="O5402" s="22" t="str">
        <f>HYPERLINK("https://pbs.twimg.com/profile_images/671062865382649861/uH4WrOOm_normal.jpg","View")</f>
        <v>View</v>
      </c>
      <c r="P5402" s="27"/>
    </row>
    <row r="5403">
      <c r="A5403" s="14">
        <v>43031.34563657407</v>
      </c>
      <c r="B5403" s="20" t="str">
        <f>HYPERLINK("https://twitter.com/prasadpskar","@prasadpskar")</f>
        <v>@prasadpskar</v>
      </c>
      <c r="C5403" s="21" t="s">
        <v>12331</v>
      </c>
      <c r="D5403" s="21" t="s">
        <v>42</v>
      </c>
      <c r="E5403" s="22" t="str">
        <f>HYPERLINK("https://twitter.com/prasadpskar/status/922482172904144896","922482172904144896")</f>
        <v>922482172904144896</v>
      </c>
      <c r="F5403" s="23" t="s">
        <v>33</v>
      </c>
      <c r="G5403" s="24">
        <v>102.0</v>
      </c>
      <c r="H5403" s="24">
        <v>290.0</v>
      </c>
      <c r="I5403" s="24">
        <v>8501.0</v>
      </c>
      <c r="J5403" s="24">
        <v>0.0</v>
      </c>
      <c r="K5403" s="23" t="s">
        <v>34</v>
      </c>
      <c r="L5403" s="25">
        <v>41533.12142361111</v>
      </c>
      <c r="M5403" s="26" t="s">
        <v>227</v>
      </c>
      <c r="N5403" s="26" t="s">
        <v>12332</v>
      </c>
      <c r="O5403" s="22" t="str">
        <f>HYPERLINK("https://pbs.twimg.com/profile_images/888074435344961536/bSHLRAum_normal.jpg","View")</f>
        <v>View</v>
      </c>
      <c r="P5403" s="27"/>
    </row>
    <row r="5404">
      <c r="A5404" s="14">
        <v>43031.34585648148</v>
      </c>
      <c r="B5404" s="20" t="str">
        <f>HYPERLINK("https://twitter.com/ashwanityagi24","@ashwanityagi24")</f>
        <v>@ashwanityagi24</v>
      </c>
      <c r="C5404" s="21" t="s">
        <v>12333</v>
      </c>
      <c r="D5404" s="21" t="s">
        <v>42</v>
      </c>
      <c r="E5404" s="22" t="str">
        <f>HYPERLINK("https://twitter.com/ashwanityagi24/status/922482251077767173","922482251077767173")</f>
        <v>922482251077767173</v>
      </c>
      <c r="F5404" s="23" t="s">
        <v>33</v>
      </c>
      <c r="G5404" s="24">
        <v>36.0</v>
      </c>
      <c r="H5404" s="24">
        <v>19.0</v>
      </c>
      <c r="I5404" s="24">
        <v>8501.0</v>
      </c>
      <c r="J5404" s="24">
        <v>0.0</v>
      </c>
      <c r="K5404" s="23" t="s">
        <v>34</v>
      </c>
      <c r="L5404" s="25">
        <v>41494.09636574074</v>
      </c>
      <c r="M5404" s="28"/>
      <c r="N5404" s="28"/>
      <c r="O5404" s="22" t="str">
        <f>HYPERLINK("https://pbs.twimg.com/profile_images/686095414869626880/__02ONdW_normal.jpg","View")</f>
        <v>View</v>
      </c>
      <c r="P5404" s="27"/>
    </row>
    <row r="5405">
      <c r="A5405" s="14">
        <v>43031.34590277778</v>
      </c>
      <c r="B5405" s="20" t="str">
        <f>HYPERLINK("https://twitter.com/akinto70","@akinto70")</f>
        <v>@akinto70</v>
      </c>
      <c r="C5405" s="21" t="s">
        <v>12334</v>
      </c>
      <c r="D5405" s="21" t="s">
        <v>12335</v>
      </c>
      <c r="E5405" s="22" t="str">
        <f>HYPERLINK("https://twitter.com/akinto70/status/922482268702216192","922482268702216192")</f>
        <v>922482268702216192</v>
      </c>
      <c r="F5405" s="23" t="s">
        <v>187</v>
      </c>
      <c r="G5405" s="24">
        <v>269.0</v>
      </c>
      <c r="H5405" s="24">
        <v>314.0</v>
      </c>
      <c r="I5405" s="24">
        <v>0.0</v>
      </c>
      <c r="J5405" s="24">
        <v>0.0</v>
      </c>
      <c r="K5405" s="23" t="s">
        <v>34</v>
      </c>
      <c r="L5405" s="25">
        <v>41013.93835648148</v>
      </c>
      <c r="M5405" s="26" t="s">
        <v>12336</v>
      </c>
      <c r="N5405" s="26" t="s">
        <v>12337</v>
      </c>
      <c r="O5405" s="22" t="str">
        <f>HYPERLINK("https://pbs.twimg.com/profile_images/843536542551425024/S5IJjqKR_normal.jpg","View")</f>
        <v>View</v>
      </c>
      <c r="P5405" s="27"/>
    </row>
    <row r="5406">
      <c r="A5406" s="14">
        <v>43031.345925925925</v>
      </c>
      <c r="B5406" s="20" t="str">
        <f>HYPERLINK("https://twitter.com/ghaivinod1","@ghaivinod1")</f>
        <v>@ghaivinod1</v>
      </c>
      <c r="C5406" s="21" t="s">
        <v>12338</v>
      </c>
      <c r="D5406" s="21" t="s">
        <v>42</v>
      </c>
      <c r="E5406" s="22" t="str">
        <f>HYPERLINK("https://twitter.com/ghaivinod1/status/922482278164414464","922482278164414464")</f>
        <v>922482278164414464</v>
      </c>
      <c r="F5406" s="23" t="s">
        <v>33</v>
      </c>
      <c r="G5406" s="24">
        <v>94.0</v>
      </c>
      <c r="H5406" s="24">
        <v>292.0</v>
      </c>
      <c r="I5406" s="24">
        <v>8501.0</v>
      </c>
      <c r="J5406" s="24">
        <v>0.0</v>
      </c>
      <c r="K5406" s="23" t="s">
        <v>34</v>
      </c>
      <c r="L5406" s="25">
        <v>40087.24086805555</v>
      </c>
      <c r="M5406" s="28"/>
      <c r="N5406" s="28"/>
      <c r="O5406" s="22" t="str">
        <f>HYPERLINK("https://pbs.twimg.com/profile_images/498121201592442880/PJGCB0nT_normal.jpeg","View")</f>
        <v>View</v>
      </c>
      <c r="P5406" s="27"/>
    </row>
    <row r="5407">
      <c r="A5407" s="14">
        <v>43031.34596064815</v>
      </c>
      <c r="B5407" s="20" t="str">
        <f>HYPERLINK("https://twitter.com/C_S_Tiwari","@C_S_Tiwari")</f>
        <v>@C_S_Tiwari</v>
      </c>
      <c r="C5407" s="21" t="s">
        <v>12339</v>
      </c>
      <c r="D5407" s="21" t="s">
        <v>42</v>
      </c>
      <c r="E5407" s="22" t="str">
        <f>HYPERLINK("https://twitter.com/C_S_Tiwari/status/922482291208683520","922482291208683520")</f>
        <v>922482291208683520</v>
      </c>
      <c r="F5407" s="23" t="s">
        <v>33</v>
      </c>
      <c r="G5407" s="24">
        <v>36.0</v>
      </c>
      <c r="H5407" s="24">
        <v>101.0</v>
      </c>
      <c r="I5407" s="24">
        <v>8501.0</v>
      </c>
      <c r="J5407" s="24">
        <v>0.0</v>
      </c>
      <c r="K5407" s="23" t="s">
        <v>34</v>
      </c>
      <c r="L5407" s="25">
        <v>42292.29653935185</v>
      </c>
      <c r="M5407" s="28"/>
      <c r="N5407" s="26" t="s">
        <v>12340</v>
      </c>
      <c r="O5407" s="22" t="str">
        <f>HYPERLINK("https://pbs.twimg.com/profile_images/654661131080826881/EQgfFFO0_normal.jpg","View")</f>
        <v>View</v>
      </c>
      <c r="P5407" s="27"/>
    </row>
    <row r="5408">
      <c r="A5408" s="14">
        <v>43031.34612268519</v>
      </c>
      <c r="B5408" s="20" t="str">
        <f>HYPERLINK("https://twitter.com/shantichennai","@shantichennai")</f>
        <v>@shantichennai</v>
      </c>
      <c r="C5408" s="21" t="s">
        <v>12341</v>
      </c>
      <c r="D5408" s="21" t="s">
        <v>163</v>
      </c>
      <c r="E5408" s="22" t="str">
        <f>HYPERLINK("https://twitter.com/shantichennai/status/922482349949960192","922482349949960192")</f>
        <v>922482349949960192</v>
      </c>
      <c r="F5408" s="23" t="s">
        <v>55</v>
      </c>
      <c r="G5408" s="24">
        <v>134.0</v>
      </c>
      <c r="H5408" s="24">
        <v>140.0</v>
      </c>
      <c r="I5408" s="24">
        <v>1005.0</v>
      </c>
      <c r="J5408" s="24">
        <v>0.0</v>
      </c>
      <c r="K5408" s="23" t="s">
        <v>34</v>
      </c>
      <c r="L5408" s="25">
        <v>40512.202951388885</v>
      </c>
      <c r="M5408" s="26" t="s">
        <v>204</v>
      </c>
      <c r="N5408" s="26" t="s">
        <v>12342</v>
      </c>
      <c r="O5408" s="22" t="str">
        <f>HYPERLINK("https://pbs.twimg.com/profile_images/858734329572204544/00cO8PS3_normal.jpg","View")</f>
        <v>View</v>
      </c>
      <c r="P5408" s="27"/>
    </row>
    <row r="5409">
      <c r="A5409" s="14">
        <v>43031.3462037037</v>
      </c>
      <c r="B5409" s="20" t="str">
        <f>HYPERLINK("https://twitter.com/pankajsuper30","@pankajsuper30")</f>
        <v>@pankajsuper30</v>
      </c>
      <c r="C5409" s="21" t="s">
        <v>1217</v>
      </c>
      <c r="D5409" s="21" t="s">
        <v>42</v>
      </c>
      <c r="E5409" s="22" t="str">
        <f>HYPERLINK("https://twitter.com/pankajsuper30/status/922482377410019328","922482377410019328")</f>
        <v>922482377410019328</v>
      </c>
      <c r="F5409" s="23" t="s">
        <v>33</v>
      </c>
      <c r="G5409" s="24">
        <v>4528.0</v>
      </c>
      <c r="H5409" s="24">
        <v>338.0</v>
      </c>
      <c r="I5409" s="24">
        <v>8501.0</v>
      </c>
      <c r="J5409" s="24">
        <v>0.0</v>
      </c>
      <c r="K5409" s="23" t="s">
        <v>34</v>
      </c>
      <c r="L5409" s="25">
        <v>41220.90355324074</v>
      </c>
      <c r="M5409" s="26" t="s">
        <v>12343</v>
      </c>
      <c r="N5409" s="26" t="s">
        <v>12344</v>
      </c>
      <c r="O5409" s="22" t="str">
        <f>HYPERLINK("https://pbs.twimg.com/profile_images/817850846411100163/khkkW1kr_normal.jpg","View")</f>
        <v>View</v>
      </c>
      <c r="P5409" s="27"/>
    </row>
    <row r="5410">
      <c r="A5410" s="14">
        <v>43031.34627314815</v>
      </c>
      <c r="B5410" s="20" t="str">
        <f>HYPERLINK("https://twitter.com/Vinubha48672724","@Vinubha48672724")</f>
        <v>@Vinubha48672724</v>
      </c>
      <c r="C5410" s="21" t="s">
        <v>12345</v>
      </c>
      <c r="D5410" s="21" t="s">
        <v>42</v>
      </c>
      <c r="E5410" s="22" t="str">
        <f>HYPERLINK("https://twitter.com/Vinubha48672724/status/922482403842580480","922482403842580480")</f>
        <v>922482403842580480</v>
      </c>
      <c r="F5410" s="23" t="s">
        <v>33</v>
      </c>
      <c r="G5410" s="24">
        <v>198.0</v>
      </c>
      <c r="H5410" s="24">
        <v>259.0</v>
      </c>
      <c r="I5410" s="24">
        <v>8501.0</v>
      </c>
      <c r="J5410" s="24">
        <v>0.0</v>
      </c>
      <c r="K5410" s="23" t="s">
        <v>34</v>
      </c>
      <c r="L5410" s="25">
        <v>42810.877280092594</v>
      </c>
      <c r="M5410" s="28"/>
      <c r="N5410" s="26" t="s">
        <v>12346</v>
      </c>
      <c r="O5410" s="22" t="str">
        <f>HYPERLINK("https://pbs.twimg.com/profile_images/847050710193721344/N5djVHpf_normal.jpg","View")</f>
        <v>View</v>
      </c>
      <c r="P5410" s="27"/>
    </row>
    <row r="5411">
      <c r="A5411" s="14">
        <v>43031.346284722225</v>
      </c>
      <c r="B5411" s="20" t="str">
        <f>HYPERLINK("https://twitter.com/BlogsofWar","@BlogsofWar")</f>
        <v>@BlogsofWar</v>
      </c>
      <c r="C5411" s="21" t="s">
        <v>12347</v>
      </c>
      <c r="D5411" s="21" t="s">
        <v>12348</v>
      </c>
      <c r="E5411" s="22" t="str">
        <f>HYPERLINK("https://twitter.com/BlogsofWar/status/922482407244222464","922482407244222464")</f>
        <v>922482407244222464</v>
      </c>
      <c r="F5411" s="23" t="s">
        <v>187</v>
      </c>
      <c r="G5411" s="24">
        <v>121323.0</v>
      </c>
      <c r="H5411" s="24">
        <v>8243.0</v>
      </c>
      <c r="I5411" s="24">
        <v>3.0</v>
      </c>
      <c r="J5411" s="24">
        <v>2.0</v>
      </c>
      <c r="K5411" s="23" t="s">
        <v>34</v>
      </c>
      <c r="L5411" s="25">
        <v>39553.62244212963</v>
      </c>
      <c r="M5411" s="26" t="s">
        <v>68</v>
      </c>
      <c r="N5411" s="26" t="s">
        <v>12349</v>
      </c>
      <c r="O5411" s="22" t="str">
        <f>HYPERLINK("https://pbs.twimg.com/profile_images/904810763109273600/G6i4cmr__normal.jpg","View")</f>
        <v>View</v>
      </c>
      <c r="P5411" s="27"/>
    </row>
    <row r="5412">
      <c r="A5412" s="14">
        <v>43031.34636574074</v>
      </c>
      <c r="B5412" s="20" t="str">
        <f>HYPERLINK("https://twitter.com/Meadows_Marin","@Meadows_Marin")</f>
        <v>@Meadows_Marin</v>
      </c>
      <c r="C5412" s="21" t="s">
        <v>12350</v>
      </c>
      <c r="D5412" s="21" t="s">
        <v>12351</v>
      </c>
      <c r="E5412" s="22" t="str">
        <f>HYPERLINK("https://twitter.com/Meadows_Marin/status/922482436382101505","922482436382101505")</f>
        <v>922482436382101505</v>
      </c>
      <c r="F5412" s="23" t="s">
        <v>39</v>
      </c>
      <c r="G5412" s="24">
        <v>494.0</v>
      </c>
      <c r="H5412" s="24">
        <v>1190.0</v>
      </c>
      <c r="I5412" s="24">
        <v>0.0</v>
      </c>
      <c r="J5412" s="24">
        <v>0.0</v>
      </c>
      <c r="K5412" s="23" t="s">
        <v>34</v>
      </c>
      <c r="L5412" s="25">
        <v>42512.50505787037</v>
      </c>
      <c r="M5412" s="26" t="s">
        <v>1983</v>
      </c>
      <c r="N5412" s="26" t="s">
        <v>12352</v>
      </c>
      <c r="O5412" s="22" t="str">
        <f>HYPERLINK("https://pbs.twimg.com/profile_images/734469198617792512/Na6zdc3W_normal.jpg","View")</f>
        <v>View</v>
      </c>
      <c r="P5412" s="27"/>
    </row>
    <row r="5413">
      <c r="A5413" s="14">
        <v>43031.34637731481</v>
      </c>
      <c r="B5413" s="20" t="str">
        <f>HYPERLINK("https://twitter.com/ILoveIndia86","@ILoveIndia86")</f>
        <v>@ILoveIndia86</v>
      </c>
      <c r="C5413" s="21" t="s">
        <v>12353</v>
      </c>
      <c r="D5413" s="21" t="s">
        <v>163</v>
      </c>
      <c r="E5413" s="22" t="str">
        <f>HYPERLINK("https://twitter.com/ILoveIndia86/status/922482439997370369","922482439997370369")</f>
        <v>922482439997370369</v>
      </c>
      <c r="F5413" s="23" t="s">
        <v>33</v>
      </c>
      <c r="G5413" s="24">
        <v>75.0</v>
      </c>
      <c r="H5413" s="24">
        <v>192.0</v>
      </c>
      <c r="I5413" s="24">
        <v>1005.0</v>
      </c>
      <c r="J5413" s="24">
        <v>0.0</v>
      </c>
      <c r="K5413" s="23" t="s">
        <v>34</v>
      </c>
      <c r="L5413" s="25">
        <v>42088.93246527778</v>
      </c>
      <c r="M5413" s="28"/>
      <c r="N5413" s="26" t="s">
        <v>12354</v>
      </c>
      <c r="O5413" s="22" t="str">
        <f>HYPERLINK("https://pbs.twimg.com/profile_images/580964444366249985/9iTsPvsA_normal.jpg","View")</f>
        <v>View</v>
      </c>
      <c r="P5413" s="27"/>
    </row>
    <row r="5414">
      <c r="A5414" s="14">
        <v>43031.34642361111</v>
      </c>
      <c r="B5414" s="20" t="str">
        <f>HYPERLINK("https://twitter.com/Sonisha24987453","@Sonisha24987453")</f>
        <v>@Sonisha24987453</v>
      </c>
      <c r="C5414" s="21" t="s">
        <v>12355</v>
      </c>
      <c r="D5414" s="21" t="s">
        <v>42</v>
      </c>
      <c r="E5414" s="22" t="str">
        <f>HYPERLINK("https://twitter.com/Sonisha24987453/status/922482459744206849","922482459744206849")</f>
        <v>922482459744206849</v>
      </c>
      <c r="F5414" s="23" t="s">
        <v>33</v>
      </c>
      <c r="G5414" s="24">
        <v>451.0</v>
      </c>
      <c r="H5414" s="24">
        <v>82.0</v>
      </c>
      <c r="I5414" s="24">
        <v>8501.0</v>
      </c>
      <c r="J5414" s="24">
        <v>0.0</v>
      </c>
      <c r="K5414" s="23" t="s">
        <v>34</v>
      </c>
      <c r="L5414" s="25">
        <v>42872.08505787037</v>
      </c>
      <c r="M5414" s="26" t="s">
        <v>12356</v>
      </c>
      <c r="N5414" s="26" t="s">
        <v>12357</v>
      </c>
      <c r="O5414" s="22" t="str">
        <f>HYPERLINK("https://pbs.twimg.com/profile_images/922523616167596032/X1LrLbNT_normal.jpg","View")</f>
        <v>View</v>
      </c>
      <c r="P5414" s="27"/>
    </row>
    <row r="5415">
      <c r="A5415" s="14">
        <v>43031.3465162037</v>
      </c>
      <c r="B5415" s="20" t="str">
        <f>HYPERLINK("https://twitter.com/alistairpge","@alistairpge")</f>
        <v>@alistairpge</v>
      </c>
      <c r="C5415" s="21" t="s">
        <v>12358</v>
      </c>
      <c r="D5415" s="21" t="s">
        <v>12359</v>
      </c>
      <c r="E5415" s="22" t="str">
        <f>HYPERLINK("https://twitter.com/alistairpge/status/922482490077532165","922482490077532165")</f>
        <v>922482490077532165</v>
      </c>
      <c r="F5415" s="23" t="s">
        <v>39</v>
      </c>
      <c r="G5415" s="24">
        <v>1025.0</v>
      </c>
      <c r="H5415" s="24">
        <v>269.0</v>
      </c>
      <c r="I5415" s="24">
        <v>1.0</v>
      </c>
      <c r="J5415" s="24">
        <v>0.0</v>
      </c>
      <c r="K5415" s="23" t="s">
        <v>34</v>
      </c>
      <c r="L5415" s="25">
        <v>41654.308958333335</v>
      </c>
      <c r="M5415" s="26" t="s">
        <v>10585</v>
      </c>
      <c r="N5415" s="26" t="s">
        <v>12360</v>
      </c>
      <c r="O5415" s="22" t="str">
        <f>HYPERLINK("https://pbs.twimg.com/profile_images/702803430662938625/ZRfX_XIK_normal.jpg","View")</f>
        <v>View</v>
      </c>
      <c r="P5415" s="27"/>
    </row>
    <row r="5416">
      <c r="A5416" s="14">
        <v>43031.34668981482</v>
      </c>
      <c r="B5416" s="20" t="str">
        <f>HYPERLINK("https://twitter.com/BijuNair20","@BijuNair20")</f>
        <v>@BijuNair20</v>
      </c>
      <c r="C5416" s="21" t="s">
        <v>12361</v>
      </c>
      <c r="D5416" s="21" t="s">
        <v>163</v>
      </c>
      <c r="E5416" s="22" t="str">
        <f>HYPERLINK("https://twitter.com/BijuNair20/status/922482554908717056","922482554908717056")</f>
        <v>922482554908717056</v>
      </c>
      <c r="F5416" s="23" t="s">
        <v>33</v>
      </c>
      <c r="G5416" s="24">
        <v>5894.0</v>
      </c>
      <c r="H5416" s="24">
        <v>3743.0</v>
      </c>
      <c r="I5416" s="24">
        <v>1005.0</v>
      </c>
      <c r="J5416" s="24">
        <v>0.0</v>
      </c>
      <c r="K5416" s="23" t="s">
        <v>34</v>
      </c>
      <c r="L5416" s="25">
        <v>41217.36696759259</v>
      </c>
      <c r="M5416" s="26" t="s">
        <v>204</v>
      </c>
      <c r="N5416" s="26" t="s">
        <v>12362</v>
      </c>
      <c r="O5416" s="22" t="str">
        <f>HYPERLINK("https://pbs.twimg.com/profile_images/804246718506102784/1uO9Sf8n_normal.jpg","View")</f>
        <v>View</v>
      </c>
      <c r="P5416" s="27"/>
    </row>
    <row r="5417">
      <c r="A5417" s="14">
        <v>43031.34680555556</v>
      </c>
      <c r="B5417" s="20" t="str">
        <f>HYPERLINK("https://twitter.com/SheilaSmithCFR","@SheilaSmithCFR")</f>
        <v>@SheilaSmithCFR</v>
      </c>
      <c r="C5417" s="21" t="s">
        <v>5595</v>
      </c>
      <c r="D5417" s="21" t="s">
        <v>7370</v>
      </c>
      <c r="E5417" s="22" t="str">
        <f>HYPERLINK("https://twitter.com/SheilaSmithCFR/status/922482597216903168","922482597216903168")</f>
        <v>922482597216903168</v>
      </c>
      <c r="F5417" s="23" t="s">
        <v>39</v>
      </c>
      <c r="G5417" s="24">
        <v>4431.0</v>
      </c>
      <c r="H5417" s="24">
        <v>310.0</v>
      </c>
      <c r="I5417" s="24">
        <v>4.0</v>
      </c>
      <c r="J5417" s="24">
        <v>0.0</v>
      </c>
      <c r="K5417" s="23" t="s">
        <v>34</v>
      </c>
      <c r="L5417" s="25">
        <v>40897.79835648148</v>
      </c>
      <c r="M5417" s="26" t="s">
        <v>4239</v>
      </c>
      <c r="N5417" s="26" t="s">
        <v>5596</v>
      </c>
      <c r="O5417" s="22" t="str">
        <f>HYPERLINK("https://pbs.twimg.com/profile_images/474587797337042945/HOSFbOao_normal.jpeg","View")</f>
        <v>View</v>
      </c>
      <c r="P5417" s="27"/>
    </row>
    <row r="5418">
      <c r="A5418" s="14">
        <v>43031.346817129626</v>
      </c>
      <c r="B5418" s="20" t="str">
        <f>HYPERLINK("https://twitter.com/et_toi666","@et_toi666")</f>
        <v>@et_toi666</v>
      </c>
      <c r="C5418" s="21" t="s">
        <v>12363</v>
      </c>
      <c r="D5418" s="21" t="s">
        <v>42</v>
      </c>
      <c r="E5418" s="22" t="str">
        <f>HYPERLINK("https://twitter.com/et_toi666/status/922482602107330560","922482602107330560")</f>
        <v>922482602107330560</v>
      </c>
      <c r="F5418" s="23" t="s">
        <v>55</v>
      </c>
      <c r="G5418" s="24">
        <v>5030.0</v>
      </c>
      <c r="H5418" s="24">
        <v>4718.0</v>
      </c>
      <c r="I5418" s="24">
        <v>8501.0</v>
      </c>
      <c r="J5418" s="24">
        <v>0.0</v>
      </c>
      <c r="K5418" s="23" t="s">
        <v>34</v>
      </c>
      <c r="L5418" s="25">
        <v>41467.014074074075</v>
      </c>
      <c r="M5418" s="28"/>
      <c r="N5418" s="26" t="s">
        <v>12364</v>
      </c>
      <c r="O5418" s="22" t="str">
        <f>HYPERLINK("https://pbs.twimg.com/profile_images/921616662087966720/8xamGI3p_normal.jpg","View")</f>
        <v>View</v>
      </c>
      <c r="P5418" s="27"/>
    </row>
    <row r="5419">
      <c r="A5419" s="14">
        <v>43031.34688657407</v>
      </c>
      <c r="B5419" s="20" t="str">
        <f>HYPERLINK("https://twitter.com/vinay_mauji","@vinay_mauji")</f>
        <v>@vinay_mauji</v>
      </c>
      <c r="C5419" s="21" t="s">
        <v>12365</v>
      </c>
      <c r="D5419" s="21" t="s">
        <v>42</v>
      </c>
      <c r="E5419" s="22" t="str">
        <f>HYPERLINK("https://twitter.com/vinay_mauji/status/922482626744561665","922482626744561665")</f>
        <v>922482626744561665</v>
      </c>
      <c r="F5419" s="23" t="s">
        <v>43</v>
      </c>
      <c r="G5419" s="24">
        <v>26.0</v>
      </c>
      <c r="H5419" s="24">
        <v>93.0</v>
      </c>
      <c r="I5419" s="24">
        <v>8501.0</v>
      </c>
      <c r="J5419" s="24">
        <v>0.0</v>
      </c>
      <c r="K5419" s="23" t="s">
        <v>34</v>
      </c>
      <c r="L5419" s="25">
        <v>42273.1934375</v>
      </c>
      <c r="M5419" s="28"/>
      <c r="N5419" s="28"/>
      <c r="O5419" s="22" t="str">
        <f>HYPERLINK("https://abs.twimg.com/sticky/default_profile_images/default_profile_normal.png","View")</f>
        <v>View</v>
      </c>
      <c r="P5419" s="27"/>
    </row>
    <row r="5420">
      <c r="A5420" s="14">
        <v>43031.34709490741</v>
      </c>
      <c r="B5420" s="20" t="str">
        <f>HYPERLINK("https://twitter.com/YYCFLFedLiberal","@YYCFLFedLiberal")</f>
        <v>@YYCFLFedLiberal</v>
      </c>
      <c r="C5420" s="21" t="s">
        <v>12366</v>
      </c>
      <c r="D5420" s="21" t="s">
        <v>11750</v>
      </c>
      <c r="E5420" s="22" t="str">
        <f>HYPERLINK("https://twitter.com/YYCFLFedLiberal/status/922482699876548608","922482699876548608")</f>
        <v>922482699876548608</v>
      </c>
      <c r="F5420" s="23" t="s">
        <v>39</v>
      </c>
      <c r="G5420" s="24">
        <v>641.0</v>
      </c>
      <c r="H5420" s="24">
        <v>751.0</v>
      </c>
      <c r="I5420" s="24">
        <v>35.0</v>
      </c>
      <c r="J5420" s="24">
        <v>0.0</v>
      </c>
      <c r="K5420" s="23" t="s">
        <v>34</v>
      </c>
      <c r="L5420" s="25">
        <v>40621.68082175926</v>
      </c>
      <c r="M5420" s="26" t="s">
        <v>12367</v>
      </c>
      <c r="N5420" s="26" t="s">
        <v>12368</v>
      </c>
      <c r="O5420" s="22" t="str">
        <f>HYPERLINK("https://pbs.twimg.com/profile_images/543994114933415936/g9jOQGXN_normal.jpeg","View")</f>
        <v>View</v>
      </c>
      <c r="P5420" s="27"/>
    </row>
    <row r="5421">
      <c r="A5421" s="14">
        <v>43031.34715277777</v>
      </c>
      <c r="B5421" s="20" t="str">
        <f>HYPERLINK("https://twitter.com/Baby_Yukko","@Baby_Yukko")</f>
        <v>@Baby_Yukko</v>
      </c>
      <c r="C5421" s="21" t="s">
        <v>12369</v>
      </c>
      <c r="D5421" s="21" t="s">
        <v>3867</v>
      </c>
      <c r="E5421" s="22" t="str">
        <f>HYPERLINK("https://twitter.com/Baby_Yukko/status/922482723179991043","922482723179991043")</f>
        <v>922482723179991043</v>
      </c>
      <c r="F5421" s="23" t="s">
        <v>55</v>
      </c>
      <c r="G5421" s="24">
        <v>30.0</v>
      </c>
      <c r="H5421" s="24">
        <v>51.0</v>
      </c>
      <c r="I5421" s="24">
        <v>23.0</v>
      </c>
      <c r="J5421" s="24">
        <v>0.0</v>
      </c>
      <c r="K5421" s="23" t="s">
        <v>34</v>
      </c>
      <c r="L5421" s="25">
        <v>40251.44299768518</v>
      </c>
      <c r="M5421" s="26" t="s">
        <v>12370</v>
      </c>
      <c r="N5421" s="26" t="s">
        <v>12371</v>
      </c>
      <c r="O5421" s="22" t="str">
        <f>HYPERLINK("https://pbs.twimg.com/profile_images/2357753068/fu75fcxyvkzro203gsl3_normal.jpeg","View")</f>
        <v>View</v>
      </c>
      <c r="P5421" s="27"/>
    </row>
    <row r="5422">
      <c r="A5422" s="14">
        <v>43031.347187499996</v>
      </c>
      <c r="B5422" s="20" t="str">
        <f>HYPERLINK("https://twitter.com/Dipak007","@Dipak007")</f>
        <v>@Dipak007</v>
      </c>
      <c r="C5422" s="21" t="s">
        <v>12372</v>
      </c>
      <c r="D5422" s="21" t="s">
        <v>42</v>
      </c>
      <c r="E5422" s="22" t="str">
        <f>HYPERLINK("https://twitter.com/Dipak007/status/922482735528034304","922482735528034304")</f>
        <v>922482735528034304</v>
      </c>
      <c r="F5422" s="23" t="s">
        <v>33</v>
      </c>
      <c r="G5422" s="24">
        <v>49.0</v>
      </c>
      <c r="H5422" s="24">
        <v>68.0</v>
      </c>
      <c r="I5422" s="24">
        <v>8501.0</v>
      </c>
      <c r="J5422" s="24">
        <v>0.0</v>
      </c>
      <c r="K5422" s="23" t="s">
        <v>34</v>
      </c>
      <c r="L5422" s="25">
        <v>39705.01663194445</v>
      </c>
      <c r="M5422" s="26" t="s">
        <v>12373</v>
      </c>
      <c r="N5422" s="28"/>
      <c r="O5422" s="22" t="str">
        <f>HYPERLINK("https://pbs.twimg.com/profile_images/3009511597/42630dfaeb2439636287d44ec89ff14d_normal.jpeg","View")</f>
        <v>View</v>
      </c>
      <c r="P5422" s="27"/>
    </row>
    <row r="5423">
      <c r="A5423" s="14">
        <v>43031.34722222222</v>
      </c>
      <c r="B5423" s="20" t="str">
        <f>HYPERLINK("https://twitter.com/amithdenzi","@amithdenzi")</f>
        <v>@amithdenzi</v>
      </c>
      <c r="C5423" s="21" t="s">
        <v>12374</v>
      </c>
      <c r="D5423" s="21" t="s">
        <v>42</v>
      </c>
      <c r="E5423" s="22" t="str">
        <f>HYPERLINK("https://twitter.com/amithdenzi/status/922482746492010496","922482746492010496")</f>
        <v>922482746492010496</v>
      </c>
      <c r="F5423" s="23" t="s">
        <v>33</v>
      </c>
      <c r="G5423" s="24">
        <v>227.0</v>
      </c>
      <c r="H5423" s="24">
        <v>1152.0</v>
      </c>
      <c r="I5423" s="24">
        <v>8501.0</v>
      </c>
      <c r="J5423" s="24">
        <v>0.0</v>
      </c>
      <c r="K5423" s="23" t="s">
        <v>34</v>
      </c>
      <c r="L5423" s="25">
        <v>41572.275925925926</v>
      </c>
      <c r="M5423" s="26" t="s">
        <v>12375</v>
      </c>
      <c r="N5423" s="28"/>
      <c r="O5423" s="22" t="str">
        <f>HYPERLINK("https://pbs.twimg.com/profile_images/903617126740574209/plcVnmCH_normal.jpg","View")</f>
        <v>View</v>
      </c>
      <c r="P5423" s="27"/>
    </row>
    <row r="5424">
      <c r="A5424" s="14">
        <v>43031.347291666665</v>
      </c>
      <c r="B5424" s="20" t="str">
        <f>HYPERLINK("https://twitter.com/Meadows_Marin","@Meadows_Marin")</f>
        <v>@Meadows_Marin</v>
      </c>
      <c r="C5424" s="21" t="s">
        <v>12350</v>
      </c>
      <c r="D5424" s="21" t="s">
        <v>12376</v>
      </c>
      <c r="E5424" s="22" t="str">
        <f>HYPERLINK("https://twitter.com/Meadows_Marin/status/922482772991758336","922482772991758336")</f>
        <v>922482772991758336</v>
      </c>
      <c r="F5424" s="23" t="s">
        <v>39</v>
      </c>
      <c r="G5424" s="24">
        <v>494.0</v>
      </c>
      <c r="H5424" s="24">
        <v>1190.0</v>
      </c>
      <c r="I5424" s="24">
        <v>1.0</v>
      </c>
      <c r="J5424" s="24">
        <v>0.0</v>
      </c>
      <c r="K5424" s="23" t="s">
        <v>34</v>
      </c>
      <c r="L5424" s="25">
        <v>42512.50505787037</v>
      </c>
      <c r="M5424" s="26" t="s">
        <v>1983</v>
      </c>
      <c r="N5424" s="26" t="s">
        <v>12352</v>
      </c>
      <c r="O5424" s="22" t="str">
        <f>HYPERLINK("https://pbs.twimg.com/profile_images/734469198617792512/Na6zdc3W_normal.jpg","View")</f>
        <v>View</v>
      </c>
      <c r="P5424" s="27"/>
    </row>
    <row r="5425">
      <c r="A5425" s="14">
        <v>43031.34730324074</v>
      </c>
      <c r="B5425" s="20" t="str">
        <f>HYPERLINK("https://twitter.com/debeshmajumdar","@debeshmajumdar")</f>
        <v>@debeshmajumdar</v>
      </c>
      <c r="C5425" s="21" t="s">
        <v>12377</v>
      </c>
      <c r="D5425" s="21" t="s">
        <v>163</v>
      </c>
      <c r="E5425" s="22" t="str">
        <f>HYPERLINK("https://twitter.com/debeshmajumdar/status/922482775290032129","922482775290032129")</f>
        <v>922482775290032129</v>
      </c>
      <c r="F5425" s="23" t="s">
        <v>33</v>
      </c>
      <c r="G5425" s="24">
        <v>272.0</v>
      </c>
      <c r="H5425" s="24">
        <v>784.0</v>
      </c>
      <c r="I5425" s="24">
        <v>1005.0</v>
      </c>
      <c r="J5425" s="24">
        <v>0.0</v>
      </c>
      <c r="K5425" s="23" t="s">
        <v>34</v>
      </c>
      <c r="L5425" s="25">
        <v>39970.962106481486</v>
      </c>
      <c r="M5425" s="26" t="s">
        <v>603</v>
      </c>
      <c r="N5425" s="26" t="s">
        <v>12378</v>
      </c>
      <c r="O5425" s="22" t="str">
        <f>HYPERLINK("https://pbs.twimg.com/profile_images/378800000773766877/1e7e2ff1ae896b3fe4d5407a07965b9f_normal.jpeg","View")</f>
        <v>View</v>
      </c>
      <c r="P5425" s="27"/>
    </row>
    <row r="5426">
      <c r="A5426" s="14">
        <v>43031.34737268518</v>
      </c>
      <c r="B5426" s="20" t="str">
        <f>HYPERLINK("https://twitter.com/KateYoungMP","@KateYoungMP")</f>
        <v>@KateYoungMP</v>
      </c>
      <c r="C5426" s="21" t="s">
        <v>12379</v>
      </c>
      <c r="D5426" s="21" t="s">
        <v>10614</v>
      </c>
      <c r="E5426" s="22" t="str">
        <f>HYPERLINK("https://twitter.com/KateYoungMP/status/922482800191770625","922482800191770625")</f>
        <v>922482800191770625</v>
      </c>
      <c r="F5426" s="23" t="s">
        <v>39</v>
      </c>
      <c r="G5426" s="24">
        <v>4817.0</v>
      </c>
      <c r="H5426" s="24">
        <v>4026.0</v>
      </c>
      <c r="I5426" s="24">
        <v>159.0</v>
      </c>
      <c r="J5426" s="24">
        <v>0.0</v>
      </c>
      <c r="K5426" s="23" t="s">
        <v>34</v>
      </c>
      <c r="L5426" s="25">
        <v>41875.45903935185</v>
      </c>
      <c r="M5426" s="26" t="s">
        <v>12380</v>
      </c>
      <c r="N5426" s="26" t="s">
        <v>12381</v>
      </c>
      <c r="O5426" s="22" t="str">
        <f>HYPERLINK("https://pbs.twimg.com/profile_images/855507078168948736/tQu8czNs_normal.jpg","View")</f>
        <v>View</v>
      </c>
      <c r="P5426" s="27"/>
    </row>
    <row r="5427">
      <c r="A5427" s="14">
        <v>43031.347453703704</v>
      </c>
      <c r="B5427" s="20" t="str">
        <f>HYPERLINK("https://twitter.com/TheNobel","@TheNobel")</f>
        <v>@TheNobel</v>
      </c>
      <c r="C5427" s="21" t="s">
        <v>12382</v>
      </c>
      <c r="D5427" s="21" t="s">
        <v>11750</v>
      </c>
      <c r="E5427" s="22" t="str">
        <f>HYPERLINK("https://twitter.com/TheNobel/status/922482829472169984","922482829472169984")</f>
        <v>922482829472169984</v>
      </c>
      <c r="F5427" s="23" t="s">
        <v>39</v>
      </c>
      <c r="G5427" s="24">
        <v>3474.0</v>
      </c>
      <c r="H5427" s="24">
        <v>3922.0</v>
      </c>
      <c r="I5427" s="24">
        <v>35.0</v>
      </c>
      <c r="J5427" s="24">
        <v>0.0</v>
      </c>
      <c r="K5427" s="23" t="s">
        <v>34</v>
      </c>
      <c r="L5427" s="25">
        <v>39975.48140046296</v>
      </c>
      <c r="M5427" s="26" t="s">
        <v>12383</v>
      </c>
      <c r="N5427" s="26" t="s">
        <v>12384</v>
      </c>
      <c r="O5427" s="22" t="str">
        <f>HYPERLINK("https://pbs.twimg.com/profile_images/900921793166417920/MKyB1LwJ_normal.jpg","View")</f>
        <v>View</v>
      </c>
      <c r="P5427" s="27"/>
    </row>
    <row r="5428">
      <c r="A5428" s="14">
        <v>43031.34752314815</v>
      </c>
      <c r="B5428" s="20" t="str">
        <f>HYPERLINK("https://twitter.com/ilragazzogeopol","@ilragazzogeopol")</f>
        <v>@ilragazzogeopol</v>
      </c>
      <c r="C5428" s="21" t="s">
        <v>12385</v>
      </c>
      <c r="D5428" s="21" t="s">
        <v>12386</v>
      </c>
      <c r="E5428" s="22" t="str">
        <f>HYPERLINK("https://twitter.com/ilragazzogeopol/status/922482857595097088","922482857595097088")</f>
        <v>922482857595097088</v>
      </c>
      <c r="F5428" s="23" t="s">
        <v>780</v>
      </c>
      <c r="G5428" s="24">
        <v>521.0</v>
      </c>
      <c r="H5428" s="24">
        <v>1280.0</v>
      </c>
      <c r="I5428" s="24">
        <v>0.0</v>
      </c>
      <c r="J5428" s="24">
        <v>0.0</v>
      </c>
      <c r="K5428" s="23" t="s">
        <v>34</v>
      </c>
      <c r="L5428" s="25">
        <v>40943.164375</v>
      </c>
      <c r="M5428" s="28"/>
      <c r="N5428" s="26" t="s">
        <v>12387</v>
      </c>
      <c r="O5428" s="22" t="str">
        <f>HYPERLINK("https://pbs.twimg.com/profile_images/1803247004/bambino_geopolitico_normal.jpg","View")</f>
        <v>View</v>
      </c>
      <c r="P5428" s="27"/>
    </row>
    <row r="5429">
      <c r="A5429" s="14">
        <v>43031.347604166665</v>
      </c>
      <c r="B5429" s="20" t="str">
        <f>HYPERLINK("https://twitter.com/ExactlyUcan","@ExactlyUcan")</f>
        <v>@ExactlyUcan</v>
      </c>
      <c r="C5429" s="21" t="s">
        <v>12388</v>
      </c>
      <c r="D5429" s="21" t="s">
        <v>42</v>
      </c>
      <c r="E5429" s="22" t="str">
        <f>HYPERLINK("https://twitter.com/ExactlyUcan/status/922482885726105600","922482885726105600")</f>
        <v>922482885726105600</v>
      </c>
      <c r="F5429" s="23" t="s">
        <v>39</v>
      </c>
      <c r="G5429" s="24">
        <v>15.0</v>
      </c>
      <c r="H5429" s="24">
        <v>43.0</v>
      </c>
      <c r="I5429" s="24">
        <v>8501.0</v>
      </c>
      <c r="J5429" s="24">
        <v>0.0</v>
      </c>
      <c r="K5429" s="23" t="s">
        <v>34</v>
      </c>
      <c r="L5429" s="25">
        <v>40568.29488425926</v>
      </c>
      <c r="M5429" s="28"/>
      <c r="N5429" s="28"/>
      <c r="O5429" s="22" t="str">
        <f>HYPERLINK("https://abs.twimg.com/sticky/default_profile_images/default_profile_normal.png","View")</f>
        <v>View</v>
      </c>
      <c r="P5429" s="27"/>
    </row>
    <row r="5430">
      <c r="A5430" s="14">
        <v>43031.34762731481</v>
      </c>
      <c r="B5430" s="20" t="str">
        <f>HYPERLINK("https://twitter.com/Pinga28O","@Pinga28O")</f>
        <v>@Pinga28O</v>
      </c>
      <c r="C5430" s="21" t="s">
        <v>12389</v>
      </c>
      <c r="D5430" s="21" t="s">
        <v>42</v>
      </c>
      <c r="E5430" s="22" t="str">
        <f>HYPERLINK("https://twitter.com/Pinga28O/status/922482893099692032","922482893099692032")</f>
        <v>922482893099692032</v>
      </c>
      <c r="F5430" s="23" t="s">
        <v>33</v>
      </c>
      <c r="G5430" s="24">
        <v>594.0</v>
      </c>
      <c r="H5430" s="24">
        <v>681.0</v>
      </c>
      <c r="I5430" s="24">
        <v>8501.0</v>
      </c>
      <c r="J5430" s="24">
        <v>0.0</v>
      </c>
      <c r="K5430" s="23" t="s">
        <v>34</v>
      </c>
      <c r="L5430" s="25">
        <v>41007.3021875</v>
      </c>
      <c r="M5430" s="26" t="s">
        <v>12390</v>
      </c>
      <c r="N5430" s="26" t="s">
        <v>12391</v>
      </c>
      <c r="O5430" s="22" t="str">
        <f>HYPERLINK("https://pbs.twimg.com/profile_images/456128631895367680/st9mjoEH_normal.jpeg","View")</f>
        <v>View</v>
      </c>
      <c r="P5430" s="27"/>
    </row>
    <row r="5431">
      <c r="A5431" s="14">
        <v>43031.34771990741</v>
      </c>
      <c r="B5431" s="20" t="str">
        <f>HYPERLINK("https://twitter.com/vinaypa89575571","@vinaypa89575571")</f>
        <v>@vinaypa89575571</v>
      </c>
      <c r="C5431" s="21" t="s">
        <v>12392</v>
      </c>
      <c r="D5431" s="21" t="s">
        <v>42</v>
      </c>
      <c r="E5431" s="22" t="str">
        <f>HYPERLINK("https://twitter.com/vinaypa89575571/status/922482928151646210","922482928151646210")</f>
        <v>922482928151646210</v>
      </c>
      <c r="F5431" s="23" t="s">
        <v>33</v>
      </c>
      <c r="G5431" s="24">
        <v>658.0</v>
      </c>
      <c r="H5431" s="24">
        <v>1306.0</v>
      </c>
      <c r="I5431" s="24">
        <v>8501.0</v>
      </c>
      <c r="J5431" s="24">
        <v>0.0</v>
      </c>
      <c r="K5431" s="23" t="s">
        <v>34</v>
      </c>
      <c r="L5431" s="25">
        <v>42893.562789351854</v>
      </c>
      <c r="M5431" s="26" t="s">
        <v>12393</v>
      </c>
      <c r="N5431" s="26" t="s">
        <v>12394</v>
      </c>
      <c r="O5431" s="22" t="str">
        <f>HYPERLINK("https://pbs.twimg.com/profile_images/872838119871188992/0b1drtsV_normal.jpg","View")</f>
        <v>View</v>
      </c>
      <c r="P5431" s="27"/>
    </row>
    <row r="5432">
      <c r="A5432" s="14">
        <v>43031.34778935185</v>
      </c>
      <c r="B5432" s="20" t="str">
        <f>HYPERLINK("https://twitter.com/aditya_jhaji","@aditya_jhaji")</f>
        <v>@aditya_jhaji</v>
      </c>
      <c r="C5432" s="21" t="s">
        <v>12395</v>
      </c>
      <c r="D5432" s="21" t="s">
        <v>42</v>
      </c>
      <c r="E5432" s="22" t="str">
        <f>HYPERLINK("https://twitter.com/aditya_jhaji/status/922482953099153408","922482953099153408")</f>
        <v>922482953099153408</v>
      </c>
      <c r="F5432" s="23" t="s">
        <v>33</v>
      </c>
      <c r="G5432" s="24">
        <v>27.0</v>
      </c>
      <c r="H5432" s="24">
        <v>156.0</v>
      </c>
      <c r="I5432" s="24">
        <v>8501.0</v>
      </c>
      <c r="J5432" s="24">
        <v>0.0</v>
      </c>
      <c r="K5432" s="23" t="s">
        <v>34</v>
      </c>
      <c r="L5432" s="25">
        <v>41914.40758101852</v>
      </c>
      <c r="M5432" s="28"/>
      <c r="N5432" s="28"/>
      <c r="O5432" s="22" t="str">
        <f>HYPERLINK("https://pbs.twimg.com/profile_images/660712278098968576/FJmceHrm_normal.jpg","View")</f>
        <v>View</v>
      </c>
      <c r="P5432" s="27"/>
    </row>
    <row r="5433">
      <c r="A5433" s="14">
        <v>43031.34782407407</v>
      </c>
      <c r="B5433" s="20" t="str">
        <f>HYPERLINK("https://twitter.com/LisiRabazzi","@LisiRabazzi")</f>
        <v>@LisiRabazzi</v>
      </c>
      <c r="C5433" s="21" t="s">
        <v>12396</v>
      </c>
      <c r="D5433" s="21" t="s">
        <v>10614</v>
      </c>
      <c r="E5433" s="22" t="str">
        <f>HYPERLINK("https://twitter.com/LisiRabazzi/status/922482965032112129","922482965032112129")</f>
        <v>922482965032112129</v>
      </c>
      <c r="F5433" s="23" t="s">
        <v>39</v>
      </c>
      <c r="G5433" s="24">
        <v>209.0</v>
      </c>
      <c r="H5433" s="24">
        <v>291.0</v>
      </c>
      <c r="I5433" s="24">
        <v>159.0</v>
      </c>
      <c r="J5433" s="24">
        <v>0.0</v>
      </c>
      <c r="K5433" s="23" t="s">
        <v>34</v>
      </c>
      <c r="L5433" s="25">
        <v>40266.70497685185</v>
      </c>
      <c r="M5433" s="28"/>
      <c r="N5433" s="26" t="s">
        <v>12397</v>
      </c>
      <c r="O5433" s="22" t="str">
        <f>HYPERLINK("https://pbs.twimg.com/profile_images/883714640278159361/ydk4uPN7_normal.jpg","View")</f>
        <v>View</v>
      </c>
      <c r="P5433" s="27"/>
    </row>
    <row r="5434">
      <c r="A5434" s="14">
        <v>43031.347905092596</v>
      </c>
      <c r="B5434" s="20" t="str">
        <f>HYPERLINK("https://twitter.com/GopalPr74357540","@GopalPr74357540")</f>
        <v>@GopalPr74357540</v>
      </c>
      <c r="C5434" s="21" t="s">
        <v>12398</v>
      </c>
      <c r="D5434" s="21" t="s">
        <v>42</v>
      </c>
      <c r="E5434" s="22" t="str">
        <f>HYPERLINK("https://twitter.com/GopalPr74357540/status/922482996774559744","922482996774559744")</f>
        <v>922482996774559744</v>
      </c>
      <c r="F5434" s="23" t="s">
        <v>33</v>
      </c>
      <c r="G5434" s="24">
        <v>28.0</v>
      </c>
      <c r="H5434" s="24">
        <v>97.0</v>
      </c>
      <c r="I5434" s="24">
        <v>8501.0</v>
      </c>
      <c r="J5434" s="24">
        <v>0.0</v>
      </c>
      <c r="K5434" s="23" t="s">
        <v>34</v>
      </c>
      <c r="L5434" s="25">
        <v>42986.89944444444</v>
      </c>
      <c r="M5434" s="26" t="s">
        <v>227</v>
      </c>
      <c r="N5434" s="26" t="s">
        <v>12399</v>
      </c>
      <c r="O5434" s="22" t="str">
        <f>HYPERLINK("https://pbs.twimg.com/profile_images/907132072849940480/2wpvtNHS_normal.jpg","View")</f>
        <v>View</v>
      </c>
      <c r="P5434" s="27"/>
    </row>
    <row r="5435">
      <c r="A5435" s="14">
        <v>43031.348032407404</v>
      </c>
      <c r="B5435" s="20" t="str">
        <f>HYPERLINK("https://twitter.com/ashok_dwivedy","@ashok_dwivedy")</f>
        <v>@ashok_dwivedy</v>
      </c>
      <c r="C5435" s="21" t="s">
        <v>12400</v>
      </c>
      <c r="D5435" s="21" t="s">
        <v>42</v>
      </c>
      <c r="E5435" s="22" t="str">
        <f>HYPERLINK("https://twitter.com/ashok_dwivedy/status/922483040940523521","922483040940523521")</f>
        <v>922483040940523521</v>
      </c>
      <c r="F5435" s="23" t="s">
        <v>33</v>
      </c>
      <c r="G5435" s="24">
        <v>738.0</v>
      </c>
      <c r="H5435" s="24">
        <v>774.0</v>
      </c>
      <c r="I5435" s="24">
        <v>8501.0</v>
      </c>
      <c r="J5435" s="24">
        <v>0.0</v>
      </c>
      <c r="K5435" s="23" t="s">
        <v>34</v>
      </c>
      <c r="L5435" s="25">
        <v>42410.952199074076</v>
      </c>
      <c r="M5435" s="26" t="s">
        <v>12401</v>
      </c>
      <c r="N5435" s="26" t="s">
        <v>12402</v>
      </c>
      <c r="O5435" s="22" t="str">
        <f>HYPERLINK("https://pbs.twimg.com/profile_images/770949934258409472/tHySs64u_normal.jpg","View")</f>
        <v>View</v>
      </c>
      <c r="P5435" s="27"/>
    </row>
    <row r="5436">
      <c r="A5436" s="14">
        <v>43031.34805555556</v>
      </c>
      <c r="B5436" s="20" t="str">
        <f>HYPERLINK("https://twitter.com/MariesLostBeef","@MariesLostBeef")</f>
        <v>@MariesLostBeef</v>
      </c>
      <c r="C5436" s="21" t="s">
        <v>12403</v>
      </c>
      <c r="D5436" s="21" t="s">
        <v>4001</v>
      </c>
      <c r="E5436" s="22" t="str">
        <f>HYPERLINK("https://twitter.com/MariesLostBeef/status/922483047483695104","922483047483695104")</f>
        <v>922483047483695104</v>
      </c>
      <c r="F5436" s="23" t="s">
        <v>55</v>
      </c>
      <c r="G5436" s="24">
        <v>742.0</v>
      </c>
      <c r="H5436" s="24">
        <v>773.0</v>
      </c>
      <c r="I5436" s="24">
        <v>58.0</v>
      </c>
      <c r="J5436" s="24">
        <v>0.0</v>
      </c>
      <c r="K5436" s="23" t="s">
        <v>34</v>
      </c>
      <c r="L5436" s="25">
        <v>40994.19824074074</v>
      </c>
      <c r="M5436" s="26" t="s">
        <v>1224</v>
      </c>
      <c r="N5436" s="26" t="s">
        <v>12404</v>
      </c>
      <c r="O5436" s="22" t="str">
        <f>HYPERLINK("https://pbs.twimg.com/profile_images/814087295393378304/Y0HrGe7K_normal.jpg","View")</f>
        <v>View</v>
      </c>
      <c r="P5436" s="27"/>
    </row>
    <row r="5437">
      <c r="A5437" s="14">
        <v>43031.34824074074</v>
      </c>
      <c r="B5437" s="20" t="str">
        <f>HYPERLINK("https://twitter.com/KabraMohit","@KabraMohit")</f>
        <v>@KabraMohit</v>
      </c>
      <c r="C5437" s="21" t="s">
        <v>12405</v>
      </c>
      <c r="D5437" s="21" t="s">
        <v>163</v>
      </c>
      <c r="E5437" s="22" t="str">
        <f>HYPERLINK("https://twitter.com/KabraMohit/status/922483114823376896","922483114823376896")</f>
        <v>922483114823376896</v>
      </c>
      <c r="F5437" s="23" t="s">
        <v>33</v>
      </c>
      <c r="G5437" s="24">
        <v>420.0</v>
      </c>
      <c r="H5437" s="24">
        <v>258.0</v>
      </c>
      <c r="I5437" s="24">
        <v>1005.0</v>
      </c>
      <c r="J5437" s="24">
        <v>0.0</v>
      </c>
      <c r="K5437" s="23" t="s">
        <v>34</v>
      </c>
      <c r="L5437" s="25">
        <v>40690.00025462963</v>
      </c>
      <c r="M5437" s="26" t="s">
        <v>207</v>
      </c>
      <c r="N5437" s="26" t="s">
        <v>12406</v>
      </c>
      <c r="O5437" s="22" t="str">
        <f>HYPERLINK("https://pbs.twimg.com/profile_images/915471027655786496/UDLTtpWS_normal.jpg","View")</f>
        <v>View</v>
      </c>
      <c r="P5437" s="27"/>
    </row>
    <row r="5438">
      <c r="A5438" s="14">
        <v>43031.34824074074</v>
      </c>
      <c r="B5438" s="20" t="str">
        <f>HYPERLINK("https://twitter.com/yamatonkokoro","@yamatonkokoro")</f>
        <v>@yamatonkokoro</v>
      </c>
      <c r="C5438" s="21" t="s">
        <v>12407</v>
      </c>
      <c r="D5438" s="21" t="s">
        <v>42</v>
      </c>
      <c r="E5438" s="22" t="str">
        <f>HYPERLINK("https://twitter.com/yamatonkokoro/status/922483117998317568","922483117998317568")</f>
        <v>922483117998317568</v>
      </c>
      <c r="F5438" s="23" t="s">
        <v>39</v>
      </c>
      <c r="G5438" s="24">
        <v>660.0</v>
      </c>
      <c r="H5438" s="24">
        <v>725.0</v>
      </c>
      <c r="I5438" s="24">
        <v>8501.0</v>
      </c>
      <c r="J5438" s="24">
        <v>0.0</v>
      </c>
      <c r="K5438" s="23" t="s">
        <v>34</v>
      </c>
      <c r="L5438" s="25">
        <v>40477.09674768519</v>
      </c>
      <c r="M5438" s="26" t="s">
        <v>12408</v>
      </c>
      <c r="N5438" s="26" t="s">
        <v>12409</v>
      </c>
      <c r="O5438" s="22" t="str">
        <f>HYPERLINK("https://pbs.twimg.com/profile_images/431971954438852608/XxBjyeEs_normal.jpeg","View")</f>
        <v>View</v>
      </c>
      <c r="P5438" s="27"/>
    </row>
    <row r="5439">
      <c r="A5439" s="14">
        <v>43031.34835648148</v>
      </c>
      <c r="B5439" s="20" t="str">
        <f>HYPERLINK("https://twitter.com/BGASC_Metals","@BGASC_Metals")</f>
        <v>@BGASC_Metals</v>
      </c>
      <c r="C5439" s="29" t="s">
        <v>12410</v>
      </c>
      <c r="D5439" s="21" t="s">
        <v>12411</v>
      </c>
      <c r="E5439" s="22" t="str">
        <f>HYPERLINK("https://twitter.com/BGASC_Metals/status/922483157710131200","922483157710131200")</f>
        <v>922483157710131200</v>
      </c>
      <c r="F5439" s="23" t="s">
        <v>55</v>
      </c>
      <c r="G5439" s="24">
        <v>194.0</v>
      </c>
      <c r="H5439" s="24">
        <v>99.0</v>
      </c>
      <c r="I5439" s="24">
        <v>0.0</v>
      </c>
      <c r="J5439" s="24">
        <v>0.0</v>
      </c>
      <c r="K5439" s="23" t="s">
        <v>34</v>
      </c>
      <c r="L5439" s="25">
        <v>41499.541226851856</v>
      </c>
      <c r="M5439" s="28"/>
      <c r="N5439" s="26" t="s">
        <v>12412</v>
      </c>
      <c r="O5439" s="22" t="str">
        <f>HYPERLINK("https://pbs.twimg.com/profile_images/378800000605912143/e8c65cd85a91db7f953d7f8889034735_normal.png","View")</f>
        <v>View</v>
      </c>
      <c r="P5439" s="27"/>
    </row>
    <row r="5440">
      <c r="A5440" s="14">
        <v>43031.348391203705</v>
      </c>
      <c r="B5440" s="20" t="str">
        <f>HYPERLINK("https://twitter.com/Haryourdehjii","@Haryourdehjii")</f>
        <v>@Haryourdehjii</v>
      </c>
      <c r="C5440" s="21" t="s">
        <v>12413</v>
      </c>
      <c r="D5440" s="21" t="s">
        <v>12261</v>
      </c>
      <c r="E5440" s="22" t="str">
        <f>HYPERLINK("https://twitter.com/Haryourdehjii/status/922483170276265984","922483170276265984")</f>
        <v>922483170276265984</v>
      </c>
      <c r="F5440" s="23" t="s">
        <v>33</v>
      </c>
      <c r="G5440" s="24">
        <v>673.0</v>
      </c>
      <c r="H5440" s="24">
        <v>175.0</v>
      </c>
      <c r="I5440" s="24">
        <v>5.0</v>
      </c>
      <c r="J5440" s="24">
        <v>0.0</v>
      </c>
      <c r="K5440" s="23" t="s">
        <v>34</v>
      </c>
      <c r="L5440" s="25">
        <v>41240.66210648148</v>
      </c>
      <c r="M5440" s="26" t="s">
        <v>12414</v>
      </c>
      <c r="N5440" s="26" t="s">
        <v>12415</v>
      </c>
      <c r="O5440" s="22" t="str">
        <f>HYPERLINK("https://pbs.twimg.com/profile_images/912454114189217792/v0x2hsb5_normal.jpg","View")</f>
        <v>View</v>
      </c>
      <c r="P5440" s="27"/>
    </row>
    <row r="5441">
      <c r="A5441" s="14">
        <v>43031.348402777774</v>
      </c>
      <c r="B5441" s="20" t="str">
        <f>HYPERLINK("https://twitter.com/MariesLostBeef","@MariesLostBeef")</f>
        <v>@MariesLostBeef</v>
      </c>
      <c r="C5441" s="21" t="s">
        <v>12403</v>
      </c>
      <c r="D5441" s="21" t="s">
        <v>12312</v>
      </c>
      <c r="E5441" s="22" t="str">
        <f>HYPERLINK("https://twitter.com/MariesLostBeef/status/922483175900590081","922483175900590081")</f>
        <v>922483175900590081</v>
      </c>
      <c r="F5441" s="23" t="s">
        <v>55</v>
      </c>
      <c r="G5441" s="24">
        <v>742.0</v>
      </c>
      <c r="H5441" s="24">
        <v>773.0</v>
      </c>
      <c r="I5441" s="24">
        <v>2.0</v>
      </c>
      <c r="J5441" s="24">
        <v>0.0</v>
      </c>
      <c r="K5441" s="23" t="s">
        <v>34</v>
      </c>
      <c r="L5441" s="25">
        <v>40994.19824074074</v>
      </c>
      <c r="M5441" s="26" t="s">
        <v>1224</v>
      </c>
      <c r="N5441" s="26" t="s">
        <v>12404</v>
      </c>
      <c r="O5441" s="22" t="str">
        <f>HYPERLINK("https://pbs.twimg.com/profile_images/814087295393378304/Y0HrGe7K_normal.jpg","View")</f>
        <v>View</v>
      </c>
      <c r="P5441" s="27"/>
    </row>
    <row r="5442">
      <c r="A5442" s="14">
        <v>43031.348541666666</v>
      </c>
      <c r="B5442" s="20" t="str">
        <f>HYPERLINK("https://twitter.com/SoumenB18712229","@SoumenB18712229")</f>
        <v>@SoumenB18712229</v>
      </c>
      <c r="C5442" s="21" t="s">
        <v>12416</v>
      </c>
      <c r="D5442" s="21" t="s">
        <v>42</v>
      </c>
      <c r="E5442" s="22" t="str">
        <f>HYPERLINK("https://twitter.com/SoumenB18712229/status/922483223573151744","922483223573151744")</f>
        <v>922483223573151744</v>
      </c>
      <c r="F5442" s="23" t="s">
        <v>33</v>
      </c>
      <c r="G5442" s="24">
        <v>5.0</v>
      </c>
      <c r="H5442" s="24">
        <v>130.0</v>
      </c>
      <c r="I5442" s="24">
        <v>8501.0</v>
      </c>
      <c r="J5442" s="24">
        <v>0.0</v>
      </c>
      <c r="K5442" s="23" t="s">
        <v>34</v>
      </c>
      <c r="L5442" s="25">
        <v>43029.42115740741</v>
      </c>
      <c r="M5442" s="28"/>
      <c r="N5442" s="28"/>
      <c r="O5442" s="22" t="str">
        <f>HYPERLINK("https://abs.twimg.com/sticky/default_profile_images/default_profile_normal.png","View")</f>
        <v>View</v>
      </c>
      <c r="P5442" s="27"/>
    </row>
    <row r="5443">
      <c r="A5443" s="14">
        <v>43031.348703703705</v>
      </c>
      <c r="B5443" s="20" t="str">
        <f>HYPERLINK("https://twitter.com/king_of_IN","@king_of_IN")</f>
        <v>@king_of_IN</v>
      </c>
      <c r="C5443" s="21" t="s">
        <v>12417</v>
      </c>
      <c r="D5443" s="21" t="s">
        <v>42</v>
      </c>
      <c r="E5443" s="22" t="str">
        <f>HYPERLINK("https://twitter.com/king_of_IN/status/922483282771460097","922483282771460097")</f>
        <v>922483282771460097</v>
      </c>
      <c r="F5443" s="23" t="s">
        <v>33</v>
      </c>
      <c r="G5443" s="24">
        <v>23.0</v>
      </c>
      <c r="H5443" s="24">
        <v>30.0</v>
      </c>
      <c r="I5443" s="24">
        <v>8501.0</v>
      </c>
      <c r="J5443" s="24">
        <v>0.0</v>
      </c>
      <c r="K5443" s="23" t="s">
        <v>34</v>
      </c>
      <c r="L5443" s="25">
        <v>42847.92474537037</v>
      </c>
      <c r="M5443" s="28"/>
      <c r="N5443" s="26" t="s">
        <v>12418</v>
      </c>
      <c r="O5443" s="22" t="str">
        <f>HYPERLINK("https://pbs.twimg.com/profile_images/909485151981232129/9agxWLy3_normal.jpg","View")</f>
        <v>View</v>
      </c>
      <c r="P5443" s="27"/>
    </row>
    <row r="5444">
      <c r="A5444" s="14">
        <v>43031.348750000005</v>
      </c>
      <c r="B5444" s="20" t="str">
        <f>HYPERLINK("https://twitter.com/AZ_Files","@AZ_Files")</f>
        <v>@AZ_Files</v>
      </c>
      <c r="C5444" s="21" t="s">
        <v>12419</v>
      </c>
      <c r="D5444" s="21" t="s">
        <v>9463</v>
      </c>
      <c r="E5444" s="22" t="str">
        <f>HYPERLINK("https://twitter.com/AZ_Files/status/922483299980840960","922483299980840960")</f>
        <v>922483299980840960</v>
      </c>
      <c r="F5444" s="23" t="s">
        <v>33</v>
      </c>
      <c r="G5444" s="24">
        <v>397.0</v>
      </c>
      <c r="H5444" s="24">
        <v>390.0</v>
      </c>
      <c r="I5444" s="24">
        <v>4.0</v>
      </c>
      <c r="J5444" s="24">
        <v>0.0</v>
      </c>
      <c r="K5444" s="23" t="s">
        <v>34</v>
      </c>
      <c r="L5444" s="25">
        <v>42351.282696759255</v>
      </c>
      <c r="M5444" s="26" t="s">
        <v>12420</v>
      </c>
      <c r="N5444" s="26" t="s">
        <v>12421</v>
      </c>
      <c r="O5444" s="22" t="str">
        <f>HYPERLINK("https://pbs.twimg.com/profile_images/693803774507352064/7Hn-LtcU_normal.jpg","View")</f>
        <v>View</v>
      </c>
      <c r="P5444" s="27"/>
    </row>
    <row r="5445">
      <c r="A5445" s="14">
        <v>43031.348750000005</v>
      </c>
      <c r="B5445" s="20" t="str">
        <f>HYPERLINK("https://twitter.com/fx_ivy","@fx_ivy")</f>
        <v>@fx_ivy</v>
      </c>
      <c r="C5445" s="21" t="s">
        <v>12422</v>
      </c>
      <c r="D5445" s="21" t="s">
        <v>12423</v>
      </c>
      <c r="E5445" s="22" t="str">
        <f>HYPERLINK("https://twitter.com/fx_ivy/status/922483301226631169","922483301226631169")</f>
        <v>922483301226631169</v>
      </c>
      <c r="F5445" s="23" t="s">
        <v>187</v>
      </c>
      <c r="G5445" s="24">
        <v>412.0</v>
      </c>
      <c r="H5445" s="24">
        <v>61.0</v>
      </c>
      <c r="I5445" s="24">
        <v>0.0</v>
      </c>
      <c r="J5445" s="24">
        <v>0.0</v>
      </c>
      <c r="K5445" s="23" t="s">
        <v>34</v>
      </c>
      <c r="L5445" s="25">
        <v>40424.470659722225</v>
      </c>
      <c r="M5445" s="28"/>
      <c r="N5445" s="26" t="s">
        <v>12424</v>
      </c>
      <c r="O5445" s="22" t="str">
        <f>HYPERLINK("https://pbs.twimg.com/profile_images/667024454879346688/ACqZ9R1m_normal.png","View")</f>
        <v>View</v>
      </c>
      <c r="P5445" s="27"/>
    </row>
    <row r="5446">
      <c r="A5446" s="14">
        <v>43031.3487962963</v>
      </c>
      <c r="B5446" s="20" t="str">
        <f>HYPERLINK("https://twitter.com/trilokam","@trilokam")</f>
        <v>@trilokam</v>
      </c>
      <c r="C5446" s="21" t="s">
        <v>12425</v>
      </c>
      <c r="D5446" s="21" t="s">
        <v>42</v>
      </c>
      <c r="E5446" s="22" t="str">
        <f>HYPERLINK("https://twitter.com/trilokam/status/922483318972604416","922483318972604416")</f>
        <v>922483318972604416</v>
      </c>
      <c r="F5446" s="23" t="s">
        <v>39</v>
      </c>
      <c r="G5446" s="24">
        <v>429.0</v>
      </c>
      <c r="H5446" s="24">
        <v>842.0</v>
      </c>
      <c r="I5446" s="24">
        <v>8501.0</v>
      </c>
      <c r="J5446" s="24">
        <v>0.0</v>
      </c>
      <c r="K5446" s="23" t="s">
        <v>34</v>
      </c>
      <c r="L5446" s="25">
        <v>41108.333495370374</v>
      </c>
      <c r="M5446" s="28"/>
      <c r="N5446" s="26" t="s">
        <v>12426</v>
      </c>
      <c r="O5446" s="22" t="str">
        <f>HYPERLINK("https://pbs.twimg.com/profile_images/846619668357951488/n-sMSPge_normal.jpg","View")</f>
        <v>View</v>
      </c>
      <c r="P5446" s="27"/>
    </row>
    <row r="5447">
      <c r="A5447" s="14">
        <v>43031.34881944444</v>
      </c>
      <c r="B5447" s="20" t="str">
        <f>HYPERLINK("https://twitter.com/isumitksinha","@isumitksinha")</f>
        <v>@isumitksinha</v>
      </c>
      <c r="C5447" s="21" t="s">
        <v>12195</v>
      </c>
      <c r="D5447" s="21" t="s">
        <v>12427</v>
      </c>
      <c r="E5447" s="22" t="str">
        <f>HYPERLINK("https://twitter.com/isumitksinha/status/922483327453552640","922483327453552640")</f>
        <v>922483327453552640</v>
      </c>
      <c r="F5447" s="23" t="s">
        <v>91</v>
      </c>
      <c r="G5447" s="24">
        <v>821.0</v>
      </c>
      <c r="H5447" s="24">
        <v>110.0</v>
      </c>
      <c r="I5447" s="24">
        <v>0.0</v>
      </c>
      <c r="J5447" s="24">
        <v>0.0</v>
      </c>
      <c r="K5447" s="23" t="s">
        <v>34</v>
      </c>
      <c r="L5447" s="25">
        <v>40211.2578125</v>
      </c>
      <c r="M5447" s="26" t="s">
        <v>914</v>
      </c>
      <c r="N5447" s="26" t="s">
        <v>12197</v>
      </c>
      <c r="O5447" s="22" t="str">
        <f>HYPERLINK("https://pbs.twimg.com/profile_images/662292972654870528/N3kLvWAZ_normal.jpg","View")</f>
        <v>View</v>
      </c>
      <c r="P5447" s="27"/>
    </row>
    <row r="5448">
      <c r="A5448" s="14">
        <v>43031.34883101852</v>
      </c>
      <c r="B5448" s="20" t="str">
        <f>HYPERLINK("https://twitter.com/INA99thBrigade","@INA99thBrigade")</f>
        <v>@INA99thBrigade</v>
      </c>
      <c r="C5448" s="21" t="s">
        <v>12428</v>
      </c>
      <c r="D5448" s="21" t="s">
        <v>163</v>
      </c>
      <c r="E5448" s="22" t="str">
        <f>HYPERLINK("https://twitter.com/INA99thBrigade/status/922483328724242433","922483328724242433")</f>
        <v>922483328724242433</v>
      </c>
      <c r="F5448" s="23" t="s">
        <v>55</v>
      </c>
      <c r="G5448" s="24">
        <v>391.0</v>
      </c>
      <c r="H5448" s="24">
        <v>315.0</v>
      </c>
      <c r="I5448" s="24">
        <v>1005.0</v>
      </c>
      <c r="J5448" s="24">
        <v>0.0</v>
      </c>
      <c r="K5448" s="23" t="s">
        <v>34</v>
      </c>
      <c r="L5448" s="25">
        <v>42465.53582175926</v>
      </c>
      <c r="M5448" s="26" t="s">
        <v>1156</v>
      </c>
      <c r="N5448" s="26" t="s">
        <v>12429</v>
      </c>
      <c r="O5448" s="22" t="str">
        <f>HYPERLINK("https://pbs.twimg.com/profile_images/785909706615160832/VY-esrcu_normal.jpg","View")</f>
        <v>View</v>
      </c>
      <c r="P5448" s="27"/>
    </row>
    <row r="5449">
      <c r="A5449" s="14">
        <v>43031.34885416667</v>
      </c>
      <c r="B5449" s="20" t="str">
        <f>HYPERLINK("https://twitter.com/chrisudomeme340","@chrisudomeme340")</f>
        <v>@chrisudomeme340</v>
      </c>
      <c r="C5449" s="21" t="s">
        <v>12430</v>
      </c>
      <c r="D5449" s="21" t="s">
        <v>12431</v>
      </c>
      <c r="E5449" s="22" t="str">
        <f>HYPERLINK("https://twitter.com/chrisudomeme340/status/922483336706129920","922483336706129920")</f>
        <v>922483336706129920</v>
      </c>
      <c r="F5449" s="23" t="s">
        <v>187</v>
      </c>
      <c r="G5449" s="24">
        <v>162.0</v>
      </c>
      <c r="H5449" s="24">
        <v>221.0</v>
      </c>
      <c r="I5449" s="24">
        <v>0.0</v>
      </c>
      <c r="J5449" s="24">
        <v>0.0</v>
      </c>
      <c r="K5449" s="23" t="s">
        <v>34</v>
      </c>
      <c r="L5449" s="25">
        <v>42151.442870370374</v>
      </c>
      <c r="M5449" s="28"/>
      <c r="N5449" s="28"/>
      <c r="O5449" s="22" t="str">
        <f>HYPERLINK("https://pbs.twimg.com/profile_images/603618072931508224/medD0-E4_normal.jpg","View")</f>
        <v>View</v>
      </c>
      <c r="P5449" s="27"/>
    </row>
    <row r="5450">
      <c r="A5450" s="14">
        <v>43031.34890046297</v>
      </c>
      <c r="B5450" s="20" t="str">
        <f>HYPERLINK("https://twitter.com/MLichtensteinMS","@MLichtensteinMS")</f>
        <v>@MLichtensteinMS</v>
      </c>
      <c r="C5450" s="21" t="s">
        <v>12432</v>
      </c>
      <c r="D5450" s="21" t="s">
        <v>12163</v>
      </c>
      <c r="E5450" s="22" t="str">
        <f>HYPERLINK("https://twitter.com/MLichtensteinMS/status/922483354959835136","922483354959835136")</f>
        <v>922483354959835136</v>
      </c>
      <c r="F5450" s="23" t="s">
        <v>12433</v>
      </c>
      <c r="G5450" s="24">
        <v>90.0</v>
      </c>
      <c r="H5450" s="24">
        <v>202.0</v>
      </c>
      <c r="I5450" s="24">
        <v>5.0</v>
      </c>
      <c r="J5450" s="24">
        <v>0.0</v>
      </c>
      <c r="K5450" s="23" t="s">
        <v>34</v>
      </c>
      <c r="L5450" s="25">
        <v>40994.35569444444</v>
      </c>
      <c r="M5450" s="26" t="s">
        <v>4083</v>
      </c>
      <c r="N5450" s="26" t="s">
        <v>12434</v>
      </c>
      <c r="O5450" s="22" t="str">
        <f>HYPERLINK("https://pbs.twimg.com/profile_images/496316828495249408/raan4zEy_normal.jpeg","View")</f>
        <v>View</v>
      </c>
      <c r="P5450" s="27"/>
    </row>
    <row r="5451">
      <c r="A5451" s="14">
        <v>43031.348912037036</v>
      </c>
      <c r="B5451" s="20" t="str">
        <f>HYPERLINK("https://twitter.com/WorldNews7777","@WorldNews7777")</f>
        <v>@WorldNews7777</v>
      </c>
      <c r="C5451" s="21" t="s">
        <v>1400</v>
      </c>
      <c r="D5451" s="21" t="s">
        <v>12435</v>
      </c>
      <c r="E5451" s="22" t="str">
        <f>HYPERLINK("https://twitter.com/WorldNews7777/status/922483359426719744","922483359426719744")</f>
        <v>922483359426719744</v>
      </c>
      <c r="F5451" s="23" t="s">
        <v>187</v>
      </c>
      <c r="G5451" s="24">
        <v>6454.0</v>
      </c>
      <c r="H5451" s="24">
        <v>6322.0</v>
      </c>
      <c r="I5451" s="24">
        <v>0.0</v>
      </c>
      <c r="J5451" s="24">
        <v>0.0</v>
      </c>
      <c r="K5451" s="23" t="s">
        <v>34</v>
      </c>
      <c r="L5451" s="25">
        <v>42489.131944444445</v>
      </c>
      <c r="M5451" s="26" t="s">
        <v>68</v>
      </c>
      <c r="N5451" s="26" t="s">
        <v>1402</v>
      </c>
      <c r="O5451" s="22" t="str">
        <f>HYPERLINK("https://pbs.twimg.com/profile_images/736884749566889984/BtAvBgS4_normal.jpg","View")</f>
        <v>View</v>
      </c>
      <c r="P5451" s="27"/>
    </row>
    <row r="5452">
      <c r="A5452" s="14">
        <v>43031.34909722222</v>
      </c>
      <c r="B5452" s="20" t="str">
        <f>HYPERLINK("https://twitter.com/Kostian_V","@Kostian_V")</f>
        <v>@Kostian_V</v>
      </c>
      <c r="C5452" s="21" t="s">
        <v>12436</v>
      </c>
      <c r="D5452" s="21" t="s">
        <v>12437</v>
      </c>
      <c r="E5452" s="22" t="str">
        <f>HYPERLINK("https://twitter.com/Kostian_V/status/922483426355228672","922483426355228672")</f>
        <v>922483426355228672</v>
      </c>
      <c r="F5452" s="23" t="s">
        <v>33</v>
      </c>
      <c r="G5452" s="24">
        <v>5014.0</v>
      </c>
      <c r="H5452" s="24">
        <v>3933.0</v>
      </c>
      <c r="I5452" s="24">
        <v>0.0</v>
      </c>
      <c r="J5452" s="24">
        <v>0.0</v>
      </c>
      <c r="K5452" s="23" t="s">
        <v>34</v>
      </c>
      <c r="L5452" s="25">
        <v>40606.19024305556</v>
      </c>
      <c r="M5452" s="26" t="s">
        <v>12438</v>
      </c>
      <c r="N5452" s="26" t="s">
        <v>12439</v>
      </c>
      <c r="O5452" s="22" t="str">
        <f>HYPERLINK("https://pbs.twimg.com/profile_images/1279261845/img_prometheus_normal.jpg","View")</f>
        <v>View</v>
      </c>
      <c r="P5452" s="27"/>
    </row>
    <row r="5453">
      <c r="A5453" s="14">
        <v>43031.34935185185</v>
      </c>
      <c r="B5453" s="20" t="str">
        <f>HYPERLINK("https://twitter.com/dayalthom","@dayalthom")</f>
        <v>@dayalthom</v>
      </c>
      <c r="C5453" s="21" t="s">
        <v>12440</v>
      </c>
      <c r="D5453" s="21" t="s">
        <v>42</v>
      </c>
      <c r="E5453" s="22" t="str">
        <f>HYPERLINK("https://twitter.com/dayalthom/status/922483517749112832","922483517749112832")</f>
        <v>922483517749112832</v>
      </c>
      <c r="F5453" s="23" t="s">
        <v>39</v>
      </c>
      <c r="G5453" s="24">
        <v>8.0</v>
      </c>
      <c r="H5453" s="24">
        <v>81.0</v>
      </c>
      <c r="I5453" s="24">
        <v>8501.0</v>
      </c>
      <c r="J5453" s="24">
        <v>0.0</v>
      </c>
      <c r="K5453" s="23" t="s">
        <v>34</v>
      </c>
      <c r="L5453" s="25">
        <v>43001.34335648148</v>
      </c>
      <c r="M5453" s="28"/>
      <c r="N5453" s="28"/>
      <c r="O5453" s="22" t="str">
        <f>HYPERLINK("https://pbs.twimg.com/profile_images/920344260699865088/pkxpX7ZM_normal.jpg","View")</f>
        <v>View</v>
      </c>
      <c r="P5453" s="27"/>
    </row>
    <row r="5454">
      <c r="A5454" s="14">
        <v>43031.34943287037</v>
      </c>
      <c r="B5454" s="20" t="str">
        <f>HYPERLINK("https://twitter.com/dsrana159","@dsrana159")</f>
        <v>@dsrana159</v>
      </c>
      <c r="C5454" s="21" t="s">
        <v>12441</v>
      </c>
      <c r="D5454" s="21" t="s">
        <v>42</v>
      </c>
      <c r="E5454" s="22" t="str">
        <f>HYPERLINK("https://twitter.com/dsrana159/status/922483548862406657","922483548862406657")</f>
        <v>922483548862406657</v>
      </c>
      <c r="F5454" s="23" t="s">
        <v>33</v>
      </c>
      <c r="G5454" s="24">
        <v>312.0</v>
      </c>
      <c r="H5454" s="24">
        <v>1132.0</v>
      </c>
      <c r="I5454" s="24">
        <v>8501.0</v>
      </c>
      <c r="J5454" s="24">
        <v>0.0</v>
      </c>
      <c r="K5454" s="23" t="s">
        <v>34</v>
      </c>
      <c r="L5454" s="25">
        <v>42088.96753472222</v>
      </c>
      <c r="M5454" s="28"/>
      <c r="N5454" s="26" t="s">
        <v>12442</v>
      </c>
      <c r="O5454" s="22" t="str">
        <f>HYPERLINK("https://pbs.twimg.com/profile_images/663315777643110400/eWyaGFZf_normal.jpg","View")</f>
        <v>View</v>
      </c>
      <c r="P5454" s="27"/>
    </row>
    <row r="5455">
      <c r="A5455" s="14">
        <v>43031.34958333333</v>
      </c>
      <c r="B5455" s="20" t="str">
        <f>HYPERLINK("https://twitter.com/Prakash65451860","@Prakash65451860")</f>
        <v>@Prakash65451860</v>
      </c>
      <c r="C5455" s="34" t="s">
        <v>12443</v>
      </c>
      <c r="D5455" s="21" t="s">
        <v>42</v>
      </c>
      <c r="E5455" s="22" t="str">
        <f>HYPERLINK("https://twitter.com/Prakash65451860/status/922483603027640320","922483603027640320")</f>
        <v>922483603027640320</v>
      </c>
      <c r="F5455" s="23" t="s">
        <v>33</v>
      </c>
      <c r="G5455" s="24">
        <v>144.0</v>
      </c>
      <c r="H5455" s="24">
        <v>212.0</v>
      </c>
      <c r="I5455" s="24">
        <v>8501.0</v>
      </c>
      <c r="J5455" s="24">
        <v>0.0</v>
      </c>
      <c r="K5455" s="23" t="s">
        <v>34</v>
      </c>
      <c r="L5455" s="25">
        <v>42908.04403935185</v>
      </c>
      <c r="M5455" s="26" t="s">
        <v>575</v>
      </c>
      <c r="N5455" s="26" t="s">
        <v>12444</v>
      </c>
      <c r="O5455" s="22" t="str">
        <f>HYPERLINK("https://pbs.twimg.com/profile_images/877803006560960513/HS5r_-Nl_normal.jpg","View")</f>
        <v>View</v>
      </c>
      <c r="P5455" s="27"/>
    </row>
    <row r="5456">
      <c r="A5456" s="14">
        <v>43031.34961805555</v>
      </c>
      <c r="B5456" s="20" t="str">
        <f>HYPERLINK("https://twitter.com/RaghuGurumurthy","@RaghuGurumurthy")</f>
        <v>@RaghuGurumurthy</v>
      </c>
      <c r="C5456" s="21" t="s">
        <v>12445</v>
      </c>
      <c r="D5456" s="21" t="s">
        <v>42</v>
      </c>
      <c r="E5456" s="22" t="str">
        <f>HYPERLINK("https://twitter.com/RaghuGurumurthy/status/922483617334411265","922483617334411265")</f>
        <v>922483617334411265</v>
      </c>
      <c r="F5456" s="23" t="s">
        <v>33</v>
      </c>
      <c r="G5456" s="24">
        <v>7.0</v>
      </c>
      <c r="H5456" s="24">
        <v>62.0</v>
      </c>
      <c r="I5456" s="24">
        <v>8501.0</v>
      </c>
      <c r="J5456" s="24">
        <v>0.0</v>
      </c>
      <c r="K5456" s="23" t="s">
        <v>34</v>
      </c>
      <c r="L5456" s="25">
        <v>42706.28592592593</v>
      </c>
      <c r="M5456" s="26" t="s">
        <v>12446</v>
      </c>
      <c r="N5456" s="26" t="s">
        <v>12447</v>
      </c>
      <c r="O5456" s="22" t="str">
        <f>HYPERLINK("https://pbs.twimg.com/profile_images/804705187935834113/Lh0LOX6W_normal.jpg","View")</f>
        <v>View</v>
      </c>
      <c r="P5456" s="27"/>
    </row>
    <row r="5457">
      <c r="A5457" s="14">
        <v>43031.349652777775</v>
      </c>
      <c r="B5457" s="20" t="str">
        <f>HYPERLINK("https://twitter.com/Soham955","@Soham955")</f>
        <v>@Soham955</v>
      </c>
      <c r="C5457" s="21" t="s">
        <v>12448</v>
      </c>
      <c r="D5457" s="21" t="s">
        <v>42</v>
      </c>
      <c r="E5457" s="22" t="str">
        <f>HYPERLINK("https://twitter.com/Soham955/status/922483627962769408","922483627962769408")</f>
        <v>922483627962769408</v>
      </c>
      <c r="F5457" s="23" t="s">
        <v>33</v>
      </c>
      <c r="G5457" s="24">
        <v>180.0</v>
      </c>
      <c r="H5457" s="24">
        <v>206.0</v>
      </c>
      <c r="I5457" s="24">
        <v>8501.0</v>
      </c>
      <c r="J5457" s="24">
        <v>0.0</v>
      </c>
      <c r="K5457" s="23" t="s">
        <v>34</v>
      </c>
      <c r="L5457" s="25">
        <v>42976.91346064815</v>
      </c>
      <c r="M5457" s="26" t="s">
        <v>195</v>
      </c>
      <c r="N5457" s="26" t="s">
        <v>2671</v>
      </c>
      <c r="O5457" s="22" t="str">
        <f>HYPERLINK("https://pbs.twimg.com/profile_images/902757775763275776/c1CxCT7-_normal.jpg","View")</f>
        <v>View</v>
      </c>
      <c r="P5457" s="27"/>
    </row>
    <row r="5458">
      <c r="A5458" s="14">
        <v>43031.34980324074</v>
      </c>
      <c r="B5458" s="20" t="str">
        <f>HYPERLINK("https://twitter.com/Nidhish1988","@Nidhish1988")</f>
        <v>@Nidhish1988</v>
      </c>
      <c r="C5458" s="21" t="s">
        <v>12449</v>
      </c>
      <c r="D5458" s="21" t="s">
        <v>42</v>
      </c>
      <c r="E5458" s="22" t="str">
        <f>HYPERLINK("https://twitter.com/Nidhish1988/status/922483682295783430","922483682295783430")</f>
        <v>922483682295783430</v>
      </c>
      <c r="F5458" s="23" t="s">
        <v>33</v>
      </c>
      <c r="G5458" s="24">
        <v>70.0</v>
      </c>
      <c r="H5458" s="24">
        <v>290.0</v>
      </c>
      <c r="I5458" s="24">
        <v>8501.0</v>
      </c>
      <c r="J5458" s="24">
        <v>0.0</v>
      </c>
      <c r="K5458" s="23" t="s">
        <v>34</v>
      </c>
      <c r="L5458" s="25">
        <v>42365.06538194444</v>
      </c>
      <c r="M5458" s="26" t="s">
        <v>136</v>
      </c>
      <c r="N5458" s="26" t="s">
        <v>12450</v>
      </c>
      <c r="O5458" s="22" t="str">
        <f>HYPERLINK("https://pbs.twimg.com/profile_images/681048079609364480/Qr2jckau_normal.jpg","View")</f>
        <v>View</v>
      </c>
      <c r="P5458" s="27"/>
    </row>
    <row r="5459">
      <c r="A5459" s="14">
        <v>43031.34982638889</v>
      </c>
      <c r="B5459" s="20" t="str">
        <f>HYPERLINK("https://twitter.com/akshay_manore","@akshay_manore")</f>
        <v>@akshay_manore</v>
      </c>
      <c r="C5459" s="21" t="s">
        <v>12451</v>
      </c>
      <c r="D5459" s="21" t="s">
        <v>42</v>
      </c>
      <c r="E5459" s="22" t="str">
        <f>HYPERLINK("https://twitter.com/akshay_manore/status/922483692987064320","922483692987064320")</f>
        <v>922483692987064320</v>
      </c>
      <c r="F5459" s="23" t="s">
        <v>43</v>
      </c>
      <c r="G5459" s="24">
        <v>3.0</v>
      </c>
      <c r="H5459" s="24">
        <v>112.0</v>
      </c>
      <c r="I5459" s="24">
        <v>8501.0</v>
      </c>
      <c r="J5459" s="24">
        <v>0.0</v>
      </c>
      <c r="K5459" s="23" t="s">
        <v>34</v>
      </c>
      <c r="L5459" s="25">
        <v>42783.32092592593</v>
      </c>
      <c r="M5459" s="28"/>
      <c r="N5459" s="28"/>
      <c r="O5459" s="22" t="str">
        <f>HYPERLINK("https://abs.twimg.com/sticky/default_profile_images/default_profile_normal.png","View")</f>
        <v>View</v>
      </c>
      <c r="P5459" s="27"/>
    </row>
    <row r="5460">
      <c r="A5460" s="14">
        <v>43031.350011574075</v>
      </c>
      <c r="B5460" s="20" t="str">
        <f>HYPERLINK("https://twitter.com/BuckTurgidson79","@BuckTurgidson79")</f>
        <v>@BuckTurgidson79</v>
      </c>
      <c r="C5460" s="21" t="s">
        <v>12452</v>
      </c>
      <c r="D5460" s="21" t="s">
        <v>12453</v>
      </c>
      <c r="E5460" s="22" t="str">
        <f>HYPERLINK("https://twitter.com/BuckTurgidson79/status/922483759429111808","922483759429111808")</f>
        <v>922483759429111808</v>
      </c>
      <c r="F5460" s="23" t="s">
        <v>55</v>
      </c>
      <c r="G5460" s="24">
        <v>5645.0</v>
      </c>
      <c r="H5460" s="24">
        <v>35.0</v>
      </c>
      <c r="I5460" s="24">
        <v>7.0</v>
      </c>
      <c r="J5460" s="24">
        <v>4.0</v>
      </c>
      <c r="K5460" s="23" t="s">
        <v>34</v>
      </c>
      <c r="L5460" s="25">
        <v>41276.446226851855</v>
      </c>
      <c r="M5460" s="28"/>
      <c r="N5460" s="26" t="s">
        <v>12454</v>
      </c>
      <c r="O5460" s="22" t="str">
        <f>HYPERLINK("https://pbs.twimg.com/profile_images/3056066372/8bd5e4d6ea9600b1d85ca0054e59d9d2_normal.jpeg","View")</f>
        <v>View</v>
      </c>
      <c r="P5460" s="27"/>
    </row>
    <row r="5461">
      <c r="A5461" s="14">
        <v>43031.35009259259</v>
      </c>
      <c r="B5461" s="20" t="str">
        <f>HYPERLINK("https://twitter.com/cecilia_mbati","@cecilia_mbati")</f>
        <v>@cecilia_mbati</v>
      </c>
      <c r="C5461" s="21" t="s">
        <v>12455</v>
      </c>
      <c r="D5461" s="21" t="s">
        <v>32</v>
      </c>
      <c r="E5461" s="22" t="str">
        <f>HYPERLINK("https://twitter.com/cecilia_mbati/status/922483786348224512","922483786348224512")</f>
        <v>922483786348224512</v>
      </c>
      <c r="F5461" s="23" t="s">
        <v>33</v>
      </c>
      <c r="G5461" s="24">
        <v>173.0</v>
      </c>
      <c r="H5461" s="24">
        <v>87.0</v>
      </c>
      <c r="I5461" s="24">
        <v>471.0</v>
      </c>
      <c r="J5461" s="24">
        <v>0.0</v>
      </c>
      <c r="K5461" s="23" t="s">
        <v>34</v>
      </c>
      <c r="L5461" s="25">
        <v>41154.10107638889</v>
      </c>
      <c r="M5461" s="26" t="s">
        <v>1784</v>
      </c>
      <c r="N5461" s="26" t="s">
        <v>12456</v>
      </c>
      <c r="O5461" s="22" t="str">
        <f>HYPERLINK("https://pbs.twimg.com/profile_images/920534336780333057/4YKg1dIF_normal.jpg","View")</f>
        <v>View</v>
      </c>
      <c r="P5461" s="27"/>
    </row>
    <row r="5462">
      <c r="A5462" s="14">
        <v>43031.35017361111</v>
      </c>
      <c r="B5462" s="20" t="str">
        <f>HYPERLINK("https://twitter.com/johangreg","@johangreg")</f>
        <v>@johangreg</v>
      </c>
      <c r="C5462" s="21" t="s">
        <v>12457</v>
      </c>
      <c r="D5462" s="21" t="s">
        <v>10614</v>
      </c>
      <c r="E5462" s="22" t="str">
        <f>HYPERLINK("https://twitter.com/johangreg/status/922483816676995072","922483816676995072")</f>
        <v>922483816676995072</v>
      </c>
      <c r="F5462" s="23" t="s">
        <v>39</v>
      </c>
      <c r="G5462" s="24">
        <v>2077.0</v>
      </c>
      <c r="H5462" s="24">
        <v>807.0</v>
      </c>
      <c r="I5462" s="24">
        <v>159.0</v>
      </c>
      <c r="J5462" s="24">
        <v>0.0</v>
      </c>
      <c r="K5462" s="23" t="s">
        <v>34</v>
      </c>
      <c r="L5462" s="25">
        <v>39704.378067129626</v>
      </c>
      <c r="M5462" s="26" t="s">
        <v>12458</v>
      </c>
      <c r="N5462" s="26" t="s">
        <v>12459</v>
      </c>
      <c r="O5462" s="22" t="str">
        <f>HYPERLINK("https://pbs.twimg.com/profile_images/894369129217445888/EjyEiKAz_normal.jpg","View")</f>
        <v>View</v>
      </c>
      <c r="P5462" s="27"/>
    </row>
    <row r="5463">
      <c r="A5463" s="14">
        <v>43031.35019675926</v>
      </c>
      <c r="B5463" s="20" t="str">
        <f>HYPERLINK("https://twitter.com/rajnish_t","@rajnish_t")</f>
        <v>@rajnish_t</v>
      </c>
      <c r="C5463" s="21" t="s">
        <v>12460</v>
      </c>
      <c r="D5463" s="21" t="s">
        <v>42</v>
      </c>
      <c r="E5463" s="22" t="str">
        <f>HYPERLINK("https://twitter.com/rajnish_t/status/922483824889434112","922483824889434112")</f>
        <v>922483824889434112</v>
      </c>
      <c r="F5463" s="23" t="s">
        <v>33</v>
      </c>
      <c r="G5463" s="24">
        <v>263.0</v>
      </c>
      <c r="H5463" s="24">
        <v>364.0</v>
      </c>
      <c r="I5463" s="24">
        <v>8501.0</v>
      </c>
      <c r="J5463" s="24">
        <v>0.0</v>
      </c>
      <c r="K5463" s="23" t="s">
        <v>34</v>
      </c>
      <c r="L5463" s="25">
        <v>40052.341215277775</v>
      </c>
      <c r="M5463" s="28"/>
      <c r="N5463" s="26" t="s">
        <v>12461</v>
      </c>
      <c r="O5463" s="22" t="str">
        <f>HYPERLINK("https://pbs.twimg.com/profile_images/861143211695251456/vtVlnNlT_normal.jpg","View")</f>
        <v>View</v>
      </c>
      <c r="P5463" s="27"/>
    </row>
    <row r="5464">
      <c r="A5464" s="14">
        <v>43031.35023148148</v>
      </c>
      <c r="B5464" s="20" t="str">
        <f>HYPERLINK("https://twitter.com/Baldeepbti","@Baldeepbti")</f>
        <v>@Baldeepbti</v>
      </c>
      <c r="C5464" s="21" t="s">
        <v>12462</v>
      </c>
      <c r="D5464" s="21" t="s">
        <v>42</v>
      </c>
      <c r="E5464" s="22" t="str">
        <f>HYPERLINK("https://twitter.com/Baldeepbti/status/922483836604129280","922483836604129280")</f>
        <v>922483836604129280</v>
      </c>
      <c r="F5464" s="23" t="s">
        <v>33</v>
      </c>
      <c r="G5464" s="24">
        <v>605.0</v>
      </c>
      <c r="H5464" s="24">
        <v>1516.0</v>
      </c>
      <c r="I5464" s="24">
        <v>8501.0</v>
      </c>
      <c r="J5464" s="24">
        <v>0.0</v>
      </c>
      <c r="K5464" s="23" t="s">
        <v>34</v>
      </c>
      <c r="L5464" s="25">
        <v>41221.85804398148</v>
      </c>
      <c r="M5464" s="26" t="s">
        <v>12463</v>
      </c>
      <c r="N5464" s="26" t="s">
        <v>12464</v>
      </c>
      <c r="O5464" s="22" t="str">
        <f>HYPERLINK("https://pbs.twimg.com/profile_images/857498091401949184/_KkJu1Ms_normal.jpg","View")</f>
        <v>View</v>
      </c>
      <c r="P5464" s="27"/>
    </row>
    <row r="5465">
      <c r="A5465" s="14">
        <v>43031.35023148148</v>
      </c>
      <c r="B5465" s="20" t="str">
        <f>HYPERLINK("https://twitter.com/Plaid_NModi","@Plaid_NModi")</f>
        <v>@Plaid_NModi</v>
      </c>
      <c r="C5465" s="21" t="s">
        <v>12465</v>
      </c>
      <c r="D5465" s="21" t="s">
        <v>12466</v>
      </c>
      <c r="E5465" s="22" t="str">
        <f>HYPERLINK("https://twitter.com/Plaid_NModi/status/922483837061550080","922483837061550080")</f>
        <v>922483837061550080</v>
      </c>
      <c r="F5465" s="23" t="s">
        <v>39</v>
      </c>
      <c r="G5465" s="24">
        <v>1918.0</v>
      </c>
      <c r="H5465" s="24">
        <v>282.0</v>
      </c>
      <c r="I5465" s="24">
        <v>0.0</v>
      </c>
      <c r="J5465" s="24">
        <v>0.0</v>
      </c>
      <c r="K5465" s="23" t="s">
        <v>34</v>
      </c>
      <c r="L5465" s="25">
        <v>41779.73657407407</v>
      </c>
      <c r="M5465" s="26" t="s">
        <v>575</v>
      </c>
      <c r="N5465" s="26" t="s">
        <v>12467</v>
      </c>
      <c r="O5465" s="22" t="str">
        <f>HYPERLINK("https://pbs.twimg.com/profile_images/560162219933958144/ZugH5TyH_normal.jpeg","View")</f>
        <v>View</v>
      </c>
      <c r="P5465" s="27"/>
    </row>
    <row r="5466">
      <c r="A5466" s="14">
        <v>43031.3503125</v>
      </c>
      <c r="B5466" s="20" t="str">
        <f>HYPERLINK("https://twitter.com/palliravi","@palliravi")</f>
        <v>@palliravi</v>
      </c>
      <c r="C5466" s="21" t="s">
        <v>12468</v>
      </c>
      <c r="D5466" s="21" t="s">
        <v>163</v>
      </c>
      <c r="E5466" s="22" t="str">
        <f>HYPERLINK("https://twitter.com/palliravi/status/922483865460944897","922483865460944897")</f>
        <v>922483865460944897</v>
      </c>
      <c r="F5466" s="23" t="s">
        <v>33</v>
      </c>
      <c r="G5466" s="24">
        <v>310.0</v>
      </c>
      <c r="H5466" s="24">
        <v>1581.0</v>
      </c>
      <c r="I5466" s="24">
        <v>1005.0</v>
      </c>
      <c r="J5466" s="24">
        <v>0.0</v>
      </c>
      <c r="K5466" s="23" t="s">
        <v>34</v>
      </c>
      <c r="L5466" s="25">
        <v>40461.79927083333</v>
      </c>
      <c r="M5466" s="26" t="s">
        <v>4620</v>
      </c>
      <c r="N5466" s="28"/>
      <c r="O5466" s="22" t="str">
        <f>HYPERLINK("https://pbs.twimg.com/profile_images/808665669956825088/eA83r4XN_normal.jpg","View")</f>
        <v>View</v>
      </c>
      <c r="P5466" s="27"/>
    </row>
    <row r="5467">
      <c r="A5467" s="14">
        <v>43031.35033564815</v>
      </c>
      <c r="B5467" s="20" t="str">
        <f>HYPERLINK("https://twitter.com/punjabimodern1","@punjabimodern1")</f>
        <v>@punjabimodern1</v>
      </c>
      <c r="C5467" s="21" t="s">
        <v>10048</v>
      </c>
      <c r="D5467" s="21" t="s">
        <v>42</v>
      </c>
      <c r="E5467" s="22" t="str">
        <f>HYPERLINK("https://twitter.com/punjabimodern1/status/922483875154145287","922483875154145287")</f>
        <v>922483875154145287</v>
      </c>
      <c r="F5467" s="23" t="s">
        <v>55</v>
      </c>
      <c r="G5467" s="24">
        <v>1244.0</v>
      </c>
      <c r="H5467" s="24">
        <v>1442.0</v>
      </c>
      <c r="I5467" s="24">
        <v>8501.0</v>
      </c>
      <c r="J5467" s="24">
        <v>0.0</v>
      </c>
      <c r="K5467" s="23" t="s">
        <v>34</v>
      </c>
      <c r="L5467" s="25">
        <v>41656.53048611111</v>
      </c>
      <c r="M5467" s="28"/>
      <c r="N5467" s="28"/>
      <c r="O5467" s="22" t="str">
        <f>HYPERLINK("https://pbs.twimg.com/profile_images/912014863718903813/qPjp9kdx_normal.jpg","View")</f>
        <v>View</v>
      </c>
      <c r="P5467" s="27"/>
    </row>
    <row r="5468">
      <c r="A5468" s="14">
        <v>43031.35070601852</v>
      </c>
      <c r="B5468" s="20" t="str">
        <f>HYPERLINK("https://twitter.com/tBaileyBailey","@tBaileyBailey")</f>
        <v>@tBaileyBailey</v>
      </c>
      <c r="C5468" s="21" t="s">
        <v>12469</v>
      </c>
      <c r="D5468" s="21" t="s">
        <v>12470</v>
      </c>
      <c r="E5468" s="22" t="str">
        <f>HYPERLINK("https://twitter.com/tBaileyBailey/status/922484010982498304","922484010982498304")</f>
        <v>922484010982498304</v>
      </c>
      <c r="F5468" s="23" t="s">
        <v>55</v>
      </c>
      <c r="G5468" s="24">
        <v>349.0</v>
      </c>
      <c r="H5468" s="24">
        <v>580.0</v>
      </c>
      <c r="I5468" s="24">
        <v>0.0</v>
      </c>
      <c r="J5468" s="24">
        <v>0.0</v>
      </c>
      <c r="K5468" s="23" t="s">
        <v>34</v>
      </c>
      <c r="L5468" s="25">
        <v>40192.5390625</v>
      </c>
      <c r="M5468" s="26" t="s">
        <v>334</v>
      </c>
      <c r="N5468" s="26" t="s">
        <v>12471</v>
      </c>
      <c r="O5468" s="22" t="str">
        <f>HYPERLINK("https://pbs.twimg.com/profile_images/626707412855181312/fi3SSue2_normal.jpg","View")</f>
        <v>View</v>
      </c>
      <c r="P5468" s="27"/>
    </row>
    <row r="5469">
      <c r="A5469" s="14">
        <v>43031.350763888884</v>
      </c>
      <c r="B5469" s="20" t="str">
        <f>HYPERLINK("https://twitter.com/BipWit","@BipWit")</f>
        <v>@BipWit</v>
      </c>
      <c r="C5469" s="21" t="s">
        <v>12472</v>
      </c>
      <c r="D5469" s="21" t="s">
        <v>163</v>
      </c>
      <c r="E5469" s="22" t="str">
        <f>HYPERLINK("https://twitter.com/BipWit/status/922484030607691776","922484030607691776")</f>
        <v>922484030607691776</v>
      </c>
      <c r="F5469" s="23" t="s">
        <v>33</v>
      </c>
      <c r="G5469" s="24">
        <v>731.0</v>
      </c>
      <c r="H5469" s="24">
        <v>554.0</v>
      </c>
      <c r="I5469" s="24">
        <v>1005.0</v>
      </c>
      <c r="J5469" s="24">
        <v>0.0</v>
      </c>
      <c r="K5469" s="23" t="s">
        <v>34</v>
      </c>
      <c r="L5469" s="25">
        <v>42121.580925925926</v>
      </c>
      <c r="M5469" s="26" t="s">
        <v>12473</v>
      </c>
      <c r="N5469" s="26" t="s">
        <v>12474</v>
      </c>
      <c r="O5469" s="22" t="str">
        <f>HYPERLINK("https://pbs.twimg.com/profile_images/899998332763897856/Lhjw9Dq8_normal.jpg","View")</f>
        <v>View</v>
      </c>
      <c r="P5469" s="27"/>
    </row>
    <row r="5470">
      <c r="A5470" s="14">
        <v>43031.35103009259</v>
      </c>
      <c r="B5470" s="20" t="str">
        <f>HYPERLINK("https://twitter.com/swetasinghsinha","@swetasinghsinha")</f>
        <v>@swetasinghsinha</v>
      </c>
      <c r="C5470" s="21" t="s">
        <v>12475</v>
      </c>
      <c r="D5470" s="21" t="s">
        <v>42</v>
      </c>
      <c r="E5470" s="22" t="str">
        <f>HYPERLINK("https://twitter.com/swetasinghsinha/status/922484128070733824","922484128070733824")</f>
        <v>922484128070733824</v>
      </c>
      <c r="F5470" s="23" t="s">
        <v>33</v>
      </c>
      <c r="G5470" s="24">
        <v>6845.0</v>
      </c>
      <c r="H5470" s="24">
        <v>352.0</v>
      </c>
      <c r="I5470" s="24">
        <v>8501.0</v>
      </c>
      <c r="J5470" s="24">
        <v>0.0</v>
      </c>
      <c r="K5470" s="23" t="s">
        <v>34</v>
      </c>
      <c r="L5470" s="25">
        <v>41447.01375</v>
      </c>
      <c r="M5470" s="26" t="s">
        <v>12033</v>
      </c>
      <c r="N5470" s="26" t="s">
        <v>12476</v>
      </c>
      <c r="O5470" s="22" t="str">
        <f>HYPERLINK("https://pbs.twimg.com/profile_images/916307661309616129/9j2T3L2O_normal.jpg","View")</f>
        <v>View</v>
      </c>
      <c r="P5470" s="27"/>
    </row>
    <row r="5471">
      <c r="A5471" s="14">
        <v>43031.351064814815</v>
      </c>
      <c r="B5471" s="20" t="str">
        <f>HYPERLINK("https://twitter.com/takeshi1a","@takeshi1a")</f>
        <v>@takeshi1a</v>
      </c>
      <c r="C5471" s="21" t="s">
        <v>12477</v>
      </c>
      <c r="D5471" s="21" t="s">
        <v>12241</v>
      </c>
      <c r="E5471" s="22" t="str">
        <f>HYPERLINK("https://twitter.com/takeshi1a/status/922484139709808640","922484139709808640")</f>
        <v>922484139709808640</v>
      </c>
      <c r="F5471" s="23" t="s">
        <v>39</v>
      </c>
      <c r="G5471" s="24">
        <v>1007.0</v>
      </c>
      <c r="H5471" s="24">
        <v>831.0</v>
      </c>
      <c r="I5471" s="24">
        <v>9.0</v>
      </c>
      <c r="J5471" s="24">
        <v>0.0</v>
      </c>
      <c r="K5471" s="23" t="s">
        <v>34</v>
      </c>
      <c r="L5471" s="25">
        <v>40837.050787037035</v>
      </c>
      <c r="M5471" s="28"/>
      <c r="N5471" s="26" t="s">
        <v>12478</v>
      </c>
      <c r="O5471" s="22" t="str">
        <f>HYPERLINK("https://pbs.twimg.com/profile_images/548608058595622912/ZhzN40Iv_normal.jpeg","View")</f>
        <v>View</v>
      </c>
      <c r="P5471" s="27"/>
    </row>
    <row r="5472">
      <c r="A5472" s="14">
        <v>43031.35114583334</v>
      </c>
      <c r="B5472" s="20" t="str">
        <f>HYPERLINK("https://twitter.com/AngryNiteNinja","@AngryNiteNinja")</f>
        <v>@AngryNiteNinja</v>
      </c>
      <c r="C5472" s="21" t="s">
        <v>12479</v>
      </c>
      <c r="D5472" s="21" t="s">
        <v>12480</v>
      </c>
      <c r="E5472" s="22" t="str">
        <f>HYPERLINK("https://twitter.com/AngryNiteNinja/status/922484168705171457","922484168705171457")</f>
        <v>922484168705171457</v>
      </c>
      <c r="F5472" s="23" t="s">
        <v>39</v>
      </c>
      <c r="G5472" s="24">
        <v>227.0</v>
      </c>
      <c r="H5472" s="24">
        <v>1579.0</v>
      </c>
      <c r="I5472" s="24">
        <v>8.0</v>
      </c>
      <c r="J5472" s="24">
        <v>0.0</v>
      </c>
      <c r="K5472" s="23" t="s">
        <v>34</v>
      </c>
      <c r="L5472" s="25">
        <v>41387.17967592592</v>
      </c>
      <c r="M5472" s="26" t="s">
        <v>389</v>
      </c>
      <c r="N5472" s="26" t="s">
        <v>12481</v>
      </c>
      <c r="O5472" s="22" t="str">
        <f>HYPERLINK("https://pbs.twimg.com/profile_images/498489003436703744/Dp9si9c6_normal.jpeg","View")</f>
        <v>View</v>
      </c>
      <c r="P5472" s="27"/>
    </row>
    <row r="5473">
      <c r="A5473" s="14">
        <v>43031.35116898148</v>
      </c>
      <c r="B5473" s="20" t="str">
        <f>HYPERLINK("https://twitter.com/yosiyosi28071","@yosiyosi28071")</f>
        <v>@yosiyosi28071</v>
      </c>
      <c r="C5473" s="21" t="s">
        <v>12482</v>
      </c>
      <c r="D5473" s="21" t="s">
        <v>7022</v>
      </c>
      <c r="E5473" s="22" t="str">
        <f>HYPERLINK("https://twitter.com/yosiyosi28071/status/922484178507112449","922484178507112449")</f>
        <v>922484178507112449</v>
      </c>
      <c r="F5473" s="23" t="s">
        <v>230</v>
      </c>
      <c r="G5473" s="24">
        <v>728.0</v>
      </c>
      <c r="H5473" s="24">
        <v>382.0</v>
      </c>
      <c r="I5473" s="24">
        <v>37.0</v>
      </c>
      <c r="J5473" s="24">
        <v>0.0</v>
      </c>
      <c r="K5473" s="23" t="s">
        <v>34</v>
      </c>
      <c r="L5473" s="25">
        <v>42575.07649305556</v>
      </c>
      <c r="M5473" s="28"/>
      <c r="N5473" s="26" t="s">
        <v>12483</v>
      </c>
      <c r="O5473" s="22" t="str">
        <f>HYPERLINK("https://pbs.twimg.com/profile_images/849263514564706305/VxOCnE-6_normal.jpg","View")</f>
        <v>View</v>
      </c>
      <c r="P5473" s="27"/>
    </row>
    <row r="5474">
      <c r="A5474" s="14">
        <v>43031.35118055556</v>
      </c>
      <c r="B5474" s="20" t="str">
        <f>HYPERLINK("https://twitter.com/MkMukeshmook","@MkMukeshmook")</f>
        <v>@MkMukeshmook</v>
      </c>
      <c r="C5474" s="21" t="s">
        <v>6998</v>
      </c>
      <c r="D5474" s="21" t="s">
        <v>42</v>
      </c>
      <c r="E5474" s="22" t="str">
        <f>HYPERLINK("https://twitter.com/MkMukeshmook/status/922484181682216960","922484181682216960")</f>
        <v>922484181682216960</v>
      </c>
      <c r="F5474" s="23" t="s">
        <v>43</v>
      </c>
      <c r="G5474" s="24">
        <v>498.0</v>
      </c>
      <c r="H5474" s="24">
        <v>308.0</v>
      </c>
      <c r="I5474" s="24">
        <v>8501.0</v>
      </c>
      <c r="J5474" s="24">
        <v>0.0</v>
      </c>
      <c r="K5474" s="23" t="s">
        <v>34</v>
      </c>
      <c r="L5474" s="25">
        <v>42103.19378472222</v>
      </c>
      <c r="M5474" s="28"/>
      <c r="N5474" s="26" t="s">
        <v>12484</v>
      </c>
      <c r="O5474" s="22" t="str">
        <f>HYPERLINK("https://pbs.twimg.com/profile_images/673363160737255424/ogWEJ32U_normal.jpg","View")</f>
        <v>View</v>
      </c>
      <c r="P5474" s="27"/>
    </row>
    <row r="5475">
      <c r="A5475" s="14">
        <v>43031.35119212963</v>
      </c>
      <c r="B5475" s="20" t="str">
        <f>HYPERLINK("https://twitter.com/WatchmansPost","@WatchmansPost")</f>
        <v>@WatchmansPost</v>
      </c>
      <c r="C5475" s="21" t="s">
        <v>12485</v>
      </c>
      <c r="D5475" s="21" t="s">
        <v>12486</v>
      </c>
      <c r="E5475" s="22" t="str">
        <f>HYPERLINK("https://twitter.com/WatchmansPost/status/922484186472214528","922484186472214528")</f>
        <v>922484186472214528</v>
      </c>
      <c r="F5475" s="23" t="s">
        <v>33</v>
      </c>
      <c r="G5475" s="24">
        <v>278.0</v>
      </c>
      <c r="H5475" s="24">
        <v>377.0</v>
      </c>
      <c r="I5475" s="24">
        <v>7.0</v>
      </c>
      <c r="J5475" s="24">
        <v>0.0</v>
      </c>
      <c r="K5475" s="23" t="s">
        <v>34</v>
      </c>
      <c r="L5475" s="25">
        <v>42810.40630787037</v>
      </c>
      <c r="M5475" s="26" t="s">
        <v>12487</v>
      </c>
      <c r="N5475" s="26" t="s">
        <v>12488</v>
      </c>
      <c r="O5475" s="22" t="str">
        <f>HYPERLINK("https://pbs.twimg.com/profile_images/877638562862313472/u7zuVJcA_normal.jpg","View")</f>
        <v>View</v>
      </c>
      <c r="P5475" s="27"/>
    </row>
    <row r="5476">
      <c r="A5476" s="14">
        <v>43031.35121527778</v>
      </c>
      <c r="B5476" s="20" t="str">
        <f>HYPERLINK("https://twitter.com/webjournalismcg","@webjournalismcg")</f>
        <v>@webjournalismcg</v>
      </c>
      <c r="C5476" s="21" t="s">
        <v>12489</v>
      </c>
      <c r="D5476" s="21" t="s">
        <v>42</v>
      </c>
      <c r="E5476" s="22" t="str">
        <f>HYPERLINK("https://twitter.com/webjournalismcg/status/922484193946243073","922484193946243073")</f>
        <v>922484193946243073</v>
      </c>
      <c r="F5476" s="23" t="s">
        <v>33</v>
      </c>
      <c r="G5476" s="24">
        <v>70.0</v>
      </c>
      <c r="H5476" s="24">
        <v>179.0</v>
      </c>
      <c r="I5476" s="24">
        <v>8501.0</v>
      </c>
      <c r="J5476" s="24">
        <v>0.0</v>
      </c>
      <c r="K5476" s="23" t="s">
        <v>34</v>
      </c>
      <c r="L5476" s="25">
        <v>40617.93599537037</v>
      </c>
      <c r="M5476" s="26" t="s">
        <v>12490</v>
      </c>
      <c r="N5476" s="26" t="s">
        <v>12491</v>
      </c>
      <c r="O5476" s="22" t="str">
        <f>HYPERLINK("https://pbs.twimg.com/profile_images/915061414925967361/ok_CUb9O_normal.jpg","View")</f>
        <v>View</v>
      </c>
      <c r="P5476" s="27"/>
    </row>
    <row r="5477">
      <c r="A5477" s="14">
        <v>43031.35123842592</v>
      </c>
      <c r="B5477" s="20" t="str">
        <f>HYPERLINK("https://twitter.com/Shrikantmaloza1","@Shrikantmaloza1")</f>
        <v>@Shrikantmaloza1</v>
      </c>
      <c r="C5477" s="21" t="s">
        <v>12492</v>
      </c>
      <c r="D5477" s="21" t="s">
        <v>42</v>
      </c>
      <c r="E5477" s="22" t="str">
        <f>HYPERLINK("https://twitter.com/Shrikantmaloza1/status/922484204570423296","922484204570423296")</f>
        <v>922484204570423296</v>
      </c>
      <c r="F5477" s="23" t="s">
        <v>33</v>
      </c>
      <c r="G5477" s="24">
        <v>670.0</v>
      </c>
      <c r="H5477" s="24">
        <v>4408.0</v>
      </c>
      <c r="I5477" s="24">
        <v>8501.0</v>
      </c>
      <c r="J5477" s="24">
        <v>0.0</v>
      </c>
      <c r="K5477" s="23" t="s">
        <v>34</v>
      </c>
      <c r="L5477" s="25">
        <v>42853.15827546296</v>
      </c>
      <c r="M5477" s="28"/>
      <c r="N5477" s="26" t="s">
        <v>12493</v>
      </c>
      <c r="O5477" s="22" t="str">
        <f>HYPERLINK("https://pbs.twimg.com/profile_images/897373592345649152/A3nbug6f_normal.jpg","View")</f>
        <v>View</v>
      </c>
      <c r="P5477" s="27"/>
    </row>
    <row r="5478">
      <c r="A5478" s="14">
        <v>43031.35145833333</v>
      </c>
      <c r="B5478" s="20" t="str">
        <f>HYPERLINK("https://twitter.com/HIROTO_SUB","@HIROTO_SUB")</f>
        <v>@HIROTO_SUB</v>
      </c>
      <c r="C5478" s="21" t="s">
        <v>12494</v>
      </c>
      <c r="D5478" s="21" t="s">
        <v>1642</v>
      </c>
      <c r="E5478" s="22" t="str">
        <f>HYPERLINK("https://twitter.com/HIROTO_SUB/status/922484280688644097","922484280688644097")</f>
        <v>922484280688644097</v>
      </c>
      <c r="F5478" s="23" t="s">
        <v>12495</v>
      </c>
      <c r="G5478" s="24">
        <v>223.0</v>
      </c>
      <c r="H5478" s="24">
        <v>454.0</v>
      </c>
      <c r="I5478" s="24">
        <v>199.0</v>
      </c>
      <c r="J5478" s="24">
        <v>0.0</v>
      </c>
      <c r="K5478" s="23" t="s">
        <v>34</v>
      </c>
      <c r="L5478" s="25">
        <v>41161.070381944446</v>
      </c>
      <c r="M5478" s="28"/>
      <c r="N5478" s="26" t="s">
        <v>12496</v>
      </c>
      <c r="O5478" s="22" t="str">
        <f>HYPERLINK("https://pbs.twimg.com/profile_images/753183630428545024/nlPRFXXS_normal.jpg","View")</f>
        <v>View</v>
      </c>
      <c r="P5478" s="27"/>
    </row>
    <row r="5479">
      <c r="A5479" s="14">
        <v>43031.35177083334</v>
      </c>
      <c r="B5479" s="20" t="str">
        <f>HYPERLINK("https://twitter.com/elaineobenshain","@elaineobenshain")</f>
        <v>@elaineobenshain</v>
      </c>
      <c r="C5479" s="21" t="s">
        <v>12497</v>
      </c>
      <c r="D5479" s="21" t="s">
        <v>12241</v>
      </c>
      <c r="E5479" s="22" t="str">
        <f>HYPERLINK("https://twitter.com/elaineobenshain/status/922484393977040897","922484393977040897")</f>
        <v>922484393977040897</v>
      </c>
      <c r="F5479" s="23" t="s">
        <v>1799</v>
      </c>
      <c r="G5479" s="24">
        <v>2699.0</v>
      </c>
      <c r="H5479" s="24">
        <v>766.0</v>
      </c>
      <c r="I5479" s="24">
        <v>9.0</v>
      </c>
      <c r="J5479" s="24">
        <v>0.0</v>
      </c>
      <c r="K5479" s="23" t="s">
        <v>34</v>
      </c>
      <c r="L5479" s="25">
        <v>42192.38541666667</v>
      </c>
      <c r="M5479" s="26" t="s">
        <v>12498</v>
      </c>
      <c r="N5479" s="26" t="s">
        <v>12499</v>
      </c>
      <c r="O5479" s="22" t="str">
        <f>HYPERLINK("https://pbs.twimg.com/profile_images/914878292355895296/cwvxZg_E_normal.jpg","View")</f>
        <v>View</v>
      </c>
      <c r="P5479" s="27"/>
    </row>
    <row r="5480">
      <c r="A5480" s="14">
        <v>43031.35179398148</v>
      </c>
      <c r="B5480" s="20" t="str">
        <f>HYPERLINK("https://twitter.com/boanderson36","@boanderson36")</f>
        <v>@boanderson36</v>
      </c>
      <c r="C5480" s="21" t="s">
        <v>12500</v>
      </c>
      <c r="D5480" s="21" t="s">
        <v>11430</v>
      </c>
      <c r="E5480" s="22" t="str">
        <f>HYPERLINK("https://twitter.com/boanderson36/status/922484403917459456","922484403917459456")</f>
        <v>922484403917459456</v>
      </c>
      <c r="F5480" s="23" t="s">
        <v>39</v>
      </c>
      <c r="G5480" s="24">
        <v>179.0</v>
      </c>
      <c r="H5480" s="24">
        <v>327.0</v>
      </c>
      <c r="I5480" s="24">
        <v>4.0</v>
      </c>
      <c r="J5480" s="24">
        <v>0.0</v>
      </c>
      <c r="K5480" s="23" t="s">
        <v>34</v>
      </c>
      <c r="L5480" s="25">
        <v>41676.51322916667</v>
      </c>
      <c r="M5480" s="28"/>
      <c r="N5480" s="28"/>
      <c r="O5480" s="22" t="str">
        <f>HYPERLINK("https://pbs.twimg.com/profile_images/763862546113789952/JV535p3C_normal.jpg","View")</f>
        <v>View</v>
      </c>
      <c r="P5480" s="27"/>
    </row>
    <row r="5481">
      <c r="A5481" s="14">
        <v>43031.35184027778</v>
      </c>
      <c r="B5481" s="20" t="str">
        <f>HYPERLINK("https://twitter.com/SanjayKumarTrip","@SanjayKumarTrip")</f>
        <v>@SanjayKumarTrip</v>
      </c>
      <c r="C5481" s="21" t="s">
        <v>12501</v>
      </c>
      <c r="D5481" s="21" t="s">
        <v>42</v>
      </c>
      <c r="E5481" s="22" t="str">
        <f>HYPERLINK("https://twitter.com/SanjayKumarTrip/status/922484420858150913","922484420858150913")</f>
        <v>922484420858150913</v>
      </c>
      <c r="F5481" s="23" t="s">
        <v>33</v>
      </c>
      <c r="G5481" s="24">
        <v>33.0</v>
      </c>
      <c r="H5481" s="24">
        <v>420.0</v>
      </c>
      <c r="I5481" s="24">
        <v>8501.0</v>
      </c>
      <c r="J5481" s="24">
        <v>0.0</v>
      </c>
      <c r="K5481" s="23" t="s">
        <v>34</v>
      </c>
      <c r="L5481" s="25">
        <v>40921.132372685184</v>
      </c>
      <c r="M5481" s="26" t="s">
        <v>12502</v>
      </c>
      <c r="N5481" s="28"/>
      <c r="O5481" s="22" t="str">
        <f>HYPERLINK("https://pbs.twimg.com/profile_images/533876242676609026/Uj7SF8JZ_normal.jpeg","View")</f>
        <v>View</v>
      </c>
      <c r="P5481" s="27"/>
    </row>
    <row r="5482">
      <c r="A5482" s="14">
        <v>43031.35196759259</v>
      </c>
      <c r="B5482" s="20" t="str">
        <f>HYPERLINK("https://twitter.com/santhedoubter","@santhedoubter")</f>
        <v>@santhedoubter</v>
      </c>
      <c r="C5482" s="21" t="s">
        <v>12503</v>
      </c>
      <c r="D5482" s="21" t="s">
        <v>42</v>
      </c>
      <c r="E5482" s="22" t="str">
        <f>HYPERLINK("https://twitter.com/santhedoubter/status/922484468442587136","922484468442587136")</f>
        <v>922484468442587136</v>
      </c>
      <c r="F5482" s="23" t="s">
        <v>55</v>
      </c>
      <c r="G5482" s="24">
        <v>150.0</v>
      </c>
      <c r="H5482" s="24">
        <v>3194.0</v>
      </c>
      <c r="I5482" s="24">
        <v>8501.0</v>
      </c>
      <c r="J5482" s="24">
        <v>0.0</v>
      </c>
      <c r="K5482" s="23" t="s">
        <v>34</v>
      </c>
      <c r="L5482" s="25">
        <v>42697.093680555554</v>
      </c>
      <c r="M5482" s="28"/>
      <c r="N5482" s="26" t="s">
        <v>12504</v>
      </c>
      <c r="O5482" s="22" t="str">
        <f>HYPERLINK("https://pbs.twimg.com/profile_images/801377722538696710/AQmXbg94_normal.jpg","View")</f>
        <v>View</v>
      </c>
      <c r="P5482" s="27"/>
    </row>
    <row r="5483">
      <c r="A5483" s="14">
        <v>43031.35204861111</v>
      </c>
      <c r="B5483" s="20" t="str">
        <f>HYPERLINK("https://twitter.com/shrikant_in","@shrikant_in")</f>
        <v>@shrikant_in</v>
      </c>
      <c r="C5483" s="21" t="s">
        <v>12505</v>
      </c>
      <c r="D5483" s="21" t="s">
        <v>42</v>
      </c>
      <c r="E5483" s="22" t="str">
        <f>HYPERLINK("https://twitter.com/shrikant_in/status/922484494417920000","922484494417920000")</f>
        <v>922484494417920000</v>
      </c>
      <c r="F5483" s="23" t="s">
        <v>39</v>
      </c>
      <c r="G5483" s="24">
        <v>723.0</v>
      </c>
      <c r="H5483" s="24">
        <v>2239.0</v>
      </c>
      <c r="I5483" s="24">
        <v>8501.0</v>
      </c>
      <c r="J5483" s="24">
        <v>0.0</v>
      </c>
      <c r="K5483" s="23" t="s">
        <v>34</v>
      </c>
      <c r="L5483" s="25">
        <v>40125.26190972222</v>
      </c>
      <c r="M5483" s="26" t="s">
        <v>238</v>
      </c>
      <c r="N5483" s="26" t="s">
        <v>12506</v>
      </c>
      <c r="O5483" s="22" t="str">
        <f>HYPERLINK("https://pbs.twimg.com/profile_images/808635625012416514/ObZOOTUs_normal.jpg","View")</f>
        <v>View</v>
      </c>
      <c r="P5483" s="27"/>
    </row>
    <row r="5484">
      <c r="A5484" s="14">
        <v>43031.35209490741</v>
      </c>
      <c r="B5484" s="20" t="str">
        <f>HYPERLINK("https://twitter.com/Collinsony","@Collinsony")</f>
        <v>@Collinsony</v>
      </c>
      <c r="C5484" s="21" t="s">
        <v>12507</v>
      </c>
      <c r="D5484" s="21" t="s">
        <v>12261</v>
      </c>
      <c r="E5484" s="22" t="str">
        <f>HYPERLINK("https://twitter.com/Collinsony/status/922484512579342338","922484512579342338")</f>
        <v>922484512579342338</v>
      </c>
      <c r="F5484" s="23" t="s">
        <v>43</v>
      </c>
      <c r="G5484" s="24">
        <v>79.0</v>
      </c>
      <c r="H5484" s="24">
        <v>330.0</v>
      </c>
      <c r="I5484" s="24">
        <v>5.0</v>
      </c>
      <c r="J5484" s="24">
        <v>0.0</v>
      </c>
      <c r="K5484" s="23" t="s">
        <v>34</v>
      </c>
      <c r="L5484" s="25">
        <v>40914.023680555554</v>
      </c>
      <c r="M5484" s="26" t="s">
        <v>12508</v>
      </c>
      <c r="N5484" s="26" t="s">
        <v>12509</v>
      </c>
      <c r="O5484" s="22" t="str">
        <f>HYPERLINK("https://pbs.twimg.com/profile_images/741233916321882112/N7_A3MON_normal.jpg","View")</f>
        <v>View</v>
      </c>
      <c r="P5484" s="27"/>
    </row>
    <row r="5485">
      <c r="A5485" s="14">
        <v>43031.352372685185</v>
      </c>
      <c r="B5485" s="20" t="str">
        <f>HYPERLINK("https://twitter.com/shrikant_in","@shrikant_in")</f>
        <v>@shrikant_in</v>
      </c>
      <c r="C5485" s="21" t="s">
        <v>12505</v>
      </c>
      <c r="D5485" s="21" t="s">
        <v>163</v>
      </c>
      <c r="E5485" s="22" t="str">
        <f>HYPERLINK("https://twitter.com/shrikant_in/status/922484615608176642","922484615608176642")</f>
        <v>922484615608176642</v>
      </c>
      <c r="F5485" s="23" t="s">
        <v>39</v>
      </c>
      <c r="G5485" s="24">
        <v>723.0</v>
      </c>
      <c r="H5485" s="24">
        <v>2239.0</v>
      </c>
      <c r="I5485" s="24">
        <v>1005.0</v>
      </c>
      <c r="J5485" s="24">
        <v>0.0</v>
      </c>
      <c r="K5485" s="23" t="s">
        <v>34</v>
      </c>
      <c r="L5485" s="25">
        <v>40125.26190972222</v>
      </c>
      <c r="M5485" s="26" t="s">
        <v>238</v>
      </c>
      <c r="N5485" s="26" t="s">
        <v>12506</v>
      </c>
      <c r="O5485" s="22" t="str">
        <f>HYPERLINK("https://pbs.twimg.com/profile_images/808635625012416514/ObZOOTUs_normal.jpg","View")</f>
        <v>View</v>
      </c>
      <c r="P5485" s="27"/>
    </row>
    <row r="5486">
      <c r="A5486" s="14">
        <v>43031.352476851855</v>
      </c>
      <c r="B5486" s="20" t="str">
        <f>HYPERLINK("https://twitter.com/AKASHTR2018","@AKASHTR2018")</f>
        <v>@AKASHTR2018</v>
      </c>
      <c r="C5486" s="21" t="s">
        <v>12510</v>
      </c>
      <c r="D5486" s="21" t="s">
        <v>42</v>
      </c>
      <c r="E5486" s="22" t="str">
        <f>HYPERLINK("https://twitter.com/AKASHTR2018/status/922484652585009153","922484652585009153")</f>
        <v>922484652585009153</v>
      </c>
      <c r="F5486" s="23" t="s">
        <v>33</v>
      </c>
      <c r="G5486" s="24">
        <v>0.0</v>
      </c>
      <c r="H5486" s="24">
        <v>36.0</v>
      </c>
      <c r="I5486" s="24">
        <v>8501.0</v>
      </c>
      <c r="J5486" s="24">
        <v>0.0</v>
      </c>
      <c r="K5486" s="23" t="s">
        <v>34</v>
      </c>
      <c r="L5486" s="25">
        <v>43030.31974537037</v>
      </c>
      <c r="M5486" s="28"/>
      <c r="N5486" s="28"/>
      <c r="O5486" s="22" t="str">
        <f>HYPERLINK("https://abs.twimg.com/sticky/default_profile_images/default_profile_normal.png","View")</f>
        <v>View</v>
      </c>
      <c r="P5486" s="27"/>
    </row>
    <row r="5487">
      <c r="A5487" s="14">
        <v>43031.352534722224</v>
      </c>
      <c r="B5487" s="20" t="str">
        <f>HYPERLINK("https://twitter.com/DesaiSwarup","@DesaiSwarup")</f>
        <v>@DesaiSwarup</v>
      </c>
      <c r="C5487" s="21" t="s">
        <v>12511</v>
      </c>
      <c r="D5487" s="21" t="s">
        <v>42</v>
      </c>
      <c r="E5487" s="22" t="str">
        <f>HYPERLINK("https://twitter.com/DesaiSwarup/status/922484670981378049","922484670981378049")</f>
        <v>922484670981378049</v>
      </c>
      <c r="F5487" s="23" t="s">
        <v>39</v>
      </c>
      <c r="G5487" s="24">
        <v>586.0</v>
      </c>
      <c r="H5487" s="24">
        <v>475.0</v>
      </c>
      <c r="I5487" s="24">
        <v>8501.0</v>
      </c>
      <c r="J5487" s="24">
        <v>0.0</v>
      </c>
      <c r="K5487" s="23" t="s">
        <v>34</v>
      </c>
      <c r="L5487" s="25">
        <v>41598.89649305555</v>
      </c>
      <c r="M5487" s="26" t="s">
        <v>2356</v>
      </c>
      <c r="N5487" s="28"/>
      <c r="O5487" s="22" t="str">
        <f>HYPERLINK("https://pbs.twimg.com/profile_images/854954654815449088/NEXMU_Ck_normal.jpg","View")</f>
        <v>View</v>
      </c>
      <c r="P5487" s="27"/>
    </row>
    <row r="5488">
      <c r="A5488" s="14">
        <v>43031.352743055555</v>
      </c>
      <c r="B5488" s="20" t="str">
        <f>HYPERLINK("https://twitter.com/lakshendra","@lakshendra")</f>
        <v>@lakshendra</v>
      </c>
      <c r="C5488" s="21" t="s">
        <v>12512</v>
      </c>
      <c r="D5488" s="21" t="s">
        <v>42</v>
      </c>
      <c r="E5488" s="22" t="str">
        <f>HYPERLINK("https://twitter.com/lakshendra/status/922484747875401728","922484747875401728")</f>
        <v>922484747875401728</v>
      </c>
      <c r="F5488" s="23" t="s">
        <v>39</v>
      </c>
      <c r="G5488" s="24">
        <v>99.0</v>
      </c>
      <c r="H5488" s="24">
        <v>50.0</v>
      </c>
      <c r="I5488" s="24">
        <v>8501.0</v>
      </c>
      <c r="J5488" s="24">
        <v>0.0</v>
      </c>
      <c r="K5488" s="23" t="s">
        <v>34</v>
      </c>
      <c r="L5488" s="25">
        <v>40008.2909375</v>
      </c>
      <c r="M5488" s="26" t="s">
        <v>12513</v>
      </c>
      <c r="N5488" s="26" t="s">
        <v>12514</v>
      </c>
      <c r="O5488" s="22" t="str">
        <f>HYPERLINK("https://pbs.twimg.com/profile_images/825631924534120448/e3i2koNt_normal.jpg","View")</f>
        <v>View</v>
      </c>
      <c r="P5488" s="27"/>
    </row>
    <row r="5489">
      <c r="A5489" s="14">
        <v>43031.352847222224</v>
      </c>
      <c r="B5489" s="20" t="str">
        <f>HYPERLINK("https://twitter.com/kelly_gato","@kelly_gato")</f>
        <v>@kelly_gato</v>
      </c>
      <c r="C5489" s="21" t="s">
        <v>12515</v>
      </c>
      <c r="D5489" s="21" t="s">
        <v>32</v>
      </c>
      <c r="E5489" s="22" t="str">
        <f>HYPERLINK("https://twitter.com/kelly_gato/status/922484784403767296","922484784403767296")</f>
        <v>922484784403767296</v>
      </c>
      <c r="F5489" s="23" t="s">
        <v>33</v>
      </c>
      <c r="G5489" s="24">
        <v>64.0</v>
      </c>
      <c r="H5489" s="24">
        <v>212.0</v>
      </c>
      <c r="I5489" s="24">
        <v>471.0</v>
      </c>
      <c r="J5489" s="24">
        <v>0.0</v>
      </c>
      <c r="K5489" s="23" t="s">
        <v>34</v>
      </c>
      <c r="L5489" s="25">
        <v>42880.22969907407</v>
      </c>
      <c r="M5489" s="26" t="s">
        <v>114</v>
      </c>
      <c r="N5489" s="26" t="s">
        <v>12516</v>
      </c>
      <c r="O5489" s="22" t="str">
        <f>HYPERLINK("https://pbs.twimg.com/profile_images/882163601674571778/D2XiGtCR_normal.jpg","View")</f>
        <v>View</v>
      </c>
      <c r="P5489" s="27"/>
    </row>
    <row r="5490">
      <c r="A5490" s="14">
        <v>43031.35295138889</v>
      </c>
      <c r="B5490" s="20" t="str">
        <f>HYPERLINK("https://twitter.com/adkk0342","@adkk0342")</f>
        <v>@adkk0342</v>
      </c>
      <c r="C5490" s="21" t="s">
        <v>12517</v>
      </c>
      <c r="D5490" s="21" t="s">
        <v>42</v>
      </c>
      <c r="E5490" s="22" t="str">
        <f>HYPERLINK("https://twitter.com/adkk0342/status/922484824895496192","922484824895496192")</f>
        <v>922484824895496192</v>
      </c>
      <c r="F5490" s="23" t="s">
        <v>39</v>
      </c>
      <c r="G5490" s="24">
        <v>1173.0</v>
      </c>
      <c r="H5490" s="24">
        <v>1166.0</v>
      </c>
      <c r="I5490" s="24">
        <v>8501.0</v>
      </c>
      <c r="J5490" s="24">
        <v>0.0</v>
      </c>
      <c r="K5490" s="23" t="s">
        <v>34</v>
      </c>
      <c r="L5490" s="25">
        <v>42824.20178240741</v>
      </c>
      <c r="M5490" s="26" t="s">
        <v>660</v>
      </c>
      <c r="N5490" s="26" t="s">
        <v>12518</v>
      </c>
      <c r="O5490" s="22" t="str">
        <f>HYPERLINK("https://pbs.twimg.com/profile_images/915196016348897280/vta4kA--_normal.jpg","View")</f>
        <v>View</v>
      </c>
      <c r="P5490" s="27"/>
    </row>
    <row r="5491">
      <c r="A5491" s="14">
        <v>43031.35297453703</v>
      </c>
      <c r="B5491" s="20" t="str">
        <f>HYPERLINK("https://twitter.com/Mayankpal150","@Mayankpal150")</f>
        <v>@Mayankpal150</v>
      </c>
      <c r="C5491" s="21" t="s">
        <v>12519</v>
      </c>
      <c r="D5491" s="21" t="s">
        <v>42</v>
      </c>
      <c r="E5491" s="22" t="str">
        <f>HYPERLINK("https://twitter.com/Mayankpal150/status/922484832264957952","922484832264957952")</f>
        <v>922484832264957952</v>
      </c>
      <c r="F5491" s="23" t="s">
        <v>33</v>
      </c>
      <c r="G5491" s="24">
        <v>137.0</v>
      </c>
      <c r="H5491" s="24">
        <v>411.0</v>
      </c>
      <c r="I5491" s="24">
        <v>8501.0</v>
      </c>
      <c r="J5491" s="24">
        <v>0.0</v>
      </c>
      <c r="K5491" s="23" t="s">
        <v>34</v>
      </c>
      <c r="L5491" s="25">
        <v>42688.99895833334</v>
      </c>
      <c r="M5491" s="26" t="s">
        <v>12520</v>
      </c>
      <c r="N5491" s="28"/>
      <c r="O5491" s="22" t="str">
        <f>HYPERLINK("https://pbs.twimg.com/profile_images/810456765510930432/zophUkh-_normal.jpg","View")</f>
        <v>View</v>
      </c>
      <c r="P5491" s="27"/>
    </row>
    <row r="5492">
      <c r="A5492" s="14">
        <v>43031.35315972222</v>
      </c>
      <c r="B5492" s="20" t="str">
        <f>HYPERLINK("https://twitter.com/Sanket80s","@Sanket80s")</f>
        <v>@Sanket80s</v>
      </c>
      <c r="C5492" s="21" t="s">
        <v>12521</v>
      </c>
      <c r="D5492" s="21" t="s">
        <v>42</v>
      </c>
      <c r="E5492" s="22" t="str">
        <f>HYPERLINK("https://twitter.com/Sanket80s/status/922484899185127425","922484899185127425")</f>
        <v>922484899185127425</v>
      </c>
      <c r="F5492" s="23" t="s">
        <v>39</v>
      </c>
      <c r="G5492" s="24">
        <v>205.0</v>
      </c>
      <c r="H5492" s="24">
        <v>388.0</v>
      </c>
      <c r="I5492" s="24">
        <v>8501.0</v>
      </c>
      <c r="J5492" s="24">
        <v>0.0</v>
      </c>
      <c r="K5492" s="23" t="s">
        <v>34</v>
      </c>
      <c r="L5492" s="25">
        <v>41192.0996875</v>
      </c>
      <c r="M5492" s="28"/>
      <c r="N5492" s="26" t="s">
        <v>12522</v>
      </c>
      <c r="O5492" s="22" t="str">
        <f>HYPERLINK("https://pbs.twimg.com/profile_images/865615211423821825/Q2b8_uRX_normal.jpg","View")</f>
        <v>View</v>
      </c>
      <c r="P5492" s="27"/>
    </row>
    <row r="5493">
      <c r="A5493" s="14">
        <v>43031.353217592594</v>
      </c>
      <c r="B5493" s="20" t="str">
        <f>HYPERLINK("https://twitter.com/LondonCanucks","@LondonCanucks")</f>
        <v>@LondonCanucks</v>
      </c>
      <c r="C5493" s="21" t="s">
        <v>4395</v>
      </c>
      <c r="D5493" s="21" t="s">
        <v>11750</v>
      </c>
      <c r="E5493" s="22" t="str">
        <f>HYPERLINK("https://twitter.com/LondonCanucks/status/922484918566998016","922484918566998016")</f>
        <v>922484918566998016</v>
      </c>
      <c r="F5493" s="23" t="s">
        <v>39</v>
      </c>
      <c r="G5493" s="24">
        <v>386.0</v>
      </c>
      <c r="H5493" s="24">
        <v>657.0</v>
      </c>
      <c r="I5493" s="24">
        <v>35.0</v>
      </c>
      <c r="J5493" s="24">
        <v>0.0</v>
      </c>
      <c r="K5493" s="23" t="s">
        <v>34</v>
      </c>
      <c r="L5493" s="25">
        <v>42379.19072916667</v>
      </c>
      <c r="M5493" s="28"/>
      <c r="N5493" s="26" t="s">
        <v>4396</v>
      </c>
      <c r="O5493" s="22" t="str">
        <f>HYPERLINK("https://pbs.twimg.com/profile_images/921176378762059777/baH-8AjW_normal.jpg","View")</f>
        <v>View</v>
      </c>
      <c r="P5493" s="27"/>
    </row>
    <row r="5494">
      <c r="A5494" s="14">
        <v>43031.35325231482</v>
      </c>
      <c r="B5494" s="20" t="str">
        <f>HYPERLINK("https://twitter.com/JKumarRai","@JKumarRai")</f>
        <v>@JKumarRai</v>
      </c>
      <c r="C5494" s="21" t="s">
        <v>12523</v>
      </c>
      <c r="D5494" s="21" t="s">
        <v>163</v>
      </c>
      <c r="E5494" s="22" t="str">
        <f>HYPERLINK("https://twitter.com/JKumarRai/status/922484932957446144","922484932957446144")</f>
        <v>922484932957446144</v>
      </c>
      <c r="F5494" s="23" t="s">
        <v>33</v>
      </c>
      <c r="G5494" s="24">
        <v>400.0</v>
      </c>
      <c r="H5494" s="24">
        <v>310.0</v>
      </c>
      <c r="I5494" s="24">
        <v>1005.0</v>
      </c>
      <c r="J5494" s="24">
        <v>0.0</v>
      </c>
      <c r="K5494" s="23" t="s">
        <v>34</v>
      </c>
      <c r="L5494" s="25">
        <v>41007.36168981482</v>
      </c>
      <c r="M5494" s="26" t="s">
        <v>3588</v>
      </c>
      <c r="N5494" s="28"/>
      <c r="O5494" s="22" t="str">
        <f>HYPERLINK("https://pbs.twimg.com/profile_images/913440029476741122/Rx-c_VFX_normal.jpg","View")</f>
        <v>View</v>
      </c>
      <c r="P5494" s="27"/>
    </row>
    <row r="5495">
      <c r="A5495" s="14">
        <v>43031.35327546296</v>
      </c>
      <c r="B5495" s="20" t="str">
        <f>HYPERLINK("https://twitter.com/miketama2017","@miketama2017")</f>
        <v>@miketama2017</v>
      </c>
      <c r="C5495" s="21" t="s">
        <v>12524</v>
      </c>
      <c r="D5495" s="21" t="s">
        <v>42</v>
      </c>
      <c r="E5495" s="22" t="str">
        <f>HYPERLINK("https://twitter.com/miketama2017/status/922484942084308992","922484942084308992")</f>
        <v>922484942084308992</v>
      </c>
      <c r="F5495" s="23" t="s">
        <v>33</v>
      </c>
      <c r="G5495" s="24">
        <v>620.0</v>
      </c>
      <c r="H5495" s="24">
        <v>795.0</v>
      </c>
      <c r="I5495" s="24">
        <v>8501.0</v>
      </c>
      <c r="J5495" s="24">
        <v>0.0</v>
      </c>
      <c r="K5495" s="23" t="s">
        <v>34</v>
      </c>
      <c r="L5495" s="25">
        <v>42837.89163194444</v>
      </c>
      <c r="M5495" s="26" t="s">
        <v>12525</v>
      </c>
      <c r="N5495" s="26" t="s">
        <v>12526</v>
      </c>
      <c r="O5495" s="22" t="str">
        <f>HYPERLINK("https://pbs.twimg.com/profile_images/918020023146332160/Biqt7C_8_normal.jpg","View")</f>
        <v>View</v>
      </c>
      <c r="P5495" s="27"/>
    </row>
    <row r="5496">
      <c r="A5496" s="14">
        <v>43031.35333333333</v>
      </c>
      <c r="B5496" s="20" t="str">
        <f>HYPERLINK("https://twitter.com/SaiShirpure","@SaiShirpure")</f>
        <v>@SaiShirpure</v>
      </c>
      <c r="C5496" s="21" t="s">
        <v>12527</v>
      </c>
      <c r="D5496" s="21" t="s">
        <v>42</v>
      </c>
      <c r="E5496" s="22" t="str">
        <f>HYPERLINK("https://twitter.com/SaiShirpure/status/922484960136704000","922484960136704000")</f>
        <v>922484960136704000</v>
      </c>
      <c r="F5496" s="23" t="s">
        <v>33</v>
      </c>
      <c r="G5496" s="24">
        <v>820.0</v>
      </c>
      <c r="H5496" s="24">
        <v>1461.0</v>
      </c>
      <c r="I5496" s="24">
        <v>8501.0</v>
      </c>
      <c r="J5496" s="24">
        <v>0.0</v>
      </c>
      <c r="K5496" s="23" t="s">
        <v>34</v>
      </c>
      <c r="L5496" s="25">
        <v>41721.91290509259</v>
      </c>
      <c r="M5496" s="26" t="s">
        <v>12528</v>
      </c>
      <c r="N5496" s="26" t="s">
        <v>12529</v>
      </c>
      <c r="O5496" s="22" t="str">
        <f>HYPERLINK("https://pbs.twimg.com/profile_images/855737306078203904/-0rYMXMV_normal.jpg","View")</f>
        <v>View</v>
      </c>
      <c r="P5496" s="27"/>
    </row>
    <row r="5497">
      <c r="A5497" s="14">
        <v>43031.35333333333</v>
      </c>
      <c r="B5497" s="20" t="str">
        <f>HYPERLINK("https://twitter.com/ibombayduck","@ibombayduck")</f>
        <v>@ibombayduck</v>
      </c>
      <c r="C5497" s="21" t="s">
        <v>12530</v>
      </c>
      <c r="D5497" s="21" t="s">
        <v>163</v>
      </c>
      <c r="E5497" s="22" t="str">
        <f>HYPERLINK("https://twitter.com/ibombayduck/status/922484960367276033","922484960367276033")</f>
        <v>922484960367276033</v>
      </c>
      <c r="F5497" s="23" t="s">
        <v>33</v>
      </c>
      <c r="G5497" s="24">
        <v>256.0</v>
      </c>
      <c r="H5497" s="24">
        <v>287.0</v>
      </c>
      <c r="I5497" s="24">
        <v>1005.0</v>
      </c>
      <c r="J5497" s="24">
        <v>0.0</v>
      </c>
      <c r="K5497" s="23" t="s">
        <v>34</v>
      </c>
      <c r="L5497" s="25">
        <v>40509.076319444444</v>
      </c>
      <c r="M5497" s="26" t="s">
        <v>12531</v>
      </c>
      <c r="N5497" s="26" t="s">
        <v>12532</v>
      </c>
      <c r="O5497" s="22" t="str">
        <f>HYPERLINK("https://pbs.twimg.com/profile_images/665552974513487873/uU0qId5__normal.jpg","View")</f>
        <v>View</v>
      </c>
      <c r="P5497" s="27"/>
    </row>
    <row r="5498">
      <c r="A5498" s="14">
        <v>43031.353356481486</v>
      </c>
      <c r="B5498" s="20" t="str">
        <f>HYPERLINK("https://twitter.com/trumpathon","@trumpathon")</f>
        <v>@trumpathon</v>
      </c>
      <c r="C5498" s="21" t="s">
        <v>11143</v>
      </c>
      <c r="D5498" s="21" t="s">
        <v>12533</v>
      </c>
      <c r="E5498" s="22" t="str">
        <f>HYPERLINK("https://twitter.com/trumpathon/status/922484972199579648","922484972199579648")</f>
        <v>922484972199579648</v>
      </c>
      <c r="F5498" s="30" t="s">
        <v>191</v>
      </c>
      <c r="G5498" s="24">
        <v>513.0</v>
      </c>
      <c r="H5498" s="24">
        <v>263.0</v>
      </c>
      <c r="I5498" s="24">
        <v>0.0</v>
      </c>
      <c r="J5498" s="24">
        <v>0.0</v>
      </c>
      <c r="K5498" s="23" t="s">
        <v>34</v>
      </c>
      <c r="L5498" s="25">
        <v>41660.50895833333</v>
      </c>
      <c r="M5498" s="28"/>
      <c r="N5498" s="26" t="s">
        <v>11145</v>
      </c>
      <c r="O5498" s="22" t="str">
        <f>HYPERLINK("https://pbs.twimg.com/profile_images/835521451310493696/m9w442dK_normal.jpg","View")</f>
        <v>View</v>
      </c>
      <c r="P5498" s="27"/>
    </row>
    <row r="5499">
      <c r="A5499" s="14">
        <v>43031.353472222225</v>
      </c>
      <c r="B5499" s="20" t="str">
        <f>HYPERLINK("https://twitter.com/Naveenkumarv19","@Naveenkumarv19")</f>
        <v>@Naveenkumarv19</v>
      </c>
      <c r="C5499" s="21" t="s">
        <v>12534</v>
      </c>
      <c r="D5499" s="21" t="s">
        <v>42</v>
      </c>
      <c r="E5499" s="22" t="str">
        <f>HYPERLINK("https://twitter.com/Naveenkumarv19/status/922485011336409088","922485011336409088")</f>
        <v>922485011336409088</v>
      </c>
      <c r="F5499" s="23" t="s">
        <v>33</v>
      </c>
      <c r="G5499" s="24">
        <v>338.0</v>
      </c>
      <c r="H5499" s="24">
        <v>3122.0</v>
      </c>
      <c r="I5499" s="24">
        <v>8501.0</v>
      </c>
      <c r="J5499" s="24">
        <v>0.0</v>
      </c>
      <c r="K5499" s="23" t="s">
        <v>34</v>
      </c>
      <c r="L5499" s="25">
        <v>41435.27348379629</v>
      </c>
      <c r="M5499" s="26" t="s">
        <v>4398</v>
      </c>
      <c r="N5499" s="26" t="s">
        <v>12535</v>
      </c>
      <c r="O5499" s="22" t="str">
        <f>HYPERLINK("https://pbs.twimg.com/profile_images/910511598116020224/OrXAdcS__normal.jpg","View")</f>
        <v>View</v>
      </c>
      <c r="P5499" s="27"/>
    </row>
    <row r="5500">
      <c r="A5500" s="14">
        <v>43031.353680555556</v>
      </c>
      <c r="B5500" s="20" t="str">
        <f>HYPERLINK("https://twitter.com/nischa1993","@nischa1993")</f>
        <v>@nischa1993</v>
      </c>
      <c r="C5500" s="21" t="s">
        <v>12536</v>
      </c>
      <c r="D5500" s="21" t="s">
        <v>12537</v>
      </c>
      <c r="E5500" s="22" t="str">
        <f>HYPERLINK("https://twitter.com/nischa1993/status/922485089002430466","922485089002430466")</f>
        <v>922485089002430466</v>
      </c>
      <c r="F5500" s="23" t="s">
        <v>55</v>
      </c>
      <c r="G5500" s="24">
        <v>1072.0</v>
      </c>
      <c r="H5500" s="24">
        <v>304.0</v>
      </c>
      <c r="I5500" s="24">
        <v>0.0</v>
      </c>
      <c r="J5500" s="24">
        <v>0.0</v>
      </c>
      <c r="K5500" s="23" t="s">
        <v>34</v>
      </c>
      <c r="L5500" s="25">
        <v>41354.2644212963</v>
      </c>
      <c r="M5500" s="26" t="s">
        <v>7210</v>
      </c>
      <c r="N5500" s="26" t="s">
        <v>12538</v>
      </c>
      <c r="O5500" s="22" t="str">
        <f>HYPERLINK("https://pbs.twimg.com/profile_images/3409291834/331a1e770259098917a648d732024509_normal.png","View")</f>
        <v>View</v>
      </c>
      <c r="P5500" s="27"/>
    </row>
    <row r="5501">
      <c r="A5501" s="14">
        <v>43031.35369212963</v>
      </c>
      <c r="B5501" s="20" t="str">
        <f>HYPERLINK("https://twitter.com/ankinamkmk","@ankinamkmk")</f>
        <v>@ankinamkmk</v>
      </c>
      <c r="C5501" s="21" t="s">
        <v>12539</v>
      </c>
      <c r="D5501" s="21" t="s">
        <v>42</v>
      </c>
      <c r="E5501" s="22" t="str">
        <f>HYPERLINK("https://twitter.com/ankinamkmk/status/922485092231950336","922485092231950336")</f>
        <v>922485092231950336</v>
      </c>
      <c r="F5501" s="23" t="s">
        <v>39</v>
      </c>
      <c r="G5501" s="24">
        <v>512.0</v>
      </c>
      <c r="H5501" s="24">
        <v>507.0</v>
      </c>
      <c r="I5501" s="24">
        <v>8501.0</v>
      </c>
      <c r="J5501" s="24">
        <v>0.0</v>
      </c>
      <c r="K5501" s="23" t="s">
        <v>34</v>
      </c>
      <c r="L5501" s="25">
        <v>42049.3647337963</v>
      </c>
      <c r="M5501" s="26" t="s">
        <v>71</v>
      </c>
      <c r="N5501" s="26" t="s">
        <v>12540</v>
      </c>
      <c r="O5501" s="22" t="str">
        <f>HYPERLINK("https://pbs.twimg.com/profile_images/787743246222884864/4ehrTVZB_normal.jpg","View")</f>
        <v>View</v>
      </c>
      <c r="P5501" s="27"/>
    </row>
    <row r="5502">
      <c r="A5502" s="14">
        <v>43031.35376157408</v>
      </c>
      <c r="B5502" s="20" t="str">
        <f>HYPERLINK("https://twitter.com/ingeniousmanish","@ingeniousmanish")</f>
        <v>@ingeniousmanish</v>
      </c>
      <c r="C5502" s="21" t="s">
        <v>12541</v>
      </c>
      <c r="D5502" s="21" t="s">
        <v>42</v>
      </c>
      <c r="E5502" s="22" t="str">
        <f>HYPERLINK("https://twitter.com/ingeniousmanish/status/922485117401972736","922485117401972736")</f>
        <v>922485117401972736</v>
      </c>
      <c r="F5502" s="23" t="s">
        <v>33</v>
      </c>
      <c r="G5502" s="24">
        <v>167.0</v>
      </c>
      <c r="H5502" s="24">
        <v>2810.0</v>
      </c>
      <c r="I5502" s="24">
        <v>8501.0</v>
      </c>
      <c r="J5502" s="24">
        <v>0.0</v>
      </c>
      <c r="K5502" s="23" t="s">
        <v>34</v>
      </c>
      <c r="L5502" s="25">
        <v>40087.05826388889</v>
      </c>
      <c r="M5502" s="26" t="s">
        <v>12542</v>
      </c>
      <c r="N5502" s="26" t="s">
        <v>12543</v>
      </c>
      <c r="O5502" s="22" t="str">
        <f>HYPERLINK("https://pbs.twimg.com/profile_images/1776002255/images_normal.jpg","View")</f>
        <v>View</v>
      </c>
      <c r="P5502" s="27"/>
    </row>
    <row r="5503">
      <c r="A5503" s="14">
        <v>43031.353900462964</v>
      </c>
      <c r="B5503" s="20" t="str">
        <f>HYPERLINK("https://twitter.com/jahar_raju","@jahar_raju")</f>
        <v>@jahar_raju</v>
      </c>
      <c r="C5503" s="21" t="s">
        <v>12544</v>
      </c>
      <c r="D5503" s="21" t="s">
        <v>42</v>
      </c>
      <c r="E5503" s="22" t="str">
        <f>HYPERLINK("https://twitter.com/jahar_raju/status/922485166291013633","922485166291013633")</f>
        <v>922485166291013633</v>
      </c>
      <c r="F5503" s="23" t="s">
        <v>33</v>
      </c>
      <c r="G5503" s="24">
        <v>44.0</v>
      </c>
      <c r="H5503" s="24">
        <v>113.0</v>
      </c>
      <c r="I5503" s="24">
        <v>8501.0</v>
      </c>
      <c r="J5503" s="24">
        <v>0.0</v>
      </c>
      <c r="K5503" s="23" t="s">
        <v>34</v>
      </c>
      <c r="L5503" s="25">
        <v>42912.066770833335</v>
      </c>
      <c r="M5503" s="26" t="s">
        <v>2912</v>
      </c>
      <c r="N5503" s="28"/>
      <c r="O5503" s="22" t="str">
        <f>HYPERLINK("https://pbs.twimg.com/profile_images/879269394270093313/5tVYSlA2_normal.jpg","View")</f>
        <v>View</v>
      </c>
      <c r="P5503" s="27"/>
    </row>
    <row r="5504">
      <c r="A5504" s="14">
        <v>43031.353900462964</v>
      </c>
      <c r="B5504" s="20" t="str">
        <f>HYPERLINK("https://twitter.com/BoycottHegemony","@BoycottHegemony")</f>
        <v>@BoycottHegemony</v>
      </c>
      <c r="C5504" s="21" t="s">
        <v>12545</v>
      </c>
      <c r="D5504" s="21" t="s">
        <v>11135</v>
      </c>
      <c r="E5504" s="22" t="str">
        <f>HYPERLINK("https://twitter.com/BoycottHegemony/status/922485168169877505","922485168169877505")</f>
        <v>922485168169877505</v>
      </c>
      <c r="F5504" s="23" t="s">
        <v>55</v>
      </c>
      <c r="G5504" s="24">
        <v>51.0</v>
      </c>
      <c r="H5504" s="24">
        <v>200.0</v>
      </c>
      <c r="I5504" s="24">
        <v>4.0</v>
      </c>
      <c r="J5504" s="24">
        <v>0.0</v>
      </c>
      <c r="K5504" s="23" t="s">
        <v>34</v>
      </c>
      <c r="L5504" s="25">
        <v>43012.15828703703</v>
      </c>
      <c r="M5504" s="26" t="s">
        <v>3327</v>
      </c>
      <c r="N5504" s="26" t="s">
        <v>12546</v>
      </c>
      <c r="O5504" s="22" t="str">
        <f>HYPERLINK("https://pbs.twimg.com/profile_images/918486538916306950/blXEamFD_normal.jpg","View")</f>
        <v>View</v>
      </c>
      <c r="P5504" s="27"/>
    </row>
    <row r="5505">
      <c r="A5505" s="14">
        <v>43031.35416666667</v>
      </c>
      <c r="B5505" s="20" t="str">
        <f>HYPERLINK("https://twitter.com/timesofindia","@timesofindia")</f>
        <v>@timesofindia</v>
      </c>
      <c r="C5505" s="21" t="s">
        <v>12547</v>
      </c>
      <c r="D5505" s="21" t="s">
        <v>12548</v>
      </c>
      <c r="E5505" s="22" t="str">
        <f>HYPERLINK("https://twitter.com/timesofindia/status/922485265691578368","922485265691578368")</f>
        <v>922485265691578368</v>
      </c>
      <c r="F5505" s="23" t="s">
        <v>769</v>
      </c>
      <c r="G5505" s="24">
        <v>1.0757159E7</v>
      </c>
      <c r="H5505" s="24">
        <v>503.0</v>
      </c>
      <c r="I5505" s="24">
        <v>7.0</v>
      </c>
      <c r="J5505" s="24">
        <v>40.0</v>
      </c>
      <c r="K5505" s="23" t="s">
        <v>34</v>
      </c>
      <c r="L5505" s="25">
        <v>40287.159895833334</v>
      </c>
      <c r="M5505" s="26" t="s">
        <v>96</v>
      </c>
      <c r="N5505" s="26" t="s">
        <v>12549</v>
      </c>
      <c r="O5505" s="22" t="str">
        <f>HYPERLINK("https://pbs.twimg.com/profile_images/781514680732749824/PG2_gebm_normal.jpg","View")</f>
        <v>View</v>
      </c>
      <c r="P5505" s="27"/>
    </row>
    <row r="5506">
      <c r="A5506" s="14">
        <v>43031.35418981481</v>
      </c>
      <c r="B5506" s="20" t="str">
        <f>HYPERLINK("https://twitter.com/KRTpro_News","@KRTpro_News")</f>
        <v>@KRTpro_News</v>
      </c>
      <c r="C5506" s="21" t="s">
        <v>12550</v>
      </c>
      <c r="D5506" s="21" t="s">
        <v>12551</v>
      </c>
      <c r="E5506" s="22" t="str">
        <f>HYPERLINK("https://twitter.com/KRTpro_News/status/922485272603975680","922485272603975680")</f>
        <v>922485272603975680</v>
      </c>
      <c r="F5506" s="23" t="s">
        <v>769</v>
      </c>
      <c r="G5506" s="24">
        <v>10108.0</v>
      </c>
      <c r="H5506" s="24">
        <v>6259.0</v>
      </c>
      <c r="I5506" s="24">
        <v>0.0</v>
      </c>
      <c r="J5506" s="24">
        <v>0.0</v>
      </c>
      <c r="K5506" s="23" t="s">
        <v>34</v>
      </c>
      <c r="L5506" s="25">
        <v>40533.98488425926</v>
      </c>
      <c r="M5506" s="26" t="s">
        <v>334</v>
      </c>
      <c r="N5506" s="26" t="s">
        <v>12552</v>
      </c>
      <c r="O5506" s="22" t="str">
        <f>HYPERLINK("https://pbs.twimg.com/profile_images/826028903542169601/IHhMM5JS_normal.jpg","View")</f>
        <v>View</v>
      </c>
      <c r="P5506" s="27"/>
    </row>
    <row r="5507">
      <c r="A5507" s="14">
        <v>43031.354212962964</v>
      </c>
      <c r="B5507" s="20" t="str">
        <f>HYPERLINK("https://twitter.com/AonghasCrowe","@AonghasCrowe")</f>
        <v>@AonghasCrowe</v>
      </c>
      <c r="C5507" s="21" t="s">
        <v>12553</v>
      </c>
      <c r="D5507" s="21" t="s">
        <v>12554</v>
      </c>
      <c r="E5507" s="22" t="str">
        <f>HYPERLINK("https://twitter.com/AonghasCrowe/status/922485280078041089","922485280078041089")</f>
        <v>922485280078041089</v>
      </c>
      <c r="F5507" s="23" t="s">
        <v>39</v>
      </c>
      <c r="G5507" s="24">
        <v>1415.0</v>
      </c>
      <c r="H5507" s="24">
        <v>1972.0</v>
      </c>
      <c r="I5507" s="24">
        <v>0.0</v>
      </c>
      <c r="J5507" s="24">
        <v>0.0</v>
      </c>
      <c r="K5507" s="23" t="s">
        <v>34</v>
      </c>
      <c r="L5507" s="25">
        <v>39838.07640046296</v>
      </c>
      <c r="M5507" s="26" t="s">
        <v>12555</v>
      </c>
      <c r="N5507" s="26" t="s">
        <v>12556</v>
      </c>
      <c r="O5507" s="22" t="str">
        <f>HYPERLINK("https://pbs.twimg.com/profile_images/734714316205621250/XriBw72n_normal.jpg","View")</f>
        <v>View</v>
      </c>
      <c r="P5507" s="27"/>
    </row>
    <row r="5508">
      <c r="A5508" s="14">
        <v>43031.354363425926</v>
      </c>
      <c r="B5508" s="20" t="str">
        <f>HYPERLINK("https://twitter.com/WSJ","@WSJ")</f>
        <v>@WSJ</v>
      </c>
      <c r="C5508" s="21" t="s">
        <v>2532</v>
      </c>
      <c r="D5508" s="21" t="s">
        <v>12557</v>
      </c>
      <c r="E5508" s="22" t="str">
        <f>HYPERLINK("https://twitter.com/WSJ/status/922485334637711360","922485334637711360")</f>
        <v>922485334637711360</v>
      </c>
      <c r="F5508" s="23" t="s">
        <v>1103</v>
      </c>
      <c r="G5508" s="24">
        <v>1.5019582E7</v>
      </c>
      <c r="H5508" s="24">
        <v>1091.0</v>
      </c>
      <c r="I5508" s="24">
        <v>32.0</v>
      </c>
      <c r="J5508" s="24">
        <v>47.0</v>
      </c>
      <c r="K5508" s="23" t="s">
        <v>34</v>
      </c>
      <c r="L5508" s="25">
        <v>39172.973761574074</v>
      </c>
      <c r="M5508" s="26" t="s">
        <v>2534</v>
      </c>
      <c r="N5508" s="26" t="s">
        <v>2535</v>
      </c>
      <c r="O5508" s="22" t="str">
        <f>HYPERLINK("https://pbs.twimg.com/profile_images/685113343204585473/jV72Zljq_normal.jpg","View")</f>
        <v>View</v>
      </c>
      <c r="P5508" s="27"/>
    </row>
    <row r="5509">
      <c r="A5509" s="14">
        <v>43031.35449074074</v>
      </c>
      <c r="B5509" s="20" t="str">
        <f>HYPERLINK("https://twitter.com/Brahamvakya","@Brahamvakya")</f>
        <v>@Brahamvakya</v>
      </c>
      <c r="C5509" s="21" t="s">
        <v>12558</v>
      </c>
      <c r="D5509" s="21" t="s">
        <v>42</v>
      </c>
      <c r="E5509" s="22" t="str">
        <f>HYPERLINK("https://twitter.com/Brahamvakya/status/922485379676086277","922485379676086277")</f>
        <v>922485379676086277</v>
      </c>
      <c r="F5509" s="23" t="s">
        <v>55</v>
      </c>
      <c r="G5509" s="24">
        <v>1935.0</v>
      </c>
      <c r="H5509" s="24">
        <v>399.0</v>
      </c>
      <c r="I5509" s="24">
        <v>8501.0</v>
      </c>
      <c r="J5509" s="24">
        <v>0.0</v>
      </c>
      <c r="K5509" s="23" t="s">
        <v>34</v>
      </c>
      <c r="L5509" s="25">
        <v>39979.11076388889</v>
      </c>
      <c r="M5509" s="26" t="s">
        <v>12559</v>
      </c>
      <c r="N5509" s="26" t="s">
        <v>12560</v>
      </c>
      <c r="O5509" s="22" t="str">
        <f>HYPERLINK("https://pbs.twimg.com/profile_images/619841897947754496/5MZ29Kft_normal.jpg","View")</f>
        <v>View</v>
      </c>
      <c r="P5509" s="27"/>
    </row>
    <row r="5510">
      <c r="A5510" s="14">
        <v>43031.354525462964</v>
      </c>
      <c r="B5510" s="20" t="str">
        <f>HYPERLINK("https://twitter.com/Saikart19295435","@Saikart19295435")</f>
        <v>@Saikart19295435</v>
      </c>
      <c r="C5510" s="21" t="s">
        <v>12561</v>
      </c>
      <c r="D5510" s="21" t="s">
        <v>42</v>
      </c>
      <c r="E5510" s="22" t="str">
        <f>HYPERLINK("https://twitter.com/Saikart19295435/status/922485394083528705","922485394083528705")</f>
        <v>922485394083528705</v>
      </c>
      <c r="F5510" s="23" t="s">
        <v>33</v>
      </c>
      <c r="G5510" s="24">
        <v>33.0</v>
      </c>
      <c r="H5510" s="24">
        <v>285.0</v>
      </c>
      <c r="I5510" s="24">
        <v>8501.0</v>
      </c>
      <c r="J5510" s="24">
        <v>0.0</v>
      </c>
      <c r="K5510" s="23" t="s">
        <v>34</v>
      </c>
      <c r="L5510" s="25">
        <v>42890.190289351856</v>
      </c>
      <c r="M5510" s="26" t="s">
        <v>12562</v>
      </c>
      <c r="N5510" s="26" t="s">
        <v>2671</v>
      </c>
      <c r="O5510" s="22" t="str">
        <f>HYPERLINK("https://pbs.twimg.com/profile_images/878233999402979328/vD064kO1_normal.jpg","View")</f>
        <v>View</v>
      </c>
      <c r="P5510" s="27"/>
    </row>
    <row r="5511">
      <c r="A5511" s="14">
        <v>43031.35453703704</v>
      </c>
      <c r="B5511" s="20" t="str">
        <f>HYPERLINK("https://twitter.com/TheBFRoom","@TheBFRoom")</f>
        <v>@TheBFRoom</v>
      </c>
      <c r="C5511" s="21" t="s">
        <v>943</v>
      </c>
      <c r="D5511" s="21" t="s">
        <v>12563</v>
      </c>
      <c r="E5511" s="22" t="str">
        <f>HYPERLINK("https://twitter.com/TheBFRoom/status/922485397967507456","922485397967507456")</f>
        <v>922485397967507456</v>
      </c>
      <c r="F5511" s="23" t="s">
        <v>187</v>
      </c>
      <c r="G5511" s="24">
        <v>3193.0</v>
      </c>
      <c r="H5511" s="24">
        <v>3873.0</v>
      </c>
      <c r="I5511" s="24">
        <v>0.0</v>
      </c>
      <c r="J5511" s="24">
        <v>0.0</v>
      </c>
      <c r="K5511" s="23" t="s">
        <v>34</v>
      </c>
      <c r="L5511" s="25">
        <v>42761.325162037036</v>
      </c>
      <c r="M5511" s="26" t="s">
        <v>68</v>
      </c>
      <c r="N5511" s="26" t="s">
        <v>945</v>
      </c>
      <c r="O5511" s="22" t="str">
        <f>HYPERLINK("https://pbs.twimg.com/profile_images/898379268778020864/0u1zlj_B_normal.jpg","View")</f>
        <v>View</v>
      </c>
      <c r="P5511" s="27"/>
    </row>
    <row r="5512">
      <c r="A5512" s="14">
        <v>43031.354583333334</v>
      </c>
      <c r="B5512" s="20" t="str">
        <f>HYPERLINK("https://twitter.com/aiuneom","@aiuneom")</f>
        <v>@aiuneom</v>
      </c>
      <c r="C5512" s="21" t="s">
        <v>12564</v>
      </c>
      <c r="D5512" s="21" t="s">
        <v>12565</v>
      </c>
      <c r="E5512" s="22" t="str">
        <f>HYPERLINK("https://twitter.com/aiuneom/status/922485414862000128","922485414862000128")</f>
        <v>922485414862000128</v>
      </c>
      <c r="F5512" s="23" t="s">
        <v>39</v>
      </c>
      <c r="G5512" s="24">
        <v>527.0</v>
      </c>
      <c r="H5512" s="24">
        <v>2125.0</v>
      </c>
      <c r="I5512" s="24">
        <v>32.0</v>
      </c>
      <c r="J5512" s="24">
        <v>0.0</v>
      </c>
      <c r="K5512" s="23" t="s">
        <v>34</v>
      </c>
      <c r="L5512" s="25">
        <v>41603.28853009259</v>
      </c>
      <c r="M5512" s="28"/>
      <c r="N5512" s="26" t="s">
        <v>12566</v>
      </c>
      <c r="O5512" s="22" t="str">
        <f>HYPERLINK("https://pbs.twimg.com/profile_images/563197316660604928/ZBAeXyCd_normal.jpeg","View")</f>
        <v>View</v>
      </c>
      <c r="P5512" s="27"/>
    </row>
    <row r="5513">
      <c r="A5513" s="14">
        <v>43031.35465277778</v>
      </c>
      <c r="B5513" s="20" t="str">
        <f>HYPERLINK("https://twitter.com/wsj_once","@wsj_once")</f>
        <v>@wsj_once</v>
      </c>
      <c r="C5513" s="21" t="s">
        <v>12567</v>
      </c>
      <c r="D5513" s="21" t="s">
        <v>12565</v>
      </c>
      <c r="E5513" s="22" t="str">
        <f>HYPERLINK("https://twitter.com/wsj_once/status/922485439319150592","922485439319150592")</f>
        <v>922485439319150592</v>
      </c>
      <c r="F5513" s="23" t="s">
        <v>1576</v>
      </c>
      <c r="G5513" s="24">
        <v>65.0</v>
      </c>
      <c r="H5513" s="24">
        <v>0.0</v>
      </c>
      <c r="I5513" s="24">
        <v>32.0</v>
      </c>
      <c r="J5513" s="24">
        <v>0.0</v>
      </c>
      <c r="K5513" s="23" t="s">
        <v>34</v>
      </c>
      <c r="L5513" s="25">
        <v>42758.89560185185</v>
      </c>
      <c r="M5513" s="28"/>
      <c r="N5513" s="26" t="s">
        <v>12568</v>
      </c>
      <c r="O5513" s="22" t="str">
        <f>HYPERLINK("https://pbs.twimg.com/profile_images/823940129786134528/unGg-KRZ_normal.jpg","View")</f>
        <v>View</v>
      </c>
      <c r="P5513" s="27"/>
    </row>
    <row r="5514">
      <c r="A5514" s="14">
        <v>43031.35466435185</v>
      </c>
      <c r="B5514" s="20" t="str">
        <f>HYPERLINK("https://twitter.com/EnLawded","@EnLawded")</f>
        <v>@EnLawded</v>
      </c>
      <c r="C5514" s="29" t="s">
        <v>12569</v>
      </c>
      <c r="D5514" s="21" t="s">
        <v>12565</v>
      </c>
      <c r="E5514" s="22" t="str">
        <f>HYPERLINK("https://twitter.com/EnLawded/status/922485445056978946","922485445056978946")</f>
        <v>922485445056978946</v>
      </c>
      <c r="F5514" s="23" t="s">
        <v>12570</v>
      </c>
      <c r="G5514" s="24">
        <v>4176.0</v>
      </c>
      <c r="H5514" s="24">
        <v>3495.0</v>
      </c>
      <c r="I5514" s="24">
        <v>32.0</v>
      </c>
      <c r="J5514" s="24">
        <v>0.0</v>
      </c>
      <c r="K5514" s="23" t="s">
        <v>34</v>
      </c>
      <c r="L5514" s="25">
        <v>41225.39677083334</v>
      </c>
      <c r="M5514" s="26" t="s">
        <v>9802</v>
      </c>
      <c r="N5514" s="26" t="s">
        <v>12571</v>
      </c>
      <c r="O5514" s="22" t="str">
        <f>HYPERLINK("https://pbs.twimg.com/profile_images/2841168194/b5e45134b758b5356775705887d7cbaa_normal.jpeg","View")</f>
        <v>View</v>
      </c>
      <c r="P5514" s="27"/>
    </row>
    <row r="5515">
      <c r="A5515" s="14">
        <v>43031.35471064815</v>
      </c>
      <c r="B5515" s="20" t="str">
        <f>HYPERLINK("https://twitter.com/360BizInfo","@360BizInfo")</f>
        <v>@360BizInfo</v>
      </c>
      <c r="C5515" s="21" t="s">
        <v>2626</v>
      </c>
      <c r="D5515" s="21" t="s">
        <v>12572</v>
      </c>
      <c r="E5515" s="22" t="str">
        <f>HYPERLINK("https://twitter.com/360BizInfo/status/922485460835995651","922485460835995651")</f>
        <v>922485460835995651</v>
      </c>
      <c r="F5515" s="23" t="s">
        <v>187</v>
      </c>
      <c r="G5515" s="24">
        <v>417.0</v>
      </c>
      <c r="H5515" s="24">
        <v>369.0</v>
      </c>
      <c r="I5515" s="24">
        <v>0.0</v>
      </c>
      <c r="J5515" s="24">
        <v>0.0</v>
      </c>
      <c r="K5515" s="23" t="s">
        <v>34</v>
      </c>
      <c r="L5515" s="25">
        <v>42378.719548611116</v>
      </c>
      <c r="M5515" s="28"/>
      <c r="N5515" s="26" t="s">
        <v>2628</v>
      </c>
      <c r="O5515" s="22" t="str">
        <f>HYPERLINK("https://pbs.twimg.com/profile_images/867458762877095936/iANdaTlX_normal.jpg","View")</f>
        <v>View</v>
      </c>
      <c r="P5515" s="27"/>
    </row>
    <row r="5516">
      <c r="A5516" s="14">
        <v>43031.35476851852</v>
      </c>
      <c r="B5516" s="20" t="str">
        <f>HYPERLINK("https://twitter.com/VitalAnon","@VitalAnon")</f>
        <v>@VitalAnon</v>
      </c>
      <c r="C5516" s="21" t="s">
        <v>9534</v>
      </c>
      <c r="D5516" s="21" t="s">
        <v>12573</v>
      </c>
      <c r="E5516" s="22" t="str">
        <f>HYPERLINK("https://twitter.com/VitalAnon/status/922485483762016256","922485483762016256")</f>
        <v>922485483762016256</v>
      </c>
      <c r="F5516" s="23" t="s">
        <v>187</v>
      </c>
      <c r="G5516" s="24">
        <v>1651.0</v>
      </c>
      <c r="H5516" s="24">
        <v>1755.0</v>
      </c>
      <c r="I5516" s="24">
        <v>0.0</v>
      </c>
      <c r="J5516" s="24">
        <v>0.0</v>
      </c>
      <c r="K5516" s="23" t="s">
        <v>34</v>
      </c>
      <c r="L5516" s="25">
        <v>42150.543599537035</v>
      </c>
      <c r="M5516" s="26" t="s">
        <v>9536</v>
      </c>
      <c r="N5516" s="26" t="s">
        <v>9537</v>
      </c>
      <c r="O5516" s="22" t="str">
        <f>HYPERLINK("https://pbs.twimg.com/profile_images/891487456251576321/AKnxDA8v_normal.jpg","View")</f>
        <v>View</v>
      </c>
      <c r="P5516" s="27"/>
    </row>
    <row r="5517">
      <c r="A5517" s="14">
        <v>43031.35478009259</v>
      </c>
      <c r="B5517" s="20" t="str">
        <f>HYPERLINK("https://twitter.com/pathlabheem","@pathlabheem")</f>
        <v>@pathlabheem</v>
      </c>
      <c r="C5517" s="21" t="s">
        <v>12574</v>
      </c>
      <c r="D5517" s="21" t="s">
        <v>42</v>
      </c>
      <c r="E5517" s="22" t="str">
        <f>HYPERLINK("https://twitter.com/pathlabheem/status/922485486328758272","922485486328758272")</f>
        <v>922485486328758272</v>
      </c>
      <c r="F5517" s="23" t="s">
        <v>33</v>
      </c>
      <c r="G5517" s="24">
        <v>116.0</v>
      </c>
      <c r="H5517" s="24">
        <v>335.0</v>
      </c>
      <c r="I5517" s="24">
        <v>8501.0</v>
      </c>
      <c r="J5517" s="24">
        <v>0.0</v>
      </c>
      <c r="K5517" s="23" t="s">
        <v>34</v>
      </c>
      <c r="L5517" s="25">
        <v>42153.83048611111</v>
      </c>
      <c r="M5517" s="28"/>
      <c r="N5517" s="26" t="s">
        <v>12575</v>
      </c>
      <c r="O5517" s="22" t="str">
        <f>HYPERLINK("https://pbs.twimg.com/profile_images/903455545239126016/thijGSWG_normal.jpg","View")</f>
        <v>View</v>
      </c>
      <c r="P5517" s="27"/>
    </row>
    <row r="5518">
      <c r="A5518" s="14">
        <v>43031.35480324074</v>
      </c>
      <c r="B5518" s="20" t="str">
        <f>HYPERLINK("https://twitter.com/PMA_Accountants","@PMA_Accountants")</f>
        <v>@PMA_Accountants</v>
      </c>
      <c r="C5518" s="21" t="s">
        <v>12576</v>
      </c>
      <c r="D5518" s="21" t="s">
        <v>12577</v>
      </c>
      <c r="E5518" s="22" t="str">
        <f>HYPERLINK("https://twitter.com/PMA_Accountants/status/922485492893003777","922485492893003777")</f>
        <v>922485492893003777</v>
      </c>
      <c r="F5518" s="23" t="s">
        <v>427</v>
      </c>
      <c r="G5518" s="24">
        <v>1574.0</v>
      </c>
      <c r="H5518" s="24">
        <v>203.0</v>
      </c>
      <c r="I5518" s="24">
        <v>0.0</v>
      </c>
      <c r="J5518" s="24">
        <v>1.0</v>
      </c>
      <c r="K5518" s="23" t="s">
        <v>34</v>
      </c>
      <c r="L5518" s="25">
        <v>39908.69394675926</v>
      </c>
      <c r="M5518" s="26" t="s">
        <v>12578</v>
      </c>
      <c r="N5518" s="26" t="s">
        <v>12579</v>
      </c>
      <c r="O5518" s="22" t="str">
        <f>HYPERLINK("https://pbs.twimg.com/profile_images/847258072640770050/ndeUbKQf_normal.jpg","View")</f>
        <v>View</v>
      </c>
      <c r="P5518" s="27"/>
    </row>
    <row r="5519">
      <c r="A5519" s="14">
        <v>43031.35486111111</v>
      </c>
      <c r="B5519" s="20" t="str">
        <f>HYPERLINK("https://twitter.com/mahalakshmi3117","@mahalakshmi3117")</f>
        <v>@mahalakshmi3117</v>
      </c>
      <c r="C5519" s="21" t="s">
        <v>12580</v>
      </c>
      <c r="D5519" s="21" t="s">
        <v>12581</v>
      </c>
      <c r="E5519" s="22" t="str">
        <f>HYPERLINK("https://twitter.com/mahalakshmi3117/status/922485513503821826","922485513503821826")</f>
        <v>922485513503821826</v>
      </c>
      <c r="F5519" s="23" t="s">
        <v>187</v>
      </c>
      <c r="G5519" s="24">
        <v>3402.0</v>
      </c>
      <c r="H5519" s="24">
        <v>1083.0</v>
      </c>
      <c r="I5519" s="24">
        <v>0.0</v>
      </c>
      <c r="J5519" s="24">
        <v>0.0</v>
      </c>
      <c r="K5519" s="23" t="s">
        <v>34</v>
      </c>
      <c r="L5519" s="25">
        <v>42616.374178240745</v>
      </c>
      <c r="M5519" s="26" t="s">
        <v>12582</v>
      </c>
      <c r="N5519" s="26" t="s">
        <v>12583</v>
      </c>
      <c r="O5519" s="22" t="str">
        <f>HYPERLINK("https://pbs.twimg.com/profile_images/889457388251619328/CfixbNx8_normal.jpg","View")</f>
        <v>View</v>
      </c>
      <c r="P5519" s="27"/>
    </row>
    <row r="5520">
      <c r="A5520" s="14">
        <v>43031.35486111111</v>
      </c>
      <c r="B5520" s="20" t="str">
        <f>HYPERLINK("https://twitter.com/fxzoneofficial","@fxzoneofficial")</f>
        <v>@fxzoneofficial</v>
      </c>
      <c r="C5520" s="21" t="s">
        <v>1326</v>
      </c>
      <c r="D5520" s="21" t="s">
        <v>12584</v>
      </c>
      <c r="E5520" s="22" t="str">
        <f>HYPERLINK("https://twitter.com/fxzoneofficial/status/922485514233696256","922485514233696256")</f>
        <v>922485514233696256</v>
      </c>
      <c r="F5520" s="23" t="s">
        <v>1328</v>
      </c>
      <c r="G5520" s="24">
        <v>496.0</v>
      </c>
      <c r="H5520" s="24">
        <v>209.0</v>
      </c>
      <c r="I5520" s="24">
        <v>0.0</v>
      </c>
      <c r="J5520" s="24">
        <v>0.0</v>
      </c>
      <c r="K5520" s="23" t="s">
        <v>34</v>
      </c>
      <c r="L5520" s="25">
        <v>41987.21666666667</v>
      </c>
      <c r="M5520" s="28"/>
      <c r="N5520" s="26" t="s">
        <v>1329</v>
      </c>
      <c r="O5520" s="22" t="str">
        <f>HYPERLINK("https://pbs.twimg.com/profile_images/898679417635045376/0ecZuQDQ_normal.jpg","View")</f>
        <v>View</v>
      </c>
      <c r="P5520" s="27"/>
    </row>
    <row r="5521">
      <c r="A5521" s="14">
        <v>43031.35488425926</v>
      </c>
      <c r="B5521" s="20" t="str">
        <f>HYPERLINK("https://twitter.com/ken_blvd","@ken_blvd")</f>
        <v>@ken_blvd</v>
      </c>
      <c r="C5521" s="21" t="s">
        <v>12585</v>
      </c>
      <c r="D5521" s="21" t="s">
        <v>12565</v>
      </c>
      <c r="E5521" s="22" t="str">
        <f>HYPERLINK("https://twitter.com/ken_blvd/status/922485523830263808","922485523830263808")</f>
        <v>922485523830263808</v>
      </c>
      <c r="F5521" s="23" t="s">
        <v>39</v>
      </c>
      <c r="G5521" s="24">
        <v>153.0</v>
      </c>
      <c r="H5521" s="24">
        <v>1477.0</v>
      </c>
      <c r="I5521" s="24">
        <v>32.0</v>
      </c>
      <c r="J5521" s="24">
        <v>0.0</v>
      </c>
      <c r="K5521" s="23" t="s">
        <v>34</v>
      </c>
      <c r="L5521" s="25">
        <v>43028.95633101852</v>
      </c>
      <c r="M5521" s="26" t="s">
        <v>1362</v>
      </c>
      <c r="N5521" s="28"/>
      <c r="O5521" s="22" t="str">
        <f>HYPERLINK("https://pbs.twimg.com/profile_images/921776951332831233/LEXIdAP2_normal.jpg","View")</f>
        <v>View</v>
      </c>
      <c r="P5521" s="27"/>
    </row>
    <row r="5522">
      <c r="A5522" s="14">
        <v>43031.354895833334</v>
      </c>
      <c r="B5522" s="20" t="str">
        <f>HYPERLINK("https://twitter.com/kyodo_english","@kyodo_english")</f>
        <v>@kyodo_english</v>
      </c>
      <c r="C5522" s="21" t="s">
        <v>12586</v>
      </c>
      <c r="D5522" s="21" t="s">
        <v>12587</v>
      </c>
      <c r="E5522" s="22" t="str">
        <f>HYPERLINK("https://twitter.com/kyodo_english/status/922485527026323458","922485527026323458")</f>
        <v>922485527026323458</v>
      </c>
      <c r="F5522" s="23" t="s">
        <v>769</v>
      </c>
      <c r="G5522" s="24">
        <v>3237.0</v>
      </c>
      <c r="H5522" s="24">
        <v>29.0</v>
      </c>
      <c r="I5522" s="24">
        <v>6.0</v>
      </c>
      <c r="J5522" s="24">
        <v>2.0</v>
      </c>
      <c r="K5522" s="23" t="s">
        <v>34</v>
      </c>
      <c r="L5522" s="25">
        <v>40441.57237268519</v>
      </c>
      <c r="M5522" s="26" t="s">
        <v>853</v>
      </c>
      <c r="N5522" s="26" t="s">
        <v>12588</v>
      </c>
      <c r="O5522" s="22" t="str">
        <f>HYPERLINK("https://pbs.twimg.com/profile_images/845114681027018754/60xUfFXu_normal.jpg","View")</f>
        <v>View</v>
      </c>
      <c r="P5522" s="27"/>
    </row>
    <row r="5523">
      <c r="A5523" s="14">
        <v>43031.3549537037</v>
      </c>
      <c r="B5523" s="20" t="str">
        <f>HYPERLINK("https://twitter.com/TirtaNews","@TirtaNews")</f>
        <v>@TirtaNews</v>
      </c>
      <c r="C5523" s="21" t="s">
        <v>2624</v>
      </c>
      <c r="D5523" s="21" t="s">
        <v>12589</v>
      </c>
      <c r="E5523" s="22" t="str">
        <f>HYPERLINK("https://twitter.com/TirtaNews/status/922485547901300736","922485547901300736")</f>
        <v>922485547901300736</v>
      </c>
      <c r="F5523" s="23" t="s">
        <v>187</v>
      </c>
      <c r="G5523" s="24">
        <v>183.0</v>
      </c>
      <c r="H5523" s="24">
        <v>66.0</v>
      </c>
      <c r="I5523" s="24">
        <v>0.0</v>
      </c>
      <c r="J5523" s="24">
        <v>0.0</v>
      </c>
      <c r="K5523" s="23" t="s">
        <v>34</v>
      </c>
      <c r="L5523" s="25">
        <v>41894.34030092593</v>
      </c>
      <c r="M5523" s="28"/>
      <c r="N5523" s="28"/>
      <c r="O5523" s="22" t="str">
        <f>HYPERLINK("https://pbs.twimg.com/profile_images/510469173214846976/ZLGHsEM0_normal.png","View")</f>
        <v>View</v>
      </c>
      <c r="P5523" s="27"/>
    </row>
    <row r="5524">
      <c r="A5524" s="14">
        <v>43031.35498842593</v>
      </c>
      <c r="B5524" s="20" t="str">
        <f>HYPERLINK("https://twitter.com/srussolillo","@srussolillo")</f>
        <v>@srussolillo</v>
      </c>
      <c r="C5524" s="21" t="s">
        <v>12590</v>
      </c>
      <c r="D5524" s="21" t="s">
        <v>12565</v>
      </c>
      <c r="E5524" s="22" t="str">
        <f>HYPERLINK("https://twitter.com/srussolillo/status/922485561671032832","922485561671032832")</f>
        <v>922485561671032832</v>
      </c>
      <c r="F5524" s="23" t="s">
        <v>39</v>
      </c>
      <c r="G5524" s="24">
        <v>14782.0</v>
      </c>
      <c r="H5524" s="24">
        <v>4558.0</v>
      </c>
      <c r="I5524" s="24">
        <v>32.0</v>
      </c>
      <c r="J5524" s="24">
        <v>0.0</v>
      </c>
      <c r="K5524" s="23" t="s">
        <v>34</v>
      </c>
      <c r="L5524" s="25">
        <v>39711.793761574074</v>
      </c>
      <c r="M5524" s="26" t="s">
        <v>2185</v>
      </c>
      <c r="N5524" s="26" t="s">
        <v>12591</v>
      </c>
      <c r="O5524" s="22" t="str">
        <f>HYPERLINK("https://pbs.twimg.com/profile_images/801540403149180929/NhPOMP69_normal.jpg","View")</f>
        <v>View</v>
      </c>
      <c r="P5524" s="27"/>
    </row>
    <row r="5525">
      <c r="A5525" s="14">
        <v>43031.35501157407</v>
      </c>
      <c r="B5525" s="20" t="str">
        <f>HYPERLINK("https://twitter.com/the__himanish","@the__himanish")</f>
        <v>@the__himanish</v>
      </c>
      <c r="C5525" s="21" t="s">
        <v>2612</v>
      </c>
      <c r="D5525" s="21" t="s">
        <v>12592</v>
      </c>
      <c r="E5525" s="22" t="str">
        <f>HYPERLINK("https://twitter.com/the__himanish/status/922485571955625986","922485571955625986")</f>
        <v>922485571955625986</v>
      </c>
      <c r="F5525" s="23" t="s">
        <v>187</v>
      </c>
      <c r="G5525" s="24">
        <v>1822.0</v>
      </c>
      <c r="H5525" s="24">
        <v>1621.0</v>
      </c>
      <c r="I5525" s="24">
        <v>0.0</v>
      </c>
      <c r="J5525" s="24">
        <v>0.0</v>
      </c>
      <c r="K5525" s="23" t="s">
        <v>34</v>
      </c>
      <c r="L5525" s="25">
        <v>40222.15178240741</v>
      </c>
      <c r="M5525" s="26" t="s">
        <v>96</v>
      </c>
      <c r="N5525" s="26" t="s">
        <v>2614</v>
      </c>
      <c r="O5525" s="22" t="str">
        <f>HYPERLINK("https://pbs.twimg.com/profile_images/914165533918015489/A6iR_gz2_normal.jpg","View")</f>
        <v>View</v>
      </c>
      <c r="P5525" s="27"/>
    </row>
    <row r="5526">
      <c r="A5526" s="14">
        <v>43031.35511574074</v>
      </c>
      <c r="B5526" s="20" t="str">
        <f>HYPERLINK("https://twitter.com/yogeshr837","@yogeshr837")</f>
        <v>@yogeshr837</v>
      </c>
      <c r="C5526" s="21" t="s">
        <v>12593</v>
      </c>
      <c r="D5526" s="21" t="s">
        <v>42</v>
      </c>
      <c r="E5526" s="22" t="str">
        <f>HYPERLINK("https://twitter.com/yogeshr837/status/922485606638161921","922485606638161921")</f>
        <v>922485606638161921</v>
      </c>
      <c r="F5526" s="23" t="s">
        <v>33</v>
      </c>
      <c r="G5526" s="24">
        <v>109.0</v>
      </c>
      <c r="H5526" s="24">
        <v>101.0</v>
      </c>
      <c r="I5526" s="24">
        <v>8501.0</v>
      </c>
      <c r="J5526" s="24">
        <v>0.0</v>
      </c>
      <c r="K5526" s="23" t="s">
        <v>34</v>
      </c>
      <c r="L5526" s="25">
        <v>41501.01359953704</v>
      </c>
      <c r="M5526" s="28"/>
      <c r="N5526" s="28"/>
      <c r="O5526" s="22" t="str">
        <f>HYPERLINK("https://pbs.twimg.com/profile_images/869415565223272448/T2ac2bI3_normal.jpg","View")</f>
        <v>View</v>
      </c>
      <c r="P5526" s="27"/>
    </row>
    <row r="5527">
      <c r="A5527" s="14">
        <v>43031.35512731482</v>
      </c>
      <c r="B5527" s="20" t="str">
        <f>HYPERLINK("https://twitter.com/ae86fcmvf4ageu","@ae86fcmvf4ageu")</f>
        <v>@ae86fcmvf4ageu</v>
      </c>
      <c r="C5527" s="21" t="s">
        <v>12594</v>
      </c>
      <c r="D5527" s="21" t="s">
        <v>740</v>
      </c>
      <c r="E5527" s="22" t="str">
        <f>HYPERLINK("https://twitter.com/ae86fcmvf4ageu/status/922485612942200832","922485612942200832")</f>
        <v>922485612942200832</v>
      </c>
      <c r="F5527" s="23" t="s">
        <v>33</v>
      </c>
      <c r="G5527" s="24">
        <v>104.0</v>
      </c>
      <c r="H5527" s="24">
        <v>40.0</v>
      </c>
      <c r="I5527" s="24">
        <v>87.0</v>
      </c>
      <c r="J5527" s="24">
        <v>0.0</v>
      </c>
      <c r="K5527" s="23" t="s">
        <v>34</v>
      </c>
      <c r="L5527" s="25">
        <v>41427.26730324074</v>
      </c>
      <c r="M5527" s="28"/>
      <c r="N5527" s="28"/>
      <c r="O5527" s="22" t="str">
        <f>HYPERLINK("https://pbs.twimg.com/profile_images/3745637768/d37975465716cc0889f6a8cd76e6aed0_normal.jpeg","View")</f>
        <v>View</v>
      </c>
      <c r="P5527" s="27"/>
    </row>
    <row r="5528">
      <c r="A5528" s="14">
        <v>43031.35518518518</v>
      </c>
      <c r="B5528" s="20" t="str">
        <f>HYPERLINK("https://twitter.com/msnt222","@msnt222")</f>
        <v>@msnt222</v>
      </c>
      <c r="C5528" s="21" t="s">
        <v>12595</v>
      </c>
      <c r="D5528" s="21" t="s">
        <v>163</v>
      </c>
      <c r="E5528" s="22" t="str">
        <f>HYPERLINK("https://twitter.com/msnt222/status/922485634656124928","922485634656124928")</f>
        <v>922485634656124928</v>
      </c>
      <c r="F5528" s="23" t="s">
        <v>55</v>
      </c>
      <c r="G5528" s="24">
        <v>195.0</v>
      </c>
      <c r="H5528" s="24">
        <v>221.0</v>
      </c>
      <c r="I5528" s="24">
        <v>1005.0</v>
      </c>
      <c r="J5528" s="24">
        <v>0.0</v>
      </c>
      <c r="K5528" s="23" t="s">
        <v>34</v>
      </c>
      <c r="L5528" s="25">
        <v>42350.888125</v>
      </c>
      <c r="M5528" s="28"/>
      <c r="N5528" s="28"/>
      <c r="O5528" s="22" t="str">
        <f>HYPERLINK("https://pbs.twimg.com/profile_images/822117325180719104/lafDcoii_normal.jpg","View")</f>
        <v>View</v>
      </c>
      <c r="P5528" s="27"/>
    </row>
    <row r="5529">
      <c r="A5529" s="14">
        <v>43031.355219907404</v>
      </c>
      <c r="B5529" s="20" t="str">
        <f>HYPERLINK("https://twitter.com/ae86fcmvf4ageu","@ae86fcmvf4ageu")</f>
        <v>@ae86fcmvf4ageu</v>
      </c>
      <c r="C5529" s="21" t="s">
        <v>12594</v>
      </c>
      <c r="D5529" s="21" t="s">
        <v>7022</v>
      </c>
      <c r="E5529" s="22" t="str">
        <f>HYPERLINK("https://twitter.com/ae86fcmvf4ageu/status/922485645221683200","922485645221683200")</f>
        <v>922485645221683200</v>
      </c>
      <c r="F5529" s="23" t="s">
        <v>33</v>
      </c>
      <c r="G5529" s="24">
        <v>104.0</v>
      </c>
      <c r="H5529" s="24">
        <v>40.0</v>
      </c>
      <c r="I5529" s="24">
        <v>37.0</v>
      </c>
      <c r="J5529" s="24">
        <v>0.0</v>
      </c>
      <c r="K5529" s="23" t="s">
        <v>34</v>
      </c>
      <c r="L5529" s="25">
        <v>41427.26730324074</v>
      </c>
      <c r="M5529" s="28"/>
      <c r="N5529" s="28"/>
      <c r="O5529" s="22" t="str">
        <f>HYPERLINK("https://pbs.twimg.com/profile_images/3745637768/d37975465716cc0889f6a8cd76e6aed0_normal.jpeg","View")</f>
        <v>View</v>
      </c>
      <c r="P5529" s="27"/>
    </row>
    <row r="5530">
      <c r="A5530" s="14">
        <v>43031.35524305556</v>
      </c>
      <c r="B5530" s="20" t="str">
        <f>HYPERLINK("https://twitter.com/BuckTurgidson79","@BuckTurgidson79")</f>
        <v>@BuckTurgidson79</v>
      </c>
      <c r="C5530" s="21" t="s">
        <v>12452</v>
      </c>
      <c r="D5530" s="21" t="s">
        <v>12596</v>
      </c>
      <c r="E5530" s="22" t="str">
        <f>HYPERLINK("https://twitter.com/BuckTurgidson79/status/922485655682387971","922485655682387971")</f>
        <v>922485655682387971</v>
      </c>
      <c r="F5530" s="23" t="s">
        <v>769</v>
      </c>
      <c r="G5530" s="24">
        <v>5645.0</v>
      </c>
      <c r="H5530" s="24">
        <v>35.0</v>
      </c>
      <c r="I5530" s="24">
        <v>6.0</v>
      </c>
      <c r="J5530" s="24">
        <v>0.0</v>
      </c>
      <c r="K5530" s="23" t="s">
        <v>34</v>
      </c>
      <c r="L5530" s="25">
        <v>41276.446226851855</v>
      </c>
      <c r="M5530" s="28"/>
      <c r="N5530" s="26" t="s">
        <v>12454</v>
      </c>
      <c r="O5530" s="22" t="str">
        <f>HYPERLINK("https://pbs.twimg.com/profile_images/3056066372/8bd5e4d6ea9600b1d85ca0054e59d9d2_normal.jpeg","View")</f>
        <v>View</v>
      </c>
      <c r="P5530" s="27"/>
    </row>
    <row r="5531">
      <c r="A5531" s="14">
        <v>43031.355266203704</v>
      </c>
      <c r="B5531" s="20" t="str">
        <f>HYPERLINK("https://twitter.com/AllianceAsian","@AllianceAsian")</f>
        <v>@AllianceAsian</v>
      </c>
      <c r="C5531" s="21" t="s">
        <v>12597</v>
      </c>
      <c r="D5531" s="21" t="s">
        <v>9342</v>
      </c>
      <c r="E5531" s="22" t="str">
        <f>HYPERLINK("https://twitter.com/AllianceAsian/status/922485662489575425","922485662489575425")</f>
        <v>922485662489575425</v>
      </c>
      <c r="F5531" s="23" t="s">
        <v>55</v>
      </c>
      <c r="G5531" s="24">
        <v>1062.0</v>
      </c>
      <c r="H5531" s="24">
        <v>1276.0</v>
      </c>
      <c r="I5531" s="24">
        <v>6.0</v>
      </c>
      <c r="J5531" s="24">
        <v>0.0</v>
      </c>
      <c r="K5531" s="23" t="s">
        <v>34</v>
      </c>
      <c r="L5531" s="25">
        <v>42979.91446759259</v>
      </c>
      <c r="M5531" s="26" t="s">
        <v>12598</v>
      </c>
      <c r="N5531" s="26" t="s">
        <v>12599</v>
      </c>
      <c r="O5531" s="22" t="str">
        <f>HYPERLINK("https://pbs.twimg.com/profile_images/903891550463070208/gsNJ2A01_normal.jpg","View")</f>
        <v>View</v>
      </c>
      <c r="P5531" s="27"/>
    </row>
    <row r="5532">
      <c r="A5532" s="14">
        <v>43031.3553125</v>
      </c>
      <c r="B5532" s="20" t="str">
        <f>HYPERLINK("https://twitter.com/HarishY11984667","@HarishY11984667")</f>
        <v>@HarishY11984667</v>
      </c>
      <c r="C5532" s="21" t="s">
        <v>12600</v>
      </c>
      <c r="D5532" s="21" t="s">
        <v>42</v>
      </c>
      <c r="E5532" s="22" t="str">
        <f>HYPERLINK("https://twitter.com/HarishY11984667/status/922485678054584320","922485678054584320")</f>
        <v>922485678054584320</v>
      </c>
      <c r="F5532" s="23" t="s">
        <v>33</v>
      </c>
      <c r="G5532" s="24">
        <v>0.0</v>
      </c>
      <c r="H5532" s="24">
        <v>102.0</v>
      </c>
      <c r="I5532" s="24">
        <v>8501.0</v>
      </c>
      <c r="J5532" s="24">
        <v>0.0</v>
      </c>
      <c r="K5532" s="23" t="s">
        <v>34</v>
      </c>
      <c r="L5532" s="25">
        <v>43026.22717592593</v>
      </c>
      <c r="M5532" s="28"/>
      <c r="N5532" s="28"/>
      <c r="O5532" s="22" t="str">
        <f>HYPERLINK("https://abs.twimg.com/sticky/default_profile_images/default_profile_normal.png","View")</f>
        <v>View</v>
      </c>
      <c r="P5532" s="27"/>
    </row>
    <row r="5533">
      <c r="A5533" s="14">
        <v>43031.35533564815</v>
      </c>
      <c r="B5533" s="20" t="str">
        <f>HYPERLINK("https://twitter.com/CentralJapanF3","@CentralJapanF3")</f>
        <v>@CentralJapanF3</v>
      </c>
      <c r="C5533" s="21" t="s">
        <v>12601</v>
      </c>
      <c r="D5533" s="21" t="s">
        <v>12565</v>
      </c>
      <c r="E5533" s="22" t="str">
        <f>HYPERLINK("https://twitter.com/CentralJapanF3/status/922485688330620929","922485688330620929")</f>
        <v>922485688330620929</v>
      </c>
      <c r="F5533" s="23" t="s">
        <v>39</v>
      </c>
      <c r="G5533" s="24">
        <v>499.0</v>
      </c>
      <c r="H5533" s="24">
        <v>761.0</v>
      </c>
      <c r="I5533" s="24">
        <v>32.0</v>
      </c>
      <c r="J5533" s="24">
        <v>0.0</v>
      </c>
      <c r="K5533" s="23" t="s">
        <v>34</v>
      </c>
      <c r="L5533" s="25">
        <v>42029.227800925924</v>
      </c>
      <c r="M5533" s="26" t="s">
        <v>12602</v>
      </c>
      <c r="N5533" s="26" t="s">
        <v>12603</v>
      </c>
      <c r="O5533" s="22" t="str">
        <f>HYPERLINK("https://pbs.twimg.com/profile_images/918114527547293697/kzgrbGSn_normal.jpg","View")</f>
        <v>View</v>
      </c>
      <c r="P5533" s="27"/>
    </row>
    <row r="5534">
      <c r="A5534" s="14">
        <v>43031.35550925926</v>
      </c>
      <c r="B5534" s="20" t="str">
        <f>HYPERLINK("https://twitter.com/BanankoJanko","@BanankoJanko")</f>
        <v>@BanankoJanko</v>
      </c>
      <c r="C5534" s="21" t="s">
        <v>1629</v>
      </c>
      <c r="D5534" s="21" t="s">
        <v>12604</v>
      </c>
      <c r="E5534" s="22" t="str">
        <f>HYPERLINK("https://twitter.com/BanankoJanko/status/922485748401614849","922485748401614849")</f>
        <v>922485748401614849</v>
      </c>
      <c r="F5534" s="23" t="s">
        <v>187</v>
      </c>
      <c r="G5534" s="24">
        <v>73.0</v>
      </c>
      <c r="H5534" s="24">
        <v>53.0</v>
      </c>
      <c r="I5534" s="24">
        <v>0.0</v>
      </c>
      <c r="J5534" s="24">
        <v>0.0</v>
      </c>
      <c r="K5534" s="23" t="s">
        <v>34</v>
      </c>
      <c r="L5534" s="25">
        <v>42837.10114583334</v>
      </c>
      <c r="M5534" s="28"/>
      <c r="N5534" s="35" t="s">
        <v>1631</v>
      </c>
      <c r="O5534" s="22" t="str">
        <f>HYPERLINK("https://pbs.twimg.com/profile_images/852669910123675651/CVUt6bXC_normal.jpg","View")</f>
        <v>View</v>
      </c>
      <c r="P5534" s="27"/>
    </row>
    <row r="5535">
      <c r="A5535" s="14">
        <v>43031.35565972222</v>
      </c>
      <c r="B5535" s="20" t="str">
        <f>HYPERLINK("https://twitter.com/RichardBlaber","@RichardBlaber")</f>
        <v>@RichardBlaber</v>
      </c>
      <c r="C5535" s="21" t="s">
        <v>12605</v>
      </c>
      <c r="D5535" s="21" t="s">
        <v>12606</v>
      </c>
      <c r="E5535" s="22" t="str">
        <f>HYPERLINK("https://twitter.com/RichardBlaber/status/922485805750345728","922485805750345728")</f>
        <v>922485805750345728</v>
      </c>
      <c r="F5535" s="23" t="s">
        <v>55</v>
      </c>
      <c r="G5535" s="24">
        <v>1165.0</v>
      </c>
      <c r="H5535" s="24">
        <v>1545.0</v>
      </c>
      <c r="I5535" s="24">
        <v>0.0</v>
      </c>
      <c r="J5535" s="24">
        <v>0.0</v>
      </c>
      <c r="K5535" s="23" t="s">
        <v>34</v>
      </c>
      <c r="L5535" s="25">
        <v>41381.06998842592</v>
      </c>
      <c r="M5535" s="26" t="s">
        <v>12607</v>
      </c>
      <c r="N5535" s="26" t="s">
        <v>12608</v>
      </c>
      <c r="O5535" s="22" t="str">
        <f>HYPERLINK("https://pbs.twimg.com/profile_images/574005201532649472/c1Duo_V7_normal.jpeg","View")</f>
        <v>View</v>
      </c>
      <c r="P5535" s="27"/>
    </row>
    <row r="5536">
      <c r="A5536" s="14">
        <v>43031.355671296296</v>
      </c>
      <c r="B5536" s="20" t="str">
        <f>HYPERLINK("https://twitter.com/JapanNewsinUK","@JapanNewsinUK")</f>
        <v>@JapanNewsinUK</v>
      </c>
      <c r="C5536" s="21" t="s">
        <v>12609</v>
      </c>
      <c r="D5536" s="21" t="s">
        <v>12610</v>
      </c>
      <c r="E5536" s="22" t="str">
        <f>HYPERLINK("https://twitter.com/JapanNewsinUK/status/922485807142899712","922485807142899712")</f>
        <v>922485807142899712</v>
      </c>
      <c r="F5536" s="23" t="s">
        <v>1119</v>
      </c>
      <c r="G5536" s="24">
        <v>307.0</v>
      </c>
      <c r="H5536" s="24">
        <v>175.0</v>
      </c>
      <c r="I5536" s="24">
        <v>0.0</v>
      </c>
      <c r="J5536" s="24">
        <v>0.0</v>
      </c>
      <c r="K5536" s="23" t="s">
        <v>34</v>
      </c>
      <c r="L5536" s="25">
        <v>41346.45717592593</v>
      </c>
      <c r="M5536" s="26" t="s">
        <v>12611</v>
      </c>
      <c r="N5536" s="26" t="s">
        <v>12612</v>
      </c>
      <c r="O5536" s="22" t="str">
        <f>HYPERLINK("https://pbs.twimg.com/profile_images/3391602047/9d0fd4dbb085ae4f85d5dd51f07b4362_normal.jpeg","View")</f>
        <v>View</v>
      </c>
      <c r="P5536" s="27"/>
    </row>
    <row r="5537">
      <c r="A5537" s="14">
        <v>43031.355717592596</v>
      </c>
      <c r="B5537" s="20" t="str">
        <f>HYPERLINK("https://twitter.com/DeepakGoyal111","@DeepakGoyal111")</f>
        <v>@DeepakGoyal111</v>
      </c>
      <c r="C5537" s="21" t="s">
        <v>12613</v>
      </c>
      <c r="D5537" s="21" t="s">
        <v>42</v>
      </c>
      <c r="E5537" s="22" t="str">
        <f>HYPERLINK("https://twitter.com/DeepakGoyal111/status/922485825396391936","922485825396391936")</f>
        <v>922485825396391936</v>
      </c>
      <c r="F5537" s="23" t="s">
        <v>33</v>
      </c>
      <c r="G5537" s="24">
        <v>101.0</v>
      </c>
      <c r="H5537" s="24">
        <v>114.0</v>
      </c>
      <c r="I5537" s="24">
        <v>8501.0</v>
      </c>
      <c r="J5537" s="24">
        <v>0.0</v>
      </c>
      <c r="K5537" s="23" t="s">
        <v>34</v>
      </c>
      <c r="L5537" s="25">
        <v>40579.17633101852</v>
      </c>
      <c r="M5537" s="28"/>
      <c r="N5537" s="28"/>
      <c r="O5537" s="22" t="str">
        <f>HYPERLINK("https://abs.twimg.com/sticky/default_profile_images/default_profile_normal.png","View")</f>
        <v>View</v>
      </c>
      <c r="P5537" s="27"/>
    </row>
    <row r="5538">
      <c r="A5538" s="14">
        <v>43031.35578703704</v>
      </c>
      <c r="B5538" s="20" t="str">
        <f>HYPERLINK("https://twitter.com/Jordan_FHT","@Jordan_FHT")</f>
        <v>@Jordan_FHT</v>
      </c>
      <c r="C5538" s="21" t="s">
        <v>2745</v>
      </c>
      <c r="D5538" s="21" t="s">
        <v>12565</v>
      </c>
      <c r="E5538" s="22" t="str">
        <f>HYPERLINK("https://twitter.com/Jordan_FHT/status/922485849085894656","922485849085894656")</f>
        <v>922485849085894656</v>
      </c>
      <c r="F5538" s="23" t="s">
        <v>1799</v>
      </c>
      <c r="G5538" s="24">
        <v>252.0</v>
      </c>
      <c r="H5538" s="24">
        <v>77.0</v>
      </c>
      <c r="I5538" s="24">
        <v>32.0</v>
      </c>
      <c r="J5538" s="24">
        <v>0.0</v>
      </c>
      <c r="K5538" s="23" t="s">
        <v>34</v>
      </c>
      <c r="L5538" s="25">
        <v>42419.27686342593</v>
      </c>
      <c r="M5538" s="26" t="s">
        <v>2746</v>
      </c>
      <c r="N5538" s="26" t="s">
        <v>2747</v>
      </c>
      <c r="O5538" s="22" t="str">
        <f>HYPERLINK("https://pbs.twimg.com/profile_images/703246800833089536/QK8e-yOG_normal.jpg","View")</f>
        <v>View</v>
      </c>
      <c r="P5538" s="27"/>
    </row>
    <row r="5539">
      <c r="A5539" s="14">
        <v>43031.35582175926</v>
      </c>
      <c r="B5539" s="20" t="str">
        <f>HYPERLINK("https://twitter.com/dkyadav200013","@dkyadav200013")</f>
        <v>@dkyadav200013</v>
      </c>
      <c r="C5539" s="21" t="s">
        <v>12614</v>
      </c>
      <c r="D5539" s="21" t="s">
        <v>42</v>
      </c>
      <c r="E5539" s="22" t="str">
        <f>HYPERLINK("https://twitter.com/dkyadav200013/status/922485864818548736","922485864818548736")</f>
        <v>922485864818548736</v>
      </c>
      <c r="F5539" s="23" t="s">
        <v>43</v>
      </c>
      <c r="G5539" s="24">
        <v>34.0</v>
      </c>
      <c r="H5539" s="24">
        <v>28.0</v>
      </c>
      <c r="I5539" s="24">
        <v>8501.0</v>
      </c>
      <c r="J5539" s="24">
        <v>0.0</v>
      </c>
      <c r="K5539" s="23" t="s">
        <v>34</v>
      </c>
      <c r="L5539" s="25">
        <v>41650.91511574074</v>
      </c>
      <c r="M5539" s="26" t="s">
        <v>12615</v>
      </c>
      <c r="N5539" s="26" t="s">
        <v>12616</v>
      </c>
      <c r="O5539" s="22" t="str">
        <f>HYPERLINK("https://pbs.twimg.com/profile_images/883892790136115201/yiyfaf98_normal.jpg","View")</f>
        <v>View</v>
      </c>
      <c r="P5539" s="27"/>
    </row>
    <row r="5540">
      <c r="A5540" s="14">
        <v>43031.35586805556</v>
      </c>
      <c r="B5540" s="20" t="str">
        <f>HYPERLINK("https://twitter.com/Brijeshbsingh","@Brijeshbsingh")</f>
        <v>@Brijeshbsingh</v>
      </c>
      <c r="C5540" s="21" t="s">
        <v>12617</v>
      </c>
      <c r="D5540" s="21" t="s">
        <v>42</v>
      </c>
      <c r="E5540" s="22" t="str">
        <f>HYPERLINK("https://twitter.com/Brijeshbsingh/status/922485879888928769","922485879888928769")</f>
        <v>922485879888928769</v>
      </c>
      <c r="F5540" s="23" t="s">
        <v>33</v>
      </c>
      <c r="G5540" s="24">
        <v>2150.0</v>
      </c>
      <c r="H5540" s="24">
        <v>513.0</v>
      </c>
      <c r="I5540" s="24">
        <v>8501.0</v>
      </c>
      <c r="J5540" s="24">
        <v>0.0</v>
      </c>
      <c r="K5540" s="23" t="s">
        <v>34</v>
      </c>
      <c r="L5540" s="25">
        <v>40738.96601851852</v>
      </c>
      <c r="M5540" s="28"/>
      <c r="N5540" s="26" t="s">
        <v>12618</v>
      </c>
      <c r="O5540" s="22" t="str">
        <f>HYPERLINK("https://pbs.twimg.com/profile_images/487561623322636289/nSLYP-iC_normal.jpeg","View")</f>
        <v>View</v>
      </c>
      <c r="P5540" s="27"/>
    </row>
    <row r="5541">
      <c r="A5541" s="14">
        <v>43031.35600694444</v>
      </c>
      <c r="B5541" s="20" t="str">
        <f>HYPERLINK("https://twitter.com/observer1076","@observer1076")</f>
        <v>@observer1076</v>
      </c>
      <c r="C5541" s="21" t="s">
        <v>12619</v>
      </c>
      <c r="D5541" s="21" t="s">
        <v>163</v>
      </c>
      <c r="E5541" s="22" t="str">
        <f>HYPERLINK("https://twitter.com/observer1076/status/922485932275613696","922485932275613696")</f>
        <v>922485932275613696</v>
      </c>
      <c r="F5541" s="23" t="s">
        <v>43</v>
      </c>
      <c r="G5541" s="24">
        <v>163.0</v>
      </c>
      <c r="H5541" s="24">
        <v>1010.0</v>
      </c>
      <c r="I5541" s="24">
        <v>1005.0</v>
      </c>
      <c r="J5541" s="24">
        <v>0.0</v>
      </c>
      <c r="K5541" s="23" t="s">
        <v>34</v>
      </c>
      <c r="L5541" s="25">
        <v>41992.399675925924</v>
      </c>
      <c r="M5541" s="28"/>
      <c r="N5541" s="28"/>
      <c r="O5541" s="22" t="str">
        <f>HYPERLINK("https://pbs.twimg.com/profile_images/798951561644818432/x-EitQKS_normal.jpg","View")</f>
        <v>View</v>
      </c>
      <c r="P5541" s="27"/>
    </row>
    <row r="5542">
      <c r="A5542" s="14">
        <v>43031.35603009259</v>
      </c>
      <c r="B5542" s="20" t="str">
        <f>HYPERLINK("https://twitter.com/vtn449","@vtn449")</f>
        <v>@vtn449</v>
      </c>
      <c r="C5542" s="21" t="s">
        <v>9322</v>
      </c>
      <c r="D5542" s="21" t="s">
        <v>12565</v>
      </c>
      <c r="E5542" s="22" t="str">
        <f>HYPERLINK("https://twitter.com/vtn449/status/922485940592840704","922485940592840704")</f>
        <v>922485940592840704</v>
      </c>
      <c r="F5542" s="23" t="s">
        <v>55</v>
      </c>
      <c r="G5542" s="24">
        <v>572.0</v>
      </c>
      <c r="H5542" s="24">
        <v>137.0</v>
      </c>
      <c r="I5542" s="24">
        <v>32.0</v>
      </c>
      <c r="J5542" s="24">
        <v>0.0</v>
      </c>
      <c r="K5542" s="23" t="s">
        <v>34</v>
      </c>
      <c r="L5542" s="25">
        <v>40242.614120370374</v>
      </c>
      <c r="M5542" s="26" t="s">
        <v>1224</v>
      </c>
      <c r="N5542" s="26" t="s">
        <v>9323</v>
      </c>
      <c r="O5542" s="22" t="str">
        <f>HYPERLINK("https://pbs.twimg.com/profile_images/1764956709/390211_215966585155112_151206238297814_485912_1341909967_n_normal.jpg","View")</f>
        <v>View</v>
      </c>
      <c r="P5542" s="27"/>
    </row>
    <row r="5543">
      <c r="A5543" s="14">
        <v>43031.35607638889</v>
      </c>
      <c r="B5543" s="20" t="str">
        <f>HYPERLINK("https://twitter.com/MerlinGyr","@MerlinGyr")</f>
        <v>@MerlinGyr</v>
      </c>
      <c r="C5543" s="21" t="s">
        <v>12620</v>
      </c>
      <c r="D5543" s="21" t="s">
        <v>12565</v>
      </c>
      <c r="E5543" s="22" t="str">
        <f>HYPERLINK("https://twitter.com/MerlinGyr/status/922485954924789765","922485954924789765")</f>
        <v>922485954924789765</v>
      </c>
      <c r="F5543" s="23" t="s">
        <v>230</v>
      </c>
      <c r="G5543" s="24">
        <v>536.0</v>
      </c>
      <c r="H5543" s="24">
        <v>648.0</v>
      </c>
      <c r="I5543" s="24">
        <v>32.0</v>
      </c>
      <c r="J5543" s="24">
        <v>0.0</v>
      </c>
      <c r="K5543" s="23" t="s">
        <v>34</v>
      </c>
      <c r="L5543" s="25">
        <v>42760.28393518519</v>
      </c>
      <c r="M5543" s="28"/>
      <c r="N5543" s="28"/>
      <c r="O5543" s="22" t="str">
        <f>HYPERLINK("https://pbs.twimg.com/profile_images/854499965174915072/8YbOLTx6_normal.jpg","View")</f>
        <v>View</v>
      </c>
      <c r="P5543" s="27"/>
    </row>
    <row r="5544">
      <c r="A5544" s="14">
        <v>43031.35607638889</v>
      </c>
      <c r="B5544" s="20" t="str">
        <f>HYPERLINK("https://twitter.com/kasworld_usa","@kasworld_usa")</f>
        <v>@kasworld_usa</v>
      </c>
      <c r="C5544" s="21" t="s">
        <v>12621</v>
      </c>
      <c r="D5544" s="21" t="s">
        <v>12622</v>
      </c>
      <c r="E5544" s="22" t="str">
        <f>HYPERLINK("https://twitter.com/kasworld_usa/status/922485956288172032","922485956288172032")</f>
        <v>922485956288172032</v>
      </c>
      <c r="F5544" s="23" t="s">
        <v>187</v>
      </c>
      <c r="G5544" s="24">
        <v>5.0</v>
      </c>
      <c r="H5544" s="24">
        <v>0.0</v>
      </c>
      <c r="I5544" s="24">
        <v>0.0</v>
      </c>
      <c r="J5544" s="24">
        <v>0.0</v>
      </c>
      <c r="K5544" s="23" t="s">
        <v>34</v>
      </c>
      <c r="L5544" s="25">
        <v>43001.21859953704</v>
      </c>
      <c r="M5544" s="26" t="s">
        <v>9608</v>
      </c>
      <c r="N5544" s="26" t="s">
        <v>12623</v>
      </c>
      <c r="O5544" s="22" t="str">
        <f>HYPERLINK("https://pbs.twimg.com/profile_images/921365590719074305/DkuJU8qU_normal.jpg","View")</f>
        <v>View</v>
      </c>
      <c r="P5544" s="27"/>
    </row>
    <row r="5545">
      <c r="A5545" s="14">
        <v>43031.35614583333</v>
      </c>
      <c r="B5545" s="20" t="str">
        <f>HYPERLINK("https://twitter.com/livechannelfeed","@livechannelfeed")</f>
        <v>@livechannelfeed</v>
      </c>
      <c r="C5545" s="21" t="s">
        <v>2715</v>
      </c>
      <c r="D5545" s="21" t="s">
        <v>12624</v>
      </c>
      <c r="E5545" s="22" t="str">
        <f>HYPERLINK("https://twitter.com/livechannelfeed/status/922485982695436288","922485982695436288")</f>
        <v>922485982695436288</v>
      </c>
      <c r="F5545" s="23" t="s">
        <v>187</v>
      </c>
      <c r="G5545" s="24">
        <v>3931.0</v>
      </c>
      <c r="H5545" s="24">
        <v>3269.0</v>
      </c>
      <c r="I5545" s="24">
        <v>0.0</v>
      </c>
      <c r="J5545" s="24">
        <v>0.0</v>
      </c>
      <c r="K5545" s="23" t="s">
        <v>34</v>
      </c>
      <c r="L5545" s="25">
        <v>42710.84563657407</v>
      </c>
      <c r="M5545" s="26" t="s">
        <v>1250</v>
      </c>
      <c r="N5545" s="26" t="s">
        <v>2717</v>
      </c>
      <c r="O5545" s="22" t="str">
        <f>HYPERLINK("https://pbs.twimg.com/profile_images/806606820504731649/rCR1WeBs_normal.jpg","View")</f>
        <v>View</v>
      </c>
      <c r="P5545" s="27"/>
    </row>
    <row r="5546">
      <c r="A5546" s="14">
        <v>43031.35616898148</v>
      </c>
      <c r="B5546" s="20" t="str">
        <f>HYPERLINK("https://twitter.com/TheGMan7","@TheGMan7")</f>
        <v>@TheGMan7</v>
      </c>
      <c r="C5546" s="21" t="s">
        <v>12625</v>
      </c>
      <c r="D5546" s="21" t="s">
        <v>12626</v>
      </c>
      <c r="E5546" s="22" t="str">
        <f>HYPERLINK("https://twitter.com/TheGMan7/status/922485988718448640","922485988718448640")</f>
        <v>922485988718448640</v>
      </c>
      <c r="F5546" s="23" t="s">
        <v>91</v>
      </c>
      <c r="G5546" s="24">
        <v>386.0</v>
      </c>
      <c r="H5546" s="24">
        <v>1413.0</v>
      </c>
      <c r="I5546" s="24">
        <v>0.0</v>
      </c>
      <c r="J5546" s="24">
        <v>0.0</v>
      </c>
      <c r="K5546" s="23" t="s">
        <v>34</v>
      </c>
      <c r="L5546" s="25">
        <v>39928.53362268519</v>
      </c>
      <c r="M5546" s="26" t="s">
        <v>12627</v>
      </c>
      <c r="N5546" s="26" t="s">
        <v>12628</v>
      </c>
      <c r="O5546" s="22" t="str">
        <f>HYPERLINK("https://pbs.twimg.com/profile_images/611372454603153410/Rahwb3X4_normal.png","View")</f>
        <v>View</v>
      </c>
      <c r="P5546" s="27"/>
    </row>
    <row r="5547">
      <c r="A5547" s="14">
        <v>43031.35618055555</v>
      </c>
      <c r="B5547" s="20" t="str">
        <f>HYPERLINK("https://twitter.com/mohitsmartlove","@mohitsmartlove")</f>
        <v>@mohitsmartlove</v>
      </c>
      <c r="C5547" s="21" t="s">
        <v>12629</v>
      </c>
      <c r="D5547" s="21" t="s">
        <v>12630</v>
      </c>
      <c r="E5547" s="22" t="str">
        <f>HYPERLINK("https://twitter.com/mohitsmartlove/status/922485992208003072","922485992208003072")</f>
        <v>922485992208003072</v>
      </c>
      <c r="F5547" s="23" t="s">
        <v>33</v>
      </c>
      <c r="G5547" s="24">
        <v>560.0</v>
      </c>
      <c r="H5547" s="24">
        <v>23.0</v>
      </c>
      <c r="I5547" s="24">
        <v>7.0</v>
      </c>
      <c r="J5547" s="24">
        <v>0.0</v>
      </c>
      <c r="K5547" s="23" t="s">
        <v>34</v>
      </c>
      <c r="L5547" s="25">
        <v>40678.52135416667</v>
      </c>
      <c r="M5547" s="26" t="s">
        <v>207</v>
      </c>
      <c r="N5547" s="28"/>
      <c r="O5547" s="22" t="str">
        <f>HYPERLINK("https://pbs.twimg.com/profile_images/657411857515343872/TtOBk5Xm_normal.jpg","View")</f>
        <v>View</v>
      </c>
      <c r="P5547" s="27"/>
    </row>
    <row r="5548">
      <c r="A5548" s="14">
        <v>43031.356192129635</v>
      </c>
      <c r="B5548" s="20" t="str">
        <f>HYPERLINK("https://twitter.com/kotaknaren","@kotaknaren")</f>
        <v>@kotaknaren</v>
      </c>
      <c r="C5548" s="21" t="s">
        <v>2729</v>
      </c>
      <c r="D5548" s="21" t="s">
        <v>12631</v>
      </c>
      <c r="E5548" s="22" t="str">
        <f>HYPERLINK("https://twitter.com/kotaknaren/status/922485997841141760","922485997841141760")</f>
        <v>922485997841141760</v>
      </c>
      <c r="F5548" s="23" t="s">
        <v>187</v>
      </c>
      <c r="G5548" s="24">
        <v>995.0</v>
      </c>
      <c r="H5548" s="24">
        <v>2681.0</v>
      </c>
      <c r="I5548" s="24">
        <v>0.0</v>
      </c>
      <c r="J5548" s="24">
        <v>0.0</v>
      </c>
      <c r="K5548" s="23" t="s">
        <v>34</v>
      </c>
      <c r="L5548" s="25">
        <v>40248.48484953704</v>
      </c>
      <c r="M5548" s="26" t="s">
        <v>207</v>
      </c>
      <c r="N5548" s="26" t="s">
        <v>2731</v>
      </c>
      <c r="O5548" s="22" t="str">
        <f>HYPERLINK("https://pbs.twimg.com/profile_images/813794228098564096/IEzFNegT_normal.jpg","View")</f>
        <v>View</v>
      </c>
      <c r="P5548" s="27"/>
    </row>
    <row r="5549">
      <c r="A5549" s="14">
        <v>43031.356203703705</v>
      </c>
      <c r="B5549" s="20" t="str">
        <f>HYPERLINK("https://twitter.com/h_kamada","@h_kamada")</f>
        <v>@h_kamada</v>
      </c>
      <c r="C5549" s="21" t="s">
        <v>12632</v>
      </c>
      <c r="D5549" s="21" t="s">
        <v>12596</v>
      </c>
      <c r="E5549" s="22" t="str">
        <f>HYPERLINK("https://twitter.com/h_kamada/status/922485999984287744","922485999984287744")</f>
        <v>922485999984287744</v>
      </c>
      <c r="F5549" s="23" t="s">
        <v>55</v>
      </c>
      <c r="G5549" s="24">
        <v>599.0</v>
      </c>
      <c r="H5549" s="24">
        <v>1123.0</v>
      </c>
      <c r="I5549" s="24">
        <v>6.0</v>
      </c>
      <c r="J5549" s="24">
        <v>0.0</v>
      </c>
      <c r="K5549" s="23" t="s">
        <v>34</v>
      </c>
      <c r="L5549" s="25">
        <v>40326.47708333333</v>
      </c>
      <c r="M5549" s="26" t="s">
        <v>923</v>
      </c>
      <c r="N5549" s="26" t="s">
        <v>12633</v>
      </c>
      <c r="O5549" s="22" t="str">
        <f>HYPERLINK("https://pbs.twimg.com/profile_images/1401738590/2.LeighBowery_normal.jpg","View")</f>
        <v>View</v>
      </c>
      <c r="P5549" s="27"/>
    </row>
    <row r="5550">
      <c r="A5550" s="14">
        <v>43031.35638888889</v>
      </c>
      <c r="B5550" s="20" t="str">
        <f>HYPERLINK("https://twitter.com/babakml","@babakml")</f>
        <v>@babakml</v>
      </c>
      <c r="C5550" s="21" t="s">
        <v>12634</v>
      </c>
      <c r="D5550" s="21" t="s">
        <v>3748</v>
      </c>
      <c r="E5550" s="22" t="str">
        <f>HYPERLINK("https://twitter.com/babakml/status/922486070536675329","922486070536675329")</f>
        <v>922486070536675329</v>
      </c>
      <c r="F5550" s="23" t="s">
        <v>39</v>
      </c>
      <c r="G5550" s="24">
        <v>315.0</v>
      </c>
      <c r="H5550" s="24">
        <v>164.0</v>
      </c>
      <c r="I5550" s="24">
        <v>10.0</v>
      </c>
      <c r="J5550" s="24">
        <v>0.0</v>
      </c>
      <c r="K5550" s="23" t="s">
        <v>34</v>
      </c>
      <c r="L5550" s="25">
        <v>40646.49283564815</v>
      </c>
      <c r="M5550" s="26" t="s">
        <v>6037</v>
      </c>
      <c r="N5550" s="26" t="s">
        <v>12635</v>
      </c>
      <c r="O5550" s="22" t="str">
        <f>HYPERLINK("https://pbs.twimg.com/profile_images/585499883647414273/KLNpruU0_normal.jpg","View")</f>
        <v>View</v>
      </c>
      <c r="P5550" s="27"/>
    </row>
    <row r="5551">
      <c r="A5551" s="14">
        <v>43031.35640046296</v>
      </c>
      <c r="B5551" s="20" t="str">
        <f>HYPERLINK("https://twitter.com/serge_poznanski","@serge_poznanski")</f>
        <v>@serge_poznanski</v>
      </c>
      <c r="C5551" s="21" t="s">
        <v>2763</v>
      </c>
      <c r="D5551" s="21" t="s">
        <v>12636</v>
      </c>
      <c r="E5551" s="22" t="str">
        <f>HYPERLINK("https://twitter.com/serge_poznanski/status/922486071992176640","922486071992176640")</f>
        <v>922486071992176640</v>
      </c>
      <c r="F5551" s="23" t="s">
        <v>187</v>
      </c>
      <c r="G5551" s="24">
        <v>1438.0</v>
      </c>
      <c r="H5551" s="24">
        <v>2138.0</v>
      </c>
      <c r="I5551" s="24">
        <v>0.0</v>
      </c>
      <c r="J5551" s="24">
        <v>0.0</v>
      </c>
      <c r="K5551" s="23" t="s">
        <v>34</v>
      </c>
      <c r="L5551" s="25">
        <v>42271.47445601852</v>
      </c>
      <c r="M5551" s="28"/>
      <c r="N5551" s="28"/>
      <c r="O5551" s="22" t="str">
        <f>HYPERLINK("https://pbs.twimg.com/profile_images/647277253240291328/3GezjFCJ_normal.jpg","View")</f>
        <v>View</v>
      </c>
      <c r="P5551" s="27"/>
    </row>
    <row r="5552">
      <c r="A5552" s="14">
        <v>43031.35648148148</v>
      </c>
      <c r="B5552" s="20" t="str">
        <f>HYPERLINK("https://twitter.com/InvestingLatest","@InvestingLatest")</f>
        <v>@InvestingLatest</v>
      </c>
      <c r="C5552" s="21" t="s">
        <v>3758</v>
      </c>
      <c r="D5552" s="21" t="s">
        <v>12637</v>
      </c>
      <c r="E5552" s="22" t="str">
        <f>HYPERLINK("https://twitter.com/InvestingLatest/status/922486104007331840","922486104007331840")</f>
        <v>922486104007331840</v>
      </c>
      <c r="F5552" s="23" t="s">
        <v>187</v>
      </c>
      <c r="G5552" s="24">
        <v>1534.0</v>
      </c>
      <c r="H5552" s="24">
        <v>33.0</v>
      </c>
      <c r="I5552" s="24">
        <v>0.0</v>
      </c>
      <c r="J5552" s="24">
        <v>0.0</v>
      </c>
      <c r="K5552" s="23" t="s">
        <v>34</v>
      </c>
      <c r="L5552" s="25">
        <v>41946.3308912037</v>
      </c>
      <c r="M5552" s="28"/>
      <c r="N5552" s="26" t="s">
        <v>3760</v>
      </c>
      <c r="O5552" s="22" t="str">
        <f>HYPERLINK("https://pbs.twimg.com/profile_images/529461684297945089/uscUz0UO_normal.jpeg","View")</f>
        <v>View</v>
      </c>
      <c r="P5552" s="27"/>
    </row>
    <row r="5553">
      <c r="A5553" s="14">
        <v>43031.35652777778</v>
      </c>
      <c r="B5553" s="20" t="str">
        <f>HYPERLINK("https://twitter.com/chrisbayliss90","@chrisbayliss90")</f>
        <v>@chrisbayliss90</v>
      </c>
      <c r="C5553" s="21" t="s">
        <v>12638</v>
      </c>
      <c r="D5553" s="21" t="s">
        <v>12639</v>
      </c>
      <c r="E5553" s="22" t="str">
        <f>HYPERLINK("https://twitter.com/chrisbayliss90/status/922486119119425536","922486119119425536")</f>
        <v>922486119119425536</v>
      </c>
      <c r="F5553" s="23" t="s">
        <v>55</v>
      </c>
      <c r="G5553" s="24">
        <v>332.0</v>
      </c>
      <c r="H5553" s="24">
        <v>1428.0</v>
      </c>
      <c r="I5553" s="24">
        <v>1.0</v>
      </c>
      <c r="J5553" s="24">
        <v>0.0</v>
      </c>
      <c r="K5553" s="23" t="s">
        <v>34</v>
      </c>
      <c r="L5553" s="25">
        <v>39825.396157407406</v>
      </c>
      <c r="M5553" s="26" t="s">
        <v>12640</v>
      </c>
      <c r="N5553" s="26" t="s">
        <v>12641</v>
      </c>
      <c r="O5553" s="22" t="str">
        <f>HYPERLINK("https://pbs.twimg.com/profile_images/874535896015663104/kJCg5-jw_normal.jpg","View")</f>
        <v>View</v>
      </c>
      <c r="P5553" s="27"/>
    </row>
    <row r="5554">
      <c r="A5554" s="14">
        <v>43031.35652777778</v>
      </c>
      <c r="B5554" s="20" t="str">
        <f>HYPERLINK("https://twitter.com/KSP_Libs","@KSP_Libs")</f>
        <v>@KSP_Libs</v>
      </c>
      <c r="C5554" s="21" t="s">
        <v>10893</v>
      </c>
      <c r="D5554" s="21" t="s">
        <v>11750</v>
      </c>
      <c r="E5554" s="22" t="str">
        <f>HYPERLINK("https://twitter.com/KSP_Libs/status/922486121233346560","922486121233346560")</f>
        <v>922486121233346560</v>
      </c>
      <c r="F5554" s="23" t="s">
        <v>33</v>
      </c>
      <c r="G5554" s="24">
        <v>2195.0</v>
      </c>
      <c r="H5554" s="24">
        <v>3106.0</v>
      </c>
      <c r="I5554" s="24">
        <v>35.0</v>
      </c>
      <c r="J5554" s="24">
        <v>0.0</v>
      </c>
      <c r="K5554" s="23" t="s">
        <v>34</v>
      </c>
      <c r="L5554" s="25">
        <v>41332.02033564815</v>
      </c>
      <c r="M5554" s="26" t="s">
        <v>10894</v>
      </c>
      <c r="N5554" s="26" t="s">
        <v>10895</v>
      </c>
      <c r="O5554" s="22" t="str">
        <f>HYPERLINK("https://pbs.twimg.com/profile_images/799847465138540545/yH3aKw7f_normal.jpg","View")</f>
        <v>View</v>
      </c>
      <c r="P5554" s="27"/>
    </row>
    <row r="5555">
      <c r="A5555" s="14">
        <v>43031.35664351852</v>
      </c>
      <c r="B5555" s="20" t="str">
        <f>HYPERLINK("https://twitter.com/CA_Saiprasad","@CA_Saiprasad")</f>
        <v>@CA_Saiprasad</v>
      </c>
      <c r="C5555" s="21" t="s">
        <v>12642</v>
      </c>
      <c r="D5555" s="21" t="s">
        <v>12643</v>
      </c>
      <c r="E5555" s="22" t="str">
        <f>HYPERLINK("https://twitter.com/CA_Saiprasad/status/922486161544683521","922486161544683521")</f>
        <v>922486161544683521</v>
      </c>
      <c r="F5555" s="23" t="s">
        <v>12644</v>
      </c>
      <c r="G5555" s="24">
        <v>491.0</v>
      </c>
      <c r="H5555" s="24">
        <v>22.0</v>
      </c>
      <c r="I5555" s="24">
        <v>0.0</v>
      </c>
      <c r="J5555" s="24">
        <v>0.0</v>
      </c>
      <c r="K5555" s="23" t="s">
        <v>34</v>
      </c>
      <c r="L5555" s="25">
        <v>40347.99253472222</v>
      </c>
      <c r="M5555" s="26" t="s">
        <v>204</v>
      </c>
      <c r="N5555" s="26" t="s">
        <v>12645</v>
      </c>
      <c r="O5555" s="22" t="str">
        <f>HYPERLINK("https://pbs.twimg.com/profile_images/1512664304/0306d4b_normal.jpg","View")</f>
        <v>View</v>
      </c>
      <c r="P5555" s="27"/>
    </row>
    <row r="5556">
      <c r="A5556" s="14">
        <v>43031.35666666667</v>
      </c>
      <c r="B5556" s="20" t="str">
        <f>HYPERLINK("https://twitter.com/Sorgitzak","@Sorgitzak")</f>
        <v>@Sorgitzak</v>
      </c>
      <c r="C5556" s="21" t="s">
        <v>1122</v>
      </c>
      <c r="D5556" s="21" t="s">
        <v>12646</v>
      </c>
      <c r="E5556" s="22" t="str">
        <f>HYPERLINK("https://twitter.com/Sorgitzak/status/922486170575044608","922486170575044608")</f>
        <v>922486170575044608</v>
      </c>
      <c r="F5556" s="23" t="s">
        <v>187</v>
      </c>
      <c r="G5556" s="24">
        <v>723.0</v>
      </c>
      <c r="H5556" s="24">
        <v>1309.0</v>
      </c>
      <c r="I5556" s="24">
        <v>0.0</v>
      </c>
      <c r="J5556" s="24">
        <v>0.0</v>
      </c>
      <c r="K5556" s="23" t="s">
        <v>34</v>
      </c>
      <c r="L5556" s="25">
        <v>39990.552152777775</v>
      </c>
      <c r="M5556" s="26" t="s">
        <v>1124</v>
      </c>
      <c r="N5556" s="28"/>
      <c r="O5556" s="22" t="str">
        <f>HYPERLINK("https://pbs.twimg.com/profile_images/284404970/sorgitzak_normal.JPG","View")</f>
        <v>View</v>
      </c>
      <c r="P5556" s="27"/>
    </row>
    <row r="5557">
      <c r="A5557" s="14">
        <v>43031.356944444444</v>
      </c>
      <c r="B5557" s="20" t="str">
        <f>HYPERLINK("https://twitter.com/geeta_ramanath","@geeta_ramanath")</f>
        <v>@geeta_ramanath</v>
      </c>
      <c r="C5557" s="21" t="s">
        <v>12647</v>
      </c>
      <c r="D5557" s="21" t="s">
        <v>42</v>
      </c>
      <c r="E5557" s="22" t="str">
        <f>HYPERLINK("https://twitter.com/geeta_ramanath/status/922486271569776640","922486271569776640")</f>
        <v>922486271569776640</v>
      </c>
      <c r="F5557" s="23" t="s">
        <v>55</v>
      </c>
      <c r="G5557" s="24">
        <v>188.0</v>
      </c>
      <c r="H5557" s="24">
        <v>154.0</v>
      </c>
      <c r="I5557" s="24">
        <v>8501.0</v>
      </c>
      <c r="J5557" s="24">
        <v>0.0</v>
      </c>
      <c r="K5557" s="23" t="s">
        <v>34</v>
      </c>
      <c r="L5557" s="25">
        <v>41734.04549768518</v>
      </c>
      <c r="M5557" s="26" t="s">
        <v>246</v>
      </c>
      <c r="N5557" s="26" t="s">
        <v>12648</v>
      </c>
      <c r="O5557" s="22" t="str">
        <f>HYPERLINK("https://pbs.twimg.com/profile_images/751777011434041344/LnnKKhlR_normal.jpg","View")</f>
        <v>View</v>
      </c>
      <c r="P5557" s="27"/>
    </row>
    <row r="5558">
      <c r="A5558" s="14">
        <v>43031.35701388889</v>
      </c>
      <c r="B5558" s="20" t="str">
        <f>HYPERLINK("https://twitter.com/nishiki_e","@nishiki_e")</f>
        <v>@nishiki_e</v>
      </c>
      <c r="C5558" s="21" t="s">
        <v>12649</v>
      </c>
      <c r="D5558" s="21" t="s">
        <v>12650</v>
      </c>
      <c r="E5558" s="22" t="str">
        <f>HYPERLINK("https://twitter.com/nishiki_e/status/922486297293230080","922486297293230080")</f>
        <v>922486297293230080</v>
      </c>
      <c r="F5558" s="23" t="s">
        <v>39</v>
      </c>
      <c r="G5558" s="24">
        <v>58.0</v>
      </c>
      <c r="H5558" s="24">
        <v>106.0</v>
      </c>
      <c r="I5558" s="24">
        <v>0.0</v>
      </c>
      <c r="J5558" s="24">
        <v>0.0</v>
      </c>
      <c r="K5558" s="23" t="s">
        <v>34</v>
      </c>
      <c r="L5558" s="25">
        <v>40088.48229166667</v>
      </c>
      <c r="M5558" s="28"/>
      <c r="N5558" s="26" t="s">
        <v>12651</v>
      </c>
      <c r="O5558" s="22" t="str">
        <f>HYPERLINK("https://pbs.twimg.com/profile_images/815553609848864768/3FM6D4mc_normal.jpg","View")</f>
        <v>View</v>
      </c>
      <c r="P5558" s="27"/>
    </row>
    <row r="5559">
      <c r="A5559" s="14">
        <v>43031.35702546296</v>
      </c>
      <c r="B5559" s="20" t="str">
        <f>HYPERLINK("https://twitter.com/BillCortese","@BillCortese")</f>
        <v>@BillCortese</v>
      </c>
      <c r="C5559" s="21" t="s">
        <v>12652</v>
      </c>
      <c r="D5559" s="21" t="s">
        <v>12653</v>
      </c>
      <c r="E5559" s="22" t="str">
        <f>HYPERLINK("https://twitter.com/BillCortese/status/922486299277316096","922486299277316096")</f>
        <v>922486299277316096</v>
      </c>
      <c r="F5559" s="23" t="s">
        <v>55</v>
      </c>
      <c r="G5559" s="24">
        <v>1980.0</v>
      </c>
      <c r="H5559" s="24">
        <v>1961.0</v>
      </c>
      <c r="I5559" s="24">
        <v>3.0</v>
      </c>
      <c r="J5559" s="24">
        <v>0.0</v>
      </c>
      <c r="K5559" s="23" t="s">
        <v>34</v>
      </c>
      <c r="L5559" s="25">
        <v>39979.39934027778</v>
      </c>
      <c r="M5559" s="26" t="s">
        <v>12654</v>
      </c>
      <c r="N5559" s="26" t="s">
        <v>12655</v>
      </c>
      <c r="O5559" s="22" t="str">
        <f>HYPERLINK("https://pbs.twimg.com/profile_images/758487299915210753/PMgCpVyC_normal.jpg","View")</f>
        <v>View</v>
      </c>
      <c r="P5559" s="27"/>
    </row>
    <row r="5560">
      <c r="A5560" s="14">
        <v>43031.357083333336</v>
      </c>
      <c r="B5560" s="20" t="str">
        <f>HYPERLINK("https://twitter.com/NewsBreaker101","@NewsBreaker101")</f>
        <v>@NewsBreaker101</v>
      </c>
      <c r="C5560" s="21" t="s">
        <v>12656</v>
      </c>
      <c r="D5560" s="21" t="s">
        <v>12486</v>
      </c>
      <c r="E5560" s="22" t="str">
        <f>HYPERLINK("https://twitter.com/NewsBreaker101/status/922486319187742720","922486319187742720")</f>
        <v>922486319187742720</v>
      </c>
      <c r="F5560" s="23" t="s">
        <v>39</v>
      </c>
      <c r="G5560" s="24">
        <v>646.0</v>
      </c>
      <c r="H5560" s="24">
        <v>100.0</v>
      </c>
      <c r="I5560" s="24">
        <v>7.0</v>
      </c>
      <c r="J5560" s="24">
        <v>0.0</v>
      </c>
      <c r="K5560" s="23" t="s">
        <v>34</v>
      </c>
      <c r="L5560" s="25">
        <v>42808.41405092593</v>
      </c>
      <c r="M5560" s="26" t="s">
        <v>708</v>
      </c>
      <c r="N5560" s="26" t="s">
        <v>12657</v>
      </c>
      <c r="O5560" s="22" t="str">
        <f>HYPERLINK("https://pbs.twimg.com/profile_images/898573994277974016/dZCMlhGw_normal.jpg","View")</f>
        <v>View</v>
      </c>
      <c r="P5560" s="27"/>
    </row>
    <row r="5561">
      <c r="A5561" s="14">
        <v>43031.357210648144</v>
      </c>
      <c r="B5561" s="20" t="str">
        <f>HYPERLINK("https://twitter.com/theresjenn","@theresjenn")</f>
        <v>@theresjenn</v>
      </c>
      <c r="C5561" s="21" t="s">
        <v>12658</v>
      </c>
      <c r="D5561" s="21" t="s">
        <v>6403</v>
      </c>
      <c r="E5561" s="22" t="str">
        <f>HYPERLINK("https://twitter.com/theresjenn/status/922486368848228352","922486368848228352")</f>
        <v>922486368848228352</v>
      </c>
      <c r="F5561" s="23" t="s">
        <v>33</v>
      </c>
      <c r="G5561" s="24">
        <v>2425.0</v>
      </c>
      <c r="H5561" s="24">
        <v>2920.0</v>
      </c>
      <c r="I5561" s="24">
        <v>97.0</v>
      </c>
      <c r="J5561" s="24">
        <v>0.0</v>
      </c>
      <c r="K5561" s="23" t="s">
        <v>34</v>
      </c>
      <c r="L5561" s="25">
        <v>40673.80401620371</v>
      </c>
      <c r="M5561" s="26" t="s">
        <v>708</v>
      </c>
      <c r="N5561" s="26" t="s">
        <v>12659</v>
      </c>
      <c r="O5561" s="22" t="str">
        <f>HYPERLINK("https://pbs.twimg.com/profile_images/922631267082006528/HRKNO5XO_normal.jpg","View")</f>
        <v>View</v>
      </c>
      <c r="P5561" s="27"/>
    </row>
    <row r="5562">
      <c r="A5562" s="14">
        <v>43031.35726851852</v>
      </c>
      <c r="B5562" s="20" t="str">
        <f>HYPERLINK("https://twitter.com/minidada2","@minidada2")</f>
        <v>@minidada2</v>
      </c>
      <c r="C5562" s="21" t="s">
        <v>12660</v>
      </c>
      <c r="D5562" s="21" t="s">
        <v>42</v>
      </c>
      <c r="E5562" s="22" t="str">
        <f>HYPERLINK("https://twitter.com/minidada2/status/922486389685579776","922486389685579776")</f>
        <v>922486389685579776</v>
      </c>
      <c r="F5562" s="23" t="s">
        <v>33</v>
      </c>
      <c r="G5562" s="24">
        <v>838.0</v>
      </c>
      <c r="H5562" s="24">
        <v>5001.0</v>
      </c>
      <c r="I5562" s="24">
        <v>8501.0</v>
      </c>
      <c r="J5562" s="24">
        <v>0.0</v>
      </c>
      <c r="K5562" s="23" t="s">
        <v>34</v>
      </c>
      <c r="L5562" s="25">
        <v>40796.44099537037</v>
      </c>
      <c r="M5562" s="26" t="s">
        <v>12661</v>
      </c>
      <c r="N5562" s="26" t="s">
        <v>12662</v>
      </c>
      <c r="O5562" s="22" t="str">
        <f>HYPERLINK("https://pbs.twimg.com/profile_images/869013340194050048/MhTXdr-3_normal.jpg","View")</f>
        <v>View</v>
      </c>
      <c r="P5562" s="27"/>
    </row>
    <row r="5563">
      <c r="A5563" s="14">
        <v>43031.35728009259</v>
      </c>
      <c r="B5563" s="20" t="str">
        <f>HYPERLINK("https://twitter.com/rashidaldosari","@rashidaldosari")</f>
        <v>@rashidaldosari</v>
      </c>
      <c r="C5563" s="21" t="s">
        <v>8556</v>
      </c>
      <c r="D5563" s="21" t="s">
        <v>9013</v>
      </c>
      <c r="E5563" s="22" t="str">
        <f>HYPERLINK("https://twitter.com/rashidaldosari/status/922486391556198401","922486391556198401")</f>
        <v>922486391556198401</v>
      </c>
      <c r="F5563" s="23" t="s">
        <v>39</v>
      </c>
      <c r="G5563" s="24">
        <v>2400.0</v>
      </c>
      <c r="H5563" s="24">
        <v>55.0</v>
      </c>
      <c r="I5563" s="24">
        <v>31.0</v>
      </c>
      <c r="J5563" s="24">
        <v>0.0</v>
      </c>
      <c r="K5563" s="23" t="s">
        <v>34</v>
      </c>
      <c r="L5563" s="25">
        <v>40635.110625</v>
      </c>
      <c r="M5563" s="28"/>
      <c r="N5563" s="26" t="s">
        <v>8557</v>
      </c>
      <c r="O5563" s="22" t="str">
        <f>HYPERLINK("https://pbs.twimg.com/profile_images/1389660377/image_normal.jpg","View")</f>
        <v>View</v>
      </c>
      <c r="P5563" s="27"/>
    </row>
    <row r="5564">
      <c r="A5564" s="14">
        <v>43031.35733796297</v>
      </c>
      <c r="B5564" s="20" t="str">
        <f>HYPERLINK("https://twitter.com/CyberAnonymous","@CyberAnonymous")</f>
        <v>@CyberAnonymous</v>
      </c>
      <c r="C5564" s="21" t="s">
        <v>12663</v>
      </c>
      <c r="D5564" s="21" t="s">
        <v>12664</v>
      </c>
      <c r="E5564" s="22" t="str">
        <f>HYPERLINK("https://twitter.com/CyberAnonymous/status/922486411852382208","922486411852382208")</f>
        <v>922486411852382208</v>
      </c>
      <c r="F5564" s="23" t="s">
        <v>187</v>
      </c>
      <c r="G5564" s="24">
        <v>1854.0</v>
      </c>
      <c r="H5564" s="24">
        <v>2571.0</v>
      </c>
      <c r="I5564" s="24">
        <v>0.0</v>
      </c>
      <c r="J5564" s="24">
        <v>0.0</v>
      </c>
      <c r="K5564" s="23" t="s">
        <v>34</v>
      </c>
      <c r="L5564" s="25">
        <v>40268.57017361111</v>
      </c>
      <c r="M5564" s="26" t="s">
        <v>9072</v>
      </c>
      <c r="N5564" s="26" t="s">
        <v>12665</v>
      </c>
      <c r="O5564" s="22" t="str">
        <f>HYPERLINK("https://pbs.twimg.com/profile_images/750495721011482624/oSTs4OAJ_normal.jpg","View")</f>
        <v>View</v>
      </c>
      <c r="P5564" s="27"/>
    </row>
    <row r="5565">
      <c r="A5565" s="14">
        <v>43031.35739583333</v>
      </c>
      <c r="B5565" s="20" t="str">
        <f>HYPERLINK("https://twitter.com/VinodChirvi1","@VinodChirvi1")</f>
        <v>@VinodChirvi1</v>
      </c>
      <c r="C5565" s="21" t="s">
        <v>12666</v>
      </c>
      <c r="D5565" s="21" t="s">
        <v>42</v>
      </c>
      <c r="E5565" s="22" t="str">
        <f>HYPERLINK("https://twitter.com/VinodChirvi1/status/922486432035258368","922486432035258368")</f>
        <v>922486432035258368</v>
      </c>
      <c r="F5565" s="23" t="s">
        <v>33</v>
      </c>
      <c r="G5565" s="24">
        <v>69.0</v>
      </c>
      <c r="H5565" s="24">
        <v>231.0</v>
      </c>
      <c r="I5565" s="24">
        <v>8501.0</v>
      </c>
      <c r="J5565" s="24">
        <v>0.0</v>
      </c>
      <c r="K5565" s="23" t="s">
        <v>34</v>
      </c>
      <c r="L5565" s="25">
        <v>42863.956238425926</v>
      </c>
      <c r="M5565" s="26" t="s">
        <v>12667</v>
      </c>
      <c r="N5565" s="26" t="s">
        <v>12668</v>
      </c>
      <c r="O5565" s="22" t="str">
        <f>HYPERLINK("https://pbs.twimg.com/profile_images/918544421313843200/olrpbGKR_normal.jpg","View")</f>
        <v>View</v>
      </c>
      <c r="P5565" s="27"/>
    </row>
    <row r="5566">
      <c r="A5566" s="14">
        <v>43031.357511574075</v>
      </c>
      <c r="B5566" s="20" t="str">
        <f>HYPERLINK("https://twitter.com/poli_nerd","@poli_nerd")</f>
        <v>@poli_nerd</v>
      </c>
      <c r="C5566" s="21" t="s">
        <v>12669</v>
      </c>
      <c r="D5566" s="21" t="s">
        <v>10614</v>
      </c>
      <c r="E5566" s="22" t="str">
        <f>HYPERLINK("https://twitter.com/poli_nerd/status/922486473999384576","922486473999384576")</f>
        <v>922486473999384576</v>
      </c>
      <c r="F5566" s="23" t="s">
        <v>55</v>
      </c>
      <c r="G5566" s="24">
        <v>2365.0</v>
      </c>
      <c r="H5566" s="24">
        <v>1718.0</v>
      </c>
      <c r="I5566" s="24">
        <v>159.0</v>
      </c>
      <c r="J5566" s="24">
        <v>0.0</v>
      </c>
      <c r="K5566" s="23" t="s">
        <v>34</v>
      </c>
      <c r="L5566" s="25">
        <v>41373.73741898148</v>
      </c>
      <c r="M5566" s="28"/>
      <c r="N5566" s="28"/>
      <c r="O5566" s="22" t="str">
        <f>HYPERLINK("https://pbs.twimg.com/profile_images/663076715434917888/Emzbr3JI_normal.jpg","View")</f>
        <v>View</v>
      </c>
      <c r="P5566" s="27"/>
    </row>
    <row r="5567">
      <c r="A5567" s="14">
        <v>43031.357627314814</v>
      </c>
      <c r="B5567" s="20" t="str">
        <f>HYPERLINK("https://twitter.com/SocialLifeLA","@SocialLifeLA")</f>
        <v>@SocialLifeLA</v>
      </c>
      <c r="C5567" s="21" t="s">
        <v>1561</v>
      </c>
      <c r="D5567" s="21" t="s">
        <v>12670</v>
      </c>
      <c r="E5567" s="22" t="str">
        <f>HYPERLINK("https://twitter.com/SocialLifeLA/status/922486518459064321","922486518459064321")</f>
        <v>922486518459064321</v>
      </c>
      <c r="F5567" s="23" t="s">
        <v>187</v>
      </c>
      <c r="G5567" s="24">
        <v>193.0</v>
      </c>
      <c r="H5567" s="24">
        <v>60.0</v>
      </c>
      <c r="I5567" s="24">
        <v>0.0</v>
      </c>
      <c r="J5567" s="24">
        <v>0.0</v>
      </c>
      <c r="K5567" s="23" t="s">
        <v>34</v>
      </c>
      <c r="L5567" s="25">
        <v>42604.753807870366</v>
      </c>
      <c r="M5567" s="26" t="s">
        <v>1563</v>
      </c>
      <c r="N5567" s="26" t="s">
        <v>1564</v>
      </c>
      <c r="O5567" s="22" t="str">
        <f>HYPERLINK("https://pbs.twimg.com/profile_images/767891928948023296/dUdnMBLO_normal.jpg","View")</f>
        <v>View</v>
      </c>
      <c r="P5567" s="27"/>
    </row>
    <row r="5568">
      <c r="A5568" s="14">
        <v>43031.35763888889</v>
      </c>
      <c r="B5568" s="20" t="str">
        <f>HYPERLINK("https://twitter.com/quintallen41","@quintallen41")</f>
        <v>@quintallen41</v>
      </c>
      <c r="C5568" s="21" t="s">
        <v>12671</v>
      </c>
      <c r="D5568" s="21" t="s">
        <v>42</v>
      </c>
      <c r="E5568" s="22" t="str">
        <f>HYPERLINK("https://twitter.com/quintallen41/status/922486520040361984","922486520040361984")</f>
        <v>922486520040361984</v>
      </c>
      <c r="F5568" s="23" t="s">
        <v>33</v>
      </c>
      <c r="G5568" s="24">
        <v>54.0</v>
      </c>
      <c r="H5568" s="24">
        <v>2259.0</v>
      </c>
      <c r="I5568" s="24">
        <v>8501.0</v>
      </c>
      <c r="J5568" s="24">
        <v>0.0</v>
      </c>
      <c r="K5568" s="23" t="s">
        <v>34</v>
      </c>
      <c r="L5568" s="25">
        <v>40924.510347222225</v>
      </c>
      <c r="M5568" s="26" t="s">
        <v>12672</v>
      </c>
      <c r="N5568" s="26" t="s">
        <v>12673</v>
      </c>
      <c r="O5568" s="22" t="str">
        <f>HYPERLINK("https://pbs.twimg.com/profile_images/764393745441697793/Jlt6Lb5C_normal.jpg","View")</f>
        <v>View</v>
      </c>
      <c r="P5568" s="27"/>
    </row>
    <row r="5569">
      <c r="A5569" s="14">
        <v>43031.35780092592</v>
      </c>
      <c r="B5569" s="20" t="str">
        <f>HYPERLINK("https://twitter.com/mlnangalama","@mlnangalama")</f>
        <v>@mlnangalama</v>
      </c>
      <c r="C5569" s="21" t="s">
        <v>925</v>
      </c>
      <c r="D5569" s="21" t="s">
        <v>12674</v>
      </c>
      <c r="E5569" s="22" t="str">
        <f>HYPERLINK("https://twitter.com/mlnangalama/status/922486578945167361","922486578945167361")</f>
        <v>922486578945167361</v>
      </c>
      <c r="F5569" s="23" t="s">
        <v>187</v>
      </c>
      <c r="G5569" s="24">
        <v>2366.0</v>
      </c>
      <c r="H5569" s="24">
        <v>1582.0</v>
      </c>
      <c r="I5569" s="24">
        <v>0.0</v>
      </c>
      <c r="J5569" s="24">
        <v>0.0</v>
      </c>
      <c r="K5569" s="23" t="s">
        <v>34</v>
      </c>
      <c r="L5569" s="25">
        <v>41041.54378472222</v>
      </c>
      <c r="M5569" s="26" t="s">
        <v>927</v>
      </c>
      <c r="N5569" s="26" t="s">
        <v>928</v>
      </c>
      <c r="O5569" s="22" t="str">
        <f>HYPERLINK("https://pbs.twimg.com/profile_images/900915882444173313/biUHzvpx_normal.jpg","View")</f>
        <v>View</v>
      </c>
      <c r="P5569" s="27"/>
    </row>
    <row r="5570">
      <c r="A5570" s="14">
        <v>43031.35789351852</v>
      </c>
      <c r="B5570" s="20" t="str">
        <f>HYPERLINK("https://twitter.com/eonnewsnet","@eonnewsnet")</f>
        <v>@eonnewsnet</v>
      </c>
      <c r="C5570" s="21" t="s">
        <v>12675</v>
      </c>
      <c r="D5570" s="21" t="s">
        <v>12676</v>
      </c>
      <c r="E5570" s="22" t="str">
        <f>HYPERLINK("https://twitter.com/eonnewsnet/status/922486613380186112","922486613380186112")</f>
        <v>922486613380186112</v>
      </c>
      <c r="F5570" s="23" t="s">
        <v>48</v>
      </c>
      <c r="G5570" s="24">
        <v>1349.0</v>
      </c>
      <c r="H5570" s="24">
        <v>1963.0</v>
      </c>
      <c r="I5570" s="24">
        <v>0.0</v>
      </c>
      <c r="J5570" s="24">
        <v>0.0</v>
      </c>
      <c r="K5570" s="23" t="s">
        <v>34</v>
      </c>
      <c r="L5570" s="25">
        <v>39928.782800925925</v>
      </c>
      <c r="M5570" s="26" t="s">
        <v>6779</v>
      </c>
      <c r="N5570" s="26" t="s">
        <v>12677</v>
      </c>
      <c r="O5570" s="22" t="str">
        <f>HYPERLINK("https://pbs.twimg.com/profile_images/446717155170467840/LQut91Xk_normal.jpeg","View")</f>
        <v>View</v>
      </c>
      <c r="P5570" s="27"/>
    </row>
    <row r="5571">
      <c r="A5571" s="14">
        <v>43031.35789351852</v>
      </c>
      <c r="B5571" s="20" t="str">
        <f>HYPERLINK("https://twitter.com/jilesh99","@jilesh99")</f>
        <v>@jilesh99</v>
      </c>
      <c r="C5571" s="21" t="s">
        <v>12678</v>
      </c>
      <c r="D5571" s="21" t="s">
        <v>42</v>
      </c>
      <c r="E5571" s="22" t="str">
        <f>HYPERLINK("https://twitter.com/jilesh99/status/922486615020331008","922486615020331008")</f>
        <v>922486615020331008</v>
      </c>
      <c r="F5571" s="23" t="s">
        <v>39</v>
      </c>
      <c r="G5571" s="24">
        <v>423.0</v>
      </c>
      <c r="H5571" s="24">
        <v>712.0</v>
      </c>
      <c r="I5571" s="24">
        <v>8501.0</v>
      </c>
      <c r="J5571" s="24">
        <v>0.0</v>
      </c>
      <c r="K5571" s="23" t="s">
        <v>34</v>
      </c>
      <c r="L5571" s="25">
        <v>40689.346921296295</v>
      </c>
      <c r="M5571" s="26" t="s">
        <v>207</v>
      </c>
      <c r="N5571" s="26" t="s">
        <v>12679</v>
      </c>
      <c r="O5571" s="22" t="str">
        <f>HYPERLINK("https://pbs.twimg.com/profile_images/2820394822/79a1292961c2fe0ba1b8e4527f52c666_normal.jpeg","View")</f>
        <v>View</v>
      </c>
      <c r="P5571" s="27"/>
    </row>
    <row r="5572">
      <c r="A5572" s="14">
        <v>43031.35796296297</v>
      </c>
      <c r="B5572" s="20" t="str">
        <f>HYPERLINK("https://twitter.com/hemant0588","@hemant0588")</f>
        <v>@hemant0588</v>
      </c>
      <c r="C5572" s="21" t="s">
        <v>12680</v>
      </c>
      <c r="D5572" s="21" t="s">
        <v>42</v>
      </c>
      <c r="E5572" s="22" t="str">
        <f>HYPERLINK("https://twitter.com/hemant0588/status/922486638340481024","922486638340481024")</f>
        <v>922486638340481024</v>
      </c>
      <c r="F5572" s="23" t="s">
        <v>33</v>
      </c>
      <c r="G5572" s="24">
        <v>7.0</v>
      </c>
      <c r="H5572" s="24">
        <v>32.0</v>
      </c>
      <c r="I5572" s="24">
        <v>8501.0</v>
      </c>
      <c r="J5572" s="24">
        <v>0.0</v>
      </c>
      <c r="K5572" s="23" t="s">
        <v>34</v>
      </c>
      <c r="L5572" s="25">
        <v>41291.94113425926</v>
      </c>
      <c r="M5572" s="26" t="s">
        <v>12681</v>
      </c>
      <c r="N5572" s="28"/>
      <c r="O5572" s="22" t="str">
        <f>HYPERLINK("https://pbs.twimg.com/profile_images/639725783183835136/WfCdwRtK_normal.jpg","View")</f>
        <v>View</v>
      </c>
      <c r="P5572" s="27"/>
    </row>
    <row r="5573">
      <c r="A5573" s="14">
        <v>43031.35811342593</v>
      </c>
      <c r="B5573" s="20" t="str">
        <f>HYPERLINK("https://twitter.com/mpandalai","@mpandalai")</f>
        <v>@mpandalai</v>
      </c>
      <c r="C5573" s="21" t="s">
        <v>12682</v>
      </c>
      <c r="D5573" s="21" t="s">
        <v>42</v>
      </c>
      <c r="E5573" s="22" t="str">
        <f>HYPERLINK("https://twitter.com/mpandalai/status/922486693881528320","922486693881528320")</f>
        <v>922486693881528320</v>
      </c>
      <c r="F5573" s="23" t="s">
        <v>33</v>
      </c>
      <c r="G5573" s="24">
        <v>262.0</v>
      </c>
      <c r="H5573" s="24">
        <v>58.0</v>
      </c>
      <c r="I5573" s="24">
        <v>8501.0</v>
      </c>
      <c r="J5573" s="24">
        <v>0.0</v>
      </c>
      <c r="K5573" s="23" t="s">
        <v>34</v>
      </c>
      <c r="L5573" s="25">
        <v>40186.14299768519</v>
      </c>
      <c r="M5573" s="26" t="s">
        <v>1991</v>
      </c>
      <c r="N5573" s="26" t="s">
        <v>12683</v>
      </c>
      <c r="O5573" s="22" t="str">
        <f>HYPERLINK("https://pbs.twimg.com/profile_images/378800000824882770/b612711a71d1056363725501ae913688_normal.jpeg","View")</f>
        <v>View</v>
      </c>
      <c r="P5573" s="27"/>
    </row>
    <row r="5574">
      <c r="A5574" s="14">
        <v>43031.35817129629</v>
      </c>
      <c r="B5574" s="20" t="str">
        <f>HYPERLINK("https://twitter.com/khaliedfalah","@khaliedfalah")</f>
        <v>@khaliedfalah</v>
      </c>
      <c r="C5574" s="31" t="s">
        <v>12684</v>
      </c>
      <c r="D5574" s="21" t="s">
        <v>12565</v>
      </c>
      <c r="E5574" s="22" t="str">
        <f>HYPERLINK("https://twitter.com/khaliedfalah/status/922486714677022720","922486714677022720")</f>
        <v>922486714677022720</v>
      </c>
      <c r="F5574" s="23" t="s">
        <v>12685</v>
      </c>
      <c r="G5574" s="24">
        <v>44.0</v>
      </c>
      <c r="H5574" s="24">
        <v>62.0</v>
      </c>
      <c r="I5574" s="24">
        <v>32.0</v>
      </c>
      <c r="J5574" s="24">
        <v>0.0</v>
      </c>
      <c r="K5574" s="23" t="s">
        <v>34</v>
      </c>
      <c r="L5574" s="25">
        <v>42526.64559027778</v>
      </c>
      <c r="M5574" s="28"/>
      <c r="N5574" s="28"/>
      <c r="O5574" s="22" t="str">
        <f>HYPERLINK("https://pbs.twimg.com/profile_images/739593793226297344/2x8A03Y6_normal.jpg","View")</f>
        <v>View</v>
      </c>
      <c r="P5574" s="27"/>
    </row>
    <row r="5575">
      <c r="A5575" s="14">
        <v>43031.35824074074</v>
      </c>
      <c r="B5575" s="20" t="str">
        <f>HYPERLINK("https://twitter.com/ayeshasitara","@ayeshasitara")</f>
        <v>@ayeshasitara</v>
      </c>
      <c r="C5575" s="21" t="s">
        <v>12686</v>
      </c>
      <c r="D5575" s="21" t="s">
        <v>9013</v>
      </c>
      <c r="E5575" s="22" t="str">
        <f>HYPERLINK("https://twitter.com/ayeshasitara/status/922486742053040128","922486742053040128")</f>
        <v>922486742053040128</v>
      </c>
      <c r="F5575" s="23" t="s">
        <v>39</v>
      </c>
      <c r="G5575" s="24">
        <v>247.0</v>
      </c>
      <c r="H5575" s="24">
        <v>1156.0</v>
      </c>
      <c r="I5575" s="24">
        <v>31.0</v>
      </c>
      <c r="J5575" s="24">
        <v>0.0</v>
      </c>
      <c r="K5575" s="23" t="s">
        <v>34</v>
      </c>
      <c r="L5575" s="25">
        <v>40105.49341435185</v>
      </c>
      <c r="M5575" s="26" t="s">
        <v>12687</v>
      </c>
      <c r="N5575" s="26" t="s">
        <v>12688</v>
      </c>
      <c r="O5575" s="22" t="str">
        <f>HYPERLINK("https://pbs.twimg.com/profile_images/707102220223782913/GSO4ZzxZ_normal.jpg","View")</f>
        <v>View</v>
      </c>
      <c r="P5575" s="27"/>
    </row>
    <row r="5576">
      <c r="A5576" s="14">
        <v>43031.35828703704</v>
      </c>
      <c r="B5576" s="20" t="str">
        <f>HYPERLINK("https://twitter.com/sabrimgd","@sabrimgd")</f>
        <v>@sabrimgd</v>
      </c>
      <c r="C5576" s="21" t="s">
        <v>12689</v>
      </c>
      <c r="D5576" s="21" t="s">
        <v>12565</v>
      </c>
      <c r="E5576" s="22" t="str">
        <f>HYPERLINK("https://twitter.com/sabrimgd/status/922486759090507778","922486759090507778")</f>
        <v>922486759090507778</v>
      </c>
      <c r="F5576" s="23" t="s">
        <v>39</v>
      </c>
      <c r="G5576" s="24">
        <v>3058.0</v>
      </c>
      <c r="H5576" s="24">
        <v>1464.0</v>
      </c>
      <c r="I5576" s="24">
        <v>32.0</v>
      </c>
      <c r="J5576" s="24">
        <v>0.0</v>
      </c>
      <c r="K5576" s="23" t="s">
        <v>34</v>
      </c>
      <c r="L5576" s="25">
        <v>41294.43974537037</v>
      </c>
      <c r="M5576" s="26" t="s">
        <v>12690</v>
      </c>
      <c r="N5576" s="26" t="s">
        <v>12691</v>
      </c>
      <c r="O5576" s="22" t="str">
        <f>HYPERLINK("https://pbs.twimg.com/profile_images/921829346498707456/PgU_6JHs_normal.jpg","View")</f>
        <v>View</v>
      </c>
      <c r="P5576" s="27"/>
    </row>
    <row r="5577">
      <c r="A5577" s="14">
        <v>43031.358310185184</v>
      </c>
      <c r="B5577" s="20" t="str">
        <f>HYPERLINK("https://twitter.com/BlackOakFamily","@BlackOakFamily")</f>
        <v>@BlackOakFamily</v>
      </c>
      <c r="C5577" s="21" t="s">
        <v>12692</v>
      </c>
      <c r="D5577" s="21" t="s">
        <v>8493</v>
      </c>
      <c r="E5577" s="22" t="str">
        <f>HYPERLINK("https://twitter.com/BlackOakFamily/status/922486763767193600","922486763767193600")</f>
        <v>922486763767193600</v>
      </c>
      <c r="F5577" s="23" t="s">
        <v>39</v>
      </c>
      <c r="G5577" s="24">
        <v>2.0</v>
      </c>
      <c r="H5577" s="24">
        <v>11.0</v>
      </c>
      <c r="I5577" s="24">
        <v>10.0</v>
      </c>
      <c r="J5577" s="24">
        <v>0.0</v>
      </c>
      <c r="K5577" s="23" t="s">
        <v>34</v>
      </c>
      <c r="L5577" s="25">
        <v>42769.04628472222</v>
      </c>
      <c r="M5577" s="26" t="s">
        <v>12693</v>
      </c>
      <c r="N5577" s="28"/>
      <c r="O5577" s="22" t="str">
        <f>HYPERLINK("https://pbs.twimg.com/profile_images/834015941386178560/szdJBN4F_normal.jpg","View")</f>
        <v>View</v>
      </c>
      <c r="P5577" s="27"/>
    </row>
    <row r="5578">
      <c r="A5578" s="14">
        <v>43031.35858796297</v>
      </c>
      <c r="B5578" s="20" t="str">
        <f>HYPERLINK("https://twitter.com/AraoLeroy","@AraoLeroy")</f>
        <v>@AraoLeroy</v>
      </c>
      <c r="C5578" s="21" t="s">
        <v>12694</v>
      </c>
      <c r="D5578" s="21" t="s">
        <v>12565</v>
      </c>
      <c r="E5578" s="22" t="str">
        <f>HYPERLINK("https://twitter.com/AraoLeroy/status/922486864103264257","922486864103264257")</f>
        <v>922486864103264257</v>
      </c>
      <c r="F5578" s="23" t="s">
        <v>33</v>
      </c>
      <c r="G5578" s="24">
        <v>320.0</v>
      </c>
      <c r="H5578" s="24">
        <v>794.0</v>
      </c>
      <c r="I5578" s="24">
        <v>32.0</v>
      </c>
      <c r="J5578" s="24">
        <v>0.0</v>
      </c>
      <c r="K5578" s="23" t="s">
        <v>34</v>
      </c>
      <c r="L5578" s="25">
        <v>41613.58398148148</v>
      </c>
      <c r="M5578" s="28"/>
      <c r="N5578" s="28"/>
      <c r="O5578" s="22" t="str">
        <f>HYPERLINK("https://pbs.twimg.com/profile_images/662300524654538753/_bgdj586_normal.jpg","View")</f>
        <v>View</v>
      </c>
      <c r="P5578" s="27"/>
    </row>
    <row r="5579">
      <c r="A5579" s="14">
        <v>43031.35858796297</v>
      </c>
      <c r="B5579" s="20" t="str">
        <f>HYPERLINK("https://twitter.com/SocialLifeMiami","@SocialLifeMiami")</f>
        <v>@SocialLifeMiami</v>
      </c>
      <c r="C5579" s="21" t="s">
        <v>1981</v>
      </c>
      <c r="D5579" s="21" t="s">
        <v>12695</v>
      </c>
      <c r="E5579" s="22" t="str">
        <f>HYPERLINK("https://twitter.com/SocialLifeMiami/status/922486867555209216","922486867555209216")</f>
        <v>922486867555209216</v>
      </c>
      <c r="F5579" s="23" t="s">
        <v>187</v>
      </c>
      <c r="G5579" s="24">
        <v>560.0</v>
      </c>
      <c r="H5579" s="24">
        <v>792.0</v>
      </c>
      <c r="I5579" s="24">
        <v>0.0</v>
      </c>
      <c r="J5579" s="24">
        <v>0.0</v>
      </c>
      <c r="K5579" s="23" t="s">
        <v>34</v>
      </c>
      <c r="L5579" s="25">
        <v>42603.67471064815</v>
      </c>
      <c r="M5579" s="26" t="s">
        <v>1983</v>
      </c>
      <c r="N5579" s="26" t="s">
        <v>1564</v>
      </c>
      <c r="O5579" s="22" t="str">
        <f>HYPERLINK("https://pbs.twimg.com/profile_images/767547452878647296/oD-Hg_jO_normal.jpg","View")</f>
        <v>View</v>
      </c>
      <c r="P5579" s="27"/>
    </row>
    <row r="5580">
      <c r="A5580" s="14">
        <v>43031.35868055555</v>
      </c>
      <c r="B5580" s="20" t="str">
        <f>HYPERLINK("https://twitter.com/jackfpaylor","@jackfpaylor")</f>
        <v>@jackfpaylor</v>
      </c>
      <c r="C5580" s="21" t="s">
        <v>2899</v>
      </c>
      <c r="D5580" s="21" t="s">
        <v>12696</v>
      </c>
      <c r="E5580" s="22" t="str">
        <f>HYPERLINK("https://twitter.com/jackfpaylor/status/922486899595468800","922486899595468800")</f>
        <v>922486899595468800</v>
      </c>
      <c r="F5580" s="23" t="s">
        <v>187</v>
      </c>
      <c r="G5580" s="24">
        <v>4556.0</v>
      </c>
      <c r="H5580" s="24">
        <v>5001.0</v>
      </c>
      <c r="I5580" s="24">
        <v>0.0</v>
      </c>
      <c r="J5580" s="24">
        <v>0.0</v>
      </c>
      <c r="K5580" s="23" t="s">
        <v>34</v>
      </c>
      <c r="L5580" s="25">
        <v>42880.774618055555</v>
      </c>
      <c r="M5580" s="26" t="s">
        <v>2901</v>
      </c>
      <c r="N5580" s="26" t="s">
        <v>2902</v>
      </c>
      <c r="O5580" s="22" t="str">
        <f>HYPERLINK("https://pbs.twimg.com/profile_images/911761399902334976/emBMaAAb_normal.jpg","View")</f>
        <v>View</v>
      </c>
      <c r="P5580" s="27"/>
    </row>
    <row r="5581">
      <c r="A5581" s="14">
        <v>43031.35869212963</v>
      </c>
      <c r="B5581" s="20" t="str">
        <f>HYPERLINK("https://twitter.com/Lapis_kolobanov","@Lapis_kolobanov")</f>
        <v>@Lapis_kolobanov</v>
      </c>
      <c r="C5581" s="21" t="s">
        <v>12697</v>
      </c>
      <c r="D5581" s="21" t="s">
        <v>42</v>
      </c>
      <c r="E5581" s="22" t="str">
        <f>HYPERLINK("https://twitter.com/Lapis_kolobanov/status/922486903777083395","922486903777083395")</f>
        <v>922486903777083395</v>
      </c>
      <c r="F5581" s="23" t="s">
        <v>39</v>
      </c>
      <c r="G5581" s="24">
        <v>273.0</v>
      </c>
      <c r="H5581" s="24">
        <v>322.0</v>
      </c>
      <c r="I5581" s="24">
        <v>8501.0</v>
      </c>
      <c r="J5581" s="24">
        <v>0.0</v>
      </c>
      <c r="K5581" s="23" t="s">
        <v>34</v>
      </c>
      <c r="L5581" s="25">
        <v>42750.004432870366</v>
      </c>
      <c r="M5581" s="28"/>
      <c r="N5581" s="26" t="s">
        <v>12698</v>
      </c>
      <c r="O5581" s="22" t="str">
        <f>HYPERLINK("https://pbs.twimg.com/profile_images/820546805582557186/YeBQHsD__normal.jpg","View")</f>
        <v>View</v>
      </c>
      <c r="P5581" s="27"/>
    </row>
    <row r="5582">
      <c r="A5582" s="14">
        <v>43031.35870370371</v>
      </c>
      <c r="B5582" s="20" t="str">
        <f>HYPERLINK("https://twitter.com/enohcents","@enohcents")</f>
        <v>@enohcents</v>
      </c>
      <c r="C5582" s="21" t="s">
        <v>12699</v>
      </c>
      <c r="D5582" s="21" t="s">
        <v>32</v>
      </c>
      <c r="E5582" s="22" t="str">
        <f>HYPERLINK("https://twitter.com/enohcents/status/922486909514993670","922486909514993670")</f>
        <v>922486909514993670</v>
      </c>
      <c r="F5582" s="23" t="s">
        <v>33</v>
      </c>
      <c r="G5582" s="24">
        <v>1631.0</v>
      </c>
      <c r="H5582" s="24">
        <v>1768.0</v>
      </c>
      <c r="I5582" s="24">
        <v>471.0</v>
      </c>
      <c r="J5582" s="24">
        <v>0.0</v>
      </c>
      <c r="K5582" s="23" t="s">
        <v>34</v>
      </c>
      <c r="L5582" s="25">
        <v>40535.95028935185</v>
      </c>
      <c r="M5582" s="26" t="s">
        <v>114</v>
      </c>
      <c r="N5582" s="26" t="s">
        <v>12700</v>
      </c>
      <c r="O5582" s="22" t="str">
        <f>HYPERLINK("https://pbs.twimg.com/profile_images/672266605448024064/ra6RWy5T_normal.jpg","View")</f>
        <v>View</v>
      </c>
      <c r="P5582" s="27"/>
    </row>
    <row r="5583">
      <c r="A5583" s="14">
        <v>43031.358715277776</v>
      </c>
      <c r="B5583" s="20" t="str">
        <f>HYPERLINK("https://twitter.com/SirTholia","@SirTholia")</f>
        <v>@SirTholia</v>
      </c>
      <c r="C5583" s="21" t="s">
        <v>12701</v>
      </c>
      <c r="D5583" s="21" t="s">
        <v>42</v>
      </c>
      <c r="E5583" s="22" t="str">
        <f>HYPERLINK("https://twitter.com/SirTholia/status/922486911570194438","922486911570194438")</f>
        <v>922486911570194438</v>
      </c>
      <c r="F5583" s="23" t="s">
        <v>33</v>
      </c>
      <c r="G5583" s="24">
        <v>55.0</v>
      </c>
      <c r="H5583" s="24">
        <v>249.0</v>
      </c>
      <c r="I5583" s="24">
        <v>8501.0</v>
      </c>
      <c r="J5583" s="24">
        <v>0.0</v>
      </c>
      <c r="K5583" s="23" t="s">
        <v>34</v>
      </c>
      <c r="L5583" s="25">
        <v>42691.26431712963</v>
      </c>
      <c r="M5583" s="26" t="s">
        <v>12702</v>
      </c>
      <c r="N5583" s="26" t="s">
        <v>12703</v>
      </c>
      <c r="O5583" s="22" t="str">
        <f>HYPERLINK("https://pbs.twimg.com/profile_images/812847043261689856/ay8RDXU1_normal.jpg","View")</f>
        <v>View</v>
      </c>
      <c r="P5583" s="27"/>
    </row>
    <row r="5584">
      <c r="A5584" s="14">
        <v>43031.35880787037</v>
      </c>
      <c r="B5584" s="20" t="str">
        <f>HYPERLINK("https://twitter.com/zsundeep","@zsundeep")</f>
        <v>@zsundeep</v>
      </c>
      <c r="C5584" s="21" t="s">
        <v>12704</v>
      </c>
      <c r="D5584" s="21" t="s">
        <v>42</v>
      </c>
      <c r="E5584" s="22" t="str">
        <f>HYPERLINK("https://twitter.com/zsundeep/status/922486945653039105","922486945653039105")</f>
        <v>922486945653039105</v>
      </c>
      <c r="F5584" s="23" t="s">
        <v>55</v>
      </c>
      <c r="G5584" s="24">
        <v>19.0</v>
      </c>
      <c r="H5584" s="24">
        <v>103.0</v>
      </c>
      <c r="I5584" s="24">
        <v>8501.0</v>
      </c>
      <c r="J5584" s="24">
        <v>0.0</v>
      </c>
      <c r="K5584" s="23" t="s">
        <v>34</v>
      </c>
      <c r="L5584" s="25">
        <v>39812.38292824074</v>
      </c>
      <c r="M5584" s="26" t="s">
        <v>12705</v>
      </c>
      <c r="N5584" s="26" t="s">
        <v>12706</v>
      </c>
      <c r="O5584" s="22" t="str">
        <f>HYPERLINK("https://pbs.twimg.com/profile_images/397933537/190px-Ulquiorraschiffer_normal.jpg","View")</f>
        <v>View</v>
      </c>
      <c r="P5584" s="27"/>
    </row>
    <row r="5585">
      <c r="A5585" s="14">
        <v>43031.35894675926</v>
      </c>
      <c r="B5585" s="20" t="str">
        <f>HYPERLINK("https://twitter.com/RunRrai74","@RunRrai74")</f>
        <v>@RunRrai74</v>
      </c>
      <c r="C5585" s="21" t="s">
        <v>6379</v>
      </c>
      <c r="D5585" s="21" t="s">
        <v>12565</v>
      </c>
      <c r="E5585" s="22" t="str">
        <f>HYPERLINK("https://twitter.com/RunRrai74/status/922486996785917952","922486996785917952")</f>
        <v>922486996785917952</v>
      </c>
      <c r="F5585" s="23" t="s">
        <v>33</v>
      </c>
      <c r="G5585" s="24">
        <v>63.0</v>
      </c>
      <c r="H5585" s="24">
        <v>266.0</v>
      </c>
      <c r="I5585" s="24">
        <v>32.0</v>
      </c>
      <c r="J5585" s="24">
        <v>0.0</v>
      </c>
      <c r="K5585" s="23" t="s">
        <v>34</v>
      </c>
      <c r="L5585" s="25">
        <v>41800.536886574075</v>
      </c>
      <c r="M5585" s="28"/>
      <c r="N5585" s="28"/>
      <c r="O5585" s="22" t="str">
        <f>HYPERLINK("https://pbs.twimg.com/profile_images/919585790447022080/C-_Upv-w_normal.jpg","View")</f>
        <v>View</v>
      </c>
      <c r="P5585" s="27"/>
    </row>
    <row r="5586">
      <c r="A5586" s="14">
        <v>43031.35898148148</v>
      </c>
      <c r="B5586" s="20" t="str">
        <f>HYPERLINK("https://twitter.com/PS641600","@PS641600")</f>
        <v>@PS641600</v>
      </c>
      <c r="C5586" s="21" t="s">
        <v>8558</v>
      </c>
      <c r="D5586" s="21" t="s">
        <v>12707</v>
      </c>
      <c r="E5586" s="22" t="str">
        <f>HYPERLINK("https://twitter.com/PS641600/status/922487006952939521","922487006952939521")</f>
        <v>922487006952939521</v>
      </c>
      <c r="F5586" s="23" t="s">
        <v>8560</v>
      </c>
      <c r="G5586" s="24">
        <v>3922.0</v>
      </c>
      <c r="H5586" s="24">
        <v>4016.0</v>
      </c>
      <c r="I5586" s="24">
        <v>0.0</v>
      </c>
      <c r="J5586" s="24">
        <v>1.0</v>
      </c>
      <c r="K5586" s="23" t="s">
        <v>34</v>
      </c>
      <c r="L5586" s="25">
        <v>40521.61923611111</v>
      </c>
      <c r="M5586" s="26" t="s">
        <v>6582</v>
      </c>
      <c r="N5586" s="26" t="s">
        <v>8561</v>
      </c>
      <c r="O5586" s="22" t="str">
        <f>HYPERLINK("https://pbs.twimg.com/profile_images/907275579438850048/mAQAJ-Qp_normal.jpg","View")</f>
        <v>View</v>
      </c>
      <c r="P5586" s="27"/>
    </row>
    <row r="5587">
      <c r="A5587" s="14">
        <v>43031.35899305556</v>
      </c>
      <c r="B5587" s="20" t="str">
        <f>HYPERLINK("https://twitter.com/A31X64Vijay","@A31X64Vijay")</f>
        <v>@A31X64Vijay</v>
      </c>
      <c r="C5587" s="21" t="s">
        <v>12708</v>
      </c>
      <c r="D5587" s="21" t="s">
        <v>163</v>
      </c>
      <c r="E5587" s="22" t="str">
        <f>HYPERLINK("https://twitter.com/A31X64Vijay/status/922487013965643777","922487013965643777")</f>
        <v>922487013965643777</v>
      </c>
      <c r="F5587" s="23" t="s">
        <v>55</v>
      </c>
      <c r="G5587" s="24">
        <v>3534.0</v>
      </c>
      <c r="H5587" s="24">
        <v>2823.0</v>
      </c>
      <c r="I5587" s="24">
        <v>1005.0</v>
      </c>
      <c r="J5587" s="24">
        <v>0.0</v>
      </c>
      <c r="K5587" s="23" t="s">
        <v>34</v>
      </c>
      <c r="L5587" s="25">
        <v>41774.379594907405</v>
      </c>
      <c r="M5587" s="26" t="s">
        <v>12709</v>
      </c>
      <c r="N5587" s="26" t="s">
        <v>12710</v>
      </c>
      <c r="O5587" s="22" t="str">
        <f>HYPERLINK("https://pbs.twimg.com/profile_images/802544681816985600/EC1_nijK_normal.png","View")</f>
        <v>View</v>
      </c>
      <c r="P5587" s="27"/>
    </row>
    <row r="5588">
      <c r="A5588" s="14">
        <v>43031.35900462963</v>
      </c>
      <c r="B5588" s="20" t="str">
        <f>HYPERLINK("https://twitter.com/Niggaroe_drg","@Niggaroe_drg")</f>
        <v>@Niggaroe_drg</v>
      </c>
      <c r="C5588" s="21" t="s">
        <v>12711</v>
      </c>
      <c r="D5588" s="21" t="s">
        <v>12712</v>
      </c>
      <c r="E5588" s="22" t="str">
        <f>HYPERLINK("https://twitter.com/Niggaroe_drg/status/922487016750804993","922487016750804993")</f>
        <v>922487016750804993</v>
      </c>
      <c r="F5588" s="23" t="s">
        <v>91</v>
      </c>
      <c r="G5588" s="24">
        <v>187.0</v>
      </c>
      <c r="H5588" s="24">
        <v>277.0</v>
      </c>
      <c r="I5588" s="24">
        <v>0.0</v>
      </c>
      <c r="J5588" s="24">
        <v>0.0</v>
      </c>
      <c r="K5588" s="23" t="s">
        <v>34</v>
      </c>
      <c r="L5588" s="25">
        <v>42271.74339120371</v>
      </c>
      <c r="M5588" s="26" t="s">
        <v>12713</v>
      </c>
      <c r="N5588" s="26" t="s">
        <v>12714</v>
      </c>
      <c r="O5588" s="22" t="str">
        <f>HYPERLINK("https://pbs.twimg.com/profile_images/854229005410684929/3mlcKgpC_normal.jpg","View")</f>
        <v>View</v>
      </c>
      <c r="P5588" s="27"/>
    </row>
    <row r="5589">
      <c r="A5589" s="14">
        <v>43031.3591087963</v>
      </c>
      <c r="B5589" s="20" t="str">
        <f>HYPERLINK("https://twitter.com/mercy_ngima","@mercy_ngima")</f>
        <v>@mercy_ngima</v>
      </c>
      <c r="C5589" s="21" t="s">
        <v>12715</v>
      </c>
      <c r="D5589" s="21" t="s">
        <v>32</v>
      </c>
      <c r="E5589" s="22" t="str">
        <f>HYPERLINK("https://twitter.com/mercy_ngima/status/922487053098549249","922487053098549249")</f>
        <v>922487053098549249</v>
      </c>
      <c r="F5589" s="23" t="s">
        <v>33</v>
      </c>
      <c r="G5589" s="24">
        <v>27.0</v>
      </c>
      <c r="H5589" s="24">
        <v>348.0</v>
      </c>
      <c r="I5589" s="24">
        <v>471.0</v>
      </c>
      <c r="J5589" s="24">
        <v>0.0</v>
      </c>
      <c r="K5589" s="23" t="s">
        <v>34</v>
      </c>
      <c r="L5589" s="25">
        <v>41339.41222222222</v>
      </c>
      <c r="M5589" s="28"/>
      <c r="N5589" s="28"/>
      <c r="O5589" s="22" t="str">
        <f>HYPERLINK("https://pbs.twimg.com/profile_images/740468717193138176/ItWhVtSS_normal.jpg","View")</f>
        <v>View</v>
      </c>
      <c r="P5589" s="27"/>
    </row>
    <row r="5590">
      <c r="A5590" s="14">
        <v>43031.35915509259</v>
      </c>
      <c r="B5590" s="20" t="str">
        <f>HYPERLINK("https://twitter.com/KetugaAmega","@KetugaAmega")</f>
        <v>@KetugaAmega</v>
      </c>
      <c r="C5590" s="21" t="s">
        <v>12716</v>
      </c>
      <c r="D5590" s="21" t="s">
        <v>12565</v>
      </c>
      <c r="E5590" s="22" t="str">
        <f>HYPERLINK("https://twitter.com/KetugaAmega/status/922487071255691264","922487071255691264")</f>
        <v>922487071255691264</v>
      </c>
      <c r="F5590" s="23" t="s">
        <v>3895</v>
      </c>
      <c r="G5590" s="24">
        <v>1291.0</v>
      </c>
      <c r="H5590" s="24">
        <v>1277.0</v>
      </c>
      <c r="I5590" s="24">
        <v>32.0</v>
      </c>
      <c r="J5590" s="24">
        <v>0.0</v>
      </c>
      <c r="K5590" s="23" t="s">
        <v>34</v>
      </c>
      <c r="L5590" s="25">
        <v>41282.43807870371</v>
      </c>
      <c r="M5590" s="26" t="s">
        <v>12717</v>
      </c>
      <c r="N5590" s="28"/>
      <c r="O5590" s="22" t="str">
        <f>HYPERLINK("https://pbs.twimg.com/profile_images/797077833407459328/KocJHkwM_normal.jpg","View")</f>
        <v>View</v>
      </c>
      <c r="P5590" s="27"/>
    </row>
    <row r="5591">
      <c r="A5591" s="14">
        <v>43031.35915509259</v>
      </c>
      <c r="B5591" s="20" t="str">
        <f>HYPERLINK("https://twitter.com/RMupesh","@RMupesh")</f>
        <v>@RMupesh</v>
      </c>
      <c r="C5591" s="21" t="s">
        <v>12718</v>
      </c>
      <c r="D5591" s="21" t="s">
        <v>42</v>
      </c>
      <c r="E5591" s="22" t="str">
        <f>HYPERLINK("https://twitter.com/RMupesh/status/922487072425787393","922487072425787393")</f>
        <v>922487072425787393</v>
      </c>
      <c r="F5591" s="23" t="s">
        <v>33</v>
      </c>
      <c r="G5591" s="24">
        <v>38.0</v>
      </c>
      <c r="H5591" s="24">
        <v>327.0</v>
      </c>
      <c r="I5591" s="24">
        <v>8501.0</v>
      </c>
      <c r="J5591" s="24">
        <v>0.0</v>
      </c>
      <c r="K5591" s="23" t="s">
        <v>34</v>
      </c>
      <c r="L5591" s="25">
        <v>42921.80894675926</v>
      </c>
      <c r="M5591" s="26" t="s">
        <v>12719</v>
      </c>
      <c r="N5591" s="28"/>
      <c r="O5591" s="22" t="str">
        <f>HYPERLINK("https://pbs.twimg.com/profile_images/912921210178068480/rUlFDpIC_normal.jpg","View")</f>
        <v>View</v>
      </c>
      <c r="P5591" s="27"/>
    </row>
    <row r="5592">
      <c r="A5592" s="14">
        <v>43031.35921296296</v>
      </c>
      <c r="B5592" s="20" t="str">
        <f>HYPERLINK("https://twitter.com/kamanvar","@kamanvar")</f>
        <v>@kamanvar</v>
      </c>
      <c r="C5592" s="21" t="s">
        <v>12720</v>
      </c>
      <c r="D5592" s="21" t="s">
        <v>42</v>
      </c>
      <c r="E5592" s="22" t="str">
        <f>HYPERLINK("https://twitter.com/kamanvar/status/922487091388231680","922487091388231680")</f>
        <v>922487091388231680</v>
      </c>
      <c r="F5592" s="23" t="s">
        <v>33</v>
      </c>
      <c r="G5592" s="24">
        <v>76.0</v>
      </c>
      <c r="H5592" s="24">
        <v>187.0</v>
      </c>
      <c r="I5592" s="24">
        <v>8501.0</v>
      </c>
      <c r="J5592" s="24">
        <v>0.0</v>
      </c>
      <c r="K5592" s="23" t="s">
        <v>34</v>
      </c>
      <c r="L5592" s="25">
        <v>42338.16824074074</v>
      </c>
      <c r="M5592" s="26" t="s">
        <v>1633</v>
      </c>
      <c r="N5592" s="28"/>
      <c r="O5592" s="22" t="str">
        <f>HYPERLINK("https://pbs.twimg.com/profile_images/889873117568311297/UbV92C52_normal.jpg","View")</f>
        <v>View</v>
      </c>
      <c r="P5592" s="27"/>
    </row>
    <row r="5593">
      <c r="A5593" s="14">
        <v>43031.35923611111</v>
      </c>
      <c r="B5593" s="20" t="str">
        <f>HYPERLINK("https://twitter.com/BillTurcke","@BillTurcke")</f>
        <v>@BillTurcke</v>
      </c>
      <c r="C5593" s="21" t="s">
        <v>2629</v>
      </c>
      <c r="D5593" s="21" t="s">
        <v>12721</v>
      </c>
      <c r="E5593" s="22" t="str">
        <f>HYPERLINK("https://twitter.com/BillTurcke/status/922487100292857857","922487100292857857")</f>
        <v>922487100292857857</v>
      </c>
      <c r="F5593" s="23" t="s">
        <v>187</v>
      </c>
      <c r="G5593" s="24">
        <v>327.0</v>
      </c>
      <c r="H5593" s="24">
        <v>472.0</v>
      </c>
      <c r="I5593" s="24">
        <v>0.0</v>
      </c>
      <c r="J5593" s="24">
        <v>0.0</v>
      </c>
      <c r="K5593" s="23" t="s">
        <v>34</v>
      </c>
      <c r="L5593" s="25">
        <v>42882.62079861111</v>
      </c>
      <c r="M5593" s="26" t="s">
        <v>905</v>
      </c>
      <c r="N5593" s="26" t="s">
        <v>2631</v>
      </c>
      <c r="O5593" s="22" t="str">
        <f>HYPERLINK("https://pbs.twimg.com/profile_images/907594368969822208/1W8ugjw6_normal.jpg","View")</f>
        <v>View</v>
      </c>
      <c r="P5593" s="27"/>
    </row>
    <row r="5594">
      <c r="A5594" s="14">
        <v>43031.35925925926</v>
      </c>
      <c r="B5594" s="20" t="str">
        <f>HYPERLINK("https://twitter.com/rish_negi","@rish_negi")</f>
        <v>@rish_negi</v>
      </c>
      <c r="C5594" s="21" t="s">
        <v>12722</v>
      </c>
      <c r="D5594" s="21" t="s">
        <v>42</v>
      </c>
      <c r="E5594" s="22" t="str">
        <f>HYPERLINK("https://twitter.com/rish_negi/status/922487109201551360","922487109201551360")</f>
        <v>922487109201551360</v>
      </c>
      <c r="F5594" s="23" t="s">
        <v>33</v>
      </c>
      <c r="G5594" s="24">
        <v>16.0</v>
      </c>
      <c r="H5594" s="24">
        <v>11.0</v>
      </c>
      <c r="I5594" s="24">
        <v>8501.0</v>
      </c>
      <c r="J5594" s="24">
        <v>0.0</v>
      </c>
      <c r="K5594" s="23" t="s">
        <v>34</v>
      </c>
      <c r="L5594" s="25">
        <v>41178.519953703704</v>
      </c>
      <c r="M5594" s="28"/>
      <c r="N5594" s="28"/>
      <c r="O5594" s="22" t="str">
        <f>HYPERLINK("https://pbs.twimg.com/profile_images/2652728164/62fe5728cabfdc53377d412b55cdc030_normal.jpeg","View")</f>
        <v>View</v>
      </c>
      <c r="P5594" s="27"/>
    </row>
    <row r="5595">
      <c r="A5595" s="14">
        <v>43031.35938657407</v>
      </c>
      <c r="B5595" s="20" t="str">
        <f>HYPERLINK("https://twitter.com/Bis_Sandeep","@Bis_Sandeep")</f>
        <v>@Bis_Sandeep</v>
      </c>
      <c r="C5595" s="21" t="s">
        <v>12723</v>
      </c>
      <c r="D5595" s="21" t="s">
        <v>12724</v>
      </c>
      <c r="E5595" s="22" t="str">
        <f>HYPERLINK("https://twitter.com/Bis_Sandeep/status/922487153585803265","922487153585803265")</f>
        <v>922487153585803265</v>
      </c>
      <c r="F5595" s="23" t="s">
        <v>187</v>
      </c>
      <c r="G5595" s="24">
        <v>364.0</v>
      </c>
      <c r="H5595" s="24">
        <v>239.0</v>
      </c>
      <c r="I5595" s="24">
        <v>0.0</v>
      </c>
      <c r="J5595" s="24">
        <v>0.0</v>
      </c>
      <c r="K5595" s="23" t="s">
        <v>34</v>
      </c>
      <c r="L5595" s="25">
        <v>42279.998460648145</v>
      </c>
      <c r="M5595" s="26" t="s">
        <v>1137</v>
      </c>
      <c r="N5595" s="26" t="s">
        <v>12725</v>
      </c>
      <c r="O5595" s="22" t="str">
        <f>HYPERLINK("https://pbs.twimg.com/profile_images/783299746706305025/0F1TPHVV_normal.jpg","View")</f>
        <v>View</v>
      </c>
      <c r="P5595" s="27"/>
    </row>
    <row r="5596">
      <c r="A5596" s="14">
        <v>43031.35938657407</v>
      </c>
      <c r="B5596" s="20" t="str">
        <f>HYPERLINK("https://twitter.com/Ravinarayan178","@Ravinarayan178")</f>
        <v>@Ravinarayan178</v>
      </c>
      <c r="C5596" s="21" t="s">
        <v>12726</v>
      </c>
      <c r="D5596" s="21" t="s">
        <v>42</v>
      </c>
      <c r="E5596" s="22" t="str">
        <f>HYPERLINK("https://twitter.com/Ravinarayan178/status/922487154227286017","922487154227286017")</f>
        <v>922487154227286017</v>
      </c>
      <c r="F5596" s="23" t="s">
        <v>33</v>
      </c>
      <c r="G5596" s="24">
        <v>26.0</v>
      </c>
      <c r="H5596" s="24">
        <v>39.0</v>
      </c>
      <c r="I5596" s="24">
        <v>8501.0</v>
      </c>
      <c r="J5596" s="24">
        <v>0.0</v>
      </c>
      <c r="K5596" s="23" t="s">
        <v>34</v>
      </c>
      <c r="L5596" s="25">
        <v>42693.78375</v>
      </c>
      <c r="M5596" s="26" t="s">
        <v>12727</v>
      </c>
      <c r="N5596" s="28"/>
      <c r="O5596" s="22" t="str">
        <f>HYPERLINK("https://pbs.twimg.com/profile_images/806854808925679617/qrSCl7J-_normal.jpg","View")</f>
        <v>View</v>
      </c>
      <c r="P5596" s="27"/>
    </row>
    <row r="5597">
      <c r="A5597" s="14">
        <v>43031.35938657407</v>
      </c>
      <c r="B5597" s="20" t="str">
        <f>HYPERLINK("https://twitter.com/SnehalTaksande","@SnehalTaksande")</f>
        <v>@SnehalTaksande</v>
      </c>
      <c r="C5597" s="21" t="s">
        <v>12728</v>
      </c>
      <c r="D5597" s="21" t="s">
        <v>12630</v>
      </c>
      <c r="E5597" s="22" t="str">
        <f>HYPERLINK("https://twitter.com/SnehalTaksande/status/922487155078942721","922487155078942721")</f>
        <v>922487155078942721</v>
      </c>
      <c r="F5597" s="23" t="s">
        <v>33</v>
      </c>
      <c r="G5597" s="24">
        <v>65.0</v>
      </c>
      <c r="H5597" s="24">
        <v>183.0</v>
      </c>
      <c r="I5597" s="24">
        <v>7.0</v>
      </c>
      <c r="J5597" s="24">
        <v>0.0</v>
      </c>
      <c r="K5597" s="23" t="s">
        <v>34</v>
      </c>
      <c r="L5597" s="25">
        <v>41006.99309027778</v>
      </c>
      <c r="M5597" s="26" t="s">
        <v>12729</v>
      </c>
      <c r="N5597" s="28"/>
      <c r="O5597" s="22" t="str">
        <f>HYPERLINK("https://pbs.twimg.com/profile_images/918693824540454913/C2foKPvJ_normal.jpg","View")</f>
        <v>View</v>
      </c>
      <c r="P5597" s="27"/>
    </row>
    <row r="5598">
      <c r="A5598" s="14">
        <v>43031.35943287037</v>
      </c>
      <c r="B5598" s="20" t="str">
        <f>HYPERLINK("https://twitter.com/Bullish","@Bullish")</f>
        <v>@Bullish</v>
      </c>
      <c r="C5598" s="21" t="s">
        <v>2943</v>
      </c>
      <c r="D5598" s="21" t="s">
        <v>12730</v>
      </c>
      <c r="E5598" s="22" t="str">
        <f>HYPERLINK("https://twitter.com/Bullish/status/922487172422406144","922487172422406144")</f>
        <v>922487172422406144</v>
      </c>
      <c r="F5598" s="23" t="s">
        <v>187</v>
      </c>
      <c r="G5598" s="24">
        <v>184.0</v>
      </c>
      <c r="H5598" s="24">
        <v>87.0</v>
      </c>
      <c r="I5598" s="24">
        <v>0.0</v>
      </c>
      <c r="J5598" s="24">
        <v>0.0</v>
      </c>
      <c r="K5598" s="23" t="s">
        <v>34</v>
      </c>
      <c r="L5598" s="25">
        <v>42618.75304398148</v>
      </c>
      <c r="M5598" s="28"/>
      <c r="N5598" s="28"/>
      <c r="O5598" s="22" t="str">
        <f>HYPERLINK("https://pbs.twimg.com/profile_images/798692093736599552/UikI9dNE_normal.jpg","View")</f>
        <v>View</v>
      </c>
      <c r="P5598" s="27"/>
    </row>
    <row r="5599">
      <c r="A5599" s="14">
        <v>43031.359456018516</v>
      </c>
      <c r="B5599" s="20" t="str">
        <f>HYPERLINK("https://twitter.com/AndrewJNell","@AndrewJNell")</f>
        <v>@AndrewJNell</v>
      </c>
      <c r="C5599" s="21" t="s">
        <v>12731</v>
      </c>
      <c r="D5599" s="21" t="s">
        <v>12732</v>
      </c>
      <c r="E5599" s="22" t="str">
        <f>HYPERLINK("https://twitter.com/AndrewJNell/status/922487181758910464","922487181758910464")</f>
        <v>922487181758910464</v>
      </c>
      <c r="F5599" s="23" t="s">
        <v>33</v>
      </c>
      <c r="G5599" s="24">
        <v>160.0</v>
      </c>
      <c r="H5599" s="24">
        <v>113.0</v>
      </c>
      <c r="I5599" s="24">
        <v>0.0</v>
      </c>
      <c r="J5599" s="24">
        <v>0.0</v>
      </c>
      <c r="K5599" s="23" t="s">
        <v>34</v>
      </c>
      <c r="L5599" s="25">
        <v>41891.879953703705</v>
      </c>
      <c r="M5599" s="28"/>
      <c r="N5599" s="26" t="s">
        <v>12733</v>
      </c>
      <c r="O5599" s="22" t="str">
        <f>HYPERLINK("https://pbs.twimg.com/profile_images/825566933353390080/1AtpmVNi_normal.jpg","View")</f>
        <v>View</v>
      </c>
      <c r="P5599" s="27"/>
    </row>
    <row r="5600">
      <c r="A5600" s="14">
        <v>43031.35972222222</v>
      </c>
      <c r="B5600" s="20" t="str">
        <f>HYPERLINK("https://twitter.com/acjered","@acjered")</f>
        <v>@acjered</v>
      </c>
      <c r="C5600" s="21" t="s">
        <v>12734</v>
      </c>
      <c r="D5600" s="21" t="s">
        <v>12735</v>
      </c>
      <c r="E5600" s="22" t="str">
        <f>HYPERLINK("https://twitter.com/acjered/status/922487275078012928","922487275078012928")</f>
        <v>922487275078012928</v>
      </c>
      <c r="F5600" s="30" t="s">
        <v>191</v>
      </c>
      <c r="G5600" s="24">
        <v>42542.0</v>
      </c>
      <c r="H5600" s="24">
        <v>23710.0</v>
      </c>
      <c r="I5600" s="24">
        <v>0.0</v>
      </c>
      <c r="J5600" s="24">
        <v>0.0</v>
      </c>
      <c r="K5600" s="23" t="s">
        <v>34</v>
      </c>
      <c r="L5600" s="25">
        <v>42071.44762731482</v>
      </c>
      <c r="M5600" s="26" t="s">
        <v>12736</v>
      </c>
      <c r="N5600" s="26" t="s">
        <v>12737</v>
      </c>
      <c r="O5600" s="22" t="str">
        <f>HYPERLINK("https://pbs.twimg.com/profile_images/764896955831025664/lVbhfi4t_normal.jpg","View")</f>
        <v>View</v>
      </c>
      <c r="P5600" s="27"/>
    </row>
    <row r="5601">
      <c r="A5601" s="14">
        <v>43031.3597337963</v>
      </c>
      <c r="B5601" s="20" t="str">
        <f>HYPERLINK("https://twitter.com/stuntfmc","@stuntfmc")</f>
        <v>@stuntfmc</v>
      </c>
      <c r="C5601" s="21" t="s">
        <v>12738</v>
      </c>
      <c r="D5601" s="21" t="s">
        <v>12739</v>
      </c>
      <c r="E5601" s="22" t="str">
        <f>HYPERLINK("https://twitter.com/stuntfmc/status/922487282820579328","922487282820579328")</f>
        <v>922487282820579328</v>
      </c>
      <c r="F5601" s="30" t="s">
        <v>191</v>
      </c>
      <c r="G5601" s="24">
        <v>3391.0</v>
      </c>
      <c r="H5601" s="24">
        <v>596.0</v>
      </c>
      <c r="I5601" s="24">
        <v>0.0</v>
      </c>
      <c r="J5601" s="24">
        <v>0.0</v>
      </c>
      <c r="K5601" s="23" t="s">
        <v>34</v>
      </c>
      <c r="L5601" s="25">
        <v>41686.21996527778</v>
      </c>
      <c r="M5601" s="35" t="s">
        <v>12740</v>
      </c>
      <c r="N5601" s="26" t="s">
        <v>12741</v>
      </c>
      <c r="O5601" s="22" t="str">
        <f>HYPERLINK("https://pbs.twimg.com/profile_images/436578741016203265/NrvCPwHn_normal.png","View")</f>
        <v>View</v>
      </c>
      <c r="P5601" s="27"/>
    </row>
    <row r="5602">
      <c r="A5602" s="14">
        <v>43031.35975694444</v>
      </c>
      <c r="B5602" s="20" t="str">
        <f>HYPERLINK("https://twitter.com/NolanDraco","@NolanDraco")</f>
        <v>@NolanDraco</v>
      </c>
      <c r="C5602" s="21" t="s">
        <v>12742</v>
      </c>
      <c r="D5602" s="21" t="s">
        <v>12743</v>
      </c>
      <c r="E5602" s="22" t="str">
        <f>HYPERLINK("https://twitter.com/NolanDraco/status/922487289963536384","922487289963536384")</f>
        <v>922487289963536384</v>
      </c>
      <c r="F5602" s="23" t="s">
        <v>12744</v>
      </c>
      <c r="G5602" s="24">
        <v>3066.0</v>
      </c>
      <c r="H5602" s="24">
        <v>2995.0</v>
      </c>
      <c r="I5602" s="24">
        <v>0.0</v>
      </c>
      <c r="J5602" s="24">
        <v>0.0</v>
      </c>
      <c r="K5602" s="23" t="s">
        <v>34</v>
      </c>
      <c r="L5602" s="25">
        <v>42456.04052083333</v>
      </c>
      <c r="M5602" s="26" t="s">
        <v>12745</v>
      </c>
      <c r="N5602" s="26" t="s">
        <v>12746</v>
      </c>
      <c r="O5602" s="22" t="str">
        <f>HYPERLINK("https://pbs.twimg.com/profile_images/761423350761713664/5LLRQ-Pz_normal.jpg","View")</f>
        <v>View</v>
      </c>
      <c r="P5602" s="27"/>
    </row>
    <row r="5603">
      <c r="A5603" s="14">
        <v>43031.35975694444</v>
      </c>
      <c r="B5603" s="20" t="str">
        <f>HYPERLINK("https://twitter.com/acjered1","@acjered1")</f>
        <v>@acjered1</v>
      </c>
      <c r="C5603" s="21" t="s">
        <v>12747</v>
      </c>
      <c r="D5603" s="21" t="s">
        <v>12748</v>
      </c>
      <c r="E5603" s="22" t="str">
        <f>HYPERLINK("https://twitter.com/acjered1/status/922487291242864641","922487291242864641")</f>
        <v>922487291242864641</v>
      </c>
      <c r="F5603" s="30" t="s">
        <v>191</v>
      </c>
      <c r="G5603" s="24">
        <v>742.0</v>
      </c>
      <c r="H5603" s="24">
        <v>304.0</v>
      </c>
      <c r="I5603" s="24">
        <v>0.0</v>
      </c>
      <c r="J5603" s="24">
        <v>0.0</v>
      </c>
      <c r="K5603" s="23" t="s">
        <v>34</v>
      </c>
      <c r="L5603" s="25">
        <v>40521.15935185185</v>
      </c>
      <c r="M5603" s="26" t="s">
        <v>12749</v>
      </c>
      <c r="N5603" s="26" t="s">
        <v>12750</v>
      </c>
      <c r="O5603" s="22" t="str">
        <f>HYPERLINK("https://pbs.twimg.com/profile_images/732523177478397952/NmlgMGpw_normal.jpg","View")</f>
        <v>View</v>
      </c>
      <c r="P5603" s="27"/>
    </row>
    <row r="5604">
      <c r="A5604" s="14">
        <v>43031.35986111111</v>
      </c>
      <c r="B5604" s="20" t="str">
        <f>HYPERLINK("https://twitter.com/GSABHILASH4","@GSABHILASH4")</f>
        <v>@GSABHILASH4</v>
      </c>
      <c r="C5604" s="21" t="s">
        <v>12751</v>
      </c>
      <c r="D5604" s="21" t="s">
        <v>42</v>
      </c>
      <c r="E5604" s="22" t="str">
        <f>HYPERLINK("https://twitter.com/GSABHILASH4/status/922487328936902657","922487328936902657")</f>
        <v>922487328936902657</v>
      </c>
      <c r="F5604" s="23" t="s">
        <v>33</v>
      </c>
      <c r="G5604" s="24">
        <v>6.0</v>
      </c>
      <c r="H5604" s="24">
        <v>56.0</v>
      </c>
      <c r="I5604" s="24">
        <v>8501.0</v>
      </c>
      <c r="J5604" s="24">
        <v>0.0</v>
      </c>
      <c r="K5604" s="23" t="s">
        <v>34</v>
      </c>
      <c r="L5604" s="25">
        <v>42879.439155092594</v>
      </c>
      <c r="M5604" s="28"/>
      <c r="N5604" s="28"/>
      <c r="O5604" s="22" t="str">
        <f>HYPERLINK("https://abs.twimg.com/sticky/default_profile_images/default_profile_normal.png","View")</f>
        <v>View</v>
      </c>
      <c r="P5604" s="27"/>
    </row>
    <row r="5605">
      <c r="A5605" s="14">
        <v>43031.35988425926</v>
      </c>
      <c r="B5605" s="20" t="str">
        <f>HYPERLINK("https://twitter.com/ANANDARAJ121094","@ANANDARAJ121094")</f>
        <v>@ANANDARAJ121094</v>
      </c>
      <c r="C5605" s="21" t="s">
        <v>12752</v>
      </c>
      <c r="D5605" s="21" t="s">
        <v>42</v>
      </c>
      <c r="E5605" s="22" t="str">
        <f>HYPERLINK("https://twitter.com/ANANDARAJ121094/status/922487337501704193","922487337501704193")</f>
        <v>922487337501704193</v>
      </c>
      <c r="F5605" s="23" t="s">
        <v>33</v>
      </c>
      <c r="G5605" s="24">
        <v>8.0</v>
      </c>
      <c r="H5605" s="24">
        <v>101.0</v>
      </c>
      <c r="I5605" s="24">
        <v>8501.0</v>
      </c>
      <c r="J5605" s="24">
        <v>0.0</v>
      </c>
      <c r="K5605" s="23" t="s">
        <v>34</v>
      </c>
      <c r="L5605" s="25">
        <v>43022.277592592596</v>
      </c>
      <c r="M5605" s="26" t="s">
        <v>8674</v>
      </c>
      <c r="N5605" s="26" t="s">
        <v>12753</v>
      </c>
      <c r="O5605" s="22" t="str">
        <f>HYPERLINK("https://pbs.twimg.com/profile_images/919199952433115136/9yBuVoEw_normal.jpg","View")</f>
        <v>View</v>
      </c>
      <c r="P5605" s="27"/>
    </row>
    <row r="5606">
      <c r="A5606" s="14">
        <v>43031.35997685185</v>
      </c>
      <c r="B5606" s="20" t="str">
        <f>HYPERLINK("https://twitter.com/salqahtani1111","@salqahtani1111")</f>
        <v>@salqahtani1111</v>
      </c>
      <c r="C5606" s="21" t="s">
        <v>2985</v>
      </c>
      <c r="D5606" s="21" t="s">
        <v>12754</v>
      </c>
      <c r="E5606" s="22" t="str">
        <f>HYPERLINK("https://twitter.com/salqahtani1111/status/922487368250265601","922487368250265601")</f>
        <v>922487368250265601</v>
      </c>
      <c r="F5606" s="23" t="s">
        <v>187</v>
      </c>
      <c r="G5606" s="24">
        <v>78.0</v>
      </c>
      <c r="H5606" s="24">
        <v>350.0</v>
      </c>
      <c r="I5606" s="24">
        <v>0.0</v>
      </c>
      <c r="J5606" s="24">
        <v>0.0</v>
      </c>
      <c r="K5606" s="23" t="s">
        <v>34</v>
      </c>
      <c r="L5606" s="25">
        <v>42389.41868055555</v>
      </c>
      <c r="M5606" s="26" t="s">
        <v>2987</v>
      </c>
      <c r="N5606" s="32" t="s">
        <v>2988</v>
      </c>
      <c r="O5606" s="22" t="str">
        <f>HYPERLINK("https://pbs.twimg.com/profile_images/862802411659952129/c6waLNgv_normal.jpg","View")</f>
        <v>View</v>
      </c>
      <c r="P5606" s="27"/>
    </row>
    <row r="5607">
      <c r="A5607" s="14">
        <v>43031.36001157407</v>
      </c>
      <c r="B5607" s="20" t="str">
        <f>HYPERLINK("https://twitter.com/Krish0531","@Krish0531")</f>
        <v>@Krish0531</v>
      </c>
      <c r="C5607" s="21" t="s">
        <v>12755</v>
      </c>
      <c r="D5607" s="21" t="s">
        <v>42</v>
      </c>
      <c r="E5607" s="22" t="str">
        <f>HYPERLINK("https://twitter.com/Krish0531/status/922487382724579328","922487382724579328")</f>
        <v>922487382724579328</v>
      </c>
      <c r="F5607" s="23" t="s">
        <v>230</v>
      </c>
      <c r="G5607" s="24">
        <v>113.0</v>
      </c>
      <c r="H5607" s="24">
        <v>97.0</v>
      </c>
      <c r="I5607" s="24">
        <v>8501.0</v>
      </c>
      <c r="J5607" s="24">
        <v>0.0</v>
      </c>
      <c r="K5607" s="23" t="s">
        <v>34</v>
      </c>
      <c r="L5607" s="25">
        <v>41350.384618055556</v>
      </c>
      <c r="M5607" s="26" t="s">
        <v>12756</v>
      </c>
      <c r="N5607" s="26" t="s">
        <v>12757</v>
      </c>
      <c r="O5607" s="22" t="str">
        <f>HYPERLINK("https://pbs.twimg.com/profile_images/593749406014251010/E8tZFHfL_normal.png","View")</f>
        <v>View</v>
      </c>
      <c r="P5607" s="27"/>
    </row>
    <row r="5608">
      <c r="A5608" s="14">
        <v>43031.36013888889</v>
      </c>
      <c r="B5608" s="20" t="str">
        <f>HYPERLINK("https://twitter.com/bharathkbhat06","@bharathkbhat06")</f>
        <v>@bharathkbhat06</v>
      </c>
      <c r="C5608" s="21" t="s">
        <v>12758</v>
      </c>
      <c r="D5608" s="21" t="s">
        <v>12759</v>
      </c>
      <c r="E5608" s="22" t="str">
        <f>HYPERLINK("https://twitter.com/bharathkbhat06/status/922487429684019200","922487429684019200")</f>
        <v>922487429684019200</v>
      </c>
      <c r="F5608" s="23" t="s">
        <v>33</v>
      </c>
      <c r="G5608" s="24">
        <v>1084.0</v>
      </c>
      <c r="H5608" s="24">
        <v>2075.0</v>
      </c>
      <c r="I5608" s="24">
        <v>0.0</v>
      </c>
      <c r="J5608" s="24">
        <v>0.0</v>
      </c>
      <c r="K5608" s="23" t="s">
        <v>34</v>
      </c>
      <c r="L5608" s="25">
        <v>40362.05506944445</v>
      </c>
      <c r="M5608" s="26" t="s">
        <v>127</v>
      </c>
      <c r="N5608" s="26" t="s">
        <v>12760</v>
      </c>
      <c r="O5608" s="22" t="str">
        <f>HYPERLINK("https://pbs.twimg.com/profile_images/798490934916698113/NPkkxbnA_normal.jpg","View")</f>
        <v>View</v>
      </c>
      <c r="P5608" s="27"/>
    </row>
    <row r="5609">
      <c r="A5609" s="14">
        <v>43031.36016203703</v>
      </c>
      <c r="B5609" s="20" t="str">
        <f>HYPERLINK("https://twitter.com/LE_Guides","@LE_Guides")</f>
        <v>@LE_Guides</v>
      </c>
      <c r="C5609" s="21" t="s">
        <v>12761</v>
      </c>
      <c r="D5609" s="21" t="s">
        <v>12565</v>
      </c>
      <c r="E5609" s="22" t="str">
        <f>HYPERLINK("https://twitter.com/LE_Guides/status/922487438106349568","922487438106349568")</f>
        <v>922487438106349568</v>
      </c>
      <c r="F5609" s="23" t="s">
        <v>55</v>
      </c>
      <c r="G5609" s="24">
        <v>6440.0</v>
      </c>
      <c r="H5609" s="24">
        <v>221.0</v>
      </c>
      <c r="I5609" s="24">
        <v>32.0</v>
      </c>
      <c r="J5609" s="24">
        <v>0.0</v>
      </c>
      <c r="K5609" s="23" t="s">
        <v>34</v>
      </c>
      <c r="L5609" s="25">
        <v>42465.31673611111</v>
      </c>
      <c r="M5609" s="28"/>
      <c r="N5609" s="28"/>
      <c r="O5609" s="22" t="str">
        <f>HYPERLINK("https://pbs.twimg.com/profile_images/717360684288356352/IkaNjYk5_normal.jpg","View")</f>
        <v>View</v>
      </c>
      <c r="P5609" s="27"/>
    </row>
    <row r="5610">
      <c r="A5610" s="14">
        <v>43031.360243055555</v>
      </c>
      <c r="B5610" s="20" t="str">
        <f>HYPERLINK("https://twitter.com/OsinkinSA","@OsinkinSA")</f>
        <v>@OsinkinSA</v>
      </c>
      <c r="C5610" s="21" t="s">
        <v>12762</v>
      </c>
      <c r="D5610" s="21" t="s">
        <v>12763</v>
      </c>
      <c r="E5610" s="22" t="str">
        <f>HYPERLINK("https://twitter.com/OsinkinSA/status/922487466673795072","922487466673795072")</f>
        <v>922487466673795072</v>
      </c>
      <c r="F5610" s="23" t="s">
        <v>55</v>
      </c>
      <c r="G5610" s="24">
        <v>1311.0</v>
      </c>
      <c r="H5610" s="24">
        <v>1189.0</v>
      </c>
      <c r="I5610" s="24">
        <v>7.0</v>
      </c>
      <c r="J5610" s="24">
        <v>0.0</v>
      </c>
      <c r="K5610" s="23" t="s">
        <v>34</v>
      </c>
      <c r="L5610" s="25">
        <v>40819.996516203704</v>
      </c>
      <c r="M5610" s="26" t="s">
        <v>12764</v>
      </c>
      <c r="N5610" s="26" t="s">
        <v>12765</v>
      </c>
      <c r="O5610" s="22" t="str">
        <f>HYPERLINK("https://pbs.twimg.com/profile_images/704293144364355585/c1cK3B1u_normal.jpg","View")</f>
        <v>View</v>
      </c>
      <c r="P5610" s="27"/>
    </row>
    <row r="5611">
      <c r="A5611" s="14">
        <v>43031.360300925924</v>
      </c>
      <c r="B5611" s="20" t="str">
        <f>HYPERLINK("https://twitter.com/PoliusVanessa","@PoliusVanessa")</f>
        <v>@PoliusVanessa</v>
      </c>
      <c r="C5611" s="21" t="s">
        <v>12766</v>
      </c>
      <c r="D5611" s="21" t="s">
        <v>12565</v>
      </c>
      <c r="E5611" s="22" t="str">
        <f>HYPERLINK("https://twitter.com/PoliusVanessa/status/922487486298906624","922487486298906624")</f>
        <v>922487486298906624</v>
      </c>
      <c r="F5611" s="23" t="s">
        <v>33</v>
      </c>
      <c r="G5611" s="24">
        <v>120.0</v>
      </c>
      <c r="H5611" s="24">
        <v>100.0</v>
      </c>
      <c r="I5611" s="24">
        <v>32.0</v>
      </c>
      <c r="J5611" s="24">
        <v>0.0</v>
      </c>
      <c r="K5611" s="23" t="s">
        <v>34</v>
      </c>
      <c r="L5611" s="25">
        <v>41907.00032407408</v>
      </c>
      <c r="M5611" s="26" t="s">
        <v>40</v>
      </c>
      <c r="N5611" s="26" t="s">
        <v>12767</v>
      </c>
      <c r="O5611" s="22" t="str">
        <f>HYPERLINK("https://pbs.twimg.com/profile_images/682072139625664512/XMCkGvIA_normal.jpg","View")</f>
        <v>View</v>
      </c>
      <c r="P5611" s="27"/>
    </row>
    <row r="5612">
      <c r="A5612" s="14">
        <v>43031.36042824074</v>
      </c>
      <c r="B5612" s="20" t="str">
        <f>HYPERLINK("https://twitter.com/NicolasMamadera","@NicolasMamadera")</f>
        <v>@NicolasMamadera</v>
      </c>
      <c r="C5612" s="21" t="s">
        <v>12768</v>
      </c>
      <c r="D5612" s="21" t="s">
        <v>12565</v>
      </c>
      <c r="E5612" s="22" t="str">
        <f>HYPERLINK("https://twitter.com/NicolasMamadera/status/922487533291876353","922487533291876353")</f>
        <v>922487533291876353</v>
      </c>
      <c r="F5612" s="23" t="s">
        <v>39</v>
      </c>
      <c r="G5612" s="24">
        <v>156.0</v>
      </c>
      <c r="H5612" s="24">
        <v>186.0</v>
      </c>
      <c r="I5612" s="24">
        <v>32.0</v>
      </c>
      <c r="J5612" s="24">
        <v>0.0</v>
      </c>
      <c r="K5612" s="23" t="s">
        <v>34</v>
      </c>
      <c r="L5612" s="25">
        <v>42395.67354166666</v>
      </c>
      <c r="M5612" s="28"/>
      <c r="N5612" s="26" t="s">
        <v>12769</v>
      </c>
      <c r="O5612" s="22" t="str">
        <f>HYPERLINK("https://pbs.twimg.com/profile_images/748615942805012481/UAGpPeBl_normal.jpg","View")</f>
        <v>View</v>
      </c>
      <c r="P5612" s="27"/>
    </row>
    <row r="5613">
      <c r="A5613" s="14">
        <v>43031.36042824074</v>
      </c>
      <c r="B5613" s="20" t="str">
        <f>HYPERLINK("https://twitter.com/gamolo79","@gamolo79")</f>
        <v>@gamolo79</v>
      </c>
      <c r="C5613" s="21" t="s">
        <v>12770</v>
      </c>
      <c r="D5613" s="21" t="s">
        <v>12565</v>
      </c>
      <c r="E5613" s="22" t="str">
        <f>HYPERLINK("https://twitter.com/gamolo79/status/922487533849776129","922487533849776129")</f>
        <v>922487533849776129</v>
      </c>
      <c r="F5613" s="23" t="s">
        <v>55</v>
      </c>
      <c r="G5613" s="24">
        <v>1907.0</v>
      </c>
      <c r="H5613" s="24">
        <v>380.0</v>
      </c>
      <c r="I5613" s="24">
        <v>32.0</v>
      </c>
      <c r="J5613" s="24">
        <v>0.0</v>
      </c>
      <c r="K5613" s="23" t="s">
        <v>34</v>
      </c>
      <c r="L5613" s="25">
        <v>40084.51065972222</v>
      </c>
      <c r="M5613" s="26" t="s">
        <v>12771</v>
      </c>
      <c r="N5613" s="26" t="s">
        <v>12772</v>
      </c>
      <c r="O5613" s="22" t="str">
        <f>HYPERLINK("https://pbs.twimg.com/profile_images/609782410184556544/XdrgEMlY_normal.jpg","View")</f>
        <v>View</v>
      </c>
      <c r="P5613" s="27"/>
    </row>
    <row r="5614">
      <c r="A5614" s="14">
        <v>43031.36060185185</v>
      </c>
      <c r="B5614" s="20" t="str">
        <f>HYPERLINK("https://twitter.com/professor_parks","@professor_parks")</f>
        <v>@professor_parks</v>
      </c>
      <c r="C5614" s="21" t="s">
        <v>12773</v>
      </c>
      <c r="D5614" s="21" t="s">
        <v>12774</v>
      </c>
      <c r="E5614" s="22" t="str">
        <f>HYPERLINK("https://twitter.com/professor_parks/status/922487595392630784","922487595392630784")</f>
        <v>922487595392630784</v>
      </c>
      <c r="F5614" s="23" t="s">
        <v>55</v>
      </c>
      <c r="G5614" s="24">
        <v>160.0</v>
      </c>
      <c r="H5614" s="24">
        <v>1.0</v>
      </c>
      <c r="I5614" s="24">
        <v>0.0</v>
      </c>
      <c r="J5614" s="24">
        <v>0.0</v>
      </c>
      <c r="K5614" s="23" t="s">
        <v>34</v>
      </c>
      <c r="L5614" s="25">
        <v>40300.67760416667</v>
      </c>
      <c r="M5614" s="26" t="s">
        <v>12775</v>
      </c>
      <c r="N5614" s="28"/>
      <c r="O5614" s="22" t="str">
        <f>HYPERLINK("https://pbs.twimg.com/profile_images/746183891916972032/1ns_Lfco_normal.jpg","View")</f>
        <v>View</v>
      </c>
      <c r="P5614" s="27"/>
    </row>
    <row r="5615">
      <c r="A5615" s="14">
        <v>43031.36069444445</v>
      </c>
      <c r="B5615" s="20" t="str">
        <f>HYPERLINK("https://twitter.com/Kamlesh11997331","@Kamlesh11997331")</f>
        <v>@Kamlesh11997331</v>
      </c>
      <c r="C5615" s="21" t="s">
        <v>12776</v>
      </c>
      <c r="D5615" s="21" t="s">
        <v>42</v>
      </c>
      <c r="E5615" s="22" t="str">
        <f>HYPERLINK("https://twitter.com/Kamlesh11997331/status/922487628745793536","922487628745793536")</f>
        <v>922487628745793536</v>
      </c>
      <c r="F5615" s="23" t="s">
        <v>33</v>
      </c>
      <c r="G5615" s="24">
        <v>3.0</v>
      </c>
      <c r="H5615" s="24">
        <v>29.0</v>
      </c>
      <c r="I5615" s="24">
        <v>8501.0</v>
      </c>
      <c r="J5615" s="24">
        <v>0.0</v>
      </c>
      <c r="K5615" s="23" t="s">
        <v>34</v>
      </c>
      <c r="L5615" s="25">
        <v>43027.216319444444</v>
      </c>
      <c r="M5615" s="28"/>
      <c r="N5615" s="28"/>
      <c r="O5615" s="22" t="str">
        <f>HYPERLINK("https://abs.twimg.com/sticky/default_profile_images/default_profile_normal.png","View")</f>
        <v>View</v>
      </c>
      <c r="P5615" s="27"/>
    </row>
    <row r="5616">
      <c r="A5616" s="14">
        <v>43031.36072916667</v>
      </c>
      <c r="B5616" s="20" t="str">
        <f>HYPERLINK("https://twitter.com/FXDD","@FXDD")</f>
        <v>@FXDD</v>
      </c>
      <c r="C5616" s="21" t="s">
        <v>12777</v>
      </c>
      <c r="D5616" s="21" t="s">
        <v>12565</v>
      </c>
      <c r="E5616" s="22" t="str">
        <f>HYPERLINK("https://twitter.com/FXDD/status/922487640414412807","922487640414412807")</f>
        <v>922487640414412807</v>
      </c>
      <c r="F5616" s="23" t="s">
        <v>55</v>
      </c>
      <c r="G5616" s="24">
        <v>23724.0</v>
      </c>
      <c r="H5616" s="24">
        <v>96.0</v>
      </c>
      <c r="I5616" s="24">
        <v>32.0</v>
      </c>
      <c r="J5616" s="24">
        <v>0.0</v>
      </c>
      <c r="K5616" s="23" t="s">
        <v>34</v>
      </c>
      <c r="L5616" s="25">
        <v>39782.662824074076</v>
      </c>
      <c r="M5616" s="26" t="s">
        <v>6423</v>
      </c>
      <c r="N5616" s="26" t="s">
        <v>12778</v>
      </c>
      <c r="O5616" s="22" t="str">
        <f>HYPERLINK("https://pbs.twimg.com/profile_images/2645418300/8cb9ab80e1258da4b8be566ec300fb5d_normal.png","View")</f>
        <v>View</v>
      </c>
      <c r="P5616" s="27"/>
    </row>
    <row r="5617">
      <c r="A5617" s="14">
        <v>43031.36074074074</v>
      </c>
      <c r="B5617" s="20" t="str">
        <f>HYPERLINK("https://twitter.com/The_Puffin_Post","@The_Puffin_Post")</f>
        <v>@The_Puffin_Post</v>
      </c>
      <c r="C5617" s="21" t="s">
        <v>12779</v>
      </c>
      <c r="D5617" s="21" t="s">
        <v>12780</v>
      </c>
      <c r="E5617" s="22" t="str">
        <f>HYPERLINK("https://twitter.com/The_Puffin_Post/status/922487645137199104","922487645137199104")</f>
        <v>922487645137199104</v>
      </c>
      <c r="F5617" s="23" t="s">
        <v>187</v>
      </c>
      <c r="G5617" s="24">
        <v>531.0</v>
      </c>
      <c r="H5617" s="24">
        <v>0.0</v>
      </c>
      <c r="I5617" s="24">
        <v>0.0</v>
      </c>
      <c r="J5617" s="24">
        <v>0.0</v>
      </c>
      <c r="K5617" s="23" t="s">
        <v>34</v>
      </c>
      <c r="L5617" s="25">
        <v>42611.182708333334</v>
      </c>
      <c r="M5617" s="26" t="s">
        <v>12781</v>
      </c>
      <c r="N5617" s="26" t="s">
        <v>12782</v>
      </c>
      <c r="O5617" s="22" t="str">
        <f>HYPERLINK("https://pbs.twimg.com/profile_images/781182752502734848/FSIoMmfu_normal.jpg","View")</f>
        <v>View</v>
      </c>
      <c r="P5617" s="27"/>
    </row>
    <row r="5618">
      <c r="A5618" s="14">
        <v>43031.36077546296</v>
      </c>
      <c r="B5618" s="20" t="str">
        <f>HYPERLINK("https://twitter.com/CianGaia","@CianGaia")</f>
        <v>@CianGaia</v>
      </c>
      <c r="C5618" s="21" t="s">
        <v>12783</v>
      </c>
      <c r="D5618" s="21" t="s">
        <v>11430</v>
      </c>
      <c r="E5618" s="22" t="str">
        <f>HYPERLINK("https://twitter.com/CianGaia/status/922487658936455168","922487658936455168")</f>
        <v>922487658936455168</v>
      </c>
      <c r="F5618" s="23" t="s">
        <v>55</v>
      </c>
      <c r="G5618" s="24">
        <v>78.0</v>
      </c>
      <c r="H5618" s="24">
        <v>164.0</v>
      </c>
      <c r="I5618" s="24">
        <v>4.0</v>
      </c>
      <c r="J5618" s="24">
        <v>0.0</v>
      </c>
      <c r="K5618" s="23" t="s">
        <v>34</v>
      </c>
      <c r="L5618" s="25">
        <v>42605.567523148144</v>
      </c>
      <c r="M5618" s="28"/>
      <c r="N5618" s="26" t="s">
        <v>12784</v>
      </c>
      <c r="O5618" s="22" t="str">
        <f>HYPERLINK("https://pbs.twimg.com/profile_images/867960883066044416/xR1vm7CX_normal.jpg","View")</f>
        <v>View</v>
      </c>
      <c r="P5618" s="27"/>
    </row>
    <row r="5619">
      <c r="A5619" s="14">
        <v>43031.361122685186</v>
      </c>
      <c r="B5619" s="20" t="str">
        <f>HYPERLINK("https://twitter.com/atul__sri","@atul__sri")</f>
        <v>@atul__sri</v>
      </c>
      <c r="C5619" s="21" t="s">
        <v>12785</v>
      </c>
      <c r="D5619" s="21" t="s">
        <v>42</v>
      </c>
      <c r="E5619" s="22" t="str">
        <f>HYPERLINK("https://twitter.com/atul__sri/status/922487784081780736","922487784081780736")</f>
        <v>922487784081780736</v>
      </c>
      <c r="F5619" s="23" t="s">
        <v>33</v>
      </c>
      <c r="G5619" s="24">
        <v>6.0</v>
      </c>
      <c r="H5619" s="24">
        <v>31.0</v>
      </c>
      <c r="I5619" s="24">
        <v>8501.0</v>
      </c>
      <c r="J5619" s="24">
        <v>0.0</v>
      </c>
      <c r="K5619" s="23" t="s">
        <v>34</v>
      </c>
      <c r="L5619" s="25">
        <v>42982.49429398148</v>
      </c>
      <c r="M5619" s="28"/>
      <c r="N5619" s="26" t="s">
        <v>12786</v>
      </c>
      <c r="O5619" s="22" t="str">
        <f>HYPERLINK("https://pbs.twimg.com/profile_images/922538227218620416/WJZ-3Yh0_normal.jpg","View")</f>
        <v>View</v>
      </c>
      <c r="P5619" s="27"/>
    </row>
    <row r="5620">
      <c r="A5620" s="14">
        <v>43031.36114583333</v>
      </c>
      <c r="B5620" s="20" t="str">
        <f>HYPERLINK("https://twitter.com/krchandan_555","@krchandan_555")</f>
        <v>@krchandan_555</v>
      </c>
      <c r="C5620" s="21" t="s">
        <v>12787</v>
      </c>
      <c r="D5620" s="21" t="s">
        <v>42</v>
      </c>
      <c r="E5620" s="22" t="str">
        <f>HYPERLINK("https://twitter.com/krchandan_555/status/922487793963622400","922487793963622400")</f>
        <v>922487793963622400</v>
      </c>
      <c r="F5620" s="23" t="s">
        <v>33</v>
      </c>
      <c r="G5620" s="24">
        <v>104.0</v>
      </c>
      <c r="H5620" s="24">
        <v>964.0</v>
      </c>
      <c r="I5620" s="24">
        <v>8501.0</v>
      </c>
      <c r="J5620" s="24">
        <v>0.0</v>
      </c>
      <c r="K5620" s="23" t="s">
        <v>34</v>
      </c>
      <c r="L5620" s="25">
        <v>42907.00331018519</v>
      </c>
      <c r="M5620" s="26" t="s">
        <v>4605</v>
      </c>
      <c r="N5620" s="28"/>
      <c r="O5620" s="22" t="str">
        <f>HYPERLINK("https://pbs.twimg.com/profile_images/885506774614384641/a-QsFC4n_normal.jpg","View")</f>
        <v>View</v>
      </c>
      <c r="P5620" s="27"/>
    </row>
    <row r="5621">
      <c r="A5621" s="14">
        <v>43031.3612037037</v>
      </c>
      <c r="B5621" s="20" t="str">
        <f>HYPERLINK("https://twitter.com/aitepaeapaea","@aitepaeapaea")</f>
        <v>@aitepaeapaea</v>
      </c>
      <c r="C5621" s="21" t="s">
        <v>12788</v>
      </c>
      <c r="D5621" s="21" t="s">
        <v>12565</v>
      </c>
      <c r="E5621" s="22" t="str">
        <f>HYPERLINK("https://twitter.com/aitepaeapaea/status/922487813446107137","922487813446107137")</f>
        <v>922487813446107137</v>
      </c>
      <c r="F5621" s="23" t="s">
        <v>55</v>
      </c>
      <c r="G5621" s="24">
        <v>1569.0</v>
      </c>
      <c r="H5621" s="24">
        <v>257.0</v>
      </c>
      <c r="I5621" s="24">
        <v>32.0</v>
      </c>
      <c r="J5621" s="24">
        <v>0.0</v>
      </c>
      <c r="K5621" s="23" t="s">
        <v>34</v>
      </c>
      <c r="L5621" s="25">
        <v>39922.34079861111</v>
      </c>
      <c r="M5621" s="26" t="s">
        <v>7414</v>
      </c>
      <c r="N5621" s="26" t="s">
        <v>12789</v>
      </c>
      <c r="O5621" s="22" t="str">
        <f>HYPERLINK("https://pbs.twimg.com/profile_images/146641211/got_oil__normal.jpg","View")</f>
        <v>View</v>
      </c>
      <c r="P5621" s="27"/>
    </row>
    <row r="5622">
      <c r="A5622" s="14">
        <v>43031.361238425925</v>
      </c>
      <c r="B5622" s="20" t="str">
        <f>HYPERLINK("https://twitter.com/News365247live","@News365247live")</f>
        <v>@News365247live</v>
      </c>
      <c r="C5622" s="21" t="s">
        <v>759</v>
      </c>
      <c r="D5622" s="21" t="s">
        <v>12630</v>
      </c>
      <c r="E5622" s="22" t="str">
        <f>HYPERLINK("https://twitter.com/News365247live/status/922487826725216256","922487826725216256")</f>
        <v>922487826725216256</v>
      </c>
      <c r="F5622" s="23" t="s">
        <v>761</v>
      </c>
      <c r="G5622" s="24">
        <v>1497.0</v>
      </c>
      <c r="H5622" s="24">
        <v>4734.0</v>
      </c>
      <c r="I5622" s="24">
        <v>7.0</v>
      </c>
      <c r="J5622" s="24">
        <v>0.0</v>
      </c>
      <c r="K5622" s="23" t="s">
        <v>34</v>
      </c>
      <c r="L5622" s="25">
        <v>42728.342094907406</v>
      </c>
      <c r="M5622" s="26" t="s">
        <v>762</v>
      </c>
      <c r="N5622" s="26" t="s">
        <v>763</v>
      </c>
      <c r="O5622" s="22" t="str">
        <f>HYPERLINK("https://pbs.twimg.com/profile_images/813047771091472384/ZtakiWrG_normal.jpg","View")</f>
        <v>View</v>
      </c>
      <c r="P5622" s="27"/>
    </row>
    <row r="5623">
      <c r="A5623" s="14">
        <v>43031.36137731481</v>
      </c>
      <c r="B5623" s="20" t="str">
        <f>HYPERLINK("https://twitter.com/GayspeakNews","@GayspeakNews")</f>
        <v>@GayspeakNews</v>
      </c>
      <c r="C5623" s="21" t="s">
        <v>12790</v>
      </c>
      <c r="D5623" s="21" t="s">
        <v>12791</v>
      </c>
      <c r="E5623" s="22" t="str">
        <f>HYPERLINK("https://twitter.com/GayspeakNews/status/922487877984047104","922487877984047104")</f>
        <v>922487877984047104</v>
      </c>
      <c r="F5623" s="23" t="s">
        <v>55</v>
      </c>
      <c r="G5623" s="24">
        <v>6684.0</v>
      </c>
      <c r="H5623" s="24">
        <v>3135.0</v>
      </c>
      <c r="I5623" s="24">
        <v>0.0</v>
      </c>
      <c r="J5623" s="24">
        <v>0.0</v>
      </c>
      <c r="K5623" s="23" t="s">
        <v>34</v>
      </c>
      <c r="L5623" s="25">
        <v>40038.534212962964</v>
      </c>
      <c r="M5623" s="26" t="s">
        <v>12792</v>
      </c>
      <c r="N5623" s="26" t="s">
        <v>12793</v>
      </c>
      <c r="O5623" s="22" t="str">
        <f>HYPERLINK("https://pbs.twimg.com/profile_images/816049016286957569/5S7XUo_7_normal.jpg","View")</f>
        <v>View</v>
      </c>
      <c r="P5623" s="27"/>
    </row>
    <row r="5624">
      <c r="A5624" s="14">
        <v>43031.361550925925</v>
      </c>
      <c r="B5624" s="20" t="str">
        <f>HYPERLINK("https://twitter.com/neelamafroj___","@neelamafroj___")</f>
        <v>@neelamafroj___</v>
      </c>
      <c r="C5624" s="21" t="s">
        <v>12794</v>
      </c>
      <c r="D5624" s="21" t="s">
        <v>42</v>
      </c>
      <c r="E5624" s="22" t="str">
        <f>HYPERLINK("https://twitter.com/neelamafroj___/status/922487941099692032","922487941099692032")</f>
        <v>922487941099692032</v>
      </c>
      <c r="F5624" s="23" t="s">
        <v>33</v>
      </c>
      <c r="G5624" s="24">
        <v>125.0</v>
      </c>
      <c r="H5624" s="24">
        <v>40.0</v>
      </c>
      <c r="I5624" s="24">
        <v>8501.0</v>
      </c>
      <c r="J5624" s="24">
        <v>0.0</v>
      </c>
      <c r="K5624" s="23" t="s">
        <v>34</v>
      </c>
      <c r="L5624" s="25">
        <v>42844.90824074074</v>
      </c>
      <c r="M5624" s="26" t="s">
        <v>12795</v>
      </c>
      <c r="N5624" s="26" t="s">
        <v>12796</v>
      </c>
      <c r="O5624" s="22" t="str">
        <f>HYPERLINK("https://pbs.twimg.com/profile_images/914340111948537856/G37WhCHu_normal.jpg","View")</f>
        <v>View</v>
      </c>
      <c r="P5624" s="27"/>
    </row>
    <row r="5625">
      <c r="A5625" s="14">
        <v>43031.361655092594</v>
      </c>
      <c r="B5625" s="20" t="str">
        <f>HYPERLINK("https://twitter.com/SHATRUDHANDAS71","@SHATRUDHANDAS71")</f>
        <v>@SHATRUDHANDAS71</v>
      </c>
      <c r="C5625" s="21" t="s">
        <v>12797</v>
      </c>
      <c r="D5625" s="21" t="s">
        <v>42</v>
      </c>
      <c r="E5625" s="22" t="str">
        <f>HYPERLINK("https://twitter.com/SHATRUDHANDAS71/status/922487978924093440","922487978924093440")</f>
        <v>922487978924093440</v>
      </c>
      <c r="F5625" s="23" t="s">
        <v>39</v>
      </c>
      <c r="G5625" s="24">
        <v>6.0</v>
      </c>
      <c r="H5625" s="24">
        <v>209.0</v>
      </c>
      <c r="I5625" s="24">
        <v>8501.0</v>
      </c>
      <c r="J5625" s="24">
        <v>0.0</v>
      </c>
      <c r="K5625" s="23" t="s">
        <v>34</v>
      </c>
      <c r="L5625" s="25">
        <v>43008.914189814815</v>
      </c>
      <c r="M5625" s="28"/>
      <c r="N5625" s="28"/>
      <c r="O5625" s="22" t="str">
        <f>HYPERLINK("https://pbs.twimg.com/profile_images/918155770117705728/_2tEF51Y_normal.jpg","View")</f>
        <v>View</v>
      </c>
      <c r="P5625" s="27"/>
    </row>
    <row r="5626">
      <c r="A5626" s="14">
        <v>43031.36170138889</v>
      </c>
      <c r="B5626" s="20" t="str">
        <f>HYPERLINK("https://twitter.com/iamlivin4god","@iamlivin4god")</f>
        <v>@iamlivin4god</v>
      </c>
      <c r="C5626" s="21" t="s">
        <v>12798</v>
      </c>
      <c r="D5626" s="21" t="s">
        <v>12486</v>
      </c>
      <c r="E5626" s="22" t="str">
        <f>HYPERLINK("https://twitter.com/iamlivin4god/status/922487994271100928","922487994271100928")</f>
        <v>922487994271100928</v>
      </c>
      <c r="F5626" s="23" t="s">
        <v>55</v>
      </c>
      <c r="G5626" s="24">
        <v>464.0</v>
      </c>
      <c r="H5626" s="24">
        <v>2175.0</v>
      </c>
      <c r="I5626" s="24">
        <v>7.0</v>
      </c>
      <c r="J5626" s="24">
        <v>0.0</v>
      </c>
      <c r="K5626" s="23" t="s">
        <v>34</v>
      </c>
      <c r="L5626" s="25">
        <v>41210.86528935185</v>
      </c>
      <c r="M5626" s="26" t="s">
        <v>905</v>
      </c>
      <c r="N5626" s="26" t="s">
        <v>12799</v>
      </c>
      <c r="O5626" s="22" t="str">
        <f>HYPERLINK("https://pbs.twimg.com/profile_images/690332839410184192/F5SvVCZ9_normal.jpg","View")</f>
        <v>View</v>
      </c>
      <c r="P5626" s="27"/>
    </row>
    <row r="5627">
      <c r="A5627" s="14">
        <v>43031.3617824074</v>
      </c>
      <c r="B5627" s="20" t="str">
        <f>HYPERLINK("https://twitter.com/AlkaRaniSingh10","@AlkaRaniSingh10")</f>
        <v>@AlkaRaniSingh10</v>
      </c>
      <c r="C5627" s="21" t="s">
        <v>12800</v>
      </c>
      <c r="D5627" s="21" t="s">
        <v>42</v>
      </c>
      <c r="E5627" s="22" t="str">
        <f>HYPERLINK("https://twitter.com/AlkaRaniSingh10/status/922488023916322816","922488023916322816")</f>
        <v>922488023916322816</v>
      </c>
      <c r="F5627" s="23" t="s">
        <v>55</v>
      </c>
      <c r="G5627" s="24">
        <v>7.0</v>
      </c>
      <c r="H5627" s="24">
        <v>107.0</v>
      </c>
      <c r="I5627" s="24">
        <v>8501.0</v>
      </c>
      <c r="J5627" s="24">
        <v>0.0</v>
      </c>
      <c r="K5627" s="23" t="s">
        <v>34</v>
      </c>
      <c r="L5627" s="25">
        <v>42942.09925925926</v>
      </c>
      <c r="M5627" s="26" t="s">
        <v>12801</v>
      </c>
      <c r="N5627" s="26" t="s">
        <v>12802</v>
      </c>
      <c r="O5627" s="22" t="str">
        <f>HYPERLINK("https://pbs.twimg.com/profile_images/890148245846065153/tJEx1gvr_normal.jpg","View")</f>
        <v>View</v>
      </c>
      <c r="P5627" s="27"/>
    </row>
    <row r="5628">
      <c r="A5628" s="14">
        <v>43031.361817129626</v>
      </c>
      <c r="B5628" s="20" t="str">
        <f>HYPERLINK("https://twitter.com/AKP_08","@AKP_08")</f>
        <v>@AKP_08</v>
      </c>
      <c r="C5628" s="21" t="s">
        <v>12803</v>
      </c>
      <c r="D5628" s="21" t="s">
        <v>42</v>
      </c>
      <c r="E5628" s="22" t="str">
        <f>HYPERLINK("https://twitter.com/AKP_08/status/922488037333856257","922488037333856257")</f>
        <v>922488037333856257</v>
      </c>
      <c r="F5628" s="23" t="s">
        <v>33</v>
      </c>
      <c r="G5628" s="24">
        <v>1797.0</v>
      </c>
      <c r="H5628" s="24">
        <v>2238.0</v>
      </c>
      <c r="I5628" s="24">
        <v>8501.0</v>
      </c>
      <c r="J5628" s="24">
        <v>0.0</v>
      </c>
      <c r="K5628" s="23" t="s">
        <v>34</v>
      </c>
      <c r="L5628" s="25">
        <v>41621.04125</v>
      </c>
      <c r="M5628" s="28"/>
      <c r="N5628" s="26" t="s">
        <v>12804</v>
      </c>
      <c r="O5628" s="22" t="str">
        <f>HYPERLINK("https://pbs.twimg.com/profile_images/845843874346143744/OSUas9I0_normal.jpg","View")</f>
        <v>View</v>
      </c>
      <c r="P5628" s="27"/>
    </row>
    <row r="5629">
      <c r="A5629" s="14">
        <v>43031.36200231481</v>
      </c>
      <c r="B5629" s="20" t="str">
        <f>HYPERLINK("https://twitter.com/saurabhttw","@saurabhttw")</f>
        <v>@saurabhttw</v>
      </c>
      <c r="C5629" s="21" t="s">
        <v>7646</v>
      </c>
      <c r="D5629" s="21" t="s">
        <v>42</v>
      </c>
      <c r="E5629" s="22" t="str">
        <f>HYPERLINK("https://twitter.com/saurabhttw/status/922488105126436864","922488105126436864")</f>
        <v>922488105126436864</v>
      </c>
      <c r="F5629" s="23" t="s">
        <v>33</v>
      </c>
      <c r="G5629" s="24">
        <v>14.0</v>
      </c>
      <c r="H5629" s="24">
        <v>84.0</v>
      </c>
      <c r="I5629" s="24">
        <v>8501.0</v>
      </c>
      <c r="J5629" s="24">
        <v>0.0</v>
      </c>
      <c r="K5629" s="23" t="s">
        <v>34</v>
      </c>
      <c r="L5629" s="25">
        <v>42615.43792824074</v>
      </c>
      <c r="M5629" s="26" t="s">
        <v>603</v>
      </c>
      <c r="N5629" s="26" t="s">
        <v>12805</v>
      </c>
      <c r="O5629" s="22" t="str">
        <f>HYPERLINK("https://pbs.twimg.com/profile_images/775743797476995072/XY68WhVG_normal.jpg","View")</f>
        <v>View</v>
      </c>
      <c r="P5629" s="27"/>
    </row>
    <row r="5630">
      <c r="A5630" s="14">
        <v>43031.36210648148</v>
      </c>
      <c r="B5630" s="20" t="str">
        <f>HYPERLINK("https://twitter.com/USAGOLD","@USAGOLD")</f>
        <v>@USAGOLD</v>
      </c>
      <c r="C5630" s="21" t="s">
        <v>9052</v>
      </c>
      <c r="D5630" s="21" t="s">
        <v>12565</v>
      </c>
      <c r="E5630" s="22" t="str">
        <f>HYPERLINK("https://twitter.com/USAGOLD/status/922488141260374016","922488141260374016")</f>
        <v>922488141260374016</v>
      </c>
      <c r="F5630" s="23" t="s">
        <v>769</v>
      </c>
      <c r="G5630" s="24">
        <v>3959.0</v>
      </c>
      <c r="H5630" s="24">
        <v>170.0</v>
      </c>
      <c r="I5630" s="24">
        <v>32.0</v>
      </c>
      <c r="J5630" s="24">
        <v>0.0</v>
      </c>
      <c r="K5630" s="23" t="s">
        <v>34</v>
      </c>
      <c r="L5630" s="25">
        <v>39792.46030092593</v>
      </c>
      <c r="M5630" s="26" t="s">
        <v>9053</v>
      </c>
      <c r="N5630" s="26" t="s">
        <v>9054</v>
      </c>
      <c r="O5630" s="22" t="str">
        <f>HYPERLINK("https://pbs.twimg.com/profile_images/1638967045/usagold_normal.jpg","View")</f>
        <v>View</v>
      </c>
      <c r="P5630" s="27"/>
    </row>
    <row r="5631">
      <c r="A5631" s="14">
        <v>43031.36224537037</v>
      </c>
      <c r="B5631" s="20" t="str">
        <f>HYPERLINK("https://twitter.com/vashu012","@vashu012")</f>
        <v>@vashu012</v>
      </c>
      <c r="C5631" s="21" t="s">
        <v>12806</v>
      </c>
      <c r="D5631" s="21" t="s">
        <v>42</v>
      </c>
      <c r="E5631" s="22" t="str">
        <f>HYPERLINK("https://twitter.com/vashu012/status/922488191608791040","922488191608791040")</f>
        <v>922488191608791040</v>
      </c>
      <c r="F5631" s="23" t="s">
        <v>33</v>
      </c>
      <c r="G5631" s="24">
        <v>198.0</v>
      </c>
      <c r="H5631" s="24">
        <v>1348.0</v>
      </c>
      <c r="I5631" s="24">
        <v>8501.0</v>
      </c>
      <c r="J5631" s="24">
        <v>0.0</v>
      </c>
      <c r="K5631" s="23" t="s">
        <v>34</v>
      </c>
      <c r="L5631" s="25">
        <v>42716.11263888889</v>
      </c>
      <c r="M5631" s="26" t="s">
        <v>12807</v>
      </c>
      <c r="N5631" s="26" t="s">
        <v>12808</v>
      </c>
      <c r="O5631" s="22" t="str">
        <f>HYPERLINK("https://pbs.twimg.com/profile_images/914170318108876801/ZBMwjtjp_normal.jpg","View")</f>
        <v>View</v>
      </c>
      <c r="P5631" s="27"/>
    </row>
    <row r="5632">
      <c r="A5632" s="14">
        <v>43031.362280092595</v>
      </c>
      <c r="B5632" s="20" t="str">
        <f>HYPERLINK("https://twitter.com/INirajVerma","@INirajVerma")</f>
        <v>@INirajVerma</v>
      </c>
      <c r="C5632" s="21" t="s">
        <v>12809</v>
      </c>
      <c r="D5632" s="21" t="s">
        <v>42</v>
      </c>
      <c r="E5632" s="22" t="str">
        <f>HYPERLINK("https://twitter.com/INirajVerma/status/922488204434972672","922488204434972672")</f>
        <v>922488204434972672</v>
      </c>
      <c r="F5632" s="23" t="s">
        <v>33</v>
      </c>
      <c r="G5632" s="24">
        <v>89482.0</v>
      </c>
      <c r="H5632" s="24">
        <v>1362.0</v>
      </c>
      <c r="I5632" s="24">
        <v>8501.0</v>
      </c>
      <c r="J5632" s="24">
        <v>0.0</v>
      </c>
      <c r="K5632" s="23" t="s">
        <v>34</v>
      </c>
      <c r="L5632" s="25">
        <v>42048.028761574074</v>
      </c>
      <c r="M5632" s="26" t="s">
        <v>12810</v>
      </c>
      <c r="N5632" s="26" t="s">
        <v>12811</v>
      </c>
      <c r="O5632" s="22" t="str">
        <f>HYPERLINK("https://pbs.twimg.com/profile_images/914308283187437568/CNgdwnLV_normal.jpg","View")</f>
        <v>View</v>
      </c>
      <c r="P5632" s="27"/>
    </row>
    <row r="5633">
      <c r="A5633" s="14">
        <v>43031.362384259264</v>
      </c>
      <c r="B5633" s="20" t="str">
        <f>HYPERLINK("https://twitter.com/SabaSebhatu","@SabaSebhatu")</f>
        <v>@SabaSebhatu</v>
      </c>
      <c r="C5633" s="21" t="s">
        <v>12812</v>
      </c>
      <c r="D5633" s="21" t="s">
        <v>12813</v>
      </c>
      <c r="E5633" s="22" t="str">
        <f>HYPERLINK("https://twitter.com/SabaSebhatu/status/922488240782958592","922488240782958592")</f>
        <v>922488240782958592</v>
      </c>
      <c r="F5633" s="23" t="s">
        <v>55</v>
      </c>
      <c r="G5633" s="24">
        <v>664.0</v>
      </c>
      <c r="H5633" s="24">
        <v>285.0</v>
      </c>
      <c r="I5633" s="24">
        <v>0.0</v>
      </c>
      <c r="J5633" s="24">
        <v>0.0</v>
      </c>
      <c r="K5633" s="23" t="s">
        <v>34</v>
      </c>
      <c r="L5633" s="25">
        <v>41042.98659722222</v>
      </c>
      <c r="M5633" s="26" t="s">
        <v>12814</v>
      </c>
      <c r="N5633" s="26" t="s">
        <v>12815</v>
      </c>
      <c r="O5633" s="22" t="str">
        <f>HYPERLINK("https://pbs.twimg.com/profile_images/3309830076/18ac9d413b014e5bc3b41b9dbb7b4814_normal.jpeg","View")</f>
        <v>View</v>
      </c>
      <c r="P5633" s="27"/>
    </row>
    <row r="5634">
      <c r="A5634" s="14">
        <v>43031.3624074074</v>
      </c>
      <c r="B5634" s="20" t="str">
        <f>HYPERLINK("https://twitter.com/babaklm2","@babaklm2")</f>
        <v>@babaklm2</v>
      </c>
      <c r="C5634" s="21">
        <v>3.14159265358979</v>
      </c>
      <c r="D5634" s="21" t="s">
        <v>3748</v>
      </c>
      <c r="E5634" s="22" t="str">
        <f>HYPERLINK("https://twitter.com/babaklm2/status/922488248676450305","922488248676450305")</f>
        <v>922488248676450305</v>
      </c>
      <c r="F5634" s="23" t="s">
        <v>39</v>
      </c>
      <c r="G5634" s="24">
        <v>740.0</v>
      </c>
      <c r="H5634" s="24">
        <v>527.0</v>
      </c>
      <c r="I5634" s="24">
        <v>10.0</v>
      </c>
      <c r="J5634" s="24">
        <v>0.0</v>
      </c>
      <c r="K5634" s="23" t="s">
        <v>34</v>
      </c>
      <c r="L5634" s="25">
        <v>41025.63872685185</v>
      </c>
      <c r="M5634" s="26" t="s">
        <v>12816</v>
      </c>
      <c r="N5634" s="26" t="s">
        <v>12817</v>
      </c>
      <c r="O5634" s="22" t="str">
        <f>HYPERLINK("https://pbs.twimg.com/profile_images/500956244220583936/1Ru8G-RI_normal.jpeg","View")</f>
        <v>View</v>
      </c>
      <c r="P5634" s="27"/>
    </row>
    <row r="5635">
      <c r="A5635" s="14">
        <v>43031.36247685185</v>
      </c>
      <c r="B5635" s="20" t="str">
        <f>HYPERLINK("https://twitter.com/anooppnd6745","@anooppnd6745")</f>
        <v>@anooppnd6745</v>
      </c>
      <c r="C5635" s="21" t="s">
        <v>12818</v>
      </c>
      <c r="D5635" s="21" t="s">
        <v>42</v>
      </c>
      <c r="E5635" s="22" t="str">
        <f>HYPERLINK("https://twitter.com/anooppnd6745/status/922488276346433536","922488276346433536")</f>
        <v>922488276346433536</v>
      </c>
      <c r="F5635" s="23" t="s">
        <v>55</v>
      </c>
      <c r="G5635" s="24">
        <v>490.0</v>
      </c>
      <c r="H5635" s="24">
        <v>171.0</v>
      </c>
      <c r="I5635" s="24">
        <v>8501.0</v>
      </c>
      <c r="J5635" s="24">
        <v>0.0</v>
      </c>
      <c r="K5635" s="23" t="s">
        <v>34</v>
      </c>
      <c r="L5635" s="25">
        <v>42578.02322916666</v>
      </c>
      <c r="M5635" s="26" t="s">
        <v>204</v>
      </c>
      <c r="N5635" s="26" t="s">
        <v>12819</v>
      </c>
      <c r="O5635" s="22" t="str">
        <f>HYPERLINK("https://pbs.twimg.com/profile_images/908019751120719872/VBwi2MFy_normal.jpg","View")</f>
        <v>View</v>
      </c>
      <c r="P5635" s="27"/>
    </row>
    <row r="5636">
      <c r="A5636" s="14">
        <v>43031.36252314815</v>
      </c>
      <c r="B5636" s="20" t="str">
        <f>HYPERLINK("https://twitter.com/Shamshe45774420","@Shamshe45774420")</f>
        <v>@Shamshe45774420</v>
      </c>
      <c r="C5636" s="21" t="s">
        <v>12820</v>
      </c>
      <c r="D5636" s="21" t="s">
        <v>42</v>
      </c>
      <c r="E5636" s="22" t="str">
        <f>HYPERLINK("https://twitter.com/Shamshe45774420/status/922488293098381313","922488293098381313")</f>
        <v>922488293098381313</v>
      </c>
      <c r="F5636" s="23" t="s">
        <v>33</v>
      </c>
      <c r="G5636" s="24">
        <v>891.0</v>
      </c>
      <c r="H5636" s="24">
        <v>1162.0</v>
      </c>
      <c r="I5636" s="24">
        <v>8501.0</v>
      </c>
      <c r="J5636" s="24">
        <v>0.0</v>
      </c>
      <c r="K5636" s="23" t="s">
        <v>34</v>
      </c>
      <c r="L5636" s="25">
        <v>42826.13935185185</v>
      </c>
      <c r="M5636" s="26" t="s">
        <v>12821</v>
      </c>
      <c r="N5636" s="26" t="s">
        <v>12822</v>
      </c>
      <c r="O5636" s="22" t="str">
        <f>HYPERLINK("https://pbs.twimg.com/profile_images/914355561713385472/9tFyi2XK_normal.jpg","View")</f>
        <v>View</v>
      </c>
      <c r="P5636" s="27"/>
    </row>
    <row r="5637">
      <c r="A5637" s="14">
        <v>43031.36259259259</v>
      </c>
      <c r="B5637" s="20" t="str">
        <f>HYPERLINK("https://twitter.com/NirajKumarAlive","@NirajKumarAlive")</f>
        <v>@NirajKumarAlive</v>
      </c>
      <c r="C5637" s="21" t="s">
        <v>12823</v>
      </c>
      <c r="D5637" s="21" t="s">
        <v>10614</v>
      </c>
      <c r="E5637" s="22" t="str">
        <f>HYPERLINK("https://twitter.com/NirajKumarAlive/status/922488317114851329","922488317114851329")</f>
        <v>922488317114851329</v>
      </c>
      <c r="F5637" s="23" t="s">
        <v>33</v>
      </c>
      <c r="G5637" s="24">
        <v>256.0</v>
      </c>
      <c r="H5637" s="24">
        <v>843.0</v>
      </c>
      <c r="I5637" s="24">
        <v>159.0</v>
      </c>
      <c r="J5637" s="24">
        <v>0.0</v>
      </c>
      <c r="K5637" s="23" t="s">
        <v>34</v>
      </c>
      <c r="L5637" s="25">
        <v>42447.39984953703</v>
      </c>
      <c r="M5637" s="26" t="s">
        <v>9866</v>
      </c>
      <c r="N5637" s="26" t="s">
        <v>12824</v>
      </c>
      <c r="O5637" s="22" t="str">
        <f>HYPERLINK("https://pbs.twimg.com/profile_images/904019709296705536/MGgCdzih_normal.jpg","View")</f>
        <v>View</v>
      </c>
      <c r="P5637" s="27"/>
    </row>
    <row r="5638">
      <c r="A5638" s="14">
        <v>43031.36263888889</v>
      </c>
      <c r="B5638" s="20" t="str">
        <f>HYPERLINK("https://twitter.com/CharlesMunn1","@CharlesMunn1")</f>
        <v>@CharlesMunn1</v>
      </c>
      <c r="C5638" s="21" t="s">
        <v>12825</v>
      </c>
      <c r="D5638" s="21" t="s">
        <v>9689</v>
      </c>
      <c r="E5638" s="22" t="str">
        <f>HYPERLINK("https://twitter.com/CharlesMunn1/status/922488336001908736","922488336001908736")</f>
        <v>922488336001908736</v>
      </c>
      <c r="F5638" s="23" t="s">
        <v>55</v>
      </c>
      <c r="G5638" s="24">
        <v>97405.0</v>
      </c>
      <c r="H5638" s="24">
        <v>80813.0</v>
      </c>
      <c r="I5638" s="24">
        <v>4.0</v>
      </c>
      <c r="J5638" s="24">
        <v>0.0</v>
      </c>
      <c r="K5638" s="23" t="s">
        <v>34</v>
      </c>
      <c r="L5638" s="25">
        <v>40811.46158564815</v>
      </c>
      <c r="M5638" s="26" t="s">
        <v>12826</v>
      </c>
      <c r="N5638" s="26" t="s">
        <v>12827</v>
      </c>
      <c r="O5638" s="22" t="str">
        <f>HYPERLINK("https://pbs.twimg.com/profile_images/900748786242170880/e8P0B_eP_normal.jpg","View")</f>
        <v>View</v>
      </c>
      <c r="P5638" s="27"/>
    </row>
    <row r="5639">
      <c r="A5639" s="14">
        <v>43031.362754629634</v>
      </c>
      <c r="B5639" s="20" t="str">
        <f>HYPERLINK("https://twitter.com/alternative200","@alternative200")</f>
        <v>@alternative200</v>
      </c>
      <c r="C5639" s="21" t="s">
        <v>12828</v>
      </c>
      <c r="D5639" s="21" t="s">
        <v>12241</v>
      </c>
      <c r="E5639" s="22" t="str">
        <f>HYPERLINK("https://twitter.com/alternative200/status/922488377450160128","922488377450160128")</f>
        <v>922488377450160128</v>
      </c>
      <c r="F5639" s="23" t="s">
        <v>55</v>
      </c>
      <c r="G5639" s="24">
        <v>135.0</v>
      </c>
      <c r="H5639" s="24">
        <v>222.0</v>
      </c>
      <c r="I5639" s="24">
        <v>9.0</v>
      </c>
      <c r="J5639" s="24">
        <v>0.0</v>
      </c>
      <c r="K5639" s="23" t="s">
        <v>34</v>
      </c>
      <c r="L5639" s="25">
        <v>42924.48342592592</v>
      </c>
      <c r="M5639" s="26" t="s">
        <v>5050</v>
      </c>
      <c r="N5639" s="26" t="s">
        <v>12829</v>
      </c>
      <c r="O5639" s="22" t="str">
        <f>HYPERLINK("https://pbs.twimg.com/profile_images/903434851570855940/HD_ouAB4_normal.jpg","View")</f>
        <v>View</v>
      </c>
      <c r="P5639" s="27"/>
    </row>
    <row r="5640">
      <c r="A5640" s="14">
        <v>43031.36292824074</v>
      </c>
      <c r="B5640" s="20" t="str">
        <f>HYPERLINK("https://twitter.com/svk214","@svk214")</f>
        <v>@svk214</v>
      </c>
      <c r="C5640" s="21" t="s">
        <v>11561</v>
      </c>
      <c r="D5640" s="21" t="s">
        <v>42</v>
      </c>
      <c r="E5640" s="22" t="str">
        <f>HYPERLINK("https://twitter.com/svk214/status/922488437181214720","922488437181214720")</f>
        <v>922488437181214720</v>
      </c>
      <c r="F5640" s="23" t="s">
        <v>33</v>
      </c>
      <c r="G5640" s="24">
        <v>41.0</v>
      </c>
      <c r="H5640" s="24">
        <v>572.0</v>
      </c>
      <c r="I5640" s="24">
        <v>8501.0</v>
      </c>
      <c r="J5640" s="24">
        <v>0.0</v>
      </c>
      <c r="K5640" s="23" t="s">
        <v>34</v>
      </c>
      <c r="L5640" s="25">
        <v>41780.44446759259</v>
      </c>
      <c r="M5640" s="26" t="s">
        <v>204</v>
      </c>
      <c r="N5640" s="26" t="s">
        <v>12830</v>
      </c>
      <c r="O5640" s="22" t="str">
        <f>HYPERLINK("https://pbs.twimg.com/profile_images/823374960223809536/SiwdMjyt_normal.jpg","View")</f>
        <v>View</v>
      </c>
      <c r="P5640" s="27"/>
    </row>
    <row r="5641">
      <c r="A5641" s="14">
        <v>43031.363229166665</v>
      </c>
      <c r="B5641" s="20" t="str">
        <f>HYPERLINK("https://twitter.com/niteshs33621696","@niteshs33621696")</f>
        <v>@niteshs33621696</v>
      </c>
      <c r="C5641" s="21" t="s">
        <v>12831</v>
      </c>
      <c r="D5641" s="21" t="s">
        <v>42</v>
      </c>
      <c r="E5641" s="22" t="str">
        <f>HYPERLINK("https://twitter.com/niteshs33621696/status/922488549215158272","922488549215158272")</f>
        <v>922488549215158272</v>
      </c>
      <c r="F5641" s="23" t="s">
        <v>33</v>
      </c>
      <c r="G5641" s="24">
        <v>10.0</v>
      </c>
      <c r="H5641" s="24">
        <v>179.0</v>
      </c>
      <c r="I5641" s="24">
        <v>8501.0</v>
      </c>
      <c r="J5641" s="24">
        <v>0.0</v>
      </c>
      <c r="K5641" s="23" t="s">
        <v>34</v>
      </c>
      <c r="L5641" s="25">
        <v>42828.143634259264</v>
      </c>
      <c r="M5641" s="26" t="s">
        <v>9432</v>
      </c>
      <c r="N5641" s="28"/>
      <c r="O5641" s="22" t="str">
        <f>HYPERLINK("https://pbs.twimg.com/profile_images/848857828681019392/AGUbi9ZB_normal.jpg","View")</f>
        <v>View</v>
      </c>
      <c r="P5641" s="27"/>
    </row>
    <row r="5642">
      <c r="A5642" s="14">
        <v>43031.36335648148</v>
      </c>
      <c r="B5642" s="20" t="str">
        <f>HYPERLINK("https://twitter.com/fredwalton216","@fredwalton216")</f>
        <v>@fredwalton216</v>
      </c>
      <c r="C5642" s="21" t="s">
        <v>12832</v>
      </c>
      <c r="D5642" s="21" t="s">
        <v>12486</v>
      </c>
      <c r="E5642" s="22" t="str">
        <f>HYPERLINK("https://twitter.com/fredwalton216/status/922488595428069377","922488595428069377")</f>
        <v>922488595428069377</v>
      </c>
      <c r="F5642" s="23" t="s">
        <v>33</v>
      </c>
      <c r="G5642" s="24">
        <v>1112.0</v>
      </c>
      <c r="H5642" s="24">
        <v>1027.0</v>
      </c>
      <c r="I5642" s="24">
        <v>7.0</v>
      </c>
      <c r="J5642" s="24">
        <v>0.0</v>
      </c>
      <c r="K5642" s="23" t="s">
        <v>34</v>
      </c>
      <c r="L5642" s="25">
        <v>41804.340844907405</v>
      </c>
      <c r="M5642" s="26" t="s">
        <v>7465</v>
      </c>
      <c r="N5642" s="26" t="s">
        <v>12833</v>
      </c>
      <c r="O5642" s="22" t="str">
        <f>HYPERLINK("https://pbs.twimg.com/profile_images/477856683578761216/rB_Pjwba_normal.jpeg","View")</f>
        <v>View</v>
      </c>
      <c r="P5642" s="27"/>
    </row>
    <row r="5643">
      <c r="A5643" s="14">
        <v>43031.36347222222</v>
      </c>
      <c r="B5643" s="20" t="str">
        <f>HYPERLINK("https://twitter.com/Indradip1989","@Indradip1989")</f>
        <v>@Indradip1989</v>
      </c>
      <c r="C5643" s="21" t="s">
        <v>12834</v>
      </c>
      <c r="D5643" s="21" t="s">
        <v>7602</v>
      </c>
      <c r="E5643" s="22" t="str">
        <f>HYPERLINK("https://twitter.com/Indradip1989/status/922488635357724672","922488635357724672")</f>
        <v>922488635357724672</v>
      </c>
      <c r="F5643" s="23" t="s">
        <v>33</v>
      </c>
      <c r="G5643" s="24">
        <v>33.0</v>
      </c>
      <c r="H5643" s="24">
        <v>196.0</v>
      </c>
      <c r="I5643" s="24">
        <v>7.0</v>
      </c>
      <c r="J5643" s="24">
        <v>0.0</v>
      </c>
      <c r="K5643" s="23" t="s">
        <v>34</v>
      </c>
      <c r="L5643" s="25">
        <v>41390.880266203705</v>
      </c>
      <c r="M5643" s="26" t="s">
        <v>603</v>
      </c>
      <c r="N5643" s="26" t="s">
        <v>12835</v>
      </c>
      <c r="O5643" s="22" t="str">
        <f>HYPERLINK("https://pbs.twimg.com/profile_images/831947282677260292/Cdya2XzM_normal.jpg","View")</f>
        <v>View</v>
      </c>
      <c r="P5643" s="27"/>
    </row>
    <row r="5644">
      <c r="A5644" s="14">
        <v>43031.36351851852</v>
      </c>
      <c r="B5644" s="20" t="str">
        <f>HYPERLINK("https://twitter.com/TheNaaKwaamah","@TheNaaKwaamah")</f>
        <v>@TheNaaKwaamah</v>
      </c>
      <c r="C5644" s="21" t="s">
        <v>12836</v>
      </c>
      <c r="D5644" s="21" t="s">
        <v>12565</v>
      </c>
      <c r="E5644" s="22" t="str">
        <f>HYPERLINK("https://twitter.com/TheNaaKwaamah/status/922488651031998464","922488651031998464")</f>
        <v>922488651031998464</v>
      </c>
      <c r="F5644" s="23" t="s">
        <v>33</v>
      </c>
      <c r="G5644" s="24">
        <v>79.0</v>
      </c>
      <c r="H5644" s="24">
        <v>306.0</v>
      </c>
      <c r="I5644" s="24">
        <v>32.0</v>
      </c>
      <c r="J5644" s="24">
        <v>0.0</v>
      </c>
      <c r="K5644" s="23" t="s">
        <v>34</v>
      </c>
      <c r="L5644" s="25">
        <v>42895.99701388889</v>
      </c>
      <c r="M5644" s="26" t="s">
        <v>11125</v>
      </c>
      <c r="N5644" s="26" t="s">
        <v>12837</v>
      </c>
      <c r="O5644" s="22" t="str">
        <f>HYPERLINK("https://pbs.twimg.com/profile_images/914184808024158209/sMDC3HMl_normal.jpg","View")</f>
        <v>View</v>
      </c>
      <c r="P5644" s="27"/>
    </row>
    <row r="5645">
      <c r="A5645" s="14">
        <v>43031.36358796296</v>
      </c>
      <c r="B5645" s="20" t="str">
        <f>HYPERLINK("https://twitter.com/kingkumar204","@kingkumar204")</f>
        <v>@kingkumar204</v>
      </c>
      <c r="C5645" s="21" t="s">
        <v>12838</v>
      </c>
      <c r="D5645" s="21" t="s">
        <v>42</v>
      </c>
      <c r="E5645" s="22" t="str">
        <f>HYPERLINK("https://twitter.com/kingkumar204/status/922488676977844224","922488676977844224")</f>
        <v>922488676977844224</v>
      </c>
      <c r="F5645" s="23" t="s">
        <v>33</v>
      </c>
      <c r="G5645" s="24">
        <v>68.0</v>
      </c>
      <c r="H5645" s="24">
        <v>126.0</v>
      </c>
      <c r="I5645" s="24">
        <v>8501.0</v>
      </c>
      <c r="J5645" s="24">
        <v>0.0</v>
      </c>
      <c r="K5645" s="23" t="s">
        <v>34</v>
      </c>
      <c r="L5645" s="25">
        <v>41361.31833333333</v>
      </c>
      <c r="M5645" s="26" t="s">
        <v>167</v>
      </c>
      <c r="N5645" s="26" t="s">
        <v>12839</v>
      </c>
      <c r="O5645" s="22" t="str">
        <f>HYPERLINK("https://pbs.twimg.com/profile_images/883664804845502464/KwTNBEss_normal.jpg","View")</f>
        <v>View</v>
      </c>
      <c r="P5645" s="27"/>
    </row>
    <row r="5646">
      <c r="A5646" s="14">
        <v>43031.363703703704</v>
      </c>
      <c r="B5646" s="20" t="str">
        <f>HYPERLINK("https://twitter.com/livefornow3","@livefornow3")</f>
        <v>@livefornow3</v>
      </c>
      <c r="C5646" s="21" t="s">
        <v>4037</v>
      </c>
      <c r="D5646" s="21" t="s">
        <v>42</v>
      </c>
      <c r="E5646" s="22" t="str">
        <f>HYPERLINK("https://twitter.com/livefornow3/status/922488718555996160","922488718555996160")</f>
        <v>922488718555996160</v>
      </c>
      <c r="F5646" s="23" t="s">
        <v>39</v>
      </c>
      <c r="G5646" s="24">
        <v>51.0</v>
      </c>
      <c r="H5646" s="24">
        <v>85.0</v>
      </c>
      <c r="I5646" s="24">
        <v>8501.0</v>
      </c>
      <c r="J5646" s="24">
        <v>0.0</v>
      </c>
      <c r="K5646" s="23" t="s">
        <v>34</v>
      </c>
      <c r="L5646" s="25">
        <v>41738.35086805555</v>
      </c>
      <c r="M5646" s="26" t="s">
        <v>11670</v>
      </c>
      <c r="N5646" s="26" t="s">
        <v>12840</v>
      </c>
      <c r="O5646" s="22" t="str">
        <f>HYPERLINK("https://pbs.twimg.com/profile_images/746415713393475584/3XbvRiMr_normal.jpg","View")</f>
        <v>View</v>
      </c>
      <c r="P5646" s="27"/>
    </row>
    <row r="5647">
      <c r="A5647" s="14">
        <v>43031.36378472223</v>
      </c>
      <c r="B5647" s="20" t="str">
        <f>HYPERLINK("https://twitter.com/RonaldGurung4","@RonaldGurung4")</f>
        <v>@RonaldGurung4</v>
      </c>
      <c r="C5647" s="21" t="s">
        <v>12841</v>
      </c>
      <c r="D5647" s="21" t="s">
        <v>42</v>
      </c>
      <c r="E5647" s="22" t="str">
        <f>HYPERLINK("https://twitter.com/RonaldGurung4/status/922488748385878016","922488748385878016")</f>
        <v>922488748385878016</v>
      </c>
      <c r="F5647" s="23" t="s">
        <v>33</v>
      </c>
      <c r="G5647" s="24">
        <v>67.0</v>
      </c>
      <c r="H5647" s="24">
        <v>24.0</v>
      </c>
      <c r="I5647" s="24">
        <v>8501.0</v>
      </c>
      <c r="J5647" s="24">
        <v>0.0</v>
      </c>
      <c r="K5647" s="23" t="s">
        <v>34</v>
      </c>
      <c r="L5647" s="25">
        <v>42678.85216435185</v>
      </c>
      <c r="M5647" s="26" t="s">
        <v>12842</v>
      </c>
      <c r="N5647" s="26" t="s">
        <v>12843</v>
      </c>
      <c r="O5647" s="22" t="str">
        <f>HYPERLINK("https://pbs.twimg.com/profile_images/794901466330918912/klO_HJg2_normal.jpg","View")</f>
        <v>View</v>
      </c>
      <c r="P5647" s="27"/>
    </row>
    <row r="5648">
      <c r="A5648" s="14">
        <v>43031.36381944444</v>
      </c>
      <c r="B5648" s="20" t="str">
        <f>HYPERLINK("https://twitter.com/PalanHemang","@PalanHemang")</f>
        <v>@PalanHemang</v>
      </c>
      <c r="C5648" s="21" t="s">
        <v>12844</v>
      </c>
      <c r="D5648" s="21" t="s">
        <v>42</v>
      </c>
      <c r="E5648" s="22" t="str">
        <f>HYPERLINK("https://twitter.com/PalanHemang/status/922488761060958208","922488761060958208")</f>
        <v>922488761060958208</v>
      </c>
      <c r="F5648" s="23" t="s">
        <v>33</v>
      </c>
      <c r="G5648" s="24">
        <v>922.0</v>
      </c>
      <c r="H5648" s="24">
        <v>162.0</v>
      </c>
      <c r="I5648" s="24">
        <v>8501.0</v>
      </c>
      <c r="J5648" s="24">
        <v>0.0</v>
      </c>
      <c r="K5648" s="23" t="s">
        <v>34</v>
      </c>
      <c r="L5648" s="25">
        <v>41061.44445601852</v>
      </c>
      <c r="M5648" s="26" t="s">
        <v>12845</v>
      </c>
      <c r="N5648" s="26" t="s">
        <v>12846</v>
      </c>
      <c r="O5648" s="22" t="str">
        <f>HYPERLINK("https://pbs.twimg.com/profile_images/869228794925666304/x5ttsizS_normal.jpg","View")</f>
        <v>View</v>
      </c>
      <c r="P5648" s="27"/>
    </row>
    <row r="5649">
      <c r="A5649" s="14">
        <v>43031.36398148148</v>
      </c>
      <c r="B5649" s="20" t="str">
        <f>HYPERLINK("https://twitter.com/Durgeshrai2013","@Durgeshrai2013")</f>
        <v>@Durgeshrai2013</v>
      </c>
      <c r="C5649" s="21" t="s">
        <v>12847</v>
      </c>
      <c r="D5649" s="21" t="s">
        <v>42</v>
      </c>
      <c r="E5649" s="22" t="str">
        <f>HYPERLINK("https://twitter.com/Durgeshrai2013/status/922488819936571392","922488819936571392")</f>
        <v>922488819936571392</v>
      </c>
      <c r="F5649" s="23" t="s">
        <v>33</v>
      </c>
      <c r="G5649" s="24">
        <v>113.0</v>
      </c>
      <c r="H5649" s="24">
        <v>284.0</v>
      </c>
      <c r="I5649" s="24">
        <v>8501.0</v>
      </c>
      <c r="J5649" s="24">
        <v>0.0</v>
      </c>
      <c r="K5649" s="23" t="s">
        <v>34</v>
      </c>
      <c r="L5649" s="25">
        <v>41426.170625</v>
      </c>
      <c r="M5649" s="28"/>
      <c r="N5649" s="28"/>
      <c r="O5649" s="22" t="str">
        <f>HYPERLINK("https://pbs.twimg.com/profile_images/567611788766625792/zguv87zs_normal.jpeg","View")</f>
        <v>View</v>
      </c>
      <c r="P5649" s="27"/>
    </row>
    <row r="5650">
      <c r="A5650" s="14">
        <v>43031.36398148148</v>
      </c>
      <c r="B5650" s="20" t="str">
        <f>HYPERLINK("https://twitter.com/a4ankuragarwal1","@a4ankuragarwal1")</f>
        <v>@a4ankuragarwal1</v>
      </c>
      <c r="C5650" s="21" t="s">
        <v>12848</v>
      </c>
      <c r="D5650" s="21" t="s">
        <v>42</v>
      </c>
      <c r="E5650" s="22" t="str">
        <f>HYPERLINK("https://twitter.com/a4ankuragarwal1/status/922488821211648000","922488821211648000")</f>
        <v>922488821211648000</v>
      </c>
      <c r="F5650" s="23" t="s">
        <v>33</v>
      </c>
      <c r="G5650" s="24">
        <v>32.0</v>
      </c>
      <c r="H5650" s="24">
        <v>197.0</v>
      </c>
      <c r="I5650" s="24">
        <v>8501.0</v>
      </c>
      <c r="J5650" s="24">
        <v>0.0</v>
      </c>
      <c r="K5650" s="23" t="s">
        <v>34</v>
      </c>
      <c r="L5650" s="25">
        <v>42900.01041666667</v>
      </c>
      <c r="M5650" s="26" t="s">
        <v>575</v>
      </c>
      <c r="N5650" s="28"/>
      <c r="O5650" s="22" t="str">
        <f>HYPERLINK("https://pbs.twimg.com/profile_images/875232350325489669/z_bdzc3x_normal.jpg","View")</f>
        <v>View</v>
      </c>
      <c r="P5650" s="27"/>
    </row>
    <row r="5651">
      <c r="A5651" s="14">
        <v>43031.364016203705</v>
      </c>
      <c r="B5651" s="20" t="str">
        <f>HYPERLINK("https://twitter.com/dharmeshrunwal","@dharmeshrunwal")</f>
        <v>@dharmeshrunwal</v>
      </c>
      <c r="C5651" s="21" t="s">
        <v>12849</v>
      </c>
      <c r="D5651" s="21" t="s">
        <v>42</v>
      </c>
      <c r="E5651" s="22" t="str">
        <f>HYPERLINK("https://twitter.com/dharmeshrunwal/status/922488831542038528","922488831542038528")</f>
        <v>922488831542038528</v>
      </c>
      <c r="F5651" s="23" t="s">
        <v>33</v>
      </c>
      <c r="G5651" s="24">
        <v>165.0</v>
      </c>
      <c r="H5651" s="24">
        <v>196.0</v>
      </c>
      <c r="I5651" s="24">
        <v>8501.0</v>
      </c>
      <c r="J5651" s="24">
        <v>0.0</v>
      </c>
      <c r="K5651" s="23" t="s">
        <v>34</v>
      </c>
      <c r="L5651" s="25">
        <v>41229.164814814816</v>
      </c>
      <c r="M5651" s="26" t="s">
        <v>246</v>
      </c>
      <c r="N5651" s="26" t="s">
        <v>12850</v>
      </c>
      <c r="O5651" s="22" t="str">
        <f>HYPERLINK("https://pbs.twimg.com/profile_images/876338687268732928/W-oKMpKy_normal.jpg","View")</f>
        <v>View</v>
      </c>
      <c r="P5651" s="27"/>
    </row>
    <row r="5652">
      <c r="A5652" s="14">
        <v>43031.364027777774</v>
      </c>
      <c r="B5652" s="20" t="str">
        <f>HYPERLINK("https://twitter.com/BhattachaPani","@BhattachaPani")</f>
        <v>@BhattachaPani</v>
      </c>
      <c r="C5652" s="21" t="s">
        <v>12851</v>
      </c>
      <c r="D5652" s="21" t="s">
        <v>5177</v>
      </c>
      <c r="E5652" s="22" t="str">
        <f>HYPERLINK("https://twitter.com/BhattachaPani/status/922488835778387969","922488835778387969")</f>
        <v>922488835778387969</v>
      </c>
      <c r="F5652" s="23" t="s">
        <v>33</v>
      </c>
      <c r="G5652" s="24">
        <v>1.0</v>
      </c>
      <c r="H5652" s="24">
        <v>54.0</v>
      </c>
      <c r="I5652" s="24">
        <v>115.0</v>
      </c>
      <c r="J5652" s="24">
        <v>0.0</v>
      </c>
      <c r="K5652" s="23" t="s">
        <v>34</v>
      </c>
      <c r="L5652" s="25">
        <v>42987.46508101852</v>
      </c>
      <c r="M5652" s="28"/>
      <c r="N5652" s="28"/>
      <c r="O5652" s="22" t="str">
        <f>HYPERLINK("https://abs.twimg.com/sticky/default_profile_images/default_profile_normal.png","View")</f>
        <v>View</v>
      </c>
      <c r="P5652" s="27"/>
    </row>
    <row r="5653">
      <c r="A5653" s="14">
        <v>43031.364027777774</v>
      </c>
      <c r="B5653" s="20" t="str">
        <f>HYPERLINK("https://twitter.com/BEN123L","@BEN123L")</f>
        <v>@BEN123L</v>
      </c>
      <c r="C5653" s="21" t="s">
        <v>12852</v>
      </c>
      <c r="D5653" s="21" t="s">
        <v>42</v>
      </c>
      <c r="E5653" s="22" t="str">
        <f>HYPERLINK("https://twitter.com/BEN123L/status/922488838886514689","922488838886514689")</f>
        <v>922488838886514689</v>
      </c>
      <c r="F5653" s="23" t="s">
        <v>33</v>
      </c>
      <c r="G5653" s="24">
        <v>767.0</v>
      </c>
      <c r="H5653" s="24">
        <v>1566.0</v>
      </c>
      <c r="I5653" s="24">
        <v>8501.0</v>
      </c>
      <c r="J5653" s="24">
        <v>0.0</v>
      </c>
      <c r="K5653" s="23" t="s">
        <v>34</v>
      </c>
      <c r="L5653" s="25">
        <v>42787.39356481482</v>
      </c>
      <c r="M5653" s="28"/>
      <c r="N5653" s="26" t="s">
        <v>12853</v>
      </c>
      <c r="O5653" s="22" t="str">
        <f>HYPERLINK("https://pbs.twimg.com/profile_images/888140409284825088/h6cN-hF0_normal.jpg","View")</f>
        <v>View</v>
      </c>
      <c r="P5653" s="27"/>
    </row>
    <row r="5654">
      <c r="A5654" s="14">
        <v>43031.364074074074</v>
      </c>
      <c r="B5654" s="20" t="str">
        <f>HYPERLINK("https://twitter.com/Sober_Shubham","@Sober_Shubham")</f>
        <v>@Sober_Shubham</v>
      </c>
      <c r="C5654" s="21" t="s">
        <v>12854</v>
      </c>
      <c r="D5654" s="21" t="s">
        <v>42</v>
      </c>
      <c r="E5654" s="22" t="str">
        <f>HYPERLINK("https://twitter.com/Sober_Shubham/status/922488852224262144","922488852224262144")</f>
        <v>922488852224262144</v>
      </c>
      <c r="F5654" s="23" t="s">
        <v>43</v>
      </c>
      <c r="G5654" s="24">
        <v>168.0</v>
      </c>
      <c r="H5654" s="24">
        <v>329.0</v>
      </c>
      <c r="I5654" s="24">
        <v>8501.0</v>
      </c>
      <c r="J5654" s="24">
        <v>0.0</v>
      </c>
      <c r="K5654" s="23" t="s">
        <v>34</v>
      </c>
      <c r="L5654" s="25">
        <v>40099.04053240741</v>
      </c>
      <c r="M5654" s="26" t="s">
        <v>9097</v>
      </c>
      <c r="N5654" s="26" t="s">
        <v>12855</v>
      </c>
      <c r="O5654" s="22" t="str">
        <f>HYPERLINK("https://pbs.twimg.com/profile_images/831581795934048256/uvGB1w_o_normal.jpg","View")</f>
        <v>View</v>
      </c>
      <c r="P5654" s="27"/>
    </row>
    <row r="5655">
      <c r="A5655" s="14">
        <v>43031.36408564815</v>
      </c>
      <c r="B5655" s="20" t="str">
        <f>HYPERLINK("https://twitter.com/DineshGagrani1","@DineshGagrani1")</f>
        <v>@DineshGagrani1</v>
      </c>
      <c r="C5655" s="21" t="s">
        <v>12856</v>
      </c>
      <c r="D5655" s="21" t="s">
        <v>42</v>
      </c>
      <c r="E5655" s="22" t="str">
        <f>HYPERLINK("https://twitter.com/DineshGagrani1/status/922488857890660353","922488857890660353")</f>
        <v>922488857890660353</v>
      </c>
      <c r="F5655" s="23" t="s">
        <v>39</v>
      </c>
      <c r="G5655" s="24">
        <v>23.0</v>
      </c>
      <c r="H5655" s="24">
        <v>328.0</v>
      </c>
      <c r="I5655" s="24">
        <v>8501.0</v>
      </c>
      <c r="J5655" s="24">
        <v>0.0</v>
      </c>
      <c r="K5655" s="23" t="s">
        <v>34</v>
      </c>
      <c r="L5655" s="25">
        <v>42932.0877199074</v>
      </c>
      <c r="M5655" s="26" t="s">
        <v>12857</v>
      </c>
      <c r="N5655" s="28"/>
      <c r="O5655" s="22" t="str">
        <f>HYPERLINK("https://abs.twimg.com/sticky/default_profile_images/default_profile_normal.png","View")</f>
        <v>View</v>
      </c>
      <c r="P5655" s="27"/>
    </row>
    <row r="5656">
      <c r="A5656" s="14">
        <v>43031.36413194444</v>
      </c>
      <c r="B5656" s="20" t="str">
        <f>HYPERLINK("https://twitter.com/Rohitpanwar961","@Rohitpanwar961")</f>
        <v>@Rohitpanwar961</v>
      </c>
      <c r="C5656" s="21" t="s">
        <v>12858</v>
      </c>
      <c r="D5656" s="21" t="s">
        <v>42</v>
      </c>
      <c r="E5656" s="22" t="str">
        <f>HYPERLINK("https://twitter.com/Rohitpanwar961/status/922488875792048128","922488875792048128")</f>
        <v>922488875792048128</v>
      </c>
      <c r="F5656" s="23" t="s">
        <v>33</v>
      </c>
      <c r="G5656" s="24">
        <v>528.0</v>
      </c>
      <c r="H5656" s="24">
        <v>896.0</v>
      </c>
      <c r="I5656" s="24">
        <v>8501.0</v>
      </c>
      <c r="J5656" s="24">
        <v>0.0</v>
      </c>
      <c r="K5656" s="23" t="s">
        <v>34</v>
      </c>
      <c r="L5656" s="25">
        <v>41936.938055555554</v>
      </c>
      <c r="M5656" s="26" t="s">
        <v>12859</v>
      </c>
      <c r="N5656" s="26" t="s">
        <v>12860</v>
      </c>
      <c r="O5656" s="22" t="str">
        <f>HYPERLINK("https://pbs.twimg.com/profile_images/906155270484574212/ppUg04PD_normal.jpg","View")</f>
        <v>View</v>
      </c>
      <c r="P5656" s="27"/>
    </row>
    <row r="5657">
      <c r="A5657" s="14">
        <v>43031.36414351852</v>
      </c>
      <c r="B5657" s="20" t="str">
        <f>HYPERLINK("https://twitter.com/PalanHemang","@PalanHemang")</f>
        <v>@PalanHemang</v>
      </c>
      <c r="C5657" s="21" t="s">
        <v>12844</v>
      </c>
      <c r="D5657" s="21" t="s">
        <v>163</v>
      </c>
      <c r="E5657" s="22" t="str">
        <f>HYPERLINK("https://twitter.com/PalanHemang/status/922488878673432577","922488878673432577")</f>
        <v>922488878673432577</v>
      </c>
      <c r="F5657" s="23" t="s">
        <v>33</v>
      </c>
      <c r="G5657" s="24">
        <v>922.0</v>
      </c>
      <c r="H5657" s="24">
        <v>162.0</v>
      </c>
      <c r="I5657" s="24">
        <v>1005.0</v>
      </c>
      <c r="J5657" s="24">
        <v>0.0</v>
      </c>
      <c r="K5657" s="23" t="s">
        <v>34</v>
      </c>
      <c r="L5657" s="25">
        <v>41061.44445601852</v>
      </c>
      <c r="M5657" s="26" t="s">
        <v>12845</v>
      </c>
      <c r="N5657" s="26" t="s">
        <v>12846</v>
      </c>
      <c r="O5657" s="22" t="str">
        <f>HYPERLINK("https://pbs.twimg.com/profile_images/869228794925666304/x5ttsizS_normal.jpg","View")</f>
        <v>View</v>
      </c>
      <c r="P5657" s="27"/>
    </row>
    <row r="5658">
      <c r="A5658" s="14">
        <v>43031.364178240736</v>
      </c>
      <c r="B5658" s="20" t="str">
        <f>HYPERLINK("https://twitter.com/Govinds69076504","@Govinds69076504")</f>
        <v>@Govinds69076504</v>
      </c>
      <c r="C5658" s="21" t="s">
        <v>12861</v>
      </c>
      <c r="D5658" s="21" t="s">
        <v>42</v>
      </c>
      <c r="E5658" s="22" t="str">
        <f>HYPERLINK("https://twitter.com/Govinds69076504/status/922488893932314625","922488893932314625")</f>
        <v>922488893932314625</v>
      </c>
      <c r="F5658" s="23" t="s">
        <v>33</v>
      </c>
      <c r="G5658" s="24">
        <v>127.0</v>
      </c>
      <c r="H5658" s="24">
        <v>376.0</v>
      </c>
      <c r="I5658" s="24">
        <v>8501.0</v>
      </c>
      <c r="J5658" s="24">
        <v>0.0</v>
      </c>
      <c r="K5658" s="23" t="s">
        <v>34</v>
      </c>
      <c r="L5658" s="25">
        <v>42974.88741898148</v>
      </c>
      <c r="M5658" s="26" t="s">
        <v>12862</v>
      </c>
      <c r="N5658" s="26" t="s">
        <v>12863</v>
      </c>
      <c r="O5658" s="22" t="str">
        <f>HYPERLINK("https://pbs.twimg.com/profile_images/902024266157146113/NqHfd-oh_normal.jpg","View")</f>
        <v>View</v>
      </c>
      <c r="P5658" s="27"/>
    </row>
    <row r="5659">
      <c r="A5659" s="14">
        <v>43031.36421296296</v>
      </c>
      <c r="B5659" s="20" t="str">
        <f>HYPERLINK("https://twitter.com/tkidoubuti2000","@tkidoubuti2000")</f>
        <v>@tkidoubuti2000</v>
      </c>
      <c r="C5659" s="21" t="s">
        <v>12864</v>
      </c>
      <c r="D5659" s="21" t="s">
        <v>42</v>
      </c>
      <c r="E5659" s="22" t="str">
        <f>HYPERLINK("https://twitter.com/tkidoubuti2000/status/922488902803365889","922488902803365889")</f>
        <v>922488902803365889</v>
      </c>
      <c r="F5659" s="23" t="s">
        <v>33</v>
      </c>
      <c r="G5659" s="24">
        <v>317.0</v>
      </c>
      <c r="H5659" s="24">
        <v>409.0</v>
      </c>
      <c r="I5659" s="24">
        <v>8501.0</v>
      </c>
      <c r="J5659" s="24">
        <v>0.0</v>
      </c>
      <c r="K5659" s="23" t="s">
        <v>34</v>
      </c>
      <c r="L5659" s="25">
        <v>42484.1334375</v>
      </c>
      <c r="M5659" s="26" t="s">
        <v>12865</v>
      </c>
      <c r="N5659" s="26" t="s">
        <v>12866</v>
      </c>
      <c r="O5659" s="22" t="str">
        <f>HYPERLINK("https://pbs.twimg.com/profile_images/724193832657547265/YPMYoLhq_normal.jpg","View")</f>
        <v>View</v>
      </c>
      <c r="P5659" s="27"/>
    </row>
    <row r="5660">
      <c r="A5660" s="14">
        <v>43031.36434027778</v>
      </c>
      <c r="B5660" s="20" t="str">
        <f>HYPERLINK("https://twitter.com/KING_SINGHG","@KING_SINGHG")</f>
        <v>@KING_SINGHG</v>
      </c>
      <c r="C5660" s="21" t="s">
        <v>12867</v>
      </c>
      <c r="D5660" s="21" t="s">
        <v>42</v>
      </c>
      <c r="E5660" s="22" t="str">
        <f>HYPERLINK("https://twitter.com/KING_SINGHG/status/922488949024595968","922488949024595968")</f>
        <v>922488949024595968</v>
      </c>
      <c r="F5660" s="23" t="s">
        <v>33</v>
      </c>
      <c r="G5660" s="24">
        <v>86.0</v>
      </c>
      <c r="H5660" s="24">
        <v>145.0</v>
      </c>
      <c r="I5660" s="24">
        <v>8501.0</v>
      </c>
      <c r="J5660" s="24">
        <v>0.0</v>
      </c>
      <c r="K5660" s="23" t="s">
        <v>34</v>
      </c>
      <c r="L5660" s="25">
        <v>42964.22927083333</v>
      </c>
      <c r="M5660" s="26" t="s">
        <v>12868</v>
      </c>
      <c r="N5660" s="26" t="s">
        <v>12869</v>
      </c>
      <c r="O5660" s="22" t="str">
        <f>HYPERLINK("https://pbs.twimg.com/profile_images/910069153330950144/MFY7eciE_normal.jpg","View")</f>
        <v>View</v>
      </c>
      <c r="P5660" s="27"/>
    </row>
    <row r="5661">
      <c r="A5661" s="14">
        <v>43031.364375000005</v>
      </c>
      <c r="B5661" s="20" t="str">
        <f>HYPERLINK("https://twitter.com/dvji","@dvji")</f>
        <v>@dvji</v>
      </c>
      <c r="C5661" s="21" t="s">
        <v>2845</v>
      </c>
      <c r="D5661" s="21" t="s">
        <v>42</v>
      </c>
      <c r="E5661" s="22" t="str">
        <f>HYPERLINK("https://twitter.com/dvji/status/922488961167122433","922488961167122433")</f>
        <v>922488961167122433</v>
      </c>
      <c r="F5661" s="23" t="s">
        <v>39</v>
      </c>
      <c r="G5661" s="24">
        <v>290.0</v>
      </c>
      <c r="H5661" s="24">
        <v>216.0</v>
      </c>
      <c r="I5661" s="24">
        <v>8501.0</v>
      </c>
      <c r="J5661" s="24">
        <v>0.0</v>
      </c>
      <c r="K5661" s="23" t="s">
        <v>34</v>
      </c>
      <c r="L5661" s="25">
        <v>40578.97902777778</v>
      </c>
      <c r="M5661" s="26" t="s">
        <v>204</v>
      </c>
      <c r="N5661" s="26" t="s">
        <v>12870</v>
      </c>
      <c r="O5661" s="22" t="str">
        <f>HYPERLINK("https://pbs.twimg.com/profile_images/579629405657395200/hezlfXhM_normal.jpg","View")</f>
        <v>View</v>
      </c>
      <c r="P5661" s="27"/>
    </row>
    <row r="5662">
      <c r="A5662" s="14">
        <v>43031.364386574074</v>
      </c>
      <c r="B5662" s="20" t="str">
        <f>HYPERLINK("https://twitter.com/banda1984","@banda1984")</f>
        <v>@banda1984</v>
      </c>
      <c r="C5662" s="21" t="s">
        <v>12871</v>
      </c>
      <c r="D5662" s="21" t="s">
        <v>42</v>
      </c>
      <c r="E5662" s="22" t="str">
        <f>HYPERLINK("https://twitter.com/banda1984/status/922488966984622080","922488966984622080")</f>
        <v>922488966984622080</v>
      </c>
      <c r="F5662" s="23" t="s">
        <v>43</v>
      </c>
      <c r="G5662" s="24">
        <v>96.0</v>
      </c>
      <c r="H5662" s="24">
        <v>148.0</v>
      </c>
      <c r="I5662" s="24">
        <v>8501.0</v>
      </c>
      <c r="J5662" s="24">
        <v>0.0</v>
      </c>
      <c r="K5662" s="23" t="s">
        <v>34</v>
      </c>
      <c r="L5662" s="25">
        <v>40832.96252314815</v>
      </c>
      <c r="M5662" s="26" t="s">
        <v>207</v>
      </c>
      <c r="N5662" s="26" t="s">
        <v>12872</v>
      </c>
      <c r="O5662" s="22" t="str">
        <f>HYPERLINK("https://pbs.twimg.com/profile_images/486149976733396993/ewWWWRj3_normal.jpeg","View")</f>
        <v>View</v>
      </c>
      <c r="P5662" s="27"/>
    </row>
    <row r="5663">
      <c r="A5663" s="14">
        <v>43031.36447916667</v>
      </c>
      <c r="B5663" s="20" t="str">
        <f>HYPERLINK("https://twitter.com/bhartiyapranay","@bhartiyapranay")</f>
        <v>@bhartiyapranay</v>
      </c>
      <c r="C5663" s="21" t="s">
        <v>12873</v>
      </c>
      <c r="D5663" s="21" t="s">
        <v>42</v>
      </c>
      <c r="E5663" s="22" t="str">
        <f>HYPERLINK("https://twitter.com/bhartiyapranay/status/922489001851830273","922489001851830273")</f>
        <v>922489001851830273</v>
      </c>
      <c r="F5663" s="23" t="s">
        <v>33</v>
      </c>
      <c r="G5663" s="24">
        <v>416.0</v>
      </c>
      <c r="H5663" s="24">
        <v>445.0</v>
      </c>
      <c r="I5663" s="24">
        <v>8501.0</v>
      </c>
      <c r="J5663" s="24">
        <v>0.0</v>
      </c>
      <c r="K5663" s="23" t="s">
        <v>34</v>
      </c>
      <c r="L5663" s="25">
        <v>40531.07418981481</v>
      </c>
      <c r="M5663" s="26" t="s">
        <v>12874</v>
      </c>
      <c r="N5663" s="26" t="s">
        <v>12875</v>
      </c>
      <c r="O5663" s="22" t="str">
        <f>HYPERLINK("https://pbs.twimg.com/profile_images/902114208241786880/9aW5Cjqd_normal.jpg","View")</f>
        <v>View</v>
      </c>
      <c r="P5663" s="27"/>
    </row>
    <row r="5664">
      <c r="A5664" s="14">
        <v>43031.36449074074</v>
      </c>
      <c r="B5664" s="20" t="str">
        <f>HYPERLINK("https://twitter.com/aman199368","@aman199368")</f>
        <v>@aman199368</v>
      </c>
      <c r="C5664" s="21" t="s">
        <v>12876</v>
      </c>
      <c r="D5664" s="21" t="s">
        <v>12565</v>
      </c>
      <c r="E5664" s="22" t="str">
        <f>HYPERLINK("https://twitter.com/aman199368/status/922489004531912704","922489004531912704")</f>
        <v>922489004531912704</v>
      </c>
      <c r="F5664" s="23" t="s">
        <v>33</v>
      </c>
      <c r="G5664" s="24">
        <v>156.0</v>
      </c>
      <c r="H5664" s="24">
        <v>499.0</v>
      </c>
      <c r="I5664" s="24">
        <v>32.0</v>
      </c>
      <c r="J5664" s="24">
        <v>0.0</v>
      </c>
      <c r="K5664" s="23" t="s">
        <v>34</v>
      </c>
      <c r="L5664" s="25">
        <v>42995.97635416666</v>
      </c>
      <c r="M5664" s="26" t="s">
        <v>204</v>
      </c>
      <c r="N5664" s="26" t="s">
        <v>12877</v>
      </c>
      <c r="O5664" s="22" t="str">
        <f>HYPERLINK("https://pbs.twimg.com/profile_images/916921890010152961/FbM8olrg_normal.jpg","View")</f>
        <v>View</v>
      </c>
      <c r="P5664" s="27"/>
    </row>
    <row r="5665">
      <c r="A5665" s="14">
        <v>43031.364537037036</v>
      </c>
      <c r="B5665" s="20" t="str">
        <f>HYPERLINK("https://twitter.com/IvoJima61","@IvoJima61")</f>
        <v>@IvoJima61</v>
      </c>
      <c r="C5665" s="21" t="s">
        <v>12878</v>
      </c>
      <c r="D5665" s="21" t="s">
        <v>9463</v>
      </c>
      <c r="E5665" s="22" t="str">
        <f>HYPERLINK("https://twitter.com/IvoJima61/status/922489022659821568","922489022659821568")</f>
        <v>922489022659821568</v>
      </c>
      <c r="F5665" s="23" t="s">
        <v>33</v>
      </c>
      <c r="G5665" s="24">
        <v>227.0</v>
      </c>
      <c r="H5665" s="24">
        <v>223.0</v>
      </c>
      <c r="I5665" s="24">
        <v>4.0</v>
      </c>
      <c r="J5665" s="24">
        <v>0.0</v>
      </c>
      <c r="K5665" s="23" t="s">
        <v>34</v>
      </c>
      <c r="L5665" s="25">
        <v>42446.89502314814</v>
      </c>
      <c r="M5665" s="28"/>
      <c r="N5665" s="26" t="s">
        <v>12879</v>
      </c>
      <c r="O5665" s="22" t="str">
        <f>HYPERLINK("https://pbs.twimg.com/profile_images/920914477402476544/Tk4F9ABF_normal.jpg","View")</f>
        <v>View</v>
      </c>
      <c r="P5665" s="27"/>
    </row>
    <row r="5666">
      <c r="A5666" s="14">
        <v>43031.36458333333</v>
      </c>
      <c r="B5666" s="20" t="str">
        <f>HYPERLINK("https://twitter.com/tkpbihar","@tkpbihar")</f>
        <v>@tkpbihar</v>
      </c>
      <c r="C5666" s="21" t="s">
        <v>12880</v>
      </c>
      <c r="D5666" s="21" t="s">
        <v>42</v>
      </c>
      <c r="E5666" s="22" t="str">
        <f>HYPERLINK("https://twitter.com/tkpbihar/status/922489037499199488","922489037499199488")</f>
        <v>922489037499199488</v>
      </c>
      <c r="F5666" s="23" t="s">
        <v>33</v>
      </c>
      <c r="G5666" s="24">
        <v>177.0</v>
      </c>
      <c r="H5666" s="24">
        <v>161.0</v>
      </c>
      <c r="I5666" s="24">
        <v>8501.0</v>
      </c>
      <c r="J5666" s="24">
        <v>0.0</v>
      </c>
      <c r="K5666" s="23" t="s">
        <v>34</v>
      </c>
      <c r="L5666" s="25">
        <v>40369.01520833334</v>
      </c>
      <c r="M5666" s="26" t="s">
        <v>3771</v>
      </c>
      <c r="N5666" s="28"/>
      <c r="O5666" s="22" t="str">
        <f>HYPERLINK("https://pbs.twimg.com/profile_images/872430238332067841/CU8HzUVL_normal.jpg","View")</f>
        <v>View</v>
      </c>
      <c r="P5666" s="27"/>
    </row>
    <row r="5667">
      <c r="A5667" s="14">
        <v>43031.36467592593</v>
      </c>
      <c r="B5667" s="20" t="str">
        <f>HYPERLINK("https://twitter.com/AmolTikam","@AmolTikam")</f>
        <v>@AmolTikam</v>
      </c>
      <c r="C5667" s="21" t="s">
        <v>7369</v>
      </c>
      <c r="D5667" s="21" t="s">
        <v>42</v>
      </c>
      <c r="E5667" s="22" t="str">
        <f>HYPERLINK("https://twitter.com/AmolTikam/status/922489072156778496","922489072156778496")</f>
        <v>922489072156778496</v>
      </c>
      <c r="F5667" s="23" t="s">
        <v>33</v>
      </c>
      <c r="G5667" s="24">
        <v>1464.0</v>
      </c>
      <c r="H5667" s="24">
        <v>2166.0</v>
      </c>
      <c r="I5667" s="24">
        <v>8501.0</v>
      </c>
      <c r="J5667" s="24">
        <v>0.0</v>
      </c>
      <c r="K5667" s="23" t="s">
        <v>34</v>
      </c>
      <c r="L5667" s="25">
        <v>40054.29721064815</v>
      </c>
      <c r="M5667" s="28"/>
      <c r="N5667" s="28"/>
      <c r="O5667" s="22" t="str">
        <f>HYPERLINK("https://pbs.twimg.com/profile_images/686524658582032385/VXtfVs-f_normal.jpg","View")</f>
        <v>View</v>
      </c>
      <c r="P5667" s="27"/>
    </row>
    <row r="5668">
      <c r="A5668" s="14">
        <v>43031.36482638889</v>
      </c>
      <c r="B5668" s="20" t="str">
        <f>HYPERLINK("https://twitter.com/LMbabak","@LMbabak")</f>
        <v>@LMbabak</v>
      </c>
      <c r="C5668" s="21" t="s">
        <v>12881</v>
      </c>
      <c r="D5668" s="21" t="s">
        <v>3748</v>
      </c>
      <c r="E5668" s="22" t="str">
        <f>HYPERLINK("https://twitter.com/LMbabak/status/922489127479709697","922489127479709697")</f>
        <v>922489127479709697</v>
      </c>
      <c r="F5668" s="23" t="s">
        <v>39</v>
      </c>
      <c r="G5668" s="24">
        <v>16466.0</v>
      </c>
      <c r="H5668" s="24">
        <v>14424.0</v>
      </c>
      <c r="I5668" s="24">
        <v>10.0</v>
      </c>
      <c r="J5668" s="24">
        <v>0.0</v>
      </c>
      <c r="K5668" s="23" t="s">
        <v>34</v>
      </c>
      <c r="L5668" s="25">
        <v>40662.568819444445</v>
      </c>
      <c r="M5668" s="26" t="s">
        <v>12882</v>
      </c>
      <c r="N5668" s="26" t="s">
        <v>12883</v>
      </c>
      <c r="O5668" s="22" t="str">
        <f>HYPERLINK("https://pbs.twimg.com/profile_images/480780078196867072/yRD-k5Ju_normal.jpeg","View")</f>
        <v>View</v>
      </c>
      <c r="P5668" s="27"/>
    </row>
    <row r="5669">
      <c r="A5669" s="14">
        <v>43031.36493055556</v>
      </c>
      <c r="B5669" s="20" t="str">
        <f>HYPERLINK("https://twitter.com/gvnair91","@gvnair91")</f>
        <v>@gvnair91</v>
      </c>
      <c r="C5669" s="21" t="s">
        <v>12884</v>
      </c>
      <c r="D5669" s="21" t="s">
        <v>163</v>
      </c>
      <c r="E5669" s="22" t="str">
        <f>HYPERLINK("https://twitter.com/gvnair91/status/922489162510475264","922489162510475264")</f>
        <v>922489162510475264</v>
      </c>
      <c r="F5669" s="23" t="s">
        <v>33</v>
      </c>
      <c r="G5669" s="24">
        <v>394.0</v>
      </c>
      <c r="H5669" s="24">
        <v>534.0</v>
      </c>
      <c r="I5669" s="24">
        <v>1005.0</v>
      </c>
      <c r="J5669" s="24">
        <v>0.0</v>
      </c>
      <c r="K5669" s="23" t="s">
        <v>34</v>
      </c>
      <c r="L5669" s="25">
        <v>41527.387407407405</v>
      </c>
      <c r="M5669" s="26" t="s">
        <v>12885</v>
      </c>
      <c r="N5669" s="26" t="s">
        <v>12886</v>
      </c>
      <c r="O5669" s="22" t="str">
        <f>HYPERLINK("https://pbs.twimg.com/profile_images/571337680002240512/RApXYlga_normal.jpeg","View")</f>
        <v>View</v>
      </c>
      <c r="P5669" s="27"/>
    </row>
    <row r="5670">
      <c r="A5670" s="14">
        <v>43031.36498842592</v>
      </c>
      <c r="B5670" s="20" t="str">
        <f>HYPERLINK("https://twitter.com/MDPsoru","@MDPsoru")</f>
        <v>@MDPsoru</v>
      </c>
      <c r="C5670" s="21" t="s">
        <v>12887</v>
      </c>
      <c r="D5670" s="21" t="s">
        <v>12888</v>
      </c>
      <c r="E5670" s="22" t="str">
        <f>HYPERLINK("https://twitter.com/MDPsoru/status/922489185453461504","922489185453461504")</f>
        <v>922489185453461504</v>
      </c>
      <c r="F5670" s="23" t="s">
        <v>187</v>
      </c>
      <c r="G5670" s="24">
        <v>50335.0</v>
      </c>
      <c r="H5670" s="24">
        <v>1783.0</v>
      </c>
      <c r="I5670" s="24">
        <v>0.0</v>
      </c>
      <c r="J5670" s="24">
        <v>0.0</v>
      </c>
      <c r="K5670" s="23" t="s">
        <v>34</v>
      </c>
      <c r="L5670" s="25">
        <v>40448.322175925925</v>
      </c>
      <c r="M5670" s="26" t="s">
        <v>12889</v>
      </c>
      <c r="N5670" s="26" t="s">
        <v>12890</v>
      </c>
      <c r="O5670" s="22" t="str">
        <f>HYPERLINK("https://pbs.twimg.com/profile_images/856047993006444544/1OiIY5r9_normal.jpg","View")</f>
        <v>View</v>
      </c>
      <c r="P5670" s="27"/>
    </row>
    <row r="5671">
      <c r="A5671" s="14">
        <v>43031.36519675926</v>
      </c>
      <c r="B5671" s="20" t="str">
        <f>HYPERLINK("https://twitter.com/C0d3rr0r","@C0d3rr0r")</f>
        <v>@C0d3rr0r</v>
      </c>
      <c r="C5671" s="21" t="s">
        <v>12891</v>
      </c>
      <c r="D5671" s="21" t="s">
        <v>42</v>
      </c>
      <c r="E5671" s="22" t="str">
        <f>HYPERLINK("https://twitter.com/C0d3rr0r/status/922489260954984448","922489260954984448")</f>
        <v>922489260954984448</v>
      </c>
      <c r="F5671" s="23" t="s">
        <v>55</v>
      </c>
      <c r="G5671" s="24">
        <v>296.0</v>
      </c>
      <c r="H5671" s="24">
        <v>350.0</v>
      </c>
      <c r="I5671" s="24">
        <v>8501.0</v>
      </c>
      <c r="J5671" s="24">
        <v>0.0</v>
      </c>
      <c r="K5671" s="23" t="s">
        <v>34</v>
      </c>
      <c r="L5671" s="25">
        <v>42065.99730324074</v>
      </c>
      <c r="M5671" s="26" t="s">
        <v>12892</v>
      </c>
      <c r="N5671" s="26" t="s">
        <v>12893</v>
      </c>
      <c r="O5671" s="22" t="str">
        <f>HYPERLINK("https://pbs.twimg.com/profile_images/800726114691780608/2QXqGBHX_normal.jpg","View")</f>
        <v>View</v>
      </c>
      <c r="P5671" s="27"/>
    </row>
    <row r="5672">
      <c r="A5672" s="14">
        <v>43031.36524305555</v>
      </c>
      <c r="B5672" s="20" t="str">
        <f>HYPERLINK("https://twitter.com/southeastasia4u","@southeastasia4u")</f>
        <v>@southeastasia4u</v>
      </c>
      <c r="C5672" s="21" t="s">
        <v>12291</v>
      </c>
      <c r="D5672" s="21" t="s">
        <v>12894</v>
      </c>
      <c r="E5672" s="22" t="str">
        <f>HYPERLINK("https://twitter.com/southeastasia4u/status/922489277250002944","922489277250002944")</f>
        <v>922489277250002944</v>
      </c>
      <c r="F5672" s="23" t="s">
        <v>427</v>
      </c>
      <c r="G5672" s="24">
        <v>10287.0</v>
      </c>
      <c r="H5672" s="24">
        <v>261.0</v>
      </c>
      <c r="I5672" s="24">
        <v>0.0</v>
      </c>
      <c r="J5672" s="24">
        <v>0.0</v>
      </c>
      <c r="K5672" s="23" t="s">
        <v>34</v>
      </c>
      <c r="L5672" s="25">
        <v>40501.255844907406</v>
      </c>
      <c r="M5672" s="28"/>
      <c r="N5672" s="26" t="s">
        <v>12293</v>
      </c>
      <c r="O5672" s="22" t="str">
        <f>HYPERLINK("https://pbs.twimg.com/profile_images/731982571609935872/8_XxaGHF_normal.jpg","View")</f>
        <v>View</v>
      </c>
      <c r="P5672" s="27"/>
    </row>
    <row r="5673">
      <c r="A5673" s="14">
        <v>43031.36550925926</v>
      </c>
      <c r="B5673" s="20" t="str">
        <f>HYPERLINK("https://twitter.com/Piyushs7","@Piyushs7")</f>
        <v>@Piyushs7</v>
      </c>
      <c r="C5673" s="21" t="s">
        <v>12895</v>
      </c>
      <c r="D5673" s="21" t="s">
        <v>7370</v>
      </c>
      <c r="E5673" s="22" t="str">
        <f>HYPERLINK("https://twitter.com/Piyushs7/status/922489373777526785","922489373777526785")</f>
        <v>922489373777526785</v>
      </c>
      <c r="F5673" s="23" t="s">
        <v>39</v>
      </c>
      <c r="G5673" s="24">
        <v>221.0</v>
      </c>
      <c r="H5673" s="24">
        <v>1013.0</v>
      </c>
      <c r="I5673" s="24">
        <v>4.0</v>
      </c>
      <c r="J5673" s="24">
        <v>0.0</v>
      </c>
      <c r="K5673" s="23" t="s">
        <v>34</v>
      </c>
      <c r="L5673" s="25">
        <v>41184.75209490741</v>
      </c>
      <c r="M5673" s="26" t="s">
        <v>204</v>
      </c>
      <c r="N5673" s="26" t="s">
        <v>12896</v>
      </c>
      <c r="O5673" s="22" t="str">
        <f>HYPERLINK("https://pbs.twimg.com/profile_images/613449310479319040/ut0_d8lj_normal.jpg","View")</f>
        <v>View</v>
      </c>
      <c r="P5673" s="27"/>
    </row>
    <row r="5674">
      <c r="A5674" s="14">
        <v>43031.36592592593</v>
      </c>
      <c r="B5674" s="20" t="str">
        <f>HYPERLINK("https://twitter.com/eshaprasanna","@eshaprasanna")</f>
        <v>@eshaprasanna</v>
      </c>
      <c r="C5674" s="21" t="s">
        <v>12897</v>
      </c>
      <c r="D5674" s="21" t="s">
        <v>42</v>
      </c>
      <c r="E5674" s="22" t="str">
        <f>HYPERLINK("https://twitter.com/eshaprasanna/status/922489527284854785","922489527284854785")</f>
        <v>922489527284854785</v>
      </c>
      <c r="F5674" s="23" t="s">
        <v>33</v>
      </c>
      <c r="G5674" s="24">
        <v>19.0</v>
      </c>
      <c r="H5674" s="24">
        <v>128.0</v>
      </c>
      <c r="I5674" s="24">
        <v>8501.0</v>
      </c>
      <c r="J5674" s="24">
        <v>0.0</v>
      </c>
      <c r="K5674" s="23" t="s">
        <v>34</v>
      </c>
      <c r="L5674" s="25">
        <v>42095.22724537037</v>
      </c>
      <c r="M5674" s="26" t="s">
        <v>603</v>
      </c>
      <c r="N5674" s="26" t="s">
        <v>12898</v>
      </c>
      <c r="O5674" s="22" t="str">
        <f>HYPERLINK("https://pbs.twimg.com/profile_images/583246333055619072/HpRGIDev_normal.jpg","View")</f>
        <v>View</v>
      </c>
      <c r="P5674" s="27"/>
    </row>
    <row r="5675">
      <c r="A5675" s="14">
        <v>43031.36615740741</v>
      </c>
      <c r="B5675" s="20" t="str">
        <f>HYPERLINK("https://twitter.com/ajayydv11","@ajayydv11")</f>
        <v>@ajayydv11</v>
      </c>
      <c r="C5675" s="21" t="s">
        <v>12899</v>
      </c>
      <c r="D5675" s="21" t="s">
        <v>42</v>
      </c>
      <c r="E5675" s="22" t="str">
        <f>HYPERLINK("https://twitter.com/ajayydv11/status/922489610852110336","922489610852110336")</f>
        <v>922489610852110336</v>
      </c>
      <c r="F5675" s="23" t="s">
        <v>55</v>
      </c>
      <c r="G5675" s="24">
        <v>209.0</v>
      </c>
      <c r="H5675" s="24">
        <v>201.0</v>
      </c>
      <c r="I5675" s="24">
        <v>8501.0</v>
      </c>
      <c r="J5675" s="24">
        <v>0.0</v>
      </c>
      <c r="K5675" s="23" t="s">
        <v>34</v>
      </c>
      <c r="L5675" s="25">
        <v>40830.115694444445</v>
      </c>
      <c r="M5675" s="28"/>
      <c r="N5675" s="26" t="s">
        <v>12900</v>
      </c>
      <c r="O5675" s="22" t="str">
        <f>HYPERLINK("https://pbs.twimg.com/profile_images/680633412021952514/JHh3Ta-F_normal.png","View")</f>
        <v>View</v>
      </c>
      <c r="P5675" s="27"/>
    </row>
    <row r="5676">
      <c r="A5676" s="14">
        <v>43031.3662962963</v>
      </c>
      <c r="B5676" s="20" t="str">
        <f>HYPERLINK("https://twitter.com/PhamNguyenly","@PhamNguyenly")</f>
        <v>@PhamNguyenly</v>
      </c>
      <c r="C5676" s="21" t="s">
        <v>4748</v>
      </c>
      <c r="D5676" s="21" t="s">
        <v>12901</v>
      </c>
      <c r="E5676" s="22" t="str">
        <f>HYPERLINK("https://twitter.com/PhamNguyenly/status/922489659640467456","922489659640467456")</f>
        <v>922489659640467456</v>
      </c>
      <c r="F5676" s="23" t="s">
        <v>91</v>
      </c>
      <c r="G5676" s="24">
        <v>171.0</v>
      </c>
      <c r="H5676" s="24">
        <v>48.0</v>
      </c>
      <c r="I5676" s="24">
        <v>0.0</v>
      </c>
      <c r="J5676" s="24">
        <v>0.0</v>
      </c>
      <c r="K5676" s="23" t="s">
        <v>34</v>
      </c>
      <c r="L5676" s="25">
        <v>42379.075162037036</v>
      </c>
      <c r="M5676" s="28"/>
      <c r="N5676" s="28"/>
      <c r="O5676" s="22" t="str">
        <f>HYPERLINK("https://pbs.twimg.com/profile_images/686123123029053440/tlIsdN69_normal.jpg","View")</f>
        <v>View</v>
      </c>
      <c r="P5676" s="27"/>
    </row>
    <row r="5677">
      <c r="A5677" s="14">
        <v>43031.3662962963</v>
      </c>
      <c r="B5677" s="20" t="str">
        <f>HYPERLINK("https://twitter.com/AlokmohantyBJP","@AlokmohantyBJP")</f>
        <v>@AlokmohantyBJP</v>
      </c>
      <c r="C5677" s="21" t="s">
        <v>12902</v>
      </c>
      <c r="D5677" s="21" t="s">
        <v>42</v>
      </c>
      <c r="E5677" s="22" t="str">
        <f>HYPERLINK("https://twitter.com/AlokmohantyBJP/status/922489660609257472","922489660609257472")</f>
        <v>922489660609257472</v>
      </c>
      <c r="F5677" s="23" t="s">
        <v>33</v>
      </c>
      <c r="G5677" s="24">
        <v>524.0</v>
      </c>
      <c r="H5677" s="24">
        <v>1166.0</v>
      </c>
      <c r="I5677" s="24">
        <v>8501.0</v>
      </c>
      <c r="J5677" s="24">
        <v>0.0</v>
      </c>
      <c r="K5677" s="23" t="s">
        <v>34</v>
      </c>
      <c r="L5677" s="25">
        <v>42079.942141203705</v>
      </c>
      <c r="M5677" s="26" t="s">
        <v>12903</v>
      </c>
      <c r="N5677" s="26" t="s">
        <v>12904</v>
      </c>
      <c r="O5677" s="22" t="str">
        <f>HYPERLINK("https://pbs.twimg.com/profile_images/916268881676615680/MRtaRrNm_normal.jpg","View")</f>
        <v>View</v>
      </c>
      <c r="P5677" s="27"/>
    </row>
    <row r="5678">
      <c r="A5678" s="14">
        <v>43031.366435185184</v>
      </c>
      <c r="B5678" s="20" t="str">
        <f>HYPERLINK("https://twitter.com/atlantesindia","@atlantesindia")</f>
        <v>@atlantesindia</v>
      </c>
      <c r="C5678" s="21" t="s">
        <v>12905</v>
      </c>
      <c r="D5678" s="21" t="s">
        <v>42</v>
      </c>
      <c r="E5678" s="22" t="str">
        <f>HYPERLINK("https://twitter.com/atlantesindia/status/922489708365602817","922489708365602817")</f>
        <v>922489708365602817</v>
      </c>
      <c r="F5678" s="23" t="s">
        <v>33</v>
      </c>
      <c r="G5678" s="24">
        <v>2640.0</v>
      </c>
      <c r="H5678" s="24">
        <v>3107.0</v>
      </c>
      <c r="I5678" s="24">
        <v>8501.0</v>
      </c>
      <c r="J5678" s="24">
        <v>0.0</v>
      </c>
      <c r="K5678" s="23" t="s">
        <v>34</v>
      </c>
      <c r="L5678" s="25">
        <v>42390.06854166667</v>
      </c>
      <c r="M5678" s="26" t="s">
        <v>3955</v>
      </c>
      <c r="N5678" s="26" t="s">
        <v>12906</v>
      </c>
      <c r="O5678" s="22" t="str">
        <f>HYPERLINK("https://abs.twimg.com/sticky/default_profile_images/default_profile_normal.png","View")</f>
        <v>View</v>
      </c>
      <c r="P5678" s="27"/>
    </row>
    <row r="5679">
      <c r="A5679" s="14">
        <v>43031.366631944446</v>
      </c>
      <c r="B5679" s="20" t="str">
        <f>HYPERLINK("https://twitter.com/anna_annie12","@anna_annie12")</f>
        <v>@anna_annie12</v>
      </c>
      <c r="C5679" s="21" t="s">
        <v>12907</v>
      </c>
      <c r="D5679" s="21" t="s">
        <v>10614</v>
      </c>
      <c r="E5679" s="22" t="str">
        <f>HYPERLINK("https://twitter.com/anna_annie12/status/922489782319636489","922489782319636489")</f>
        <v>922489782319636489</v>
      </c>
      <c r="F5679" s="23" t="s">
        <v>39</v>
      </c>
      <c r="G5679" s="24">
        <v>2286.0</v>
      </c>
      <c r="H5679" s="24">
        <v>1245.0</v>
      </c>
      <c r="I5679" s="24">
        <v>159.0</v>
      </c>
      <c r="J5679" s="24">
        <v>0.0</v>
      </c>
      <c r="K5679" s="23" t="s">
        <v>34</v>
      </c>
      <c r="L5679" s="25">
        <v>39939.27049768518</v>
      </c>
      <c r="M5679" s="26" t="s">
        <v>12908</v>
      </c>
      <c r="N5679" s="26" t="s">
        <v>12909</v>
      </c>
      <c r="O5679" s="22" t="str">
        <f>HYPERLINK("https://pbs.twimg.com/profile_images/799309615376846848/Bd5rG6YV_normal.jpg","View")</f>
        <v>View</v>
      </c>
      <c r="P5679" s="27"/>
    </row>
    <row r="5680">
      <c r="A5680" s="14">
        <v>43031.366689814815</v>
      </c>
      <c r="B5680" s="20" t="str">
        <f>HYPERLINK("https://twitter.com/BaBaKiGuFaa","@BaBaKiGuFaa")</f>
        <v>@BaBaKiGuFaa</v>
      </c>
      <c r="C5680" s="21" t="s">
        <v>12910</v>
      </c>
      <c r="D5680" s="21" t="s">
        <v>42</v>
      </c>
      <c r="E5680" s="22" t="str">
        <f>HYPERLINK("https://twitter.com/BaBaKiGuFaa/status/922489802095808512","922489802095808512")</f>
        <v>922489802095808512</v>
      </c>
      <c r="F5680" s="23" t="s">
        <v>33</v>
      </c>
      <c r="G5680" s="24">
        <v>457.0</v>
      </c>
      <c r="H5680" s="24">
        <v>1525.0</v>
      </c>
      <c r="I5680" s="24">
        <v>8501.0</v>
      </c>
      <c r="J5680" s="24">
        <v>0.0</v>
      </c>
      <c r="K5680" s="23" t="s">
        <v>34</v>
      </c>
      <c r="L5680" s="25">
        <v>39873.2234837963</v>
      </c>
      <c r="M5680" s="26" t="s">
        <v>12911</v>
      </c>
      <c r="N5680" s="26" t="s">
        <v>12912</v>
      </c>
      <c r="O5680" s="22" t="str">
        <f>HYPERLINK("https://pbs.twimg.com/profile_images/87543076/P1010651_normal.JPG","View")</f>
        <v>View</v>
      </c>
      <c r="P5680" s="27"/>
    </row>
    <row r="5681">
      <c r="A5681" s="14">
        <v>43031.36670138889</v>
      </c>
      <c r="B5681" s="20" t="str">
        <f>HYPERLINK("https://twitter.com/TheOneDhawan","@TheOneDhawan")</f>
        <v>@TheOneDhawan</v>
      </c>
      <c r="C5681" s="21" t="s">
        <v>12913</v>
      </c>
      <c r="D5681" s="21" t="s">
        <v>42</v>
      </c>
      <c r="E5681" s="22" t="str">
        <f>HYPERLINK("https://twitter.com/TheOneDhawan/status/922489806612963329","922489806612963329")</f>
        <v>922489806612963329</v>
      </c>
      <c r="F5681" s="23" t="s">
        <v>33</v>
      </c>
      <c r="G5681" s="24">
        <v>10099.0</v>
      </c>
      <c r="H5681" s="24">
        <v>1584.0</v>
      </c>
      <c r="I5681" s="24">
        <v>8501.0</v>
      </c>
      <c r="J5681" s="24">
        <v>0.0</v>
      </c>
      <c r="K5681" s="23" t="s">
        <v>34</v>
      </c>
      <c r="L5681" s="25">
        <v>40188.79890046296</v>
      </c>
      <c r="M5681" s="26" t="s">
        <v>575</v>
      </c>
      <c r="N5681" s="26" t="s">
        <v>12914</v>
      </c>
      <c r="O5681" s="22" t="str">
        <f>HYPERLINK("https://pbs.twimg.com/profile_images/915961820963147778/21Naz4Z0_normal.jpg","View")</f>
        <v>View</v>
      </c>
      <c r="P5681" s="27"/>
    </row>
    <row r="5682">
      <c r="A5682" s="14">
        <v>43031.36679398148</v>
      </c>
      <c r="B5682" s="20" t="str">
        <f>HYPERLINK("https://twitter.com/BloombergTV","@BloombergTV")</f>
        <v>@BloombergTV</v>
      </c>
      <c r="C5682" s="21" t="s">
        <v>1723</v>
      </c>
      <c r="D5682" s="21" t="s">
        <v>4244</v>
      </c>
      <c r="E5682" s="22" t="str">
        <f>HYPERLINK("https://twitter.com/BloombergTV/status/922489839185997824","922489839185997824")</f>
        <v>922489839185997824</v>
      </c>
      <c r="F5682" s="23" t="s">
        <v>1103</v>
      </c>
      <c r="G5682" s="24">
        <v>452742.0</v>
      </c>
      <c r="H5682" s="24">
        <v>458.0</v>
      </c>
      <c r="I5682" s="24">
        <v>2.0</v>
      </c>
      <c r="J5682" s="24">
        <v>2.0</v>
      </c>
      <c r="K5682" s="23" t="s">
        <v>34</v>
      </c>
      <c r="L5682" s="25">
        <v>39927.48997685185</v>
      </c>
      <c r="M5682" s="26" t="s">
        <v>389</v>
      </c>
      <c r="N5682" s="26" t="s">
        <v>1725</v>
      </c>
      <c r="O5682" s="22" t="str">
        <f>HYPERLINK("https://pbs.twimg.com/profile_images/714801760632770560/7My2hMBt_normal.jpg","View")</f>
        <v>View</v>
      </c>
      <c r="P5682" s="27"/>
    </row>
    <row r="5683">
      <c r="A5683" s="14">
        <v>43031.367106481484</v>
      </c>
      <c r="B5683" s="20" t="str">
        <f>HYPERLINK("https://twitter.com/kaushal_msa","@kaushal_msa")</f>
        <v>@kaushal_msa</v>
      </c>
      <c r="C5683" s="21" t="s">
        <v>12915</v>
      </c>
      <c r="D5683" s="21" t="s">
        <v>42</v>
      </c>
      <c r="E5683" s="22" t="str">
        <f>HYPERLINK("https://twitter.com/kaushal_msa/status/922489951064694784","922489951064694784")</f>
        <v>922489951064694784</v>
      </c>
      <c r="F5683" s="23" t="s">
        <v>33</v>
      </c>
      <c r="G5683" s="24">
        <v>23.0</v>
      </c>
      <c r="H5683" s="24">
        <v>257.0</v>
      </c>
      <c r="I5683" s="24">
        <v>8501.0</v>
      </c>
      <c r="J5683" s="24">
        <v>0.0</v>
      </c>
      <c r="K5683" s="23" t="s">
        <v>34</v>
      </c>
      <c r="L5683" s="25">
        <v>42805.966631944444</v>
      </c>
      <c r="M5683" s="26" t="s">
        <v>127</v>
      </c>
      <c r="N5683" s="26" t="s">
        <v>12916</v>
      </c>
      <c r="O5683" s="22" t="str">
        <f>HYPERLINK("https://pbs.twimg.com/profile_images/899931560761106432/WbHh_1YS_normal.jpg","View")</f>
        <v>View</v>
      </c>
      <c r="P5683" s="27"/>
    </row>
    <row r="5684">
      <c r="A5684" s="14">
        <v>43031.367118055554</v>
      </c>
      <c r="B5684" s="20" t="str">
        <f>HYPERLINK("https://twitter.com/EricRokke214","@EricRokke214")</f>
        <v>@EricRokke214</v>
      </c>
      <c r="C5684" s="21" t="s">
        <v>12917</v>
      </c>
      <c r="D5684" s="21" t="s">
        <v>10904</v>
      </c>
      <c r="E5684" s="22" t="str">
        <f>HYPERLINK("https://twitter.com/EricRokke214/status/922489957716918272","922489957716918272")</f>
        <v>922489957716918272</v>
      </c>
      <c r="F5684" s="23" t="s">
        <v>39</v>
      </c>
      <c r="G5684" s="24">
        <v>395.0</v>
      </c>
      <c r="H5684" s="24">
        <v>538.0</v>
      </c>
      <c r="I5684" s="24">
        <v>35.0</v>
      </c>
      <c r="J5684" s="24">
        <v>0.0</v>
      </c>
      <c r="K5684" s="23" t="s">
        <v>34</v>
      </c>
      <c r="L5684" s="25">
        <v>41712.79207175926</v>
      </c>
      <c r="M5684" s="26" t="s">
        <v>12918</v>
      </c>
      <c r="N5684" s="26" t="s">
        <v>12919</v>
      </c>
      <c r="O5684" s="22" t="str">
        <f>HYPERLINK("https://pbs.twimg.com/profile_images/761216792970743808/N5ysU77A_normal.jpg","View")</f>
        <v>View</v>
      </c>
      <c r="P5684" s="27"/>
    </row>
    <row r="5685">
      <c r="A5685" s="14">
        <v>43031.36714120371</v>
      </c>
      <c r="B5685" s="20" t="str">
        <f>HYPERLINK("https://twitter.com/Claudia_L13","@Claudia_L13")</f>
        <v>@Claudia_L13</v>
      </c>
      <c r="C5685" s="21" t="s">
        <v>12920</v>
      </c>
      <c r="D5685" s="21" t="s">
        <v>9393</v>
      </c>
      <c r="E5685" s="22" t="str">
        <f>HYPERLINK("https://twitter.com/Claudia_L13/status/922489964994146304","922489964994146304")</f>
        <v>922489964994146304</v>
      </c>
      <c r="F5685" s="23" t="s">
        <v>39</v>
      </c>
      <c r="G5685" s="24">
        <v>28.0</v>
      </c>
      <c r="H5685" s="24">
        <v>210.0</v>
      </c>
      <c r="I5685" s="24">
        <v>2.0</v>
      </c>
      <c r="J5685" s="24">
        <v>0.0</v>
      </c>
      <c r="K5685" s="23" t="s">
        <v>34</v>
      </c>
      <c r="L5685" s="25">
        <v>41651.479849537034</v>
      </c>
      <c r="M5685" s="28"/>
      <c r="N5685" s="28"/>
      <c r="O5685" s="22" t="str">
        <f>HYPERLINK("https://pbs.twimg.com/profile_images/460328080364826625/hUKvd3Bt_normal.jpeg","View")</f>
        <v>View</v>
      </c>
      <c r="P5685" s="27"/>
    </row>
    <row r="5686">
      <c r="A5686" s="14">
        <v>43031.36715277778</v>
      </c>
      <c r="B5686" s="20" t="str">
        <f>HYPERLINK("https://twitter.com/Visshwas25","@Visshwas25")</f>
        <v>@Visshwas25</v>
      </c>
      <c r="C5686" s="21" t="s">
        <v>12921</v>
      </c>
      <c r="D5686" s="21" t="s">
        <v>42</v>
      </c>
      <c r="E5686" s="22" t="str">
        <f>HYPERLINK("https://twitter.com/Visshwas25/status/922489971344150528","922489971344150528")</f>
        <v>922489971344150528</v>
      </c>
      <c r="F5686" s="23" t="s">
        <v>230</v>
      </c>
      <c r="G5686" s="24">
        <v>130.0</v>
      </c>
      <c r="H5686" s="24">
        <v>488.0</v>
      </c>
      <c r="I5686" s="24">
        <v>8501.0</v>
      </c>
      <c r="J5686" s="24">
        <v>0.0</v>
      </c>
      <c r="K5686" s="23" t="s">
        <v>34</v>
      </c>
      <c r="L5686" s="25">
        <v>40904.365266203706</v>
      </c>
      <c r="M5686" s="26" t="s">
        <v>1991</v>
      </c>
      <c r="N5686" s="28"/>
      <c r="O5686" s="22" t="str">
        <f>HYPERLINK("https://pbs.twimg.com/profile_images/344513261565283906/448d7b0180a646596a5bb88903662e46_normal.jpeg","View")</f>
        <v>View</v>
      </c>
      <c r="P5686" s="27"/>
    </row>
    <row r="5687">
      <c r="A5687" s="14">
        <v>43031.36733796296</v>
      </c>
      <c r="B5687" s="20" t="str">
        <f>HYPERLINK("https://twitter.com/GaneshRamakris2","@GaneshRamakris2")</f>
        <v>@GaneshRamakris2</v>
      </c>
      <c r="C5687" s="21" t="s">
        <v>12922</v>
      </c>
      <c r="D5687" s="21" t="s">
        <v>42</v>
      </c>
      <c r="E5687" s="22" t="str">
        <f>HYPERLINK("https://twitter.com/GaneshRamakris2/status/922490035072634881","922490035072634881")</f>
        <v>922490035072634881</v>
      </c>
      <c r="F5687" s="23" t="s">
        <v>39</v>
      </c>
      <c r="G5687" s="24">
        <v>228.0</v>
      </c>
      <c r="H5687" s="24">
        <v>466.0</v>
      </c>
      <c r="I5687" s="24">
        <v>8501.0</v>
      </c>
      <c r="J5687" s="24">
        <v>0.0</v>
      </c>
      <c r="K5687" s="23" t="s">
        <v>34</v>
      </c>
      <c r="L5687" s="25">
        <v>41347.33027777778</v>
      </c>
      <c r="M5687" s="28"/>
      <c r="N5687" s="28"/>
      <c r="O5687" s="22" t="str">
        <f>HYPERLINK("https://pbs.twimg.com/profile_images/776975526632099840/rhdi5y-K_normal.jpg","View")</f>
        <v>View</v>
      </c>
      <c r="P5687" s="27"/>
    </row>
    <row r="5688">
      <c r="A5688" s="14">
        <v>43031.36739583334</v>
      </c>
      <c r="B5688" s="20" t="str">
        <f>HYPERLINK("https://twitter.com/ItsPrettyDee","@ItsPrettyDee")</f>
        <v>@ItsPrettyDee</v>
      </c>
      <c r="C5688" s="21" t="s">
        <v>12923</v>
      </c>
      <c r="D5688" s="21" t="s">
        <v>2595</v>
      </c>
      <c r="E5688" s="22" t="str">
        <f>HYPERLINK("https://twitter.com/ItsPrettyDee/status/922490058967416832","922490058967416832")</f>
        <v>922490058967416832</v>
      </c>
      <c r="F5688" s="23" t="s">
        <v>39</v>
      </c>
      <c r="G5688" s="24">
        <v>158.0</v>
      </c>
      <c r="H5688" s="24">
        <v>80.0</v>
      </c>
      <c r="I5688" s="24">
        <v>170.0</v>
      </c>
      <c r="J5688" s="24">
        <v>0.0</v>
      </c>
      <c r="K5688" s="23" t="s">
        <v>34</v>
      </c>
      <c r="L5688" s="25">
        <v>41331.89697916667</v>
      </c>
      <c r="M5688" s="28"/>
      <c r="N5688" s="26" t="s">
        <v>12924</v>
      </c>
      <c r="O5688" s="22" t="str">
        <f>HYPERLINK("https://pbs.twimg.com/profile_images/523959548840005632/vH_spvRz_normal.jpeg","View")</f>
        <v>View</v>
      </c>
      <c r="P5688" s="27"/>
    </row>
    <row r="5689">
      <c r="A5689" s="14">
        <v>43031.36760416666</v>
      </c>
      <c r="B5689" s="20" t="str">
        <f>HYPERLINK("https://twitter.com/Thamaraisk5","@Thamaraisk5")</f>
        <v>@Thamaraisk5</v>
      </c>
      <c r="C5689" s="21" t="s">
        <v>12925</v>
      </c>
      <c r="D5689" s="21" t="s">
        <v>42</v>
      </c>
      <c r="E5689" s="22" t="str">
        <f>HYPERLINK("https://twitter.com/Thamaraisk5/status/922490131885391872","922490131885391872")</f>
        <v>922490131885391872</v>
      </c>
      <c r="F5689" s="23" t="s">
        <v>33</v>
      </c>
      <c r="G5689" s="24">
        <v>43.0</v>
      </c>
      <c r="H5689" s="24">
        <v>95.0</v>
      </c>
      <c r="I5689" s="24">
        <v>8501.0</v>
      </c>
      <c r="J5689" s="24">
        <v>0.0</v>
      </c>
      <c r="K5689" s="23" t="s">
        <v>34</v>
      </c>
      <c r="L5689" s="25">
        <v>42847.007986111115</v>
      </c>
      <c r="M5689" s="26" t="s">
        <v>4620</v>
      </c>
      <c r="N5689" s="28"/>
      <c r="O5689" s="22" t="str">
        <f>HYPERLINK("https://pbs.twimg.com/profile_images/864325589557063680/1ePD5B0k_normal.jpg","View")</f>
        <v>View</v>
      </c>
      <c r="P5689" s="27"/>
    </row>
    <row r="5690">
      <c r="A5690" s="14">
        <v>43031.367743055554</v>
      </c>
      <c r="B5690" s="20" t="str">
        <f>HYPERLINK("https://twitter.com/LIKIGT","@LIKIGT")</f>
        <v>@LIKIGT</v>
      </c>
      <c r="C5690" s="21" t="s">
        <v>12926</v>
      </c>
      <c r="D5690" s="21" t="s">
        <v>32</v>
      </c>
      <c r="E5690" s="22" t="str">
        <f>HYPERLINK("https://twitter.com/LIKIGT/status/922490184381460480","922490184381460480")</f>
        <v>922490184381460480</v>
      </c>
      <c r="F5690" s="23" t="s">
        <v>33</v>
      </c>
      <c r="G5690" s="24">
        <v>89.0</v>
      </c>
      <c r="H5690" s="24">
        <v>47.0</v>
      </c>
      <c r="I5690" s="24">
        <v>471.0</v>
      </c>
      <c r="J5690" s="24">
        <v>0.0</v>
      </c>
      <c r="K5690" s="23" t="s">
        <v>34</v>
      </c>
      <c r="L5690" s="25">
        <v>41228.3419212963</v>
      </c>
      <c r="M5690" s="26" t="s">
        <v>12927</v>
      </c>
      <c r="N5690" s="26" t="s">
        <v>12928</v>
      </c>
      <c r="O5690" s="22" t="str">
        <f>HYPERLINK("https://pbs.twimg.com/profile_images/887680386112905216/4R-vDPXp_normal.jpg","View")</f>
        <v>View</v>
      </c>
      <c r="P5690" s="27"/>
    </row>
    <row r="5691">
      <c r="A5691" s="14">
        <v>43031.36775462963</v>
      </c>
      <c r="B5691" s="20" t="str">
        <f>HYPERLINK("https://twitter.com/bookworm474","@bookworm474")</f>
        <v>@bookworm474</v>
      </c>
      <c r="C5691" s="21" t="s">
        <v>12929</v>
      </c>
      <c r="D5691" s="21" t="s">
        <v>10614</v>
      </c>
      <c r="E5691" s="22" t="str">
        <f>HYPERLINK("https://twitter.com/bookworm474/status/922490187598397441","922490187598397441")</f>
        <v>922490187598397441</v>
      </c>
      <c r="F5691" s="23" t="s">
        <v>43</v>
      </c>
      <c r="G5691" s="24">
        <v>707.0</v>
      </c>
      <c r="H5691" s="24">
        <v>300.0</v>
      </c>
      <c r="I5691" s="24">
        <v>159.0</v>
      </c>
      <c r="J5691" s="24">
        <v>0.0</v>
      </c>
      <c r="K5691" s="23" t="s">
        <v>34</v>
      </c>
      <c r="L5691" s="25">
        <v>41608.91438657408</v>
      </c>
      <c r="M5691" s="26" t="s">
        <v>12930</v>
      </c>
      <c r="N5691" s="26" t="s">
        <v>12931</v>
      </c>
      <c r="O5691" s="22" t="str">
        <f>HYPERLINK("https://pbs.twimg.com/profile_images/497944626032934913/HTFHd3Rf_normal.jpeg","View")</f>
        <v>View</v>
      </c>
      <c r="P5691" s="27"/>
    </row>
    <row r="5692">
      <c r="A5692" s="14">
        <v>43031.36780092593</v>
      </c>
      <c r="B5692" s="20" t="str">
        <f>HYPERLINK("https://twitter.com/Mangalrathore8","@Mangalrathore8")</f>
        <v>@Mangalrathore8</v>
      </c>
      <c r="C5692" s="21" t="s">
        <v>12932</v>
      </c>
      <c r="D5692" s="21" t="s">
        <v>42</v>
      </c>
      <c r="E5692" s="22" t="str">
        <f>HYPERLINK("https://twitter.com/Mangalrathore8/status/922490204069363713","922490204069363713")</f>
        <v>922490204069363713</v>
      </c>
      <c r="F5692" s="23" t="s">
        <v>33</v>
      </c>
      <c r="G5692" s="24">
        <v>2.0</v>
      </c>
      <c r="H5692" s="24">
        <v>74.0</v>
      </c>
      <c r="I5692" s="24">
        <v>8501.0</v>
      </c>
      <c r="J5692" s="24">
        <v>0.0</v>
      </c>
      <c r="K5692" s="23" t="s">
        <v>34</v>
      </c>
      <c r="L5692" s="25">
        <v>42842.41665509259</v>
      </c>
      <c r="M5692" s="28"/>
      <c r="N5692" s="28"/>
      <c r="O5692" s="22" t="str">
        <f>HYPERLINK("https://abs.twimg.com/sticky/default_profile_images/default_profile_normal.png","View")</f>
        <v>View</v>
      </c>
      <c r="P5692" s="27"/>
    </row>
    <row r="5693">
      <c r="A5693" s="14">
        <v>43031.36787037037</v>
      </c>
      <c r="B5693" s="20" t="str">
        <f>HYPERLINK("https://twitter.com/shewalepatil","@shewalepatil")</f>
        <v>@shewalepatil</v>
      </c>
      <c r="C5693" s="21" t="s">
        <v>12933</v>
      </c>
      <c r="D5693" s="21" t="s">
        <v>42</v>
      </c>
      <c r="E5693" s="22" t="str">
        <f>HYPERLINK("https://twitter.com/shewalepatil/status/922490231827263488","922490231827263488")</f>
        <v>922490231827263488</v>
      </c>
      <c r="F5693" s="23" t="s">
        <v>39</v>
      </c>
      <c r="G5693" s="24">
        <v>39.0</v>
      </c>
      <c r="H5693" s="24">
        <v>104.0</v>
      </c>
      <c r="I5693" s="24">
        <v>8501.0</v>
      </c>
      <c r="J5693" s="24">
        <v>0.0</v>
      </c>
      <c r="K5693" s="23" t="s">
        <v>34</v>
      </c>
      <c r="L5693" s="25">
        <v>40225.37732638889</v>
      </c>
      <c r="M5693" s="26" t="s">
        <v>1162</v>
      </c>
      <c r="N5693" s="28"/>
      <c r="O5693" s="22" t="str">
        <f>HYPERLINK("https://pbs.twimg.com/profile_images/840521194046672897/WNSuew6s_normal.jpg","View")</f>
        <v>View</v>
      </c>
      <c r="P5693" s="27"/>
    </row>
    <row r="5694">
      <c r="A5694" s="14">
        <v>43031.36790509259</v>
      </c>
      <c r="B5694" s="20" t="str">
        <f>HYPERLINK("https://twitter.com/ankursaxena1590","@ankursaxena1590")</f>
        <v>@ankursaxena1590</v>
      </c>
      <c r="C5694" s="21" t="s">
        <v>12934</v>
      </c>
      <c r="D5694" s="21" t="s">
        <v>42</v>
      </c>
      <c r="E5694" s="22" t="str">
        <f>HYPERLINK("https://twitter.com/ankursaxena1590/status/922490241792884736","922490241792884736")</f>
        <v>922490241792884736</v>
      </c>
      <c r="F5694" s="23" t="s">
        <v>33</v>
      </c>
      <c r="G5694" s="24">
        <v>45.0</v>
      </c>
      <c r="H5694" s="24">
        <v>55.0</v>
      </c>
      <c r="I5694" s="24">
        <v>8501.0</v>
      </c>
      <c r="J5694" s="24">
        <v>0.0</v>
      </c>
      <c r="K5694" s="23" t="s">
        <v>34</v>
      </c>
      <c r="L5694" s="25">
        <v>42590.89429398148</v>
      </c>
      <c r="M5694" s="26" t="s">
        <v>575</v>
      </c>
      <c r="N5694" s="28"/>
      <c r="O5694" s="22" t="str">
        <f>HYPERLINK("https://pbs.twimg.com/profile_images/871320064712167424/T_i_BRrD_normal.jpg","View")</f>
        <v>View</v>
      </c>
      <c r="P5694" s="27"/>
    </row>
    <row r="5695">
      <c r="A5695" s="14">
        <v>43031.368125</v>
      </c>
      <c r="B5695" s="20" t="str">
        <f>HYPERLINK("https://twitter.com/ishashank9211","@ishashank9211")</f>
        <v>@ishashank9211</v>
      </c>
      <c r="C5695" s="21" t="s">
        <v>12935</v>
      </c>
      <c r="D5695" s="21" t="s">
        <v>42</v>
      </c>
      <c r="E5695" s="22" t="str">
        <f>HYPERLINK("https://twitter.com/ishashank9211/status/922490322201935872","922490322201935872")</f>
        <v>922490322201935872</v>
      </c>
      <c r="F5695" s="23" t="s">
        <v>33</v>
      </c>
      <c r="G5695" s="24">
        <v>1308.0</v>
      </c>
      <c r="H5695" s="24">
        <v>373.0</v>
      </c>
      <c r="I5695" s="24">
        <v>8501.0</v>
      </c>
      <c r="J5695" s="24">
        <v>0.0</v>
      </c>
      <c r="K5695" s="23" t="s">
        <v>34</v>
      </c>
      <c r="L5695" s="25">
        <v>42212.99790509259</v>
      </c>
      <c r="M5695" s="26" t="s">
        <v>204</v>
      </c>
      <c r="N5695" s="26" t="s">
        <v>12936</v>
      </c>
      <c r="O5695" s="22" t="str">
        <f>HYPERLINK("https://pbs.twimg.com/profile_images/921285477864415232/ffEzufeN_normal.jpg","View")</f>
        <v>View</v>
      </c>
      <c r="P5695" s="27"/>
    </row>
    <row r="5696">
      <c r="A5696" s="14">
        <v>43031.36818287037</v>
      </c>
      <c r="B5696" s="20" t="str">
        <f>HYPERLINK("https://twitter.com/SAURABH19572","@SAURABH19572")</f>
        <v>@SAURABH19572</v>
      </c>
      <c r="C5696" s="21" t="s">
        <v>12937</v>
      </c>
      <c r="D5696" s="21" t="s">
        <v>42</v>
      </c>
      <c r="E5696" s="22" t="str">
        <f>HYPERLINK("https://twitter.com/SAURABH19572/status/922490341466374144","922490341466374144")</f>
        <v>922490341466374144</v>
      </c>
      <c r="F5696" s="23" t="s">
        <v>43</v>
      </c>
      <c r="G5696" s="24">
        <v>53.0</v>
      </c>
      <c r="H5696" s="24">
        <v>67.0</v>
      </c>
      <c r="I5696" s="24">
        <v>8501.0</v>
      </c>
      <c r="J5696" s="24">
        <v>0.0</v>
      </c>
      <c r="K5696" s="23" t="s">
        <v>34</v>
      </c>
      <c r="L5696" s="25">
        <v>42464.906875</v>
      </c>
      <c r="M5696" s="26" t="s">
        <v>9924</v>
      </c>
      <c r="N5696" s="26" t="s">
        <v>12938</v>
      </c>
      <c r="O5696" s="22" t="str">
        <f>HYPERLINK("https://pbs.twimg.com/profile_images/799865662361325568/5f30HzDs_normal.jpg","View")</f>
        <v>View</v>
      </c>
      <c r="P5696" s="27"/>
    </row>
    <row r="5697">
      <c r="A5697" s="14">
        <v>43031.36819444444</v>
      </c>
      <c r="B5697" s="20" t="str">
        <f>HYPERLINK("https://twitter.com/DrJoybanerji","@DrJoybanerji")</f>
        <v>@DrJoybanerji</v>
      </c>
      <c r="C5697" s="21" t="s">
        <v>12939</v>
      </c>
      <c r="D5697" s="21" t="s">
        <v>163</v>
      </c>
      <c r="E5697" s="22" t="str">
        <f>HYPERLINK("https://twitter.com/DrJoybanerji/status/922490349129363456","922490349129363456")</f>
        <v>922490349129363456</v>
      </c>
      <c r="F5697" s="23" t="s">
        <v>33</v>
      </c>
      <c r="G5697" s="24">
        <v>108.0</v>
      </c>
      <c r="H5697" s="24">
        <v>64.0</v>
      </c>
      <c r="I5697" s="24">
        <v>1005.0</v>
      </c>
      <c r="J5697" s="24">
        <v>0.0</v>
      </c>
      <c r="K5697" s="23" t="s">
        <v>34</v>
      </c>
      <c r="L5697" s="25">
        <v>42229.32355324074</v>
      </c>
      <c r="M5697" s="26" t="s">
        <v>12940</v>
      </c>
      <c r="N5697" s="26" t="s">
        <v>12941</v>
      </c>
      <c r="O5697" s="22" t="str">
        <f>HYPERLINK("https://pbs.twimg.com/profile_images/855868091934195712/ypY46paS_normal.jpg","View")</f>
        <v>View</v>
      </c>
      <c r="P5697" s="27"/>
    </row>
    <row r="5698">
      <c r="A5698" s="14">
        <v>43031.368356481486</v>
      </c>
      <c r="B5698" s="20" t="str">
        <f>HYPERLINK("https://twitter.com/mercadoRheiEd","@mercadoRheiEd")</f>
        <v>@mercadoRheiEd</v>
      </c>
      <c r="C5698" s="21" t="s">
        <v>12942</v>
      </c>
      <c r="D5698" s="21" t="s">
        <v>12565</v>
      </c>
      <c r="E5698" s="22" t="str">
        <f>HYPERLINK("https://twitter.com/mercadoRheiEd/status/922490405744029696","922490405744029696")</f>
        <v>922490405744029696</v>
      </c>
      <c r="F5698" s="23" t="s">
        <v>39</v>
      </c>
      <c r="G5698" s="24">
        <v>220.0</v>
      </c>
      <c r="H5698" s="24">
        <v>608.0</v>
      </c>
      <c r="I5698" s="24">
        <v>32.0</v>
      </c>
      <c r="J5698" s="24">
        <v>0.0</v>
      </c>
      <c r="K5698" s="23" t="s">
        <v>34</v>
      </c>
      <c r="L5698" s="25">
        <v>41866.687789351854</v>
      </c>
      <c r="M5698" s="26" t="s">
        <v>1024</v>
      </c>
      <c r="N5698" s="26" t="s">
        <v>12943</v>
      </c>
      <c r="O5698" s="22" t="str">
        <f>HYPERLINK("https://pbs.twimg.com/profile_images/602894756637638656/6HsF7MsH_normal.jpg","View")</f>
        <v>View</v>
      </c>
      <c r="P5698" s="27"/>
    </row>
    <row r="5699">
      <c r="A5699" s="14">
        <v>43031.368472222224</v>
      </c>
      <c r="B5699" s="20" t="str">
        <f>HYPERLINK("https://twitter.com/PKotekar","@PKotekar")</f>
        <v>@PKotekar</v>
      </c>
      <c r="C5699" s="21" t="s">
        <v>12944</v>
      </c>
      <c r="D5699" s="21" t="s">
        <v>42</v>
      </c>
      <c r="E5699" s="22" t="str">
        <f>HYPERLINK("https://twitter.com/PKotekar/status/922490447171272704","922490447171272704")</f>
        <v>922490447171272704</v>
      </c>
      <c r="F5699" s="23" t="s">
        <v>33</v>
      </c>
      <c r="G5699" s="24">
        <v>2482.0</v>
      </c>
      <c r="H5699" s="24">
        <v>1364.0</v>
      </c>
      <c r="I5699" s="24">
        <v>8501.0</v>
      </c>
      <c r="J5699" s="24">
        <v>0.0</v>
      </c>
      <c r="K5699" s="23" t="s">
        <v>34</v>
      </c>
      <c r="L5699" s="25">
        <v>40664.37710648148</v>
      </c>
      <c r="M5699" s="26" t="s">
        <v>12945</v>
      </c>
      <c r="N5699" s="26" t="s">
        <v>12946</v>
      </c>
      <c r="O5699" s="22" t="str">
        <f>HYPERLINK("https://pbs.twimg.com/profile_images/884812941672853505/1lJW3tb3_normal.jpg","View")</f>
        <v>View</v>
      </c>
      <c r="P5699" s="27"/>
    </row>
    <row r="5700">
      <c r="A5700" s="14">
        <v>43031.368472222224</v>
      </c>
      <c r="B5700" s="20" t="str">
        <f>HYPERLINK("https://twitter.com/DakotaRCary","@DakotaRCary")</f>
        <v>@DakotaRCary</v>
      </c>
      <c r="C5700" s="21" t="s">
        <v>12947</v>
      </c>
      <c r="D5700" s="21" t="s">
        <v>12948</v>
      </c>
      <c r="E5700" s="22" t="str">
        <f>HYPERLINK("https://twitter.com/DakotaRCary/status/922490447741771777","922490447741771777")</f>
        <v>922490447741771777</v>
      </c>
      <c r="F5700" s="23" t="s">
        <v>33</v>
      </c>
      <c r="G5700" s="24">
        <v>505.0</v>
      </c>
      <c r="H5700" s="24">
        <v>697.0</v>
      </c>
      <c r="I5700" s="24">
        <v>0.0</v>
      </c>
      <c r="J5700" s="24">
        <v>1.0</v>
      </c>
      <c r="K5700" s="23" t="s">
        <v>34</v>
      </c>
      <c r="L5700" s="25">
        <v>41276.732824074075</v>
      </c>
      <c r="M5700" s="26" t="s">
        <v>12949</v>
      </c>
      <c r="N5700" s="26" t="s">
        <v>12950</v>
      </c>
      <c r="O5700" s="22" t="str">
        <f>HYPERLINK("https://pbs.twimg.com/profile_images/901066399757611008/vCPryVdV_normal.jpg","View")</f>
        <v>View</v>
      </c>
      <c r="P5700" s="27"/>
    </row>
    <row r="5701">
      <c r="A5701" s="14">
        <v>43031.36858796296</v>
      </c>
      <c r="B5701" s="20" t="str">
        <f>HYPERLINK("https://twitter.com/etspol","@etspol")</f>
        <v>@etspol</v>
      </c>
      <c r="C5701" s="21" t="s">
        <v>12951</v>
      </c>
      <c r="D5701" s="21" t="s">
        <v>82</v>
      </c>
      <c r="E5701" s="22" t="str">
        <f>HYPERLINK("https://twitter.com/etspol/status/922490488363667456","922490488363667456")</f>
        <v>922490488363667456</v>
      </c>
      <c r="F5701" s="23" t="s">
        <v>33</v>
      </c>
      <c r="G5701" s="24">
        <v>1170.0</v>
      </c>
      <c r="H5701" s="24">
        <v>514.0</v>
      </c>
      <c r="I5701" s="24">
        <v>38.0</v>
      </c>
      <c r="J5701" s="24">
        <v>0.0</v>
      </c>
      <c r="K5701" s="23" t="s">
        <v>34</v>
      </c>
      <c r="L5701" s="25">
        <v>42043.27841435185</v>
      </c>
      <c r="M5701" s="26" t="s">
        <v>8991</v>
      </c>
      <c r="N5701" s="26" t="s">
        <v>12952</v>
      </c>
      <c r="O5701" s="22" t="str">
        <f>HYPERLINK("https://pbs.twimg.com/profile_images/921056721187024896/0ouOUl1L_normal.jpg","View")</f>
        <v>View</v>
      </c>
      <c r="P5701" s="27"/>
    </row>
    <row r="5702">
      <c r="A5702" s="14">
        <v>43031.36861111112</v>
      </c>
      <c r="B5702" s="20" t="str">
        <f>HYPERLINK("https://twitter.com/BJP_GirSomnath","@BJP_GirSomnath")</f>
        <v>@BJP_GirSomnath</v>
      </c>
      <c r="C5702" s="21" t="s">
        <v>12953</v>
      </c>
      <c r="D5702" s="21" t="s">
        <v>42</v>
      </c>
      <c r="E5702" s="22" t="str">
        <f>HYPERLINK("https://twitter.com/BJP_GirSomnath/status/922490497129738240","922490497129738240")</f>
        <v>922490497129738240</v>
      </c>
      <c r="F5702" s="23" t="s">
        <v>33</v>
      </c>
      <c r="G5702" s="24">
        <v>881.0</v>
      </c>
      <c r="H5702" s="24">
        <v>969.0</v>
      </c>
      <c r="I5702" s="24">
        <v>8501.0</v>
      </c>
      <c r="J5702" s="24">
        <v>0.0</v>
      </c>
      <c r="K5702" s="23" t="s">
        <v>34</v>
      </c>
      <c r="L5702" s="25">
        <v>42822.497511574074</v>
      </c>
      <c r="M5702" s="26" t="s">
        <v>12954</v>
      </c>
      <c r="N5702" s="26" t="s">
        <v>12955</v>
      </c>
      <c r="O5702" s="22" t="str">
        <f>HYPERLINK("https://pbs.twimg.com/profile_images/847081167992111105/GvMsIAjb_normal.jpg","View")</f>
        <v>View</v>
      </c>
      <c r="P5702" s="27"/>
    </row>
    <row r="5703">
      <c r="A5703" s="14">
        <v>43031.368935185186</v>
      </c>
      <c r="B5703" s="20" t="str">
        <f>HYPERLINK("https://twitter.com/imsamjoshi","@imsamjoshi")</f>
        <v>@imsamjoshi</v>
      </c>
      <c r="C5703" s="21" t="s">
        <v>12956</v>
      </c>
      <c r="D5703" s="21" t="s">
        <v>12630</v>
      </c>
      <c r="E5703" s="22" t="str">
        <f>HYPERLINK("https://twitter.com/imsamjoshi/status/922490615794843648","922490615794843648")</f>
        <v>922490615794843648</v>
      </c>
      <c r="F5703" s="23" t="s">
        <v>33</v>
      </c>
      <c r="G5703" s="24">
        <v>39.0</v>
      </c>
      <c r="H5703" s="24">
        <v>75.0</v>
      </c>
      <c r="I5703" s="24">
        <v>7.0</v>
      </c>
      <c r="J5703" s="24">
        <v>0.0</v>
      </c>
      <c r="K5703" s="23" t="s">
        <v>34</v>
      </c>
      <c r="L5703" s="25">
        <v>40259.152592592596</v>
      </c>
      <c r="M5703" s="26" t="s">
        <v>12957</v>
      </c>
      <c r="N5703" s="26" t="s">
        <v>12958</v>
      </c>
      <c r="O5703" s="22" t="str">
        <f>HYPERLINK("https://pbs.twimg.com/profile_images/910286617947992070/ae_sebDg_normal.jpg","View")</f>
        <v>View</v>
      </c>
      <c r="P5703" s="27"/>
    </row>
    <row r="5704">
      <c r="A5704" s="14">
        <v>43031.36908564815</v>
      </c>
      <c r="B5704" s="20" t="str">
        <f>HYPERLINK("https://twitter.com/Nishantkumar813","@Nishantkumar813")</f>
        <v>@Nishantkumar813</v>
      </c>
      <c r="C5704" s="21" t="s">
        <v>12959</v>
      </c>
      <c r="D5704" s="21" t="s">
        <v>42</v>
      </c>
      <c r="E5704" s="22" t="str">
        <f>HYPERLINK("https://twitter.com/Nishantkumar813/status/922490670614380544","922490670614380544")</f>
        <v>922490670614380544</v>
      </c>
      <c r="F5704" s="23" t="s">
        <v>33</v>
      </c>
      <c r="G5704" s="24">
        <v>7.0</v>
      </c>
      <c r="H5704" s="24">
        <v>104.0</v>
      </c>
      <c r="I5704" s="24">
        <v>8501.0</v>
      </c>
      <c r="J5704" s="24">
        <v>0.0</v>
      </c>
      <c r="K5704" s="23" t="s">
        <v>34</v>
      </c>
      <c r="L5704" s="25">
        <v>42970.14574074074</v>
      </c>
      <c r="M5704" s="26" t="s">
        <v>96</v>
      </c>
      <c r="N5704" s="28"/>
      <c r="O5704" s="22" t="str">
        <f>HYPERLINK("https://pbs.twimg.com/profile_images/900370755631816704/15r20hDA_normal.jpg","View")</f>
        <v>View</v>
      </c>
      <c r="P5704" s="27"/>
    </row>
    <row r="5705">
      <c r="A5705" s="14">
        <v>43031.369155092594</v>
      </c>
      <c r="B5705" s="20" t="str">
        <f>HYPERLINK("https://twitter.com/Realitybytes51","@Realitybytes51")</f>
        <v>@Realitybytes51</v>
      </c>
      <c r="C5705" s="21" t="s">
        <v>12960</v>
      </c>
      <c r="D5705" s="21" t="s">
        <v>10437</v>
      </c>
      <c r="E5705" s="22" t="str">
        <f>HYPERLINK("https://twitter.com/Realitybytes51/status/922490695088193536","922490695088193536")</f>
        <v>922490695088193536</v>
      </c>
      <c r="F5705" s="23" t="s">
        <v>43</v>
      </c>
      <c r="G5705" s="24">
        <v>1654.0</v>
      </c>
      <c r="H5705" s="24">
        <v>45.0</v>
      </c>
      <c r="I5705" s="24">
        <v>16.0</v>
      </c>
      <c r="J5705" s="24">
        <v>0.0</v>
      </c>
      <c r="K5705" s="23" t="s">
        <v>34</v>
      </c>
      <c r="L5705" s="25">
        <v>41794.06855324074</v>
      </c>
      <c r="M5705" s="28"/>
      <c r="N5705" s="26" t="s">
        <v>12961</v>
      </c>
      <c r="O5705" s="22" t="str">
        <f>HYPERLINK("https://pbs.twimg.com/profile_images/902917053715144705/4qiR7eWN_normal.jpg","View")</f>
        <v>View</v>
      </c>
      <c r="P5705" s="27"/>
    </row>
    <row r="5706">
      <c r="A5706" s="14">
        <v>43031.36921296296</v>
      </c>
      <c r="B5706" s="20" t="str">
        <f>HYPERLINK("https://twitter.com/YogeshG47638033","@YogeshG47638033")</f>
        <v>@YogeshG47638033</v>
      </c>
      <c r="C5706" s="21" t="s">
        <v>12962</v>
      </c>
      <c r="D5706" s="21" t="s">
        <v>42</v>
      </c>
      <c r="E5706" s="22" t="str">
        <f>HYPERLINK("https://twitter.com/YogeshG47638033/status/922490716856598528","922490716856598528")</f>
        <v>922490716856598528</v>
      </c>
      <c r="F5706" s="23" t="s">
        <v>33</v>
      </c>
      <c r="G5706" s="24">
        <v>7.0</v>
      </c>
      <c r="H5706" s="24">
        <v>113.0</v>
      </c>
      <c r="I5706" s="24">
        <v>8501.0</v>
      </c>
      <c r="J5706" s="24">
        <v>0.0</v>
      </c>
      <c r="K5706" s="23" t="s">
        <v>34</v>
      </c>
      <c r="L5706" s="25">
        <v>42970.958449074074</v>
      </c>
      <c r="M5706" s="28"/>
      <c r="N5706" s="28"/>
      <c r="O5706" s="22" t="str">
        <f t="shared" ref="O5706:O5707" si="86">HYPERLINK("https://abs.twimg.com/sticky/default_profile_images/default_profile_normal.png","View")</f>
        <v>View</v>
      </c>
      <c r="P5706" s="27"/>
    </row>
    <row r="5707">
      <c r="A5707" s="14">
        <v>43031.369351851856</v>
      </c>
      <c r="B5707" s="20" t="str">
        <f>HYPERLINK("https://twitter.com/CarolNDrake1","@CarolNDrake1")</f>
        <v>@CarolNDrake1</v>
      </c>
      <c r="C5707" s="21" t="s">
        <v>12963</v>
      </c>
      <c r="D5707" s="21" t="s">
        <v>3478</v>
      </c>
      <c r="E5707" s="22" t="str">
        <f>HYPERLINK("https://twitter.com/CarolNDrake1/status/922490767838531586","922490767838531586")</f>
        <v>922490767838531586</v>
      </c>
      <c r="F5707" s="23" t="s">
        <v>39</v>
      </c>
      <c r="G5707" s="24">
        <v>41.0</v>
      </c>
      <c r="H5707" s="24">
        <v>84.0</v>
      </c>
      <c r="I5707" s="24">
        <v>4.0</v>
      </c>
      <c r="J5707" s="24">
        <v>0.0</v>
      </c>
      <c r="K5707" s="23" t="s">
        <v>34</v>
      </c>
      <c r="L5707" s="25">
        <v>42738.602581018524</v>
      </c>
      <c r="M5707" s="26" t="s">
        <v>12964</v>
      </c>
      <c r="N5707" s="28"/>
      <c r="O5707" s="22" t="str">
        <f t="shared" si="86"/>
        <v>View</v>
      </c>
      <c r="P5707" s="27"/>
    </row>
    <row r="5708">
      <c r="A5708" s="14">
        <v>43031.369525462964</v>
      </c>
      <c r="B5708" s="20" t="str">
        <f>HYPERLINK("https://twitter.com/Babaklm1","@Babaklm1")</f>
        <v>@Babaklm1</v>
      </c>
      <c r="C5708" s="21" t="s">
        <v>12965</v>
      </c>
      <c r="D5708" s="21" t="s">
        <v>3748</v>
      </c>
      <c r="E5708" s="22" t="str">
        <f>HYPERLINK("https://twitter.com/Babaklm1/status/922490829129777153","922490829129777153")</f>
        <v>922490829129777153</v>
      </c>
      <c r="F5708" s="23" t="s">
        <v>39</v>
      </c>
      <c r="G5708" s="24">
        <v>11.0</v>
      </c>
      <c r="H5708" s="24">
        <v>6.0</v>
      </c>
      <c r="I5708" s="24">
        <v>10.0</v>
      </c>
      <c r="J5708" s="24">
        <v>0.0</v>
      </c>
      <c r="K5708" s="23" t="s">
        <v>34</v>
      </c>
      <c r="L5708" s="25">
        <v>42957.01756944445</v>
      </c>
      <c r="M5708" s="26" t="s">
        <v>1961</v>
      </c>
      <c r="N5708" s="26" t="s">
        <v>12966</v>
      </c>
      <c r="O5708" s="22" t="str">
        <f>HYPERLINK("https://pbs.twimg.com/profile_images/901128786997116929/Y8ZeYJRW_normal.jpg","View")</f>
        <v>View</v>
      </c>
      <c r="P5708" s="27"/>
    </row>
    <row r="5709">
      <c r="A5709" s="14">
        <v>43031.36957175926</v>
      </c>
      <c r="B5709" s="20" t="str">
        <f>HYPERLINK("https://twitter.com/viren_viradiya","@viren_viradiya")</f>
        <v>@viren_viradiya</v>
      </c>
      <c r="C5709" s="21" t="s">
        <v>12967</v>
      </c>
      <c r="D5709" s="21" t="s">
        <v>42</v>
      </c>
      <c r="E5709" s="22" t="str">
        <f>HYPERLINK("https://twitter.com/viren_viradiya/status/922490844812230656","922490844812230656")</f>
        <v>922490844812230656</v>
      </c>
      <c r="F5709" s="23" t="s">
        <v>33</v>
      </c>
      <c r="G5709" s="24">
        <v>60.0</v>
      </c>
      <c r="H5709" s="24">
        <v>217.0</v>
      </c>
      <c r="I5709" s="24">
        <v>8501.0</v>
      </c>
      <c r="J5709" s="24">
        <v>0.0</v>
      </c>
      <c r="K5709" s="23" t="s">
        <v>34</v>
      </c>
      <c r="L5709" s="25">
        <v>42899.10096064815</v>
      </c>
      <c r="M5709" s="26" t="s">
        <v>12968</v>
      </c>
      <c r="N5709" s="26" t="s">
        <v>12969</v>
      </c>
      <c r="O5709" s="22" t="str">
        <f>HYPERLINK("https://pbs.twimg.com/profile_images/922352206069637120/8hwfl4P2_normal.jpg","View")</f>
        <v>View</v>
      </c>
      <c r="P5709" s="27"/>
    </row>
    <row r="5710">
      <c r="A5710" s="14">
        <v>43031.369629629626</v>
      </c>
      <c r="B5710" s="20" t="str">
        <f>HYPERLINK("https://twitter.com/BorisJohnson","@BorisJohnson")</f>
        <v>@BorisJohnson</v>
      </c>
      <c r="C5710" s="21" t="s">
        <v>12970</v>
      </c>
      <c r="D5710" s="21" t="s">
        <v>12971</v>
      </c>
      <c r="E5710" s="22" t="str">
        <f>HYPERLINK("https://twitter.com/BorisJohnson/status/922490867444744194","922490867444744194")</f>
        <v>922490867444744194</v>
      </c>
      <c r="F5710" s="23" t="s">
        <v>55</v>
      </c>
      <c r="G5710" s="24">
        <v>372230.0</v>
      </c>
      <c r="H5710" s="24">
        <v>116.0</v>
      </c>
      <c r="I5710" s="24">
        <v>110.0</v>
      </c>
      <c r="J5710" s="24">
        <v>406.0</v>
      </c>
      <c r="K5710" s="23" t="s">
        <v>34</v>
      </c>
      <c r="L5710" s="25">
        <v>42095.55265046297</v>
      </c>
      <c r="M5710" s="26" t="s">
        <v>334</v>
      </c>
      <c r="N5710" s="26" t="s">
        <v>12972</v>
      </c>
      <c r="O5710" s="22" t="str">
        <f>HYPERLINK("https://pbs.twimg.com/profile_images/824968706258305024/5QODwULN_normal.jpg","View")</f>
        <v>View</v>
      </c>
      <c r="P5710" s="27"/>
    </row>
    <row r="5711">
      <c r="A5711" s="14">
        <v>43031.3696875</v>
      </c>
      <c r="B5711" s="20" t="str">
        <f>HYPERLINK("https://twitter.com/AmandeepBhogal","@AmandeepBhogal")</f>
        <v>@AmandeepBhogal</v>
      </c>
      <c r="C5711" s="21" t="s">
        <v>12973</v>
      </c>
      <c r="D5711" s="21" t="s">
        <v>12974</v>
      </c>
      <c r="E5711" s="22" t="str">
        <f>HYPERLINK("https://twitter.com/AmandeepBhogal/status/922490889464897538","922490889464897538")</f>
        <v>922490889464897538</v>
      </c>
      <c r="F5711" s="23" t="s">
        <v>33</v>
      </c>
      <c r="G5711" s="24">
        <v>10673.0</v>
      </c>
      <c r="H5711" s="24">
        <v>510.0</v>
      </c>
      <c r="I5711" s="24">
        <v>110.0</v>
      </c>
      <c r="J5711" s="24">
        <v>0.0</v>
      </c>
      <c r="K5711" s="23" t="s">
        <v>34</v>
      </c>
      <c r="L5711" s="25">
        <v>40473.55603009259</v>
      </c>
      <c r="M5711" s="26" t="s">
        <v>12975</v>
      </c>
      <c r="N5711" s="26" t="s">
        <v>12976</v>
      </c>
      <c r="O5711" s="22" t="str">
        <f>HYPERLINK("https://pbs.twimg.com/profile_images/621672430990454784/Wol5cdMl_normal.png","View")</f>
        <v>View</v>
      </c>
      <c r="P5711" s="27"/>
    </row>
    <row r="5712">
      <c r="A5712" s="14">
        <v>43031.36996527778</v>
      </c>
      <c r="B5712" s="20" t="str">
        <f>HYPERLINK("https://twitter.com/Paveluljuk","@Paveluljuk")</f>
        <v>@Paveluljuk</v>
      </c>
      <c r="C5712" s="21" t="s">
        <v>12977</v>
      </c>
      <c r="D5712" s="21" t="s">
        <v>12978</v>
      </c>
      <c r="E5712" s="22" t="str">
        <f>HYPERLINK("https://twitter.com/Paveluljuk/status/922490989763354624","922490989763354624")</f>
        <v>922490989763354624</v>
      </c>
      <c r="F5712" s="23" t="s">
        <v>55</v>
      </c>
      <c r="G5712" s="24">
        <v>6644.0</v>
      </c>
      <c r="H5712" s="24">
        <v>5937.0</v>
      </c>
      <c r="I5712" s="24">
        <v>0.0</v>
      </c>
      <c r="J5712" s="24">
        <v>0.0</v>
      </c>
      <c r="K5712" s="23" t="s">
        <v>34</v>
      </c>
      <c r="L5712" s="25">
        <v>41065.23577546296</v>
      </c>
      <c r="M5712" s="26" t="s">
        <v>12979</v>
      </c>
      <c r="N5712" s="26" t="s">
        <v>12980</v>
      </c>
      <c r="O5712" s="22" t="str">
        <f>HYPERLINK("https://pbs.twimg.com/profile_images/886198487137873921/zmFeaY9W_normal.jpg","View")</f>
        <v>View</v>
      </c>
      <c r="P5712" s="27"/>
    </row>
    <row r="5713">
      <c r="A5713" s="14">
        <v>43031.37001157408</v>
      </c>
      <c r="B5713" s="20" t="str">
        <f>HYPERLINK("https://twitter.com/williamsingle","@williamsingle")</f>
        <v>@williamsingle</v>
      </c>
      <c r="C5713" s="21" t="s">
        <v>12981</v>
      </c>
      <c r="D5713" s="21" t="s">
        <v>12974</v>
      </c>
      <c r="E5713" s="22" t="str">
        <f>HYPERLINK("https://twitter.com/williamsingle/status/922491007081615360","922491007081615360")</f>
        <v>922491007081615360</v>
      </c>
      <c r="F5713" s="23" t="s">
        <v>33</v>
      </c>
      <c r="G5713" s="24">
        <v>74.0</v>
      </c>
      <c r="H5713" s="24">
        <v>391.0</v>
      </c>
      <c r="I5713" s="24">
        <v>110.0</v>
      </c>
      <c r="J5713" s="24">
        <v>0.0</v>
      </c>
      <c r="K5713" s="23" t="s">
        <v>34</v>
      </c>
      <c r="L5713" s="25">
        <v>40964.30412037037</v>
      </c>
      <c r="M5713" s="26" t="s">
        <v>12982</v>
      </c>
      <c r="N5713" s="26" t="s">
        <v>12983</v>
      </c>
      <c r="O5713" s="22" t="str">
        <f>HYPERLINK("https://pbs.twimg.com/profile_images/665285318774562816/mc3TfnHK_normal.jpg","View")</f>
        <v>View</v>
      </c>
      <c r="P5713" s="27"/>
    </row>
    <row r="5714">
      <c r="A5714" s="14">
        <v>43031.37008101852</v>
      </c>
      <c r="B5714" s="20" t="str">
        <f>HYPERLINK("https://twitter.com/arrobinson1994","@arrobinson1994")</f>
        <v>@arrobinson1994</v>
      </c>
      <c r="C5714" s="21" t="s">
        <v>12984</v>
      </c>
      <c r="D5714" s="21" t="s">
        <v>12974</v>
      </c>
      <c r="E5714" s="22" t="str">
        <f>HYPERLINK("https://twitter.com/arrobinson1994/status/922491030032867328","922491030032867328")</f>
        <v>922491030032867328</v>
      </c>
      <c r="F5714" s="23" t="s">
        <v>55</v>
      </c>
      <c r="G5714" s="24">
        <v>105.0</v>
      </c>
      <c r="H5714" s="24">
        <v>371.0</v>
      </c>
      <c r="I5714" s="24">
        <v>110.0</v>
      </c>
      <c r="J5714" s="24">
        <v>0.0</v>
      </c>
      <c r="K5714" s="23" t="s">
        <v>34</v>
      </c>
      <c r="L5714" s="25">
        <v>42976.45663194444</v>
      </c>
      <c r="M5714" s="28"/>
      <c r="N5714" s="28"/>
      <c r="O5714" s="22" t="str">
        <f>HYPERLINK("https://pbs.twimg.com/profile_images/921399306753425408/oRQK97QK_normal.jpg","View")</f>
        <v>View</v>
      </c>
      <c r="P5714" s="27"/>
    </row>
    <row r="5715">
      <c r="A5715" s="14">
        <v>43031.37017361111</v>
      </c>
      <c r="B5715" s="20" t="str">
        <f>HYPERLINK("https://twitter.com/BurqaButt","@BurqaButt")</f>
        <v>@BurqaButt</v>
      </c>
      <c r="C5715" s="21" t="s">
        <v>12985</v>
      </c>
      <c r="D5715" s="21" t="s">
        <v>163</v>
      </c>
      <c r="E5715" s="22" t="str">
        <f>HYPERLINK("https://twitter.com/BurqaButt/status/922491062840471552","922491062840471552")</f>
        <v>922491062840471552</v>
      </c>
      <c r="F5715" s="23" t="s">
        <v>33</v>
      </c>
      <c r="G5715" s="24">
        <v>93.0</v>
      </c>
      <c r="H5715" s="24">
        <v>339.0</v>
      </c>
      <c r="I5715" s="24">
        <v>1005.0</v>
      </c>
      <c r="J5715" s="24">
        <v>0.0</v>
      </c>
      <c r="K5715" s="23" t="s">
        <v>34</v>
      </c>
      <c r="L5715" s="25">
        <v>42085.17018518518</v>
      </c>
      <c r="M5715" s="28"/>
      <c r="N5715" s="26" t="s">
        <v>12986</v>
      </c>
      <c r="O5715" s="22" t="str">
        <f>HYPERLINK("https://pbs.twimg.com/profile_images/579600526607712256/wWCA5A5t_normal.png","View")</f>
        <v>View</v>
      </c>
      <c r="P5715" s="27"/>
    </row>
    <row r="5716">
      <c r="A5716" s="14">
        <v>43031.37038194445</v>
      </c>
      <c r="B5716" s="20" t="str">
        <f>HYPERLINK("https://twitter.com/Apigroup1Jitu","@Apigroup1Jitu")</f>
        <v>@Apigroup1Jitu</v>
      </c>
      <c r="C5716" s="21" t="s">
        <v>12987</v>
      </c>
      <c r="D5716" s="21" t="s">
        <v>42</v>
      </c>
      <c r="E5716" s="22" t="str">
        <f>HYPERLINK("https://twitter.com/Apigroup1Jitu/status/922491140498014208","922491140498014208")</f>
        <v>922491140498014208</v>
      </c>
      <c r="F5716" s="23" t="s">
        <v>33</v>
      </c>
      <c r="G5716" s="24">
        <v>26.0</v>
      </c>
      <c r="H5716" s="24">
        <v>161.0</v>
      </c>
      <c r="I5716" s="24">
        <v>8501.0</v>
      </c>
      <c r="J5716" s="24">
        <v>0.0</v>
      </c>
      <c r="K5716" s="23" t="s">
        <v>34</v>
      </c>
      <c r="L5716" s="25">
        <v>42124.33760416666</v>
      </c>
      <c r="M5716" s="26" t="s">
        <v>2967</v>
      </c>
      <c r="N5716" s="28"/>
      <c r="O5716" s="22" t="str">
        <f>HYPERLINK("https://pbs.twimg.com/profile_images/800722555162066944/RSc9K--y_normal.jpg","View")</f>
        <v>View</v>
      </c>
      <c r="P5716" s="27"/>
    </row>
    <row r="5717">
      <c r="A5717" s="14">
        <v>43031.37060185186</v>
      </c>
      <c r="B5717" s="20" t="str">
        <f>HYPERLINK("https://twitter.com/motostrelki1989","@motostrelki1989")</f>
        <v>@motostrelki1989</v>
      </c>
      <c r="C5717" s="21" t="s">
        <v>12988</v>
      </c>
      <c r="D5717" s="21" t="s">
        <v>6236</v>
      </c>
      <c r="E5717" s="22" t="str">
        <f>HYPERLINK("https://twitter.com/motostrelki1989/status/922491218222759936","922491218222759936")</f>
        <v>922491218222759936</v>
      </c>
      <c r="F5717" s="23" t="s">
        <v>39</v>
      </c>
      <c r="G5717" s="24">
        <v>533.0</v>
      </c>
      <c r="H5717" s="24">
        <v>560.0</v>
      </c>
      <c r="I5717" s="24">
        <v>26.0</v>
      </c>
      <c r="J5717" s="24">
        <v>0.0</v>
      </c>
      <c r="K5717" s="23" t="s">
        <v>34</v>
      </c>
      <c r="L5717" s="25">
        <v>40919.13516203704</v>
      </c>
      <c r="M5717" s="26" t="s">
        <v>12989</v>
      </c>
      <c r="N5717" s="26" t="s">
        <v>12990</v>
      </c>
      <c r="O5717" s="22" t="str">
        <f>HYPERLINK("https://pbs.twimg.com/profile_images/922792449134567424/8e_OLHVA_normal.jpg","View")</f>
        <v>View</v>
      </c>
      <c r="P5717" s="27"/>
    </row>
    <row r="5718">
      <c r="A5718" s="14">
        <v>43031.37074074074</v>
      </c>
      <c r="B5718" s="20" t="str">
        <f>HYPERLINK("https://twitter.com/pipsnticks","@pipsnticks")</f>
        <v>@pipsnticks</v>
      </c>
      <c r="C5718" s="21" t="s">
        <v>12991</v>
      </c>
      <c r="D5718" s="21" t="s">
        <v>4291</v>
      </c>
      <c r="E5718" s="22" t="str">
        <f>HYPERLINK("https://twitter.com/pipsnticks/status/922491268516605952","922491268516605952")</f>
        <v>922491268516605952</v>
      </c>
      <c r="F5718" s="23" t="s">
        <v>230</v>
      </c>
      <c r="G5718" s="24">
        <v>627.0</v>
      </c>
      <c r="H5718" s="24">
        <v>1221.0</v>
      </c>
      <c r="I5718" s="24">
        <v>2.0</v>
      </c>
      <c r="J5718" s="24">
        <v>0.0</v>
      </c>
      <c r="K5718" s="23" t="s">
        <v>34</v>
      </c>
      <c r="L5718" s="25">
        <v>41962.35804398148</v>
      </c>
      <c r="M5718" s="28"/>
      <c r="N5718" s="26" t="s">
        <v>12992</v>
      </c>
      <c r="O5718" s="22" t="str">
        <f>HYPERLINK("https://pbs.twimg.com/profile_images/535110024834461696/2gxMoFFq_normal.jpeg","View")</f>
        <v>View</v>
      </c>
      <c r="P5718" s="27"/>
    </row>
    <row r="5719">
      <c r="A5719" s="14">
        <v>43031.370833333334</v>
      </c>
      <c r="B5719" s="20" t="str">
        <f>HYPERLINK("https://twitter.com/rjpbose","@rjpbose")</f>
        <v>@rjpbose</v>
      </c>
      <c r="C5719" s="21" t="s">
        <v>12993</v>
      </c>
      <c r="D5719" s="21" t="s">
        <v>12630</v>
      </c>
      <c r="E5719" s="22" t="str">
        <f>HYPERLINK("https://twitter.com/rjpbose/status/922491302389760000","922491302389760000")</f>
        <v>922491302389760000</v>
      </c>
      <c r="F5719" s="23" t="s">
        <v>33</v>
      </c>
      <c r="G5719" s="24">
        <v>434.0</v>
      </c>
      <c r="H5719" s="24">
        <v>658.0</v>
      </c>
      <c r="I5719" s="24">
        <v>7.0</v>
      </c>
      <c r="J5719" s="24">
        <v>0.0</v>
      </c>
      <c r="K5719" s="23" t="s">
        <v>34</v>
      </c>
      <c r="L5719" s="25">
        <v>41657.83863425926</v>
      </c>
      <c r="M5719" s="26" t="s">
        <v>204</v>
      </c>
      <c r="N5719" s="28"/>
      <c r="O5719" s="22" t="str">
        <f>HYPERLINK("https://pbs.twimg.com/profile_images/903323013973553152/hrPk3dIW_normal.jpg","View")</f>
        <v>View</v>
      </c>
      <c r="P5719" s="27"/>
    </row>
    <row r="5720">
      <c r="A5720" s="14">
        <v>43031.37085648148</v>
      </c>
      <c r="B5720" s="20" t="str">
        <f>HYPERLINK("https://twitter.com/rg1Bharteey","@rg1Bharteey")</f>
        <v>@rg1Bharteey</v>
      </c>
      <c r="C5720" s="21" t="s">
        <v>12994</v>
      </c>
      <c r="D5720" s="21" t="s">
        <v>42</v>
      </c>
      <c r="E5720" s="22" t="str">
        <f>HYPERLINK("https://twitter.com/rg1Bharteey/status/922491311185281025","922491311185281025")</f>
        <v>922491311185281025</v>
      </c>
      <c r="F5720" s="23" t="s">
        <v>33</v>
      </c>
      <c r="G5720" s="24">
        <v>223.0</v>
      </c>
      <c r="H5720" s="24">
        <v>59.0</v>
      </c>
      <c r="I5720" s="24">
        <v>8501.0</v>
      </c>
      <c r="J5720" s="24">
        <v>0.0</v>
      </c>
      <c r="K5720" s="23" t="s">
        <v>34</v>
      </c>
      <c r="L5720" s="25">
        <v>42656.347754629634</v>
      </c>
      <c r="M5720" s="26" t="s">
        <v>227</v>
      </c>
      <c r="N5720" s="26" t="s">
        <v>12995</v>
      </c>
      <c r="O5720" s="22" t="str">
        <f>HYPERLINK("https://pbs.twimg.com/profile_images/922490992925728768/igU9RubG_normal.jpg","View")</f>
        <v>View</v>
      </c>
      <c r="P5720" s="27"/>
    </row>
    <row r="5721">
      <c r="A5721" s="14">
        <v>43031.37086805556</v>
      </c>
      <c r="B5721" s="20" t="str">
        <f>HYPERLINK("https://twitter.com/TimbadiaDhairya","@TimbadiaDhairya")</f>
        <v>@TimbadiaDhairya</v>
      </c>
      <c r="C5721" s="21" t="s">
        <v>12996</v>
      </c>
      <c r="D5721" s="21" t="s">
        <v>12630</v>
      </c>
      <c r="E5721" s="22" t="str">
        <f>HYPERLINK("https://twitter.com/TimbadiaDhairya/status/922491315228696576","922491315228696576")</f>
        <v>922491315228696576</v>
      </c>
      <c r="F5721" s="23" t="s">
        <v>39</v>
      </c>
      <c r="G5721" s="24">
        <v>68.0</v>
      </c>
      <c r="H5721" s="24">
        <v>49.0</v>
      </c>
      <c r="I5721" s="24">
        <v>7.0</v>
      </c>
      <c r="J5721" s="24">
        <v>0.0</v>
      </c>
      <c r="K5721" s="23" t="s">
        <v>34</v>
      </c>
      <c r="L5721" s="25">
        <v>42515.58395833333</v>
      </c>
      <c r="M5721" s="26" t="s">
        <v>4920</v>
      </c>
      <c r="N5721" s="26" t="s">
        <v>12997</v>
      </c>
      <c r="O5721" s="22" t="str">
        <f>HYPERLINK("https://pbs.twimg.com/profile_images/920008957455986688/tHKgUvwR_normal.jpg","View")</f>
        <v>View</v>
      </c>
      <c r="P5721" s="27"/>
    </row>
    <row r="5722">
      <c r="A5722" s="14">
        <v>43031.371041666665</v>
      </c>
      <c r="B5722" s="20" t="str">
        <f>HYPERLINK("https://twitter.com/iRahulJobanputr","@iRahulJobanputr")</f>
        <v>@iRahulJobanputr</v>
      </c>
      <c r="C5722" s="21" t="s">
        <v>12998</v>
      </c>
      <c r="D5722" s="21" t="s">
        <v>42</v>
      </c>
      <c r="E5722" s="22" t="str">
        <f>HYPERLINK("https://twitter.com/iRahulJobanputr/status/922491379946680320","922491379946680320")</f>
        <v>922491379946680320</v>
      </c>
      <c r="F5722" s="23" t="s">
        <v>33</v>
      </c>
      <c r="G5722" s="24">
        <v>211.0</v>
      </c>
      <c r="H5722" s="24">
        <v>559.0</v>
      </c>
      <c r="I5722" s="24">
        <v>8501.0</v>
      </c>
      <c r="J5722" s="24">
        <v>0.0</v>
      </c>
      <c r="K5722" s="23" t="s">
        <v>34</v>
      </c>
      <c r="L5722" s="25">
        <v>42043.248252314814</v>
      </c>
      <c r="M5722" s="26" t="s">
        <v>12999</v>
      </c>
      <c r="N5722" s="26" t="s">
        <v>13000</v>
      </c>
      <c r="O5722" s="22" t="str">
        <f>HYPERLINK("https://pbs.twimg.com/profile_images/914245916642631681/NUBV11rI_normal.jpg","View")</f>
        <v>View</v>
      </c>
      <c r="P5722" s="27"/>
    </row>
    <row r="5723">
      <c r="A5723" s="14">
        <v>43031.371145833335</v>
      </c>
      <c r="B5723" s="20" t="str">
        <f>HYPERLINK("https://twitter.com/Deepvarsha2011","@Deepvarsha2011")</f>
        <v>@Deepvarsha2011</v>
      </c>
      <c r="C5723" s="21" t="s">
        <v>13001</v>
      </c>
      <c r="D5723" s="21" t="s">
        <v>42</v>
      </c>
      <c r="E5723" s="22" t="str">
        <f>HYPERLINK("https://twitter.com/Deepvarsha2011/status/922491417892601856","922491417892601856")</f>
        <v>922491417892601856</v>
      </c>
      <c r="F5723" s="23" t="s">
        <v>33</v>
      </c>
      <c r="G5723" s="24">
        <v>197.0</v>
      </c>
      <c r="H5723" s="24">
        <v>620.0</v>
      </c>
      <c r="I5723" s="24">
        <v>8501.0</v>
      </c>
      <c r="J5723" s="24">
        <v>0.0</v>
      </c>
      <c r="K5723" s="23" t="s">
        <v>34</v>
      </c>
      <c r="L5723" s="25">
        <v>40912.092835648145</v>
      </c>
      <c r="M5723" s="26" t="s">
        <v>13002</v>
      </c>
      <c r="N5723" s="28"/>
      <c r="O5723" s="22" t="str">
        <f>HYPERLINK("https://pbs.twimg.com/profile_images/921832609004511232/eaTHQmZc_normal.jpg","View")</f>
        <v>View</v>
      </c>
      <c r="P5723" s="27"/>
    </row>
    <row r="5724">
      <c r="A5724" s="14">
        <v>43031.37122685185</v>
      </c>
      <c r="B5724" s="20" t="str">
        <f>HYPERLINK("https://twitter.com/BhairavaVk","@BhairavaVk")</f>
        <v>@BhairavaVk</v>
      </c>
      <c r="C5724" s="21" t="s">
        <v>13003</v>
      </c>
      <c r="D5724" s="21" t="s">
        <v>42</v>
      </c>
      <c r="E5724" s="22" t="str">
        <f>HYPERLINK("https://twitter.com/BhairavaVk/status/922491446996766720","922491446996766720")</f>
        <v>922491446996766720</v>
      </c>
      <c r="F5724" s="23" t="s">
        <v>33</v>
      </c>
      <c r="G5724" s="24">
        <v>3.0</v>
      </c>
      <c r="H5724" s="24">
        <v>158.0</v>
      </c>
      <c r="I5724" s="24">
        <v>8501.0</v>
      </c>
      <c r="J5724" s="24">
        <v>0.0</v>
      </c>
      <c r="K5724" s="23" t="s">
        <v>34</v>
      </c>
      <c r="L5724" s="25">
        <v>43025.414502314816</v>
      </c>
      <c r="M5724" s="26" t="s">
        <v>287</v>
      </c>
      <c r="N5724" s="26" t="s">
        <v>13004</v>
      </c>
      <c r="O5724" s="22" t="str">
        <f>HYPERLINK("https://pbs.twimg.com/profile_images/921368899014164480/xOY1rqMT_normal.jpg","View")</f>
        <v>View</v>
      </c>
      <c r="P5724" s="27"/>
    </row>
    <row r="5725">
      <c r="A5725" s="14">
        <v>43031.37128472222</v>
      </c>
      <c r="B5725" s="20" t="str">
        <f>HYPERLINK("https://twitter.com/GokulRa97550313","@GokulRa97550313")</f>
        <v>@GokulRa97550313</v>
      </c>
      <c r="C5725" s="21" t="s">
        <v>13005</v>
      </c>
      <c r="D5725" s="21" t="s">
        <v>42</v>
      </c>
      <c r="E5725" s="22" t="str">
        <f>HYPERLINK("https://twitter.com/GokulRa97550313/status/922491468425576448","922491468425576448")</f>
        <v>922491468425576448</v>
      </c>
      <c r="F5725" s="23" t="s">
        <v>33</v>
      </c>
      <c r="G5725" s="24">
        <v>5.0</v>
      </c>
      <c r="H5725" s="24">
        <v>115.0</v>
      </c>
      <c r="I5725" s="24">
        <v>8501.0</v>
      </c>
      <c r="J5725" s="24">
        <v>0.0</v>
      </c>
      <c r="K5725" s="23" t="s">
        <v>34</v>
      </c>
      <c r="L5725" s="25">
        <v>43002.04556712963</v>
      </c>
      <c r="M5725" s="28"/>
      <c r="N5725" s="28"/>
      <c r="O5725" s="22" t="str">
        <f>HYPERLINK("https://abs.twimg.com/sticky/default_profile_images/default_profile_normal.png","View")</f>
        <v>View</v>
      </c>
      <c r="P5725" s="27"/>
    </row>
    <row r="5726">
      <c r="A5726" s="14">
        <v>43031.37130787037</v>
      </c>
      <c r="B5726" s="20" t="str">
        <f>HYPERLINK("https://twitter.com/CoffeePenCamera","@CoffeePenCamera")</f>
        <v>@CoffeePenCamera</v>
      </c>
      <c r="C5726" s="21" t="s">
        <v>13006</v>
      </c>
      <c r="D5726" s="21" t="s">
        <v>163</v>
      </c>
      <c r="E5726" s="22" t="str">
        <f>HYPERLINK("https://twitter.com/CoffeePenCamera/status/922491474180050945","922491474180050945")</f>
        <v>922491474180050945</v>
      </c>
      <c r="F5726" s="23" t="s">
        <v>55</v>
      </c>
      <c r="G5726" s="24">
        <v>925.0</v>
      </c>
      <c r="H5726" s="24">
        <v>503.0</v>
      </c>
      <c r="I5726" s="24">
        <v>1005.0</v>
      </c>
      <c r="J5726" s="24">
        <v>0.0</v>
      </c>
      <c r="K5726" s="23" t="s">
        <v>34</v>
      </c>
      <c r="L5726" s="25">
        <v>39819.71818287037</v>
      </c>
      <c r="M5726" s="26" t="s">
        <v>13007</v>
      </c>
      <c r="N5726" s="26" t="s">
        <v>13008</v>
      </c>
      <c r="O5726" s="22" t="str">
        <f>HYPERLINK("https://pbs.twimg.com/profile_images/827011755318538242/5KuyK_C3_normal.jpg","View")</f>
        <v>View</v>
      </c>
      <c r="P5726" s="27"/>
    </row>
    <row r="5727">
      <c r="A5727" s="14">
        <v>43031.37133101852</v>
      </c>
      <c r="B5727" s="20" t="str">
        <f>HYPERLINK("https://twitter.com/ParagDr","@ParagDr")</f>
        <v>@ParagDr</v>
      </c>
      <c r="C5727" s="21" t="s">
        <v>13009</v>
      </c>
      <c r="D5727" s="21" t="s">
        <v>42</v>
      </c>
      <c r="E5727" s="22" t="str">
        <f>HYPERLINK("https://twitter.com/ParagDr/status/922491483395117058","922491483395117058")</f>
        <v>922491483395117058</v>
      </c>
      <c r="F5727" s="23" t="s">
        <v>39</v>
      </c>
      <c r="G5727" s="24">
        <v>16516.0</v>
      </c>
      <c r="H5727" s="24">
        <v>1020.0</v>
      </c>
      <c r="I5727" s="24">
        <v>8501.0</v>
      </c>
      <c r="J5727" s="24">
        <v>0.0</v>
      </c>
      <c r="K5727" s="23" t="s">
        <v>34</v>
      </c>
      <c r="L5727" s="25">
        <v>40939.16916666667</v>
      </c>
      <c r="M5727" s="26" t="s">
        <v>2310</v>
      </c>
      <c r="N5727" s="26" t="s">
        <v>13010</v>
      </c>
      <c r="O5727" s="22" t="str">
        <f>HYPERLINK("https://pbs.twimg.com/profile_images/922890782276714497/hDxCw3L-_normal.jpg","View")</f>
        <v>View</v>
      </c>
      <c r="P5727" s="27"/>
    </row>
    <row r="5728">
      <c r="A5728" s="14">
        <v>43031.37155092593</v>
      </c>
      <c r="B5728" s="20" t="str">
        <f>HYPERLINK("https://twitter.com/Mayankji03","@Mayankji03")</f>
        <v>@Mayankji03</v>
      </c>
      <c r="C5728" s="21" t="s">
        <v>13011</v>
      </c>
      <c r="D5728" s="21" t="s">
        <v>42</v>
      </c>
      <c r="E5728" s="22" t="str">
        <f>HYPERLINK("https://twitter.com/Mayankji03/status/922491562189144064","922491562189144064")</f>
        <v>922491562189144064</v>
      </c>
      <c r="F5728" s="23" t="s">
        <v>33</v>
      </c>
      <c r="G5728" s="24">
        <v>103.0</v>
      </c>
      <c r="H5728" s="24">
        <v>317.0</v>
      </c>
      <c r="I5728" s="24">
        <v>8501.0</v>
      </c>
      <c r="J5728" s="24">
        <v>0.0</v>
      </c>
      <c r="K5728" s="23" t="s">
        <v>34</v>
      </c>
      <c r="L5728" s="25">
        <v>40538.057175925926</v>
      </c>
      <c r="M5728" s="26" t="s">
        <v>13012</v>
      </c>
      <c r="N5728" s="26" t="s">
        <v>13013</v>
      </c>
      <c r="O5728" s="22" t="str">
        <f>HYPERLINK("https://pbs.twimg.com/profile_images/921810036619223040/rlF_JAI4_normal.jpg","View")</f>
        <v>View</v>
      </c>
      <c r="P5728" s="27"/>
    </row>
    <row r="5729">
      <c r="A5729" s="14">
        <v>43031.37164351852</v>
      </c>
      <c r="B5729" s="20" t="str">
        <f>HYPERLINK("https://twitter.com/logesh_rocker","@logesh_rocker")</f>
        <v>@logesh_rocker</v>
      </c>
      <c r="C5729" s="21" t="s">
        <v>13014</v>
      </c>
      <c r="D5729" s="21" t="s">
        <v>42</v>
      </c>
      <c r="E5729" s="22" t="str">
        <f>HYPERLINK("https://twitter.com/logesh_rocker/status/922491596519518213","922491596519518213")</f>
        <v>922491596519518213</v>
      </c>
      <c r="F5729" s="23" t="s">
        <v>33</v>
      </c>
      <c r="G5729" s="24">
        <v>6.0</v>
      </c>
      <c r="H5729" s="24">
        <v>147.0</v>
      </c>
      <c r="I5729" s="24">
        <v>8501.0</v>
      </c>
      <c r="J5729" s="24">
        <v>0.0</v>
      </c>
      <c r="K5729" s="23" t="s">
        <v>34</v>
      </c>
      <c r="L5729" s="25">
        <v>43011.981886574074</v>
      </c>
      <c r="M5729" s="26" t="s">
        <v>13015</v>
      </c>
      <c r="N5729" s="26" t="s">
        <v>13016</v>
      </c>
      <c r="O5729" s="22" t="str">
        <f>HYPERLINK("https://pbs.twimg.com/profile_images/915468461274406913/ed7L1vCM_normal.jpg","View")</f>
        <v>View</v>
      </c>
      <c r="P5729" s="27"/>
    </row>
    <row r="5730">
      <c r="A5730" s="14">
        <v>43031.371666666666</v>
      </c>
      <c r="B5730" s="20" t="str">
        <f>HYPERLINK("https://twitter.com/MdJabedhussain3","@MdJabedhussain3")</f>
        <v>@MdJabedhussain3</v>
      </c>
      <c r="C5730" s="21" t="s">
        <v>13017</v>
      </c>
      <c r="D5730" s="21" t="s">
        <v>42</v>
      </c>
      <c r="E5730" s="22" t="str">
        <f>HYPERLINK("https://twitter.com/MdJabedhussain3/status/922491605973475329","922491605973475329")</f>
        <v>922491605973475329</v>
      </c>
      <c r="F5730" s="23" t="s">
        <v>33</v>
      </c>
      <c r="G5730" s="24">
        <v>0.0</v>
      </c>
      <c r="H5730" s="24">
        <v>92.0</v>
      </c>
      <c r="I5730" s="24">
        <v>8501.0</v>
      </c>
      <c r="J5730" s="24">
        <v>0.0</v>
      </c>
      <c r="K5730" s="23" t="s">
        <v>34</v>
      </c>
      <c r="L5730" s="25">
        <v>43019.38791666667</v>
      </c>
      <c r="M5730" s="28"/>
      <c r="N5730" s="28"/>
      <c r="O5730" s="22" t="str">
        <f>HYPERLINK("https://abs.twimg.com/sticky/default_profile_images/default_profile_normal.png","View")</f>
        <v>View</v>
      </c>
      <c r="P5730" s="27"/>
    </row>
    <row r="5731">
      <c r="A5731" s="14">
        <v>43031.37167824074</v>
      </c>
      <c r="B5731" s="20" t="str">
        <f>HYPERLINK("https://twitter.com/bdnews24","@bdnews24")</f>
        <v>@bdnews24</v>
      </c>
      <c r="C5731" s="21" t="s">
        <v>831</v>
      </c>
      <c r="D5731" s="21" t="s">
        <v>13018</v>
      </c>
      <c r="E5731" s="22" t="str">
        <f>HYPERLINK("https://twitter.com/bdnews24/status/922491610251911168","922491610251911168")</f>
        <v>922491610251911168</v>
      </c>
      <c r="F5731" s="23" t="s">
        <v>187</v>
      </c>
      <c r="G5731" s="24">
        <v>215301.0</v>
      </c>
      <c r="H5731" s="24">
        <v>67843.0</v>
      </c>
      <c r="I5731" s="24">
        <v>0.0</v>
      </c>
      <c r="J5731" s="24">
        <v>0.0</v>
      </c>
      <c r="K5731" s="23" t="s">
        <v>34</v>
      </c>
      <c r="L5731" s="25">
        <v>39844.468043981484</v>
      </c>
      <c r="M5731" s="26" t="s">
        <v>833</v>
      </c>
      <c r="N5731" s="26" t="s">
        <v>834</v>
      </c>
      <c r="O5731" s="22" t="str">
        <f>HYPERLINK("https://pbs.twimg.com/profile_images/718433521509994497/4iW9RC_r_normal.jpg","View")</f>
        <v>View</v>
      </c>
      <c r="P5731" s="27"/>
    </row>
    <row r="5732">
      <c r="A5732" s="14">
        <v>43031.371828703705</v>
      </c>
      <c r="B5732" s="20" t="str">
        <f>HYPERLINK("https://twitter.com/MyHistoryMaster","@MyHistoryMaster")</f>
        <v>@MyHistoryMaster</v>
      </c>
      <c r="C5732" s="21" t="s">
        <v>9759</v>
      </c>
      <c r="D5732" s="21" t="s">
        <v>11540</v>
      </c>
      <c r="E5732" s="22" t="str">
        <f>HYPERLINK("https://twitter.com/MyHistoryMaster/status/922491665302147072","922491665302147072")</f>
        <v>922491665302147072</v>
      </c>
      <c r="F5732" s="23" t="s">
        <v>55</v>
      </c>
      <c r="G5732" s="24">
        <v>46.0</v>
      </c>
      <c r="H5732" s="24">
        <v>98.0</v>
      </c>
      <c r="I5732" s="24">
        <v>14.0</v>
      </c>
      <c r="J5732" s="24">
        <v>0.0</v>
      </c>
      <c r="K5732" s="23" t="s">
        <v>34</v>
      </c>
      <c r="L5732" s="25">
        <v>42000.60366898148</v>
      </c>
      <c r="M5732" s="26" t="s">
        <v>920</v>
      </c>
      <c r="N5732" s="26" t="s">
        <v>9760</v>
      </c>
      <c r="O5732" s="22" t="str">
        <f>HYPERLINK("https://pbs.twimg.com/profile_images/823025688957419520/4_lFVc05_normal.jpg","View")</f>
        <v>View</v>
      </c>
      <c r="P5732" s="27"/>
    </row>
    <row r="5733">
      <c r="A5733" s="14">
        <v>43031.371932870374</v>
      </c>
      <c r="B5733" s="20" t="str">
        <f>HYPERLINK("https://twitter.com/parthrose","@parthrose")</f>
        <v>@parthrose</v>
      </c>
      <c r="C5733" s="21" t="s">
        <v>13019</v>
      </c>
      <c r="D5733" s="21" t="s">
        <v>42</v>
      </c>
      <c r="E5733" s="22" t="str">
        <f>HYPERLINK("https://twitter.com/parthrose/status/922491703486947328","922491703486947328")</f>
        <v>922491703486947328</v>
      </c>
      <c r="F5733" s="23" t="s">
        <v>39</v>
      </c>
      <c r="G5733" s="24">
        <v>705.0</v>
      </c>
      <c r="H5733" s="24">
        <v>665.0</v>
      </c>
      <c r="I5733" s="24">
        <v>8501.0</v>
      </c>
      <c r="J5733" s="24">
        <v>0.0</v>
      </c>
      <c r="K5733" s="23" t="s">
        <v>34</v>
      </c>
      <c r="L5733" s="25">
        <v>41120.65502314815</v>
      </c>
      <c r="M5733" s="26" t="s">
        <v>311</v>
      </c>
      <c r="N5733" s="26" t="s">
        <v>13020</v>
      </c>
      <c r="O5733" s="22" t="str">
        <f>HYPERLINK("https://pbs.twimg.com/profile_images/888330256997769216/6h2wLNrW_normal.jpg","View")</f>
        <v>View</v>
      </c>
      <c r="P5733" s="27"/>
    </row>
    <row r="5734">
      <c r="A5734" s="14">
        <v>43031.372083333335</v>
      </c>
      <c r="B5734" s="20" t="str">
        <f>HYPERLINK("https://twitter.com/kus_lob","@kus_lob")</f>
        <v>@kus_lob</v>
      </c>
      <c r="C5734" s="21" t="s">
        <v>13021</v>
      </c>
      <c r="D5734" s="21" t="s">
        <v>12630</v>
      </c>
      <c r="E5734" s="22" t="str">
        <f>HYPERLINK("https://twitter.com/kus_lob/status/922491754682527746","922491754682527746")</f>
        <v>922491754682527746</v>
      </c>
      <c r="F5734" s="23" t="s">
        <v>33</v>
      </c>
      <c r="G5734" s="24">
        <v>412.0</v>
      </c>
      <c r="H5734" s="24">
        <v>88.0</v>
      </c>
      <c r="I5734" s="24">
        <v>7.0</v>
      </c>
      <c r="J5734" s="24">
        <v>0.0</v>
      </c>
      <c r="K5734" s="23" t="s">
        <v>34</v>
      </c>
      <c r="L5734" s="25">
        <v>42733.242638888885</v>
      </c>
      <c r="M5734" s="26" t="s">
        <v>13022</v>
      </c>
      <c r="N5734" s="26" t="s">
        <v>13023</v>
      </c>
      <c r="O5734" s="22" t="str">
        <f>HYPERLINK("https://pbs.twimg.com/profile_images/921435891838709760/hw1JQ7Xs_normal.jpg","View")</f>
        <v>View</v>
      </c>
      <c r="P5734" s="27"/>
    </row>
    <row r="5735">
      <c r="A5735" s="14">
        <v>43031.37263888889</v>
      </c>
      <c r="B5735" s="20" t="str">
        <f>HYPERLINK("https://twitter.com/Anujkumar156","@Anujkumar156")</f>
        <v>@Anujkumar156</v>
      </c>
      <c r="C5735" s="21" t="s">
        <v>13024</v>
      </c>
      <c r="D5735" s="21" t="s">
        <v>42</v>
      </c>
      <c r="E5735" s="22" t="str">
        <f>HYPERLINK("https://twitter.com/Anujkumar156/status/922491958651625473","922491958651625473")</f>
        <v>922491958651625473</v>
      </c>
      <c r="F5735" s="23" t="s">
        <v>33</v>
      </c>
      <c r="G5735" s="24">
        <v>249.0</v>
      </c>
      <c r="H5735" s="24">
        <v>397.0</v>
      </c>
      <c r="I5735" s="24">
        <v>8501.0</v>
      </c>
      <c r="J5735" s="24">
        <v>0.0</v>
      </c>
      <c r="K5735" s="23" t="s">
        <v>34</v>
      </c>
      <c r="L5735" s="25">
        <v>42616.975439814814</v>
      </c>
      <c r="M5735" s="26" t="s">
        <v>2739</v>
      </c>
      <c r="N5735" s="26" t="s">
        <v>13025</v>
      </c>
      <c r="O5735" s="22" t="str">
        <f>HYPERLINK("https://pbs.twimg.com/profile_images/917265635738030081/sQWH1M8F_normal.jpg","View")</f>
        <v>View</v>
      </c>
      <c r="P5735" s="27"/>
    </row>
    <row r="5736">
      <c r="A5736" s="14">
        <v>43031.372881944444</v>
      </c>
      <c r="B5736" s="20" t="str">
        <f>HYPERLINK("https://twitter.com/vasudev_arun","@vasudev_arun")</f>
        <v>@vasudev_arun</v>
      </c>
      <c r="C5736" s="21" t="s">
        <v>13026</v>
      </c>
      <c r="D5736" s="21" t="s">
        <v>42</v>
      </c>
      <c r="E5736" s="22" t="str">
        <f>HYPERLINK("https://twitter.com/vasudev_arun/status/922492046132121603","922492046132121603")</f>
        <v>922492046132121603</v>
      </c>
      <c r="F5736" s="23" t="s">
        <v>33</v>
      </c>
      <c r="G5736" s="24">
        <v>420.0</v>
      </c>
      <c r="H5736" s="24">
        <v>2743.0</v>
      </c>
      <c r="I5736" s="24">
        <v>8501.0</v>
      </c>
      <c r="J5736" s="24">
        <v>0.0</v>
      </c>
      <c r="K5736" s="23" t="s">
        <v>34</v>
      </c>
      <c r="L5736" s="25">
        <v>41402.358194444445</v>
      </c>
      <c r="M5736" s="28"/>
      <c r="N5736" s="28"/>
      <c r="O5736" s="22" t="str">
        <f>HYPERLINK("https://pbs.twimg.com/profile_images/836994964609515520/2kzh9WWB_normal.jpg","View")</f>
        <v>View</v>
      </c>
      <c r="P5736" s="27"/>
    </row>
    <row r="5737">
      <c r="A5737" s="14">
        <v>43031.37302083333</v>
      </c>
      <c r="B5737" s="20" t="str">
        <f>HYPERLINK("https://twitter.com/mukesh_k1","@mukesh_k1")</f>
        <v>@mukesh_k1</v>
      </c>
      <c r="C5737" s="21" t="s">
        <v>13027</v>
      </c>
      <c r="D5737" s="21" t="s">
        <v>42</v>
      </c>
      <c r="E5737" s="22" t="str">
        <f>HYPERLINK("https://twitter.com/mukesh_k1/status/922492097487257601","922492097487257601")</f>
        <v>922492097487257601</v>
      </c>
      <c r="F5737" s="23" t="s">
        <v>33</v>
      </c>
      <c r="G5737" s="24">
        <v>71.0</v>
      </c>
      <c r="H5737" s="24">
        <v>97.0</v>
      </c>
      <c r="I5737" s="24">
        <v>8501.0</v>
      </c>
      <c r="J5737" s="24">
        <v>0.0</v>
      </c>
      <c r="K5737" s="23" t="s">
        <v>34</v>
      </c>
      <c r="L5737" s="25">
        <v>42646.20962962963</v>
      </c>
      <c r="M5737" s="28"/>
      <c r="N5737" s="28"/>
      <c r="O5737" s="22" t="str">
        <f>HYPERLINK("https://pbs.twimg.com/profile_images/783262424308731906/QQ6rM6UO_normal.jpg","View")</f>
        <v>View</v>
      </c>
      <c r="P5737" s="27"/>
    </row>
    <row r="5738">
      <c r="A5738" s="14">
        <v>43031.37305555555</v>
      </c>
      <c r="B5738" s="20" t="str">
        <f>HYPERLINK("https://twitter.com/SGempka","@SGempka")</f>
        <v>@SGempka</v>
      </c>
      <c r="C5738" s="21" t="s">
        <v>13028</v>
      </c>
      <c r="D5738" s="21" t="s">
        <v>10437</v>
      </c>
      <c r="E5738" s="22" t="str">
        <f>HYPERLINK("https://twitter.com/SGempka/status/922492108346454016","922492108346454016")</f>
        <v>922492108346454016</v>
      </c>
      <c r="F5738" s="23" t="s">
        <v>43</v>
      </c>
      <c r="G5738" s="24">
        <v>81.0</v>
      </c>
      <c r="H5738" s="24">
        <v>552.0</v>
      </c>
      <c r="I5738" s="24">
        <v>16.0</v>
      </c>
      <c r="J5738" s="24">
        <v>0.0</v>
      </c>
      <c r="K5738" s="23" t="s">
        <v>34</v>
      </c>
      <c r="L5738" s="25">
        <v>40680.78340277778</v>
      </c>
      <c r="M5738" s="28"/>
      <c r="N5738" s="26" t="s">
        <v>13029</v>
      </c>
      <c r="O5738" s="22" t="str">
        <f>HYPERLINK("https://pbs.twimg.com/profile_images/826121970316038147/1akzY7Nh_normal.jpg","View")</f>
        <v>View</v>
      </c>
      <c r="P5738" s="27"/>
    </row>
    <row r="5739">
      <c r="A5739" s="14">
        <v>43031.37311342593</v>
      </c>
      <c r="B5739" s="20" t="str">
        <f>HYPERLINK("https://twitter.com/MMarnani","@MMarnani")</f>
        <v>@MMarnani</v>
      </c>
      <c r="C5739" s="21" t="s">
        <v>13030</v>
      </c>
      <c r="D5739" s="21" t="s">
        <v>10614</v>
      </c>
      <c r="E5739" s="22" t="str">
        <f>HYPERLINK("https://twitter.com/MMarnani/status/922492131880534016","922492131880534016")</f>
        <v>922492131880534016</v>
      </c>
      <c r="F5739" s="23" t="s">
        <v>33</v>
      </c>
      <c r="G5739" s="24">
        <v>1156.0</v>
      </c>
      <c r="H5739" s="24">
        <v>699.0</v>
      </c>
      <c r="I5739" s="24">
        <v>159.0</v>
      </c>
      <c r="J5739" s="24">
        <v>0.0</v>
      </c>
      <c r="K5739" s="23" t="s">
        <v>34</v>
      </c>
      <c r="L5739" s="25">
        <v>41989.264699074076</v>
      </c>
      <c r="M5739" s="26" t="s">
        <v>11701</v>
      </c>
      <c r="N5739" s="26" t="s">
        <v>13031</v>
      </c>
      <c r="O5739" s="22" t="str">
        <f>HYPERLINK("https://pbs.twimg.com/profile_images/909071245609549824/rM5ozTnD_normal.jpg","View")</f>
        <v>View</v>
      </c>
      <c r="P5739" s="27"/>
    </row>
    <row r="5740">
      <c r="A5740" s="14">
        <v>43031.373194444444</v>
      </c>
      <c r="B5740" s="20" t="str">
        <f>HYPERLINK("https://twitter.com/SingaporeUpdate","@SingaporeUpdate")</f>
        <v>@SingaporeUpdate</v>
      </c>
      <c r="C5740" s="21" t="s">
        <v>10292</v>
      </c>
      <c r="D5740" s="21" t="s">
        <v>13032</v>
      </c>
      <c r="E5740" s="22" t="str">
        <f>HYPERLINK("https://twitter.com/SingaporeUpdate/status/922492157193277440","922492157193277440")</f>
        <v>922492157193277440</v>
      </c>
      <c r="F5740" s="23" t="s">
        <v>187</v>
      </c>
      <c r="G5740" s="24">
        <v>275.0</v>
      </c>
      <c r="H5740" s="24">
        <v>94.0</v>
      </c>
      <c r="I5740" s="24">
        <v>0.0</v>
      </c>
      <c r="J5740" s="24">
        <v>0.0</v>
      </c>
      <c r="K5740" s="23" t="s">
        <v>34</v>
      </c>
      <c r="L5740" s="25">
        <v>42701.2900462963</v>
      </c>
      <c r="M5740" s="26" t="s">
        <v>10294</v>
      </c>
      <c r="N5740" s="26" t="s">
        <v>10295</v>
      </c>
      <c r="O5740" s="22" t="str">
        <f>HYPERLINK("https://pbs.twimg.com/profile_images/802891810112606208/zsAXXRDz_normal.jpg","View")</f>
        <v>View</v>
      </c>
      <c r="P5740" s="27"/>
    </row>
    <row r="5741">
      <c r="A5741" s="14">
        <v>43031.37324074074</v>
      </c>
      <c r="B5741" s="20" t="str">
        <f>HYPERLINK("https://twitter.com/JapanPress_wky","@JapanPress_wky")</f>
        <v>@JapanPress_wky</v>
      </c>
      <c r="C5741" s="21" t="s">
        <v>13033</v>
      </c>
      <c r="D5741" s="21" t="s">
        <v>13034</v>
      </c>
      <c r="E5741" s="22" t="str">
        <f>HYPERLINK("https://twitter.com/JapanPress_wky/status/922492178009530368","922492178009530368")</f>
        <v>922492178009530368</v>
      </c>
      <c r="F5741" s="30" t="s">
        <v>659</v>
      </c>
      <c r="G5741" s="24">
        <v>1253.0</v>
      </c>
      <c r="H5741" s="24">
        <v>176.0</v>
      </c>
      <c r="I5741" s="24">
        <v>0.0</v>
      </c>
      <c r="J5741" s="24">
        <v>0.0</v>
      </c>
      <c r="K5741" s="23" t="s">
        <v>34</v>
      </c>
      <c r="L5741" s="25">
        <v>40821.911782407406</v>
      </c>
      <c r="M5741" s="26" t="s">
        <v>923</v>
      </c>
      <c r="N5741" s="26" t="s">
        <v>13035</v>
      </c>
      <c r="O5741" s="22" t="str">
        <f>HYPERLINK("https://pbs.twimg.com/profile_images/1595831534/JapanPress_wky_normal.jpg","View")</f>
        <v>View</v>
      </c>
      <c r="P5741" s="27"/>
    </row>
    <row r="5742">
      <c r="A5742" s="14">
        <v>43031.37336805556</v>
      </c>
      <c r="B5742" s="20" t="str">
        <f>HYPERLINK("https://twitter.com/RajeshwariShah3","@RajeshwariShah3")</f>
        <v>@RajeshwariShah3</v>
      </c>
      <c r="C5742" s="21" t="s">
        <v>13036</v>
      </c>
      <c r="D5742" s="21" t="s">
        <v>42</v>
      </c>
      <c r="E5742" s="22" t="str">
        <f>HYPERLINK("https://twitter.com/RajeshwariShah3/status/922492220145414146","922492220145414146")</f>
        <v>922492220145414146</v>
      </c>
      <c r="F5742" s="23" t="s">
        <v>33</v>
      </c>
      <c r="G5742" s="24">
        <v>0.0</v>
      </c>
      <c r="H5742" s="24">
        <v>102.0</v>
      </c>
      <c r="I5742" s="24">
        <v>8501.0</v>
      </c>
      <c r="J5742" s="24">
        <v>0.0</v>
      </c>
      <c r="K5742" s="23" t="s">
        <v>34</v>
      </c>
      <c r="L5742" s="25">
        <v>43031.36921296296</v>
      </c>
      <c r="M5742" s="28"/>
      <c r="N5742" s="28"/>
      <c r="O5742" s="22" t="str">
        <f>HYPERLINK("https://abs.twimg.com/sticky/default_profile_images/default_profile_normal.png","View")</f>
        <v>View</v>
      </c>
      <c r="P5742" s="27"/>
    </row>
    <row r="5743">
      <c r="A5743" s="14">
        <v>43031.37342592592</v>
      </c>
      <c r="B5743" s="20" t="str">
        <f>HYPERLINK("https://twitter.com/ufufunoufufu","@ufufunoufufu")</f>
        <v>@ufufunoufufu</v>
      </c>
      <c r="C5743" s="21" t="s">
        <v>13037</v>
      </c>
      <c r="D5743" s="21" t="s">
        <v>42</v>
      </c>
      <c r="E5743" s="22" t="str">
        <f>HYPERLINK("https://twitter.com/ufufunoufufu/status/922492245218967552","922492245218967552")</f>
        <v>922492245218967552</v>
      </c>
      <c r="F5743" s="23" t="s">
        <v>39</v>
      </c>
      <c r="G5743" s="24">
        <v>750.0</v>
      </c>
      <c r="H5743" s="24">
        <v>2285.0</v>
      </c>
      <c r="I5743" s="24">
        <v>8501.0</v>
      </c>
      <c r="J5743" s="24">
        <v>0.0</v>
      </c>
      <c r="K5743" s="23" t="s">
        <v>34</v>
      </c>
      <c r="L5743" s="25">
        <v>42785.02444444444</v>
      </c>
      <c r="M5743" s="28"/>
      <c r="N5743" s="26" t="s">
        <v>13038</v>
      </c>
      <c r="O5743" s="22" t="str">
        <f>HYPERLINK("https://pbs.twimg.com/profile_images/833247640087261184/FXqiS0_M_normal.jpg","View")</f>
        <v>View</v>
      </c>
      <c r="P5743" s="27"/>
    </row>
    <row r="5744">
      <c r="A5744" s="14">
        <v>43031.373506944445</v>
      </c>
      <c r="B5744" s="20" t="str">
        <f>HYPERLINK("https://twitter.com/TheEditorNews","@TheEditorNews")</f>
        <v>@TheEditorNews</v>
      </c>
      <c r="C5744" s="21" t="s">
        <v>13039</v>
      </c>
      <c r="D5744" s="21" t="s">
        <v>13040</v>
      </c>
      <c r="E5744" s="22" t="str">
        <f>HYPERLINK("https://twitter.com/TheEditorNews/status/922492271651643392","922492271651643392")</f>
        <v>922492271651643392</v>
      </c>
      <c r="F5744" s="23" t="s">
        <v>91</v>
      </c>
      <c r="G5744" s="24">
        <v>118.0</v>
      </c>
      <c r="H5744" s="24">
        <v>76.0</v>
      </c>
      <c r="I5744" s="24">
        <v>0.0</v>
      </c>
      <c r="J5744" s="24">
        <v>0.0</v>
      </c>
      <c r="K5744" s="23" t="s">
        <v>34</v>
      </c>
      <c r="L5744" s="25">
        <v>42743.46939814815</v>
      </c>
      <c r="M5744" s="26" t="s">
        <v>13041</v>
      </c>
      <c r="N5744" s="26" t="s">
        <v>13042</v>
      </c>
      <c r="O5744" s="22" t="str">
        <f>HYPERLINK("https://pbs.twimg.com/profile_images/884494076942270464/iDJaUGAL_normal.jpg","View")</f>
        <v>View</v>
      </c>
      <c r="P5744" s="27"/>
    </row>
    <row r="5745">
      <c r="A5745" s="14">
        <v>43031.373553240745</v>
      </c>
      <c r="B5745" s="20" t="str">
        <f>HYPERLINK("https://twitter.com/FivePointers","@FivePointers")</f>
        <v>@FivePointers</v>
      </c>
      <c r="C5745" s="21" t="s">
        <v>13043</v>
      </c>
      <c r="D5745" s="21" t="s">
        <v>42</v>
      </c>
      <c r="E5745" s="22" t="str">
        <f>HYPERLINK("https://twitter.com/FivePointers/status/922492287724036102","922492287724036102")</f>
        <v>922492287724036102</v>
      </c>
      <c r="F5745" s="23" t="s">
        <v>33</v>
      </c>
      <c r="G5745" s="24">
        <v>27.0</v>
      </c>
      <c r="H5745" s="24">
        <v>417.0</v>
      </c>
      <c r="I5745" s="24">
        <v>8501.0</v>
      </c>
      <c r="J5745" s="24">
        <v>0.0</v>
      </c>
      <c r="K5745" s="23" t="s">
        <v>34</v>
      </c>
      <c r="L5745" s="25">
        <v>40673.34789351852</v>
      </c>
      <c r="M5745" s="28"/>
      <c r="N5745" s="28"/>
      <c r="O5745" s="22" t="str">
        <f>HYPERLINK("https://abs.twimg.com/sticky/default_profile_images/default_profile_normal.png","View")</f>
        <v>View</v>
      </c>
      <c r="P5745" s="27"/>
    </row>
    <row r="5746">
      <c r="A5746" s="14">
        <v>43031.37369212963</v>
      </c>
      <c r="B5746" s="20" t="str">
        <f>HYPERLINK("https://twitter.com/sinclairda","@sinclairda")</f>
        <v>@sinclairda</v>
      </c>
      <c r="C5746" s="21" t="s">
        <v>13044</v>
      </c>
      <c r="D5746" s="21" t="s">
        <v>13045</v>
      </c>
      <c r="E5746" s="22" t="str">
        <f>HYPERLINK("https://twitter.com/sinclairda/status/922492338924027904","922492338924027904")</f>
        <v>922492338924027904</v>
      </c>
      <c r="F5746" s="23" t="s">
        <v>769</v>
      </c>
      <c r="G5746" s="24">
        <v>1414.0</v>
      </c>
      <c r="H5746" s="24">
        <v>2585.0</v>
      </c>
      <c r="I5746" s="24">
        <v>0.0</v>
      </c>
      <c r="J5746" s="24">
        <v>0.0</v>
      </c>
      <c r="K5746" s="23" t="s">
        <v>34</v>
      </c>
      <c r="L5746" s="25">
        <v>39804.541504629626</v>
      </c>
      <c r="M5746" s="26" t="s">
        <v>13046</v>
      </c>
      <c r="N5746" s="26" t="s">
        <v>13047</v>
      </c>
      <c r="O5746" s="22" t="str">
        <f>HYPERLINK("https://pbs.twimg.com/profile_images/507059663443992576/XNFshlSm_normal.jpeg","View")</f>
        <v>View</v>
      </c>
      <c r="P5746" s="27"/>
    </row>
    <row r="5747">
      <c r="A5747" s="14">
        <v>43031.37369212963</v>
      </c>
      <c r="B5747" s="20" t="str">
        <f>HYPERLINK("https://twitter.com/ILCUK","@ILCUK")</f>
        <v>@ILCUK</v>
      </c>
      <c r="C5747" s="21" t="s">
        <v>13048</v>
      </c>
      <c r="D5747" s="21" t="s">
        <v>13049</v>
      </c>
      <c r="E5747" s="22" t="str">
        <f>HYPERLINK("https://twitter.com/ILCUK/status/922492339020615681","922492339020615681")</f>
        <v>922492339020615681</v>
      </c>
      <c r="F5747" s="23" t="s">
        <v>769</v>
      </c>
      <c r="G5747" s="24">
        <v>6510.0</v>
      </c>
      <c r="H5747" s="24">
        <v>1323.0</v>
      </c>
      <c r="I5747" s="24">
        <v>1.0</v>
      </c>
      <c r="J5747" s="24">
        <v>1.0</v>
      </c>
      <c r="K5747" s="23" t="s">
        <v>34</v>
      </c>
      <c r="L5747" s="25">
        <v>39966.53076388889</v>
      </c>
      <c r="M5747" s="26" t="s">
        <v>334</v>
      </c>
      <c r="N5747" s="26" t="s">
        <v>13050</v>
      </c>
      <c r="O5747" s="22" t="str">
        <f>HYPERLINK("https://pbs.twimg.com/profile_images/349164391/final_ILC_logo_JPEG_file_5_normal.JPG","View")</f>
        <v>View</v>
      </c>
      <c r="P5747" s="27"/>
    </row>
    <row r="5748">
      <c r="A5748" s="14">
        <v>43031.37373842593</v>
      </c>
      <c r="B5748" s="20" t="str">
        <f>HYPERLINK("https://twitter.com/aackthu","@aackthu")</f>
        <v>@aackthu</v>
      </c>
      <c r="C5748" s="21" t="s">
        <v>13051</v>
      </c>
      <c r="D5748" s="21" t="s">
        <v>42</v>
      </c>
      <c r="E5748" s="22" t="str">
        <f>HYPERLINK("https://twitter.com/aackthu/status/922492356565389313","922492356565389313")</f>
        <v>922492356565389313</v>
      </c>
      <c r="F5748" s="23" t="s">
        <v>769</v>
      </c>
      <c r="G5748" s="24">
        <v>1640.0</v>
      </c>
      <c r="H5748" s="24">
        <v>3050.0</v>
      </c>
      <c r="I5748" s="24">
        <v>8501.0</v>
      </c>
      <c r="J5748" s="24">
        <v>0.0</v>
      </c>
      <c r="K5748" s="23" t="s">
        <v>34</v>
      </c>
      <c r="L5748" s="25">
        <v>39829.05516203704</v>
      </c>
      <c r="M5748" s="26" t="s">
        <v>13052</v>
      </c>
      <c r="N5748" s="26" t="s">
        <v>13053</v>
      </c>
      <c r="O5748" s="22" t="str">
        <f>HYPERLINK("https://pbs.twimg.com/profile_images/570154639824154624/cw6EARnx_normal.jpeg","View")</f>
        <v>View</v>
      </c>
      <c r="P5748" s="27"/>
    </row>
    <row r="5749">
      <c r="A5749" s="14">
        <v>43031.37395833334</v>
      </c>
      <c r="B5749" s="20" t="str">
        <f>HYPERLINK("https://twitter.com/vatsamitkumar","@vatsamitkumar")</f>
        <v>@vatsamitkumar</v>
      </c>
      <c r="C5749" s="21" t="s">
        <v>13054</v>
      </c>
      <c r="D5749" s="21" t="s">
        <v>42</v>
      </c>
      <c r="E5749" s="22" t="str">
        <f>HYPERLINK("https://twitter.com/vatsamitkumar/status/922492435296587777","922492435296587777")</f>
        <v>922492435296587777</v>
      </c>
      <c r="F5749" s="23" t="s">
        <v>39</v>
      </c>
      <c r="G5749" s="24">
        <v>555.0</v>
      </c>
      <c r="H5749" s="24">
        <v>54.0</v>
      </c>
      <c r="I5749" s="24">
        <v>8501.0</v>
      </c>
      <c r="J5749" s="24">
        <v>0.0</v>
      </c>
      <c r="K5749" s="23" t="s">
        <v>34</v>
      </c>
      <c r="L5749" s="25">
        <v>41209.20721064815</v>
      </c>
      <c r="M5749" s="26" t="s">
        <v>1162</v>
      </c>
      <c r="N5749" s="28"/>
      <c r="O5749" s="22" t="str">
        <f>HYPERLINK("https://pbs.twimg.com/profile_images/678928904040505344/WXvBkVxx_normal.jpg","View")</f>
        <v>View</v>
      </c>
      <c r="P5749" s="27"/>
    </row>
    <row r="5750">
      <c r="A5750" s="14">
        <v>43031.3740162037</v>
      </c>
      <c r="B5750" s="20" t="str">
        <f>HYPERLINK("https://twitter.com/msofficial2257","@msofficial2257")</f>
        <v>@msofficial2257</v>
      </c>
      <c r="C5750" s="21" t="s">
        <v>13055</v>
      </c>
      <c r="D5750" s="21" t="s">
        <v>13056</v>
      </c>
      <c r="E5750" s="22" t="str">
        <f>HYPERLINK("https://twitter.com/msofficial2257/status/922492456091783169","922492456091783169")</f>
        <v>922492456091783169</v>
      </c>
      <c r="F5750" s="23" t="s">
        <v>33</v>
      </c>
      <c r="G5750" s="24">
        <v>82.0</v>
      </c>
      <c r="H5750" s="24">
        <v>118.0</v>
      </c>
      <c r="I5750" s="24">
        <v>0.0</v>
      </c>
      <c r="J5750" s="24">
        <v>1.0</v>
      </c>
      <c r="K5750" s="23" t="s">
        <v>34</v>
      </c>
      <c r="L5750" s="25">
        <v>42633.31454861111</v>
      </c>
      <c r="M5750" s="26" t="s">
        <v>13057</v>
      </c>
      <c r="N5750" s="26" t="s">
        <v>13058</v>
      </c>
      <c r="O5750" s="22" t="str">
        <f>HYPERLINK("https://pbs.twimg.com/profile_images/868314283259691008/x2uZEF1O_normal.jpg","View")</f>
        <v>View</v>
      </c>
      <c r="P5750" s="27"/>
    </row>
    <row r="5751">
      <c r="A5751" s="14">
        <v>43031.3740625</v>
      </c>
      <c r="B5751" s="20" t="str">
        <f>HYPERLINK("https://twitter.com/prasantamisra","@prasantamisra")</f>
        <v>@prasantamisra</v>
      </c>
      <c r="C5751" s="21" t="s">
        <v>13059</v>
      </c>
      <c r="D5751" s="21" t="s">
        <v>42</v>
      </c>
      <c r="E5751" s="22" t="str">
        <f>HYPERLINK("https://twitter.com/prasantamisra/status/922492473884123136","922492473884123136")</f>
        <v>922492473884123136</v>
      </c>
      <c r="F5751" s="23" t="s">
        <v>55</v>
      </c>
      <c r="G5751" s="24">
        <v>1160.0</v>
      </c>
      <c r="H5751" s="24">
        <v>738.0</v>
      </c>
      <c r="I5751" s="24">
        <v>8501.0</v>
      </c>
      <c r="J5751" s="24">
        <v>0.0</v>
      </c>
      <c r="K5751" s="23" t="s">
        <v>34</v>
      </c>
      <c r="L5751" s="25">
        <v>40178.89181712963</v>
      </c>
      <c r="M5751" s="26" t="s">
        <v>13060</v>
      </c>
      <c r="N5751" s="26" t="s">
        <v>13061</v>
      </c>
      <c r="O5751" s="22" t="str">
        <f>HYPERLINK("https://pbs.twimg.com/profile_images/705079382809845760/3wAOoILk_normal.jpg","View")</f>
        <v>View</v>
      </c>
      <c r="P5751" s="27"/>
    </row>
    <row r="5752">
      <c r="A5752" s="14">
        <v>43031.37412037037</v>
      </c>
      <c r="B5752" s="20" t="str">
        <f>HYPERLINK("https://twitter.com/vcondrone","@vcondrone")</f>
        <v>@vcondrone</v>
      </c>
      <c r="C5752" s="21" t="s">
        <v>13062</v>
      </c>
      <c r="D5752" s="21" t="s">
        <v>42</v>
      </c>
      <c r="E5752" s="22" t="str">
        <f>HYPERLINK("https://twitter.com/vcondrone/status/922492495497330690","922492495497330690")</f>
        <v>922492495497330690</v>
      </c>
      <c r="F5752" s="23" t="s">
        <v>43</v>
      </c>
      <c r="G5752" s="24">
        <v>272.0</v>
      </c>
      <c r="H5752" s="24">
        <v>4342.0</v>
      </c>
      <c r="I5752" s="24">
        <v>8501.0</v>
      </c>
      <c r="J5752" s="24">
        <v>0.0</v>
      </c>
      <c r="K5752" s="23" t="s">
        <v>34</v>
      </c>
      <c r="L5752" s="25">
        <v>40071.07821759259</v>
      </c>
      <c r="M5752" s="26" t="s">
        <v>10709</v>
      </c>
      <c r="N5752" s="28"/>
      <c r="O5752" s="22" t="str">
        <f>HYPERLINK("https://abs.twimg.com/sticky/default_profile_images/default_profile_normal.png","View")</f>
        <v>View</v>
      </c>
      <c r="P5752" s="27"/>
    </row>
    <row r="5753">
      <c r="A5753" s="14">
        <v>43031.37425925926</v>
      </c>
      <c r="B5753" s="20" t="str">
        <f>HYPERLINK("https://twitter.com/GeorgeLavrov","@GeorgeLavrov")</f>
        <v>@GeorgeLavrov</v>
      </c>
      <c r="C5753" s="21" t="s">
        <v>13063</v>
      </c>
      <c r="D5753" s="21" t="s">
        <v>7594</v>
      </c>
      <c r="E5753" s="22" t="str">
        <f>HYPERLINK("https://twitter.com/GeorgeLavrov/status/922492544092553218","922492544092553218")</f>
        <v>922492544092553218</v>
      </c>
      <c r="F5753" s="23" t="s">
        <v>55</v>
      </c>
      <c r="G5753" s="24">
        <v>1179.0</v>
      </c>
      <c r="H5753" s="24">
        <v>1829.0</v>
      </c>
      <c r="I5753" s="24">
        <v>10.0</v>
      </c>
      <c r="J5753" s="24">
        <v>0.0</v>
      </c>
      <c r="K5753" s="23" t="s">
        <v>34</v>
      </c>
      <c r="L5753" s="25">
        <v>40935.1003587963</v>
      </c>
      <c r="M5753" s="26" t="s">
        <v>13064</v>
      </c>
      <c r="N5753" s="26" t="s">
        <v>13065</v>
      </c>
      <c r="O5753" s="22" t="str">
        <f>HYPERLINK("https://pbs.twimg.com/profile_images/1908271324/George-Lavrov-Twitter_normal.jpg","View")</f>
        <v>View</v>
      </c>
      <c r="P5753" s="27"/>
    </row>
    <row r="5754">
      <c r="A5754" s="14">
        <v>43031.3746875</v>
      </c>
      <c r="B5754" s="20" t="str">
        <f>HYPERLINK("https://twitter.com/Praveenmp64","@Praveenmp64")</f>
        <v>@Praveenmp64</v>
      </c>
      <c r="C5754" s="21" t="s">
        <v>13066</v>
      </c>
      <c r="D5754" s="21" t="s">
        <v>42</v>
      </c>
      <c r="E5754" s="22" t="str">
        <f>HYPERLINK("https://twitter.com/Praveenmp64/status/922492700116619265","922492700116619265")</f>
        <v>922492700116619265</v>
      </c>
      <c r="F5754" s="23" t="s">
        <v>33</v>
      </c>
      <c r="G5754" s="24">
        <v>6.0</v>
      </c>
      <c r="H5754" s="24">
        <v>137.0</v>
      </c>
      <c r="I5754" s="24">
        <v>8501.0</v>
      </c>
      <c r="J5754" s="24">
        <v>0.0</v>
      </c>
      <c r="K5754" s="23" t="s">
        <v>34</v>
      </c>
      <c r="L5754" s="25">
        <v>43019.43314814815</v>
      </c>
      <c r="M5754" s="26" t="s">
        <v>603</v>
      </c>
      <c r="N5754" s="26" t="s">
        <v>13067</v>
      </c>
      <c r="O5754" s="22" t="str">
        <f>HYPERLINK("https://pbs.twimg.com/profile_images/918771099395153920/k4Glrg16_normal.jpg","View")</f>
        <v>View</v>
      </c>
      <c r="P5754" s="27"/>
    </row>
    <row r="5755">
      <c r="A5755" s="14">
        <v>43031.37472222222</v>
      </c>
      <c r="B5755" s="20" t="str">
        <f>HYPERLINK("https://twitter.com/KLComms","@KLComms")</f>
        <v>@KLComms</v>
      </c>
      <c r="C5755" s="21" t="s">
        <v>13068</v>
      </c>
      <c r="D5755" s="21" t="s">
        <v>13069</v>
      </c>
      <c r="E5755" s="22" t="str">
        <f>HYPERLINK("https://twitter.com/KLComms/status/922492712779223041","922492712779223041")</f>
        <v>922492712779223041</v>
      </c>
      <c r="F5755" s="23" t="s">
        <v>55</v>
      </c>
      <c r="G5755" s="24">
        <v>660.0</v>
      </c>
      <c r="H5755" s="24">
        <v>786.0</v>
      </c>
      <c r="I5755" s="24">
        <v>3.0</v>
      </c>
      <c r="J5755" s="24">
        <v>3.0</v>
      </c>
      <c r="K5755" s="23" t="s">
        <v>34</v>
      </c>
      <c r="L5755" s="25">
        <v>41276.74377314815</v>
      </c>
      <c r="M5755" s="26" t="s">
        <v>334</v>
      </c>
      <c r="N5755" s="26" t="s">
        <v>13070</v>
      </c>
      <c r="O5755" s="22" t="str">
        <f>HYPERLINK("https://pbs.twimg.com/profile_images/3525535629/0c9ef1dbdbd38f5ce7e08a47810e18b5_normal.jpeg","View")</f>
        <v>View</v>
      </c>
      <c r="P5755" s="27"/>
    </row>
    <row r="5756">
      <c r="A5756" s="14">
        <v>43031.3747337963</v>
      </c>
      <c r="B5756" s="20" t="str">
        <f>HYPERLINK("https://twitter.com/kyamada","@kyamada")</f>
        <v>@kyamada</v>
      </c>
      <c r="C5756" s="21" t="s">
        <v>13071</v>
      </c>
      <c r="D5756" s="21" t="s">
        <v>42</v>
      </c>
      <c r="E5756" s="22" t="str">
        <f>HYPERLINK("https://twitter.com/kyamada/status/922492715903852544","922492715903852544")</f>
        <v>922492715903852544</v>
      </c>
      <c r="F5756" s="23" t="s">
        <v>39</v>
      </c>
      <c r="G5756" s="24">
        <v>397.0</v>
      </c>
      <c r="H5756" s="24">
        <v>673.0</v>
      </c>
      <c r="I5756" s="24">
        <v>8501.0</v>
      </c>
      <c r="J5756" s="24">
        <v>0.0</v>
      </c>
      <c r="K5756" s="23" t="s">
        <v>34</v>
      </c>
      <c r="L5756" s="25">
        <v>39208.39655092593</v>
      </c>
      <c r="M5756" s="26" t="s">
        <v>13072</v>
      </c>
      <c r="N5756" s="26" t="s">
        <v>13073</v>
      </c>
      <c r="O5756" s="22" t="str">
        <f>HYPERLINK("https://pbs.twimg.com/profile_images/915749438953472000/k-p_1u_o_normal.jpg","View")</f>
        <v>View</v>
      </c>
      <c r="P5756" s="27"/>
    </row>
    <row r="5757">
      <c r="A5757" s="14">
        <v>43031.37474537037</v>
      </c>
      <c r="B5757" s="20" t="str">
        <f>HYPERLINK("https://twitter.com/shahin_gourgi","@shahin_gourgi")</f>
        <v>@shahin_gourgi</v>
      </c>
      <c r="C5757" s="21" t="s">
        <v>13074</v>
      </c>
      <c r="D5757" s="21" t="s">
        <v>13075</v>
      </c>
      <c r="E5757" s="22" t="str">
        <f>HYPERLINK("https://twitter.com/shahin_gourgi/status/922492722459574273","922492722459574273")</f>
        <v>922492722459574273</v>
      </c>
      <c r="F5757" s="23" t="s">
        <v>55</v>
      </c>
      <c r="G5757" s="24">
        <v>873.0</v>
      </c>
      <c r="H5757" s="24">
        <v>922.0</v>
      </c>
      <c r="I5757" s="24">
        <v>0.0</v>
      </c>
      <c r="J5757" s="24">
        <v>0.0</v>
      </c>
      <c r="K5757" s="23" t="s">
        <v>34</v>
      </c>
      <c r="L5757" s="25">
        <v>40367.40133101852</v>
      </c>
      <c r="M5757" s="26" t="s">
        <v>6419</v>
      </c>
      <c r="N5757" s="26" t="s">
        <v>13076</v>
      </c>
      <c r="O5757" s="22" t="str">
        <f>HYPERLINK("https://pbs.twimg.com/profile_images/911556556117901313/JI_BVlEN_normal.jpg","View")</f>
        <v>View</v>
      </c>
      <c r="P5757" s="27"/>
    </row>
    <row r="5758">
      <c r="A5758" s="14">
        <v>43031.374826388885</v>
      </c>
      <c r="B5758" s="20" t="str">
        <f>HYPERLINK("https://twitter.com/tdalmoe","@tdalmoe")</f>
        <v>@tdalmoe</v>
      </c>
      <c r="C5758" s="21" t="s">
        <v>13077</v>
      </c>
      <c r="D5758" s="21" t="s">
        <v>13078</v>
      </c>
      <c r="E5758" s="22" t="str">
        <f>HYPERLINK("https://twitter.com/tdalmoe/status/922492750142033921","922492750142033921")</f>
        <v>922492750142033921</v>
      </c>
      <c r="F5758" s="23" t="s">
        <v>55</v>
      </c>
      <c r="G5758" s="24">
        <v>1833.0</v>
      </c>
      <c r="H5758" s="24">
        <v>1804.0</v>
      </c>
      <c r="I5758" s="24">
        <v>0.0</v>
      </c>
      <c r="J5758" s="24">
        <v>0.0</v>
      </c>
      <c r="K5758" s="23" t="s">
        <v>34</v>
      </c>
      <c r="L5758" s="25">
        <v>39881.52328703704</v>
      </c>
      <c r="M5758" s="26" t="s">
        <v>13079</v>
      </c>
      <c r="N5758" s="26" t="s">
        <v>13080</v>
      </c>
      <c r="O5758" s="22" t="str">
        <f>HYPERLINK("https://pbs.twimg.com/profile_images/910516007390900225/APkEg9rd_normal.jpg","View")</f>
        <v>View</v>
      </c>
      <c r="P5758" s="27"/>
    </row>
    <row r="5759">
      <c r="A5759" s="14">
        <v>43031.37501157407</v>
      </c>
      <c r="B5759" s="20" t="str">
        <f>HYPERLINK("https://twitter.com/Diplomat_APAC","@Diplomat_APAC")</f>
        <v>@Diplomat_APAC</v>
      </c>
      <c r="C5759" s="21" t="s">
        <v>13081</v>
      </c>
      <c r="D5759" s="21" t="s">
        <v>13082</v>
      </c>
      <c r="E5759" s="22" t="str">
        <f>HYPERLINK("https://twitter.com/Diplomat_APAC/status/922492818001711104","922492818001711104")</f>
        <v>922492818001711104</v>
      </c>
      <c r="F5759" s="23" t="s">
        <v>4619</v>
      </c>
      <c r="G5759" s="24">
        <v>123579.0</v>
      </c>
      <c r="H5759" s="24">
        <v>936.0</v>
      </c>
      <c r="I5759" s="24">
        <v>5.0</v>
      </c>
      <c r="J5759" s="24">
        <v>7.0</v>
      </c>
      <c r="K5759" s="23" t="s">
        <v>34</v>
      </c>
      <c r="L5759" s="25">
        <v>39946.87609953704</v>
      </c>
      <c r="M5759" s="26" t="s">
        <v>853</v>
      </c>
      <c r="N5759" s="26" t="s">
        <v>13083</v>
      </c>
      <c r="O5759" s="22" t="str">
        <f>HYPERLINK("https://pbs.twimg.com/profile_images/467094173451964416/GfT5-toV_normal.png","View")</f>
        <v>View</v>
      </c>
      <c r="P5759" s="27"/>
    </row>
    <row r="5760">
      <c r="A5760" s="14">
        <v>43031.37511574074</v>
      </c>
      <c r="B5760" s="20" t="str">
        <f>HYPERLINK("https://twitter.com/tgya22","@tgya22")</f>
        <v>@tgya22</v>
      </c>
      <c r="C5760" s="21" t="s">
        <v>13084</v>
      </c>
      <c r="D5760" s="21" t="s">
        <v>13085</v>
      </c>
      <c r="E5760" s="22" t="str">
        <f>HYPERLINK("https://twitter.com/tgya22/status/922492854303420416","922492854303420416")</f>
        <v>922492854303420416</v>
      </c>
      <c r="F5760" s="23" t="s">
        <v>33</v>
      </c>
      <c r="G5760" s="24">
        <v>1515.0</v>
      </c>
      <c r="H5760" s="24">
        <v>2746.0</v>
      </c>
      <c r="I5760" s="24">
        <v>3.0</v>
      </c>
      <c r="J5760" s="24">
        <v>0.0</v>
      </c>
      <c r="K5760" s="23" t="s">
        <v>34</v>
      </c>
      <c r="L5760" s="25">
        <v>41343.89665509259</v>
      </c>
      <c r="M5760" s="26" t="s">
        <v>13086</v>
      </c>
      <c r="N5760" s="26" t="s">
        <v>13087</v>
      </c>
      <c r="O5760" s="22" t="str">
        <f>HYPERLINK("https://pbs.twimg.com/profile_images/851273865246330881/DLM7EtN3_normal.jpg","View")</f>
        <v>View</v>
      </c>
      <c r="P5760" s="27"/>
    </row>
    <row r="5761">
      <c r="A5761" s="14">
        <v>43031.375173611115</v>
      </c>
      <c r="B5761" s="20" t="str">
        <f>HYPERLINK("https://twitter.com/Bp_Yadav","@Bp_Yadav")</f>
        <v>@Bp_Yadav</v>
      </c>
      <c r="C5761" s="21" t="s">
        <v>13088</v>
      </c>
      <c r="D5761" s="21" t="s">
        <v>42</v>
      </c>
      <c r="E5761" s="22" t="str">
        <f>HYPERLINK("https://twitter.com/Bp_Yadav/status/922492878559043584","922492878559043584")</f>
        <v>922492878559043584</v>
      </c>
      <c r="F5761" s="23" t="s">
        <v>33</v>
      </c>
      <c r="G5761" s="24">
        <v>389.0</v>
      </c>
      <c r="H5761" s="24">
        <v>757.0</v>
      </c>
      <c r="I5761" s="24">
        <v>8501.0</v>
      </c>
      <c r="J5761" s="24">
        <v>0.0</v>
      </c>
      <c r="K5761" s="23" t="s">
        <v>34</v>
      </c>
      <c r="L5761" s="25">
        <v>40311.91349537037</v>
      </c>
      <c r="M5761" s="26" t="s">
        <v>2189</v>
      </c>
      <c r="N5761" s="26" t="s">
        <v>13089</v>
      </c>
      <c r="O5761" s="22" t="str">
        <f>HYPERLINK("https://pbs.twimg.com/profile_images/911240948579028992/0dXjBLTa_normal.jpg","View")</f>
        <v>View</v>
      </c>
      <c r="P5761" s="27"/>
    </row>
    <row r="5762">
      <c r="A5762" s="14">
        <v>43031.375196759254</v>
      </c>
      <c r="B5762" s="20" t="str">
        <f>HYPERLINK("https://twitter.com/shivkranchi","@shivkranchi")</f>
        <v>@shivkranchi</v>
      </c>
      <c r="C5762" s="21" t="s">
        <v>815</v>
      </c>
      <c r="D5762" s="21" t="s">
        <v>42</v>
      </c>
      <c r="E5762" s="22" t="str">
        <f>HYPERLINK("https://twitter.com/shivkranchi/status/922492883004882944","922492883004882944")</f>
        <v>922492883004882944</v>
      </c>
      <c r="F5762" s="23" t="s">
        <v>43</v>
      </c>
      <c r="G5762" s="24">
        <v>2.0</v>
      </c>
      <c r="H5762" s="24">
        <v>17.0</v>
      </c>
      <c r="I5762" s="24">
        <v>8501.0</v>
      </c>
      <c r="J5762" s="24">
        <v>0.0</v>
      </c>
      <c r="K5762" s="23" t="s">
        <v>34</v>
      </c>
      <c r="L5762" s="25">
        <v>41052.94256944444</v>
      </c>
      <c r="M5762" s="26" t="s">
        <v>13090</v>
      </c>
      <c r="N5762" s="26" t="s">
        <v>13091</v>
      </c>
      <c r="O5762" s="22" t="str">
        <f>HYPERLINK("https://abs.twimg.com/sticky/default_profile_images/default_profile_normal.png","View")</f>
        <v>View</v>
      </c>
      <c r="P5762" s="27"/>
    </row>
    <row r="5763">
      <c r="A5763" s="14">
        <v>43031.375289351854</v>
      </c>
      <c r="B5763" s="20" t="str">
        <f>HYPERLINK("https://twitter.com/headbayo","@headbayo")</f>
        <v>@headbayo</v>
      </c>
      <c r="C5763" s="21" t="s">
        <v>13092</v>
      </c>
      <c r="D5763" s="21" t="s">
        <v>13093</v>
      </c>
      <c r="E5763" s="22" t="str">
        <f>HYPERLINK("https://twitter.com/headbayo/status/922492919910629378","922492919910629378")</f>
        <v>922492919910629378</v>
      </c>
      <c r="F5763" s="23" t="s">
        <v>427</v>
      </c>
      <c r="G5763" s="24">
        <v>3441.0</v>
      </c>
      <c r="H5763" s="24">
        <v>3731.0</v>
      </c>
      <c r="I5763" s="24">
        <v>0.0</v>
      </c>
      <c r="J5763" s="24">
        <v>0.0</v>
      </c>
      <c r="K5763" s="23" t="s">
        <v>34</v>
      </c>
      <c r="L5763" s="25">
        <v>41292.536099537036</v>
      </c>
      <c r="M5763" s="26" t="s">
        <v>13094</v>
      </c>
      <c r="N5763" s="26" t="s">
        <v>13095</v>
      </c>
      <c r="O5763" s="22" t="str">
        <f>HYPERLINK("https://pbs.twimg.com/profile_images/737420108906287107/bLh0myJc_normal.jpg","View")</f>
        <v>View</v>
      </c>
      <c r="P5763" s="27"/>
    </row>
    <row r="5764">
      <c r="A5764" s="14">
        <v>43031.375439814816</v>
      </c>
      <c r="B5764" s="20" t="str">
        <f>HYPERLINK("https://twitter.com/lovejapan_2020","@lovejapan_2020")</f>
        <v>@lovejapan_2020</v>
      </c>
      <c r="C5764" s="21" t="s">
        <v>3106</v>
      </c>
      <c r="D5764" s="21" t="s">
        <v>12974</v>
      </c>
      <c r="E5764" s="22" t="str">
        <f>HYPERLINK("https://twitter.com/lovejapan_2020/status/922492974860083200","922492974860083200")</f>
        <v>922492974860083200</v>
      </c>
      <c r="F5764" s="23" t="s">
        <v>55</v>
      </c>
      <c r="G5764" s="24">
        <v>3170.0</v>
      </c>
      <c r="H5764" s="24">
        <v>4399.0</v>
      </c>
      <c r="I5764" s="24">
        <v>110.0</v>
      </c>
      <c r="J5764" s="24">
        <v>0.0</v>
      </c>
      <c r="K5764" s="23" t="s">
        <v>34</v>
      </c>
      <c r="L5764" s="25">
        <v>42977.0196875</v>
      </c>
      <c r="M5764" s="26" t="s">
        <v>71</v>
      </c>
      <c r="N5764" s="26" t="s">
        <v>3107</v>
      </c>
      <c r="O5764" s="22" t="str">
        <f>HYPERLINK("https://pbs.twimg.com/profile_images/917064753742090240/SJG9kbNg_normal.jpg","View")</f>
        <v>View</v>
      </c>
      <c r="P5764" s="27"/>
    </row>
    <row r="5765">
      <c r="A5765" s="14">
        <v>43031.37547453704</v>
      </c>
      <c r="B5765" s="20" t="str">
        <f>HYPERLINK("https://twitter.com/anilchaprana","@anilchaprana")</f>
        <v>@anilchaprana</v>
      </c>
      <c r="C5765" s="21" t="s">
        <v>13096</v>
      </c>
      <c r="D5765" s="21" t="s">
        <v>42</v>
      </c>
      <c r="E5765" s="22" t="str">
        <f>HYPERLINK("https://twitter.com/anilchaprana/status/922492984427507717","922492984427507717")</f>
        <v>922492984427507717</v>
      </c>
      <c r="F5765" s="23" t="s">
        <v>33</v>
      </c>
      <c r="G5765" s="24">
        <v>59.0</v>
      </c>
      <c r="H5765" s="24">
        <v>437.0</v>
      </c>
      <c r="I5765" s="24">
        <v>8501.0</v>
      </c>
      <c r="J5765" s="24">
        <v>0.0</v>
      </c>
      <c r="K5765" s="23" t="s">
        <v>34</v>
      </c>
      <c r="L5765" s="25">
        <v>40485.029699074075</v>
      </c>
      <c r="M5765" s="26" t="s">
        <v>1532</v>
      </c>
      <c r="N5765" s="28"/>
      <c r="O5765" s="22" t="str">
        <f>HYPERLINK("https://pbs.twimg.com/profile_images/717400386785546240/8dNr773__normal.jpg","View")</f>
        <v>View</v>
      </c>
      <c r="P5765" s="27"/>
    </row>
    <row r="5766">
      <c r="A5766" s="14">
        <v>43031.375497685185</v>
      </c>
      <c r="B5766" s="20" t="str">
        <f>HYPERLINK("https://twitter.com/KeepWalkingSon","@KeepWalkingSon")</f>
        <v>@KeepWalkingSon</v>
      </c>
      <c r="C5766" s="21" t="s">
        <v>13097</v>
      </c>
      <c r="D5766" s="21" t="s">
        <v>42</v>
      </c>
      <c r="E5766" s="22" t="str">
        <f>HYPERLINK("https://twitter.com/KeepWalkingSon/status/922492994049130496","922492994049130496")</f>
        <v>922492994049130496</v>
      </c>
      <c r="F5766" s="23" t="s">
        <v>39</v>
      </c>
      <c r="G5766" s="24">
        <v>97.0</v>
      </c>
      <c r="H5766" s="24">
        <v>568.0</v>
      </c>
      <c r="I5766" s="24">
        <v>8501.0</v>
      </c>
      <c r="J5766" s="24">
        <v>0.0</v>
      </c>
      <c r="K5766" s="23" t="s">
        <v>34</v>
      </c>
      <c r="L5766" s="25">
        <v>40234.98280092592</v>
      </c>
      <c r="M5766" s="28"/>
      <c r="N5766" s="28"/>
      <c r="O5766" s="22" t="str">
        <f>HYPERLINK("https://pbs.twimg.com/profile_images/922655279430303744/4QkjbvMj_normal.jpg","View")</f>
        <v>View</v>
      </c>
      <c r="P5766" s="27"/>
    </row>
    <row r="5767">
      <c r="A5767" s="14">
        <v>43031.375543981485</v>
      </c>
      <c r="B5767" s="20" t="str">
        <f>HYPERLINK("https://twitter.com/johangreg","@johangreg")</f>
        <v>@johangreg</v>
      </c>
      <c r="C5767" s="21" t="s">
        <v>12457</v>
      </c>
      <c r="D5767" s="21" t="s">
        <v>12314</v>
      </c>
      <c r="E5767" s="22" t="str">
        <f>HYPERLINK("https://twitter.com/johangreg/status/922493009291177984","922493009291177984")</f>
        <v>922493009291177984</v>
      </c>
      <c r="F5767" s="23" t="s">
        <v>39</v>
      </c>
      <c r="G5767" s="24">
        <v>2077.0</v>
      </c>
      <c r="H5767" s="24">
        <v>807.0</v>
      </c>
      <c r="I5767" s="24">
        <v>3.0</v>
      </c>
      <c r="J5767" s="24">
        <v>0.0</v>
      </c>
      <c r="K5767" s="23" t="s">
        <v>34</v>
      </c>
      <c r="L5767" s="25">
        <v>39704.378067129626</v>
      </c>
      <c r="M5767" s="26" t="s">
        <v>12458</v>
      </c>
      <c r="N5767" s="26" t="s">
        <v>12459</v>
      </c>
      <c r="O5767" s="22" t="str">
        <f>HYPERLINK("https://pbs.twimg.com/profile_images/894369129217445888/EjyEiKAz_normal.jpg","View")</f>
        <v>View</v>
      </c>
      <c r="P5767" s="27"/>
    </row>
    <row r="5768">
      <c r="A5768" s="14">
        <v>43031.375798611116</v>
      </c>
      <c r="B5768" s="20" t="str">
        <f>HYPERLINK("https://twitter.com/klkaz","@klkaz")</f>
        <v>@klkaz</v>
      </c>
      <c r="C5768" s="21" t="s">
        <v>13098</v>
      </c>
      <c r="D5768" s="21" t="s">
        <v>10614</v>
      </c>
      <c r="E5768" s="22" t="str">
        <f>HYPERLINK("https://twitter.com/klkaz/status/922493101087903744","922493101087903744")</f>
        <v>922493101087903744</v>
      </c>
      <c r="F5768" s="23" t="s">
        <v>3572</v>
      </c>
      <c r="G5768" s="24">
        <v>1105.0</v>
      </c>
      <c r="H5768" s="24">
        <v>915.0</v>
      </c>
      <c r="I5768" s="24">
        <v>159.0</v>
      </c>
      <c r="J5768" s="24">
        <v>0.0</v>
      </c>
      <c r="K5768" s="23" t="s">
        <v>34</v>
      </c>
      <c r="L5768" s="25">
        <v>39890.66993055555</v>
      </c>
      <c r="M5768" s="28"/>
      <c r="N5768" s="26" t="s">
        <v>13099</v>
      </c>
      <c r="O5768" s="22" t="str">
        <f>HYPERLINK("https://pbs.twimg.com/profile_images/839669206119497728/3ybOJcet_normal.jpg","View")</f>
        <v>View</v>
      </c>
      <c r="P5768" s="27"/>
    </row>
    <row r="5769">
      <c r="A5769" s="14">
        <v>43031.37585648148</v>
      </c>
      <c r="B5769" s="20" t="str">
        <f>HYPERLINK("https://twitter.com/johangreg","@johangreg")</f>
        <v>@johangreg</v>
      </c>
      <c r="C5769" s="21" t="s">
        <v>12457</v>
      </c>
      <c r="D5769" s="21" t="s">
        <v>11750</v>
      </c>
      <c r="E5769" s="22" t="str">
        <f>HYPERLINK("https://twitter.com/johangreg/status/922493122440970242","922493122440970242")</f>
        <v>922493122440970242</v>
      </c>
      <c r="F5769" s="23" t="s">
        <v>39</v>
      </c>
      <c r="G5769" s="24">
        <v>2077.0</v>
      </c>
      <c r="H5769" s="24">
        <v>807.0</v>
      </c>
      <c r="I5769" s="24">
        <v>35.0</v>
      </c>
      <c r="J5769" s="24">
        <v>0.0</v>
      </c>
      <c r="K5769" s="23" t="s">
        <v>34</v>
      </c>
      <c r="L5769" s="25">
        <v>39704.378067129626</v>
      </c>
      <c r="M5769" s="26" t="s">
        <v>12458</v>
      </c>
      <c r="N5769" s="26" t="s">
        <v>12459</v>
      </c>
      <c r="O5769" s="22" t="str">
        <f>HYPERLINK("https://pbs.twimg.com/profile_images/894369129217445888/EjyEiKAz_normal.jpg","View")</f>
        <v>View</v>
      </c>
      <c r="P5769" s="27"/>
    </row>
    <row r="5770">
      <c r="A5770" s="14">
        <v>43031.37585648148</v>
      </c>
      <c r="B5770" s="20" t="str">
        <f>HYPERLINK("https://twitter.com/LeRoyMoco","@LeRoyMoco")</f>
        <v>@LeRoyMoco</v>
      </c>
      <c r="C5770" s="21" t="s">
        <v>13100</v>
      </c>
      <c r="D5770" s="21" t="s">
        <v>13101</v>
      </c>
      <c r="E5770" s="22" t="str">
        <f>HYPERLINK("https://twitter.com/LeRoyMoco/status/922493122898202624","922493122898202624")</f>
        <v>922493122898202624</v>
      </c>
      <c r="F5770" s="23" t="s">
        <v>7534</v>
      </c>
      <c r="G5770" s="24">
        <v>1763.0</v>
      </c>
      <c r="H5770" s="24">
        <v>1365.0</v>
      </c>
      <c r="I5770" s="24">
        <v>0.0</v>
      </c>
      <c r="J5770" s="24">
        <v>0.0</v>
      </c>
      <c r="K5770" s="23" t="s">
        <v>34</v>
      </c>
      <c r="L5770" s="25">
        <v>40381.26813657407</v>
      </c>
      <c r="M5770" s="26" t="s">
        <v>13102</v>
      </c>
      <c r="N5770" s="26" t="s">
        <v>13103</v>
      </c>
      <c r="O5770" s="22" t="str">
        <f>HYPERLINK("https://pbs.twimg.com/profile_images/921865354036510721/UaWC7ucR_normal.jpg","View")</f>
        <v>View</v>
      </c>
      <c r="P5770" s="27"/>
    </row>
    <row r="5771">
      <c r="A5771" s="14">
        <v>43031.375914351855</v>
      </c>
      <c r="B5771" s="20" t="str">
        <f>HYPERLINK("https://twitter.com/GaingBas","@GaingBas")</f>
        <v>@GaingBas</v>
      </c>
      <c r="C5771" s="21" t="s">
        <v>13104</v>
      </c>
      <c r="D5771" s="21" t="s">
        <v>1642</v>
      </c>
      <c r="E5771" s="22" t="str">
        <f>HYPERLINK("https://twitter.com/GaingBas/status/922493145949933569","922493145949933569")</f>
        <v>922493145949933569</v>
      </c>
      <c r="F5771" s="23" t="s">
        <v>33</v>
      </c>
      <c r="G5771" s="24">
        <v>1202.0</v>
      </c>
      <c r="H5771" s="24">
        <v>4868.0</v>
      </c>
      <c r="I5771" s="24">
        <v>199.0</v>
      </c>
      <c r="J5771" s="24">
        <v>0.0</v>
      </c>
      <c r="K5771" s="23" t="s">
        <v>34</v>
      </c>
      <c r="L5771" s="25">
        <v>40114.169583333336</v>
      </c>
      <c r="M5771" s="26" t="s">
        <v>13105</v>
      </c>
      <c r="N5771" s="26" t="s">
        <v>13106</v>
      </c>
      <c r="O5771" s="22" t="str">
        <f>HYPERLINK("https://pbs.twimg.com/profile_images/582714694676267008/peqHe6hm_normal.jpg","View")</f>
        <v>View</v>
      </c>
      <c r="P5771" s="27"/>
    </row>
    <row r="5772">
      <c r="A5772" s="14">
        <v>43031.37609953704</v>
      </c>
      <c r="B5772" s="20" t="str">
        <f>HYPERLINK("https://twitter.com/AllianzGI_Media","@AllianzGI_Media")</f>
        <v>@AllianzGI_Media</v>
      </c>
      <c r="C5772" s="21" t="s">
        <v>13107</v>
      </c>
      <c r="D5772" s="21" t="s">
        <v>13108</v>
      </c>
      <c r="E5772" s="22" t="str">
        <f>HYPERLINK("https://twitter.com/AllianzGI_Media/status/922493213998542853","922493213998542853")</f>
        <v>922493213998542853</v>
      </c>
      <c r="F5772" s="23" t="s">
        <v>427</v>
      </c>
      <c r="G5772" s="24">
        <v>2764.0</v>
      </c>
      <c r="H5772" s="24">
        <v>2456.0</v>
      </c>
      <c r="I5772" s="24">
        <v>1.0</v>
      </c>
      <c r="J5772" s="24">
        <v>1.0</v>
      </c>
      <c r="K5772" s="23" t="s">
        <v>34</v>
      </c>
      <c r="L5772" s="25">
        <v>40897.41292824074</v>
      </c>
      <c r="M5772" s="28"/>
      <c r="N5772" s="26" t="s">
        <v>13109</v>
      </c>
      <c r="O5772" s="22" t="str">
        <f>HYPERLINK("https://pbs.twimg.com/profile_images/901099583132094464/JRkrIiV1_normal.jpg","View")</f>
        <v>View</v>
      </c>
      <c r="P5772" s="27"/>
    </row>
    <row r="5773">
      <c r="A5773" s="14">
        <v>43031.37622685185</v>
      </c>
      <c r="B5773" s="20" t="str">
        <f>HYPERLINK("https://twitter.com/UrmilaRawat6","@UrmilaRawat6")</f>
        <v>@UrmilaRawat6</v>
      </c>
      <c r="C5773" s="21" t="s">
        <v>13110</v>
      </c>
      <c r="D5773" s="21" t="s">
        <v>42</v>
      </c>
      <c r="E5773" s="22" t="str">
        <f>HYPERLINK("https://twitter.com/UrmilaRawat6/status/922493256658837504","922493256658837504")</f>
        <v>922493256658837504</v>
      </c>
      <c r="F5773" s="23" t="s">
        <v>33</v>
      </c>
      <c r="G5773" s="24">
        <v>30.0</v>
      </c>
      <c r="H5773" s="24">
        <v>14.0</v>
      </c>
      <c r="I5773" s="24">
        <v>8501.0</v>
      </c>
      <c r="J5773" s="24">
        <v>0.0</v>
      </c>
      <c r="K5773" s="23" t="s">
        <v>34</v>
      </c>
      <c r="L5773" s="25">
        <v>42992.857187500005</v>
      </c>
      <c r="M5773" s="26" t="s">
        <v>575</v>
      </c>
      <c r="N5773" s="26" t="s">
        <v>13111</v>
      </c>
      <c r="O5773" s="22" t="str">
        <f>HYPERLINK("https://pbs.twimg.com/profile_images/908635091227701249/o61AxtBi_normal.jpg","View")</f>
        <v>View</v>
      </c>
      <c r="P5773" s="27"/>
    </row>
    <row r="5774">
      <c r="A5774" s="14">
        <v>43031.376284722224</v>
      </c>
      <c r="B5774" s="20" t="str">
        <f>HYPERLINK("https://twitter.com/SrimantaDas0","@SrimantaDas0")</f>
        <v>@SrimantaDas0</v>
      </c>
      <c r="C5774" s="21" t="s">
        <v>13112</v>
      </c>
      <c r="D5774" s="21" t="s">
        <v>42</v>
      </c>
      <c r="E5774" s="22" t="str">
        <f>HYPERLINK("https://twitter.com/SrimantaDas0/status/922493280394162177","922493280394162177")</f>
        <v>922493280394162177</v>
      </c>
      <c r="F5774" s="23" t="s">
        <v>33</v>
      </c>
      <c r="G5774" s="24">
        <v>8.0</v>
      </c>
      <c r="H5774" s="24">
        <v>76.0</v>
      </c>
      <c r="I5774" s="24">
        <v>8501.0</v>
      </c>
      <c r="J5774" s="24">
        <v>0.0</v>
      </c>
      <c r="K5774" s="23" t="s">
        <v>34</v>
      </c>
      <c r="L5774" s="25">
        <v>40779.02212962963</v>
      </c>
      <c r="M5774" s="28"/>
      <c r="N5774" s="26" t="s">
        <v>13113</v>
      </c>
      <c r="O5774" s="22" t="str">
        <f>HYPERLINK("https://abs.twimg.com/sticky/default_profile_images/default_profile_normal.png","View")</f>
        <v>View</v>
      </c>
      <c r="P5774" s="27"/>
    </row>
    <row r="5775">
      <c r="A5775" s="14">
        <v>43031.376296296294</v>
      </c>
      <c r="B5775" s="20" t="str">
        <f>HYPERLINK("https://twitter.com/Idevashisraturi","@Idevashisraturi")</f>
        <v>@Idevashisraturi</v>
      </c>
      <c r="C5775" s="21" t="s">
        <v>13114</v>
      </c>
      <c r="D5775" s="21" t="s">
        <v>42</v>
      </c>
      <c r="E5775" s="22" t="str">
        <f>HYPERLINK("https://twitter.com/Idevashisraturi/status/922493284034912256","922493284034912256")</f>
        <v>922493284034912256</v>
      </c>
      <c r="F5775" s="23" t="s">
        <v>33</v>
      </c>
      <c r="G5775" s="24">
        <v>9.0</v>
      </c>
      <c r="H5775" s="24">
        <v>91.0</v>
      </c>
      <c r="I5775" s="24">
        <v>8501.0</v>
      </c>
      <c r="J5775" s="24">
        <v>0.0</v>
      </c>
      <c r="K5775" s="23" t="s">
        <v>34</v>
      </c>
      <c r="L5775" s="25">
        <v>42588.05045138889</v>
      </c>
      <c r="M5775" s="28"/>
      <c r="N5775" s="28"/>
      <c r="O5775" s="22" t="str">
        <f>HYPERLINK("https://pbs.twimg.com/profile_images/872749096922001409/Op7fMci9_normal.jpg","View")</f>
        <v>View</v>
      </c>
      <c r="P5775" s="27"/>
    </row>
    <row r="5776">
      <c r="A5776" s="14">
        <v>43031.37648148148</v>
      </c>
      <c r="B5776" s="20" t="str">
        <f>HYPERLINK("https://twitter.com/Milatrud11","@Milatrud11")</f>
        <v>@Milatrud11</v>
      </c>
      <c r="C5776" s="21" t="s">
        <v>9093</v>
      </c>
      <c r="D5776" s="21" t="s">
        <v>67</v>
      </c>
      <c r="E5776" s="22" t="str">
        <f>HYPERLINK("https://twitter.com/Milatrud11/status/922493349495492608","922493349495492608")</f>
        <v>922493349495492608</v>
      </c>
      <c r="F5776" s="23" t="s">
        <v>55</v>
      </c>
      <c r="G5776" s="24">
        <v>2451.0</v>
      </c>
      <c r="H5776" s="24">
        <v>2999.0</v>
      </c>
      <c r="I5776" s="24">
        <v>169.0</v>
      </c>
      <c r="J5776" s="24">
        <v>0.0</v>
      </c>
      <c r="K5776" s="23" t="s">
        <v>34</v>
      </c>
      <c r="L5776" s="25">
        <v>41336.07363425926</v>
      </c>
      <c r="M5776" s="28"/>
      <c r="N5776" s="26" t="s">
        <v>9095</v>
      </c>
      <c r="O5776" s="22" t="str">
        <f>HYPERLINK("https://abs.twimg.com/sticky/default_profile_images/default_profile_normal.png","View")</f>
        <v>View</v>
      </c>
      <c r="P5776" s="27"/>
    </row>
    <row r="5777">
      <c r="A5777" s="14">
        <v>43031.37648148148</v>
      </c>
      <c r="B5777" s="20" t="str">
        <f>HYPERLINK("https://twitter.com/drshivramsinwar","@drshivramsinwar")</f>
        <v>@drshivramsinwar</v>
      </c>
      <c r="C5777" s="21" t="s">
        <v>13115</v>
      </c>
      <c r="D5777" s="21" t="s">
        <v>42</v>
      </c>
      <c r="E5777" s="22" t="str">
        <f>HYPERLINK("https://twitter.com/drshivramsinwar/status/922493349692502016","922493349692502016")</f>
        <v>922493349692502016</v>
      </c>
      <c r="F5777" s="23" t="s">
        <v>33</v>
      </c>
      <c r="G5777" s="24">
        <v>522.0</v>
      </c>
      <c r="H5777" s="24">
        <v>801.0</v>
      </c>
      <c r="I5777" s="24">
        <v>8501.0</v>
      </c>
      <c r="J5777" s="24">
        <v>0.0</v>
      </c>
      <c r="K5777" s="23" t="s">
        <v>34</v>
      </c>
      <c r="L5777" s="25">
        <v>41741.514328703706</v>
      </c>
      <c r="M5777" s="26" t="s">
        <v>13116</v>
      </c>
      <c r="N5777" s="26" t="s">
        <v>13117</v>
      </c>
      <c r="O5777" s="22" t="str">
        <f>HYPERLINK("https://pbs.twimg.com/profile_images/900700574080835584/yqQbGdDZ_normal.jpg","View")</f>
        <v>View</v>
      </c>
      <c r="P5777" s="27"/>
    </row>
    <row r="5778">
      <c r="A5778" s="14">
        <v>43031.376655092594</v>
      </c>
      <c r="B5778" s="20" t="str">
        <f>HYPERLINK("https://twitter.com/cloud_stream","@cloud_stream")</f>
        <v>@cloud_stream</v>
      </c>
      <c r="C5778" s="21" t="s">
        <v>13118</v>
      </c>
      <c r="D5778" s="21" t="s">
        <v>13119</v>
      </c>
      <c r="E5778" s="22" t="str">
        <f>HYPERLINK("https://twitter.com/cloud_stream/status/922493414142238722","922493414142238722")</f>
        <v>922493414142238722</v>
      </c>
      <c r="F5778" s="23" t="s">
        <v>33</v>
      </c>
      <c r="G5778" s="24">
        <v>790.0</v>
      </c>
      <c r="H5778" s="24">
        <v>349.0</v>
      </c>
      <c r="I5778" s="24">
        <v>6.0</v>
      </c>
      <c r="J5778" s="24">
        <v>0.0</v>
      </c>
      <c r="K5778" s="23" t="s">
        <v>34</v>
      </c>
      <c r="L5778" s="25">
        <v>40271.88043981481</v>
      </c>
      <c r="M5778" s="26" t="s">
        <v>13120</v>
      </c>
      <c r="N5778" s="26" t="s">
        <v>13121</v>
      </c>
      <c r="O5778" s="22" t="str">
        <f>HYPERLINK("https://pbs.twimg.com/profile_images/1596321054/ebec64ee-dc87-4a04-ba82-55c73c16ba46_normal.png","View")</f>
        <v>View</v>
      </c>
      <c r="P5778" s="27"/>
    </row>
    <row r="5779">
      <c r="A5779" s="14">
        <v>43031.37666666666</v>
      </c>
      <c r="B5779" s="20" t="str">
        <f>HYPERLINK("https://twitter.com/Milatrud11","@Milatrud11")</f>
        <v>@Milatrud11</v>
      </c>
      <c r="C5779" s="21" t="s">
        <v>9093</v>
      </c>
      <c r="D5779" s="21" t="s">
        <v>5786</v>
      </c>
      <c r="E5779" s="22" t="str">
        <f>HYPERLINK("https://twitter.com/Milatrud11/status/922493418005245952","922493418005245952")</f>
        <v>922493418005245952</v>
      </c>
      <c r="F5779" s="23" t="s">
        <v>55</v>
      </c>
      <c r="G5779" s="24">
        <v>2451.0</v>
      </c>
      <c r="H5779" s="24">
        <v>2999.0</v>
      </c>
      <c r="I5779" s="24">
        <v>59.0</v>
      </c>
      <c r="J5779" s="24">
        <v>0.0</v>
      </c>
      <c r="K5779" s="23" t="s">
        <v>34</v>
      </c>
      <c r="L5779" s="25">
        <v>41336.07363425926</v>
      </c>
      <c r="M5779" s="28"/>
      <c r="N5779" s="26" t="s">
        <v>9095</v>
      </c>
      <c r="O5779" s="22" t="str">
        <f>HYPERLINK("https://abs.twimg.com/sticky/default_profile_images/default_profile_normal.png","View")</f>
        <v>View</v>
      </c>
      <c r="P5779" s="27"/>
    </row>
    <row r="5780">
      <c r="A5780" s="14">
        <v>43031.376793981486</v>
      </c>
      <c r="B5780" s="20" t="str">
        <f>HYPERLINK("https://twitter.com/mchxda","@mchxda")</f>
        <v>@mchxda</v>
      </c>
      <c r="C5780" s="21" t="s">
        <v>13122</v>
      </c>
      <c r="D5780" s="21" t="s">
        <v>13123</v>
      </c>
      <c r="E5780" s="22" t="str">
        <f>HYPERLINK("https://twitter.com/mchxda/status/922493463249043459","922493463249043459")</f>
        <v>922493463249043459</v>
      </c>
      <c r="F5780" s="23" t="s">
        <v>55</v>
      </c>
      <c r="G5780" s="24">
        <v>221.0</v>
      </c>
      <c r="H5780" s="24">
        <v>405.0</v>
      </c>
      <c r="I5780" s="24">
        <v>0.0</v>
      </c>
      <c r="J5780" s="24">
        <v>0.0</v>
      </c>
      <c r="K5780" s="23" t="s">
        <v>34</v>
      </c>
      <c r="L5780" s="25">
        <v>41537.64923611111</v>
      </c>
      <c r="M5780" s="26" t="s">
        <v>13124</v>
      </c>
      <c r="N5780" s="26" t="s">
        <v>13125</v>
      </c>
      <c r="O5780" s="22" t="str">
        <f>HYPERLINK("https://pbs.twimg.com/profile_images/908497828862820352/Bt6lI7gj_normal.jpg","View")</f>
        <v>View</v>
      </c>
      <c r="P5780" s="27"/>
    </row>
    <row r="5781">
      <c r="A5781" s="14">
        <v>43031.376805555556</v>
      </c>
      <c r="B5781" s="20" t="str">
        <f>HYPERLINK("https://twitter.com/Time4Change999","@Time4Change999")</f>
        <v>@Time4Change999</v>
      </c>
      <c r="C5781" s="21" t="s">
        <v>13126</v>
      </c>
      <c r="D5781" s="21" t="s">
        <v>12974</v>
      </c>
      <c r="E5781" s="22" t="str">
        <f>HYPERLINK("https://twitter.com/Time4Change999/status/922493467988758528","922493467988758528")</f>
        <v>922493467988758528</v>
      </c>
      <c r="F5781" s="23" t="s">
        <v>39</v>
      </c>
      <c r="G5781" s="24">
        <v>48.0</v>
      </c>
      <c r="H5781" s="24">
        <v>156.0</v>
      </c>
      <c r="I5781" s="24">
        <v>110.0</v>
      </c>
      <c r="J5781" s="24">
        <v>0.0</v>
      </c>
      <c r="K5781" s="23" t="s">
        <v>34</v>
      </c>
      <c r="L5781" s="25">
        <v>42855.5811574074</v>
      </c>
      <c r="M5781" s="28"/>
      <c r="N5781" s="26" t="s">
        <v>13127</v>
      </c>
      <c r="O5781" s="22" t="str">
        <f>HYPERLINK("https://pbs.twimg.com/profile_images/858804308137136128/7qSfz5t6_normal.jpg","View")</f>
        <v>View</v>
      </c>
      <c r="P5781" s="27"/>
    </row>
    <row r="5782">
      <c r="A5782" s="14">
        <v>43031.376817129625</v>
      </c>
      <c r="B5782" s="20" t="str">
        <f>HYPERLINK("https://twitter.com/Milatrud11","@Milatrud11")</f>
        <v>@Milatrud11</v>
      </c>
      <c r="C5782" s="21" t="s">
        <v>9093</v>
      </c>
      <c r="D5782" s="21" t="s">
        <v>5451</v>
      </c>
      <c r="E5782" s="22" t="str">
        <f>HYPERLINK("https://twitter.com/Milatrud11/status/922493472061509635","922493472061509635")</f>
        <v>922493472061509635</v>
      </c>
      <c r="F5782" s="23" t="s">
        <v>55</v>
      </c>
      <c r="G5782" s="24">
        <v>2451.0</v>
      </c>
      <c r="H5782" s="24">
        <v>2999.0</v>
      </c>
      <c r="I5782" s="24">
        <v>62.0</v>
      </c>
      <c r="J5782" s="24">
        <v>0.0</v>
      </c>
      <c r="K5782" s="23" t="s">
        <v>34</v>
      </c>
      <c r="L5782" s="25">
        <v>41336.07363425926</v>
      </c>
      <c r="M5782" s="28"/>
      <c r="N5782" s="26" t="s">
        <v>9095</v>
      </c>
      <c r="O5782" s="22" t="str">
        <f>HYPERLINK("https://abs.twimg.com/sticky/default_profile_images/default_profile_normal.png","View")</f>
        <v>View</v>
      </c>
      <c r="P5782" s="27"/>
    </row>
    <row r="5783">
      <c r="A5783" s="14">
        <v>43031.376863425925</v>
      </c>
      <c r="B5783" s="20" t="str">
        <f>HYPERLINK("https://twitter.com/Surendr74278053","@Surendr74278053")</f>
        <v>@Surendr74278053</v>
      </c>
      <c r="C5783" s="21" t="s">
        <v>13128</v>
      </c>
      <c r="D5783" s="21" t="s">
        <v>42</v>
      </c>
      <c r="E5783" s="22" t="str">
        <f>HYPERLINK("https://twitter.com/Surendr74278053/status/922493490163888128","922493490163888128")</f>
        <v>922493490163888128</v>
      </c>
      <c r="F5783" s="23" t="s">
        <v>33</v>
      </c>
      <c r="G5783" s="24">
        <v>1.0</v>
      </c>
      <c r="H5783" s="24">
        <v>43.0</v>
      </c>
      <c r="I5783" s="24">
        <v>8501.0</v>
      </c>
      <c r="J5783" s="24">
        <v>0.0</v>
      </c>
      <c r="K5783" s="23" t="s">
        <v>34</v>
      </c>
      <c r="L5783" s="25">
        <v>43030.34168981481</v>
      </c>
      <c r="M5783" s="26" t="s">
        <v>13129</v>
      </c>
      <c r="N5783" s="28"/>
      <c r="O5783" s="22" t="str">
        <f>HYPERLINK("https://pbs.twimg.com/profile_images/922119451922665472/4BXABt2r_normal.jpg","View")</f>
        <v>View</v>
      </c>
      <c r="P5783" s="27"/>
    </row>
    <row r="5784">
      <c r="A5784" s="14">
        <v>43031.376967592594</v>
      </c>
      <c r="B5784" s="20" t="str">
        <f>HYPERLINK("https://twitter.com/Milatrud11","@Milatrud11")</f>
        <v>@Milatrud11</v>
      </c>
      <c r="C5784" s="21" t="s">
        <v>9093</v>
      </c>
      <c r="D5784" s="21" t="s">
        <v>12565</v>
      </c>
      <c r="E5784" s="22" t="str">
        <f>HYPERLINK("https://twitter.com/Milatrud11/status/922493525249413122","922493525249413122")</f>
        <v>922493525249413122</v>
      </c>
      <c r="F5784" s="23" t="s">
        <v>55</v>
      </c>
      <c r="G5784" s="24">
        <v>2451.0</v>
      </c>
      <c r="H5784" s="24">
        <v>2999.0</v>
      </c>
      <c r="I5784" s="24">
        <v>32.0</v>
      </c>
      <c r="J5784" s="24">
        <v>0.0</v>
      </c>
      <c r="K5784" s="23" t="s">
        <v>34</v>
      </c>
      <c r="L5784" s="25">
        <v>41336.07363425926</v>
      </c>
      <c r="M5784" s="28"/>
      <c r="N5784" s="26" t="s">
        <v>9095</v>
      </c>
      <c r="O5784" s="22" t="str">
        <f>HYPERLINK("https://abs.twimg.com/sticky/default_profile_images/default_profile_normal.png","View")</f>
        <v>View</v>
      </c>
      <c r="P5784" s="27"/>
    </row>
    <row r="5785">
      <c r="A5785" s="14">
        <v>43031.37704861111</v>
      </c>
      <c r="B5785" s="20" t="str">
        <f>HYPERLINK("https://twitter.com/SjoerdvanHoorn","@SjoerdvanHoorn")</f>
        <v>@SjoerdvanHoorn</v>
      </c>
      <c r="C5785" s="21" t="s">
        <v>13130</v>
      </c>
      <c r="D5785" s="21" t="s">
        <v>13131</v>
      </c>
      <c r="E5785" s="22" t="str">
        <f>HYPERLINK("https://twitter.com/SjoerdvanHoorn/status/922493555616120833","922493555616120833")</f>
        <v>922493555616120833</v>
      </c>
      <c r="F5785" s="23" t="s">
        <v>55</v>
      </c>
      <c r="G5785" s="24">
        <v>1985.0</v>
      </c>
      <c r="H5785" s="24">
        <v>1892.0</v>
      </c>
      <c r="I5785" s="24">
        <v>5.0</v>
      </c>
      <c r="J5785" s="24">
        <v>0.0</v>
      </c>
      <c r="K5785" s="23" t="s">
        <v>34</v>
      </c>
      <c r="L5785" s="25">
        <v>40735.35351851852</v>
      </c>
      <c r="M5785" s="26" t="s">
        <v>13132</v>
      </c>
      <c r="N5785" s="26" t="s">
        <v>13133</v>
      </c>
      <c r="O5785" s="22" t="str">
        <f>HYPERLINK("https://pbs.twimg.com/profile_images/752948905847955456/_jnzGRN0_normal.jpg","View")</f>
        <v>View</v>
      </c>
      <c r="P5785" s="27"/>
    </row>
    <row r="5786">
      <c r="A5786" s="14">
        <v>43031.377071759256</v>
      </c>
      <c r="B5786" s="20" t="str">
        <f>HYPERLINK("https://twitter.com/i0xooo","@i0xooo")</f>
        <v>@i0xooo</v>
      </c>
      <c r="C5786" s="21" t="s">
        <v>13134</v>
      </c>
      <c r="D5786" s="21" t="s">
        <v>13135</v>
      </c>
      <c r="E5786" s="22" t="str">
        <f>HYPERLINK("https://twitter.com/i0xooo/status/922493565552529408","922493565552529408")</f>
        <v>922493565552529408</v>
      </c>
      <c r="F5786" s="23" t="s">
        <v>4619</v>
      </c>
      <c r="G5786" s="24">
        <v>3988.0</v>
      </c>
      <c r="H5786" s="24">
        <v>3969.0</v>
      </c>
      <c r="I5786" s="24">
        <v>0.0</v>
      </c>
      <c r="J5786" s="24">
        <v>0.0</v>
      </c>
      <c r="K5786" s="23" t="s">
        <v>34</v>
      </c>
      <c r="L5786" s="25">
        <v>42640.32201388889</v>
      </c>
      <c r="M5786" s="26" t="s">
        <v>13136</v>
      </c>
      <c r="N5786" s="26" t="s">
        <v>13137</v>
      </c>
      <c r="O5786" s="22" t="str">
        <f>HYPERLINK("https://pbs.twimg.com/profile_images/780816675750891521/M6CkhSjx_normal.jpg","View")</f>
        <v>View</v>
      </c>
      <c r="P5786" s="27"/>
    </row>
    <row r="5787">
      <c r="A5787" s="14">
        <v>43031.37726851852</v>
      </c>
      <c r="B5787" s="20" t="str">
        <f>HYPERLINK("https://twitter.com/palulu1994","@palulu1994")</f>
        <v>@palulu1994</v>
      </c>
      <c r="C5787" s="21" t="s">
        <v>6564</v>
      </c>
      <c r="D5787" s="21" t="s">
        <v>12974</v>
      </c>
      <c r="E5787" s="22" t="str">
        <f>HYPERLINK("https://twitter.com/palulu1994/status/922493637472108546","922493637472108546")</f>
        <v>922493637472108546</v>
      </c>
      <c r="F5787" s="23" t="s">
        <v>39</v>
      </c>
      <c r="G5787" s="24">
        <v>3407.0</v>
      </c>
      <c r="H5787" s="24">
        <v>2180.0</v>
      </c>
      <c r="I5787" s="24">
        <v>110.0</v>
      </c>
      <c r="J5787" s="24">
        <v>0.0</v>
      </c>
      <c r="K5787" s="23" t="s">
        <v>34</v>
      </c>
      <c r="L5787" s="25">
        <v>41790.409479166665</v>
      </c>
      <c r="M5787" s="26" t="s">
        <v>6565</v>
      </c>
      <c r="N5787" s="26" t="s">
        <v>6566</v>
      </c>
      <c r="O5787" s="22" t="str">
        <f>HYPERLINK("https://pbs.twimg.com/profile_images/922758616960057344/_qHJqLd6_normal.jpg","View")</f>
        <v>View</v>
      </c>
      <c r="P5787" s="27"/>
    </row>
    <row r="5788">
      <c r="A5788" s="14">
        <v>43031.37738425926</v>
      </c>
      <c r="B5788" s="20" t="str">
        <f>HYPERLINK("https://twitter.com/tomicraft","@tomicraft")</f>
        <v>@tomicraft</v>
      </c>
      <c r="C5788" s="21" t="s">
        <v>13138</v>
      </c>
      <c r="D5788" s="21" t="s">
        <v>13139</v>
      </c>
      <c r="E5788" s="22" t="str">
        <f>HYPERLINK("https://twitter.com/tomicraft/status/922493677179568128","922493677179568128")</f>
        <v>922493677179568128</v>
      </c>
      <c r="F5788" s="23" t="s">
        <v>55</v>
      </c>
      <c r="G5788" s="24">
        <v>5034.0</v>
      </c>
      <c r="H5788" s="24">
        <v>5358.0</v>
      </c>
      <c r="I5788" s="24">
        <v>0.0</v>
      </c>
      <c r="J5788" s="24">
        <v>0.0</v>
      </c>
      <c r="K5788" s="23" t="s">
        <v>34</v>
      </c>
      <c r="L5788" s="25">
        <v>40016.57270833333</v>
      </c>
      <c r="M5788" s="26" t="s">
        <v>13140</v>
      </c>
      <c r="N5788" s="26" t="s">
        <v>13141</v>
      </c>
      <c r="O5788" s="22" t="str">
        <f>HYPERLINK("https://pbs.twimg.com/profile_images/327041667/tommy_normal.jpg","View")</f>
        <v>View</v>
      </c>
      <c r="P5788" s="27"/>
    </row>
    <row r="5789">
      <c r="A5789" s="14">
        <v>43031.37755787037</v>
      </c>
      <c r="B5789" s="20" t="str">
        <f>HYPERLINK("https://twitter.com/vithalwadjec97","@vithalwadjec97")</f>
        <v>@vithalwadjec97</v>
      </c>
      <c r="C5789" s="21" t="s">
        <v>13142</v>
      </c>
      <c r="D5789" s="21" t="s">
        <v>42</v>
      </c>
      <c r="E5789" s="22" t="str">
        <f>HYPERLINK("https://twitter.com/vithalwadjec97/status/922493739020443648","922493739020443648")</f>
        <v>922493739020443648</v>
      </c>
      <c r="F5789" s="23" t="s">
        <v>33</v>
      </c>
      <c r="G5789" s="24">
        <v>4438.0</v>
      </c>
      <c r="H5789" s="24">
        <v>689.0</v>
      </c>
      <c r="I5789" s="24">
        <v>8501.0</v>
      </c>
      <c r="J5789" s="24">
        <v>0.0</v>
      </c>
      <c r="K5789" s="23" t="s">
        <v>34</v>
      </c>
      <c r="L5789" s="25">
        <v>41379.488958333335</v>
      </c>
      <c r="M5789" s="26" t="s">
        <v>2265</v>
      </c>
      <c r="N5789" s="26" t="s">
        <v>13143</v>
      </c>
      <c r="O5789" s="22" t="str">
        <f>HYPERLINK("https://pbs.twimg.com/profile_images/772380821063884800/XUvieM4h_normal.jpg","View")</f>
        <v>View</v>
      </c>
      <c r="P5789" s="27"/>
    </row>
    <row r="5790">
      <c r="A5790" s="14">
        <v>43031.37756944445</v>
      </c>
      <c r="B5790" s="20" t="str">
        <f>HYPERLINK("https://twitter.com/NSK_Kochhar","@NSK_Kochhar")</f>
        <v>@NSK_Kochhar</v>
      </c>
      <c r="C5790" s="21" t="s">
        <v>13144</v>
      </c>
      <c r="D5790" s="21" t="s">
        <v>163</v>
      </c>
      <c r="E5790" s="22" t="str">
        <f>HYPERLINK("https://twitter.com/NSK_Kochhar/status/922493744363868160","922493744363868160")</f>
        <v>922493744363868160</v>
      </c>
      <c r="F5790" s="23" t="s">
        <v>33</v>
      </c>
      <c r="G5790" s="24">
        <v>268.0</v>
      </c>
      <c r="H5790" s="24">
        <v>276.0</v>
      </c>
      <c r="I5790" s="24">
        <v>1005.0</v>
      </c>
      <c r="J5790" s="24">
        <v>0.0</v>
      </c>
      <c r="K5790" s="23" t="s">
        <v>34</v>
      </c>
      <c r="L5790" s="25">
        <v>41236.1803125</v>
      </c>
      <c r="M5790" s="26" t="s">
        <v>575</v>
      </c>
      <c r="N5790" s="26" t="s">
        <v>13145</v>
      </c>
      <c r="O5790" s="22" t="str">
        <f>HYPERLINK("https://pbs.twimg.com/profile_images/469794091924873217/S-mETxY7_normal.jpeg","View")</f>
        <v>View</v>
      </c>
      <c r="P5790" s="27"/>
    </row>
    <row r="5791">
      <c r="A5791" s="14">
        <v>43031.37759259259</v>
      </c>
      <c r="B5791" s="20" t="str">
        <f>HYPERLINK("https://twitter.com/KeyurSankhesara","@KeyurSankhesara")</f>
        <v>@KeyurSankhesara</v>
      </c>
      <c r="C5791" s="21" t="s">
        <v>13146</v>
      </c>
      <c r="D5791" s="21" t="s">
        <v>42</v>
      </c>
      <c r="E5791" s="22" t="str">
        <f>HYPERLINK("https://twitter.com/KeyurSankhesara/status/922493752693858304","922493752693858304")</f>
        <v>922493752693858304</v>
      </c>
      <c r="F5791" s="23" t="s">
        <v>33</v>
      </c>
      <c r="G5791" s="24">
        <v>14.0</v>
      </c>
      <c r="H5791" s="24">
        <v>106.0</v>
      </c>
      <c r="I5791" s="24">
        <v>8501.0</v>
      </c>
      <c r="J5791" s="24">
        <v>0.0</v>
      </c>
      <c r="K5791" s="23" t="s">
        <v>34</v>
      </c>
      <c r="L5791" s="25">
        <v>41029.02788194444</v>
      </c>
      <c r="M5791" s="28"/>
      <c r="N5791" s="26" t="s">
        <v>13147</v>
      </c>
      <c r="O5791" s="22" t="str">
        <f>HYPERLINK("https://pbs.twimg.com/profile_images/868876667032264704/wGpaWYio_normal.jpg","View")</f>
        <v>View</v>
      </c>
      <c r="P5791" s="27"/>
    </row>
    <row r="5792">
      <c r="A5792" s="14">
        <v>43031.37767361111</v>
      </c>
      <c r="B5792" s="20" t="str">
        <f>HYPERLINK("https://twitter.com/bluef86t2t4","@bluef86t2t4")</f>
        <v>@bluef86t2t4</v>
      </c>
      <c r="C5792" s="21" t="s">
        <v>13148</v>
      </c>
      <c r="D5792" s="21" t="s">
        <v>12974</v>
      </c>
      <c r="E5792" s="22" t="str">
        <f>HYPERLINK("https://twitter.com/bluef86t2t4/status/922493781261217793","922493781261217793")</f>
        <v>922493781261217793</v>
      </c>
      <c r="F5792" s="23" t="s">
        <v>39</v>
      </c>
      <c r="G5792" s="24">
        <v>675.0</v>
      </c>
      <c r="H5792" s="24">
        <v>359.0</v>
      </c>
      <c r="I5792" s="24">
        <v>110.0</v>
      </c>
      <c r="J5792" s="24">
        <v>0.0</v>
      </c>
      <c r="K5792" s="23" t="s">
        <v>34</v>
      </c>
      <c r="L5792" s="25">
        <v>41797.82244212963</v>
      </c>
      <c r="M5792" s="26" t="s">
        <v>13149</v>
      </c>
      <c r="N5792" s="26" t="s">
        <v>13150</v>
      </c>
      <c r="O5792" s="22" t="str">
        <f>HYPERLINK("https://pbs.twimg.com/profile_images/904200341201096712/01809okp_normal.jpg","View")</f>
        <v>View</v>
      </c>
      <c r="P5792" s="27"/>
    </row>
    <row r="5793">
      <c r="A5793" s="14">
        <v>43031.37768518519</v>
      </c>
      <c r="B5793" s="20" t="str">
        <f>HYPERLINK("https://twitter.com/BGanduri","@BGanduri")</f>
        <v>@BGanduri</v>
      </c>
      <c r="C5793" s="21" t="s">
        <v>13151</v>
      </c>
      <c r="D5793" s="21" t="s">
        <v>163</v>
      </c>
      <c r="E5793" s="22" t="str">
        <f>HYPERLINK("https://twitter.com/BGanduri/status/922493787372269568","922493787372269568")</f>
        <v>922493787372269568</v>
      </c>
      <c r="F5793" s="23" t="s">
        <v>39</v>
      </c>
      <c r="G5793" s="24">
        <v>169.0</v>
      </c>
      <c r="H5793" s="24">
        <v>180.0</v>
      </c>
      <c r="I5793" s="24">
        <v>1005.0</v>
      </c>
      <c r="J5793" s="24">
        <v>0.0</v>
      </c>
      <c r="K5793" s="23" t="s">
        <v>34</v>
      </c>
      <c r="L5793" s="25">
        <v>40107.21734953704</v>
      </c>
      <c r="M5793" s="26" t="s">
        <v>603</v>
      </c>
      <c r="N5793" s="26" t="s">
        <v>13152</v>
      </c>
      <c r="O5793" s="22" t="str">
        <f>HYPERLINK("https://pbs.twimg.com/profile_images/891606282720772097/sa2rI8-H_normal.jpg","View")</f>
        <v>View</v>
      </c>
      <c r="P5793" s="27"/>
    </row>
    <row r="5794">
      <c r="A5794" s="14">
        <v>43031.377789351856</v>
      </c>
      <c r="B5794" s="20" t="str">
        <f>HYPERLINK("https://twitter.com/masa51535192","@masa51535192")</f>
        <v>@masa51535192</v>
      </c>
      <c r="C5794" s="21" t="s">
        <v>13153</v>
      </c>
      <c r="D5794" s="21" t="s">
        <v>12974</v>
      </c>
      <c r="E5794" s="22" t="str">
        <f>HYPERLINK("https://twitter.com/masa51535192/status/922493825360175105","922493825360175105")</f>
        <v>922493825360175105</v>
      </c>
      <c r="F5794" s="23" t="s">
        <v>39</v>
      </c>
      <c r="G5794" s="24">
        <v>159.0</v>
      </c>
      <c r="H5794" s="24">
        <v>175.0</v>
      </c>
      <c r="I5794" s="24">
        <v>110.0</v>
      </c>
      <c r="J5794" s="24">
        <v>0.0</v>
      </c>
      <c r="K5794" s="23" t="s">
        <v>34</v>
      </c>
      <c r="L5794" s="25">
        <v>42797.063680555555</v>
      </c>
      <c r="M5794" s="26" t="s">
        <v>71</v>
      </c>
      <c r="N5794" s="26" t="s">
        <v>13154</v>
      </c>
      <c r="O5794" s="22" t="str">
        <f>HYPERLINK("https://pbs.twimg.com/profile_images/914734739625357312/J7wNpuIX_normal.jpg","View")</f>
        <v>View</v>
      </c>
      <c r="P5794" s="27"/>
    </row>
    <row r="5795">
      <c r="A5795" s="14">
        <v>43031.377800925926</v>
      </c>
      <c r="B5795" s="20" t="str">
        <f>HYPERLINK("https://twitter.com/doralanillos","@doralanillos")</f>
        <v>@doralanillos</v>
      </c>
      <c r="C5795" s="21" t="s">
        <v>13155</v>
      </c>
      <c r="D5795" s="21" t="s">
        <v>13156</v>
      </c>
      <c r="E5795" s="22" t="str">
        <f>HYPERLINK("https://twitter.com/doralanillos/status/922493829080641537","922493829080641537")</f>
        <v>922493829080641537</v>
      </c>
      <c r="F5795" s="23" t="s">
        <v>4619</v>
      </c>
      <c r="G5795" s="24">
        <v>1568.0</v>
      </c>
      <c r="H5795" s="24">
        <v>1019.0</v>
      </c>
      <c r="I5795" s="24">
        <v>0.0</v>
      </c>
      <c r="J5795" s="24">
        <v>0.0</v>
      </c>
      <c r="K5795" s="23" t="s">
        <v>34</v>
      </c>
      <c r="L5795" s="25">
        <v>42861.04454861111</v>
      </c>
      <c r="M5795" s="26" t="s">
        <v>708</v>
      </c>
      <c r="N5795" s="26" t="s">
        <v>13157</v>
      </c>
      <c r="O5795" s="22" t="str">
        <f>HYPERLINK("https://pbs.twimg.com/profile_images/867317845784481792/qTEUEFym_normal.jpg","View")</f>
        <v>View</v>
      </c>
      <c r="P5795" s="27"/>
    </row>
    <row r="5796">
      <c r="A5796" s="14">
        <v>43031.377858796295</v>
      </c>
      <c r="B5796" s="20" t="str">
        <f>HYPERLINK("https://twitter.com/ByrdSpeaks","@ByrdSpeaks")</f>
        <v>@ByrdSpeaks</v>
      </c>
      <c r="C5796" s="21" t="s">
        <v>13158</v>
      </c>
      <c r="D5796" s="21" t="s">
        <v>3478</v>
      </c>
      <c r="E5796" s="22" t="str">
        <f>HYPERLINK("https://twitter.com/ByrdSpeaks/status/922493849074913280","922493849074913280")</f>
        <v>922493849074913280</v>
      </c>
      <c r="F5796" s="23" t="s">
        <v>39</v>
      </c>
      <c r="G5796" s="24">
        <v>767.0</v>
      </c>
      <c r="H5796" s="24">
        <v>487.0</v>
      </c>
      <c r="I5796" s="24">
        <v>4.0</v>
      </c>
      <c r="J5796" s="24">
        <v>0.0</v>
      </c>
      <c r="K5796" s="23" t="s">
        <v>34</v>
      </c>
      <c r="L5796" s="25">
        <v>40702.30420138889</v>
      </c>
      <c r="M5796" s="26" t="s">
        <v>13159</v>
      </c>
      <c r="N5796" s="26" t="s">
        <v>13160</v>
      </c>
      <c r="O5796" s="22" t="str">
        <f>HYPERLINK("https://pbs.twimg.com/profile_images/2974970539/ba04eda636fe0984be4aca15cdb726fe_normal.jpeg","View")</f>
        <v>View</v>
      </c>
      <c r="P5796" s="27"/>
    </row>
    <row r="5797">
      <c r="A5797" s="14">
        <v>43031.37789351852</v>
      </c>
      <c r="B5797" s="20" t="str">
        <f>HYPERLINK("https://twitter.com/MarkFieldUK","@MarkFieldUK")</f>
        <v>@MarkFieldUK</v>
      </c>
      <c r="C5797" s="21" t="s">
        <v>13161</v>
      </c>
      <c r="D5797" s="21" t="s">
        <v>12974</v>
      </c>
      <c r="E5797" s="22" t="str">
        <f>HYPERLINK("https://twitter.com/MarkFieldUK/status/922493860806381568","922493860806381568")</f>
        <v>922493860806381568</v>
      </c>
      <c r="F5797" s="23" t="s">
        <v>39</v>
      </c>
      <c r="G5797" s="24">
        <v>9464.0</v>
      </c>
      <c r="H5797" s="24">
        <v>68.0</v>
      </c>
      <c r="I5797" s="24">
        <v>110.0</v>
      </c>
      <c r="J5797" s="24">
        <v>0.0</v>
      </c>
      <c r="K5797" s="23" t="s">
        <v>34</v>
      </c>
      <c r="L5797" s="25">
        <v>40098.32288194445</v>
      </c>
      <c r="M5797" s="26" t="s">
        <v>40</v>
      </c>
      <c r="N5797" s="26" t="s">
        <v>13162</v>
      </c>
      <c r="O5797" s="22" t="str">
        <f>HYPERLINK("https://pbs.twimg.com/profile_images/875732975417249794/StgtT44G_normal.jpg","View")</f>
        <v>View</v>
      </c>
      <c r="P5797" s="27"/>
    </row>
    <row r="5798">
      <c r="A5798" s="14">
        <v>43031.378020833334</v>
      </c>
      <c r="B5798" s="20" t="str">
        <f>HYPERLINK("https://twitter.com/jangid_26","@jangid_26")</f>
        <v>@jangid_26</v>
      </c>
      <c r="C5798" s="21" t="s">
        <v>13163</v>
      </c>
      <c r="D5798" s="21" t="s">
        <v>42</v>
      </c>
      <c r="E5798" s="22" t="str">
        <f>HYPERLINK("https://twitter.com/jangid_26/status/922493907136528384","922493907136528384")</f>
        <v>922493907136528384</v>
      </c>
      <c r="F5798" s="23" t="s">
        <v>33</v>
      </c>
      <c r="G5798" s="24">
        <v>312.0</v>
      </c>
      <c r="H5798" s="24">
        <v>183.0</v>
      </c>
      <c r="I5798" s="24">
        <v>8501.0</v>
      </c>
      <c r="J5798" s="24">
        <v>0.0</v>
      </c>
      <c r="K5798" s="23" t="s">
        <v>34</v>
      </c>
      <c r="L5798" s="25">
        <v>42420.334768518514</v>
      </c>
      <c r="M5798" s="26" t="s">
        <v>2189</v>
      </c>
      <c r="N5798" s="26" t="s">
        <v>13164</v>
      </c>
      <c r="O5798" s="22" t="str">
        <f>HYPERLINK("https://pbs.twimg.com/profile_images/922079874763825152/Tss7I0Ac_normal.jpg","View")</f>
        <v>View</v>
      </c>
      <c r="P5798" s="27"/>
    </row>
    <row r="5799">
      <c r="A5799" s="14">
        <v>43031.378067129626</v>
      </c>
      <c r="B5799" s="20" t="str">
        <f>HYPERLINK("https://twitter.com/AlastrF","@AlastrF")</f>
        <v>@AlastrF</v>
      </c>
      <c r="C5799" s="21" t="s">
        <v>13165</v>
      </c>
      <c r="D5799" s="21" t="s">
        <v>13166</v>
      </c>
      <c r="E5799" s="22" t="str">
        <f>HYPERLINK("https://twitter.com/AlastrF/status/922493925474136064","922493925474136064")</f>
        <v>922493925474136064</v>
      </c>
      <c r="F5799" s="23" t="s">
        <v>39</v>
      </c>
      <c r="G5799" s="24">
        <v>285.0</v>
      </c>
      <c r="H5799" s="24">
        <v>377.0</v>
      </c>
      <c r="I5799" s="24">
        <v>1.0</v>
      </c>
      <c r="J5799" s="24">
        <v>0.0</v>
      </c>
      <c r="K5799" s="23" t="s">
        <v>34</v>
      </c>
      <c r="L5799" s="25">
        <v>40988.201828703706</v>
      </c>
      <c r="M5799" s="26" t="s">
        <v>334</v>
      </c>
      <c r="N5799" s="26" t="s">
        <v>13167</v>
      </c>
      <c r="O5799" s="22" t="str">
        <f>HYPERLINK("https://pbs.twimg.com/profile_images/454532849597960192/a4IaLZ3Z_normal.jpeg","View")</f>
        <v>View</v>
      </c>
      <c r="P5799" s="27"/>
    </row>
    <row r="5800">
      <c r="A5800" s="14">
        <v>43031.37809027778</v>
      </c>
      <c r="B5800" s="20" t="str">
        <f>HYPERLINK("https://twitter.com/Krishna61787898","@Krishna61787898")</f>
        <v>@Krishna61787898</v>
      </c>
      <c r="C5800" s="21" t="s">
        <v>13168</v>
      </c>
      <c r="D5800" s="21" t="s">
        <v>2861</v>
      </c>
      <c r="E5800" s="22" t="str">
        <f>HYPERLINK("https://twitter.com/Krishna61787898/status/922493934588141568","922493934588141568")</f>
        <v>922493934588141568</v>
      </c>
      <c r="F5800" s="23" t="s">
        <v>33</v>
      </c>
      <c r="G5800" s="24">
        <v>165.0</v>
      </c>
      <c r="H5800" s="24">
        <v>331.0</v>
      </c>
      <c r="I5800" s="24">
        <v>40.0</v>
      </c>
      <c r="J5800" s="24">
        <v>0.0</v>
      </c>
      <c r="K5800" s="23" t="s">
        <v>34</v>
      </c>
      <c r="L5800" s="25">
        <v>42883.0420949074</v>
      </c>
      <c r="M5800" s="26" t="s">
        <v>3273</v>
      </c>
      <c r="N5800" s="26" t="s">
        <v>13169</v>
      </c>
      <c r="O5800" s="22" t="str">
        <f>HYPERLINK("https://pbs.twimg.com/profile_images/875610133157498880/BbuduLMd_normal.jpg","View")</f>
        <v>View</v>
      </c>
      <c r="P5800" s="27"/>
    </row>
    <row r="5801">
      <c r="A5801" s="14">
        <v>43031.37810185185</v>
      </c>
      <c r="B5801" s="20" t="str">
        <f>HYPERLINK("https://twitter.com/adk1978","@adk1978")</f>
        <v>@adk1978</v>
      </c>
      <c r="C5801" s="21" t="s">
        <v>13170</v>
      </c>
      <c r="D5801" s="21" t="s">
        <v>42</v>
      </c>
      <c r="E5801" s="22" t="str">
        <f>HYPERLINK("https://twitter.com/adk1978/status/922493935661940736","922493935661940736")</f>
        <v>922493935661940736</v>
      </c>
      <c r="F5801" s="23" t="s">
        <v>39</v>
      </c>
      <c r="G5801" s="24">
        <v>100.0</v>
      </c>
      <c r="H5801" s="24">
        <v>640.0</v>
      </c>
      <c r="I5801" s="24">
        <v>8501.0</v>
      </c>
      <c r="J5801" s="24">
        <v>0.0</v>
      </c>
      <c r="K5801" s="23" t="s">
        <v>34</v>
      </c>
      <c r="L5801" s="25">
        <v>40197.146689814814</v>
      </c>
      <c r="M5801" s="26" t="s">
        <v>575</v>
      </c>
      <c r="N5801" s="26" t="s">
        <v>13171</v>
      </c>
      <c r="O5801" s="22" t="str">
        <f>HYPERLINK("https://pbs.twimg.com/profile_images/860427654905778176/pVZgSqJf_normal.jpg","View")</f>
        <v>View</v>
      </c>
      <c r="P5801" s="27"/>
    </row>
    <row r="5802">
      <c r="A5802" s="14">
        <v>43031.37829861111</v>
      </c>
      <c r="B5802" s="20" t="str">
        <f>HYPERLINK("https://twitter.com/ice9balloon","@ice9balloon")</f>
        <v>@ice9balloon</v>
      </c>
      <c r="C5802" s="21" t="s">
        <v>13172</v>
      </c>
      <c r="D5802" s="21" t="s">
        <v>12974</v>
      </c>
      <c r="E5802" s="22" t="str">
        <f>HYPERLINK("https://twitter.com/ice9balloon/status/922494006885433344","922494006885433344")</f>
        <v>922494006885433344</v>
      </c>
      <c r="F5802" s="23" t="s">
        <v>39</v>
      </c>
      <c r="G5802" s="24">
        <v>188.0</v>
      </c>
      <c r="H5802" s="24">
        <v>1270.0</v>
      </c>
      <c r="I5802" s="24">
        <v>110.0</v>
      </c>
      <c r="J5802" s="24">
        <v>0.0</v>
      </c>
      <c r="K5802" s="23" t="s">
        <v>34</v>
      </c>
      <c r="L5802" s="25">
        <v>41179.846041666664</v>
      </c>
      <c r="M5802" s="26" t="s">
        <v>13173</v>
      </c>
      <c r="N5802" s="26" t="s">
        <v>13174</v>
      </c>
      <c r="O5802" s="22" t="str">
        <f>HYPERLINK("https://pbs.twimg.com/profile_images/895012869380624385/lWd1_f4R_normal.jpg","View")</f>
        <v>View</v>
      </c>
      <c r="P5802" s="27"/>
    </row>
    <row r="5803">
      <c r="A5803" s="14">
        <v>43031.37832175926</v>
      </c>
      <c r="B5803" s="20" t="str">
        <f>HYPERLINK("https://twitter.com/ALBERTOSEVERIN7","@ALBERTOSEVERIN7")</f>
        <v>@ALBERTOSEVERIN7</v>
      </c>
      <c r="C5803" s="21" t="s">
        <v>13175</v>
      </c>
      <c r="D5803" s="21" t="s">
        <v>12974</v>
      </c>
      <c r="E5803" s="22" t="str">
        <f>HYPERLINK("https://twitter.com/ALBERTOSEVERIN7/status/922494016532475904","922494016532475904")</f>
        <v>922494016532475904</v>
      </c>
      <c r="F5803" s="23" t="s">
        <v>55</v>
      </c>
      <c r="G5803" s="24">
        <v>134.0</v>
      </c>
      <c r="H5803" s="24">
        <v>241.0</v>
      </c>
      <c r="I5803" s="24">
        <v>110.0</v>
      </c>
      <c r="J5803" s="24">
        <v>0.0</v>
      </c>
      <c r="K5803" s="23" t="s">
        <v>34</v>
      </c>
      <c r="L5803" s="25">
        <v>42476.29400462963</v>
      </c>
      <c r="M5803" s="26" t="s">
        <v>13176</v>
      </c>
      <c r="N5803" s="28"/>
      <c r="O5803" s="22" t="str">
        <f>HYPERLINK("https://pbs.twimg.com/profile_images/721339873890803713/t5AOVGVl_normal.jpg","View")</f>
        <v>View</v>
      </c>
      <c r="P5803" s="27"/>
    </row>
    <row r="5804">
      <c r="A5804" s="14">
        <v>43031.3783912037</v>
      </c>
      <c r="B5804" s="20" t="str">
        <f>HYPERLINK("https://twitter.com/periodicalw","@periodicalw")</f>
        <v>@periodicalw</v>
      </c>
      <c r="C5804" s="21" t="s">
        <v>5750</v>
      </c>
      <c r="D5804" s="21" t="s">
        <v>13177</v>
      </c>
      <c r="E5804" s="22" t="str">
        <f>HYPERLINK("https://twitter.com/periodicalw/status/922494043552133120","922494043552133120")</f>
        <v>922494043552133120</v>
      </c>
      <c r="F5804" s="23" t="s">
        <v>187</v>
      </c>
      <c r="G5804" s="24">
        <v>13.0</v>
      </c>
      <c r="H5804" s="24">
        <v>0.0</v>
      </c>
      <c r="I5804" s="24">
        <v>0.0</v>
      </c>
      <c r="J5804" s="24">
        <v>0.0</v>
      </c>
      <c r="K5804" s="23" t="s">
        <v>34</v>
      </c>
      <c r="L5804" s="25">
        <v>42054.98625</v>
      </c>
      <c r="M5804" s="28"/>
      <c r="N5804" s="26" t="s">
        <v>5752</v>
      </c>
      <c r="O5804" s="22" t="str">
        <f>HYPERLINK("https://pbs.twimg.com/profile_images/919747762345906181/R3fj25Fb_normal.jpg","View")</f>
        <v>View</v>
      </c>
      <c r="P5804" s="27"/>
    </row>
    <row r="5805">
      <c r="A5805" s="14">
        <v>43031.37842592593</v>
      </c>
      <c r="B5805" s="20" t="str">
        <f>HYPERLINK("https://twitter.com/Sreeramkempanna","@Sreeramkempanna")</f>
        <v>@Sreeramkempanna</v>
      </c>
      <c r="C5805" s="21" t="s">
        <v>13178</v>
      </c>
      <c r="D5805" s="21" t="s">
        <v>42</v>
      </c>
      <c r="E5805" s="22" t="str">
        <f>HYPERLINK("https://twitter.com/Sreeramkempanna/status/922494056587866112","922494056587866112")</f>
        <v>922494056587866112</v>
      </c>
      <c r="F5805" s="23" t="s">
        <v>39</v>
      </c>
      <c r="G5805" s="24">
        <v>38.0</v>
      </c>
      <c r="H5805" s="24">
        <v>166.0</v>
      </c>
      <c r="I5805" s="24">
        <v>8501.0</v>
      </c>
      <c r="J5805" s="24">
        <v>0.0</v>
      </c>
      <c r="K5805" s="23" t="s">
        <v>34</v>
      </c>
      <c r="L5805" s="25">
        <v>42632.96451388889</v>
      </c>
      <c r="M5805" s="26" t="s">
        <v>1735</v>
      </c>
      <c r="N5805" s="26" t="s">
        <v>13179</v>
      </c>
      <c r="O5805" s="22" t="str">
        <f>HYPERLINK("https://pbs.twimg.com/profile_images/778176219154096128/BM1sL61h_normal.jpg","View")</f>
        <v>View</v>
      </c>
      <c r="P5805" s="27"/>
    </row>
    <row r="5806">
      <c r="A5806" s="14">
        <v>43031.37842592593</v>
      </c>
      <c r="B5806" s="20" t="str">
        <f>HYPERLINK("https://twitter.com/MJayEX","@MJayEX")</f>
        <v>@MJayEX</v>
      </c>
      <c r="C5806" s="21" t="s">
        <v>13180</v>
      </c>
      <c r="D5806" s="21" t="s">
        <v>42</v>
      </c>
      <c r="E5806" s="22" t="str">
        <f>HYPERLINK("https://twitter.com/MJayEX/status/922494056973733888","922494056973733888")</f>
        <v>922494056973733888</v>
      </c>
      <c r="F5806" s="23" t="s">
        <v>33</v>
      </c>
      <c r="G5806" s="24">
        <v>198.0</v>
      </c>
      <c r="H5806" s="24">
        <v>376.0</v>
      </c>
      <c r="I5806" s="24">
        <v>8501.0</v>
      </c>
      <c r="J5806" s="24">
        <v>0.0</v>
      </c>
      <c r="K5806" s="23" t="s">
        <v>34</v>
      </c>
      <c r="L5806" s="25">
        <v>41347.90974537037</v>
      </c>
      <c r="M5806" s="28"/>
      <c r="N5806" s="28"/>
      <c r="O5806" s="22" t="str">
        <f>HYPERLINK("https://pbs.twimg.com/profile_images/866988439505428480/lOHcY41U_normal.jpg","View")</f>
        <v>View</v>
      </c>
      <c r="P5806" s="27"/>
    </row>
    <row r="5807">
      <c r="A5807" s="14">
        <v>43031.37851851852</v>
      </c>
      <c r="B5807" s="20" t="str">
        <f>HYPERLINK("https://twitter.com/TribuneWorld","@TribuneWorld")</f>
        <v>@TribuneWorld</v>
      </c>
      <c r="C5807" s="21" t="s">
        <v>5746</v>
      </c>
      <c r="D5807" s="21" t="s">
        <v>13181</v>
      </c>
      <c r="E5807" s="22" t="str">
        <f>HYPERLINK("https://twitter.com/TribuneWorld/status/922494088129196037","922494088129196037")</f>
        <v>922494088129196037</v>
      </c>
      <c r="F5807" s="23" t="s">
        <v>187</v>
      </c>
      <c r="G5807" s="24">
        <v>97.0</v>
      </c>
      <c r="H5807" s="24">
        <v>0.0</v>
      </c>
      <c r="I5807" s="24">
        <v>0.0</v>
      </c>
      <c r="J5807" s="24">
        <v>0.0</v>
      </c>
      <c r="K5807" s="23" t="s">
        <v>34</v>
      </c>
      <c r="L5807" s="25">
        <v>42502.35219907407</v>
      </c>
      <c r="M5807" s="26" t="s">
        <v>762</v>
      </c>
      <c r="N5807" s="26" t="s">
        <v>5748</v>
      </c>
      <c r="O5807" s="22" t="str">
        <f>HYPERLINK("https://pbs.twimg.com/profile_images/884044391823712256/EmtohZxH_normal.jpg","View")</f>
        <v>View</v>
      </c>
      <c r="P5807" s="27"/>
    </row>
    <row r="5808">
      <c r="A5808" s="14">
        <v>43031.37855324074</v>
      </c>
      <c r="B5808" s="20" t="str">
        <f>HYPERLINK("https://twitter.com/SMBhamare","@SMBhamare")</f>
        <v>@SMBhamare</v>
      </c>
      <c r="C5808" s="21" t="s">
        <v>13182</v>
      </c>
      <c r="D5808" s="21" t="s">
        <v>42</v>
      </c>
      <c r="E5808" s="22" t="str">
        <f>HYPERLINK("https://twitter.com/SMBhamare/status/922494100418519040","922494100418519040")</f>
        <v>922494100418519040</v>
      </c>
      <c r="F5808" s="23" t="s">
        <v>39</v>
      </c>
      <c r="G5808" s="24">
        <v>254.0</v>
      </c>
      <c r="H5808" s="24">
        <v>1428.0</v>
      </c>
      <c r="I5808" s="24">
        <v>8501.0</v>
      </c>
      <c r="J5808" s="24">
        <v>0.0</v>
      </c>
      <c r="K5808" s="23" t="s">
        <v>34</v>
      </c>
      <c r="L5808" s="25">
        <v>40252.244988425926</v>
      </c>
      <c r="M5808" s="26" t="s">
        <v>13183</v>
      </c>
      <c r="N5808" s="26" t="s">
        <v>13184</v>
      </c>
      <c r="O5808" s="22" t="str">
        <f>HYPERLINK("https://pbs.twimg.com/profile_images/649235439652634624/HU29QTpc_normal.jpg","View")</f>
        <v>View</v>
      </c>
      <c r="P5808" s="27"/>
    </row>
    <row r="5809">
      <c r="A5809" s="14">
        <v>43031.37858796296</v>
      </c>
      <c r="B5809" s="20" t="str">
        <f>HYPERLINK("https://twitter.com/nyiint","@nyiint")</f>
        <v>@nyiint</v>
      </c>
      <c r="C5809" s="21" t="s">
        <v>5754</v>
      </c>
      <c r="D5809" s="21" t="s">
        <v>13185</v>
      </c>
      <c r="E5809" s="22" t="str">
        <f>HYPERLINK("https://twitter.com/nyiint/status/922494115710951427","922494115710951427")</f>
        <v>922494115710951427</v>
      </c>
      <c r="F5809" s="23" t="s">
        <v>187</v>
      </c>
      <c r="G5809" s="24">
        <v>16.0</v>
      </c>
      <c r="H5809" s="24">
        <v>0.0</v>
      </c>
      <c r="I5809" s="24">
        <v>0.0</v>
      </c>
      <c r="J5809" s="24">
        <v>0.0</v>
      </c>
      <c r="K5809" s="23" t="s">
        <v>34</v>
      </c>
      <c r="L5809" s="25">
        <v>42982.23821759259</v>
      </c>
      <c r="M5809" s="26" t="s">
        <v>4746</v>
      </c>
      <c r="N5809" s="26" t="s">
        <v>5756</v>
      </c>
      <c r="O5809" s="22" t="str">
        <f>HYPERLINK("https://pbs.twimg.com/profile_images/912810467730403330/LNww9UbF_normal.jpg","View")</f>
        <v>View</v>
      </c>
      <c r="P5809" s="27"/>
    </row>
    <row r="5810">
      <c r="A5810" s="14">
        <v>43031.37861111111</v>
      </c>
      <c r="B5810" s="20" t="str">
        <f>HYPERLINK("https://twitter.com/ranchor10","@ranchor10")</f>
        <v>@ranchor10</v>
      </c>
      <c r="C5810" s="21" t="s">
        <v>10003</v>
      </c>
      <c r="D5810" s="21" t="s">
        <v>42</v>
      </c>
      <c r="E5810" s="22" t="str">
        <f>HYPERLINK("https://twitter.com/ranchor10/status/922494123201806336","922494123201806336")</f>
        <v>922494123201806336</v>
      </c>
      <c r="F5810" s="23" t="s">
        <v>39</v>
      </c>
      <c r="G5810" s="24">
        <v>4652.0</v>
      </c>
      <c r="H5810" s="24">
        <v>10.0</v>
      </c>
      <c r="I5810" s="24">
        <v>8501.0</v>
      </c>
      <c r="J5810" s="24">
        <v>0.0</v>
      </c>
      <c r="K5810" s="23" t="s">
        <v>34</v>
      </c>
      <c r="L5810" s="25">
        <v>41151.0953125</v>
      </c>
      <c r="M5810" s="26" t="s">
        <v>13186</v>
      </c>
      <c r="N5810" s="26" t="s">
        <v>13187</v>
      </c>
      <c r="O5810" s="22" t="str">
        <f>HYPERLINK("https://pbs.twimg.com/profile_images/2571115074/image_normal.jpg","View")</f>
        <v>View</v>
      </c>
      <c r="P5810" s="27"/>
    </row>
    <row r="5811">
      <c r="A5811" s="14">
        <v>43031.37862268518</v>
      </c>
      <c r="B5811" s="20" t="str">
        <f>HYPERLINK("https://twitter.com/natt_k2000","@natt_k2000")</f>
        <v>@natt_k2000</v>
      </c>
      <c r="C5811" s="21" t="s">
        <v>13188</v>
      </c>
      <c r="D5811" s="21" t="s">
        <v>13189</v>
      </c>
      <c r="E5811" s="22" t="str">
        <f>HYPERLINK("https://twitter.com/natt_k2000/status/922494125005352960","922494125005352960")</f>
        <v>922494125005352960</v>
      </c>
      <c r="F5811" s="23" t="s">
        <v>13190</v>
      </c>
      <c r="G5811" s="24">
        <v>5418.0</v>
      </c>
      <c r="H5811" s="24">
        <v>5447.0</v>
      </c>
      <c r="I5811" s="24">
        <v>0.0</v>
      </c>
      <c r="J5811" s="24">
        <v>0.0</v>
      </c>
      <c r="K5811" s="23" t="s">
        <v>34</v>
      </c>
      <c r="L5811" s="25">
        <v>40021.16415509259</v>
      </c>
      <c r="M5811" s="26" t="s">
        <v>1735</v>
      </c>
      <c r="N5811" s="26" t="s">
        <v>13191</v>
      </c>
      <c r="O5811" s="22" t="str">
        <f>HYPERLINK("https://pbs.twimg.com/profile_images/1108996806/IMG_7671a_normal.jpg","View")</f>
        <v>View</v>
      </c>
      <c r="P5811" s="27"/>
    </row>
    <row r="5812">
      <c r="A5812" s="14">
        <v>43031.37863425926</v>
      </c>
      <c r="B5812" s="20" t="str">
        <f>HYPERLINK("https://twitter.com/shootertron","@shootertron")</f>
        <v>@shootertron</v>
      </c>
      <c r="C5812" s="21" t="s">
        <v>13192</v>
      </c>
      <c r="D5812" s="21" t="s">
        <v>13193</v>
      </c>
      <c r="E5812" s="22" t="str">
        <f>HYPERLINK("https://twitter.com/shootertron/status/922494131280244736","922494131280244736")</f>
        <v>922494131280244736</v>
      </c>
      <c r="F5812" s="23" t="s">
        <v>43</v>
      </c>
      <c r="G5812" s="24">
        <v>35.0</v>
      </c>
      <c r="H5812" s="24">
        <v>82.0</v>
      </c>
      <c r="I5812" s="24">
        <v>0.0</v>
      </c>
      <c r="J5812" s="24">
        <v>0.0</v>
      </c>
      <c r="K5812" s="23" t="s">
        <v>34</v>
      </c>
      <c r="L5812" s="25">
        <v>42334.94158564815</v>
      </c>
      <c r="M5812" s="26" t="s">
        <v>13194</v>
      </c>
      <c r="N5812" s="26" t="s">
        <v>13195</v>
      </c>
      <c r="O5812" s="22" t="str">
        <f>HYPERLINK("https://pbs.twimg.com/profile_images/670129149151870976/uofZAtF0_normal.jpg","View")</f>
        <v>View</v>
      </c>
      <c r="P5812" s="27"/>
    </row>
    <row r="5813">
      <c r="A5813" s="14">
        <v>43031.378796296296</v>
      </c>
      <c r="B5813" s="20" t="str">
        <f>HYPERLINK("https://twitter.com/DonJohnstonLC","@DonJohnstonLC")</f>
        <v>@DonJohnstonLC</v>
      </c>
      <c r="C5813" s="21" t="s">
        <v>12229</v>
      </c>
      <c r="D5813" s="21" t="s">
        <v>13196</v>
      </c>
      <c r="E5813" s="22" t="str">
        <f>HYPERLINK("https://twitter.com/DonJohnstonLC/status/922494187446177792","922494187446177792")</f>
        <v>922494187446177792</v>
      </c>
      <c r="F5813" s="23" t="s">
        <v>187</v>
      </c>
      <c r="G5813" s="24">
        <v>2843.0</v>
      </c>
      <c r="H5813" s="24">
        <v>782.0</v>
      </c>
      <c r="I5813" s="24">
        <v>0.0</v>
      </c>
      <c r="J5813" s="24">
        <v>0.0</v>
      </c>
      <c r="K5813" s="23" t="s">
        <v>34</v>
      </c>
      <c r="L5813" s="25">
        <v>42518.63056712963</v>
      </c>
      <c r="M5813" s="26" t="s">
        <v>2534</v>
      </c>
      <c r="N5813" s="26" t="s">
        <v>12231</v>
      </c>
      <c r="O5813" s="22" t="str">
        <f>HYPERLINK("https://pbs.twimg.com/profile_images/899843960767643648/x30pTAZ9_normal.jpg","View")</f>
        <v>View</v>
      </c>
      <c r="P5813" s="27"/>
    </row>
    <row r="5814">
      <c r="A5814" s="14">
        <v>43031.37884259259</v>
      </c>
      <c r="B5814" s="20" t="str">
        <f>HYPERLINK("https://twitter.com/331107adp1","@331107adp1")</f>
        <v>@331107adp1</v>
      </c>
      <c r="C5814" s="21" t="s">
        <v>13197</v>
      </c>
      <c r="D5814" s="21" t="s">
        <v>13198</v>
      </c>
      <c r="E5814" s="22" t="str">
        <f>HYPERLINK("https://twitter.com/331107adp1/status/922494204382552065","922494204382552065")</f>
        <v>922494204382552065</v>
      </c>
      <c r="F5814" s="30" t="s">
        <v>659</v>
      </c>
      <c r="G5814" s="24">
        <v>5.0</v>
      </c>
      <c r="H5814" s="24">
        <v>0.0</v>
      </c>
      <c r="I5814" s="24">
        <v>0.0</v>
      </c>
      <c r="J5814" s="24">
        <v>0.0</v>
      </c>
      <c r="K5814" s="23" t="s">
        <v>34</v>
      </c>
      <c r="L5814" s="25">
        <v>42351.960069444445</v>
      </c>
      <c r="M5814" s="28"/>
      <c r="N5814" s="28"/>
      <c r="O5814" s="22" t="str">
        <f>HYPERLINK("https://abs.twimg.com/sticky/default_profile_images/default_profile_normal.png","View")</f>
        <v>View</v>
      </c>
      <c r="P5814" s="27"/>
    </row>
    <row r="5815">
      <c r="A5815" s="14">
        <v>43031.37896990741</v>
      </c>
      <c r="B5815" s="20" t="str">
        <f>HYPERLINK("https://twitter.com/ColumnistWorld","@ColumnistWorld")</f>
        <v>@ColumnistWorld</v>
      </c>
      <c r="C5815" s="21" t="s">
        <v>5757</v>
      </c>
      <c r="D5815" s="21" t="s">
        <v>13199</v>
      </c>
      <c r="E5815" s="22" t="str">
        <f>HYPERLINK("https://twitter.com/ColumnistWorld/status/922494253498097669","922494253498097669")</f>
        <v>922494253498097669</v>
      </c>
      <c r="F5815" s="23" t="s">
        <v>187</v>
      </c>
      <c r="G5815" s="24">
        <v>26.0</v>
      </c>
      <c r="H5815" s="24">
        <v>0.0</v>
      </c>
      <c r="I5815" s="24">
        <v>0.0</v>
      </c>
      <c r="J5815" s="24">
        <v>0.0</v>
      </c>
      <c r="K5815" s="23" t="s">
        <v>34</v>
      </c>
      <c r="L5815" s="25">
        <v>42370.48368055555</v>
      </c>
      <c r="M5815" s="28"/>
      <c r="N5815" s="26" t="s">
        <v>5759</v>
      </c>
      <c r="O5815" s="22" t="str">
        <f>HYPERLINK("https://pbs.twimg.com/profile_images/918677245367111680/nbvPzXP0_normal.jpg","View")</f>
        <v>View</v>
      </c>
      <c r="P5815" s="27"/>
    </row>
    <row r="5816">
      <c r="A5816" s="14">
        <v>43031.37918981482</v>
      </c>
      <c r="B5816" s="20" t="str">
        <f>HYPERLINK("https://twitter.com/ErikaAlpert","@ErikaAlpert")</f>
        <v>@ErikaAlpert</v>
      </c>
      <c r="C5816" s="21" t="s">
        <v>13200</v>
      </c>
      <c r="D5816" s="21" t="s">
        <v>82</v>
      </c>
      <c r="E5816" s="22" t="str">
        <f>HYPERLINK("https://twitter.com/ErikaAlpert/status/922494330035687424","922494330035687424")</f>
        <v>922494330035687424</v>
      </c>
      <c r="F5816" s="23" t="s">
        <v>55</v>
      </c>
      <c r="G5816" s="24">
        <v>134.0</v>
      </c>
      <c r="H5816" s="24">
        <v>196.0</v>
      </c>
      <c r="I5816" s="24">
        <v>38.0</v>
      </c>
      <c r="J5816" s="24">
        <v>0.0</v>
      </c>
      <c r="K5816" s="23" t="s">
        <v>34</v>
      </c>
      <c r="L5816" s="25">
        <v>41244.868680555555</v>
      </c>
      <c r="M5816" s="26" t="s">
        <v>13201</v>
      </c>
      <c r="N5816" s="26" t="s">
        <v>13202</v>
      </c>
      <c r="O5816" s="22" t="str">
        <f>HYPERLINK("https://pbs.twimg.com/profile_images/904052575498096640/eKTPUfTw_normal.jpg","View")</f>
        <v>View</v>
      </c>
      <c r="P5816" s="27"/>
    </row>
    <row r="5817">
      <c r="A5817" s="14">
        <v>43031.37921296296</v>
      </c>
      <c r="B5817" s="20" t="str">
        <f>HYPERLINK("https://twitter.com/longfinger_one","@longfinger_one")</f>
        <v>@longfinger_one</v>
      </c>
      <c r="C5817" s="21" t="s">
        <v>13203</v>
      </c>
      <c r="D5817" s="21" t="s">
        <v>10614</v>
      </c>
      <c r="E5817" s="22" t="str">
        <f>HYPERLINK("https://twitter.com/longfinger_one/status/922494340236181504","922494340236181504")</f>
        <v>922494340236181504</v>
      </c>
      <c r="F5817" s="23" t="s">
        <v>230</v>
      </c>
      <c r="G5817" s="24">
        <v>522.0</v>
      </c>
      <c r="H5817" s="24">
        <v>746.0</v>
      </c>
      <c r="I5817" s="24">
        <v>159.0</v>
      </c>
      <c r="J5817" s="24">
        <v>0.0</v>
      </c>
      <c r="K5817" s="23" t="s">
        <v>34</v>
      </c>
      <c r="L5817" s="25">
        <v>41854.922800925924</v>
      </c>
      <c r="M5817" s="26" t="s">
        <v>13204</v>
      </c>
      <c r="N5817" s="26" t="s">
        <v>13205</v>
      </c>
      <c r="O5817" s="22" t="str">
        <f>HYPERLINK("https://pbs.twimg.com/profile_images/525085905661726720/U8NmfNgi_normal.jpeg","View")</f>
        <v>View</v>
      </c>
      <c r="P5817" s="27"/>
    </row>
    <row r="5818">
      <c r="A5818" s="14">
        <v>43031.37935185185</v>
      </c>
      <c r="B5818" s="20" t="str">
        <f>HYPERLINK("https://twitter.com/vinmaxinfotech","@vinmaxinfotech")</f>
        <v>@vinmaxinfotech</v>
      </c>
      <c r="C5818" s="21" t="s">
        <v>13206</v>
      </c>
      <c r="D5818" s="21" t="s">
        <v>13207</v>
      </c>
      <c r="E5818" s="22" t="str">
        <f>HYPERLINK("https://twitter.com/vinmaxinfotech/status/922494391041785859","922494391041785859")</f>
        <v>922494391041785859</v>
      </c>
      <c r="F5818" s="23" t="s">
        <v>13208</v>
      </c>
      <c r="G5818" s="24">
        <v>431.0</v>
      </c>
      <c r="H5818" s="24">
        <v>904.0</v>
      </c>
      <c r="I5818" s="24">
        <v>0.0</v>
      </c>
      <c r="J5818" s="24">
        <v>0.0</v>
      </c>
      <c r="K5818" s="23" t="s">
        <v>34</v>
      </c>
      <c r="L5818" s="25">
        <v>41316.507002314815</v>
      </c>
      <c r="M5818" s="28"/>
      <c r="N5818" s="26" t="s">
        <v>13209</v>
      </c>
      <c r="O5818" s="22" t="str">
        <f>HYPERLINK("https://pbs.twimg.com/profile_images/3240431398/89019211781d138a5575b6b564d4e8fb_normal.png","View")</f>
        <v>View</v>
      </c>
      <c r="P5818" s="27"/>
    </row>
    <row r="5819">
      <c r="A5819" s="14">
        <v>43031.37939814814</v>
      </c>
      <c r="B5819" s="20" t="str">
        <f>HYPERLINK("https://twitter.com/Mr_dd_22_","@Mr_dd_22_")</f>
        <v>@Mr_dd_22_</v>
      </c>
      <c r="C5819" s="21" t="s">
        <v>13210</v>
      </c>
      <c r="D5819" s="21" t="s">
        <v>42</v>
      </c>
      <c r="E5819" s="22" t="str">
        <f>HYPERLINK("https://twitter.com/Mr_dd_22_/status/922494409056444416","922494409056444416")</f>
        <v>922494409056444416</v>
      </c>
      <c r="F5819" s="23" t="s">
        <v>33</v>
      </c>
      <c r="G5819" s="24">
        <v>28.0</v>
      </c>
      <c r="H5819" s="24">
        <v>630.0</v>
      </c>
      <c r="I5819" s="24">
        <v>8501.0</v>
      </c>
      <c r="J5819" s="24">
        <v>0.0</v>
      </c>
      <c r="K5819" s="23" t="s">
        <v>34</v>
      </c>
      <c r="L5819" s="25">
        <v>43008.38650462963</v>
      </c>
      <c r="M5819" s="26" t="s">
        <v>142</v>
      </c>
      <c r="N5819" s="26" t="s">
        <v>13211</v>
      </c>
      <c r="O5819" s="22" t="str">
        <f>HYPERLINK("https://pbs.twimg.com/profile_images/922043679648374785/EBN1AoxV_normal.jpg","View")</f>
        <v>View</v>
      </c>
      <c r="P5819" s="27"/>
    </row>
    <row r="5820">
      <c r="A5820" s="14">
        <v>43031.3794212963</v>
      </c>
      <c r="B5820" s="20" t="str">
        <f>HYPERLINK("https://twitter.com/cllrjoeporter","@cllrjoeporter")</f>
        <v>@cllrjoeporter</v>
      </c>
      <c r="C5820" s="21" t="s">
        <v>13212</v>
      </c>
      <c r="D5820" s="21" t="s">
        <v>12974</v>
      </c>
      <c r="E5820" s="22" t="str">
        <f>HYPERLINK("https://twitter.com/cllrjoeporter/status/922494416648056832","922494416648056832")</f>
        <v>922494416648056832</v>
      </c>
      <c r="F5820" s="23" t="s">
        <v>33</v>
      </c>
      <c r="G5820" s="24">
        <v>3449.0</v>
      </c>
      <c r="H5820" s="24">
        <v>5000.0</v>
      </c>
      <c r="I5820" s="24">
        <v>110.0</v>
      </c>
      <c r="J5820" s="24">
        <v>0.0</v>
      </c>
      <c r="K5820" s="23" t="s">
        <v>34</v>
      </c>
      <c r="L5820" s="25">
        <v>41887.5594212963</v>
      </c>
      <c r="M5820" s="26" t="s">
        <v>13213</v>
      </c>
      <c r="N5820" s="26" t="s">
        <v>13214</v>
      </c>
      <c r="O5820" s="22" t="str">
        <f>HYPERLINK("https://pbs.twimg.com/profile_images/906570557860270083/C9nRT4o9_normal.jpg","View")</f>
        <v>View</v>
      </c>
      <c r="P5820" s="27"/>
    </row>
    <row r="5821">
      <c r="A5821" s="14">
        <v>43031.379432870366</v>
      </c>
      <c r="B5821" s="20" t="str">
        <f>HYPERLINK("https://twitter.com/PanditRd","@PanditRd")</f>
        <v>@PanditRd</v>
      </c>
      <c r="C5821" s="21" t="s">
        <v>13215</v>
      </c>
      <c r="D5821" s="21" t="s">
        <v>42</v>
      </c>
      <c r="E5821" s="22" t="str">
        <f>HYPERLINK("https://twitter.com/PanditRd/status/922494417910382593","922494417910382593")</f>
        <v>922494417910382593</v>
      </c>
      <c r="F5821" s="23" t="s">
        <v>33</v>
      </c>
      <c r="G5821" s="24">
        <v>6215.0</v>
      </c>
      <c r="H5821" s="24">
        <v>4378.0</v>
      </c>
      <c r="I5821" s="24">
        <v>8501.0</v>
      </c>
      <c r="J5821" s="24">
        <v>0.0</v>
      </c>
      <c r="K5821" s="23" t="s">
        <v>34</v>
      </c>
      <c r="L5821" s="25">
        <v>41710.947476851856</v>
      </c>
      <c r="M5821" s="26" t="s">
        <v>13216</v>
      </c>
      <c r="N5821" s="26" t="s">
        <v>13217</v>
      </c>
      <c r="O5821" s="22" t="str">
        <f>HYPERLINK("https://pbs.twimg.com/profile_images/906386052490731520/x65WElLq_normal.jpg","View")</f>
        <v>View</v>
      </c>
      <c r="P5821" s="27"/>
    </row>
    <row r="5822">
      <c r="A5822" s="14">
        <v>43031.379479166666</v>
      </c>
      <c r="B5822" s="20" t="str">
        <f>HYPERLINK("https://twitter.com/kvmv","@kvmv")</f>
        <v>@kvmv</v>
      </c>
      <c r="C5822" s="21" t="s">
        <v>13218</v>
      </c>
      <c r="D5822" s="21" t="s">
        <v>4507</v>
      </c>
      <c r="E5822" s="22" t="str">
        <f>HYPERLINK("https://twitter.com/kvmv/status/922494437820841985","922494437820841985")</f>
        <v>922494437820841985</v>
      </c>
      <c r="F5822" s="23" t="s">
        <v>33</v>
      </c>
      <c r="G5822" s="24">
        <v>442.0</v>
      </c>
      <c r="H5822" s="24">
        <v>427.0</v>
      </c>
      <c r="I5822" s="24">
        <v>139.0</v>
      </c>
      <c r="J5822" s="24">
        <v>0.0</v>
      </c>
      <c r="K5822" s="23" t="s">
        <v>34</v>
      </c>
      <c r="L5822" s="25">
        <v>39876.91738425926</v>
      </c>
      <c r="M5822" s="26" t="s">
        <v>204</v>
      </c>
      <c r="N5822" s="26" t="s">
        <v>13219</v>
      </c>
      <c r="O5822" s="22" t="str">
        <f>HYPERLINK("https://pbs.twimg.com/profile_images/425454776/maruti_normal.JPG","View")</f>
        <v>View</v>
      </c>
      <c r="P5822" s="27"/>
    </row>
    <row r="5823">
      <c r="A5823" s="14">
        <v>43031.379803240736</v>
      </c>
      <c r="B5823" s="20" t="str">
        <f>HYPERLINK("https://twitter.com/karumom","@karumom")</f>
        <v>@karumom</v>
      </c>
      <c r="C5823" s="21" t="s">
        <v>13220</v>
      </c>
      <c r="D5823" s="21" t="s">
        <v>42</v>
      </c>
      <c r="E5823" s="22" t="str">
        <f>HYPERLINK("https://twitter.com/karumom/status/922494555705966593","922494555705966593")</f>
        <v>922494555705966593</v>
      </c>
      <c r="F5823" s="23" t="s">
        <v>33</v>
      </c>
      <c r="G5823" s="24">
        <v>37.0</v>
      </c>
      <c r="H5823" s="24">
        <v>54.0</v>
      </c>
      <c r="I5823" s="24">
        <v>8501.0</v>
      </c>
      <c r="J5823" s="24">
        <v>0.0</v>
      </c>
      <c r="K5823" s="23" t="s">
        <v>34</v>
      </c>
      <c r="L5823" s="25">
        <v>41835.548530092594</v>
      </c>
      <c r="M5823" s="26" t="s">
        <v>13221</v>
      </c>
      <c r="N5823" s="26" t="s">
        <v>13222</v>
      </c>
      <c r="O5823" s="22" t="str">
        <f>HYPERLINK("https://pbs.twimg.com/profile_images/852946970679406592/SyYeKFh7_normal.jpg","View")</f>
        <v>View</v>
      </c>
      <c r="P5823" s="27"/>
    </row>
    <row r="5824">
      <c r="A5824" s="14">
        <v>43031.38006944444</v>
      </c>
      <c r="B5824" s="20" t="str">
        <f>HYPERLINK("https://twitter.com/ashu_shivhare","@ashu_shivhare")</f>
        <v>@ashu_shivhare</v>
      </c>
      <c r="C5824" s="21" t="s">
        <v>13223</v>
      </c>
      <c r="D5824" s="21" t="s">
        <v>42</v>
      </c>
      <c r="E5824" s="22" t="str">
        <f>HYPERLINK("https://twitter.com/ashu_shivhare/status/922494652732751872","922494652732751872")</f>
        <v>922494652732751872</v>
      </c>
      <c r="F5824" s="23" t="s">
        <v>33</v>
      </c>
      <c r="G5824" s="24">
        <v>841.0</v>
      </c>
      <c r="H5824" s="24">
        <v>267.0</v>
      </c>
      <c r="I5824" s="24">
        <v>8501.0</v>
      </c>
      <c r="J5824" s="24">
        <v>0.0</v>
      </c>
      <c r="K5824" s="23" t="s">
        <v>34</v>
      </c>
      <c r="L5824" s="25">
        <v>40720.07045138889</v>
      </c>
      <c r="M5824" s="26" t="s">
        <v>13224</v>
      </c>
      <c r="N5824" s="26" t="s">
        <v>13225</v>
      </c>
      <c r="O5824" s="22" t="str">
        <f>HYPERLINK("https://pbs.twimg.com/profile_images/895245414110068738/-rEBlBvy_normal.jpg","View")</f>
        <v>View</v>
      </c>
      <c r="P5824" s="27"/>
    </row>
    <row r="5825">
      <c r="A5825" s="14">
        <v>43031.38024305555</v>
      </c>
      <c r="B5825" s="20" t="str">
        <f>HYPERLINK("https://twitter.com/bhanupr11","@bhanupr11")</f>
        <v>@bhanupr11</v>
      </c>
      <c r="C5825" s="21" t="s">
        <v>13226</v>
      </c>
      <c r="D5825" s="21" t="s">
        <v>42</v>
      </c>
      <c r="E5825" s="22" t="str">
        <f>HYPERLINK("https://twitter.com/bhanupr11/status/922494712879054848","922494712879054848")</f>
        <v>922494712879054848</v>
      </c>
      <c r="F5825" s="23" t="s">
        <v>33</v>
      </c>
      <c r="G5825" s="24">
        <v>127.0</v>
      </c>
      <c r="H5825" s="24">
        <v>654.0</v>
      </c>
      <c r="I5825" s="24">
        <v>8501.0</v>
      </c>
      <c r="J5825" s="24">
        <v>0.0</v>
      </c>
      <c r="K5825" s="23" t="s">
        <v>34</v>
      </c>
      <c r="L5825" s="25">
        <v>42525.37847222222</v>
      </c>
      <c r="M5825" s="26" t="s">
        <v>13227</v>
      </c>
      <c r="N5825" s="26" t="s">
        <v>13228</v>
      </c>
      <c r="O5825" s="22" t="str">
        <f>HYPERLINK("https://pbs.twimg.com/profile_images/897184571187482624/qsZ5Xyh5_normal.jpg","View")</f>
        <v>View</v>
      </c>
      <c r="P5825" s="27"/>
    </row>
    <row r="5826">
      <c r="A5826" s="14">
        <v>43031.3803125</v>
      </c>
      <c r="B5826" s="20" t="str">
        <f>HYPERLINK("https://twitter.com/ry_cook25","@ry_cook25")</f>
        <v>@ry_cook25</v>
      </c>
      <c r="C5826" s="21" t="s">
        <v>13229</v>
      </c>
      <c r="D5826" s="21" t="s">
        <v>13131</v>
      </c>
      <c r="E5826" s="22" t="str">
        <f>HYPERLINK("https://twitter.com/ry_cook25/status/922494737784954880","922494737784954880")</f>
        <v>922494737784954880</v>
      </c>
      <c r="F5826" s="23" t="s">
        <v>33</v>
      </c>
      <c r="G5826" s="24">
        <v>124.0</v>
      </c>
      <c r="H5826" s="24">
        <v>120.0</v>
      </c>
      <c r="I5826" s="24">
        <v>5.0</v>
      </c>
      <c r="J5826" s="24">
        <v>0.0</v>
      </c>
      <c r="K5826" s="23" t="s">
        <v>34</v>
      </c>
      <c r="L5826" s="25">
        <v>41142.82177083333</v>
      </c>
      <c r="M5826" s="26" t="s">
        <v>13230</v>
      </c>
      <c r="N5826" s="28"/>
      <c r="O5826" s="22" t="str">
        <f>HYPERLINK("https://pbs.twimg.com/profile_images/898979411239641088/4_UiaP13_normal.jpg","View")</f>
        <v>View</v>
      </c>
      <c r="P5826" s="27"/>
    </row>
    <row r="5827">
      <c r="A5827" s="14">
        <v>43031.380532407406</v>
      </c>
      <c r="B5827" s="20" t="str">
        <f>HYPERLINK("https://twitter.com/RajpalAmar","@RajpalAmar")</f>
        <v>@RajpalAmar</v>
      </c>
      <c r="C5827" s="21" t="s">
        <v>13231</v>
      </c>
      <c r="D5827" s="21" t="s">
        <v>163</v>
      </c>
      <c r="E5827" s="22" t="str">
        <f>HYPERLINK("https://twitter.com/RajpalAmar/status/922494817795424256","922494817795424256")</f>
        <v>922494817795424256</v>
      </c>
      <c r="F5827" s="23" t="s">
        <v>33</v>
      </c>
      <c r="G5827" s="24">
        <v>243.0</v>
      </c>
      <c r="H5827" s="24">
        <v>685.0</v>
      </c>
      <c r="I5827" s="24">
        <v>1005.0</v>
      </c>
      <c r="J5827" s="24">
        <v>0.0</v>
      </c>
      <c r="K5827" s="23" t="s">
        <v>34</v>
      </c>
      <c r="L5827" s="25">
        <v>41058.08483796296</v>
      </c>
      <c r="M5827" s="26" t="s">
        <v>617</v>
      </c>
      <c r="N5827" s="26" t="s">
        <v>13232</v>
      </c>
      <c r="O5827" s="22" t="str">
        <f>HYPERLINK("https://pbs.twimg.com/profile_images/902496417796694016/jJcc0_LL_normal.jpg","View")</f>
        <v>View</v>
      </c>
      <c r="P5827" s="27"/>
    </row>
    <row r="5828">
      <c r="A5828" s="14">
        <v>43031.38059027778</v>
      </c>
      <c r="B5828" s="20" t="str">
        <f>HYPERLINK("https://twitter.com/SingapoRRe","@SingapoRRe")</f>
        <v>@SingapoRRe</v>
      </c>
      <c r="C5828" s="21" t="s">
        <v>1224</v>
      </c>
      <c r="D5828" s="21" t="s">
        <v>13233</v>
      </c>
      <c r="E5828" s="22" t="str">
        <f>HYPERLINK("https://twitter.com/SingapoRRe/status/922494841489166336","922494841489166336")</f>
        <v>922494841489166336</v>
      </c>
      <c r="F5828" s="23" t="s">
        <v>13234</v>
      </c>
      <c r="G5828" s="24">
        <v>2428.0</v>
      </c>
      <c r="H5828" s="24">
        <v>1409.0</v>
      </c>
      <c r="I5828" s="24">
        <v>0.0</v>
      </c>
      <c r="J5828" s="24">
        <v>0.0</v>
      </c>
      <c r="K5828" s="23" t="s">
        <v>34</v>
      </c>
      <c r="L5828" s="25">
        <v>41967.94962962963</v>
      </c>
      <c r="M5828" s="28"/>
      <c r="N5828" s="26" t="s">
        <v>13235</v>
      </c>
      <c r="O5828" s="22" t="str">
        <f>HYPERLINK("https://pbs.twimg.com/profile_images/749157593252233221/ZZTQW68O_normal.jpg","View")</f>
        <v>View</v>
      </c>
      <c r="P5828" s="27"/>
    </row>
    <row r="5829">
      <c r="A5829" s="14">
        <v>43031.38061342592</v>
      </c>
      <c r="B5829" s="20" t="str">
        <f>HYPERLINK("https://twitter.com/ScatesMonty","@ScatesMonty")</f>
        <v>@ScatesMonty</v>
      </c>
      <c r="C5829" s="21" t="s">
        <v>13236</v>
      </c>
      <c r="D5829" s="21" t="s">
        <v>13237</v>
      </c>
      <c r="E5829" s="22" t="str">
        <f>HYPERLINK("https://twitter.com/ScatesMonty/status/922494848334102528","922494848334102528")</f>
        <v>922494848334102528</v>
      </c>
      <c r="F5829" s="23" t="s">
        <v>55</v>
      </c>
      <c r="G5829" s="24">
        <v>10.0</v>
      </c>
      <c r="H5829" s="24">
        <v>68.0</v>
      </c>
      <c r="I5829" s="24">
        <v>0.0</v>
      </c>
      <c r="J5829" s="24">
        <v>0.0</v>
      </c>
      <c r="K5829" s="23" t="s">
        <v>34</v>
      </c>
      <c r="L5829" s="25">
        <v>42584.40064814815</v>
      </c>
      <c r="M5829" s="28"/>
      <c r="N5829" s="28"/>
      <c r="O5829" s="22" t="str">
        <f>HYPERLINK("https://pbs.twimg.com/profile_images/760819663563476994/c01GUH4B_normal.jpg","View")</f>
        <v>View</v>
      </c>
      <c r="P5829" s="27"/>
    </row>
    <row r="5830">
      <c r="A5830" s="14">
        <v>43031.380636574075</v>
      </c>
      <c r="B5830" s="20" t="str">
        <f>HYPERLINK("https://twitter.com/RealSrDollar_","@RealSrDollar_")</f>
        <v>@RealSrDollar_</v>
      </c>
      <c r="C5830" s="21" t="s">
        <v>13238</v>
      </c>
      <c r="D5830" s="21" t="s">
        <v>42</v>
      </c>
      <c r="E5830" s="22" t="str">
        <f>HYPERLINK("https://twitter.com/RealSrDollar_/status/922494856601227265","922494856601227265")</f>
        <v>922494856601227265</v>
      </c>
      <c r="F5830" s="23" t="s">
        <v>33</v>
      </c>
      <c r="G5830" s="24">
        <v>3863.0</v>
      </c>
      <c r="H5830" s="24">
        <v>5000.0</v>
      </c>
      <c r="I5830" s="24">
        <v>8501.0</v>
      </c>
      <c r="J5830" s="24">
        <v>0.0</v>
      </c>
      <c r="K5830" s="23" t="s">
        <v>34</v>
      </c>
      <c r="L5830" s="25">
        <v>42491.80744212963</v>
      </c>
      <c r="M5830" s="26" t="s">
        <v>4239</v>
      </c>
      <c r="N5830" s="26" t="s">
        <v>13239</v>
      </c>
      <c r="O5830" s="22" t="str">
        <f>HYPERLINK("https://pbs.twimg.com/profile_images/759317273375047680/J4uK_caT_normal.jpg","View")</f>
        <v>View</v>
      </c>
      <c r="P5830" s="27"/>
    </row>
    <row r="5831">
      <c r="A5831" s="14">
        <v>43031.38086805555</v>
      </c>
      <c r="B5831" s="20" t="str">
        <f>HYPERLINK("https://twitter.com/Babba30609941","@Babba30609941")</f>
        <v>@Babba30609941</v>
      </c>
      <c r="C5831" s="21" t="s">
        <v>13240</v>
      </c>
      <c r="D5831" s="21" t="s">
        <v>42</v>
      </c>
      <c r="E5831" s="22" t="str">
        <f>HYPERLINK("https://twitter.com/Babba30609941/status/922494941506314240","922494941506314240")</f>
        <v>922494941506314240</v>
      </c>
      <c r="F5831" s="23" t="s">
        <v>33</v>
      </c>
      <c r="G5831" s="24">
        <v>341.0</v>
      </c>
      <c r="H5831" s="24">
        <v>992.0</v>
      </c>
      <c r="I5831" s="24">
        <v>8501.0</v>
      </c>
      <c r="J5831" s="24">
        <v>0.0</v>
      </c>
      <c r="K5831" s="23" t="s">
        <v>34</v>
      </c>
      <c r="L5831" s="25">
        <v>42742.86016203703</v>
      </c>
      <c r="M5831" s="26" t="s">
        <v>13241</v>
      </c>
      <c r="N5831" s="26" t="s">
        <v>13242</v>
      </c>
      <c r="O5831" s="22" t="str">
        <f>HYPERLINK("https://pbs.twimg.com/profile_images/817954352858021888/Ug0Lt0Fu_normal.jpg","View")</f>
        <v>View</v>
      </c>
      <c r="P5831" s="27"/>
    </row>
    <row r="5832">
      <c r="A5832" s="14">
        <v>43031.3809375</v>
      </c>
      <c r="B5832" s="20" t="str">
        <f>HYPERLINK("https://twitter.com/Social_MediaNws","@Social_MediaNws")</f>
        <v>@Social_MediaNws</v>
      </c>
      <c r="C5832" s="21" t="s">
        <v>425</v>
      </c>
      <c r="D5832" s="21" t="s">
        <v>13243</v>
      </c>
      <c r="E5832" s="22" t="str">
        <f>HYPERLINK("https://twitter.com/Social_MediaNws/status/922494963509755904","922494963509755904")</f>
        <v>922494963509755904</v>
      </c>
      <c r="F5832" s="23" t="s">
        <v>1020</v>
      </c>
      <c r="G5832" s="24">
        <v>2903.0</v>
      </c>
      <c r="H5832" s="24">
        <v>2964.0</v>
      </c>
      <c r="I5832" s="24">
        <v>0.0</v>
      </c>
      <c r="J5832" s="24">
        <v>0.0</v>
      </c>
      <c r="K5832" s="23" t="s">
        <v>34</v>
      </c>
      <c r="L5832" s="25">
        <v>41150.31230324074</v>
      </c>
      <c r="M5832" s="28"/>
      <c r="N5832" s="26" t="s">
        <v>13244</v>
      </c>
      <c r="O5832" s="22" t="str">
        <f>HYPERLINK("https://pbs.twimg.com/profile_images/2555906299/2t28xm5pll2gy9p25785_normal.png","View")</f>
        <v>View</v>
      </c>
      <c r="P5832" s="27"/>
    </row>
    <row r="5833">
      <c r="A5833" s="14">
        <v>43031.38105324074</v>
      </c>
      <c r="B5833" s="20" t="str">
        <f>HYPERLINK("https://twitter.com/Narumi_Satoru","@Narumi_Satoru")</f>
        <v>@Narumi_Satoru</v>
      </c>
      <c r="C5833" s="21" t="s">
        <v>13245</v>
      </c>
      <c r="D5833" s="21" t="s">
        <v>10653</v>
      </c>
      <c r="E5833" s="22" t="str">
        <f>HYPERLINK("https://twitter.com/Narumi_Satoru/status/922495008665567233","922495008665567233")</f>
        <v>922495008665567233</v>
      </c>
      <c r="F5833" s="23" t="s">
        <v>39</v>
      </c>
      <c r="G5833" s="24">
        <v>106.0</v>
      </c>
      <c r="H5833" s="24">
        <v>58.0</v>
      </c>
      <c r="I5833" s="24">
        <v>9.0</v>
      </c>
      <c r="J5833" s="24">
        <v>0.0</v>
      </c>
      <c r="K5833" s="23" t="s">
        <v>34</v>
      </c>
      <c r="L5833" s="25">
        <v>42567.96109953704</v>
      </c>
      <c r="M5833" s="28"/>
      <c r="N5833" s="26" t="s">
        <v>13246</v>
      </c>
      <c r="O5833" s="22" t="str">
        <f>HYPERLINK("https://pbs.twimg.com/profile_images/797289850927882241/RvFIbW2K_normal.jpg","View")</f>
        <v>View</v>
      </c>
      <c r="P5833" s="27"/>
    </row>
    <row r="5834">
      <c r="A5834" s="14">
        <v>43031.38112268518</v>
      </c>
      <c r="B5834" s="20" t="str">
        <f>HYPERLINK("https://twitter.com/basant_bhoruka","@basant_bhoruka")</f>
        <v>@basant_bhoruka</v>
      </c>
      <c r="C5834" s="21" t="s">
        <v>13247</v>
      </c>
      <c r="D5834" s="21" t="s">
        <v>42</v>
      </c>
      <c r="E5834" s="22" t="str">
        <f>HYPERLINK("https://twitter.com/basant_bhoruka/status/922495031570657280","922495031570657280")</f>
        <v>922495031570657280</v>
      </c>
      <c r="F5834" s="23" t="s">
        <v>33</v>
      </c>
      <c r="G5834" s="24">
        <v>470.0</v>
      </c>
      <c r="H5834" s="24">
        <v>892.0</v>
      </c>
      <c r="I5834" s="24">
        <v>8501.0</v>
      </c>
      <c r="J5834" s="24">
        <v>0.0</v>
      </c>
      <c r="K5834" s="23" t="s">
        <v>34</v>
      </c>
      <c r="L5834" s="25">
        <v>41934.053391203706</v>
      </c>
      <c r="M5834" s="26" t="s">
        <v>13248</v>
      </c>
      <c r="N5834" s="26" t="s">
        <v>13249</v>
      </c>
      <c r="O5834" s="22" t="str">
        <f>HYPERLINK("https://pbs.twimg.com/profile_images/695352305378398208/PiD9RNiH_normal.jpg","View")</f>
        <v>View</v>
      </c>
      <c r="P5834" s="27"/>
    </row>
    <row r="5835">
      <c r="A5835" s="14">
        <v>43031.38113425926</v>
      </c>
      <c r="B5835" s="20" t="str">
        <f>HYPERLINK("https://twitter.com/vkchbhat","@vkchbhat")</f>
        <v>@vkchbhat</v>
      </c>
      <c r="C5835" s="21" t="s">
        <v>13250</v>
      </c>
      <c r="D5835" s="21" t="s">
        <v>42</v>
      </c>
      <c r="E5835" s="22" t="str">
        <f>HYPERLINK("https://twitter.com/vkchbhat/status/922495035110604800","922495035110604800")</f>
        <v>922495035110604800</v>
      </c>
      <c r="F5835" s="23" t="s">
        <v>33</v>
      </c>
      <c r="G5835" s="24">
        <v>90.0</v>
      </c>
      <c r="H5835" s="24">
        <v>129.0</v>
      </c>
      <c r="I5835" s="24">
        <v>8501.0</v>
      </c>
      <c r="J5835" s="24">
        <v>0.0</v>
      </c>
      <c r="K5835" s="23" t="s">
        <v>34</v>
      </c>
      <c r="L5835" s="25">
        <v>42712.2421875</v>
      </c>
      <c r="M5835" s="26" t="s">
        <v>13251</v>
      </c>
      <c r="N5835" s="28"/>
      <c r="O5835" s="22" t="str">
        <f>HYPERLINK("https://pbs.twimg.com/profile_images/807906337459990529/krhgVQ0r_normal.jpg","View")</f>
        <v>View</v>
      </c>
      <c r="P5835" s="27"/>
    </row>
    <row r="5836">
      <c r="A5836" s="14">
        <v>43031.3812962963</v>
      </c>
      <c r="B5836" s="20" t="str">
        <f>HYPERLINK("https://twitter.com/negi_suniel","@negi_suniel")</f>
        <v>@negi_suniel</v>
      </c>
      <c r="C5836" s="21" t="s">
        <v>13252</v>
      </c>
      <c r="D5836" s="21" t="s">
        <v>42</v>
      </c>
      <c r="E5836" s="22" t="str">
        <f>HYPERLINK("https://twitter.com/negi_suniel/status/922495093755359233","922495093755359233")</f>
        <v>922495093755359233</v>
      </c>
      <c r="F5836" s="23" t="s">
        <v>43</v>
      </c>
      <c r="G5836" s="24">
        <v>35.0</v>
      </c>
      <c r="H5836" s="24">
        <v>198.0</v>
      </c>
      <c r="I5836" s="24">
        <v>8501.0</v>
      </c>
      <c r="J5836" s="24">
        <v>0.0</v>
      </c>
      <c r="K5836" s="23" t="s">
        <v>34</v>
      </c>
      <c r="L5836" s="25">
        <v>42686.73173611111</v>
      </c>
      <c r="M5836" s="26" t="s">
        <v>13253</v>
      </c>
      <c r="N5836" s="26" t="s">
        <v>13254</v>
      </c>
      <c r="O5836" s="22" t="str">
        <f>HYPERLINK("https://pbs.twimg.com/profile_images/802410524021493760/UEqv82o__normal.jpg","View")</f>
        <v>View</v>
      </c>
      <c r="P5836" s="27"/>
    </row>
    <row r="5837">
      <c r="A5837" s="14">
        <v>43031.381319444445</v>
      </c>
      <c r="B5837" s="20" t="str">
        <f>HYPERLINK("https://twitter.com/BeanJD","@BeanJD")</f>
        <v>@BeanJD</v>
      </c>
      <c r="C5837" s="21" t="s">
        <v>7710</v>
      </c>
      <c r="D5837" s="21" t="s">
        <v>13255</v>
      </c>
      <c r="E5837" s="22" t="str">
        <f>HYPERLINK("https://twitter.com/BeanJD/status/922495103444365314","922495103444365314")</f>
        <v>922495103444365314</v>
      </c>
      <c r="F5837" s="23" t="s">
        <v>769</v>
      </c>
      <c r="G5837" s="24">
        <v>1438.0</v>
      </c>
      <c r="H5837" s="24">
        <v>578.0</v>
      </c>
      <c r="I5837" s="24">
        <v>0.0</v>
      </c>
      <c r="J5837" s="24">
        <v>0.0</v>
      </c>
      <c r="K5837" s="23" t="s">
        <v>34</v>
      </c>
      <c r="L5837" s="25">
        <v>40660.802569444444</v>
      </c>
      <c r="M5837" s="26" t="s">
        <v>7712</v>
      </c>
      <c r="N5837" s="26" t="s">
        <v>7713</v>
      </c>
      <c r="O5837" s="22" t="str">
        <f>HYPERLINK("https://pbs.twimg.com/profile_images/1486906679/Mainland_Affairs__ECFA_Taipei_normal.JPG","View")</f>
        <v>View</v>
      </c>
      <c r="P5837" s="27"/>
    </row>
    <row r="5838">
      <c r="A5838" s="14">
        <v>43031.38135416667</v>
      </c>
      <c r="B5838" s="20" t="str">
        <f>HYPERLINK("https://twitter.com/dipshuvra","@dipshuvra")</f>
        <v>@dipshuvra</v>
      </c>
      <c r="C5838" s="21" t="s">
        <v>13256</v>
      </c>
      <c r="D5838" s="21" t="s">
        <v>42</v>
      </c>
      <c r="E5838" s="22" t="str">
        <f>HYPERLINK("https://twitter.com/dipshuvra/status/922495116190691329","922495116190691329")</f>
        <v>922495116190691329</v>
      </c>
      <c r="F5838" s="23" t="s">
        <v>43</v>
      </c>
      <c r="G5838" s="24">
        <v>35.0</v>
      </c>
      <c r="H5838" s="24">
        <v>107.0</v>
      </c>
      <c r="I5838" s="24">
        <v>8501.0</v>
      </c>
      <c r="J5838" s="24">
        <v>0.0</v>
      </c>
      <c r="K5838" s="23" t="s">
        <v>34</v>
      </c>
      <c r="L5838" s="25">
        <v>42794.38229166667</v>
      </c>
      <c r="M5838" s="28"/>
      <c r="N5838" s="28"/>
      <c r="O5838" s="22" t="str">
        <f>HYPERLINK("https://pbs.twimg.com/profile_images/836625672470568960/QCZmNgg2_normal.jpg","View")</f>
        <v>View</v>
      </c>
      <c r="P5838" s="27"/>
    </row>
    <row r="5839">
      <c r="A5839" s="14">
        <v>43031.38140046297</v>
      </c>
      <c r="B5839" s="20" t="str">
        <f>HYPERLINK("https://twitter.com/HGVRespect","@HGVRespect")</f>
        <v>@HGVRespect</v>
      </c>
      <c r="C5839" s="21" t="s">
        <v>13257</v>
      </c>
      <c r="D5839" s="21" t="s">
        <v>12974</v>
      </c>
      <c r="E5839" s="22" t="str">
        <f>HYPERLINK("https://twitter.com/HGVRespect/status/922495132250836993","922495132250836993")</f>
        <v>922495132250836993</v>
      </c>
      <c r="F5839" s="23" t="s">
        <v>2119</v>
      </c>
      <c r="G5839" s="24">
        <v>1597.0</v>
      </c>
      <c r="H5839" s="24">
        <v>1443.0</v>
      </c>
      <c r="I5839" s="24">
        <v>110.0</v>
      </c>
      <c r="J5839" s="24">
        <v>0.0</v>
      </c>
      <c r="K5839" s="23" t="s">
        <v>34</v>
      </c>
      <c r="L5839" s="25">
        <v>41339.58733796296</v>
      </c>
      <c r="M5839" s="26" t="s">
        <v>1246</v>
      </c>
      <c r="N5839" s="26" t="s">
        <v>13258</v>
      </c>
      <c r="O5839" s="22" t="str">
        <f>HYPERLINK("https://pbs.twimg.com/profile_images/846935003086946304/JRLKxXoi_normal.jpg","View")</f>
        <v>View</v>
      </c>
      <c r="P5839" s="27"/>
    </row>
    <row r="5840">
      <c r="A5840" s="14">
        <v>43031.38142361111</v>
      </c>
      <c r="B5840" s="20" t="str">
        <f>HYPERLINK("https://twitter.com/AllNewsNetWorld","@AllNewsNetWorld")</f>
        <v>@AllNewsNetWorld</v>
      </c>
      <c r="C5840" s="21" t="s">
        <v>5930</v>
      </c>
      <c r="D5840" s="21" t="s">
        <v>13259</v>
      </c>
      <c r="E5840" s="22" t="str">
        <f>HYPERLINK("https://twitter.com/AllNewsNetWorld/status/922495141063135234","922495141063135234")</f>
        <v>922495141063135234</v>
      </c>
      <c r="F5840" s="23" t="s">
        <v>187</v>
      </c>
      <c r="G5840" s="24">
        <v>33.0</v>
      </c>
      <c r="H5840" s="24">
        <v>19.0</v>
      </c>
      <c r="I5840" s="24">
        <v>0.0</v>
      </c>
      <c r="J5840" s="24">
        <v>0.0</v>
      </c>
      <c r="K5840" s="23" t="s">
        <v>34</v>
      </c>
      <c r="L5840" s="25">
        <v>41463.496145833335</v>
      </c>
      <c r="M5840" s="28"/>
      <c r="N5840" s="28"/>
      <c r="O5840" s="22" t="str">
        <f>HYPERLINK("https://abs.twimg.com/sticky/default_profile_images/default_profile_normal.png","View")</f>
        <v>View</v>
      </c>
      <c r="P5840" s="27"/>
    </row>
    <row r="5841">
      <c r="A5841" s="14">
        <v>43031.381631944445</v>
      </c>
      <c r="B5841" s="20" t="str">
        <f>HYPERLINK("https://twitter.com/neerajsharms","@neerajsharms")</f>
        <v>@neerajsharms</v>
      </c>
      <c r="C5841" s="21" t="s">
        <v>13260</v>
      </c>
      <c r="D5841" s="21" t="s">
        <v>42</v>
      </c>
      <c r="E5841" s="22" t="str">
        <f>HYPERLINK("https://twitter.com/neerajsharms/status/922495218796003328","922495218796003328")</f>
        <v>922495218796003328</v>
      </c>
      <c r="F5841" s="23" t="s">
        <v>33</v>
      </c>
      <c r="G5841" s="24">
        <v>198.0</v>
      </c>
      <c r="H5841" s="24">
        <v>1066.0</v>
      </c>
      <c r="I5841" s="24">
        <v>8501.0</v>
      </c>
      <c r="J5841" s="24">
        <v>0.0</v>
      </c>
      <c r="K5841" s="23" t="s">
        <v>34</v>
      </c>
      <c r="L5841" s="25">
        <v>41023.01394675926</v>
      </c>
      <c r="M5841" s="26" t="s">
        <v>457</v>
      </c>
      <c r="N5841" s="26" t="s">
        <v>13261</v>
      </c>
      <c r="O5841" s="22" t="str">
        <f>HYPERLINK("https://pbs.twimg.com/profile_images/744333743557513216/755QgHvQ_normal.jpg","View")</f>
        <v>View</v>
      </c>
      <c r="P5841" s="27"/>
    </row>
    <row r="5842">
      <c r="A5842" s="14">
        <v>43031.38167824074</v>
      </c>
      <c r="B5842" s="20" t="str">
        <f>HYPERLINK("https://twitter.com/ashishkumar9919","@ashishkumar9919")</f>
        <v>@ashishkumar9919</v>
      </c>
      <c r="C5842" s="21" t="s">
        <v>13262</v>
      </c>
      <c r="D5842" s="21" t="s">
        <v>13263</v>
      </c>
      <c r="E5842" s="22" t="str">
        <f>HYPERLINK("https://twitter.com/ashishkumar9919/status/922495234512220160","922495234512220160")</f>
        <v>922495234512220160</v>
      </c>
      <c r="F5842" s="23" t="s">
        <v>48</v>
      </c>
      <c r="G5842" s="24">
        <v>195.0</v>
      </c>
      <c r="H5842" s="24">
        <v>894.0</v>
      </c>
      <c r="I5842" s="24">
        <v>0.0</v>
      </c>
      <c r="J5842" s="24">
        <v>0.0</v>
      </c>
      <c r="K5842" s="23" t="s">
        <v>34</v>
      </c>
      <c r="L5842" s="25">
        <v>42467.793067129634</v>
      </c>
      <c r="M5842" s="26" t="s">
        <v>2770</v>
      </c>
      <c r="N5842" s="26" t="s">
        <v>13264</v>
      </c>
      <c r="O5842" s="22" t="str">
        <f>HYPERLINK("https://pbs.twimg.com/profile_images/718263937330974722/0MZyLFl9_normal.jpg","View")</f>
        <v>View</v>
      </c>
      <c r="P5842" s="27"/>
    </row>
    <row r="5843">
      <c r="A5843" s="14">
        <v>43031.381898148145</v>
      </c>
      <c r="B5843" s="20" t="str">
        <f>HYPERLINK("https://twitter.com/rcknhts","@rcknhts")</f>
        <v>@rcknhts</v>
      </c>
      <c r="C5843" s="21" t="s">
        <v>13265</v>
      </c>
      <c r="D5843" s="21" t="s">
        <v>42</v>
      </c>
      <c r="E5843" s="22" t="str">
        <f>HYPERLINK("https://twitter.com/rcknhts/status/922495311938854917","922495311938854917")</f>
        <v>922495311938854917</v>
      </c>
      <c r="F5843" s="23" t="s">
        <v>43</v>
      </c>
      <c r="G5843" s="24">
        <v>16.0</v>
      </c>
      <c r="H5843" s="24">
        <v>242.0</v>
      </c>
      <c r="I5843" s="24">
        <v>8501.0</v>
      </c>
      <c r="J5843" s="24">
        <v>0.0</v>
      </c>
      <c r="K5843" s="23" t="s">
        <v>34</v>
      </c>
      <c r="L5843" s="25">
        <v>40654.409375</v>
      </c>
      <c r="M5843" s="26" t="s">
        <v>224</v>
      </c>
      <c r="N5843" s="28"/>
      <c r="O5843" s="22" t="str">
        <f>HYPERLINK("https://pbs.twimg.com/profile_images/916555743087648768/AvPeVh-i_normal.jpg","View")</f>
        <v>View</v>
      </c>
      <c r="P5843" s="27"/>
    </row>
    <row r="5844">
      <c r="A5844" s="14">
        <v>43031.381990740745</v>
      </c>
      <c r="B5844" s="20" t="str">
        <f>HYPERLINK("https://twitter.com/pranav9983","@pranav9983")</f>
        <v>@pranav9983</v>
      </c>
      <c r="C5844" s="21" t="s">
        <v>2737</v>
      </c>
      <c r="D5844" s="21" t="s">
        <v>42</v>
      </c>
      <c r="E5844" s="22" t="str">
        <f>HYPERLINK("https://twitter.com/pranav9983/status/922495346067906560","922495346067906560")</f>
        <v>922495346067906560</v>
      </c>
      <c r="F5844" s="23" t="s">
        <v>39</v>
      </c>
      <c r="G5844" s="24">
        <v>536.0</v>
      </c>
      <c r="H5844" s="24">
        <v>849.0</v>
      </c>
      <c r="I5844" s="24">
        <v>8501.0</v>
      </c>
      <c r="J5844" s="24">
        <v>0.0</v>
      </c>
      <c r="K5844" s="23" t="s">
        <v>34</v>
      </c>
      <c r="L5844" s="25">
        <v>42367.89004629629</v>
      </c>
      <c r="M5844" s="26" t="s">
        <v>2739</v>
      </c>
      <c r="N5844" s="26" t="s">
        <v>2740</v>
      </c>
      <c r="O5844" s="22" t="str">
        <f>HYPERLINK("https://pbs.twimg.com/profile_images/682069542713999361/JXyU4R-V_normal.jpg","View")</f>
        <v>View</v>
      </c>
      <c r="P5844" s="27"/>
    </row>
    <row r="5845">
      <c r="A5845" s="14">
        <v>43031.38203703704</v>
      </c>
      <c r="B5845" s="20" t="str">
        <f>HYPERLINK("https://twitter.com/bpolitics","@bpolitics")</f>
        <v>@bpolitics</v>
      </c>
      <c r="C5845" s="21" t="s">
        <v>3445</v>
      </c>
      <c r="D5845" s="21" t="s">
        <v>13266</v>
      </c>
      <c r="E5845" s="22" t="str">
        <f>HYPERLINK("https://twitter.com/bpolitics/status/922495364112019458","922495364112019458")</f>
        <v>922495364112019458</v>
      </c>
      <c r="F5845" s="23" t="s">
        <v>1103</v>
      </c>
      <c r="G5845" s="24">
        <v>221050.0</v>
      </c>
      <c r="H5845" s="24">
        <v>865.0</v>
      </c>
      <c r="I5845" s="24">
        <v>0.0</v>
      </c>
      <c r="J5845" s="24">
        <v>1.0</v>
      </c>
      <c r="K5845" s="23" t="s">
        <v>34</v>
      </c>
      <c r="L5845" s="25">
        <v>41025.57640046296</v>
      </c>
      <c r="M5845" s="28"/>
      <c r="N5845" s="26" t="s">
        <v>3447</v>
      </c>
      <c r="O5845" s="22" t="str">
        <f>HYPERLINK("https://pbs.twimg.com/profile_images/714804098890133504/cUO4gD1A_normal.jpg","View")</f>
        <v>View</v>
      </c>
      <c r="P5845" s="27"/>
    </row>
    <row r="5846">
      <c r="A5846" s="14">
        <v>43031.38223379629</v>
      </c>
      <c r="B5846" s="20" t="str">
        <f>HYPERLINK("https://twitter.com/cashekhars","@cashekhars")</f>
        <v>@cashekhars</v>
      </c>
      <c r="C5846" s="21" t="s">
        <v>13267</v>
      </c>
      <c r="D5846" s="21" t="s">
        <v>42</v>
      </c>
      <c r="E5846" s="22" t="str">
        <f>HYPERLINK("https://twitter.com/cashekhars/status/922495436622987264","922495436622987264")</f>
        <v>922495436622987264</v>
      </c>
      <c r="F5846" s="23" t="s">
        <v>39</v>
      </c>
      <c r="G5846" s="24">
        <v>169.0</v>
      </c>
      <c r="H5846" s="24">
        <v>1634.0</v>
      </c>
      <c r="I5846" s="24">
        <v>8501.0</v>
      </c>
      <c r="J5846" s="24">
        <v>0.0</v>
      </c>
      <c r="K5846" s="23" t="s">
        <v>34</v>
      </c>
      <c r="L5846" s="25">
        <v>39817.3115625</v>
      </c>
      <c r="M5846" s="26" t="s">
        <v>4620</v>
      </c>
      <c r="N5846" s="28"/>
      <c r="O5846" s="22" t="str">
        <f>HYPERLINK("https://pbs.twimg.com/profile_images/460121579582521345/qBwdBzJy_normal.jpeg","View")</f>
        <v>View</v>
      </c>
      <c r="P5846" s="27"/>
    </row>
    <row r="5847">
      <c r="A5847" s="14">
        <v>43031.382256944446</v>
      </c>
      <c r="B5847" s="20" t="str">
        <f>HYPERLINK("https://twitter.com/NareshC16071110","@NareshC16071110")</f>
        <v>@NareshC16071110</v>
      </c>
      <c r="C5847" s="21" t="s">
        <v>13268</v>
      </c>
      <c r="D5847" s="21" t="s">
        <v>42</v>
      </c>
      <c r="E5847" s="22" t="str">
        <f>HYPERLINK("https://twitter.com/NareshC16071110/status/922495443849715712","922495443849715712")</f>
        <v>922495443849715712</v>
      </c>
      <c r="F5847" s="23" t="s">
        <v>33</v>
      </c>
      <c r="G5847" s="24">
        <v>33.0</v>
      </c>
      <c r="H5847" s="24">
        <v>374.0</v>
      </c>
      <c r="I5847" s="24">
        <v>8501.0</v>
      </c>
      <c r="J5847" s="24">
        <v>0.0</v>
      </c>
      <c r="K5847" s="23" t="s">
        <v>34</v>
      </c>
      <c r="L5847" s="25">
        <v>42972.03693287037</v>
      </c>
      <c r="M5847" s="26" t="s">
        <v>204</v>
      </c>
      <c r="N5847" s="26" t="s">
        <v>13268</v>
      </c>
      <c r="O5847" s="22" t="str">
        <f>HYPERLINK("https://pbs.twimg.com/profile_images/902821216712404992/7dCRfrnk_normal.jpg","View")</f>
        <v>View</v>
      </c>
      <c r="P5847" s="27"/>
    </row>
    <row r="5848">
      <c r="A5848" s="14">
        <v>43031.38239583334</v>
      </c>
      <c r="B5848" s="20" t="str">
        <f>HYPERLINK("https://twitter.com/ashok_chaupal","@ashok_chaupal")</f>
        <v>@ashok_chaupal</v>
      </c>
      <c r="C5848" s="21" t="s">
        <v>13269</v>
      </c>
      <c r="D5848" s="21" t="s">
        <v>42</v>
      </c>
      <c r="E5848" s="22" t="str">
        <f>HYPERLINK("https://twitter.com/ashok_chaupal/status/922495493183176704","922495493183176704")</f>
        <v>922495493183176704</v>
      </c>
      <c r="F5848" s="23" t="s">
        <v>33</v>
      </c>
      <c r="G5848" s="24">
        <v>1.0</v>
      </c>
      <c r="H5848" s="24">
        <v>128.0</v>
      </c>
      <c r="I5848" s="24">
        <v>8501.0</v>
      </c>
      <c r="J5848" s="24">
        <v>0.0</v>
      </c>
      <c r="K5848" s="23" t="s">
        <v>34</v>
      </c>
      <c r="L5848" s="25">
        <v>43031.37689814815</v>
      </c>
      <c r="M5848" s="28"/>
      <c r="N5848" s="28"/>
      <c r="O5848" s="22" t="str">
        <f>HYPERLINK("https://abs.twimg.com/sticky/default_profile_images/default_profile_normal.png","View")</f>
        <v>View</v>
      </c>
      <c r="P5848" s="27"/>
    </row>
    <row r="5849">
      <c r="A5849" s="14">
        <v>43031.3825</v>
      </c>
      <c r="B5849" s="20" t="str">
        <f>HYPERLINK("https://twitter.com/ArbindaT","@ArbindaT")</f>
        <v>@ArbindaT</v>
      </c>
      <c r="C5849" s="21" t="s">
        <v>13270</v>
      </c>
      <c r="D5849" s="21" t="s">
        <v>42</v>
      </c>
      <c r="E5849" s="22" t="str">
        <f>HYPERLINK("https://twitter.com/ArbindaT/status/922495532177637376","922495532177637376")</f>
        <v>922495532177637376</v>
      </c>
      <c r="F5849" s="23" t="s">
        <v>33</v>
      </c>
      <c r="G5849" s="24">
        <v>12.0</v>
      </c>
      <c r="H5849" s="24">
        <v>76.0</v>
      </c>
      <c r="I5849" s="24">
        <v>8501.0</v>
      </c>
      <c r="J5849" s="24">
        <v>0.0</v>
      </c>
      <c r="K5849" s="23" t="s">
        <v>34</v>
      </c>
      <c r="L5849" s="25">
        <v>43013.18956018519</v>
      </c>
      <c r="M5849" s="26" t="s">
        <v>13271</v>
      </c>
      <c r="N5849" s="28"/>
      <c r="O5849" s="22" t="str">
        <f>HYPERLINK("https://pbs.twimg.com/profile_images/915904492289253376/5MHitYIc_normal.jpg","View")</f>
        <v>View</v>
      </c>
      <c r="P5849" s="27"/>
    </row>
    <row r="5850">
      <c r="A5850" s="14">
        <v>43031.382627314815</v>
      </c>
      <c r="B5850" s="20" t="str">
        <f>HYPERLINK("https://twitter.com/vyshaka","@vyshaka")</f>
        <v>@vyshaka</v>
      </c>
      <c r="C5850" s="21" t="s">
        <v>13272</v>
      </c>
      <c r="D5850" s="21" t="s">
        <v>163</v>
      </c>
      <c r="E5850" s="22" t="str">
        <f>HYPERLINK("https://twitter.com/vyshaka/status/922495578461708288","922495578461708288")</f>
        <v>922495578461708288</v>
      </c>
      <c r="F5850" s="23" t="s">
        <v>39</v>
      </c>
      <c r="G5850" s="24">
        <v>223.0</v>
      </c>
      <c r="H5850" s="24">
        <v>787.0</v>
      </c>
      <c r="I5850" s="24">
        <v>1005.0</v>
      </c>
      <c r="J5850" s="24">
        <v>0.0</v>
      </c>
      <c r="K5850" s="23" t="s">
        <v>34</v>
      </c>
      <c r="L5850" s="25">
        <v>40575.28451388889</v>
      </c>
      <c r="M5850" s="26" t="s">
        <v>603</v>
      </c>
      <c r="N5850" s="26" t="s">
        <v>13273</v>
      </c>
      <c r="O5850" s="22" t="str">
        <f>HYPERLINK("https://pbs.twimg.com/profile_images/888189879233925120/8AQS4lC1_normal.jpg","View")</f>
        <v>View</v>
      </c>
      <c r="P5850" s="27"/>
    </row>
    <row r="5851">
      <c r="A5851" s="14">
        <v>43031.382638888885</v>
      </c>
      <c r="B5851" s="20" t="str">
        <f>HYPERLINK("https://twitter.com/LINDUCRF","@LINDUCRF")</f>
        <v>@LINDUCRF</v>
      </c>
      <c r="C5851" s="21" t="s">
        <v>13274</v>
      </c>
      <c r="D5851" s="21" t="s">
        <v>42</v>
      </c>
      <c r="E5851" s="22" t="str">
        <f>HYPERLINK("https://twitter.com/LINDUCRF/status/922495581842558976","922495581842558976")</f>
        <v>922495581842558976</v>
      </c>
      <c r="F5851" s="23" t="s">
        <v>33</v>
      </c>
      <c r="G5851" s="24">
        <v>3.0</v>
      </c>
      <c r="H5851" s="24">
        <v>48.0</v>
      </c>
      <c r="I5851" s="24">
        <v>8501.0</v>
      </c>
      <c r="J5851" s="24">
        <v>0.0</v>
      </c>
      <c r="K5851" s="23" t="s">
        <v>34</v>
      </c>
      <c r="L5851" s="25">
        <v>42773.63995370371</v>
      </c>
      <c r="M5851" s="26" t="s">
        <v>13275</v>
      </c>
      <c r="N5851" s="26" t="s">
        <v>13276</v>
      </c>
      <c r="O5851" s="22" t="str">
        <f>HYPERLINK("https://pbs.twimg.com/profile_images/829111496349204480/OYo_X9dv_normal.jpg","View")</f>
        <v>View</v>
      </c>
      <c r="P5851" s="27"/>
    </row>
    <row r="5852">
      <c r="A5852" s="14">
        <v>43031.38269675926</v>
      </c>
      <c r="B5852" s="20" t="str">
        <f>HYPERLINK("https://twitter.com/VicHootabc","@VicHootabc")</f>
        <v>@VicHootabc</v>
      </c>
      <c r="C5852" s="21" t="s">
        <v>13277</v>
      </c>
      <c r="D5852" s="21" t="s">
        <v>13278</v>
      </c>
      <c r="E5852" s="22" t="str">
        <f>HYPERLINK("https://twitter.com/VicHootabc/status/922495602004516865","922495602004516865")</f>
        <v>922495602004516865</v>
      </c>
      <c r="F5852" s="23" t="s">
        <v>427</v>
      </c>
      <c r="G5852" s="24">
        <v>2.0</v>
      </c>
      <c r="H5852" s="24">
        <v>44.0</v>
      </c>
      <c r="I5852" s="24">
        <v>0.0</v>
      </c>
      <c r="J5852" s="24">
        <v>0.0</v>
      </c>
      <c r="K5852" s="23" t="s">
        <v>34</v>
      </c>
      <c r="L5852" s="25">
        <v>43011.16638888889</v>
      </c>
      <c r="M5852" s="28"/>
      <c r="N5852" s="28"/>
      <c r="O5852" s="22" t="str">
        <f>HYPERLINK("https://abs.twimg.com/sticky/default_profile_images/default_profile_normal.png","View")</f>
        <v>View</v>
      </c>
      <c r="P5852" s="27"/>
    </row>
    <row r="5853">
      <c r="A5853" s="14">
        <v>43031.38271990741</v>
      </c>
      <c r="B5853" s="20" t="str">
        <f>HYPERLINK("https://twitter.com/ValentinaHoot","@ValentinaHoot")</f>
        <v>@ValentinaHoot</v>
      </c>
      <c r="C5853" s="21" t="s">
        <v>13279</v>
      </c>
      <c r="D5853" s="21" t="s">
        <v>13280</v>
      </c>
      <c r="E5853" s="22" t="str">
        <f>HYPERLINK("https://twitter.com/ValentinaHoot/status/922495610007285760","922495610007285760")</f>
        <v>922495610007285760</v>
      </c>
      <c r="F5853" s="23" t="s">
        <v>427</v>
      </c>
      <c r="G5853" s="24">
        <v>17.0</v>
      </c>
      <c r="H5853" s="24">
        <v>9.0</v>
      </c>
      <c r="I5853" s="24">
        <v>0.0</v>
      </c>
      <c r="J5853" s="24">
        <v>0.0</v>
      </c>
      <c r="K5853" s="23" t="s">
        <v>34</v>
      </c>
      <c r="L5853" s="25">
        <v>42304.537523148145</v>
      </c>
      <c r="M5853" s="28"/>
      <c r="N5853" s="28"/>
      <c r="O5853" s="22" t="str">
        <f>HYPERLINK("https://pbs.twimg.com/profile_images/704230829191467008/gGD-LDn7_normal.jpg","View")</f>
        <v>View</v>
      </c>
      <c r="P5853" s="27"/>
    </row>
    <row r="5854">
      <c r="A5854" s="14">
        <v>43031.382743055554</v>
      </c>
      <c r="B5854" s="20" t="str">
        <f>HYPERLINK("https://twitter.com/mishraarvindi","@mishraarvindi")</f>
        <v>@mishraarvindi</v>
      </c>
      <c r="C5854" s="21" t="s">
        <v>13281</v>
      </c>
      <c r="D5854" s="21" t="s">
        <v>42</v>
      </c>
      <c r="E5854" s="22" t="str">
        <f>HYPERLINK("https://twitter.com/mishraarvindi/status/922495620341837824","922495620341837824")</f>
        <v>922495620341837824</v>
      </c>
      <c r="F5854" s="23" t="s">
        <v>33</v>
      </c>
      <c r="G5854" s="24">
        <v>2320.0</v>
      </c>
      <c r="H5854" s="24">
        <v>771.0</v>
      </c>
      <c r="I5854" s="24">
        <v>8501.0</v>
      </c>
      <c r="J5854" s="24">
        <v>0.0</v>
      </c>
      <c r="K5854" s="23" t="s">
        <v>34</v>
      </c>
      <c r="L5854" s="25">
        <v>41230.38030092593</v>
      </c>
      <c r="M5854" s="26" t="s">
        <v>1633</v>
      </c>
      <c r="N5854" s="26" t="s">
        <v>13282</v>
      </c>
      <c r="O5854" s="22" t="str">
        <f>HYPERLINK("https://pbs.twimg.com/profile_images/758196259035320321/rzi2Ib4t_normal.jpg","View")</f>
        <v>View</v>
      </c>
      <c r="P5854" s="27"/>
    </row>
    <row r="5855">
      <c r="A5855" s="14">
        <v>43031.38276620371</v>
      </c>
      <c r="B5855" s="20" t="str">
        <f>HYPERLINK("https://twitter.com/carlbildt","@carlbildt")</f>
        <v>@carlbildt</v>
      </c>
      <c r="C5855" s="21" t="s">
        <v>13283</v>
      </c>
      <c r="D5855" s="21" t="s">
        <v>13284</v>
      </c>
      <c r="E5855" s="22" t="str">
        <f>HYPERLINK("https://twitter.com/carlbildt/status/922495629364006914","922495629364006914")</f>
        <v>922495629364006914</v>
      </c>
      <c r="F5855" s="23" t="s">
        <v>230</v>
      </c>
      <c r="G5855" s="24">
        <v>661410.0</v>
      </c>
      <c r="H5855" s="24">
        <v>2412.0</v>
      </c>
      <c r="I5855" s="24">
        <v>19.0</v>
      </c>
      <c r="J5855" s="24">
        <v>26.0</v>
      </c>
      <c r="K5855" s="23" t="s">
        <v>34</v>
      </c>
      <c r="L5855" s="25">
        <v>39815.093136574076</v>
      </c>
      <c r="M5855" s="28"/>
      <c r="N5855" s="26" t="s">
        <v>13285</v>
      </c>
      <c r="O5855" s="22" t="str">
        <f>HYPERLINK("https://pbs.twimg.com/profile_images/845592890994839553/IPoUmvTp_normal.jpg","View")</f>
        <v>View</v>
      </c>
      <c r="P5855" s="27"/>
    </row>
    <row r="5856">
      <c r="A5856" s="14">
        <v>43031.38280092593</v>
      </c>
      <c r="B5856" s="20" t="str">
        <f>HYPERLINK("https://twitter.com/NatLoveTenn","@NatLoveTenn")</f>
        <v>@NatLoveTenn</v>
      </c>
      <c r="C5856" s="21" t="s">
        <v>13286</v>
      </c>
      <c r="D5856" s="21" t="s">
        <v>179</v>
      </c>
      <c r="E5856" s="22" t="str">
        <f>HYPERLINK("https://twitter.com/NatLoveTenn/status/922495642064351232","922495642064351232")</f>
        <v>922495642064351232</v>
      </c>
      <c r="F5856" s="23" t="s">
        <v>33</v>
      </c>
      <c r="G5856" s="24">
        <v>329.0</v>
      </c>
      <c r="H5856" s="24">
        <v>34.0</v>
      </c>
      <c r="I5856" s="24">
        <v>30.0</v>
      </c>
      <c r="J5856" s="24">
        <v>0.0</v>
      </c>
      <c r="K5856" s="23" t="s">
        <v>34</v>
      </c>
      <c r="L5856" s="25">
        <v>42075.93813657407</v>
      </c>
      <c r="M5856" s="28"/>
      <c r="N5856" s="26" t="s">
        <v>13287</v>
      </c>
      <c r="O5856" s="22" t="str">
        <f>HYPERLINK("https://pbs.twimg.com/profile_images/585262651330011137/u8hq3TZV_normal.jpg","View")</f>
        <v>View</v>
      </c>
      <c r="P5856" s="27"/>
    </row>
    <row r="5857">
      <c r="A5857" s="14">
        <v>43031.3828125</v>
      </c>
      <c r="B5857" s="20" t="str">
        <f>HYPERLINK("https://twitter.com/jsrtm","@jsrtm")</f>
        <v>@jsrtm</v>
      </c>
      <c r="C5857" s="21" t="s">
        <v>13288</v>
      </c>
      <c r="D5857" s="21" t="s">
        <v>42</v>
      </c>
      <c r="E5857" s="22" t="str">
        <f>HYPERLINK("https://twitter.com/jsrtm/status/922495643716685825","922495643716685825")</f>
        <v>922495643716685825</v>
      </c>
      <c r="F5857" s="23" t="s">
        <v>86</v>
      </c>
      <c r="G5857" s="24">
        <v>216.0</v>
      </c>
      <c r="H5857" s="24">
        <v>933.0</v>
      </c>
      <c r="I5857" s="24">
        <v>8501.0</v>
      </c>
      <c r="J5857" s="24">
        <v>0.0</v>
      </c>
      <c r="K5857" s="23" t="s">
        <v>34</v>
      </c>
      <c r="L5857" s="25">
        <v>42570.882106481484</v>
      </c>
      <c r="M5857" s="26" t="s">
        <v>13289</v>
      </c>
      <c r="N5857" s="26" t="s">
        <v>13290</v>
      </c>
      <c r="O5857" s="22" t="str">
        <f>HYPERLINK("https://pbs.twimg.com/profile_images/917334340597510145/cWdp24Jb_normal.jpg","View")</f>
        <v>View</v>
      </c>
      <c r="P5857" s="27"/>
    </row>
    <row r="5858">
      <c r="A5858" s="14">
        <v>43031.38284722222</v>
      </c>
      <c r="B5858" s="20" t="str">
        <f>HYPERLINK("https://twitter.com/FTIactivism","@FTIactivism")</f>
        <v>@FTIactivism</v>
      </c>
      <c r="C5858" s="21" t="s">
        <v>13291</v>
      </c>
      <c r="D5858" s="21" t="s">
        <v>3478</v>
      </c>
      <c r="E5858" s="22" t="str">
        <f>HYPERLINK("https://twitter.com/FTIactivism/status/922495658174513152","922495658174513152")</f>
        <v>922495658174513152</v>
      </c>
      <c r="F5858" s="23" t="s">
        <v>427</v>
      </c>
      <c r="G5858" s="24">
        <v>1102.0</v>
      </c>
      <c r="H5858" s="24">
        <v>1190.0</v>
      </c>
      <c r="I5858" s="24">
        <v>4.0</v>
      </c>
      <c r="J5858" s="24">
        <v>0.0</v>
      </c>
      <c r="K5858" s="23" t="s">
        <v>34</v>
      </c>
      <c r="L5858" s="25">
        <v>42423.28429398148</v>
      </c>
      <c r="M5858" s="26" t="s">
        <v>4239</v>
      </c>
      <c r="N5858" s="26" t="s">
        <v>13292</v>
      </c>
      <c r="O5858" s="22" t="str">
        <f>HYPERLINK("https://pbs.twimg.com/profile_images/705427075218350080/KJHYmjfg_normal.jpg","View")</f>
        <v>View</v>
      </c>
      <c r="P5858" s="27"/>
    </row>
    <row r="5859">
      <c r="A5859" s="14">
        <v>43031.38285879629</v>
      </c>
      <c r="B5859" s="20" t="str">
        <f>HYPERLINK("https://twitter.com/inews2day","@inews2day")</f>
        <v>@inews2day</v>
      </c>
      <c r="C5859" s="21" t="s">
        <v>539</v>
      </c>
      <c r="D5859" s="21" t="s">
        <v>13293</v>
      </c>
      <c r="E5859" s="22" t="str">
        <f>HYPERLINK("https://twitter.com/inews2day/status/922495660527685633","922495660527685633")</f>
        <v>922495660527685633</v>
      </c>
      <c r="F5859" s="23" t="s">
        <v>187</v>
      </c>
      <c r="G5859" s="24">
        <v>487.0</v>
      </c>
      <c r="H5859" s="24">
        <v>0.0</v>
      </c>
      <c r="I5859" s="24">
        <v>0.0</v>
      </c>
      <c r="J5859" s="24">
        <v>0.0</v>
      </c>
      <c r="K5859" s="23" t="s">
        <v>34</v>
      </c>
      <c r="L5859" s="25">
        <v>42055.11097222222</v>
      </c>
      <c r="M5859" s="26" t="s">
        <v>541</v>
      </c>
      <c r="N5859" s="26" t="s">
        <v>542</v>
      </c>
      <c r="O5859" s="22" t="str">
        <f>HYPERLINK("https://pbs.twimg.com/profile_images/568731081323466752/-oyEQpj9_normal.jpeg","View")</f>
        <v>View</v>
      </c>
      <c r="P5859" s="27"/>
    </row>
    <row r="5860">
      <c r="A5860" s="14">
        <v>43031.38292824074</v>
      </c>
      <c r="B5860" s="20" t="str">
        <f>HYPERLINK("https://twitter.com/Dawnsfire","@Dawnsfire")</f>
        <v>@Dawnsfire</v>
      </c>
      <c r="C5860" s="21" t="s">
        <v>13294</v>
      </c>
      <c r="D5860" s="21" t="s">
        <v>13295</v>
      </c>
      <c r="E5860" s="22" t="str">
        <f>HYPERLINK("https://twitter.com/Dawnsfire/status/922495688746860547","922495688746860547")</f>
        <v>922495688746860547</v>
      </c>
      <c r="F5860" s="23" t="s">
        <v>769</v>
      </c>
      <c r="G5860" s="24">
        <v>1038.0</v>
      </c>
      <c r="H5860" s="24">
        <v>650.0</v>
      </c>
      <c r="I5860" s="24">
        <v>19.0</v>
      </c>
      <c r="J5860" s="24">
        <v>0.0</v>
      </c>
      <c r="K5860" s="23" t="s">
        <v>34</v>
      </c>
      <c r="L5860" s="25">
        <v>40260.79765046296</v>
      </c>
      <c r="M5860" s="26" t="s">
        <v>1964</v>
      </c>
      <c r="N5860" s="26" t="s">
        <v>13296</v>
      </c>
      <c r="O5860" s="22" t="str">
        <f>HYPERLINK("https://pbs.twimg.com/profile_images/922227546812542981/wWD8jhEc_normal.jpg","View")</f>
        <v>View</v>
      </c>
      <c r="P5860" s="27"/>
    </row>
    <row r="5861">
      <c r="A5861" s="14">
        <v>43031.382939814815</v>
      </c>
      <c r="B5861" s="20" t="str">
        <f>HYPERLINK("https://twitter.com/Ashok_Magadh","@Ashok_Magadh")</f>
        <v>@Ashok_Magadh</v>
      </c>
      <c r="C5861" s="21" t="s">
        <v>13297</v>
      </c>
      <c r="D5861" s="21" t="s">
        <v>42</v>
      </c>
      <c r="E5861" s="22" t="str">
        <f>HYPERLINK("https://twitter.com/Ashok_Magadh/status/922495689497526273","922495689497526273")</f>
        <v>922495689497526273</v>
      </c>
      <c r="F5861" s="23" t="s">
        <v>33</v>
      </c>
      <c r="G5861" s="24">
        <v>1367.0</v>
      </c>
      <c r="H5861" s="24">
        <v>525.0</v>
      </c>
      <c r="I5861" s="24">
        <v>8501.0</v>
      </c>
      <c r="J5861" s="24">
        <v>0.0</v>
      </c>
      <c r="K5861" s="23" t="s">
        <v>34</v>
      </c>
      <c r="L5861" s="25">
        <v>42418.91445601852</v>
      </c>
      <c r="M5861" s="26" t="s">
        <v>13298</v>
      </c>
      <c r="N5861" s="26" t="s">
        <v>13299</v>
      </c>
      <c r="O5861" s="22" t="str">
        <f>HYPERLINK("https://pbs.twimg.com/profile_images/901551694902837248/NWhyJ5Pt_normal.jpg","View")</f>
        <v>View</v>
      </c>
      <c r="P5861" s="27"/>
    </row>
    <row r="5862">
      <c r="A5862" s="14">
        <v>43031.383009259254</v>
      </c>
      <c r="B5862" s="20" t="str">
        <f>HYPERLINK("https://twitter.com/RealtorJairo","@RealtorJairo")</f>
        <v>@RealtorJairo</v>
      </c>
      <c r="C5862" s="21" t="s">
        <v>13300</v>
      </c>
      <c r="D5862" s="21" t="s">
        <v>13301</v>
      </c>
      <c r="E5862" s="22" t="str">
        <f>HYPERLINK("https://twitter.com/RealtorJairo/status/922495714449506304","922495714449506304")</f>
        <v>922495714449506304</v>
      </c>
      <c r="F5862" s="23" t="s">
        <v>48</v>
      </c>
      <c r="G5862" s="24">
        <v>2090.0</v>
      </c>
      <c r="H5862" s="24">
        <v>1107.0</v>
      </c>
      <c r="I5862" s="24">
        <v>0.0</v>
      </c>
      <c r="J5862" s="24">
        <v>0.0</v>
      </c>
      <c r="K5862" s="23" t="s">
        <v>34</v>
      </c>
      <c r="L5862" s="25">
        <v>40026.62519675926</v>
      </c>
      <c r="M5862" s="26" t="s">
        <v>13302</v>
      </c>
      <c r="N5862" s="26" t="s">
        <v>13303</v>
      </c>
      <c r="O5862" s="22" t="str">
        <f>HYPERLINK("https://pbs.twimg.com/profile_images/699053602430590977/qkq4M2C2_normal.jpg","View")</f>
        <v>View</v>
      </c>
      <c r="P5862" s="27"/>
    </row>
    <row r="5863">
      <c r="A5863" s="14">
        <v>43031.38302083334</v>
      </c>
      <c r="B5863" s="20" t="str">
        <f>HYPERLINK("https://twitter.com/Mr_Insanity97","@Mr_Insanity97")</f>
        <v>@Mr_Insanity97</v>
      </c>
      <c r="C5863" s="21" t="s">
        <v>13304</v>
      </c>
      <c r="D5863" s="21" t="s">
        <v>108</v>
      </c>
      <c r="E5863" s="22" t="str">
        <f>HYPERLINK("https://twitter.com/Mr_Insanity97/status/922495719721914368","922495719721914368")</f>
        <v>922495719721914368</v>
      </c>
      <c r="F5863" s="23" t="s">
        <v>39</v>
      </c>
      <c r="G5863" s="24">
        <v>993.0</v>
      </c>
      <c r="H5863" s="24">
        <v>5001.0</v>
      </c>
      <c r="I5863" s="24">
        <v>88.0</v>
      </c>
      <c r="J5863" s="24">
        <v>0.0</v>
      </c>
      <c r="K5863" s="23" t="s">
        <v>34</v>
      </c>
      <c r="L5863" s="25">
        <v>41877.76186342593</v>
      </c>
      <c r="M5863" s="26" t="s">
        <v>13305</v>
      </c>
      <c r="N5863" s="26" t="s">
        <v>13306</v>
      </c>
      <c r="O5863" s="22" t="str">
        <f>HYPERLINK("https://pbs.twimg.com/profile_images/841832752353812481/55UBynaq_normal.jpg","View")</f>
        <v>View</v>
      </c>
      <c r="P5863" s="27"/>
    </row>
    <row r="5864">
      <c r="A5864" s="14">
        <v>43031.383055555554</v>
      </c>
      <c r="B5864" s="20" t="str">
        <f>HYPERLINK("https://twitter.com/AsiaPolicyNet","@AsiaPolicyNet")</f>
        <v>@AsiaPolicyNet</v>
      </c>
      <c r="C5864" s="21" t="s">
        <v>13307</v>
      </c>
      <c r="D5864" s="21" t="s">
        <v>13308</v>
      </c>
      <c r="E5864" s="22" t="str">
        <f>HYPERLINK("https://twitter.com/AsiaPolicyNet/status/922495732111826944","922495732111826944")</f>
        <v>922495732111826944</v>
      </c>
      <c r="F5864" s="23" t="s">
        <v>91</v>
      </c>
      <c r="G5864" s="24">
        <v>51.0</v>
      </c>
      <c r="H5864" s="24">
        <v>40.0</v>
      </c>
      <c r="I5864" s="24">
        <v>0.0</v>
      </c>
      <c r="J5864" s="24">
        <v>0.0</v>
      </c>
      <c r="K5864" s="23" t="s">
        <v>34</v>
      </c>
      <c r="L5864" s="25">
        <v>42549.39119212963</v>
      </c>
      <c r="M5864" s="26" t="s">
        <v>13309</v>
      </c>
      <c r="N5864" s="26" t="s">
        <v>13310</v>
      </c>
      <c r="O5864" s="22" t="str">
        <f>HYPERLINK("https://pbs.twimg.com/profile_images/747828563739455488/7Ga6s-rs_normal.jpg","View")</f>
        <v>View</v>
      </c>
      <c r="P5864" s="27"/>
    </row>
    <row r="5865">
      <c r="A5865" s="14">
        <v>43031.38306712963</v>
      </c>
      <c r="B5865" s="20" t="str">
        <f>HYPERLINK("https://twitter.com/Mr_Insanity97","@Mr_Insanity97")</f>
        <v>@Mr_Insanity97</v>
      </c>
      <c r="C5865" s="21" t="s">
        <v>13304</v>
      </c>
      <c r="D5865" s="21" t="s">
        <v>760</v>
      </c>
      <c r="E5865" s="22" t="str">
        <f>HYPERLINK("https://twitter.com/Mr_Insanity97/status/922495738386485248","922495738386485248")</f>
        <v>922495738386485248</v>
      </c>
      <c r="F5865" s="23" t="s">
        <v>39</v>
      </c>
      <c r="G5865" s="24">
        <v>993.0</v>
      </c>
      <c r="H5865" s="24">
        <v>5001.0</v>
      </c>
      <c r="I5865" s="24">
        <v>62.0</v>
      </c>
      <c r="J5865" s="24">
        <v>0.0</v>
      </c>
      <c r="K5865" s="23" t="s">
        <v>34</v>
      </c>
      <c r="L5865" s="25">
        <v>41877.76186342593</v>
      </c>
      <c r="M5865" s="26" t="s">
        <v>13305</v>
      </c>
      <c r="N5865" s="26" t="s">
        <v>13306</v>
      </c>
      <c r="O5865" s="22" t="str">
        <f>HYPERLINK("https://pbs.twimg.com/profile_images/841832752353812481/55UBynaq_normal.jpg","View")</f>
        <v>View</v>
      </c>
      <c r="P5865" s="27"/>
    </row>
    <row r="5866">
      <c r="A5866" s="14">
        <v>43031.38309027778</v>
      </c>
      <c r="B5866" s="20" t="str">
        <f>HYPERLINK("https://twitter.com/APACMonitor","@APACMonitor")</f>
        <v>@APACMonitor</v>
      </c>
      <c r="C5866" s="21" t="s">
        <v>13311</v>
      </c>
      <c r="D5866" s="21" t="s">
        <v>13312</v>
      </c>
      <c r="E5866" s="22" t="str">
        <f>HYPERLINK("https://twitter.com/APACMonitor/status/922495744489205760","922495744489205760")</f>
        <v>922495744489205760</v>
      </c>
      <c r="F5866" s="23" t="s">
        <v>91</v>
      </c>
      <c r="G5866" s="24">
        <v>59.0</v>
      </c>
      <c r="H5866" s="24">
        <v>164.0</v>
      </c>
      <c r="I5866" s="24">
        <v>0.0</v>
      </c>
      <c r="J5866" s="24">
        <v>0.0</v>
      </c>
      <c r="K5866" s="23" t="s">
        <v>34</v>
      </c>
      <c r="L5866" s="25">
        <v>42537.441145833334</v>
      </c>
      <c r="M5866" s="26" t="s">
        <v>13313</v>
      </c>
      <c r="N5866" s="26" t="s">
        <v>13314</v>
      </c>
      <c r="O5866" s="22" t="str">
        <f>HYPERLINK("https://pbs.twimg.com/profile_images/743498761905659904/A77h1qlc_normal.jpg","View")</f>
        <v>View</v>
      </c>
      <c r="P5866" s="27"/>
    </row>
    <row r="5867">
      <c r="A5867" s="14">
        <v>43031.38319444444</v>
      </c>
      <c r="B5867" s="20" t="str">
        <f>HYPERLINK("https://twitter.com/Rinkuka49115193","@Rinkuka49115193")</f>
        <v>@Rinkuka49115193</v>
      </c>
      <c r="C5867" s="21" t="s">
        <v>13315</v>
      </c>
      <c r="D5867" s="21" t="s">
        <v>42</v>
      </c>
      <c r="E5867" s="22" t="str">
        <f>HYPERLINK("https://twitter.com/Rinkuka49115193/status/922495782112153600","922495782112153600")</f>
        <v>922495782112153600</v>
      </c>
      <c r="F5867" s="23" t="s">
        <v>33</v>
      </c>
      <c r="G5867" s="24">
        <v>109.0</v>
      </c>
      <c r="H5867" s="24">
        <v>278.0</v>
      </c>
      <c r="I5867" s="24">
        <v>8501.0</v>
      </c>
      <c r="J5867" s="24">
        <v>0.0</v>
      </c>
      <c r="K5867" s="23" t="s">
        <v>34</v>
      </c>
      <c r="L5867" s="25">
        <v>42929.415243055555</v>
      </c>
      <c r="M5867" s="28"/>
      <c r="N5867" s="26" t="s">
        <v>13316</v>
      </c>
      <c r="O5867" s="22" t="str">
        <f>HYPERLINK("https://pbs.twimg.com/profile_images/906901161902530560/KWw20nTZ_normal.jpg","View")</f>
        <v>View</v>
      </c>
      <c r="P5867" s="27"/>
    </row>
    <row r="5868">
      <c r="A5868" s="14">
        <v>43031.38333333333</v>
      </c>
      <c r="B5868" s="20" t="str">
        <f>HYPERLINK("https://twitter.com/VRamanuj","@VRamanuj")</f>
        <v>@VRamanuj</v>
      </c>
      <c r="C5868" s="21" t="s">
        <v>13317</v>
      </c>
      <c r="D5868" s="21" t="s">
        <v>42</v>
      </c>
      <c r="E5868" s="22" t="str">
        <f>HYPERLINK("https://twitter.com/VRamanuj/status/922495835199246336","922495835199246336")</f>
        <v>922495835199246336</v>
      </c>
      <c r="F5868" s="23" t="s">
        <v>33</v>
      </c>
      <c r="G5868" s="24">
        <v>24076.0</v>
      </c>
      <c r="H5868" s="24">
        <v>21600.0</v>
      </c>
      <c r="I5868" s="24">
        <v>8501.0</v>
      </c>
      <c r="J5868" s="24">
        <v>0.0</v>
      </c>
      <c r="K5868" s="23" t="s">
        <v>34</v>
      </c>
      <c r="L5868" s="25">
        <v>42487.3732175926</v>
      </c>
      <c r="M5868" s="26" t="s">
        <v>11689</v>
      </c>
      <c r="N5868" s="26" t="s">
        <v>13318</v>
      </c>
      <c r="O5868" s="22" t="str">
        <f>HYPERLINK("https://pbs.twimg.com/profile_images/892264393341317120/ikGX90Ys_normal.jpg","View")</f>
        <v>View</v>
      </c>
      <c r="P5868" s="27"/>
    </row>
    <row r="5869">
      <c r="A5869" s="14">
        <v>43031.38334490741</v>
      </c>
      <c r="B5869" s="20" t="str">
        <f>HYPERLINK("https://twitter.com/skmagee","@skmagee")</f>
        <v>@skmagee</v>
      </c>
      <c r="C5869" s="21" t="s">
        <v>13319</v>
      </c>
      <c r="D5869" s="21" t="s">
        <v>12596</v>
      </c>
      <c r="E5869" s="22" t="str">
        <f>HYPERLINK("https://twitter.com/skmagee/status/922495836285755392","922495836285755392")</f>
        <v>922495836285755392</v>
      </c>
      <c r="F5869" s="23" t="s">
        <v>55</v>
      </c>
      <c r="G5869" s="24">
        <v>709.0</v>
      </c>
      <c r="H5869" s="24">
        <v>620.0</v>
      </c>
      <c r="I5869" s="24">
        <v>6.0</v>
      </c>
      <c r="J5869" s="24">
        <v>0.0</v>
      </c>
      <c r="K5869" s="23" t="s">
        <v>34</v>
      </c>
      <c r="L5869" s="25">
        <v>40228.440879629634</v>
      </c>
      <c r="M5869" s="26" t="s">
        <v>389</v>
      </c>
      <c r="N5869" s="26" t="s">
        <v>13320</v>
      </c>
      <c r="O5869" s="22" t="str">
        <f>HYPERLINK("https://pbs.twimg.com/profile_images/378800000115069236/310363967e6e6778971f3f3efb2da67e_normal.jpeg","View")</f>
        <v>View</v>
      </c>
      <c r="P5869" s="27"/>
    </row>
    <row r="5870">
      <c r="A5870" s="14">
        <v>43031.38334490741</v>
      </c>
      <c r="B5870" s="20" t="str">
        <f>HYPERLINK("https://twitter.com/BloombergAsia","@BloombergAsia")</f>
        <v>@BloombergAsia</v>
      </c>
      <c r="C5870" s="21" t="s">
        <v>1726</v>
      </c>
      <c r="D5870" s="21" t="s">
        <v>13321</v>
      </c>
      <c r="E5870" s="22" t="str">
        <f>HYPERLINK("https://twitter.com/BloombergAsia/status/922495836847788032","922495836847788032")</f>
        <v>922495836847788032</v>
      </c>
      <c r="F5870" s="23" t="s">
        <v>1103</v>
      </c>
      <c r="G5870" s="24">
        <v>28807.0</v>
      </c>
      <c r="H5870" s="24">
        <v>97.0</v>
      </c>
      <c r="I5870" s="24">
        <v>2.0</v>
      </c>
      <c r="J5870" s="24">
        <v>3.0</v>
      </c>
      <c r="K5870" s="23" t="s">
        <v>34</v>
      </c>
      <c r="L5870" s="25">
        <v>41052.238483796296</v>
      </c>
      <c r="M5870" s="28"/>
      <c r="N5870" s="26" t="s">
        <v>1728</v>
      </c>
      <c r="O5870" s="22" t="str">
        <f>HYPERLINK("https://pbs.twimg.com/profile_images/778129630284902401/gXjFkqGM_normal.jpg","View")</f>
        <v>View</v>
      </c>
      <c r="P5870" s="27"/>
    </row>
    <row r="5871">
      <c r="A5871" s="14">
        <v>43031.38342592593</v>
      </c>
      <c r="B5871" s="20" t="str">
        <f>HYPERLINK("https://twitter.com/gulshansrivast7","@gulshansrivast7")</f>
        <v>@gulshansrivast7</v>
      </c>
      <c r="C5871" s="21" t="s">
        <v>13322</v>
      </c>
      <c r="D5871" s="21" t="s">
        <v>42</v>
      </c>
      <c r="E5871" s="22" t="str">
        <f>HYPERLINK("https://twitter.com/gulshansrivast7/status/922495865628934144","922495865628934144")</f>
        <v>922495865628934144</v>
      </c>
      <c r="F5871" s="23" t="s">
        <v>33</v>
      </c>
      <c r="G5871" s="24">
        <v>3.0</v>
      </c>
      <c r="H5871" s="24">
        <v>44.0</v>
      </c>
      <c r="I5871" s="24">
        <v>8501.0</v>
      </c>
      <c r="J5871" s="24">
        <v>0.0</v>
      </c>
      <c r="K5871" s="23" t="s">
        <v>34</v>
      </c>
      <c r="L5871" s="25">
        <v>42543.348912037036</v>
      </c>
      <c r="M5871" s="26" t="s">
        <v>3736</v>
      </c>
      <c r="N5871" s="26" t="s">
        <v>13323</v>
      </c>
      <c r="O5871" s="22" t="str">
        <f>HYPERLINK("https://pbs.twimg.com/profile_images/915625847997919232/Aqh_a2eh_normal.jpg","View")</f>
        <v>View</v>
      </c>
      <c r="P5871" s="27"/>
    </row>
    <row r="5872">
      <c r="A5872" s="14">
        <v>43031.38349537037</v>
      </c>
      <c r="B5872" s="20" t="str">
        <f>HYPERLINK("https://twitter.com/bittusempire","@bittusempire")</f>
        <v>@bittusempire</v>
      </c>
      <c r="C5872" s="21" t="s">
        <v>13324</v>
      </c>
      <c r="D5872" s="21" t="s">
        <v>42</v>
      </c>
      <c r="E5872" s="22" t="str">
        <f>HYPERLINK("https://twitter.com/bittusempire/status/922495892371906561","922495892371906561")</f>
        <v>922495892371906561</v>
      </c>
      <c r="F5872" s="23" t="s">
        <v>33</v>
      </c>
      <c r="G5872" s="24">
        <v>9452.0</v>
      </c>
      <c r="H5872" s="24">
        <v>27.0</v>
      </c>
      <c r="I5872" s="24">
        <v>8501.0</v>
      </c>
      <c r="J5872" s="24">
        <v>0.0</v>
      </c>
      <c r="K5872" s="23" t="s">
        <v>34</v>
      </c>
      <c r="L5872" s="25">
        <v>42106.90253472222</v>
      </c>
      <c r="M5872" s="26" t="s">
        <v>13325</v>
      </c>
      <c r="N5872" s="26" t="s">
        <v>13326</v>
      </c>
      <c r="O5872" s="22" t="str">
        <f>HYPERLINK("https://pbs.twimg.com/profile_images/910063536738467840/3xaLua21_normal.jpg","View")</f>
        <v>View</v>
      </c>
      <c r="P5872" s="27"/>
    </row>
    <row r="5873">
      <c r="A5873" s="14">
        <v>43031.383726851855</v>
      </c>
      <c r="B5873" s="20" t="str">
        <f>HYPERLINK("https://twitter.com/EdVanDerWalt","@EdVanDerWalt")</f>
        <v>@EdVanDerWalt</v>
      </c>
      <c r="C5873" s="21" t="s">
        <v>13327</v>
      </c>
      <c r="D5873" s="21" t="s">
        <v>13328</v>
      </c>
      <c r="E5873" s="22" t="str">
        <f>HYPERLINK("https://twitter.com/EdVanDerWalt/status/922495974660038658","922495974660038658")</f>
        <v>922495974660038658</v>
      </c>
      <c r="F5873" s="23" t="s">
        <v>55</v>
      </c>
      <c r="G5873" s="24">
        <v>15294.0</v>
      </c>
      <c r="H5873" s="24">
        <v>5026.0</v>
      </c>
      <c r="I5873" s="24">
        <v>2.0</v>
      </c>
      <c r="J5873" s="24">
        <v>0.0</v>
      </c>
      <c r="K5873" s="23" t="s">
        <v>34</v>
      </c>
      <c r="L5873" s="25">
        <v>39882.36178240741</v>
      </c>
      <c r="M5873" s="26" t="s">
        <v>590</v>
      </c>
      <c r="N5873" s="26" t="s">
        <v>13329</v>
      </c>
      <c r="O5873" s="22" t="str">
        <f>HYPERLINK("https://pbs.twimg.com/profile_images/556947634330824704/zeY2EWH6_normal.jpeg","View")</f>
        <v>View</v>
      </c>
      <c r="P5873" s="27"/>
    </row>
    <row r="5874">
      <c r="A5874" s="14">
        <v>43031.383877314816</v>
      </c>
      <c r="B5874" s="20" t="str">
        <f>HYPERLINK("https://twitter.com/oroande","@oroande")</f>
        <v>@oroande</v>
      </c>
      <c r="C5874" s="21" t="s">
        <v>13330</v>
      </c>
      <c r="D5874" s="21" t="s">
        <v>13295</v>
      </c>
      <c r="E5874" s="22" t="str">
        <f>HYPERLINK("https://twitter.com/oroande/status/922496029588680704","922496029588680704")</f>
        <v>922496029588680704</v>
      </c>
      <c r="F5874" s="23" t="s">
        <v>1799</v>
      </c>
      <c r="G5874" s="24">
        <v>3090.0</v>
      </c>
      <c r="H5874" s="24">
        <v>1203.0</v>
      </c>
      <c r="I5874" s="24">
        <v>19.0</v>
      </c>
      <c r="J5874" s="24">
        <v>0.0</v>
      </c>
      <c r="K5874" s="23" t="s">
        <v>34</v>
      </c>
      <c r="L5874" s="25">
        <v>40240.78333333333</v>
      </c>
      <c r="M5874" s="26" t="s">
        <v>13331</v>
      </c>
      <c r="N5874" s="26" t="s">
        <v>13332</v>
      </c>
      <c r="O5874" s="22" t="str">
        <f>HYPERLINK("https://pbs.twimg.com/profile_images/610537821825318914/_ijYuKz9_normal.jpg","View")</f>
        <v>View</v>
      </c>
      <c r="P5874" s="27"/>
    </row>
    <row r="5875">
      <c r="A5875" s="14">
        <v>43031.383993055555</v>
      </c>
      <c r="B5875" s="20" t="str">
        <f>HYPERLINK("https://twitter.com/soham_connects","@soham_connects")</f>
        <v>@soham_connects</v>
      </c>
      <c r="C5875" s="21" t="s">
        <v>13333</v>
      </c>
      <c r="D5875" s="21" t="s">
        <v>42</v>
      </c>
      <c r="E5875" s="22" t="str">
        <f>HYPERLINK("https://twitter.com/soham_connects/status/922496070709424129","922496070709424129")</f>
        <v>922496070709424129</v>
      </c>
      <c r="F5875" s="23" t="s">
        <v>33</v>
      </c>
      <c r="G5875" s="24">
        <v>28.0</v>
      </c>
      <c r="H5875" s="24">
        <v>87.0</v>
      </c>
      <c r="I5875" s="24">
        <v>8501.0</v>
      </c>
      <c r="J5875" s="24">
        <v>0.0</v>
      </c>
      <c r="K5875" s="23" t="s">
        <v>34</v>
      </c>
      <c r="L5875" s="25">
        <v>41100.87486111111</v>
      </c>
      <c r="M5875" s="26" t="s">
        <v>1137</v>
      </c>
      <c r="N5875" s="26" t="s">
        <v>13334</v>
      </c>
      <c r="O5875" s="22" t="str">
        <f>HYPERLINK("https://pbs.twimg.com/profile_images/817775069053251584/v8HPQZ-H_normal.jpg","View")</f>
        <v>View</v>
      </c>
      <c r="P5875" s="27"/>
    </row>
    <row r="5876">
      <c r="A5876" s="14">
        <v>43031.384108796294</v>
      </c>
      <c r="B5876" s="20" t="str">
        <f>HYPERLINK("https://twitter.com/xdiamonddustx","@xdiamonddustx")</f>
        <v>@xdiamonddustx</v>
      </c>
      <c r="C5876" s="21" t="s">
        <v>3055</v>
      </c>
      <c r="D5876" s="21" t="s">
        <v>13295</v>
      </c>
      <c r="E5876" s="22" t="str">
        <f>HYPERLINK("https://twitter.com/xdiamonddustx/status/922496112732360704","922496112732360704")</f>
        <v>922496112732360704</v>
      </c>
      <c r="F5876" s="23" t="s">
        <v>55</v>
      </c>
      <c r="G5876" s="24">
        <v>457.0</v>
      </c>
      <c r="H5876" s="24">
        <v>804.0</v>
      </c>
      <c r="I5876" s="24">
        <v>19.0</v>
      </c>
      <c r="J5876" s="24">
        <v>0.0</v>
      </c>
      <c r="K5876" s="23" t="s">
        <v>34</v>
      </c>
      <c r="L5876" s="25">
        <v>40685.17842592593</v>
      </c>
      <c r="M5876" s="28"/>
      <c r="N5876" s="28"/>
      <c r="O5876" s="22" t="str">
        <f>HYPERLINK("https://pbs.twimg.com/profile_images/920074838395576320/1hfl3xGl_normal.jpg","View")</f>
        <v>View</v>
      </c>
      <c r="P5876" s="27"/>
    </row>
    <row r="5877">
      <c r="A5877" s="14">
        <v>43031.38412037037</v>
      </c>
      <c r="B5877" s="20" t="str">
        <f>HYPERLINK("https://twitter.com/ottykev","@ottykev")</f>
        <v>@ottykev</v>
      </c>
      <c r="C5877" s="21" t="s">
        <v>13335</v>
      </c>
      <c r="D5877" s="21" t="s">
        <v>32</v>
      </c>
      <c r="E5877" s="22" t="str">
        <f>HYPERLINK("https://twitter.com/ottykev/status/922496116939214848","922496116939214848")</f>
        <v>922496116939214848</v>
      </c>
      <c r="F5877" s="23" t="s">
        <v>39</v>
      </c>
      <c r="G5877" s="24">
        <v>1716.0</v>
      </c>
      <c r="H5877" s="24">
        <v>1643.0</v>
      </c>
      <c r="I5877" s="24">
        <v>471.0</v>
      </c>
      <c r="J5877" s="24">
        <v>0.0</v>
      </c>
      <c r="K5877" s="23" t="s">
        <v>34</v>
      </c>
      <c r="L5877" s="25">
        <v>40903.06078703704</v>
      </c>
      <c r="M5877" s="26" t="s">
        <v>13336</v>
      </c>
      <c r="N5877" s="26" t="s">
        <v>13337</v>
      </c>
      <c r="O5877" s="22" t="str">
        <f>HYPERLINK("https://pbs.twimg.com/profile_images/920153626273832960/Zmv9Br93_normal.jpg","View")</f>
        <v>View</v>
      </c>
      <c r="P5877" s="27"/>
    </row>
    <row r="5878">
      <c r="A5878" s="14">
        <v>43031.38413194445</v>
      </c>
      <c r="B5878" s="20" t="str">
        <f>HYPERLINK("https://twitter.com/kiransomasekhar","@kiransomasekhar")</f>
        <v>@kiransomasekhar</v>
      </c>
      <c r="C5878" s="21" t="s">
        <v>13338</v>
      </c>
      <c r="D5878" s="21" t="s">
        <v>42</v>
      </c>
      <c r="E5878" s="22" t="str">
        <f>HYPERLINK("https://twitter.com/kiransomasekhar/status/922496121657704448","922496121657704448")</f>
        <v>922496121657704448</v>
      </c>
      <c r="F5878" s="23" t="s">
        <v>33</v>
      </c>
      <c r="G5878" s="24">
        <v>10.0</v>
      </c>
      <c r="H5878" s="24">
        <v>82.0</v>
      </c>
      <c r="I5878" s="24">
        <v>8501.0</v>
      </c>
      <c r="J5878" s="24">
        <v>0.0</v>
      </c>
      <c r="K5878" s="23" t="s">
        <v>34</v>
      </c>
      <c r="L5878" s="25">
        <v>40228.60731481481</v>
      </c>
      <c r="M5878" s="28"/>
      <c r="N5878" s="28"/>
      <c r="O5878" s="22" t="str">
        <f>HYPERLINK("https://pbs.twimg.com/profile_images/731763472065683456/jl87KRAw_normal.jpg","View")</f>
        <v>View</v>
      </c>
      <c r="P5878" s="27"/>
    </row>
    <row r="5879">
      <c r="A5879" s="14">
        <v>43031.38415509259</v>
      </c>
      <c r="B5879" s="20" t="str">
        <f>HYPERLINK("https://twitter.com/PMoallemian","@PMoallemian")</f>
        <v>@PMoallemian</v>
      </c>
      <c r="C5879" s="21" t="s">
        <v>1959</v>
      </c>
      <c r="D5879" s="21" t="s">
        <v>13339</v>
      </c>
      <c r="E5879" s="22" t="str">
        <f>HYPERLINK("https://twitter.com/PMoallemian/status/922496129752883201","922496129752883201")</f>
        <v>922496129752883201</v>
      </c>
      <c r="F5879" s="23" t="s">
        <v>187</v>
      </c>
      <c r="G5879" s="24">
        <v>5102.0</v>
      </c>
      <c r="H5879" s="24">
        <v>90.0</v>
      </c>
      <c r="I5879" s="24">
        <v>0.0</v>
      </c>
      <c r="J5879" s="24">
        <v>0.0</v>
      </c>
      <c r="K5879" s="23" t="s">
        <v>34</v>
      </c>
      <c r="L5879" s="25">
        <v>39556.68920138889</v>
      </c>
      <c r="M5879" s="26" t="s">
        <v>1961</v>
      </c>
      <c r="N5879" s="26" t="s">
        <v>1962</v>
      </c>
      <c r="O5879" s="22" t="str">
        <f>HYPERLINK("https://pbs.twimg.com/profile_images/2383496814/8p8tjkit7a1nmjrarib6_normal.jpeg","View")</f>
        <v>View</v>
      </c>
      <c r="P5879" s="27"/>
    </row>
    <row r="5880">
      <c r="A5880" s="14">
        <v>43031.38428240741</v>
      </c>
      <c r="B5880" s="20" t="str">
        <f>HYPERLINK("https://twitter.com/everiting","@everiting")</f>
        <v>@everiting</v>
      </c>
      <c r="C5880" s="21" t="s">
        <v>13340</v>
      </c>
      <c r="D5880" s="21" t="s">
        <v>13341</v>
      </c>
      <c r="E5880" s="22" t="str">
        <f>HYPERLINK("https://twitter.com/everiting/status/922496178985623553","922496178985623553")</f>
        <v>922496178985623553</v>
      </c>
      <c r="F5880" s="30" t="s">
        <v>1342</v>
      </c>
      <c r="G5880" s="24">
        <v>8441.0</v>
      </c>
      <c r="H5880" s="24">
        <v>9327.0</v>
      </c>
      <c r="I5880" s="24">
        <v>0.0</v>
      </c>
      <c r="J5880" s="24">
        <v>0.0</v>
      </c>
      <c r="K5880" s="23" t="s">
        <v>34</v>
      </c>
      <c r="L5880" s="25">
        <v>40060.52028935185</v>
      </c>
      <c r="M5880" s="26" t="s">
        <v>1124</v>
      </c>
      <c r="N5880" s="26" t="s">
        <v>13342</v>
      </c>
      <c r="O5880" s="22" t="str">
        <f>HYPERLINK("https://pbs.twimg.com/profile_images/1836448667/twitter_normal.png","View")</f>
        <v>View</v>
      </c>
      <c r="P5880" s="27"/>
    </row>
    <row r="5881">
      <c r="A5881" s="14">
        <v>43031.38439814815</v>
      </c>
      <c r="B5881" s="20" t="str">
        <f>HYPERLINK("https://twitter.com/i__Global","@i__Global")</f>
        <v>@i__Global</v>
      </c>
      <c r="C5881" s="21" t="s">
        <v>9685</v>
      </c>
      <c r="D5881" s="21" t="s">
        <v>13343</v>
      </c>
      <c r="E5881" s="22" t="str">
        <f>HYPERLINK("https://twitter.com/i__Global/status/922496220496621569","922496220496621569")</f>
        <v>922496220496621569</v>
      </c>
      <c r="F5881" s="23" t="s">
        <v>187</v>
      </c>
      <c r="G5881" s="24">
        <v>320.0</v>
      </c>
      <c r="H5881" s="24">
        <v>541.0</v>
      </c>
      <c r="I5881" s="24">
        <v>0.0</v>
      </c>
      <c r="J5881" s="24">
        <v>0.0</v>
      </c>
      <c r="K5881" s="23" t="s">
        <v>34</v>
      </c>
      <c r="L5881" s="25">
        <v>41975.42964120371</v>
      </c>
      <c r="M5881" s="26" t="s">
        <v>2068</v>
      </c>
      <c r="N5881" s="28"/>
      <c r="O5881" s="22" t="str">
        <f>HYPERLINK("https://pbs.twimg.com/profile_images/539846499421532160/RQ0XgLb__normal.png","View")</f>
        <v>View</v>
      </c>
      <c r="P5881" s="27"/>
    </row>
    <row r="5882">
      <c r="A5882" s="14">
        <v>43031.384467592594</v>
      </c>
      <c r="B5882" s="20" t="str">
        <f t="shared" ref="B5882:B5883" si="87">HYPERLINK("https://twitter.com/hamassenger","@hamassenger")</f>
        <v>@hamassenger</v>
      </c>
      <c r="C5882" s="29" t="s">
        <v>13344</v>
      </c>
      <c r="D5882" s="21" t="s">
        <v>13345</v>
      </c>
      <c r="E5882" s="22" t="str">
        <f>HYPERLINK("https://twitter.com/hamassenger/status/922496246438354944","922496246438354944")</f>
        <v>922496246438354944</v>
      </c>
      <c r="F5882" s="30" t="s">
        <v>13344</v>
      </c>
      <c r="G5882" s="24">
        <v>1430.0</v>
      </c>
      <c r="H5882" s="24">
        <v>2019.0</v>
      </c>
      <c r="I5882" s="24">
        <v>0.0</v>
      </c>
      <c r="J5882" s="24">
        <v>0.0</v>
      </c>
      <c r="K5882" s="23" t="s">
        <v>34</v>
      </c>
      <c r="L5882" s="25">
        <v>39872.04739583333</v>
      </c>
      <c r="M5882" s="26" t="s">
        <v>1840</v>
      </c>
      <c r="N5882" s="26" t="s">
        <v>13346</v>
      </c>
      <c r="O5882" s="22" t="str">
        <f t="shared" ref="O5882:O5883" si="88">HYPERLINK("https://pbs.twimg.com/profile_images/1057889562/green_5459_green_2196_Picture_3_normal.jpg","View")</f>
        <v>View</v>
      </c>
      <c r="P5882" s="27"/>
    </row>
    <row r="5883">
      <c r="A5883" s="14">
        <v>43031.384618055556</v>
      </c>
      <c r="B5883" s="20" t="str">
        <f t="shared" si="87"/>
        <v>@hamassenger</v>
      </c>
      <c r="C5883" s="29" t="s">
        <v>13344</v>
      </c>
      <c r="D5883" s="21" t="s">
        <v>13347</v>
      </c>
      <c r="E5883" s="22" t="str">
        <f>HYPERLINK("https://twitter.com/hamassenger/status/922496300620402693","922496300620402693")</f>
        <v>922496300620402693</v>
      </c>
      <c r="F5883" s="30" t="s">
        <v>13344</v>
      </c>
      <c r="G5883" s="24">
        <v>1430.0</v>
      </c>
      <c r="H5883" s="24">
        <v>2019.0</v>
      </c>
      <c r="I5883" s="24">
        <v>0.0</v>
      </c>
      <c r="J5883" s="24">
        <v>0.0</v>
      </c>
      <c r="K5883" s="23" t="s">
        <v>34</v>
      </c>
      <c r="L5883" s="25">
        <v>39872.04739583333</v>
      </c>
      <c r="M5883" s="26" t="s">
        <v>1840</v>
      </c>
      <c r="N5883" s="26" t="s">
        <v>13346</v>
      </c>
      <c r="O5883" s="22" t="str">
        <f t="shared" si="88"/>
        <v>View</v>
      </c>
      <c r="P5883" s="27"/>
    </row>
    <row r="5884">
      <c r="A5884" s="14">
        <v>43031.38466435185</v>
      </c>
      <c r="B5884" s="20" t="str">
        <f>HYPERLINK("https://twitter.com/JD_4_Nation","@JD_4_Nation")</f>
        <v>@JD_4_Nation</v>
      </c>
      <c r="C5884" s="21" t="s">
        <v>13348</v>
      </c>
      <c r="D5884" s="21" t="s">
        <v>42</v>
      </c>
      <c r="E5884" s="22" t="str">
        <f>HYPERLINK("https://twitter.com/JD_4_Nation/status/922496316931964930","922496316931964930")</f>
        <v>922496316931964930</v>
      </c>
      <c r="F5884" s="23" t="s">
        <v>33</v>
      </c>
      <c r="G5884" s="24">
        <v>782.0</v>
      </c>
      <c r="H5884" s="24">
        <v>2235.0</v>
      </c>
      <c r="I5884" s="24">
        <v>8501.0</v>
      </c>
      <c r="J5884" s="24">
        <v>0.0</v>
      </c>
      <c r="K5884" s="23" t="s">
        <v>34</v>
      </c>
      <c r="L5884" s="25">
        <v>41868.87818287037</v>
      </c>
      <c r="M5884" s="26" t="s">
        <v>13349</v>
      </c>
      <c r="N5884" s="26" t="s">
        <v>13350</v>
      </c>
      <c r="O5884" s="22" t="str">
        <f>HYPERLINK("https://pbs.twimg.com/profile_images/903668185144193029/QJet_s0H_normal.jpg","View")</f>
        <v>View</v>
      </c>
      <c r="P5884" s="27"/>
    </row>
    <row r="5885">
      <c r="A5885" s="14">
        <v>43031.384884259256</v>
      </c>
      <c r="B5885" s="20" t="str">
        <f>HYPERLINK("https://twitter.com/TiberiusJacob","@TiberiusJacob")</f>
        <v>@TiberiusJacob</v>
      </c>
      <c r="C5885" s="21" t="s">
        <v>13351</v>
      </c>
      <c r="D5885" s="21" t="s">
        <v>13352</v>
      </c>
      <c r="E5885" s="22" t="str">
        <f>HYPERLINK("https://twitter.com/TiberiusJacob/status/922496393591312384","922496393591312384")</f>
        <v>922496393591312384</v>
      </c>
      <c r="F5885" s="23" t="s">
        <v>39</v>
      </c>
      <c r="G5885" s="24">
        <v>87.0</v>
      </c>
      <c r="H5885" s="24">
        <v>356.0</v>
      </c>
      <c r="I5885" s="24">
        <v>7.0</v>
      </c>
      <c r="J5885" s="24">
        <v>0.0</v>
      </c>
      <c r="K5885" s="23" t="s">
        <v>34</v>
      </c>
      <c r="L5885" s="25">
        <v>41598.25861111111</v>
      </c>
      <c r="M5885" s="26" t="s">
        <v>13353</v>
      </c>
      <c r="N5885" s="26" t="s">
        <v>13354</v>
      </c>
      <c r="O5885" s="22" t="str">
        <f>HYPERLINK("https://pbs.twimg.com/profile_images/605720340149452800/qhOzlEMP_normal.jpg","View")</f>
        <v>View</v>
      </c>
      <c r="P5885" s="27"/>
    </row>
    <row r="5886">
      <c r="A5886" s="14">
        <v>43031.38490740741</v>
      </c>
      <c r="B5886" s="20" t="str">
        <f>HYPERLINK("https://twitter.com/keshavamurthyvs","@keshavamurthyvs")</f>
        <v>@keshavamurthyvs</v>
      </c>
      <c r="C5886" s="21" t="s">
        <v>13355</v>
      </c>
      <c r="D5886" s="21" t="s">
        <v>42</v>
      </c>
      <c r="E5886" s="22" t="str">
        <f>HYPERLINK("https://twitter.com/keshavamurthyvs/status/922496402218819584","922496402218819584")</f>
        <v>922496402218819584</v>
      </c>
      <c r="F5886" s="23" t="s">
        <v>33</v>
      </c>
      <c r="G5886" s="24">
        <v>68.0</v>
      </c>
      <c r="H5886" s="24">
        <v>235.0</v>
      </c>
      <c r="I5886" s="24">
        <v>8501.0</v>
      </c>
      <c r="J5886" s="24">
        <v>0.0</v>
      </c>
      <c r="K5886" s="23" t="s">
        <v>34</v>
      </c>
      <c r="L5886" s="25">
        <v>42586.30170138889</v>
      </c>
      <c r="M5886" s="26" t="s">
        <v>13356</v>
      </c>
      <c r="N5886" s="26" t="s">
        <v>13357</v>
      </c>
      <c r="O5886" s="22" t="str">
        <f>HYPERLINK("https://pbs.twimg.com/profile_images/761208979062042626/pgVFUa4W_normal.jpg","View")</f>
        <v>View</v>
      </c>
      <c r="P5886" s="27"/>
    </row>
    <row r="5887">
      <c r="A5887" s="14">
        <v>43031.38501157408</v>
      </c>
      <c r="B5887" s="20" t="str">
        <f>HYPERLINK("https://twitter.com/TimothyMutua19","@TimothyMutua19")</f>
        <v>@TimothyMutua19</v>
      </c>
      <c r="C5887" s="21" t="s">
        <v>13358</v>
      </c>
      <c r="D5887" s="21" t="s">
        <v>32</v>
      </c>
      <c r="E5887" s="22" t="str">
        <f>HYPERLINK("https://twitter.com/TimothyMutua19/status/922496439598665729","922496439598665729")</f>
        <v>922496439598665729</v>
      </c>
      <c r="F5887" s="23" t="s">
        <v>33</v>
      </c>
      <c r="G5887" s="24">
        <v>1420.0</v>
      </c>
      <c r="H5887" s="24">
        <v>1163.0</v>
      </c>
      <c r="I5887" s="24">
        <v>471.0</v>
      </c>
      <c r="J5887" s="24">
        <v>0.0</v>
      </c>
      <c r="K5887" s="23" t="s">
        <v>34</v>
      </c>
      <c r="L5887" s="25">
        <v>42386.24791666667</v>
      </c>
      <c r="M5887" s="28"/>
      <c r="N5887" s="28"/>
      <c r="O5887" s="22" t="str">
        <f>HYPERLINK("https://pbs.twimg.com/profile_images/812651584379305984/8I6XbcS8_normal.jpg","View")</f>
        <v>View</v>
      </c>
      <c r="P5887" s="27"/>
    </row>
    <row r="5888">
      <c r="A5888" s="14">
        <v>43031.38502314815</v>
      </c>
      <c r="B5888" s="20" t="str">
        <f>HYPERLINK("https://twitter.com/Mr_Insanity97","@Mr_Insanity97")</f>
        <v>@Mr_Insanity97</v>
      </c>
      <c r="C5888" s="21" t="s">
        <v>13304</v>
      </c>
      <c r="D5888" s="21" t="s">
        <v>2157</v>
      </c>
      <c r="E5888" s="22" t="str">
        <f>HYPERLINK("https://twitter.com/Mr_Insanity97/status/922496446724796416","922496446724796416")</f>
        <v>922496446724796416</v>
      </c>
      <c r="F5888" s="23" t="s">
        <v>39</v>
      </c>
      <c r="G5888" s="24">
        <v>993.0</v>
      </c>
      <c r="H5888" s="24">
        <v>5001.0</v>
      </c>
      <c r="I5888" s="24">
        <v>12.0</v>
      </c>
      <c r="J5888" s="24">
        <v>0.0</v>
      </c>
      <c r="K5888" s="23" t="s">
        <v>34</v>
      </c>
      <c r="L5888" s="25">
        <v>41877.76186342593</v>
      </c>
      <c r="M5888" s="26" t="s">
        <v>13305</v>
      </c>
      <c r="N5888" s="26" t="s">
        <v>13306</v>
      </c>
      <c r="O5888" s="22" t="str">
        <f>HYPERLINK("https://pbs.twimg.com/profile_images/841832752353812481/55UBynaq_normal.jpg","View")</f>
        <v>View</v>
      </c>
      <c r="P5888" s="27"/>
    </row>
    <row r="5889">
      <c r="A5889" s="14">
        <v>43031.38523148149</v>
      </c>
      <c r="B5889" s="20" t="str">
        <f>HYPERLINK("https://twitter.com/KingSinghHitesh","@KingSinghHitesh")</f>
        <v>@KingSinghHitesh</v>
      </c>
      <c r="C5889" s="21" t="s">
        <v>13359</v>
      </c>
      <c r="D5889" s="21" t="s">
        <v>42</v>
      </c>
      <c r="E5889" s="22" t="str">
        <f>HYPERLINK("https://twitter.com/KingSinghHitesh/status/922496519667961856","922496519667961856")</f>
        <v>922496519667961856</v>
      </c>
      <c r="F5889" s="23" t="s">
        <v>33</v>
      </c>
      <c r="G5889" s="24">
        <v>254.0</v>
      </c>
      <c r="H5889" s="24">
        <v>399.0</v>
      </c>
      <c r="I5889" s="24">
        <v>8501.0</v>
      </c>
      <c r="J5889" s="24">
        <v>0.0</v>
      </c>
      <c r="K5889" s="23" t="s">
        <v>34</v>
      </c>
      <c r="L5889" s="25">
        <v>41874.34100694444</v>
      </c>
      <c r="M5889" s="26" t="s">
        <v>204</v>
      </c>
      <c r="N5889" s="26" t="s">
        <v>13360</v>
      </c>
      <c r="O5889" s="22" t="str">
        <f>HYPERLINK("https://pbs.twimg.com/profile_images/869189959395061760/hAKwUGW3_normal.jpg","View")</f>
        <v>View</v>
      </c>
      <c r="P5889" s="27"/>
    </row>
    <row r="5890">
      <c r="A5890" s="14">
        <v>43031.385254629626</v>
      </c>
      <c r="B5890" s="20" t="str">
        <f>HYPERLINK("https://twitter.com/emerald0102","@emerald0102")</f>
        <v>@emerald0102</v>
      </c>
      <c r="C5890" s="21" t="s">
        <v>13361</v>
      </c>
      <c r="D5890" s="21" t="s">
        <v>12974</v>
      </c>
      <c r="E5890" s="22" t="str">
        <f>HYPERLINK("https://twitter.com/emerald0102/status/922496529063059456","922496529063059456")</f>
        <v>922496529063059456</v>
      </c>
      <c r="F5890" s="23" t="s">
        <v>33</v>
      </c>
      <c r="G5890" s="24">
        <v>774.0</v>
      </c>
      <c r="H5890" s="24">
        <v>673.0</v>
      </c>
      <c r="I5890" s="24">
        <v>110.0</v>
      </c>
      <c r="J5890" s="24">
        <v>0.0</v>
      </c>
      <c r="K5890" s="23" t="s">
        <v>34</v>
      </c>
      <c r="L5890" s="25">
        <v>40785.23571759259</v>
      </c>
      <c r="M5890" s="26" t="s">
        <v>13362</v>
      </c>
      <c r="N5890" s="26" t="s">
        <v>13363</v>
      </c>
      <c r="O5890" s="22" t="str">
        <f>HYPERLINK("https://pbs.twimg.com/profile_images/682852540161986561/vt-9ddVA_normal.jpg","View")</f>
        <v>View</v>
      </c>
      <c r="P5890" s="27"/>
    </row>
    <row r="5891">
      <c r="A5891" s="14">
        <v>43031.38528935185</v>
      </c>
      <c r="B5891" s="20" t="str">
        <f>HYPERLINK("https://twitter.com/vishalgaur111","@vishalgaur111")</f>
        <v>@vishalgaur111</v>
      </c>
      <c r="C5891" s="21" t="s">
        <v>13364</v>
      </c>
      <c r="D5891" s="21" t="s">
        <v>42</v>
      </c>
      <c r="E5891" s="22" t="str">
        <f>HYPERLINK("https://twitter.com/vishalgaur111/status/922496542673653761","922496542673653761")</f>
        <v>922496542673653761</v>
      </c>
      <c r="F5891" s="23" t="s">
        <v>39</v>
      </c>
      <c r="G5891" s="24">
        <v>421.0</v>
      </c>
      <c r="H5891" s="24">
        <v>594.0</v>
      </c>
      <c r="I5891" s="24">
        <v>8501.0</v>
      </c>
      <c r="J5891" s="24">
        <v>0.0</v>
      </c>
      <c r="K5891" s="23" t="s">
        <v>34</v>
      </c>
      <c r="L5891" s="25">
        <v>42057.83584490741</v>
      </c>
      <c r="M5891" s="26" t="s">
        <v>575</v>
      </c>
      <c r="N5891" s="28"/>
      <c r="O5891" s="22" t="str">
        <f>HYPERLINK("https://pbs.twimg.com/profile_images/788347362477342720/-2w98N6i_normal.jpg","View")</f>
        <v>View</v>
      </c>
      <c r="P5891" s="27"/>
    </row>
    <row r="5892">
      <c r="A5892" s="14">
        <v>43031.38532407407</v>
      </c>
      <c r="B5892" s="20" t="str">
        <f>HYPERLINK("https://twitter.com/ParisFranceNews","@ParisFranceNews")</f>
        <v>@ParisFranceNews</v>
      </c>
      <c r="C5892" s="21" t="s">
        <v>13365</v>
      </c>
      <c r="D5892" s="21" t="s">
        <v>13366</v>
      </c>
      <c r="E5892" s="22" t="str">
        <f>HYPERLINK("https://twitter.com/ParisFranceNews/status/922496555281801216","922496555281801216")</f>
        <v>922496555281801216</v>
      </c>
      <c r="F5892" s="23" t="s">
        <v>55</v>
      </c>
      <c r="G5892" s="24">
        <v>3677.0</v>
      </c>
      <c r="H5892" s="24">
        <v>4270.0</v>
      </c>
      <c r="I5892" s="24">
        <v>0.0</v>
      </c>
      <c r="J5892" s="24">
        <v>0.0</v>
      </c>
      <c r="K5892" s="23" t="s">
        <v>34</v>
      </c>
      <c r="L5892" s="25">
        <v>41000.10983796296</v>
      </c>
      <c r="M5892" s="26" t="s">
        <v>1110</v>
      </c>
      <c r="N5892" s="26" t="s">
        <v>13367</v>
      </c>
      <c r="O5892" s="22" t="str">
        <f>HYPERLINK("https://pbs.twimg.com/profile_images/2007919170/parisnews_normal.png","View")</f>
        <v>View</v>
      </c>
      <c r="P5892" s="27"/>
    </row>
    <row r="5893">
      <c r="A5893" s="14">
        <v>43031.38537037037</v>
      </c>
      <c r="B5893" s="20" t="str">
        <f>HYPERLINK("https://twitter.com/Uttam_chauhan_","@Uttam_chauhan_")</f>
        <v>@Uttam_chauhan_</v>
      </c>
      <c r="C5893" s="21" t="s">
        <v>13368</v>
      </c>
      <c r="D5893" s="21" t="s">
        <v>42</v>
      </c>
      <c r="E5893" s="22" t="str">
        <f>HYPERLINK("https://twitter.com/Uttam_chauhan_/status/922496571664564224","922496571664564224")</f>
        <v>922496571664564224</v>
      </c>
      <c r="F5893" s="23" t="s">
        <v>33</v>
      </c>
      <c r="G5893" s="24">
        <v>19.0</v>
      </c>
      <c r="H5893" s="24">
        <v>613.0</v>
      </c>
      <c r="I5893" s="24">
        <v>8501.0</v>
      </c>
      <c r="J5893" s="24">
        <v>0.0</v>
      </c>
      <c r="K5893" s="23" t="s">
        <v>34</v>
      </c>
      <c r="L5893" s="25">
        <v>42986.169803240744</v>
      </c>
      <c r="M5893" s="26" t="s">
        <v>3066</v>
      </c>
      <c r="N5893" s="26" t="s">
        <v>13369</v>
      </c>
      <c r="O5893" s="22" t="str">
        <f>HYPERLINK("https://pbs.twimg.com/profile_images/921986567056408577/Ny7bc_ad_normal.jpg","View")</f>
        <v>View</v>
      </c>
      <c r="P5893" s="27"/>
    </row>
    <row r="5894">
      <c r="A5894" s="14">
        <v>43031.38543981481</v>
      </c>
      <c r="B5894" s="20" t="str">
        <f>HYPERLINK("https://twitter.com/GThakore","@GThakore")</f>
        <v>@GThakore</v>
      </c>
      <c r="C5894" s="21" t="s">
        <v>13370</v>
      </c>
      <c r="D5894" s="21" t="s">
        <v>42</v>
      </c>
      <c r="E5894" s="22" t="str">
        <f>HYPERLINK("https://twitter.com/GThakore/status/922496595748315136","922496595748315136")</f>
        <v>922496595748315136</v>
      </c>
      <c r="F5894" s="23" t="s">
        <v>33</v>
      </c>
      <c r="G5894" s="24">
        <v>2154.0</v>
      </c>
      <c r="H5894" s="24">
        <v>1578.0</v>
      </c>
      <c r="I5894" s="24">
        <v>8501.0</v>
      </c>
      <c r="J5894" s="24">
        <v>0.0</v>
      </c>
      <c r="K5894" s="23" t="s">
        <v>34</v>
      </c>
      <c r="L5894" s="25">
        <v>41480.53883101852</v>
      </c>
      <c r="M5894" s="26" t="s">
        <v>13371</v>
      </c>
      <c r="N5894" s="26" t="s">
        <v>13372</v>
      </c>
      <c r="O5894" s="22" t="str">
        <f>HYPERLINK("https://pbs.twimg.com/profile_images/914059228473573377/09QhswxF_normal.jpg","View")</f>
        <v>View</v>
      </c>
      <c r="P5894" s="27"/>
    </row>
    <row r="5895">
      <c r="A5895" s="14">
        <v>43031.38543981481</v>
      </c>
      <c r="B5895" s="20" t="str">
        <f>HYPERLINK("https://twitter.com/coreburnflat","@coreburnflat")</f>
        <v>@coreburnflat</v>
      </c>
      <c r="C5895" s="21" t="s">
        <v>13373</v>
      </c>
      <c r="D5895" s="21" t="s">
        <v>13374</v>
      </c>
      <c r="E5895" s="22" t="str">
        <f>HYPERLINK("https://twitter.com/coreburnflat/status/922496598873116672","922496598873116672")</f>
        <v>922496598873116672</v>
      </c>
      <c r="F5895" s="23" t="s">
        <v>91</v>
      </c>
      <c r="G5895" s="24">
        <v>922.0</v>
      </c>
      <c r="H5895" s="24">
        <v>562.0</v>
      </c>
      <c r="I5895" s="24">
        <v>0.0</v>
      </c>
      <c r="J5895" s="24">
        <v>0.0</v>
      </c>
      <c r="K5895" s="23" t="s">
        <v>34</v>
      </c>
      <c r="L5895" s="25">
        <v>40982.479525462964</v>
      </c>
      <c r="M5895" s="28"/>
      <c r="N5895" s="28"/>
      <c r="O5895" s="22" t="str">
        <f>HYPERLINK("https://pbs.twimg.com/profile_images/1898142881/core_normal.jpg","View")</f>
        <v>View</v>
      </c>
      <c r="P5895" s="27"/>
    </row>
    <row r="5896">
      <c r="A5896" s="14">
        <v>43031.38548611111</v>
      </c>
      <c r="B5896" s="20" t="str">
        <f>HYPERLINK("https://twitter.com/Akashve47866273","@Akashve47866273")</f>
        <v>@Akashve47866273</v>
      </c>
      <c r="C5896" s="21" t="s">
        <v>13375</v>
      </c>
      <c r="D5896" s="21" t="s">
        <v>42</v>
      </c>
      <c r="E5896" s="22" t="str">
        <f>HYPERLINK("https://twitter.com/Akashve47866273/status/922496612881940480","922496612881940480")</f>
        <v>922496612881940480</v>
      </c>
      <c r="F5896" s="23" t="s">
        <v>33</v>
      </c>
      <c r="G5896" s="24">
        <v>6.0</v>
      </c>
      <c r="H5896" s="24">
        <v>106.0</v>
      </c>
      <c r="I5896" s="24">
        <v>8501.0</v>
      </c>
      <c r="J5896" s="24">
        <v>0.0</v>
      </c>
      <c r="K5896" s="23" t="s">
        <v>34</v>
      </c>
      <c r="L5896" s="25">
        <v>42616.93677083333</v>
      </c>
      <c r="M5896" s="26" t="s">
        <v>4986</v>
      </c>
      <c r="N5896" s="28"/>
      <c r="O5896" s="22" t="str">
        <f>HYPERLINK("https://pbs.twimg.com/profile_images/844058689233338368/PcBo5dOu_normal.jpg","View")</f>
        <v>View</v>
      </c>
      <c r="P5896" s="27"/>
    </row>
    <row r="5897">
      <c r="A5897" s="14">
        <v>43031.38553240741</v>
      </c>
      <c r="B5897" s="20" t="str">
        <f>HYPERLINK("https://twitter.com/prem1989singh5","@prem1989singh5")</f>
        <v>@prem1989singh5</v>
      </c>
      <c r="C5897" s="21" t="s">
        <v>13376</v>
      </c>
      <c r="D5897" s="21" t="s">
        <v>42</v>
      </c>
      <c r="E5897" s="22" t="str">
        <f>HYPERLINK("https://twitter.com/prem1989singh5/status/922496632381349888","922496632381349888")</f>
        <v>922496632381349888</v>
      </c>
      <c r="F5897" s="23" t="s">
        <v>33</v>
      </c>
      <c r="G5897" s="24">
        <v>48.0</v>
      </c>
      <c r="H5897" s="24">
        <v>168.0</v>
      </c>
      <c r="I5897" s="24">
        <v>8501.0</v>
      </c>
      <c r="J5897" s="24">
        <v>0.0</v>
      </c>
      <c r="K5897" s="23" t="s">
        <v>34</v>
      </c>
      <c r="L5897" s="25">
        <v>41923.2469212963</v>
      </c>
      <c r="M5897" s="26" t="s">
        <v>13377</v>
      </c>
      <c r="N5897" s="26" t="s">
        <v>13378</v>
      </c>
      <c r="O5897" s="22" t="str">
        <f>HYPERLINK("https://pbs.twimg.com/profile_images/921281720539742208/54H939HY_normal.jpg","View")</f>
        <v>View</v>
      </c>
      <c r="P5897" s="27"/>
    </row>
    <row r="5898">
      <c r="A5898" s="14">
        <v>43031.38565972222</v>
      </c>
      <c r="B5898" s="20" t="str">
        <f>HYPERLINK("https://twitter.com/RajeevR20395590","@RajeevR20395590")</f>
        <v>@RajeevR20395590</v>
      </c>
      <c r="C5898" s="21" t="s">
        <v>13379</v>
      </c>
      <c r="D5898" s="21" t="s">
        <v>42</v>
      </c>
      <c r="E5898" s="22" t="str">
        <f>HYPERLINK("https://twitter.com/RajeevR20395590/status/922496677071659014","922496677071659014")</f>
        <v>922496677071659014</v>
      </c>
      <c r="F5898" s="23" t="s">
        <v>33</v>
      </c>
      <c r="G5898" s="24">
        <v>3.0</v>
      </c>
      <c r="H5898" s="24">
        <v>125.0</v>
      </c>
      <c r="I5898" s="24">
        <v>8501.0</v>
      </c>
      <c r="J5898" s="24">
        <v>0.0</v>
      </c>
      <c r="K5898" s="23" t="s">
        <v>34</v>
      </c>
      <c r="L5898" s="25">
        <v>42965.332291666666</v>
      </c>
      <c r="M5898" s="26" t="s">
        <v>575</v>
      </c>
      <c r="N5898" s="28"/>
      <c r="O5898" s="22" t="str">
        <f>HYPERLINK("https://pbs.twimg.com/profile_images/898568313051127808/476Hw6Um_normal.jpg","View")</f>
        <v>View</v>
      </c>
      <c r="P5898" s="27"/>
    </row>
    <row r="5899">
      <c r="A5899" s="14">
        <v>43031.38569444444</v>
      </c>
      <c r="B5899" s="20" t="str">
        <f>HYPERLINK("https://twitter.com/pieremaechai","@pieremaechai")</f>
        <v>@pieremaechai</v>
      </c>
      <c r="C5899" s="21" t="s">
        <v>13380</v>
      </c>
      <c r="D5899" s="21" t="s">
        <v>1426</v>
      </c>
      <c r="E5899" s="22" t="str">
        <f>HYPERLINK("https://twitter.com/pieremaechai/status/922496688824242176","922496688824242176")</f>
        <v>922496688824242176</v>
      </c>
      <c r="F5899" s="23" t="s">
        <v>33</v>
      </c>
      <c r="G5899" s="24">
        <v>429.0</v>
      </c>
      <c r="H5899" s="24">
        <v>918.0</v>
      </c>
      <c r="I5899" s="24">
        <v>29.0</v>
      </c>
      <c r="J5899" s="24">
        <v>0.0</v>
      </c>
      <c r="K5899" s="23" t="s">
        <v>34</v>
      </c>
      <c r="L5899" s="25">
        <v>39940.931979166664</v>
      </c>
      <c r="M5899" s="26" t="s">
        <v>13381</v>
      </c>
      <c r="N5899" s="26" t="s">
        <v>13382</v>
      </c>
      <c r="O5899" s="22" t="str">
        <f>HYPERLINK("https://pbs.twimg.com/profile_images/909402782331015170/1vsPrVtt_normal.jpg","View")</f>
        <v>View</v>
      </c>
      <c r="P5899" s="27"/>
    </row>
    <row r="5900">
      <c r="A5900" s="14">
        <v>43031.38576388889</v>
      </c>
      <c r="B5900" s="20" t="str">
        <f>HYPERLINK("https://twitter.com/Afro_spirits","@Afro_spirits")</f>
        <v>@Afro_spirits</v>
      </c>
      <c r="C5900" s="21" t="s">
        <v>13383</v>
      </c>
      <c r="D5900" s="21" t="s">
        <v>12974</v>
      </c>
      <c r="E5900" s="22" t="str">
        <f>HYPERLINK("https://twitter.com/Afro_spirits/status/922496715206168577","922496715206168577")</f>
        <v>922496715206168577</v>
      </c>
      <c r="F5900" s="23" t="s">
        <v>230</v>
      </c>
      <c r="G5900" s="24">
        <v>822.0</v>
      </c>
      <c r="H5900" s="24">
        <v>248.0</v>
      </c>
      <c r="I5900" s="24">
        <v>110.0</v>
      </c>
      <c r="J5900" s="24">
        <v>0.0</v>
      </c>
      <c r="K5900" s="23" t="s">
        <v>34</v>
      </c>
      <c r="L5900" s="25">
        <v>41321.20335648148</v>
      </c>
      <c r="M5900" s="26" t="s">
        <v>13384</v>
      </c>
      <c r="N5900" s="26" t="s">
        <v>13385</v>
      </c>
      <c r="O5900" s="22" t="str">
        <f>HYPERLINK("https://pbs.twimg.com/profile_images/920291529171779587/Pf-qYsGO_normal.jpg","View")</f>
        <v>View</v>
      </c>
      <c r="P5900" s="27"/>
    </row>
    <row r="5901">
      <c r="A5901" s="14">
        <v>43031.38578703704</v>
      </c>
      <c r="B5901" s="20" t="str">
        <f>HYPERLINK("https://twitter.com/Venkatks711","@Venkatks711")</f>
        <v>@Venkatks711</v>
      </c>
      <c r="C5901" s="21" t="s">
        <v>13386</v>
      </c>
      <c r="D5901" s="21" t="s">
        <v>163</v>
      </c>
      <c r="E5901" s="22" t="str">
        <f>HYPERLINK("https://twitter.com/Venkatks711/status/922496723745873920","922496723745873920")</f>
        <v>922496723745873920</v>
      </c>
      <c r="F5901" s="23" t="s">
        <v>33</v>
      </c>
      <c r="G5901" s="24">
        <v>38.0</v>
      </c>
      <c r="H5901" s="24">
        <v>130.0</v>
      </c>
      <c r="I5901" s="24">
        <v>1005.0</v>
      </c>
      <c r="J5901" s="24">
        <v>0.0</v>
      </c>
      <c r="K5901" s="23" t="s">
        <v>34</v>
      </c>
      <c r="L5901" s="25">
        <v>41750.20774305556</v>
      </c>
      <c r="M5901" s="26" t="s">
        <v>207</v>
      </c>
      <c r="N5901" s="26" t="s">
        <v>13387</v>
      </c>
      <c r="O5901" s="22" t="str">
        <f>HYPERLINK("https://pbs.twimg.com/profile_images/722056012715421697/idjIsPHh_normal.jpg","View")</f>
        <v>View</v>
      </c>
      <c r="P5901" s="27"/>
    </row>
    <row r="5902">
      <c r="A5902" s="14">
        <v>43031.38579861111</v>
      </c>
      <c r="B5902" s="20" t="str">
        <f>HYPERLINK("https://twitter.com/brigvkagrawal","@brigvkagrawal")</f>
        <v>@brigvkagrawal</v>
      </c>
      <c r="C5902" s="21" t="s">
        <v>13388</v>
      </c>
      <c r="D5902" s="21" t="s">
        <v>42</v>
      </c>
      <c r="E5902" s="22" t="str">
        <f>HYPERLINK("https://twitter.com/brigvkagrawal/status/922496728095268864","922496728095268864")</f>
        <v>922496728095268864</v>
      </c>
      <c r="F5902" s="23" t="s">
        <v>33</v>
      </c>
      <c r="G5902" s="24">
        <v>6318.0</v>
      </c>
      <c r="H5902" s="24">
        <v>4606.0</v>
      </c>
      <c r="I5902" s="24">
        <v>8501.0</v>
      </c>
      <c r="J5902" s="24">
        <v>0.0</v>
      </c>
      <c r="K5902" s="23" t="s">
        <v>34</v>
      </c>
      <c r="L5902" s="25">
        <v>41448.150925925926</v>
      </c>
      <c r="M5902" s="28"/>
      <c r="N5902" s="26" t="s">
        <v>13389</v>
      </c>
      <c r="O5902" s="22" t="str">
        <f>HYPERLINK("https://pbs.twimg.com/profile_images/805939164243849216/pw1qpoeY_normal.jpg","View")</f>
        <v>View</v>
      </c>
      <c r="P5902" s="27"/>
    </row>
    <row r="5903">
      <c r="A5903" s="14">
        <v>43031.38581018518</v>
      </c>
      <c r="B5903" s="20" t="str">
        <f>HYPERLINK("https://twitter.com/PranavyYadav","@PranavyYadav")</f>
        <v>@PranavyYadav</v>
      </c>
      <c r="C5903" s="21" t="s">
        <v>13390</v>
      </c>
      <c r="D5903" s="21" t="s">
        <v>42</v>
      </c>
      <c r="E5903" s="22" t="str">
        <f>HYPERLINK("https://twitter.com/PranavyYadav/status/922496731056443392","922496731056443392")</f>
        <v>922496731056443392</v>
      </c>
      <c r="F5903" s="23" t="s">
        <v>33</v>
      </c>
      <c r="G5903" s="24">
        <v>89.0</v>
      </c>
      <c r="H5903" s="24">
        <v>523.0</v>
      </c>
      <c r="I5903" s="24">
        <v>8501.0</v>
      </c>
      <c r="J5903" s="24">
        <v>0.0</v>
      </c>
      <c r="K5903" s="23" t="s">
        <v>34</v>
      </c>
      <c r="L5903" s="25">
        <v>41004.91318287037</v>
      </c>
      <c r="M5903" s="26" t="s">
        <v>13391</v>
      </c>
      <c r="N5903" s="26" t="s">
        <v>13392</v>
      </c>
      <c r="O5903" s="22" t="str">
        <f>HYPERLINK("https://pbs.twimg.com/profile_images/901070906365165568/1rvGt28h_normal.jpg","View")</f>
        <v>View</v>
      </c>
      <c r="P5903" s="27"/>
    </row>
    <row r="5904">
      <c r="A5904" s="14">
        <v>43031.385821759264</v>
      </c>
      <c r="B5904" s="20" t="str">
        <f>HYPERLINK("https://twitter.com/jigar1122","@jigar1122")</f>
        <v>@jigar1122</v>
      </c>
      <c r="C5904" s="21" t="s">
        <v>13393</v>
      </c>
      <c r="D5904" s="21" t="s">
        <v>42</v>
      </c>
      <c r="E5904" s="22" t="str">
        <f>HYPERLINK("https://twitter.com/jigar1122/status/922496734768648194","922496734768648194")</f>
        <v>922496734768648194</v>
      </c>
      <c r="F5904" s="23" t="s">
        <v>33</v>
      </c>
      <c r="G5904" s="24">
        <v>8.0</v>
      </c>
      <c r="H5904" s="24">
        <v>75.0</v>
      </c>
      <c r="I5904" s="24">
        <v>8501.0</v>
      </c>
      <c r="J5904" s="24">
        <v>0.0</v>
      </c>
      <c r="K5904" s="23" t="s">
        <v>34</v>
      </c>
      <c r="L5904" s="25">
        <v>40530.09510416667</v>
      </c>
      <c r="M5904" s="26" t="s">
        <v>13394</v>
      </c>
      <c r="N5904" s="28"/>
      <c r="O5904" s="22" t="str">
        <f>HYPERLINK("https://pbs.twimg.com/profile_images/865420408690012160/CH4g9kCh_normal.jpg","View")</f>
        <v>View</v>
      </c>
      <c r="P5904" s="27"/>
    </row>
    <row r="5905">
      <c r="A5905" s="14">
        <v>43031.38596064815</v>
      </c>
      <c r="B5905" s="20" t="str">
        <f>HYPERLINK("https://twitter.com/Rajdeep___RD","@Rajdeep___RD")</f>
        <v>@Rajdeep___RD</v>
      </c>
      <c r="C5905" s="21" t="s">
        <v>13395</v>
      </c>
      <c r="D5905" s="21" t="s">
        <v>42</v>
      </c>
      <c r="E5905" s="22" t="str">
        <f>HYPERLINK("https://twitter.com/Rajdeep___RD/status/922496784013729793","922496784013729793")</f>
        <v>922496784013729793</v>
      </c>
      <c r="F5905" s="23" t="s">
        <v>33</v>
      </c>
      <c r="G5905" s="24">
        <v>801.0</v>
      </c>
      <c r="H5905" s="24">
        <v>1777.0</v>
      </c>
      <c r="I5905" s="24">
        <v>8501.0</v>
      </c>
      <c r="J5905" s="24">
        <v>0.0</v>
      </c>
      <c r="K5905" s="23" t="s">
        <v>34</v>
      </c>
      <c r="L5905" s="25">
        <v>42655.48306712963</v>
      </c>
      <c r="M5905" s="26" t="s">
        <v>13396</v>
      </c>
      <c r="N5905" s="26" t="s">
        <v>13397</v>
      </c>
      <c r="O5905" s="22" t="str">
        <f>HYPERLINK("https://pbs.twimg.com/profile_images/922283761793777664/FGaUeAED_normal.jpg","View")</f>
        <v>View</v>
      </c>
      <c r="P5905" s="27"/>
    </row>
    <row r="5906">
      <c r="A5906" s="14">
        <v>43031.385983796295</v>
      </c>
      <c r="B5906" s="20" t="str">
        <f>HYPERLINK("https://twitter.com/KazimotoBaraka3","@KazimotoBaraka3")</f>
        <v>@KazimotoBaraka3</v>
      </c>
      <c r="C5906" s="21" t="s">
        <v>13398</v>
      </c>
      <c r="D5906" s="21" t="s">
        <v>4358</v>
      </c>
      <c r="E5906" s="22" t="str">
        <f>HYPERLINK("https://twitter.com/KazimotoBaraka3/status/922496791999852544","922496791999852544")</f>
        <v>922496791999852544</v>
      </c>
      <c r="F5906" s="23" t="s">
        <v>33</v>
      </c>
      <c r="G5906" s="24">
        <v>465.0</v>
      </c>
      <c r="H5906" s="24">
        <v>5000.0</v>
      </c>
      <c r="I5906" s="24">
        <v>18.0</v>
      </c>
      <c r="J5906" s="24">
        <v>0.0</v>
      </c>
      <c r="K5906" s="23" t="s">
        <v>34</v>
      </c>
      <c r="L5906" s="25">
        <v>42834.07413194445</v>
      </c>
      <c r="M5906" s="26" t="s">
        <v>2912</v>
      </c>
      <c r="N5906" s="26" t="s">
        <v>13399</v>
      </c>
      <c r="O5906" s="22" t="str">
        <f>HYPERLINK("https://pbs.twimg.com/profile_images/912565184815882240/RnjIyacP_normal.jpg","View")</f>
        <v>View</v>
      </c>
      <c r="P5906" s="27"/>
    </row>
    <row r="5907">
      <c r="A5907" s="14">
        <v>43031.38600694445</v>
      </c>
      <c r="B5907" s="20" t="str">
        <f>HYPERLINK("https://twitter.com/_Mgkp","@_Mgkp")</f>
        <v>@_Mgkp</v>
      </c>
      <c r="C5907" s="21" t="s">
        <v>13400</v>
      </c>
      <c r="D5907" s="21" t="s">
        <v>42</v>
      </c>
      <c r="E5907" s="22" t="str">
        <f>HYPERLINK("https://twitter.com/_Mgkp/status/922496801847910400","922496801847910400")</f>
        <v>922496801847910400</v>
      </c>
      <c r="F5907" s="23" t="s">
        <v>33</v>
      </c>
      <c r="G5907" s="24">
        <v>137.0</v>
      </c>
      <c r="H5907" s="24">
        <v>182.0</v>
      </c>
      <c r="I5907" s="24">
        <v>8501.0</v>
      </c>
      <c r="J5907" s="24">
        <v>0.0</v>
      </c>
      <c r="K5907" s="23" t="s">
        <v>34</v>
      </c>
      <c r="L5907" s="25">
        <v>42912.364027777774</v>
      </c>
      <c r="M5907" s="28"/>
      <c r="N5907" s="26" t="s">
        <v>13401</v>
      </c>
      <c r="O5907" s="22" t="str">
        <f>HYPERLINK("https://pbs.twimg.com/profile_images/879393993515204609/RQfjVEuL_normal.jpg","View")</f>
        <v>View</v>
      </c>
      <c r="P5907" s="27"/>
    </row>
    <row r="5908">
      <c r="A5908" s="14">
        <v>43031.38601851852</v>
      </c>
      <c r="B5908" s="20" t="str">
        <f>HYPERLINK("https://twitter.com/sureshP1934","@sureshP1934")</f>
        <v>@sureshP1934</v>
      </c>
      <c r="C5908" s="21" t="s">
        <v>13402</v>
      </c>
      <c r="D5908" s="21" t="s">
        <v>42</v>
      </c>
      <c r="E5908" s="22" t="str">
        <f>HYPERLINK("https://twitter.com/sureshP1934/status/922496805048217605","922496805048217605")</f>
        <v>922496805048217605</v>
      </c>
      <c r="F5908" s="23" t="s">
        <v>33</v>
      </c>
      <c r="G5908" s="24">
        <v>38.0</v>
      </c>
      <c r="H5908" s="24">
        <v>140.0</v>
      </c>
      <c r="I5908" s="24">
        <v>8501.0</v>
      </c>
      <c r="J5908" s="24">
        <v>0.0</v>
      </c>
      <c r="K5908" s="23" t="s">
        <v>34</v>
      </c>
      <c r="L5908" s="25">
        <v>42670.08189814815</v>
      </c>
      <c r="M5908" s="28"/>
      <c r="N5908" s="28"/>
      <c r="O5908" s="22" t="str">
        <f>HYPERLINK("https://abs.twimg.com/sticky/default_profile_images/default_profile_normal.png","View")</f>
        <v>View</v>
      </c>
      <c r="P5908" s="27"/>
    </row>
    <row r="5909">
      <c r="A5909" s="14">
        <v>43031.38607638889</v>
      </c>
      <c r="B5909" s="20" t="str">
        <f>HYPERLINK("https://twitter.com/k3shtk4r","@k3shtk4r")</f>
        <v>@k3shtk4r</v>
      </c>
      <c r="C5909" s="21" t="s">
        <v>13403</v>
      </c>
      <c r="D5909" s="21" t="s">
        <v>13404</v>
      </c>
      <c r="E5909" s="22" t="str">
        <f>HYPERLINK("https://twitter.com/k3shtk4r/status/922496825717940229","922496825717940229")</f>
        <v>922496825717940229</v>
      </c>
      <c r="F5909" s="23" t="s">
        <v>187</v>
      </c>
      <c r="G5909" s="24">
        <v>373.0</v>
      </c>
      <c r="H5909" s="24">
        <v>99.0</v>
      </c>
      <c r="I5909" s="24">
        <v>0.0</v>
      </c>
      <c r="J5909" s="24">
        <v>0.0</v>
      </c>
      <c r="K5909" s="23" t="s">
        <v>34</v>
      </c>
      <c r="L5909" s="25">
        <v>40445.06240740741</v>
      </c>
      <c r="M5909" s="28"/>
      <c r="N5909" s="26" t="s">
        <v>13405</v>
      </c>
      <c r="O5909" s="22" t="str">
        <f>HYPERLINK("https://pbs.twimg.com/profile_images/1643334812/1_normal.jpg","View")</f>
        <v>View</v>
      </c>
      <c r="P5909" s="27"/>
    </row>
    <row r="5910">
      <c r="A5910" s="14">
        <v>43031.38621527777</v>
      </c>
      <c r="B5910" s="20" t="str">
        <f>HYPERLINK("https://twitter.com/hvsureka","@hvsureka")</f>
        <v>@hvsureka</v>
      </c>
      <c r="C5910" s="21" t="s">
        <v>13406</v>
      </c>
      <c r="D5910" s="21" t="s">
        <v>42</v>
      </c>
      <c r="E5910" s="22" t="str">
        <f>HYPERLINK("https://twitter.com/hvsureka/status/922496876800176128","922496876800176128")</f>
        <v>922496876800176128</v>
      </c>
      <c r="F5910" s="23" t="s">
        <v>39</v>
      </c>
      <c r="G5910" s="24">
        <v>12.0</v>
      </c>
      <c r="H5910" s="24">
        <v>9.0</v>
      </c>
      <c r="I5910" s="24">
        <v>8501.0</v>
      </c>
      <c r="J5910" s="24">
        <v>0.0</v>
      </c>
      <c r="K5910" s="23" t="s">
        <v>34</v>
      </c>
      <c r="L5910" s="25">
        <v>41603.97013888889</v>
      </c>
      <c r="M5910" s="28"/>
      <c r="N5910" s="28"/>
      <c r="O5910" s="22" t="str">
        <f t="shared" ref="O5910:O5911" si="89">HYPERLINK("https://abs.twimg.com/sticky/default_profile_images/default_profile_normal.png","View")</f>
        <v>View</v>
      </c>
      <c r="P5910" s="27"/>
    </row>
    <row r="5911">
      <c r="A5911" s="14">
        <v>43031.386249999996</v>
      </c>
      <c r="B5911" s="20" t="str">
        <f>HYPERLINK("https://twitter.com/RKBafna7","@RKBafna7")</f>
        <v>@RKBafna7</v>
      </c>
      <c r="C5911" s="21" t="s">
        <v>13407</v>
      </c>
      <c r="D5911" s="21" t="s">
        <v>42</v>
      </c>
      <c r="E5911" s="22" t="str">
        <f>HYPERLINK("https://twitter.com/RKBafna7/status/922496888992972800","922496888992972800")</f>
        <v>922496888992972800</v>
      </c>
      <c r="F5911" s="23" t="s">
        <v>39</v>
      </c>
      <c r="G5911" s="24">
        <v>9.0</v>
      </c>
      <c r="H5911" s="24">
        <v>63.0</v>
      </c>
      <c r="I5911" s="24">
        <v>8501.0</v>
      </c>
      <c r="J5911" s="24">
        <v>0.0</v>
      </c>
      <c r="K5911" s="23" t="s">
        <v>34</v>
      </c>
      <c r="L5911" s="25">
        <v>42368.22803240741</v>
      </c>
      <c r="M5911" s="28"/>
      <c r="N5911" s="26" t="s">
        <v>13408</v>
      </c>
      <c r="O5911" s="22" t="str">
        <f t="shared" si="89"/>
        <v>View</v>
      </c>
      <c r="P5911" s="27"/>
    </row>
    <row r="5912">
      <c r="A5912" s="14">
        <v>43031.38630787037</v>
      </c>
      <c r="B5912" s="20" t="str">
        <f>HYPERLINK("https://twitter.com/ggnewsus","@ggnewsus")</f>
        <v>@ggnewsus</v>
      </c>
      <c r="C5912" s="21" t="s">
        <v>13409</v>
      </c>
      <c r="D5912" s="21" t="s">
        <v>13410</v>
      </c>
      <c r="E5912" s="22" t="str">
        <f>HYPERLINK("https://twitter.com/ggnewsus/status/922496909381652480","922496909381652480")</f>
        <v>922496909381652480</v>
      </c>
      <c r="F5912" s="23" t="s">
        <v>187</v>
      </c>
      <c r="G5912" s="24">
        <v>862.0</v>
      </c>
      <c r="H5912" s="24">
        <v>143.0</v>
      </c>
      <c r="I5912" s="24">
        <v>0.0</v>
      </c>
      <c r="J5912" s="24">
        <v>0.0</v>
      </c>
      <c r="K5912" s="23" t="s">
        <v>34</v>
      </c>
      <c r="L5912" s="25">
        <v>41679.77077546297</v>
      </c>
      <c r="M5912" s="26" t="s">
        <v>13411</v>
      </c>
      <c r="N5912" s="26" t="s">
        <v>874</v>
      </c>
      <c r="O5912" s="22" t="str">
        <f>HYPERLINK("https://pbs.twimg.com/profile_images/432706003285450752/IHK6C475_normal.png","View")</f>
        <v>View</v>
      </c>
      <c r="P5912" s="27"/>
    </row>
    <row r="5913">
      <c r="A5913" s="14">
        <v>43031.38630787037</v>
      </c>
      <c r="B5913" s="20" t="str">
        <f>HYPERLINK("https://twitter.com/PiusMuturi","@PiusMuturi")</f>
        <v>@PiusMuturi</v>
      </c>
      <c r="C5913" s="21" t="s">
        <v>13412</v>
      </c>
      <c r="D5913" s="21" t="s">
        <v>32</v>
      </c>
      <c r="E5913" s="22" t="str">
        <f>HYPERLINK("https://twitter.com/PiusMuturi/status/922496909427859457","922496909427859457")</f>
        <v>922496909427859457</v>
      </c>
      <c r="F5913" s="23" t="s">
        <v>39</v>
      </c>
      <c r="G5913" s="24">
        <v>1849.0</v>
      </c>
      <c r="H5913" s="24">
        <v>1872.0</v>
      </c>
      <c r="I5913" s="24">
        <v>471.0</v>
      </c>
      <c r="J5913" s="24">
        <v>0.0</v>
      </c>
      <c r="K5913" s="23" t="s">
        <v>34</v>
      </c>
      <c r="L5913" s="25">
        <v>39934.04462962963</v>
      </c>
      <c r="M5913" s="26" t="s">
        <v>114</v>
      </c>
      <c r="N5913" s="26" t="s">
        <v>13413</v>
      </c>
      <c r="O5913" s="22" t="str">
        <f>HYPERLINK("https://pbs.twimg.com/profile_images/832081850189357057/J3F_1pXD_normal.jpg","View")</f>
        <v>View</v>
      </c>
      <c r="P5913" s="27"/>
    </row>
    <row r="5914">
      <c r="A5914" s="14">
        <v>43031.38636574074</v>
      </c>
      <c r="B5914" s="20" t="str">
        <f>HYPERLINK("https://twitter.com/anoop2185singh","@anoop2185singh")</f>
        <v>@anoop2185singh</v>
      </c>
      <c r="C5914" s="21" t="s">
        <v>1766</v>
      </c>
      <c r="D5914" s="21" t="s">
        <v>42</v>
      </c>
      <c r="E5914" s="22" t="str">
        <f>HYPERLINK("https://twitter.com/anoop2185singh/status/922496931410186240","922496931410186240")</f>
        <v>922496931410186240</v>
      </c>
      <c r="F5914" s="23" t="s">
        <v>33</v>
      </c>
      <c r="G5914" s="24">
        <v>86.0</v>
      </c>
      <c r="H5914" s="24">
        <v>360.0</v>
      </c>
      <c r="I5914" s="24">
        <v>8501.0</v>
      </c>
      <c r="J5914" s="24">
        <v>0.0</v>
      </c>
      <c r="K5914" s="23" t="s">
        <v>34</v>
      </c>
      <c r="L5914" s="25">
        <v>42169.97865740741</v>
      </c>
      <c r="M5914" s="26" t="s">
        <v>575</v>
      </c>
      <c r="N5914" s="26" t="s">
        <v>13414</v>
      </c>
      <c r="O5914" s="22" t="str">
        <f>HYPERLINK("https://pbs.twimg.com/profile_images/920529645551923201/Nah-VnTT_normal.jpg","View")</f>
        <v>View</v>
      </c>
      <c r="P5914" s="27"/>
    </row>
    <row r="5915">
      <c r="A5915" s="14">
        <v>43031.38640046296</v>
      </c>
      <c r="B5915" s="20" t="str">
        <f>HYPERLINK("https://twitter.com/mikann5656","@mikann5656")</f>
        <v>@mikann5656</v>
      </c>
      <c r="C5915" s="21" t="s">
        <v>13415</v>
      </c>
      <c r="D5915" s="21" t="s">
        <v>12974</v>
      </c>
      <c r="E5915" s="22" t="str">
        <f>HYPERLINK("https://twitter.com/mikann5656/status/922496944361967616","922496944361967616")</f>
        <v>922496944361967616</v>
      </c>
      <c r="F5915" s="23" t="s">
        <v>230</v>
      </c>
      <c r="G5915" s="24">
        <v>570.0</v>
      </c>
      <c r="H5915" s="24">
        <v>309.0</v>
      </c>
      <c r="I5915" s="24">
        <v>110.0</v>
      </c>
      <c r="J5915" s="24">
        <v>0.0</v>
      </c>
      <c r="K5915" s="23" t="s">
        <v>34</v>
      </c>
      <c r="L5915" s="25">
        <v>41816.87961805556</v>
      </c>
      <c r="M5915" s="28"/>
      <c r="N5915" s="26" t="s">
        <v>13416</v>
      </c>
      <c r="O5915" s="22" t="str">
        <f>HYPERLINK("https://pbs.twimg.com/profile_images/812677955415486464/bDlGvL80_normal.jpg","View")</f>
        <v>View</v>
      </c>
      <c r="P5915" s="27"/>
    </row>
    <row r="5916">
      <c r="A5916" s="14">
        <v>43031.38648148148</v>
      </c>
      <c r="B5916" s="20" t="str">
        <f>HYPERLINK("https://twitter.com/econprof57","@econprof57")</f>
        <v>@econprof57</v>
      </c>
      <c r="C5916" s="21" t="s">
        <v>13417</v>
      </c>
      <c r="D5916" s="21" t="s">
        <v>13418</v>
      </c>
      <c r="E5916" s="22" t="str">
        <f>HYPERLINK("https://twitter.com/econprof57/status/922496972577128450","922496972577128450")</f>
        <v>922496972577128450</v>
      </c>
      <c r="F5916" s="23" t="s">
        <v>33</v>
      </c>
      <c r="G5916" s="24">
        <v>244.0</v>
      </c>
      <c r="H5916" s="24">
        <v>31.0</v>
      </c>
      <c r="I5916" s="24">
        <v>0.0</v>
      </c>
      <c r="J5916" s="24">
        <v>0.0</v>
      </c>
      <c r="K5916" s="23" t="s">
        <v>34</v>
      </c>
      <c r="L5916" s="25">
        <v>41563.96560185185</v>
      </c>
      <c r="M5916" s="26" t="s">
        <v>13419</v>
      </c>
      <c r="N5916" s="26" t="s">
        <v>13420</v>
      </c>
      <c r="O5916" s="22" t="str">
        <f>HYPERLINK("https://pbs.twimg.com/profile_images/473911082218561536/mI1BEHb8_normal.jpeg","View")</f>
        <v>View</v>
      </c>
      <c r="P5916" s="27"/>
    </row>
    <row r="5917">
      <c r="A5917" s="14">
        <v>43031.38649305556</v>
      </c>
      <c r="B5917" s="20" t="str">
        <f>HYPERLINK("https://twitter.com/EreaAndrzej","@EreaAndrzej")</f>
        <v>@EreaAndrzej</v>
      </c>
      <c r="C5917" s="21" t="s">
        <v>13421</v>
      </c>
      <c r="D5917" s="21" t="s">
        <v>13295</v>
      </c>
      <c r="E5917" s="22" t="str">
        <f>HYPERLINK("https://twitter.com/EreaAndrzej/status/922496977845342208","922496977845342208")</f>
        <v>922496977845342208</v>
      </c>
      <c r="F5917" s="23" t="s">
        <v>55</v>
      </c>
      <c r="G5917" s="24">
        <v>246.0</v>
      </c>
      <c r="H5917" s="24">
        <v>413.0</v>
      </c>
      <c r="I5917" s="24">
        <v>19.0</v>
      </c>
      <c r="J5917" s="24">
        <v>0.0</v>
      </c>
      <c r="K5917" s="23" t="s">
        <v>34</v>
      </c>
      <c r="L5917" s="25">
        <v>42487.95462962963</v>
      </c>
      <c r="M5917" s="26" t="s">
        <v>13422</v>
      </c>
      <c r="N5917" s="26" t="s">
        <v>13423</v>
      </c>
      <c r="O5917" s="22" t="str">
        <f>HYPERLINK("https://pbs.twimg.com/profile_images/918832580715319296/d-xY01wH_normal.jpg","View")</f>
        <v>View</v>
      </c>
      <c r="P5917" s="27"/>
    </row>
    <row r="5918">
      <c r="A5918" s="14">
        <v>43031.38650462963</v>
      </c>
      <c r="B5918" s="20" t="str">
        <f>HYPERLINK("https://twitter.com/CorePoliticsTV","@CorePoliticsTV")</f>
        <v>@CorePoliticsTV</v>
      </c>
      <c r="C5918" s="21" t="s">
        <v>2012</v>
      </c>
      <c r="D5918" s="21" t="s">
        <v>13424</v>
      </c>
      <c r="E5918" s="22" t="str">
        <f>HYPERLINK("https://twitter.com/CorePoliticsTV/status/922496980999442437","922496980999442437")</f>
        <v>922496980999442437</v>
      </c>
      <c r="F5918" s="23" t="s">
        <v>2014</v>
      </c>
      <c r="G5918" s="24">
        <v>339.0</v>
      </c>
      <c r="H5918" s="24">
        <v>54.0</v>
      </c>
      <c r="I5918" s="24">
        <v>0.0</v>
      </c>
      <c r="J5918" s="24">
        <v>0.0</v>
      </c>
      <c r="K5918" s="23" t="s">
        <v>34</v>
      </c>
      <c r="L5918" s="25">
        <v>42928.19521990741</v>
      </c>
      <c r="M5918" s="26" t="s">
        <v>40</v>
      </c>
      <c r="N5918" s="26" t="s">
        <v>2015</v>
      </c>
      <c r="O5918" s="22" t="str">
        <f>HYPERLINK("https://pbs.twimg.com/profile_images/885147188258537472/5LLGDLYs_normal.jpg","View")</f>
        <v>View</v>
      </c>
      <c r="P5918" s="27"/>
    </row>
    <row r="5919">
      <c r="A5919" s="14">
        <v>43031.38650462963</v>
      </c>
      <c r="B5919" s="20" t="str">
        <f>HYPERLINK("https://twitter.com/Paveluljuk","@Paveluljuk")</f>
        <v>@Paveluljuk</v>
      </c>
      <c r="C5919" s="21" t="s">
        <v>12977</v>
      </c>
      <c r="D5919" s="21" t="s">
        <v>13425</v>
      </c>
      <c r="E5919" s="22" t="str">
        <f>HYPERLINK("https://twitter.com/Paveluljuk/status/922496982618378241","922496982618378241")</f>
        <v>922496982618378241</v>
      </c>
      <c r="F5919" s="23" t="s">
        <v>55</v>
      </c>
      <c r="G5919" s="24">
        <v>6644.0</v>
      </c>
      <c r="H5919" s="24">
        <v>5937.0</v>
      </c>
      <c r="I5919" s="24">
        <v>1.0</v>
      </c>
      <c r="J5919" s="24">
        <v>0.0</v>
      </c>
      <c r="K5919" s="23" t="s">
        <v>34</v>
      </c>
      <c r="L5919" s="25">
        <v>41065.23577546296</v>
      </c>
      <c r="M5919" s="26" t="s">
        <v>12979</v>
      </c>
      <c r="N5919" s="26" t="s">
        <v>12980</v>
      </c>
      <c r="O5919" s="22" t="str">
        <f>HYPERLINK("https://pbs.twimg.com/profile_images/886198487137873921/zmFeaY9W_normal.jpg","View")</f>
        <v>View</v>
      </c>
      <c r="P5919" s="27"/>
    </row>
    <row r="5920">
      <c r="A5920" s="14">
        <v>43031.38659722223</v>
      </c>
      <c r="B5920" s="20" t="str">
        <f>HYPERLINK("https://twitter.com/TimesofNews","@TimesofNews")</f>
        <v>@TimesofNews</v>
      </c>
      <c r="C5920" s="21" t="s">
        <v>4660</v>
      </c>
      <c r="D5920" s="21" t="s">
        <v>13426</v>
      </c>
      <c r="E5920" s="22" t="str">
        <f>HYPERLINK("https://twitter.com/TimesofNews/status/922497018349735936","922497018349735936")</f>
        <v>922497018349735936</v>
      </c>
      <c r="F5920" s="23" t="s">
        <v>8122</v>
      </c>
      <c r="G5920" s="24">
        <v>1139.0</v>
      </c>
      <c r="H5920" s="24">
        <v>129.0</v>
      </c>
      <c r="I5920" s="24">
        <v>0.0</v>
      </c>
      <c r="J5920" s="24">
        <v>0.0</v>
      </c>
      <c r="K5920" s="23" t="s">
        <v>34</v>
      </c>
      <c r="L5920" s="25">
        <v>40978.11828703704</v>
      </c>
      <c r="M5920" s="28"/>
      <c r="N5920" s="26" t="s">
        <v>4663</v>
      </c>
      <c r="O5920" s="22" t="str">
        <f>HYPERLINK("https://pbs.twimg.com/profile_images/458022872024223744/GKx5zsNw_normal.png","View")</f>
        <v>View</v>
      </c>
      <c r="P5920" s="27"/>
    </row>
    <row r="5921">
      <c r="A5921" s="14">
        <v>43031.38695601852</v>
      </c>
      <c r="B5921" s="20" t="str">
        <f>HYPERLINK("https://twitter.com/SheeGhee","@SheeGhee")</f>
        <v>@SheeGhee</v>
      </c>
      <c r="C5921" s="21" t="s">
        <v>13427</v>
      </c>
      <c r="D5921" s="21" t="s">
        <v>13295</v>
      </c>
      <c r="E5921" s="22" t="str">
        <f>HYPERLINK("https://twitter.com/SheeGhee/status/922497146682617856","922497146682617856")</f>
        <v>922497146682617856</v>
      </c>
      <c r="F5921" s="23" t="s">
        <v>33</v>
      </c>
      <c r="G5921" s="24">
        <v>201.0</v>
      </c>
      <c r="H5921" s="24">
        <v>191.0</v>
      </c>
      <c r="I5921" s="24">
        <v>19.0</v>
      </c>
      <c r="J5921" s="24">
        <v>0.0</v>
      </c>
      <c r="K5921" s="23" t="s">
        <v>34</v>
      </c>
      <c r="L5921" s="25">
        <v>40581.94782407407</v>
      </c>
      <c r="M5921" s="26" t="s">
        <v>6779</v>
      </c>
      <c r="N5921" s="28"/>
      <c r="O5921" s="22" t="str">
        <f>HYPERLINK("https://pbs.twimg.com/profile_images/1238211246/BELLA_normal.jpg","View")</f>
        <v>View</v>
      </c>
      <c r="P5921" s="27"/>
    </row>
    <row r="5922">
      <c r="A5922" s="14">
        <v>43031.38706018518</v>
      </c>
      <c r="B5922" s="20" t="str">
        <f>HYPERLINK("https://twitter.com/scabra_gentiana","@scabra_gentiana")</f>
        <v>@scabra_gentiana</v>
      </c>
      <c r="C5922" s="21" t="s">
        <v>13428</v>
      </c>
      <c r="D5922" s="21" t="s">
        <v>12565</v>
      </c>
      <c r="E5922" s="22" t="str">
        <f>HYPERLINK("https://twitter.com/scabra_gentiana/status/922497185450569729","922497185450569729")</f>
        <v>922497185450569729</v>
      </c>
      <c r="F5922" s="23" t="s">
        <v>43</v>
      </c>
      <c r="G5922" s="24">
        <v>13.0</v>
      </c>
      <c r="H5922" s="24">
        <v>121.0</v>
      </c>
      <c r="I5922" s="24">
        <v>32.0</v>
      </c>
      <c r="J5922" s="24">
        <v>0.0</v>
      </c>
      <c r="K5922" s="23" t="s">
        <v>34</v>
      </c>
      <c r="L5922" s="25">
        <v>42966.87358796297</v>
      </c>
      <c r="M5922" s="28"/>
      <c r="N5922" s="26" t="s">
        <v>13429</v>
      </c>
      <c r="O5922" s="22" t="str">
        <f>HYPERLINK("https://abs.twimg.com/sticky/default_profile_images/default_profile_normal.png","View")</f>
        <v>View</v>
      </c>
      <c r="P5922" s="27"/>
    </row>
    <row r="5923">
      <c r="A5923" s="14">
        <v>43031.38715277778</v>
      </c>
      <c r="B5923" s="20" t="str">
        <f>HYPERLINK("https://twitter.com/cwaguthi","@cwaguthi")</f>
        <v>@cwaguthi</v>
      </c>
      <c r="C5923" s="21" t="s">
        <v>13430</v>
      </c>
      <c r="D5923" s="21" t="s">
        <v>32</v>
      </c>
      <c r="E5923" s="22" t="str">
        <f>HYPERLINK("https://twitter.com/cwaguthi/status/922497218686410752","922497218686410752")</f>
        <v>922497218686410752</v>
      </c>
      <c r="F5923" s="23" t="s">
        <v>33</v>
      </c>
      <c r="G5923" s="24">
        <v>1339.0</v>
      </c>
      <c r="H5923" s="24">
        <v>991.0</v>
      </c>
      <c r="I5923" s="24">
        <v>471.0</v>
      </c>
      <c r="J5923" s="24">
        <v>0.0</v>
      </c>
      <c r="K5923" s="23" t="s">
        <v>34</v>
      </c>
      <c r="L5923" s="25">
        <v>39941.23442129629</v>
      </c>
      <c r="M5923" s="26" t="s">
        <v>13431</v>
      </c>
      <c r="N5923" s="26" t="s">
        <v>13432</v>
      </c>
      <c r="O5923" s="22" t="str">
        <f>HYPERLINK("https://pbs.twimg.com/profile_images/818125854211534849/75_Auqih_normal.jpg","View")</f>
        <v>View</v>
      </c>
      <c r="P5923" s="27"/>
    </row>
    <row r="5924">
      <c r="A5924" s="14">
        <v>43031.38726851852</v>
      </c>
      <c r="B5924" s="20" t="str">
        <f>HYPERLINK("https://twitter.com/azsinghdinesh","@azsinghdinesh")</f>
        <v>@azsinghdinesh</v>
      </c>
      <c r="C5924" s="21" t="s">
        <v>10036</v>
      </c>
      <c r="D5924" s="21" t="s">
        <v>42</v>
      </c>
      <c r="E5924" s="22" t="str">
        <f>HYPERLINK("https://twitter.com/azsinghdinesh/status/922497258410479617","922497258410479617")</f>
        <v>922497258410479617</v>
      </c>
      <c r="F5924" s="23" t="s">
        <v>33</v>
      </c>
      <c r="G5924" s="24">
        <v>163.0</v>
      </c>
      <c r="H5924" s="24">
        <v>405.0</v>
      </c>
      <c r="I5924" s="24">
        <v>8501.0</v>
      </c>
      <c r="J5924" s="24">
        <v>0.0</v>
      </c>
      <c r="K5924" s="23" t="s">
        <v>34</v>
      </c>
      <c r="L5924" s="25">
        <v>42799.84385416667</v>
      </c>
      <c r="M5924" s="26" t="s">
        <v>13433</v>
      </c>
      <c r="N5924" s="26" t="s">
        <v>13434</v>
      </c>
      <c r="O5924" s="22" t="str">
        <f>HYPERLINK("https://pbs.twimg.com/profile_images/845691869103345665/eXP9dQRP_normal.jpg","View")</f>
        <v>View</v>
      </c>
      <c r="P5924" s="27"/>
    </row>
    <row r="5925">
      <c r="A5925" s="14">
        <v>43031.38739583333</v>
      </c>
      <c r="B5925" s="20" t="str">
        <f>HYPERLINK("https://twitter.com/GustafReinfeldt","@GustafReinfeldt")</f>
        <v>@GustafReinfeldt</v>
      </c>
      <c r="C5925" s="21" t="s">
        <v>13435</v>
      </c>
      <c r="D5925" s="21" t="s">
        <v>13295</v>
      </c>
      <c r="E5925" s="22" t="str">
        <f>HYPERLINK("https://twitter.com/GustafReinfeldt/status/922497305982439425","922497305982439425")</f>
        <v>922497305982439425</v>
      </c>
      <c r="F5925" s="23" t="s">
        <v>39</v>
      </c>
      <c r="G5925" s="24">
        <v>4006.0</v>
      </c>
      <c r="H5925" s="24">
        <v>3289.0</v>
      </c>
      <c r="I5925" s="24">
        <v>19.0</v>
      </c>
      <c r="J5925" s="24">
        <v>0.0</v>
      </c>
      <c r="K5925" s="23" t="s">
        <v>34</v>
      </c>
      <c r="L5925" s="25">
        <v>40436.116122685184</v>
      </c>
      <c r="M5925" s="26" t="s">
        <v>13436</v>
      </c>
      <c r="N5925" s="26" t="s">
        <v>13437</v>
      </c>
      <c r="O5925" s="22" t="str">
        <f>HYPERLINK("https://pbs.twimg.com/profile_images/904017458872377344/-v9kPZQ-_normal.jpg","View")</f>
        <v>View</v>
      </c>
      <c r="P5925" s="27"/>
    </row>
    <row r="5926">
      <c r="A5926" s="14">
        <v>43031.38740740741</v>
      </c>
      <c r="B5926" s="20" t="str">
        <f>HYPERLINK("https://twitter.com/Cameron21738334","@Cameron21738334")</f>
        <v>@Cameron21738334</v>
      </c>
      <c r="C5926" s="21" t="s">
        <v>13438</v>
      </c>
      <c r="D5926" s="21" t="s">
        <v>42</v>
      </c>
      <c r="E5926" s="22" t="str">
        <f>HYPERLINK("https://twitter.com/Cameron21738334/status/922497311258828800","922497311258828800")</f>
        <v>922497311258828800</v>
      </c>
      <c r="F5926" s="23" t="s">
        <v>33</v>
      </c>
      <c r="G5926" s="24">
        <v>8179.0</v>
      </c>
      <c r="H5926" s="24">
        <v>8988.0</v>
      </c>
      <c r="I5926" s="24">
        <v>8501.0</v>
      </c>
      <c r="J5926" s="24">
        <v>0.0</v>
      </c>
      <c r="K5926" s="23" t="s">
        <v>34</v>
      </c>
      <c r="L5926" s="25">
        <v>42961.435486111106</v>
      </c>
      <c r="M5926" s="26" t="s">
        <v>1024</v>
      </c>
      <c r="N5926" s="26" t="s">
        <v>13439</v>
      </c>
      <c r="O5926" s="22" t="str">
        <f>HYPERLINK("https://pbs.twimg.com/profile_images/917405046517547008/7foIpmEI_normal.jpg","View")</f>
        <v>View</v>
      </c>
      <c r="P5926" s="27"/>
    </row>
    <row r="5927">
      <c r="A5927" s="14">
        <v>43031.38748842593</v>
      </c>
      <c r="B5927" s="20" t="str">
        <f>HYPERLINK("https://twitter.com/spookyscary666","@spookyscary666")</f>
        <v>@spookyscary666</v>
      </c>
      <c r="C5927" s="21" t="s">
        <v>6344</v>
      </c>
      <c r="D5927" s="21" t="s">
        <v>42</v>
      </c>
      <c r="E5927" s="22" t="str">
        <f>HYPERLINK("https://twitter.com/spookyscary666/status/922497337817153536","922497337817153536")</f>
        <v>922497337817153536</v>
      </c>
      <c r="F5927" s="23" t="s">
        <v>33</v>
      </c>
      <c r="G5927" s="24">
        <v>442.0</v>
      </c>
      <c r="H5927" s="24">
        <v>1046.0</v>
      </c>
      <c r="I5927" s="24">
        <v>8501.0</v>
      </c>
      <c r="J5927" s="24">
        <v>0.0</v>
      </c>
      <c r="K5927" s="23" t="s">
        <v>34</v>
      </c>
      <c r="L5927" s="25">
        <v>42139.5850462963</v>
      </c>
      <c r="M5927" s="28"/>
      <c r="N5927" s="28"/>
      <c r="O5927" s="22" t="str">
        <f>HYPERLINK("https://pbs.twimg.com/profile_images/922698604418015232/LshSnl_z_normal.jpg","View")</f>
        <v>View</v>
      </c>
      <c r="P5927" s="27"/>
    </row>
    <row r="5928">
      <c r="A5928" s="14">
        <v>43031.38748842593</v>
      </c>
      <c r="B5928" s="20" t="str">
        <f>HYPERLINK("https://twitter.com/ramgopaldass_77","@ramgopaldass_77")</f>
        <v>@ramgopaldass_77</v>
      </c>
      <c r="C5928" s="21" t="s">
        <v>13440</v>
      </c>
      <c r="D5928" s="21" t="s">
        <v>42</v>
      </c>
      <c r="E5928" s="22" t="str">
        <f>HYPERLINK("https://twitter.com/ramgopaldass_77/status/922497338827948032","922497338827948032")</f>
        <v>922497338827948032</v>
      </c>
      <c r="F5928" s="23" t="s">
        <v>55</v>
      </c>
      <c r="G5928" s="24">
        <v>546.0</v>
      </c>
      <c r="H5928" s="24">
        <v>737.0</v>
      </c>
      <c r="I5928" s="24">
        <v>8501.0</v>
      </c>
      <c r="J5928" s="24">
        <v>0.0</v>
      </c>
      <c r="K5928" s="23" t="s">
        <v>34</v>
      </c>
      <c r="L5928" s="25">
        <v>41115.96979166666</v>
      </c>
      <c r="M5928" s="26" t="s">
        <v>204</v>
      </c>
      <c r="N5928" s="26" t="s">
        <v>13441</v>
      </c>
      <c r="O5928" s="22" t="str">
        <f>HYPERLINK("https://pbs.twimg.com/profile_images/666687916345720833/Kf4nyPdy_normal.jpg","View")</f>
        <v>View</v>
      </c>
      <c r="P5928" s="27"/>
    </row>
    <row r="5929">
      <c r="A5929" s="14">
        <v>43031.387557870374</v>
      </c>
      <c r="B5929" s="20" t="str">
        <f>HYPERLINK("https://twitter.com/Sakpol_SE","@Sakpol_SE")</f>
        <v>@Sakpol_SE</v>
      </c>
      <c r="C5929" s="21" t="s">
        <v>13442</v>
      </c>
      <c r="D5929" s="21" t="s">
        <v>13295</v>
      </c>
      <c r="E5929" s="22" t="str">
        <f>HYPERLINK("https://twitter.com/Sakpol_SE/status/922497362509037568","922497362509037568")</f>
        <v>922497362509037568</v>
      </c>
      <c r="F5929" s="23" t="s">
        <v>13443</v>
      </c>
      <c r="G5929" s="24">
        <v>4391.0</v>
      </c>
      <c r="H5929" s="24">
        <v>0.0</v>
      </c>
      <c r="I5929" s="24">
        <v>19.0</v>
      </c>
      <c r="J5929" s="24">
        <v>0.0</v>
      </c>
      <c r="K5929" s="23" t="s">
        <v>34</v>
      </c>
      <c r="L5929" s="25">
        <v>41983.56296296296</v>
      </c>
      <c r="M5929" s="28"/>
      <c r="N5929" s="26" t="s">
        <v>13444</v>
      </c>
      <c r="O5929" s="22" t="str">
        <f>HYPERLINK("https://pbs.twimg.com/profile_images/542794451618242560/Zr0QW-TQ_normal.jpeg","View")</f>
        <v>View</v>
      </c>
      <c r="P5929" s="27"/>
    </row>
    <row r="5930">
      <c r="A5930" s="14">
        <v>43031.38765046296</v>
      </c>
      <c r="B5930" s="20" t="str">
        <f>HYPERLINK("https://twitter.com/Newslockergames","@Newslockergames")</f>
        <v>@Newslockergames</v>
      </c>
      <c r="C5930" s="21" t="s">
        <v>13445</v>
      </c>
      <c r="D5930" s="21" t="s">
        <v>13446</v>
      </c>
      <c r="E5930" s="22" t="str">
        <f>HYPERLINK("https://twitter.com/Newslockergames/status/922497399305768960","922497399305768960")</f>
        <v>922497399305768960</v>
      </c>
      <c r="F5930" s="23" t="s">
        <v>1020</v>
      </c>
      <c r="G5930" s="24">
        <v>1375.0</v>
      </c>
      <c r="H5930" s="24">
        <v>1223.0</v>
      </c>
      <c r="I5930" s="24">
        <v>0.0</v>
      </c>
      <c r="J5930" s="24">
        <v>0.0</v>
      </c>
      <c r="K5930" s="23" t="s">
        <v>34</v>
      </c>
      <c r="L5930" s="25">
        <v>41113.51090277778</v>
      </c>
      <c r="M5930" s="28"/>
      <c r="N5930" s="26" t="s">
        <v>13447</v>
      </c>
      <c r="O5930" s="22" t="str">
        <f>HYPERLINK("https://pbs.twimg.com/profile_images/588647153540685824/kwznbl2a_normal.png","View")</f>
        <v>View</v>
      </c>
      <c r="P5930" s="27"/>
    </row>
    <row r="5931">
      <c r="A5931" s="14">
        <v>43031.387662037036</v>
      </c>
      <c r="B5931" s="20" t="str">
        <f>HYPERLINK("https://twitter.com/Paveluljuk","@Paveluljuk")</f>
        <v>@Paveluljuk</v>
      </c>
      <c r="C5931" s="21" t="s">
        <v>12977</v>
      </c>
      <c r="D5931" s="21" t="s">
        <v>13448</v>
      </c>
      <c r="E5931" s="22" t="str">
        <f>HYPERLINK("https://twitter.com/Paveluljuk/status/922497401268703232","922497401268703232")</f>
        <v>922497401268703232</v>
      </c>
      <c r="F5931" s="23" t="s">
        <v>55</v>
      </c>
      <c r="G5931" s="24">
        <v>6644.0</v>
      </c>
      <c r="H5931" s="24">
        <v>5937.0</v>
      </c>
      <c r="I5931" s="24">
        <v>0.0</v>
      </c>
      <c r="J5931" s="24">
        <v>0.0</v>
      </c>
      <c r="K5931" s="23" t="s">
        <v>34</v>
      </c>
      <c r="L5931" s="25">
        <v>41065.23577546296</v>
      </c>
      <c r="M5931" s="26" t="s">
        <v>12979</v>
      </c>
      <c r="N5931" s="26" t="s">
        <v>12980</v>
      </c>
      <c r="O5931" s="22" t="str">
        <f>HYPERLINK("https://pbs.twimg.com/profile_images/886198487137873921/zmFeaY9W_normal.jpg","View")</f>
        <v>View</v>
      </c>
      <c r="P5931" s="27"/>
    </row>
    <row r="5932">
      <c r="A5932" s="14">
        <v>43031.38768518518</v>
      </c>
      <c r="B5932" s="20" t="str">
        <f>HYPERLINK("https://twitter.com/i_juistice","@i_juistice")</f>
        <v>@i_juistice</v>
      </c>
      <c r="C5932" s="21" t="s">
        <v>13449</v>
      </c>
      <c r="D5932" s="21" t="s">
        <v>13450</v>
      </c>
      <c r="E5932" s="22" t="str">
        <f>HYPERLINK("https://twitter.com/i_juistice/status/922497412308131841","922497412308131841")</f>
        <v>922497412308131841</v>
      </c>
      <c r="F5932" s="23" t="s">
        <v>33</v>
      </c>
      <c r="G5932" s="24">
        <v>9.0</v>
      </c>
      <c r="H5932" s="24">
        <v>69.0</v>
      </c>
      <c r="I5932" s="24">
        <v>1.0</v>
      </c>
      <c r="J5932" s="24">
        <v>0.0</v>
      </c>
      <c r="K5932" s="23" t="s">
        <v>34</v>
      </c>
      <c r="L5932" s="25">
        <v>42977.32163194445</v>
      </c>
      <c r="M5932" s="28"/>
      <c r="N5932" s="26" t="s">
        <v>13451</v>
      </c>
      <c r="O5932" s="22" t="str">
        <f>HYPERLINK("https://pbs.twimg.com/profile_images/912396210010329089/mFc9rcRu_normal.jpg","View")</f>
        <v>View</v>
      </c>
      <c r="P5932" s="27"/>
    </row>
    <row r="5933">
      <c r="A5933" s="14">
        <v>43031.38773148148</v>
      </c>
      <c r="B5933" s="20" t="str">
        <f>HYPERLINK("https://twitter.com/hayato00000","@hayato00000")</f>
        <v>@hayato00000</v>
      </c>
      <c r="C5933" s="21" t="s">
        <v>13452</v>
      </c>
      <c r="D5933" s="21" t="s">
        <v>13453</v>
      </c>
      <c r="E5933" s="22" t="str">
        <f>HYPERLINK("https://twitter.com/hayato00000/status/922497427076038656","922497427076038656")</f>
        <v>922497427076038656</v>
      </c>
      <c r="F5933" s="23" t="s">
        <v>55</v>
      </c>
      <c r="G5933" s="24">
        <v>1434.0</v>
      </c>
      <c r="H5933" s="24">
        <v>2240.0</v>
      </c>
      <c r="I5933" s="24">
        <v>1.0</v>
      </c>
      <c r="J5933" s="24">
        <v>0.0</v>
      </c>
      <c r="K5933" s="23" t="s">
        <v>34</v>
      </c>
      <c r="L5933" s="25">
        <v>40619.117476851854</v>
      </c>
      <c r="M5933" s="28"/>
      <c r="N5933" s="26" t="s">
        <v>13454</v>
      </c>
      <c r="O5933" s="22" t="str">
        <f>HYPERLINK("https://pbs.twimg.com/profile_images/2390886697/uyu90smudr3qcu0u7gpc_normal.jpeg","View")</f>
        <v>View</v>
      </c>
      <c r="P5933" s="27"/>
    </row>
    <row r="5934">
      <c r="A5934" s="14">
        <v>43031.38805555555</v>
      </c>
      <c r="B5934" s="20" t="str">
        <f>HYPERLINK("https://twitter.com/yujiy1967","@yujiy1967")</f>
        <v>@yujiy1967</v>
      </c>
      <c r="C5934" s="21" t="s">
        <v>13455</v>
      </c>
      <c r="D5934" s="21" t="s">
        <v>42</v>
      </c>
      <c r="E5934" s="22" t="str">
        <f>HYPERLINK("https://twitter.com/yujiy1967/status/922497544457895936","922497544457895936")</f>
        <v>922497544457895936</v>
      </c>
      <c r="F5934" s="23" t="s">
        <v>39</v>
      </c>
      <c r="G5934" s="24">
        <v>237.0</v>
      </c>
      <c r="H5934" s="24">
        <v>777.0</v>
      </c>
      <c r="I5934" s="24">
        <v>8501.0</v>
      </c>
      <c r="J5934" s="24">
        <v>0.0</v>
      </c>
      <c r="K5934" s="23" t="s">
        <v>34</v>
      </c>
      <c r="L5934" s="25">
        <v>40020.15075231482</v>
      </c>
      <c r="M5934" s="26" t="s">
        <v>12687</v>
      </c>
      <c r="N5934" s="26" t="s">
        <v>13456</v>
      </c>
      <c r="O5934" s="22" t="str">
        <f>HYPERLINK("https://pbs.twimg.com/profile_images/814829899462475776/EsWNgYKq_normal.jpg","View")</f>
        <v>View</v>
      </c>
      <c r="P5934" s="27"/>
    </row>
    <row r="5935">
      <c r="A5935" s="14">
        <v>43031.3882175926</v>
      </c>
      <c r="B5935" s="20" t="str">
        <f>HYPERLINK("https://twitter.com/moeen_qazi","@moeen_qazi")</f>
        <v>@moeen_qazi</v>
      </c>
      <c r="C5935" s="21" t="s">
        <v>13457</v>
      </c>
      <c r="D5935" s="21" t="s">
        <v>10614</v>
      </c>
      <c r="E5935" s="22" t="str">
        <f>HYPERLINK("https://twitter.com/moeen_qazi/status/922497602733604864","922497602733604864")</f>
        <v>922497602733604864</v>
      </c>
      <c r="F5935" s="23" t="s">
        <v>39</v>
      </c>
      <c r="G5935" s="24">
        <v>90.0</v>
      </c>
      <c r="H5935" s="24">
        <v>368.0</v>
      </c>
      <c r="I5935" s="24">
        <v>159.0</v>
      </c>
      <c r="J5935" s="24">
        <v>0.0</v>
      </c>
      <c r="K5935" s="23" t="s">
        <v>34</v>
      </c>
      <c r="L5935" s="25">
        <v>42786.3849537037</v>
      </c>
      <c r="M5935" s="26" t="s">
        <v>13458</v>
      </c>
      <c r="N5935" s="28"/>
      <c r="O5935" s="22" t="str">
        <f>HYPERLINK("https://abs.twimg.com/sticky/default_profile_images/default_profile_normal.png","View")</f>
        <v>View</v>
      </c>
      <c r="P5935" s="27"/>
    </row>
    <row r="5936">
      <c r="A5936" s="14">
        <v>43031.38825231481</v>
      </c>
      <c r="B5936" s="20" t="str">
        <f>HYPERLINK("https://twitter.com/Dcomcustomized","@Dcomcustomized")</f>
        <v>@Dcomcustomized</v>
      </c>
      <c r="C5936" s="21" t="s">
        <v>13459</v>
      </c>
      <c r="D5936" s="21" t="s">
        <v>8291</v>
      </c>
      <c r="E5936" s="22" t="str">
        <f>HYPERLINK("https://twitter.com/Dcomcustomized/status/922497614523838464","922497614523838464")</f>
        <v>922497614523838464</v>
      </c>
      <c r="F5936" s="23" t="s">
        <v>33</v>
      </c>
      <c r="G5936" s="24">
        <v>3950.0</v>
      </c>
      <c r="H5936" s="24">
        <v>344.0</v>
      </c>
      <c r="I5936" s="24">
        <v>135.0</v>
      </c>
      <c r="J5936" s="24">
        <v>0.0</v>
      </c>
      <c r="K5936" s="23" t="s">
        <v>34</v>
      </c>
      <c r="L5936" s="25">
        <v>40416.847858796296</v>
      </c>
      <c r="M5936" s="26" t="s">
        <v>13460</v>
      </c>
      <c r="N5936" s="26" t="s">
        <v>13461</v>
      </c>
      <c r="O5936" s="22" t="str">
        <f>HYPERLINK("https://pbs.twimg.com/profile_images/753487481392160769/o6oj3Wis_normal.jpg","View")</f>
        <v>View</v>
      </c>
      <c r="P5936" s="27"/>
    </row>
    <row r="5937">
      <c r="A5937" s="14">
        <v>43031.38849537037</v>
      </c>
      <c r="B5937" s="20" t="str">
        <f>HYPERLINK("https://twitter.com/RachapudiVarun","@RachapudiVarun")</f>
        <v>@RachapudiVarun</v>
      </c>
      <c r="C5937" s="21" t="s">
        <v>13462</v>
      </c>
      <c r="D5937" s="21" t="s">
        <v>42</v>
      </c>
      <c r="E5937" s="22" t="str">
        <f>HYPERLINK("https://twitter.com/RachapudiVarun/status/922497705309495296","922497705309495296")</f>
        <v>922497705309495296</v>
      </c>
      <c r="F5937" s="23" t="s">
        <v>33</v>
      </c>
      <c r="G5937" s="24">
        <v>833.0</v>
      </c>
      <c r="H5937" s="24">
        <v>2440.0</v>
      </c>
      <c r="I5937" s="24">
        <v>8501.0</v>
      </c>
      <c r="J5937" s="24">
        <v>0.0</v>
      </c>
      <c r="K5937" s="23" t="s">
        <v>34</v>
      </c>
      <c r="L5937" s="25">
        <v>42005.274409722224</v>
      </c>
      <c r="M5937" s="26" t="s">
        <v>10320</v>
      </c>
      <c r="N5937" s="26" t="s">
        <v>13463</v>
      </c>
      <c r="O5937" s="22" t="str">
        <f>HYPERLINK("https://pbs.twimg.com/profile_images/922798758198312960/Nz7OjauX_normal.jpg","View")</f>
        <v>View</v>
      </c>
      <c r="P5937" s="27"/>
    </row>
    <row r="5938">
      <c r="A5938" s="14">
        <v>43031.388553240744</v>
      </c>
      <c r="B5938" s="20" t="str">
        <f>HYPERLINK("https://twitter.com/myflywheel","@myflywheel")</f>
        <v>@myflywheel</v>
      </c>
      <c r="C5938" s="21" t="s">
        <v>13464</v>
      </c>
      <c r="D5938" s="21" t="s">
        <v>13295</v>
      </c>
      <c r="E5938" s="22" t="str">
        <f>HYPERLINK("https://twitter.com/myflywheel/status/922497725912027138","922497725912027138")</f>
        <v>922497725912027138</v>
      </c>
      <c r="F5938" s="23" t="s">
        <v>13465</v>
      </c>
      <c r="G5938" s="24">
        <v>151.0</v>
      </c>
      <c r="H5938" s="24">
        <v>457.0</v>
      </c>
      <c r="I5938" s="24">
        <v>19.0</v>
      </c>
      <c r="J5938" s="24">
        <v>0.0</v>
      </c>
      <c r="K5938" s="23" t="s">
        <v>34</v>
      </c>
      <c r="L5938" s="25">
        <v>40442.87277777778</v>
      </c>
      <c r="M5938" s="26" t="s">
        <v>13466</v>
      </c>
      <c r="N5938" s="26" t="s">
        <v>13467</v>
      </c>
      <c r="O5938" s="22" t="str">
        <f>HYPERLINK("https://pbs.twimg.com/profile_images/431664505601265664/51RLrykF_normal.png","View")</f>
        <v>View</v>
      </c>
      <c r="P5938" s="27"/>
    </row>
    <row r="5939">
      <c r="A5939" s="14">
        <v>43031.388611111106</v>
      </c>
      <c r="B5939" s="20" t="str">
        <f>HYPERLINK("https://twitter.com/luckkeyme","@luckkeyme")</f>
        <v>@luckkeyme</v>
      </c>
      <c r="C5939" s="21" t="s">
        <v>13468</v>
      </c>
      <c r="D5939" s="21" t="s">
        <v>4291</v>
      </c>
      <c r="E5939" s="22" t="str">
        <f>HYPERLINK("https://twitter.com/luckkeyme/status/922497746522853381","922497746522853381")</f>
        <v>922497746522853381</v>
      </c>
      <c r="F5939" s="23" t="s">
        <v>39</v>
      </c>
      <c r="G5939" s="24">
        <v>155.0</v>
      </c>
      <c r="H5939" s="24">
        <v>998.0</v>
      </c>
      <c r="I5939" s="24">
        <v>2.0</v>
      </c>
      <c r="J5939" s="24">
        <v>0.0</v>
      </c>
      <c r="K5939" s="23" t="s">
        <v>34</v>
      </c>
      <c r="L5939" s="25">
        <v>41019.54039351852</v>
      </c>
      <c r="M5939" s="26" t="s">
        <v>13469</v>
      </c>
      <c r="N5939" s="26" t="s">
        <v>13470</v>
      </c>
      <c r="O5939" s="22" t="str">
        <f>HYPERLINK("https://abs.twimg.com/sticky/default_profile_images/default_profile_normal.png","View")</f>
        <v>View</v>
      </c>
      <c r="P5939" s="27"/>
    </row>
    <row r="5940">
      <c r="A5940" s="14">
        <v>43031.38864583333</v>
      </c>
      <c r="B5940" s="20" t="str">
        <f>HYPERLINK("https://twitter.com/CBCAdrianH","@CBCAdrianH")</f>
        <v>@CBCAdrianH</v>
      </c>
      <c r="C5940" s="21" t="s">
        <v>13471</v>
      </c>
      <c r="D5940" s="21" t="s">
        <v>13472</v>
      </c>
      <c r="E5940" s="22" t="str">
        <f>HYPERLINK("https://twitter.com/CBCAdrianH/status/922497759260893185","922497759260893185")</f>
        <v>922497759260893185</v>
      </c>
      <c r="F5940" s="23" t="s">
        <v>55</v>
      </c>
      <c r="G5940" s="24">
        <v>7217.0</v>
      </c>
      <c r="H5940" s="24">
        <v>3464.0</v>
      </c>
      <c r="I5940" s="24">
        <v>0.0</v>
      </c>
      <c r="J5940" s="24">
        <v>0.0</v>
      </c>
      <c r="K5940" s="23" t="s">
        <v>34</v>
      </c>
      <c r="L5940" s="25">
        <v>40967.51219907407</v>
      </c>
      <c r="M5940" s="26" t="s">
        <v>13473</v>
      </c>
      <c r="N5940" s="26" t="s">
        <v>13474</v>
      </c>
      <c r="O5940" s="22" t="str">
        <f>HYPERLINK("https://pbs.twimg.com/profile_images/1863518349/Adrian_Photo_Twitter_normal.JPG","View")</f>
        <v>View</v>
      </c>
      <c r="P5940" s="27"/>
    </row>
    <row r="5941">
      <c r="A5941" s="14">
        <v>43031.388761574075</v>
      </c>
      <c r="B5941" s="20" t="str">
        <f>HYPERLINK("https://twitter.com/cdior777","@cdior777")</f>
        <v>@cdior777</v>
      </c>
      <c r="C5941" s="21" t="s">
        <v>1513</v>
      </c>
      <c r="D5941" s="21" t="s">
        <v>12974</v>
      </c>
      <c r="E5941" s="22" t="str">
        <f>HYPERLINK("https://twitter.com/cdior777/status/922497800230674432","922497800230674432")</f>
        <v>922497800230674432</v>
      </c>
      <c r="F5941" s="23" t="s">
        <v>39</v>
      </c>
      <c r="G5941" s="24">
        <v>370.0</v>
      </c>
      <c r="H5941" s="24">
        <v>484.0</v>
      </c>
      <c r="I5941" s="24">
        <v>110.0</v>
      </c>
      <c r="J5941" s="24">
        <v>0.0</v>
      </c>
      <c r="K5941" s="23" t="s">
        <v>34</v>
      </c>
      <c r="L5941" s="25">
        <v>40958.650717592594</v>
      </c>
      <c r="M5941" s="28"/>
      <c r="N5941" s="26" t="s">
        <v>1514</v>
      </c>
      <c r="O5941" s="22" t="str">
        <f>HYPERLINK("https://pbs.twimg.com/profile_images/764980139486621696/x53GyW3J_normal.jpg","View")</f>
        <v>View</v>
      </c>
      <c r="P5941" s="27"/>
    </row>
    <row r="5942">
      <c r="A5942" s="14">
        <v>43031.388819444444</v>
      </c>
      <c r="B5942" s="20" t="str">
        <f>HYPERLINK("https://twitter.com/RalphSungu","@RalphSungu")</f>
        <v>@RalphSungu</v>
      </c>
      <c r="C5942" s="21" t="s">
        <v>13475</v>
      </c>
      <c r="D5942" s="21" t="s">
        <v>32</v>
      </c>
      <c r="E5942" s="22" t="str">
        <f>HYPERLINK("https://twitter.com/RalphSungu/status/922497819755384832","922497819755384832")</f>
        <v>922497819755384832</v>
      </c>
      <c r="F5942" s="23" t="s">
        <v>33</v>
      </c>
      <c r="G5942" s="24">
        <v>2676.0</v>
      </c>
      <c r="H5942" s="24">
        <v>4684.0</v>
      </c>
      <c r="I5942" s="24">
        <v>471.0</v>
      </c>
      <c r="J5942" s="24">
        <v>0.0</v>
      </c>
      <c r="K5942" s="23" t="s">
        <v>34</v>
      </c>
      <c r="L5942" s="25">
        <v>42513.903240740736</v>
      </c>
      <c r="M5942" s="26" t="s">
        <v>1174</v>
      </c>
      <c r="N5942" s="26" t="s">
        <v>13476</v>
      </c>
      <c r="O5942" s="22" t="str">
        <f>HYPERLINK("https://pbs.twimg.com/profile_images/921957186233880576/S5kVs90G_normal.jpg","View")</f>
        <v>View</v>
      </c>
      <c r="P5942" s="27"/>
    </row>
    <row r="5943">
      <c r="A5943" s="14">
        <v>43031.38895833334</v>
      </c>
      <c r="B5943" s="20" t="str">
        <f>HYPERLINK("https://twitter.com/anandchadha","@anandchadha")</f>
        <v>@anandchadha</v>
      </c>
      <c r="C5943" s="21" t="s">
        <v>13477</v>
      </c>
      <c r="D5943" s="21" t="s">
        <v>42</v>
      </c>
      <c r="E5943" s="22" t="str">
        <f>HYPERLINK("https://twitter.com/anandchadha/status/922497869982003200","922497869982003200")</f>
        <v>922497869982003200</v>
      </c>
      <c r="F5943" s="23" t="s">
        <v>33</v>
      </c>
      <c r="G5943" s="24">
        <v>58.0</v>
      </c>
      <c r="H5943" s="24">
        <v>53.0</v>
      </c>
      <c r="I5943" s="24">
        <v>8501.0</v>
      </c>
      <c r="J5943" s="24">
        <v>0.0</v>
      </c>
      <c r="K5943" s="23" t="s">
        <v>34</v>
      </c>
      <c r="L5943" s="25">
        <v>40498.39309027778</v>
      </c>
      <c r="M5943" s="28"/>
      <c r="N5943" s="28"/>
      <c r="O5943" s="22" t="str">
        <f>HYPERLINK("https://pbs.twimg.com/profile_images/843156650844413957/A5aPE8_0_normal.jpg","View")</f>
        <v>View</v>
      </c>
      <c r="P5943" s="27"/>
    </row>
    <row r="5944">
      <c r="A5944" s="14">
        <v>43031.38900462963</v>
      </c>
      <c r="B5944" s="20" t="str">
        <f>HYPERLINK("https://twitter.com/ChhatrasalSingh","@ChhatrasalSingh")</f>
        <v>@ChhatrasalSingh</v>
      </c>
      <c r="C5944" s="21" t="s">
        <v>13478</v>
      </c>
      <c r="D5944" s="21" t="s">
        <v>42</v>
      </c>
      <c r="E5944" s="22" t="str">
        <f>HYPERLINK("https://twitter.com/ChhatrasalSingh/status/922497888097325056","922497888097325056")</f>
        <v>922497888097325056</v>
      </c>
      <c r="F5944" s="23" t="s">
        <v>33</v>
      </c>
      <c r="G5944" s="24">
        <v>350.0</v>
      </c>
      <c r="H5944" s="24">
        <v>881.0</v>
      </c>
      <c r="I5944" s="24">
        <v>8501.0</v>
      </c>
      <c r="J5944" s="24">
        <v>0.0</v>
      </c>
      <c r="K5944" s="23" t="s">
        <v>34</v>
      </c>
      <c r="L5944" s="25">
        <v>40304.02736111111</v>
      </c>
      <c r="M5944" s="26" t="s">
        <v>227</v>
      </c>
      <c r="N5944" s="26" t="s">
        <v>13479</v>
      </c>
      <c r="O5944" s="22" t="str">
        <f>HYPERLINK("https://pbs.twimg.com/profile_images/1087782345/OAAAABsG6G_dVT-HwxLdwXWAy-LIjo0AqNpPjLUEMQs8ULUxtZDkT3ngCxENlf-kSG1VXS_yZTlEOHIfYI32mmXUuj4Am1T1UJ9AaVVxIzPrQ6lGasGcQbxKISl2_normal.jpg","View")</f>
        <v>View</v>
      </c>
      <c r="P5944" s="27"/>
    </row>
    <row r="5945">
      <c r="A5945" s="14">
        <v>43031.38921296297</v>
      </c>
      <c r="B5945" s="20" t="str">
        <f>HYPERLINK("https://twitter.com/kumaramitabh007","@kumaramitabh007")</f>
        <v>@kumaramitabh007</v>
      </c>
      <c r="C5945" s="21" t="s">
        <v>13480</v>
      </c>
      <c r="D5945" s="21" t="s">
        <v>42</v>
      </c>
      <c r="E5945" s="22" t="str">
        <f>HYPERLINK("https://twitter.com/kumaramitabh007/status/922497963015860224","922497963015860224")</f>
        <v>922497963015860224</v>
      </c>
      <c r="F5945" s="23" t="s">
        <v>33</v>
      </c>
      <c r="G5945" s="24">
        <v>28.0</v>
      </c>
      <c r="H5945" s="24">
        <v>12.0</v>
      </c>
      <c r="I5945" s="24">
        <v>8501.0</v>
      </c>
      <c r="J5945" s="24">
        <v>0.0</v>
      </c>
      <c r="K5945" s="23" t="s">
        <v>34</v>
      </c>
      <c r="L5945" s="25">
        <v>40281.108125</v>
      </c>
      <c r="M5945" s="28"/>
      <c r="N5945" s="28"/>
      <c r="O5945" s="22" t="str">
        <f t="shared" ref="O5945:O5946" si="90">HYPERLINK("https://abs.twimg.com/sticky/default_profile_images/default_profile_normal.png","View")</f>
        <v>View</v>
      </c>
      <c r="P5945" s="27"/>
    </row>
    <row r="5946">
      <c r="A5946" s="14">
        <v>43031.38921296297</v>
      </c>
      <c r="B5946" s="20" t="str">
        <f>HYPERLINK("https://twitter.com/SagarSarvaiya20","@SagarSarvaiya20")</f>
        <v>@SagarSarvaiya20</v>
      </c>
      <c r="C5946" s="21" t="s">
        <v>13481</v>
      </c>
      <c r="D5946" s="21" t="s">
        <v>42</v>
      </c>
      <c r="E5946" s="22" t="str">
        <f>HYPERLINK("https://twitter.com/SagarSarvaiya20/status/922497963481382913","922497963481382913")</f>
        <v>922497963481382913</v>
      </c>
      <c r="F5946" s="23" t="s">
        <v>33</v>
      </c>
      <c r="G5946" s="24">
        <v>1.0</v>
      </c>
      <c r="H5946" s="24">
        <v>105.0</v>
      </c>
      <c r="I5946" s="24">
        <v>8501.0</v>
      </c>
      <c r="J5946" s="24">
        <v>0.0</v>
      </c>
      <c r="K5946" s="23" t="s">
        <v>34</v>
      </c>
      <c r="L5946" s="25">
        <v>43028.09135416667</v>
      </c>
      <c r="M5946" s="28"/>
      <c r="N5946" s="28"/>
      <c r="O5946" s="22" t="str">
        <f t="shared" si="90"/>
        <v>View</v>
      </c>
      <c r="P5946" s="27"/>
    </row>
    <row r="5947">
      <c r="A5947" s="14">
        <v>43031.389375</v>
      </c>
      <c r="B5947" s="20" t="str">
        <f>HYPERLINK("https://twitter.com/FredMatics","@FredMatics")</f>
        <v>@FredMatics</v>
      </c>
      <c r="C5947" s="21" t="s">
        <v>13482</v>
      </c>
      <c r="D5947" s="21" t="s">
        <v>7106</v>
      </c>
      <c r="E5947" s="22" t="str">
        <f>HYPERLINK("https://twitter.com/FredMatics/status/922498022759718912","922498022759718912")</f>
        <v>922498022759718912</v>
      </c>
      <c r="F5947" s="23" t="s">
        <v>33</v>
      </c>
      <c r="G5947" s="24">
        <v>2109.0</v>
      </c>
      <c r="H5947" s="24">
        <v>1556.0</v>
      </c>
      <c r="I5947" s="24">
        <v>16.0</v>
      </c>
      <c r="J5947" s="24">
        <v>0.0</v>
      </c>
      <c r="K5947" s="23" t="s">
        <v>34</v>
      </c>
      <c r="L5947" s="25">
        <v>40064.13905092592</v>
      </c>
      <c r="M5947" s="26" t="s">
        <v>13483</v>
      </c>
      <c r="N5947" s="26" t="s">
        <v>13484</v>
      </c>
      <c r="O5947" s="22" t="str">
        <f>HYPERLINK("https://pbs.twimg.com/profile_images/912416829884309505/eGzzAc9-_normal.jpg","View")</f>
        <v>View</v>
      </c>
      <c r="P5947" s="27"/>
    </row>
    <row r="5948">
      <c r="A5948" s="14">
        <v>43031.38962962963</v>
      </c>
      <c r="B5948" s="20" t="str">
        <f>HYPERLINK("https://twitter.com/dehnnohz","@dehnnohz")</f>
        <v>@dehnnohz</v>
      </c>
      <c r="C5948" s="21" t="s">
        <v>13485</v>
      </c>
      <c r="D5948" s="21" t="s">
        <v>32</v>
      </c>
      <c r="E5948" s="22" t="str">
        <f>HYPERLINK("https://twitter.com/dehnnohz/status/922498115579473920","922498115579473920")</f>
        <v>922498115579473920</v>
      </c>
      <c r="F5948" s="23" t="s">
        <v>33</v>
      </c>
      <c r="G5948" s="24">
        <v>86.0</v>
      </c>
      <c r="H5948" s="24">
        <v>521.0</v>
      </c>
      <c r="I5948" s="24">
        <v>471.0</v>
      </c>
      <c r="J5948" s="24">
        <v>0.0</v>
      </c>
      <c r="K5948" s="23" t="s">
        <v>34</v>
      </c>
      <c r="L5948" s="25">
        <v>42898.48140046296</v>
      </c>
      <c r="M5948" s="26" t="s">
        <v>5118</v>
      </c>
      <c r="N5948" s="26" t="s">
        <v>13486</v>
      </c>
      <c r="O5948" s="22" t="str">
        <f>HYPERLINK("https://abs.twimg.com/sticky/default_profile_images/default_profile_normal.png","View")</f>
        <v>View</v>
      </c>
      <c r="P5948" s="27"/>
    </row>
    <row r="5949">
      <c r="A5949" s="14">
        <v>43031.38976851852</v>
      </c>
      <c r="B5949" s="20" t="str">
        <f>HYPERLINK("https://twitter.com/bluebirdtrini","@bluebirdtrini")</f>
        <v>@bluebirdtrini</v>
      </c>
      <c r="C5949" s="21" t="s">
        <v>11722</v>
      </c>
      <c r="D5949" s="21" t="s">
        <v>12480</v>
      </c>
      <c r="E5949" s="22" t="str">
        <f>HYPERLINK("https://twitter.com/bluebirdtrini/status/922498165147828225","922498165147828225")</f>
        <v>922498165147828225</v>
      </c>
      <c r="F5949" s="23" t="s">
        <v>55</v>
      </c>
      <c r="G5949" s="24">
        <v>412.0</v>
      </c>
      <c r="H5949" s="24">
        <v>1051.0</v>
      </c>
      <c r="I5949" s="24">
        <v>8.0</v>
      </c>
      <c r="J5949" s="24">
        <v>0.0</v>
      </c>
      <c r="K5949" s="23" t="s">
        <v>34</v>
      </c>
      <c r="L5949" s="25">
        <v>40475.62746527778</v>
      </c>
      <c r="M5949" s="26" t="s">
        <v>11724</v>
      </c>
      <c r="N5949" s="26" t="s">
        <v>11725</v>
      </c>
      <c r="O5949" s="22" t="str">
        <f>HYPERLINK("https://pbs.twimg.com/profile_images/879733500773113856/Zywm_1I5_normal.jpg","View")</f>
        <v>View</v>
      </c>
      <c r="P5949" s="27"/>
    </row>
    <row r="5950">
      <c r="A5950" s="14">
        <v>43031.38979166667</v>
      </c>
      <c r="B5950" s="20" t="str">
        <f>HYPERLINK("https://twitter.com/Ramrajj143","@Ramrajj143")</f>
        <v>@Ramrajj143</v>
      </c>
      <c r="C5950" s="21" t="s">
        <v>13487</v>
      </c>
      <c r="D5950" s="21" t="s">
        <v>42</v>
      </c>
      <c r="E5950" s="22" t="str">
        <f>HYPERLINK("https://twitter.com/Ramrajj143/status/922498175750909952","922498175750909952")</f>
        <v>922498175750909952</v>
      </c>
      <c r="F5950" s="23" t="s">
        <v>33</v>
      </c>
      <c r="G5950" s="24">
        <v>86.0</v>
      </c>
      <c r="H5950" s="24">
        <v>311.0</v>
      </c>
      <c r="I5950" s="24">
        <v>8501.0</v>
      </c>
      <c r="J5950" s="24">
        <v>0.0</v>
      </c>
      <c r="K5950" s="23" t="s">
        <v>34</v>
      </c>
      <c r="L5950" s="25">
        <v>42742.74355324074</v>
      </c>
      <c r="M5950" s="26" t="s">
        <v>167</v>
      </c>
      <c r="N5950" s="26" t="s">
        <v>13488</v>
      </c>
      <c r="O5950" s="22" t="str">
        <f>HYPERLINK("https://pbs.twimg.com/profile_images/874775265192189952/CK2KIwDb_normal.jpg","View")</f>
        <v>View</v>
      </c>
      <c r="P5950" s="27"/>
    </row>
    <row r="5951">
      <c r="A5951" s="14">
        <v>43031.389803240745</v>
      </c>
      <c r="B5951" s="20" t="str">
        <f>HYPERLINK("https://twitter.com/emico3473","@emico3473")</f>
        <v>@emico3473</v>
      </c>
      <c r="C5951" s="21" t="s">
        <v>13489</v>
      </c>
      <c r="D5951" s="21" t="s">
        <v>13119</v>
      </c>
      <c r="E5951" s="22" t="str">
        <f>HYPERLINK("https://twitter.com/emico3473/status/922498177017589760","922498177017589760")</f>
        <v>922498177017589760</v>
      </c>
      <c r="F5951" s="23" t="s">
        <v>39</v>
      </c>
      <c r="G5951" s="24">
        <v>189.0</v>
      </c>
      <c r="H5951" s="24">
        <v>178.0</v>
      </c>
      <c r="I5951" s="24">
        <v>6.0</v>
      </c>
      <c r="J5951" s="24">
        <v>0.0</v>
      </c>
      <c r="K5951" s="23" t="s">
        <v>34</v>
      </c>
      <c r="L5951" s="25">
        <v>40946.99886574074</v>
      </c>
      <c r="M5951" s="26" t="s">
        <v>13490</v>
      </c>
      <c r="N5951" s="26" t="s">
        <v>13491</v>
      </c>
      <c r="O5951" s="22" t="str">
        <f>HYPERLINK("https://pbs.twimg.com/profile_images/586907996740984832/u1K43ZMP_normal.jpg","View")</f>
        <v>View</v>
      </c>
      <c r="P5951" s="27"/>
    </row>
    <row r="5952">
      <c r="A5952" s="14">
        <v>43031.38995370371</v>
      </c>
      <c r="B5952" s="20" t="str">
        <f>HYPERLINK("https://twitter.com/AOgolla","@AOgolla")</f>
        <v>@AOgolla</v>
      </c>
      <c r="C5952" s="21" t="s">
        <v>13492</v>
      </c>
      <c r="D5952" s="21" t="s">
        <v>32</v>
      </c>
      <c r="E5952" s="22" t="str">
        <f>HYPERLINK("https://twitter.com/AOgolla/status/922498234270011393","922498234270011393")</f>
        <v>922498234270011393</v>
      </c>
      <c r="F5952" s="23" t="s">
        <v>33</v>
      </c>
      <c r="G5952" s="24">
        <v>497.0</v>
      </c>
      <c r="H5952" s="24">
        <v>542.0</v>
      </c>
      <c r="I5952" s="24">
        <v>471.0</v>
      </c>
      <c r="J5952" s="24">
        <v>0.0</v>
      </c>
      <c r="K5952" s="23" t="s">
        <v>34</v>
      </c>
      <c r="L5952" s="25">
        <v>40729.330671296295</v>
      </c>
      <c r="M5952" s="26" t="s">
        <v>13493</v>
      </c>
      <c r="N5952" s="26" t="s">
        <v>13494</v>
      </c>
      <c r="O5952" s="22" t="str">
        <f>HYPERLINK("https://pbs.twimg.com/profile_images/895264972816748544/BP9WixeJ_normal.jpg","View")</f>
        <v>View</v>
      </c>
      <c r="P5952" s="27"/>
    </row>
    <row r="5953">
      <c r="A5953" s="14">
        <v>43031.39010416667</v>
      </c>
      <c r="B5953" s="20" t="str">
        <f>HYPERLINK("https://twitter.com/shellybetancour","@shellybetancour")</f>
        <v>@shellybetancour</v>
      </c>
      <c r="C5953" s="21" t="s">
        <v>13495</v>
      </c>
      <c r="D5953" s="21" t="s">
        <v>13295</v>
      </c>
      <c r="E5953" s="22" t="str">
        <f>HYPERLINK("https://twitter.com/shellybetancour/status/922498289194471424","922498289194471424")</f>
        <v>922498289194471424</v>
      </c>
      <c r="F5953" s="23" t="s">
        <v>39</v>
      </c>
      <c r="G5953" s="24">
        <v>345.0</v>
      </c>
      <c r="H5953" s="24">
        <v>1245.0</v>
      </c>
      <c r="I5953" s="24">
        <v>19.0</v>
      </c>
      <c r="J5953" s="24">
        <v>0.0</v>
      </c>
      <c r="K5953" s="23" t="s">
        <v>34</v>
      </c>
      <c r="L5953" s="25">
        <v>40246.79881944445</v>
      </c>
      <c r="M5953" s="28"/>
      <c r="N5953" s="28"/>
      <c r="O5953" s="22" t="str">
        <f>HYPERLINK("https://pbs.twimg.com/profile_images/825477821346750464/Bt7_cLZv_normal.jpg","View")</f>
        <v>View</v>
      </c>
      <c r="P5953" s="27"/>
    </row>
    <row r="5954">
      <c r="A5954" s="14">
        <v>43031.39023148148</v>
      </c>
      <c r="B5954" s="20" t="str">
        <f>HYPERLINK("https://twitter.com/EleniNumber5","@EleniNumber5")</f>
        <v>@EleniNumber5</v>
      </c>
      <c r="C5954" s="21" t="s">
        <v>922</v>
      </c>
      <c r="D5954" s="21" t="s">
        <v>12974</v>
      </c>
      <c r="E5954" s="22" t="str">
        <f>HYPERLINK("https://twitter.com/EleniNumber5/status/922498331296768000","922498331296768000")</f>
        <v>922498331296768000</v>
      </c>
      <c r="F5954" s="23" t="s">
        <v>39</v>
      </c>
      <c r="G5954" s="24">
        <v>498.0</v>
      </c>
      <c r="H5954" s="24">
        <v>580.0</v>
      </c>
      <c r="I5954" s="24">
        <v>110.0</v>
      </c>
      <c r="J5954" s="24">
        <v>0.0</v>
      </c>
      <c r="K5954" s="23" t="s">
        <v>34</v>
      </c>
      <c r="L5954" s="25">
        <v>42470.36984953703</v>
      </c>
      <c r="M5954" s="26" t="s">
        <v>923</v>
      </c>
      <c r="N5954" s="26" t="s">
        <v>924</v>
      </c>
      <c r="O5954" s="22" t="str">
        <f>HYPERLINK("https://pbs.twimg.com/profile_images/753917274650648577/2XBsqoqG_normal.jpg","View")</f>
        <v>View</v>
      </c>
      <c r="P5954" s="27"/>
    </row>
    <row r="5955">
      <c r="A5955" s="14">
        <v>43031.39040509259</v>
      </c>
      <c r="B5955" s="20" t="str">
        <f>HYPERLINK("https://twitter.com/DhruvMe25950474","@DhruvMe25950474")</f>
        <v>@DhruvMe25950474</v>
      </c>
      <c r="C5955" s="21" t="s">
        <v>13496</v>
      </c>
      <c r="D5955" s="21" t="s">
        <v>42</v>
      </c>
      <c r="E5955" s="22" t="str">
        <f>HYPERLINK("https://twitter.com/DhruvMe25950474/status/922498394399969280","922498394399969280")</f>
        <v>922498394399969280</v>
      </c>
      <c r="F5955" s="23" t="s">
        <v>33</v>
      </c>
      <c r="G5955" s="24">
        <v>76.0</v>
      </c>
      <c r="H5955" s="24">
        <v>318.0</v>
      </c>
      <c r="I5955" s="24">
        <v>8501.0</v>
      </c>
      <c r="J5955" s="24">
        <v>0.0</v>
      </c>
      <c r="K5955" s="23" t="s">
        <v>34</v>
      </c>
      <c r="L5955" s="25">
        <v>42985.004432870366</v>
      </c>
      <c r="M5955" s="26" t="s">
        <v>204</v>
      </c>
      <c r="N5955" s="26" t="s">
        <v>13497</v>
      </c>
      <c r="O5955" s="22" t="str">
        <f>HYPERLINK("https://pbs.twimg.com/profile_images/905693428586995712/Xs4oDt2o_normal.jpg","View")</f>
        <v>View</v>
      </c>
      <c r="P5955" s="27"/>
    </row>
    <row r="5956">
      <c r="A5956" s="14">
        <v>43031.39053240741</v>
      </c>
      <c r="B5956" s="20" t="str">
        <f>HYPERLINK("https://twitter.com/realJohnCurley","@realJohnCurley")</f>
        <v>@realJohnCurley</v>
      </c>
      <c r="C5956" s="21" t="s">
        <v>2267</v>
      </c>
      <c r="D5956" s="21" t="s">
        <v>13498</v>
      </c>
      <c r="E5956" s="22" t="str">
        <f>HYPERLINK("https://twitter.com/realJohnCurley/status/922498442102038536","922498442102038536")</f>
        <v>922498442102038536</v>
      </c>
      <c r="F5956" s="23" t="s">
        <v>55</v>
      </c>
      <c r="G5956" s="24">
        <v>368.0</v>
      </c>
      <c r="H5956" s="24">
        <v>5002.0</v>
      </c>
      <c r="I5956" s="24">
        <v>0.0</v>
      </c>
      <c r="J5956" s="24">
        <v>0.0</v>
      </c>
      <c r="K5956" s="23" t="s">
        <v>34</v>
      </c>
      <c r="L5956" s="25">
        <v>42784.230520833335</v>
      </c>
      <c r="M5956" s="26" t="s">
        <v>2269</v>
      </c>
      <c r="N5956" s="26" t="s">
        <v>2270</v>
      </c>
      <c r="O5956" s="22" t="str">
        <f>HYPERLINK("https://pbs.twimg.com/profile_images/858319935541354497/O-unoSpZ_normal.jpg","View")</f>
        <v>View</v>
      </c>
      <c r="P5956" s="27"/>
    </row>
    <row r="5957">
      <c r="A5957" s="14">
        <v>43031.39056712963</v>
      </c>
      <c r="B5957" s="20" t="str">
        <f>HYPERLINK("https://twitter.com/shashwat1992_sp","@shashwat1992_sp")</f>
        <v>@shashwat1992_sp</v>
      </c>
      <c r="C5957" s="21" t="s">
        <v>13499</v>
      </c>
      <c r="D5957" s="21" t="s">
        <v>42</v>
      </c>
      <c r="E5957" s="22" t="str">
        <f>HYPERLINK("https://twitter.com/shashwat1992_sp/status/922498455439732736","922498455439732736")</f>
        <v>922498455439732736</v>
      </c>
      <c r="F5957" s="23" t="s">
        <v>43</v>
      </c>
      <c r="G5957" s="24">
        <v>55.0</v>
      </c>
      <c r="H5957" s="24">
        <v>93.0</v>
      </c>
      <c r="I5957" s="24">
        <v>8501.0</v>
      </c>
      <c r="J5957" s="24">
        <v>0.0</v>
      </c>
      <c r="K5957" s="23" t="s">
        <v>34</v>
      </c>
      <c r="L5957" s="25">
        <v>41259.85394675926</v>
      </c>
      <c r="M5957" s="26" t="s">
        <v>13500</v>
      </c>
      <c r="N5957" s="26" t="s">
        <v>13501</v>
      </c>
      <c r="O5957" s="22" t="str">
        <f>HYPERLINK("https://pbs.twimg.com/profile_images/569044025693323264/5xpWj-to_normal.jpeg","View")</f>
        <v>View</v>
      </c>
      <c r="P5957" s="27"/>
    </row>
    <row r="5958">
      <c r="A5958" s="14">
        <v>43031.39064814815</v>
      </c>
      <c r="B5958" s="20" t="str">
        <f>HYPERLINK("https://twitter.com/randhirnegi9","@randhirnegi9")</f>
        <v>@randhirnegi9</v>
      </c>
      <c r="C5958" s="21" t="s">
        <v>13502</v>
      </c>
      <c r="D5958" s="21" t="s">
        <v>10614</v>
      </c>
      <c r="E5958" s="22" t="str">
        <f>HYPERLINK("https://twitter.com/randhirnegi9/status/922498485122883585","922498485122883585")</f>
        <v>922498485122883585</v>
      </c>
      <c r="F5958" s="23" t="s">
        <v>33</v>
      </c>
      <c r="G5958" s="24">
        <v>348.0</v>
      </c>
      <c r="H5958" s="24">
        <v>93.0</v>
      </c>
      <c r="I5958" s="24">
        <v>159.0</v>
      </c>
      <c r="J5958" s="24">
        <v>0.0</v>
      </c>
      <c r="K5958" s="23" t="s">
        <v>34</v>
      </c>
      <c r="L5958" s="25">
        <v>42202.42594907407</v>
      </c>
      <c r="M5958" s="26" t="s">
        <v>13503</v>
      </c>
      <c r="N5958" s="26" t="s">
        <v>13504</v>
      </c>
      <c r="O5958" s="22" t="str">
        <f>HYPERLINK("https://pbs.twimg.com/profile_images/767072323463766016/_3liJsjL_normal.jpg","View")</f>
        <v>View</v>
      </c>
      <c r="P5958" s="27"/>
    </row>
    <row r="5959">
      <c r="A5959" s="14">
        <v>43031.39065972222</v>
      </c>
      <c r="B5959" s="20" t="str">
        <f>HYPERLINK("https://twitter.com/SerendipitySays","@SerendipitySays")</f>
        <v>@SerendipitySays</v>
      </c>
      <c r="C5959" s="21" t="s">
        <v>13505</v>
      </c>
      <c r="D5959" s="21" t="s">
        <v>82</v>
      </c>
      <c r="E5959" s="22" t="str">
        <f>HYPERLINK("https://twitter.com/SerendipitySays/status/922498489208197121","922498489208197121")</f>
        <v>922498489208197121</v>
      </c>
      <c r="F5959" s="23" t="s">
        <v>55</v>
      </c>
      <c r="G5959" s="24">
        <v>1240.0</v>
      </c>
      <c r="H5959" s="24">
        <v>320.0</v>
      </c>
      <c r="I5959" s="24">
        <v>38.0</v>
      </c>
      <c r="J5959" s="24">
        <v>0.0</v>
      </c>
      <c r="K5959" s="23" t="s">
        <v>34</v>
      </c>
      <c r="L5959" s="25">
        <v>40265.47827546296</v>
      </c>
      <c r="M5959" s="26" t="s">
        <v>13506</v>
      </c>
      <c r="N5959" s="26" t="s">
        <v>13507</v>
      </c>
      <c r="O5959" s="22" t="str">
        <f>HYPERLINK("https://pbs.twimg.com/profile_images/806047860/Cropped_Portrait_Sketch_by_Azerisii_v.2_normal.jpg","View")</f>
        <v>View</v>
      </c>
      <c r="P5959" s="27"/>
    </row>
    <row r="5960">
      <c r="A5960" s="14">
        <v>43031.39099537037</v>
      </c>
      <c r="B5960" s="20" t="str">
        <f>HYPERLINK("https://twitter.com/RejoinTheWorld","@RejoinTheWorld")</f>
        <v>@RejoinTheWorld</v>
      </c>
      <c r="C5960" s="21" t="s">
        <v>13508</v>
      </c>
      <c r="D5960" s="21" t="s">
        <v>12974</v>
      </c>
      <c r="E5960" s="22" t="str">
        <f>HYPERLINK("https://twitter.com/RejoinTheWorld/status/922498608834007041","922498608834007041")</f>
        <v>922498608834007041</v>
      </c>
      <c r="F5960" s="23" t="s">
        <v>39</v>
      </c>
      <c r="G5960" s="24">
        <v>797.0</v>
      </c>
      <c r="H5960" s="24">
        <v>1289.0</v>
      </c>
      <c r="I5960" s="24">
        <v>110.0</v>
      </c>
      <c r="J5960" s="24">
        <v>0.0</v>
      </c>
      <c r="K5960" s="23" t="s">
        <v>34</v>
      </c>
      <c r="L5960" s="25">
        <v>42341.51203703704</v>
      </c>
      <c r="M5960" s="26" t="s">
        <v>708</v>
      </c>
      <c r="N5960" s="26" t="s">
        <v>13509</v>
      </c>
      <c r="O5960" s="22" t="str">
        <f>HYPERLINK("https://pbs.twimg.com/profile_images/806283568825729029/71WLG23c_normal.jpg","View")</f>
        <v>View</v>
      </c>
      <c r="P5960" s="27"/>
    </row>
    <row r="5961">
      <c r="A5961" s="14">
        <v>43031.39099537037</v>
      </c>
      <c r="B5961" s="20" t="str">
        <f>HYPERLINK("https://twitter.com/DebisiAraba","@DebisiAraba")</f>
        <v>@DebisiAraba</v>
      </c>
      <c r="C5961" s="34" t="s">
        <v>13510</v>
      </c>
      <c r="D5961" s="21" t="s">
        <v>13511</v>
      </c>
      <c r="E5961" s="22" t="str">
        <f>HYPERLINK("https://twitter.com/DebisiAraba/status/922498609077252096","922498609077252096")</f>
        <v>922498609077252096</v>
      </c>
      <c r="F5961" s="23" t="s">
        <v>55</v>
      </c>
      <c r="G5961" s="24">
        <v>919.0</v>
      </c>
      <c r="H5961" s="24">
        <v>843.0</v>
      </c>
      <c r="I5961" s="24">
        <v>0.0</v>
      </c>
      <c r="J5961" s="24">
        <v>0.0</v>
      </c>
      <c r="K5961" s="23" t="s">
        <v>34</v>
      </c>
      <c r="L5961" s="25">
        <v>40594.25434027778</v>
      </c>
      <c r="M5961" s="26" t="s">
        <v>114</v>
      </c>
      <c r="N5961" s="26" t="s">
        <v>13512</v>
      </c>
      <c r="O5961" s="22" t="str">
        <f>HYPERLINK("https://pbs.twimg.com/profile_images/724962403012743168/tUPN9OtV_normal.jpg","View")</f>
        <v>View</v>
      </c>
      <c r="P5961" s="27"/>
    </row>
    <row r="5962">
      <c r="A5962" s="14">
        <v>43031.39104166666</v>
      </c>
      <c r="B5962" s="20" t="str">
        <f>HYPERLINK("https://twitter.com/myduri17","@myduri17")</f>
        <v>@myduri17</v>
      </c>
      <c r="C5962" s="21" t="s">
        <v>13513</v>
      </c>
      <c r="D5962" s="21" t="s">
        <v>32</v>
      </c>
      <c r="E5962" s="22" t="str">
        <f>HYPERLINK("https://twitter.com/myduri17/status/922498625170702337","922498625170702337")</f>
        <v>922498625170702337</v>
      </c>
      <c r="F5962" s="23" t="s">
        <v>33</v>
      </c>
      <c r="G5962" s="24">
        <v>42.0</v>
      </c>
      <c r="H5962" s="24">
        <v>158.0</v>
      </c>
      <c r="I5962" s="24">
        <v>471.0</v>
      </c>
      <c r="J5962" s="24">
        <v>0.0</v>
      </c>
      <c r="K5962" s="23" t="s">
        <v>34</v>
      </c>
      <c r="L5962" s="25">
        <v>42802.214317129634</v>
      </c>
      <c r="M5962" s="26" t="s">
        <v>13514</v>
      </c>
      <c r="N5962" s="28"/>
      <c r="O5962" s="22" t="str">
        <f>HYPERLINK("https://pbs.twimg.com/profile_images/861155711430119425/os8N7MPN_normal.jpg","View")</f>
        <v>View</v>
      </c>
      <c r="P5962" s="27"/>
    </row>
    <row r="5963">
      <c r="A5963" s="14">
        <v>43031.391064814816</v>
      </c>
      <c r="B5963" s="20" t="str">
        <f>HYPERLINK("https://twitter.com/RobRe62","@RobRe62")</f>
        <v>@RobRe62</v>
      </c>
      <c r="C5963" s="21" t="s">
        <v>13515</v>
      </c>
      <c r="D5963" s="21" t="s">
        <v>6403</v>
      </c>
      <c r="E5963" s="22" t="str">
        <f>HYPERLINK("https://twitter.com/RobRe62/status/922498633714536448","922498633714536448")</f>
        <v>922498633714536448</v>
      </c>
      <c r="F5963" s="23" t="s">
        <v>13516</v>
      </c>
      <c r="G5963" s="24">
        <v>18723.0</v>
      </c>
      <c r="H5963" s="24">
        <v>3123.0</v>
      </c>
      <c r="I5963" s="24">
        <v>97.0</v>
      </c>
      <c r="J5963" s="24">
        <v>0.0</v>
      </c>
      <c r="K5963" s="23" t="s">
        <v>34</v>
      </c>
      <c r="L5963" s="25">
        <v>40409.12422453704</v>
      </c>
      <c r="M5963" s="26" t="s">
        <v>13517</v>
      </c>
      <c r="N5963" s="26" t="s">
        <v>13518</v>
      </c>
      <c r="O5963" s="22" t="str">
        <f>HYPERLINK("https://pbs.twimg.com/profile_images/886159127935930369/wVqSOuN5_normal.jpg","View")</f>
        <v>View</v>
      </c>
      <c r="P5963" s="27"/>
    </row>
    <row r="5964">
      <c r="A5964" s="14">
        <v>43031.391122685185</v>
      </c>
      <c r="B5964" s="20" t="str">
        <f>HYPERLINK("https://twitter.com/fearoffreedom","@fearoffreedom")</f>
        <v>@fearoffreedom</v>
      </c>
      <c r="C5964" s="21" t="s">
        <v>13519</v>
      </c>
      <c r="D5964" s="21" t="s">
        <v>42</v>
      </c>
      <c r="E5964" s="22" t="str">
        <f>HYPERLINK("https://twitter.com/fearoffreedom/status/922498657198284800","922498657198284800")</f>
        <v>922498657198284800</v>
      </c>
      <c r="F5964" s="23" t="s">
        <v>55</v>
      </c>
      <c r="G5964" s="24">
        <v>4166.0</v>
      </c>
      <c r="H5964" s="24">
        <v>623.0</v>
      </c>
      <c r="I5964" s="24">
        <v>8501.0</v>
      </c>
      <c r="J5964" s="24">
        <v>0.0</v>
      </c>
      <c r="K5964" s="23" t="s">
        <v>34</v>
      </c>
      <c r="L5964" s="25">
        <v>40052.17962962963</v>
      </c>
      <c r="M5964" s="26" t="s">
        <v>13520</v>
      </c>
      <c r="N5964" s="26" t="s">
        <v>13521</v>
      </c>
      <c r="O5964" s="22" t="str">
        <f>HYPERLINK("https://pbs.twimg.com/profile_images/914122043095867393/fK59SeMa_normal.jpg","View")</f>
        <v>View</v>
      </c>
      <c r="P5964" s="27"/>
    </row>
    <row r="5965">
      <c r="A5965" s="14">
        <v>43031.391180555554</v>
      </c>
      <c r="B5965" s="20" t="str">
        <f>HYPERLINK("https://twitter.com/coreyangio","@coreyangio")</f>
        <v>@coreyangio</v>
      </c>
      <c r="C5965" s="21" t="s">
        <v>13522</v>
      </c>
      <c r="D5965" s="21" t="s">
        <v>13523</v>
      </c>
      <c r="E5965" s="22" t="str">
        <f>HYPERLINK("https://twitter.com/coreyangio/status/922498677679288320","922498677679288320")</f>
        <v>922498677679288320</v>
      </c>
      <c r="F5965" s="23" t="s">
        <v>187</v>
      </c>
      <c r="G5965" s="24">
        <v>489.0</v>
      </c>
      <c r="H5965" s="24">
        <v>400.0</v>
      </c>
      <c r="I5965" s="24">
        <v>0.0</v>
      </c>
      <c r="J5965" s="24">
        <v>0.0</v>
      </c>
      <c r="K5965" s="23" t="s">
        <v>34</v>
      </c>
      <c r="L5965" s="25">
        <v>41274.14991898148</v>
      </c>
      <c r="M5965" s="26" t="s">
        <v>13524</v>
      </c>
      <c r="N5965" s="26" t="s">
        <v>13525</v>
      </c>
      <c r="O5965" s="22" t="str">
        <f>HYPERLINK("https://pbs.twimg.com/profile_images/3045686337/3157245a79e8274419ece8e47aa99814_normal.jpeg","View")</f>
        <v>View</v>
      </c>
      <c r="P5965" s="27"/>
    </row>
    <row r="5966">
      <c r="A5966" s="14">
        <v>43031.391550925924</v>
      </c>
      <c r="B5966" s="20" t="str">
        <f>HYPERLINK("https://twitter.com/sanjaygobind","@sanjaygobind")</f>
        <v>@sanjaygobind</v>
      </c>
      <c r="C5966" s="21" t="s">
        <v>10724</v>
      </c>
      <c r="D5966" s="21" t="s">
        <v>42</v>
      </c>
      <c r="E5966" s="22" t="str">
        <f>HYPERLINK("https://twitter.com/sanjaygobind/status/922498813020880896","922498813020880896")</f>
        <v>922498813020880896</v>
      </c>
      <c r="F5966" s="23" t="s">
        <v>39</v>
      </c>
      <c r="G5966" s="24">
        <v>30684.0</v>
      </c>
      <c r="H5966" s="24">
        <v>31030.0</v>
      </c>
      <c r="I5966" s="24">
        <v>8501.0</v>
      </c>
      <c r="J5966" s="24">
        <v>0.0</v>
      </c>
      <c r="K5966" s="23" t="s">
        <v>34</v>
      </c>
      <c r="L5966" s="25">
        <v>41793.39178240741</v>
      </c>
      <c r="M5966" s="28"/>
      <c r="N5966" s="28"/>
      <c r="O5966" s="22" t="str">
        <f>HYPERLINK("https://pbs.twimg.com/profile_images/473870918968549376/94lMHZGT_normal.jpeg","View")</f>
        <v>View</v>
      </c>
      <c r="P5966" s="27"/>
    </row>
    <row r="5967">
      <c r="A5967" s="14">
        <v>43031.39167824074</v>
      </c>
      <c r="B5967" s="20" t="str">
        <f>HYPERLINK("https://twitter.com/ducoexperts","@ducoexperts")</f>
        <v>@ducoexperts</v>
      </c>
      <c r="C5967" s="21" t="s">
        <v>13526</v>
      </c>
      <c r="D5967" s="21" t="s">
        <v>7198</v>
      </c>
      <c r="E5967" s="22" t="str">
        <f>HYPERLINK("https://twitter.com/ducoexperts/status/922498857652461573","922498857652461573")</f>
        <v>922498857652461573</v>
      </c>
      <c r="F5967" s="23" t="s">
        <v>55</v>
      </c>
      <c r="G5967" s="24">
        <v>589.0</v>
      </c>
      <c r="H5967" s="24">
        <v>1163.0</v>
      </c>
      <c r="I5967" s="24">
        <v>11.0</v>
      </c>
      <c r="J5967" s="24">
        <v>0.0</v>
      </c>
      <c r="K5967" s="23" t="s">
        <v>34</v>
      </c>
      <c r="L5967" s="25">
        <v>42495.352997685186</v>
      </c>
      <c r="M5967" s="26" t="s">
        <v>4920</v>
      </c>
      <c r="N5967" s="26" t="s">
        <v>13527</v>
      </c>
      <c r="O5967" s="22" t="str">
        <f>HYPERLINK("https://pbs.twimg.com/profile_images/789655089816428545/fWtCCxTV_normal.jpg","View")</f>
        <v>View</v>
      </c>
      <c r="P5967" s="27"/>
    </row>
    <row r="5968">
      <c r="A5968" s="14">
        <v>43031.391793981486</v>
      </c>
      <c r="B5968" s="20" t="str">
        <f>HYPERLINK("https://twitter.com/Kiteh_Kawasaki","@Kiteh_Kawasaki")</f>
        <v>@Kiteh_Kawasaki</v>
      </c>
      <c r="C5968" s="21" t="s">
        <v>13528</v>
      </c>
      <c r="D5968" s="21" t="s">
        <v>13529</v>
      </c>
      <c r="E5968" s="22" t="str">
        <f>HYPERLINK("https://twitter.com/Kiteh_Kawasaki/status/922498897733337089","922498897733337089")</f>
        <v>922498897733337089</v>
      </c>
      <c r="F5968" s="23" t="s">
        <v>55</v>
      </c>
      <c r="G5968" s="24">
        <v>6732.0</v>
      </c>
      <c r="H5968" s="24">
        <v>6571.0</v>
      </c>
      <c r="I5968" s="24">
        <v>6.0</v>
      </c>
      <c r="J5968" s="24">
        <v>0.0</v>
      </c>
      <c r="K5968" s="23" t="s">
        <v>34</v>
      </c>
      <c r="L5968" s="25">
        <v>42219.692870370374</v>
      </c>
      <c r="M5968" s="26" t="s">
        <v>13530</v>
      </c>
      <c r="N5968" s="26" t="s">
        <v>13531</v>
      </c>
      <c r="O5968" s="22" t="str">
        <f>HYPERLINK("https://pbs.twimg.com/profile_images/799523549132292096/dJUR9hYN_normal.jpg","View")</f>
        <v>View</v>
      </c>
      <c r="P5968" s="27"/>
    </row>
    <row r="5969">
      <c r="A5969" s="14">
        <v>43031.391805555555</v>
      </c>
      <c r="B5969" s="20" t="str">
        <f>HYPERLINK("https://twitter.com/mukesh2748","@mukesh2748")</f>
        <v>@mukesh2748</v>
      </c>
      <c r="C5969" s="21" t="s">
        <v>13532</v>
      </c>
      <c r="D5969" s="21" t="s">
        <v>42</v>
      </c>
      <c r="E5969" s="22" t="str">
        <f>HYPERLINK("https://twitter.com/mukesh2748/status/922498904373039104","922498904373039104")</f>
        <v>922498904373039104</v>
      </c>
      <c r="F5969" s="23" t="s">
        <v>33</v>
      </c>
      <c r="G5969" s="24">
        <v>209.0</v>
      </c>
      <c r="H5969" s="24">
        <v>269.0</v>
      </c>
      <c r="I5969" s="24">
        <v>8501.0</v>
      </c>
      <c r="J5969" s="24">
        <v>0.0</v>
      </c>
      <c r="K5969" s="23" t="s">
        <v>34</v>
      </c>
      <c r="L5969" s="25">
        <v>41122.27533564815</v>
      </c>
      <c r="M5969" s="26" t="s">
        <v>204</v>
      </c>
      <c r="N5969" s="26" t="s">
        <v>13533</v>
      </c>
      <c r="O5969" s="22" t="str">
        <f>HYPERLINK("https://pbs.twimg.com/profile_images/918165665797869568/13AVHgz9_normal.jpg","View")</f>
        <v>View</v>
      </c>
      <c r="P5969" s="27"/>
    </row>
    <row r="5970">
      <c r="A5970" s="14">
        <v>43031.39185185185</v>
      </c>
      <c r="B5970" s="20" t="str">
        <f>HYPERLINK("https://twitter.com/TrumpFirehose","@TrumpFirehose")</f>
        <v>@TrumpFirehose</v>
      </c>
      <c r="C5970" s="21" t="s">
        <v>13534</v>
      </c>
      <c r="D5970" s="21" t="s">
        <v>13535</v>
      </c>
      <c r="E5970" s="22" t="str">
        <f>HYPERLINK("https://twitter.com/TrumpFirehose/status/922498921150238722","922498921150238722")</f>
        <v>922498921150238722</v>
      </c>
      <c r="F5970" s="23" t="s">
        <v>13534</v>
      </c>
      <c r="G5970" s="24">
        <v>80.0</v>
      </c>
      <c r="H5970" s="24">
        <v>1.0</v>
      </c>
      <c r="I5970" s="24">
        <v>0.0</v>
      </c>
      <c r="J5970" s="24">
        <v>0.0</v>
      </c>
      <c r="K5970" s="23" t="s">
        <v>34</v>
      </c>
      <c r="L5970" s="25">
        <v>42634.614328703705</v>
      </c>
      <c r="M5970" s="28"/>
      <c r="N5970" s="26" t="s">
        <v>13536</v>
      </c>
      <c r="O5970" s="22" t="str">
        <f>HYPERLINK("https://pbs.twimg.com/profile_images/778799296153919488/f53MO6xf_normal.jpg","View")</f>
        <v>View</v>
      </c>
      <c r="P5970" s="27"/>
    </row>
    <row r="5971">
      <c r="A5971" s="14">
        <v>43031.391909722224</v>
      </c>
      <c r="B5971" s="20" t="str">
        <f>HYPERLINK("https://twitter.com/sandeep782000","@sandeep782000")</f>
        <v>@sandeep782000</v>
      </c>
      <c r="C5971" s="21" t="s">
        <v>13537</v>
      </c>
      <c r="D5971" s="21" t="s">
        <v>42</v>
      </c>
      <c r="E5971" s="22" t="str">
        <f>HYPERLINK("https://twitter.com/sandeep782000/status/922498941215825924","922498941215825924")</f>
        <v>922498941215825924</v>
      </c>
      <c r="F5971" s="23" t="s">
        <v>33</v>
      </c>
      <c r="G5971" s="24">
        <v>176.0</v>
      </c>
      <c r="H5971" s="24">
        <v>1857.0</v>
      </c>
      <c r="I5971" s="24">
        <v>8501.0</v>
      </c>
      <c r="J5971" s="24">
        <v>0.0</v>
      </c>
      <c r="K5971" s="23" t="s">
        <v>34</v>
      </c>
      <c r="L5971" s="25">
        <v>40608.09</v>
      </c>
      <c r="M5971" s="28"/>
      <c r="N5971" s="26" t="s">
        <v>13538</v>
      </c>
      <c r="O5971" s="22" t="str">
        <f>HYPERLINK("https://pbs.twimg.com/profile_images/893760910648500224/L75ZuP5W_normal.jpg","View")</f>
        <v>View</v>
      </c>
      <c r="P5971" s="27"/>
    </row>
    <row r="5972">
      <c r="A5972" s="14">
        <v>43031.391921296294</v>
      </c>
      <c r="B5972" s="20" t="str">
        <f>HYPERLINK("https://twitter.com/shreya2600","@shreya2600")</f>
        <v>@shreya2600</v>
      </c>
      <c r="C5972" s="21" t="s">
        <v>13539</v>
      </c>
      <c r="D5972" s="21" t="s">
        <v>42</v>
      </c>
      <c r="E5972" s="22" t="str">
        <f>HYPERLINK("https://twitter.com/shreya2600/status/922498945120550912","922498945120550912")</f>
        <v>922498945120550912</v>
      </c>
      <c r="F5972" s="23" t="s">
        <v>33</v>
      </c>
      <c r="G5972" s="24">
        <v>35.0</v>
      </c>
      <c r="H5972" s="24">
        <v>50.0</v>
      </c>
      <c r="I5972" s="24">
        <v>8501.0</v>
      </c>
      <c r="J5972" s="24">
        <v>0.0</v>
      </c>
      <c r="K5972" s="23" t="s">
        <v>34</v>
      </c>
      <c r="L5972" s="25">
        <v>41110.26116898148</v>
      </c>
      <c r="M5972" s="28"/>
      <c r="N5972" s="26" t="s">
        <v>13540</v>
      </c>
      <c r="O5972" s="22" t="str">
        <f>HYPERLINK("https://pbs.twimg.com/profile_images/832642175812853761/2YTCC-xh_normal.jpg","View")</f>
        <v>View</v>
      </c>
      <c r="P5972" s="27"/>
    </row>
    <row r="5973">
      <c r="A5973" s="14">
        <v>43031.391921296294</v>
      </c>
      <c r="B5973" s="20" t="str">
        <f>HYPERLINK("https://twitter.com/ArturLozano","@ArturLozano")</f>
        <v>@ArturLozano</v>
      </c>
      <c r="C5973" s="21" t="s">
        <v>13541</v>
      </c>
      <c r="D5973" s="21" t="s">
        <v>13542</v>
      </c>
      <c r="E5973" s="22" t="str">
        <f>HYPERLINK("https://twitter.com/ArturLozano/status/922498946924253185","922498946924253185")</f>
        <v>922498946924253185</v>
      </c>
      <c r="F5973" s="23" t="s">
        <v>4595</v>
      </c>
      <c r="G5973" s="24">
        <v>314.0</v>
      </c>
      <c r="H5973" s="24">
        <v>178.0</v>
      </c>
      <c r="I5973" s="24">
        <v>0.0</v>
      </c>
      <c r="J5973" s="24">
        <v>0.0</v>
      </c>
      <c r="K5973" s="23" t="s">
        <v>34</v>
      </c>
      <c r="L5973" s="25">
        <v>40561.07065972222</v>
      </c>
      <c r="M5973" s="26" t="s">
        <v>13543</v>
      </c>
      <c r="N5973" s="26" t="s">
        <v>13544</v>
      </c>
      <c r="O5973" s="22" t="str">
        <f>HYPERLINK("https://pbs.twimg.com/profile_images/701514407399006208/rggoU1xO_normal.jpg","View")</f>
        <v>View</v>
      </c>
      <c r="P5973" s="27"/>
    </row>
    <row r="5974">
      <c r="A5974" s="14">
        <v>43031.39197916667</v>
      </c>
      <c r="B5974" s="20" t="str">
        <f>HYPERLINK("https://twitter.com/Mahipaldendor1","@Mahipaldendor1")</f>
        <v>@Mahipaldendor1</v>
      </c>
      <c r="C5974" s="21" t="s">
        <v>13545</v>
      </c>
      <c r="D5974" s="21" t="s">
        <v>42</v>
      </c>
      <c r="E5974" s="22" t="str">
        <f>HYPERLINK("https://twitter.com/Mahipaldendor1/status/922498966876508165","922498966876508165")</f>
        <v>922498966876508165</v>
      </c>
      <c r="F5974" s="23" t="s">
        <v>33</v>
      </c>
      <c r="G5974" s="24">
        <v>13.0</v>
      </c>
      <c r="H5974" s="24">
        <v>175.0</v>
      </c>
      <c r="I5974" s="24">
        <v>8501.0</v>
      </c>
      <c r="J5974" s="24">
        <v>0.0</v>
      </c>
      <c r="K5974" s="23" t="s">
        <v>34</v>
      </c>
      <c r="L5974" s="25">
        <v>43024.9272337963</v>
      </c>
      <c r="M5974" s="28"/>
      <c r="N5974" s="28"/>
      <c r="O5974" s="22" t="str">
        <f>HYPERLINK("https://abs.twimg.com/sticky/default_profile_images/default_profile_normal.png","View")</f>
        <v>View</v>
      </c>
      <c r="P5974" s="27"/>
    </row>
    <row r="5975">
      <c r="A5975" s="14">
        <v>43031.39199074074</v>
      </c>
      <c r="B5975" s="20" t="str">
        <f>HYPERLINK("https://twitter.com/syouhigenzei","@syouhigenzei")</f>
        <v>@syouhigenzei</v>
      </c>
      <c r="C5975" s="21" t="s">
        <v>13546</v>
      </c>
      <c r="D5975" s="21" t="s">
        <v>12974</v>
      </c>
      <c r="E5975" s="22" t="str">
        <f>HYPERLINK("https://twitter.com/syouhigenzei/status/922498970697351169","922498970697351169")</f>
        <v>922498970697351169</v>
      </c>
      <c r="F5975" s="23" t="s">
        <v>43</v>
      </c>
      <c r="G5975" s="24">
        <v>172.0</v>
      </c>
      <c r="H5975" s="24">
        <v>70.0</v>
      </c>
      <c r="I5975" s="24">
        <v>110.0</v>
      </c>
      <c r="J5975" s="24">
        <v>0.0</v>
      </c>
      <c r="K5975" s="23" t="s">
        <v>34</v>
      </c>
      <c r="L5975" s="25">
        <v>42273.413252314815</v>
      </c>
      <c r="M5975" s="28"/>
      <c r="N5975" s="26" t="s">
        <v>13547</v>
      </c>
      <c r="O5975" s="22" t="str">
        <f>HYPERLINK("https://pbs.twimg.com/profile_images/892133132832391169/95evH2Ra_normal.jpg","View")</f>
        <v>View</v>
      </c>
      <c r="P5975" s="27"/>
    </row>
    <row r="5976">
      <c r="A5976" s="14">
        <v>43031.39225694444</v>
      </c>
      <c r="B5976" s="20" t="str">
        <f>HYPERLINK("https://twitter.com/japansociety","@japansociety")</f>
        <v>@japansociety</v>
      </c>
      <c r="C5976" s="21" t="s">
        <v>13548</v>
      </c>
      <c r="D5976" s="21" t="s">
        <v>6917</v>
      </c>
      <c r="E5976" s="22" t="str">
        <f>HYPERLINK("https://twitter.com/japansociety/status/922499069196623872","922499069196623872")</f>
        <v>922499069196623872</v>
      </c>
      <c r="F5976" s="23" t="s">
        <v>55</v>
      </c>
      <c r="G5976" s="24">
        <v>76378.0</v>
      </c>
      <c r="H5976" s="24">
        <v>1416.0</v>
      </c>
      <c r="I5976" s="24">
        <v>8.0</v>
      </c>
      <c r="J5976" s="24">
        <v>0.0</v>
      </c>
      <c r="K5976" s="23" t="s">
        <v>34</v>
      </c>
      <c r="L5976" s="25">
        <v>39667.50396990741</v>
      </c>
      <c r="M5976" s="26" t="s">
        <v>120</v>
      </c>
      <c r="N5976" s="26" t="s">
        <v>13549</v>
      </c>
      <c r="O5976" s="22" t="str">
        <f>HYPERLINK("https://pbs.twimg.com/profile_images/302604300/JS_Facade_Sternau_normal.JPG","View")</f>
        <v>View</v>
      </c>
      <c r="P5976" s="27"/>
    </row>
    <row r="5977">
      <c r="A5977" s="14">
        <v>43031.39226851852</v>
      </c>
      <c r="B5977" s="20" t="str">
        <f>HYPERLINK("https://twitter.com/anshulcool1985","@anshulcool1985")</f>
        <v>@anshulcool1985</v>
      </c>
      <c r="C5977" s="21" t="s">
        <v>13550</v>
      </c>
      <c r="D5977" s="21" t="s">
        <v>42</v>
      </c>
      <c r="E5977" s="22" t="str">
        <f>HYPERLINK("https://twitter.com/anshulcool1985/status/922499072803586048","922499072803586048")</f>
        <v>922499072803586048</v>
      </c>
      <c r="F5977" s="23" t="s">
        <v>33</v>
      </c>
      <c r="G5977" s="24">
        <v>553.0</v>
      </c>
      <c r="H5977" s="24">
        <v>234.0</v>
      </c>
      <c r="I5977" s="24">
        <v>8501.0</v>
      </c>
      <c r="J5977" s="24">
        <v>0.0</v>
      </c>
      <c r="K5977" s="23" t="s">
        <v>34</v>
      </c>
      <c r="L5977" s="25">
        <v>40280.46496527777</v>
      </c>
      <c r="M5977" s="26" t="s">
        <v>13551</v>
      </c>
      <c r="N5977" s="26" t="s">
        <v>13552</v>
      </c>
      <c r="O5977" s="22" t="str">
        <f>HYPERLINK("https://pbs.twimg.com/profile_images/770920723284107266/1KMm1ZyO_normal.jpg","View")</f>
        <v>View</v>
      </c>
      <c r="P5977" s="27"/>
    </row>
    <row r="5978">
      <c r="A5978" s="14">
        <v>43031.39233796296</v>
      </c>
      <c r="B5978" s="20" t="str">
        <f>HYPERLINK("https://twitter.com/japansociety","@japansociety")</f>
        <v>@japansociety</v>
      </c>
      <c r="C5978" s="21" t="s">
        <v>13548</v>
      </c>
      <c r="D5978" s="21" t="s">
        <v>5786</v>
      </c>
      <c r="E5978" s="22" t="str">
        <f>HYPERLINK("https://twitter.com/japansociety/status/922499098317590529","922499098317590529")</f>
        <v>922499098317590529</v>
      </c>
      <c r="F5978" s="23" t="s">
        <v>55</v>
      </c>
      <c r="G5978" s="24">
        <v>76378.0</v>
      </c>
      <c r="H5978" s="24">
        <v>1416.0</v>
      </c>
      <c r="I5978" s="24">
        <v>59.0</v>
      </c>
      <c r="J5978" s="24">
        <v>0.0</v>
      </c>
      <c r="K5978" s="23" t="s">
        <v>34</v>
      </c>
      <c r="L5978" s="25">
        <v>39667.50396990741</v>
      </c>
      <c r="M5978" s="26" t="s">
        <v>120</v>
      </c>
      <c r="N5978" s="26" t="s">
        <v>13549</v>
      </c>
      <c r="O5978" s="22" t="str">
        <f>HYPERLINK("https://pbs.twimg.com/profile_images/302604300/JS_Facade_Sternau_normal.JPG","View")</f>
        <v>View</v>
      </c>
      <c r="P5978" s="27"/>
    </row>
    <row r="5979">
      <c r="A5979" s="14">
        <v>43031.39260416667</v>
      </c>
      <c r="B5979" s="20" t="str">
        <f>HYPERLINK("https://twitter.com/familycope","@familycope")</f>
        <v>@familycope</v>
      </c>
      <c r="C5979" s="21" t="s">
        <v>13553</v>
      </c>
      <c r="D5979" s="21" t="s">
        <v>12974</v>
      </c>
      <c r="E5979" s="22" t="str">
        <f>HYPERLINK("https://twitter.com/familycope/status/922499191452168193","922499191452168193")</f>
        <v>922499191452168193</v>
      </c>
      <c r="F5979" s="23" t="s">
        <v>33</v>
      </c>
      <c r="G5979" s="24">
        <v>546.0</v>
      </c>
      <c r="H5979" s="24">
        <v>539.0</v>
      </c>
      <c r="I5979" s="24">
        <v>110.0</v>
      </c>
      <c r="J5979" s="24">
        <v>0.0</v>
      </c>
      <c r="K5979" s="23" t="s">
        <v>34</v>
      </c>
      <c r="L5979" s="25">
        <v>40499.56780092593</v>
      </c>
      <c r="M5979" s="26" t="s">
        <v>13554</v>
      </c>
      <c r="N5979" s="26" t="s">
        <v>13555</v>
      </c>
      <c r="O5979" s="22" t="str">
        <f>HYPERLINK("https://pbs.twimg.com/profile_images/914797867516219397/Nx42VB1j_normal.jpg","View")</f>
        <v>View</v>
      </c>
      <c r="P5979" s="27"/>
    </row>
    <row r="5980">
      <c r="A5980" s="14">
        <v>43031.39268518519</v>
      </c>
      <c r="B5980" s="20" t="str">
        <f>HYPERLINK("https://twitter.com/konar_akash","@konar_akash")</f>
        <v>@konar_akash</v>
      </c>
      <c r="C5980" s="21" t="s">
        <v>13556</v>
      </c>
      <c r="D5980" s="21" t="s">
        <v>42</v>
      </c>
      <c r="E5980" s="22" t="str">
        <f>HYPERLINK("https://twitter.com/konar_akash/status/922499222192078849","922499222192078849")</f>
        <v>922499222192078849</v>
      </c>
      <c r="F5980" s="23" t="s">
        <v>33</v>
      </c>
      <c r="G5980" s="24">
        <v>39.0</v>
      </c>
      <c r="H5980" s="24">
        <v>175.0</v>
      </c>
      <c r="I5980" s="24">
        <v>8501.0</v>
      </c>
      <c r="J5980" s="24">
        <v>0.0</v>
      </c>
      <c r="K5980" s="23" t="s">
        <v>34</v>
      </c>
      <c r="L5980" s="25">
        <v>42648.473495370374</v>
      </c>
      <c r="M5980" s="26" t="s">
        <v>13557</v>
      </c>
      <c r="N5980" s="26" t="s">
        <v>13558</v>
      </c>
      <c r="O5980" s="22" t="str">
        <f>HYPERLINK("https://pbs.twimg.com/profile_images/831777627635589120/HxfIlPNV_normal.jpg","View")</f>
        <v>View</v>
      </c>
      <c r="P5980" s="27"/>
    </row>
    <row r="5981">
      <c r="A5981" s="14">
        <v>43031.392789351856</v>
      </c>
      <c r="B5981" s="20" t="str">
        <f>HYPERLINK("https://twitter.com/anil2653","@anil2653")</f>
        <v>@anil2653</v>
      </c>
      <c r="C5981" s="21" t="s">
        <v>13559</v>
      </c>
      <c r="D5981" s="21" t="s">
        <v>163</v>
      </c>
      <c r="E5981" s="22" t="str">
        <f>HYPERLINK("https://twitter.com/anil2653/status/922499260205035520","922499260205035520")</f>
        <v>922499260205035520</v>
      </c>
      <c r="F5981" s="23" t="s">
        <v>2289</v>
      </c>
      <c r="G5981" s="24">
        <v>226.0</v>
      </c>
      <c r="H5981" s="24">
        <v>49.0</v>
      </c>
      <c r="I5981" s="24">
        <v>1005.0</v>
      </c>
      <c r="J5981" s="24">
        <v>0.0</v>
      </c>
      <c r="K5981" s="23" t="s">
        <v>34</v>
      </c>
      <c r="L5981" s="25">
        <v>40791.41211805555</v>
      </c>
      <c r="M5981" s="26" t="s">
        <v>1991</v>
      </c>
      <c r="N5981" s="26" t="s">
        <v>13560</v>
      </c>
      <c r="O5981" s="22" t="str">
        <f>HYPERLINK("https://pbs.twimg.com/profile_images/686884915447631872/qVbxvlEK_normal.jpg","View")</f>
        <v>View</v>
      </c>
      <c r="P5981" s="27"/>
    </row>
    <row r="5982">
      <c r="A5982" s="14">
        <v>43031.392800925925</v>
      </c>
      <c r="B5982" s="20" t="str">
        <f>HYPERLINK("https://twitter.com/IMBarunDkl","@IMBarunDkl")</f>
        <v>@IMBarunDkl</v>
      </c>
      <c r="C5982" s="21" t="s">
        <v>13561</v>
      </c>
      <c r="D5982" s="21" t="s">
        <v>42</v>
      </c>
      <c r="E5982" s="22" t="str">
        <f>HYPERLINK("https://twitter.com/IMBarunDkl/status/922499264793649152","922499264793649152")</f>
        <v>922499264793649152</v>
      </c>
      <c r="F5982" s="23" t="s">
        <v>33</v>
      </c>
      <c r="G5982" s="24">
        <v>1341.0</v>
      </c>
      <c r="H5982" s="24">
        <v>3913.0</v>
      </c>
      <c r="I5982" s="24">
        <v>8501.0</v>
      </c>
      <c r="J5982" s="24">
        <v>0.0</v>
      </c>
      <c r="K5982" s="23" t="s">
        <v>34</v>
      </c>
      <c r="L5982" s="25">
        <v>42170.95451388889</v>
      </c>
      <c r="M5982" s="26" t="s">
        <v>13562</v>
      </c>
      <c r="N5982" s="26" t="s">
        <v>13563</v>
      </c>
      <c r="O5982" s="22" t="str">
        <f>HYPERLINK("https://pbs.twimg.com/profile_images/825772828406358017/iAfDfmWR_normal.jpg","View")</f>
        <v>View</v>
      </c>
      <c r="P5982" s="27"/>
    </row>
    <row r="5983">
      <c r="A5983" s="14">
        <v>43031.392858796295</v>
      </c>
      <c r="B5983" s="20" t="str">
        <f>HYPERLINK("https://twitter.com/IvanRF1","@IvanRF1")</f>
        <v>@IvanRF1</v>
      </c>
      <c r="C5983" s="21" t="s">
        <v>13564</v>
      </c>
      <c r="D5983" s="21" t="s">
        <v>5786</v>
      </c>
      <c r="E5983" s="22" t="str">
        <f>HYPERLINK("https://twitter.com/IvanRF1/status/922499284133666822","922499284133666822")</f>
        <v>922499284133666822</v>
      </c>
      <c r="F5983" s="23" t="s">
        <v>55</v>
      </c>
      <c r="G5983" s="24">
        <v>222.0</v>
      </c>
      <c r="H5983" s="24">
        <v>165.0</v>
      </c>
      <c r="I5983" s="24">
        <v>59.0</v>
      </c>
      <c r="J5983" s="24">
        <v>0.0</v>
      </c>
      <c r="K5983" s="23" t="s">
        <v>34</v>
      </c>
      <c r="L5983" s="25">
        <v>40805.33820601852</v>
      </c>
      <c r="M5983" s="26" t="s">
        <v>3090</v>
      </c>
      <c r="N5983" s="26" t="s">
        <v>13565</v>
      </c>
      <c r="O5983" s="22" t="str">
        <f>HYPERLINK("https://pbs.twimg.com/profile_images/1550165627/metropolis_normal.jpg","View")</f>
        <v>View</v>
      </c>
      <c r="P5983" s="27"/>
    </row>
    <row r="5984">
      <c r="A5984" s="14">
        <v>43031.392858796295</v>
      </c>
      <c r="B5984" s="20" t="str">
        <f>HYPERLINK("https://twitter.com/_mnsg","@_mnsg")</f>
        <v>@_mnsg</v>
      </c>
      <c r="C5984" s="21" t="s">
        <v>13566</v>
      </c>
      <c r="D5984" s="21" t="s">
        <v>42</v>
      </c>
      <c r="E5984" s="22" t="str">
        <f>HYPERLINK("https://twitter.com/_mnsg/status/922499286520143872","922499286520143872")</f>
        <v>922499286520143872</v>
      </c>
      <c r="F5984" s="23" t="s">
        <v>33</v>
      </c>
      <c r="G5984" s="24">
        <v>679.0</v>
      </c>
      <c r="H5984" s="24">
        <v>255.0</v>
      </c>
      <c r="I5984" s="24">
        <v>8501.0</v>
      </c>
      <c r="J5984" s="24">
        <v>0.0</v>
      </c>
      <c r="K5984" s="23" t="s">
        <v>34</v>
      </c>
      <c r="L5984" s="25">
        <v>40114.427152777775</v>
      </c>
      <c r="M5984" s="26" t="s">
        <v>13567</v>
      </c>
      <c r="N5984" s="26" t="s">
        <v>13568</v>
      </c>
      <c r="O5984" s="22" t="str">
        <f>HYPERLINK("https://pbs.twimg.com/profile_images/908330386937102336/gCm7BJiL_normal.jpg","View")</f>
        <v>View</v>
      </c>
      <c r="P5984" s="27"/>
    </row>
    <row r="5985">
      <c r="A5985" s="14">
        <v>43031.39292824074</v>
      </c>
      <c r="B5985" s="20" t="str">
        <f>HYPERLINK("https://twitter.com/protest_global","@protest_global")</f>
        <v>@protest_global</v>
      </c>
      <c r="C5985" s="21" t="s">
        <v>13569</v>
      </c>
      <c r="D5985" s="21" t="s">
        <v>13570</v>
      </c>
      <c r="E5985" s="22" t="str">
        <f>HYPERLINK("https://twitter.com/protest_global/status/922499312432631808","922499312432631808")</f>
        <v>922499312432631808</v>
      </c>
      <c r="F5985" s="23" t="s">
        <v>187</v>
      </c>
      <c r="G5985" s="24">
        <v>101.0</v>
      </c>
      <c r="H5985" s="24">
        <v>0.0</v>
      </c>
      <c r="I5985" s="24">
        <v>0.0</v>
      </c>
      <c r="J5985" s="24">
        <v>0.0</v>
      </c>
      <c r="K5985" s="23" t="s">
        <v>34</v>
      </c>
      <c r="L5985" s="25">
        <v>42138.328668981485</v>
      </c>
      <c r="M5985" s="28"/>
      <c r="N5985" s="28"/>
      <c r="O5985" s="22" t="str">
        <f>HYPERLINK("https://pbs.twimg.com/profile_images/598868431383887873/szSDKE2P_normal.jpg","View")</f>
        <v>View</v>
      </c>
      <c r="P5985" s="27"/>
    </row>
    <row r="5986">
      <c r="A5986" s="14">
        <v>43031.39344907408</v>
      </c>
      <c r="B5986" s="20" t="str">
        <f>HYPERLINK("https://twitter.com/Arunkumar4584","@Arunkumar4584")</f>
        <v>@Arunkumar4584</v>
      </c>
      <c r="C5986" s="21" t="s">
        <v>13571</v>
      </c>
      <c r="D5986" s="21" t="s">
        <v>42</v>
      </c>
      <c r="E5986" s="22" t="str">
        <f>HYPERLINK("https://twitter.com/Arunkumar4584/status/922499498735259648","922499498735259648")</f>
        <v>922499498735259648</v>
      </c>
      <c r="F5986" s="23" t="s">
        <v>33</v>
      </c>
      <c r="G5986" s="24">
        <v>167.0</v>
      </c>
      <c r="H5986" s="24">
        <v>152.0</v>
      </c>
      <c r="I5986" s="24">
        <v>8501.0</v>
      </c>
      <c r="J5986" s="24">
        <v>0.0</v>
      </c>
      <c r="K5986" s="23" t="s">
        <v>34</v>
      </c>
      <c r="L5986" s="25">
        <v>42647.21552083333</v>
      </c>
      <c r="M5986" s="28"/>
      <c r="N5986" s="26" t="s">
        <v>13572</v>
      </c>
      <c r="O5986" s="22" t="str">
        <f>HYPERLINK("https://pbs.twimg.com/profile_images/885215404116779008/EBV6KWCZ_normal.jpg","View")</f>
        <v>View</v>
      </c>
      <c r="P5986" s="27"/>
    </row>
    <row r="5987">
      <c r="A5987" s="14">
        <v>43031.393587962964</v>
      </c>
      <c r="B5987" s="20" t="str">
        <f>HYPERLINK("https://twitter.com/HanishKVC","@HanishKVC")</f>
        <v>@HanishKVC</v>
      </c>
      <c r="C5987" s="21" t="s">
        <v>13573</v>
      </c>
      <c r="D5987" s="21" t="s">
        <v>42</v>
      </c>
      <c r="E5987" s="22" t="str">
        <f>HYPERLINK("https://twitter.com/HanishKVC/status/922499549268234242","922499549268234242")</f>
        <v>922499549268234242</v>
      </c>
      <c r="F5987" s="23" t="s">
        <v>33</v>
      </c>
      <c r="G5987" s="24">
        <v>62.0</v>
      </c>
      <c r="H5987" s="24">
        <v>225.0</v>
      </c>
      <c r="I5987" s="24">
        <v>8501.0</v>
      </c>
      <c r="J5987" s="24">
        <v>0.0</v>
      </c>
      <c r="K5987" s="23" t="s">
        <v>34</v>
      </c>
      <c r="L5987" s="25">
        <v>41688.53630787037</v>
      </c>
      <c r="M5987" s="26" t="s">
        <v>13574</v>
      </c>
      <c r="N5987" s="26" t="s">
        <v>13575</v>
      </c>
      <c r="O5987" s="22" t="str">
        <f>HYPERLINK("https://pbs.twimg.com/profile_images/435894816484765696/Lf-GlHSI_normal.jpeg","View")</f>
        <v>View</v>
      </c>
      <c r="P5987" s="27"/>
    </row>
    <row r="5988">
      <c r="A5988" s="14">
        <v>43031.393634259264</v>
      </c>
      <c r="B5988" s="20" t="str">
        <f>HYPERLINK("https://twitter.com/mRishabhTiwari","@mRishabhTiwari")</f>
        <v>@mRishabhTiwari</v>
      </c>
      <c r="C5988" s="21" t="s">
        <v>13576</v>
      </c>
      <c r="D5988" s="21" t="s">
        <v>42</v>
      </c>
      <c r="E5988" s="22" t="str">
        <f>HYPERLINK("https://twitter.com/mRishabhTiwari/status/922499568092119040","922499568092119040")</f>
        <v>922499568092119040</v>
      </c>
      <c r="F5988" s="23" t="s">
        <v>33</v>
      </c>
      <c r="G5988" s="24">
        <v>28.0</v>
      </c>
      <c r="H5988" s="24">
        <v>126.0</v>
      </c>
      <c r="I5988" s="24">
        <v>8501.0</v>
      </c>
      <c r="J5988" s="24">
        <v>0.0</v>
      </c>
      <c r="K5988" s="23" t="s">
        <v>34</v>
      </c>
      <c r="L5988" s="25">
        <v>42685.53019675926</v>
      </c>
      <c r="M5988" s="26" t="s">
        <v>2335</v>
      </c>
      <c r="N5988" s="26" t="s">
        <v>13577</v>
      </c>
      <c r="O5988" s="22" t="str">
        <f>HYPERLINK("https://pbs.twimg.com/profile_images/884487267242332160/u52tOqHA_normal.jpg","View")</f>
        <v>View</v>
      </c>
      <c r="P5988" s="27"/>
    </row>
    <row r="5989">
      <c r="A5989" s="14">
        <v>43031.393645833334</v>
      </c>
      <c r="B5989" s="20" t="str">
        <f>HYPERLINK("https://twitter.com/karigar01","@karigar01")</f>
        <v>@karigar01</v>
      </c>
      <c r="C5989" s="21" t="s">
        <v>13578</v>
      </c>
      <c r="D5989" s="21" t="s">
        <v>42</v>
      </c>
      <c r="E5989" s="22" t="str">
        <f>HYPERLINK("https://twitter.com/karigar01/status/922499569686077446","922499569686077446")</f>
        <v>922499569686077446</v>
      </c>
      <c r="F5989" s="23" t="s">
        <v>55</v>
      </c>
      <c r="G5989" s="24">
        <v>155.0</v>
      </c>
      <c r="H5989" s="24">
        <v>71.0</v>
      </c>
      <c r="I5989" s="24">
        <v>8501.0</v>
      </c>
      <c r="J5989" s="24">
        <v>0.0</v>
      </c>
      <c r="K5989" s="23" t="s">
        <v>34</v>
      </c>
      <c r="L5989" s="25">
        <v>40095.841516203705</v>
      </c>
      <c r="M5989" s="28"/>
      <c r="N5989" s="26" t="s">
        <v>13579</v>
      </c>
      <c r="O5989" s="22" t="str">
        <f>HYPERLINK("https://pbs.twimg.com/profile_images/3352814017/a148c51d4211bd31986c4a5b19eacd83_normal.jpeg","View")</f>
        <v>View</v>
      </c>
      <c r="P5989" s="27"/>
    </row>
    <row r="5990">
      <c r="A5990" s="14">
        <v>43031.393645833334</v>
      </c>
      <c r="B5990" s="20" t="str">
        <f>HYPERLINK("https://twitter.com/shashiboss","@shashiboss")</f>
        <v>@shashiboss</v>
      </c>
      <c r="C5990" s="21" t="s">
        <v>13580</v>
      </c>
      <c r="D5990" s="21" t="s">
        <v>42</v>
      </c>
      <c r="E5990" s="22" t="str">
        <f>HYPERLINK("https://twitter.com/shashiboss/status/922499572450066432","922499572450066432")</f>
        <v>922499572450066432</v>
      </c>
      <c r="F5990" s="23" t="s">
        <v>33</v>
      </c>
      <c r="G5990" s="24">
        <v>36.0</v>
      </c>
      <c r="H5990" s="24">
        <v>32.0</v>
      </c>
      <c r="I5990" s="24">
        <v>8501.0</v>
      </c>
      <c r="J5990" s="24">
        <v>0.0</v>
      </c>
      <c r="K5990" s="23" t="s">
        <v>34</v>
      </c>
      <c r="L5990" s="25">
        <v>40934.935162037036</v>
      </c>
      <c r="M5990" s="28"/>
      <c r="N5990" s="28"/>
      <c r="O5990" s="22" t="str">
        <f>HYPERLINK("https://pbs.twimg.com/profile_images/862576837922353152/-brl-4s5_normal.jpg","View")</f>
        <v>View</v>
      </c>
      <c r="P5990" s="27"/>
    </row>
    <row r="5991">
      <c r="A5991" s="14">
        <v>43031.39371527778</v>
      </c>
      <c r="B5991" s="20" t="str">
        <f>HYPERLINK("https://twitter.com/ADipabhai","@ADipabhai")</f>
        <v>@ADipabhai</v>
      </c>
      <c r="C5991" s="21" t="s">
        <v>13581</v>
      </c>
      <c r="D5991" s="21" t="s">
        <v>42</v>
      </c>
      <c r="E5991" s="22" t="str">
        <f>HYPERLINK("https://twitter.com/ADipabhai/status/922499594092552192","922499594092552192")</f>
        <v>922499594092552192</v>
      </c>
      <c r="F5991" s="23" t="s">
        <v>33</v>
      </c>
      <c r="G5991" s="24">
        <v>299.0</v>
      </c>
      <c r="H5991" s="24">
        <v>330.0</v>
      </c>
      <c r="I5991" s="24">
        <v>8501.0</v>
      </c>
      <c r="J5991" s="24">
        <v>0.0</v>
      </c>
      <c r="K5991" s="23" t="s">
        <v>34</v>
      </c>
      <c r="L5991" s="25">
        <v>42350.18425925926</v>
      </c>
      <c r="M5991" s="26" t="s">
        <v>142</v>
      </c>
      <c r="N5991" s="26" t="s">
        <v>13582</v>
      </c>
      <c r="O5991" s="22" t="str">
        <f>HYPERLINK("https://pbs.twimg.com/profile_images/894926857342078977/448lHHLh_normal.jpg","View")</f>
        <v>View</v>
      </c>
      <c r="P5991" s="27"/>
    </row>
    <row r="5992">
      <c r="A5992" s="14">
        <v>43031.39386574074</v>
      </c>
      <c r="B5992" s="20" t="str">
        <f>HYPERLINK("https://twitter.com/giapmos","@giapmos")</f>
        <v>@giapmos</v>
      </c>
      <c r="C5992" s="21" t="s">
        <v>13583</v>
      </c>
      <c r="D5992" s="21" t="s">
        <v>13584</v>
      </c>
      <c r="E5992" s="22" t="str">
        <f>HYPERLINK("https://twitter.com/giapmos/status/922499648224419840","922499648224419840")</f>
        <v>922499648224419840</v>
      </c>
      <c r="F5992" s="23" t="s">
        <v>55</v>
      </c>
      <c r="G5992" s="24">
        <v>707.0</v>
      </c>
      <c r="H5992" s="24">
        <v>2486.0</v>
      </c>
      <c r="I5992" s="24">
        <v>0.0</v>
      </c>
      <c r="J5992" s="24">
        <v>0.0</v>
      </c>
      <c r="K5992" s="23" t="s">
        <v>34</v>
      </c>
      <c r="L5992" s="25">
        <v>40572.23546296296</v>
      </c>
      <c r="M5992" s="28"/>
      <c r="N5992" s="26" t="s">
        <v>13585</v>
      </c>
      <c r="O5992" s="22" t="str">
        <f>HYPERLINK("https://pbs.twimg.com/profile_images/613707787776991232/rXeBjezM_normal.jpg","View")</f>
        <v>View</v>
      </c>
      <c r="P5992" s="27"/>
    </row>
    <row r="5993">
      <c r="A5993" s="14">
        <v>43031.393958333334</v>
      </c>
      <c r="B5993" s="20" t="str">
        <f>HYPERLINK("https://twitter.com/opengl_pr","@opengl_pr")</f>
        <v>@opengl_pr</v>
      </c>
      <c r="C5993" s="21" t="s">
        <v>13586</v>
      </c>
      <c r="D5993" s="21" t="s">
        <v>11747</v>
      </c>
      <c r="E5993" s="22" t="str">
        <f>HYPERLINK("https://twitter.com/opengl_pr/status/922499684966588416","922499684966588416")</f>
        <v>922499684966588416</v>
      </c>
      <c r="F5993" s="23" t="s">
        <v>13587</v>
      </c>
      <c r="G5993" s="24">
        <v>162.0</v>
      </c>
      <c r="H5993" s="24">
        <v>69.0</v>
      </c>
      <c r="I5993" s="24">
        <v>6.0</v>
      </c>
      <c r="J5993" s="24">
        <v>0.0</v>
      </c>
      <c r="K5993" s="23" t="s">
        <v>34</v>
      </c>
      <c r="L5993" s="25">
        <v>42998.43046296296</v>
      </c>
      <c r="M5993" s="26" t="s">
        <v>2068</v>
      </c>
      <c r="N5993" s="26" t="s">
        <v>13588</v>
      </c>
      <c r="O5993" s="22" t="str">
        <f>HYPERLINK("https://pbs.twimg.com/profile_images/910596951879581696/HdsBIFZ9_normal.jpg","View")</f>
        <v>View</v>
      </c>
      <c r="P5993" s="27"/>
    </row>
    <row r="5994">
      <c r="A5994" s="14">
        <v>43031.39399305556</v>
      </c>
      <c r="B5994" s="20" t="str">
        <f>HYPERLINK("https://twitter.com/dubeysachin799","@dubeysachin799")</f>
        <v>@dubeysachin799</v>
      </c>
      <c r="C5994" s="21" t="s">
        <v>13589</v>
      </c>
      <c r="D5994" s="21" t="s">
        <v>42</v>
      </c>
      <c r="E5994" s="22" t="str">
        <f>HYPERLINK("https://twitter.com/dubeysachin799/status/922499697008357376","922499697008357376")</f>
        <v>922499697008357376</v>
      </c>
      <c r="F5994" s="23" t="s">
        <v>33</v>
      </c>
      <c r="G5994" s="24">
        <v>56.0</v>
      </c>
      <c r="H5994" s="24">
        <v>207.0</v>
      </c>
      <c r="I5994" s="24">
        <v>8501.0</v>
      </c>
      <c r="J5994" s="24">
        <v>0.0</v>
      </c>
      <c r="K5994" s="23" t="s">
        <v>34</v>
      </c>
      <c r="L5994" s="25">
        <v>41820.34731481482</v>
      </c>
      <c r="M5994" s="26" t="s">
        <v>1156</v>
      </c>
      <c r="N5994" s="26" t="s">
        <v>13590</v>
      </c>
      <c r="O5994" s="22" t="str">
        <f>HYPERLINK("https://pbs.twimg.com/profile_images/868066843348541441/Z-NatYv9_normal.jpg","View")</f>
        <v>View</v>
      </c>
      <c r="P5994" s="27"/>
    </row>
    <row r="5995">
      <c r="A5995" s="14">
        <v>43031.39421296296</v>
      </c>
      <c r="B5995" s="20" t="str">
        <f>HYPERLINK("https://twitter.com/JustMerell","@JustMerell")</f>
        <v>@JustMerell</v>
      </c>
      <c r="C5995" s="21" t="s">
        <v>13591</v>
      </c>
      <c r="D5995" s="21" t="s">
        <v>6917</v>
      </c>
      <c r="E5995" s="22" t="str">
        <f>HYPERLINK("https://twitter.com/JustMerell/status/922499776020733953","922499776020733953")</f>
        <v>922499776020733953</v>
      </c>
      <c r="F5995" s="23" t="s">
        <v>55</v>
      </c>
      <c r="G5995" s="24">
        <v>111.0</v>
      </c>
      <c r="H5995" s="24">
        <v>161.0</v>
      </c>
      <c r="I5995" s="24">
        <v>8.0</v>
      </c>
      <c r="J5995" s="24">
        <v>0.0</v>
      </c>
      <c r="K5995" s="23" t="s">
        <v>34</v>
      </c>
      <c r="L5995" s="25">
        <v>42366.29491898148</v>
      </c>
      <c r="M5995" s="26" t="s">
        <v>13592</v>
      </c>
      <c r="N5995" s="26" t="s">
        <v>13593</v>
      </c>
      <c r="O5995" s="22" t="str">
        <f>HYPERLINK("https://pbs.twimg.com/profile_images/888364145946636288/2jCWSsVS_normal.jpg","View")</f>
        <v>View</v>
      </c>
      <c r="P5995" s="27"/>
    </row>
    <row r="5996">
      <c r="A5996" s="14">
        <v>43031.394328703704</v>
      </c>
      <c r="B5996" s="20" t="str">
        <f>HYPERLINK("https://twitter.com/Rahul_Rajput__","@Rahul_Rajput__")</f>
        <v>@Rahul_Rajput__</v>
      </c>
      <c r="C5996" s="21" t="s">
        <v>13594</v>
      </c>
      <c r="D5996" s="21" t="s">
        <v>42</v>
      </c>
      <c r="E5996" s="22" t="str">
        <f>HYPERLINK("https://twitter.com/Rahul_Rajput__/status/922499816285859840","922499816285859840")</f>
        <v>922499816285859840</v>
      </c>
      <c r="F5996" s="23" t="s">
        <v>33</v>
      </c>
      <c r="G5996" s="24">
        <v>6315.0</v>
      </c>
      <c r="H5996" s="24">
        <v>5498.0</v>
      </c>
      <c r="I5996" s="24">
        <v>8501.0</v>
      </c>
      <c r="J5996" s="24">
        <v>0.0</v>
      </c>
      <c r="K5996" s="23" t="s">
        <v>34</v>
      </c>
      <c r="L5996" s="25">
        <v>42621.19263888889</v>
      </c>
      <c r="M5996" s="26" t="s">
        <v>13595</v>
      </c>
      <c r="N5996" s="26" t="s">
        <v>13596</v>
      </c>
      <c r="O5996" s="22" t="str">
        <f>HYPERLINK("https://pbs.twimg.com/profile_images/921675095814283265/6XKmT8uS_normal.jpg","View")</f>
        <v>View</v>
      </c>
      <c r="P5996" s="27"/>
    </row>
    <row r="5997">
      <c r="A5997" s="14">
        <v>43031.39440972223</v>
      </c>
      <c r="B5997" s="20" t="str">
        <f>HYPERLINK("https://twitter.com/ravirgurjar","@ravirgurjar")</f>
        <v>@ravirgurjar</v>
      </c>
      <c r="C5997" s="21" t="s">
        <v>13597</v>
      </c>
      <c r="D5997" s="21" t="s">
        <v>42</v>
      </c>
      <c r="E5997" s="22" t="str">
        <f>HYPERLINK("https://twitter.com/ravirgurjar/status/922499846627577857","922499846627577857")</f>
        <v>922499846627577857</v>
      </c>
      <c r="F5997" s="23" t="s">
        <v>33</v>
      </c>
      <c r="G5997" s="24">
        <v>3991.0</v>
      </c>
      <c r="H5997" s="24">
        <v>50.0</v>
      </c>
      <c r="I5997" s="24">
        <v>8501.0</v>
      </c>
      <c r="J5997" s="24">
        <v>0.0</v>
      </c>
      <c r="K5997" s="23" t="s">
        <v>34</v>
      </c>
      <c r="L5997" s="25">
        <v>42194.03760416667</v>
      </c>
      <c r="M5997" s="26" t="s">
        <v>13598</v>
      </c>
      <c r="N5997" s="26" t="s">
        <v>13599</v>
      </c>
      <c r="O5997" s="22" t="str">
        <f>HYPERLINK("https://pbs.twimg.com/profile_images/919317695291682817/0ccRCpA9_normal.jpg","View")</f>
        <v>View</v>
      </c>
      <c r="P5997" s="27"/>
    </row>
    <row r="5998">
      <c r="A5998" s="14">
        <v>43031.394479166665</v>
      </c>
      <c r="B5998" s="20" t="str">
        <f>HYPERLINK("https://twitter.com/AkashSi47468499","@AkashSi47468499")</f>
        <v>@AkashSi47468499</v>
      </c>
      <c r="C5998" s="21" t="s">
        <v>13600</v>
      </c>
      <c r="D5998" s="21" t="s">
        <v>42</v>
      </c>
      <c r="E5998" s="22" t="str">
        <f>HYPERLINK("https://twitter.com/AkashSi47468499/status/922499871063539717","922499871063539717")</f>
        <v>922499871063539717</v>
      </c>
      <c r="F5998" s="23" t="s">
        <v>33</v>
      </c>
      <c r="G5998" s="24">
        <v>22.0</v>
      </c>
      <c r="H5998" s="24">
        <v>148.0</v>
      </c>
      <c r="I5998" s="24">
        <v>8501.0</v>
      </c>
      <c r="J5998" s="24">
        <v>0.0</v>
      </c>
      <c r="K5998" s="23" t="s">
        <v>34</v>
      </c>
      <c r="L5998" s="25">
        <v>42215.353009259255</v>
      </c>
      <c r="M5998" s="26" t="s">
        <v>1714</v>
      </c>
      <c r="N5998" s="28"/>
      <c r="O5998" s="22" t="str">
        <f>HYPERLINK("https://pbs.twimg.com/profile_images/724880510586118145/YnTHpXeW_normal.jpg","View")</f>
        <v>View</v>
      </c>
      <c r="P5998" s="27"/>
    </row>
    <row r="5999">
      <c r="A5999" s="14">
        <v>43031.39454861111</v>
      </c>
      <c r="B5999" s="20" t="str">
        <f>HYPERLINK("https://twitter.com/dhanda1967","@dhanda1967")</f>
        <v>@dhanda1967</v>
      </c>
      <c r="C5999" s="21" t="s">
        <v>13601</v>
      </c>
      <c r="D5999" s="21" t="s">
        <v>42</v>
      </c>
      <c r="E5999" s="22" t="str">
        <f>HYPERLINK("https://twitter.com/dhanda1967/status/922499896212570113","922499896212570113")</f>
        <v>922499896212570113</v>
      </c>
      <c r="F5999" s="23" t="s">
        <v>33</v>
      </c>
      <c r="G5999" s="24">
        <v>55.0</v>
      </c>
      <c r="H5999" s="24">
        <v>469.0</v>
      </c>
      <c r="I5999" s="24">
        <v>8501.0</v>
      </c>
      <c r="J5999" s="24">
        <v>0.0</v>
      </c>
      <c r="K5999" s="23" t="s">
        <v>34</v>
      </c>
      <c r="L5999" s="25">
        <v>40684.72670138889</v>
      </c>
      <c r="M5999" s="28"/>
      <c r="N5999" s="26" t="s">
        <v>13602</v>
      </c>
      <c r="O5999" s="22" t="str">
        <f>HYPERLINK("https://abs.twimg.com/sticky/default_profile_images/default_profile_normal.png","View")</f>
        <v>View</v>
      </c>
      <c r="P5999" s="27"/>
    </row>
    <row r="6000">
      <c r="A6000" s="14">
        <v>43031.394583333335</v>
      </c>
      <c r="B6000" s="20" t="str">
        <f>HYPERLINK("https://twitter.com/sumeshmishra","@sumeshmishra")</f>
        <v>@sumeshmishra</v>
      </c>
      <c r="C6000" s="21" t="s">
        <v>13603</v>
      </c>
      <c r="D6000" s="21" t="s">
        <v>42</v>
      </c>
      <c r="E6000" s="22" t="str">
        <f>HYPERLINK("https://twitter.com/sumeshmishra/status/922499909227384832","922499909227384832")</f>
        <v>922499909227384832</v>
      </c>
      <c r="F6000" s="23" t="s">
        <v>33</v>
      </c>
      <c r="G6000" s="24">
        <v>48.0</v>
      </c>
      <c r="H6000" s="24">
        <v>35.0</v>
      </c>
      <c r="I6000" s="24">
        <v>8501.0</v>
      </c>
      <c r="J6000" s="24">
        <v>0.0</v>
      </c>
      <c r="K6000" s="23" t="s">
        <v>34</v>
      </c>
      <c r="L6000" s="25">
        <v>40655.117731481485</v>
      </c>
      <c r="M6000" s="26" t="s">
        <v>4605</v>
      </c>
      <c r="N6000" s="28"/>
      <c r="O6000" s="22" t="str">
        <f>HYPERLINK("https://pbs.twimg.com/profile_images/921667868541968384/DorrDXRJ_normal.jpg","View")</f>
        <v>View</v>
      </c>
      <c r="P6000" s="27"/>
    </row>
    <row r="6001">
      <c r="A6001" s="14">
        <v>43031.394583333335</v>
      </c>
      <c r="B6001" s="20" t="str">
        <f>HYPERLINK("https://twitter.com/ahana_kha","@ahana_kha")</f>
        <v>@ahana_kha</v>
      </c>
      <c r="C6001" s="21" t="s">
        <v>13604</v>
      </c>
      <c r="D6001" s="21" t="s">
        <v>42</v>
      </c>
      <c r="E6001" s="22" t="str">
        <f>HYPERLINK("https://twitter.com/ahana_kha/status/922499911861411842","922499911861411842")</f>
        <v>922499911861411842</v>
      </c>
      <c r="F6001" s="23" t="s">
        <v>33</v>
      </c>
      <c r="G6001" s="24">
        <v>32.0</v>
      </c>
      <c r="H6001" s="24">
        <v>126.0</v>
      </c>
      <c r="I6001" s="24">
        <v>8501.0</v>
      </c>
      <c r="J6001" s="24">
        <v>0.0</v>
      </c>
      <c r="K6001" s="23" t="s">
        <v>34</v>
      </c>
      <c r="L6001" s="25">
        <v>42790.95725694444</v>
      </c>
      <c r="M6001" s="26" t="s">
        <v>3707</v>
      </c>
      <c r="N6001" s="28"/>
      <c r="O6001" s="22" t="str">
        <f>HYPERLINK("https://pbs.twimg.com/profile_images/835387126816526336/yida-5oW_normal.jpg","View")</f>
        <v>View</v>
      </c>
      <c r="P6001" s="27"/>
    </row>
    <row r="6002">
      <c r="A6002" s="14">
        <v>43031.39465277777</v>
      </c>
      <c r="B6002" s="20" t="str">
        <f>HYPERLINK("https://twitter.com/BabushkaThe","@BabushkaThe")</f>
        <v>@BabushkaThe</v>
      </c>
      <c r="C6002" s="21" t="s">
        <v>13605</v>
      </c>
      <c r="D6002" s="21" t="s">
        <v>12974</v>
      </c>
      <c r="E6002" s="22" t="str">
        <f>HYPERLINK("https://twitter.com/BabushkaThe/status/922499934909337600","922499934909337600")</f>
        <v>922499934909337600</v>
      </c>
      <c r="F6002" s="23" t="s">
        <v>39</v>
      </c>
      <c r="G6002" s="24">
        <v>352.0</v>
      </c>
      <c r="H6002" s="24">
        <v>948.0</v>
      </c>
      <c r="I6002" s="24">
        <v>110.0</v>
      </c>
      <c r="J6002" s="24">
        <v>0.0</v>
      </c>
      <c r="K6002" s="23" t="s">
        <v>34</v>
      </c>
      <c r="L6002" s="25">
        <v>42403.56359953704</v>
      </c>
      <c r="M6002" s="26" t="s">
        <v>13606</v>
      </c>
      <c r="N6002" s="26" t="s">
        <v>13607</v>
      </c>
      <c r="O6002" s="22" t="str">
        <f>HYPERLINK("https://pbs.twimg.com/profile_images/873873878925271041/Mizuu1CY_normal.jpg","View")</f>
        <v>View</v>
      </c>
      <c r="P6002" s="27"/>
    </row>
    <row r="6003">
      <c r="A6003" s="14">
        <v>43031.3946875</v>
      </c>
      <c r="B6003" s="20" t="str">
        <f>HYPERLINK("https://twitter.com/mehtabinoy31","@mehtabinoy31")</f>
        <v>@mehtabinoy31</v>
      </c>
      <c r="C6003" s="21" t="s">
        <v>13608</v>
      </c>
      <c r="D6003" s="21" t="s">
        <v>42</v>
      </c>
      <c r="E6003" s="22" t="str">
        <f>HYPERLINK("https://twitter.com/mehtabinoy31/status/922499946552573952","922499946552573952")</f>
        <v>922499946552573952</v>
      </c>
      <c r="F6003" s="23" t="s">
        <v>33</v>
      </c>
      <c r="G6003" s="24">
        <v>363.0</v>
      </c>
      <c r="H6003" s="24">
        <v>367.0</v>
      </c>
      <c r="I6003" s="24">
        <v>8501.0</v>
      </c>
      <c r="J6003" s="24">
        <v>0.0</v>
      </c>
      <c r="K6003" s="23" t="s">
        <v>34</v>
      </c>
      <c r="L6003" s="25">
        <v>41944.14910879629</v>
      </c>
      <c r="M6003" s="26" t="s">
        <v>227</v>
      </c>
      <c r="N6003" s="26" t="s">
        <v>13609</v>
      </c>
      <c r="O6003" s="22" t="str">
        <f>HYPERLINK("https://pbs.twimg.com/profile_images/754400901570392064/6fxGK_9h_normal.jpg","View")</f>
        <v>View</v>
      </c>
      <c r="P6003" s="27"/>
    </row>
    <row r="6004">
      <c r="A6004" s="14">
        <v>43031.39497685185</v>
      </c>
      <c r="B6004" s="20" t="str">
        <f>HYPERLINK("https://twitter.com/SumitKu37060868","@SumitKu37060868")</f>
        <v>@SumitKu37060868</v>
      </c>
      <c r="C6004" s="21" t="s">
        <v>13610</v>
      </c>
      <c r="D6004" s="21" t="s">
        <v>42</v>
      </c>
      <c r="E6004" s="22" t="str">
        <f>HYPERLINK("https://twitter.com/SumitKu37060868/status/922500052886568960","922500052886568960")</f>
        <v>922500052886568960</v>
      </c>
      <c r="F6004" s="23" t="s">
        <v>33</v>
      </c>
      <c r="G6004" s="24">
        <v>19.0</v>
      </c>
      <c r="H6004" s="24">
        <v>39.0</v>
      </c>
      <c r="I6004" s="24">
        <v>8501.0</v>
      </c>
      <c r="J6004" s="24">
        <v>0.0</v>
      </c>
      <c r="K6004" s="23" t="s">
        <v>34</v>
      </c>
      <c r="L6004" s="25">
        <v>43022.153437500005</v>
      </c>
      <c r="M6004" s="26" t="s">
        <v>3115</v>
      </c>
      <c r="N6004" s="26" t="s">
        <v>13611</v>
      </c>
      <c r="O6004" s="22" t="str">
        <f>HYPERLINK("https://pbs.twimg.com/profile_images/919154988441407488/pmSGZ5sE_normal.jpg","View")</f>
        <v>View</v>
      </c>
      <c r="P6004" s="27"/>
    </row>
    <row r="6005">
      <c r="A6005" s="14">
        <v>43031.39512731481</v>
      </c>
      <c r="B6005" s="20" t="str">
        <f>HYPERLINK("https://twitter.com/NewsClad","@NewsClad")</f>
        <v>@NewsClad</v>
      </c>
      <c r="C6005" s="21" t="s">
        <v>13612</v>
      </c>
      <c r="D6005" s="21" t="s">
        <v>13613</v>
      </c>
      <c r="E6005" s="22" t="str">
        <f>HYPERLINK("https://twitter.com/NewsClad/status/922500108943368192","922500108943368192")</f>
        <v>922500108943368192</v>
      </c>
      <c r="F6005" s="23" t="s">
        <v>13612</v>
      </c>
      <c r="G6005" s="24">
        <v>220.0</v>
      </c>
      <c r="H6005" s="24">
        <v>627.0</v>
      </c>
      <c r="I6005" s="24">
        <v>0.0</v>
      </c>
      <c r="J6005" s="24">
        <v>0.0</v>
      </c>
      <c r="K6005" s="23" t="s">
        <v>34</v>
      </c>
      <c r="L6005" s="25">
        <v>42495.68277777778</v>
      </c>
      <c r="M6005" s="28"/>
      <c r="N6005" s="26" t="s">
        <v>13614</v>
      </c>
      <c r="O6005" s="22" t="str">
        <f>HYPERLINK("https://pbs.twimg.com/profile_images/892449745561681920/-WAaPMdQ_normal.jpg","View")</f>
        <v>View</v>
      </c>
      <c r="P6005" s="27"/>
    </row>
    <row r="6006">
      <c r="A6006" s="14">
        <v>43031.395150462966</v>
      </c>
      <c r="B6006" s="20" t="str">
        <f>HYPERLINK("https://twitter.com/YodhaBrahmana","@YodhaBrahmana")</f>
        <v>@YodhaBrahmana</v>
      </c>
      <c r="C6006" s="21" t="s">
        <v>13615</v>
      </c>
      <c r="D6006" s="21" t="s">
        <v>42</v>
      </c>
      <c r="E6006" s="22" t="str">
        <f>HYPERLINK("https://twitter.com/YodhaBrahmana/status/922500117084565504","922500117084565504")</f>
        <v>922500117084565504</v>
      </c>
      <c r="F6006" s="23" t="s">
        <v>33</v>
      </c>
      <c r="G6006" s="24">
        <v>142.0</v>
      </c>
      <c r="H6006" s="24">
        <v>398.0</v>
      </c>
      <c r="I6006" s="24">
        <v>8501.0</v>
      </c>
      <c r="J6006" s="24">
        <v>0.0</v>
      </c>
      <c r="K6006" s="23" t="s">
        <v>34</v>
      </c>
      <c r="L6006" s="25">
        <v>41974.159953703704</v>
      </c>
      <c r="M6006" s="28"/>
      <c r="N6006" s="26" t="s">
        <v>13616</v>
      </c>
      <c r="O6006" s="22" t="str">
        <f>HYPERLINK("https://pbs.twimg.com/profile_images/838334496802025472/uobI6PF3_normal.jpg","View")</f>
        <v>View</v>
      </c>
      <c r="P6006" s="27"/>
    </row>
    <row r="6007">
      <c r="A6007" s="14">
        <v>43031.39517361111</v>
      </c>
      <c r="B6007" s="20" t="str">
        <f>HYPERLINK("https://twitter.com/aryan90","@aryan90")</f>
        <v>@aryan90</v>
      </c>
      <c r="C6007" s="21" t="s">
        <v>13617</v>
      </c>
      <c r="D6007" s="21" t="s">
        <v>42</v>
      </c>
      <c r="E6007" s="22" t="str">
        <f>HYPERLINK("https://twitter.com/aryan90/status/922500124462288896","922500124462288896")</f>
        <v>922500124462288896</v>
      </c>
      <c r="F6007" s="23" t="s">
        <v>33</v>
      </c>
      <c r="G6007" s="24">
        <v>193.0</v>
      </c>
      <c r="H6007" s="24">
        <v>486.0</v>
      </c>
      <c r="I6007" s="24">
        <v>8501.0</v>
      </c>
      <c r="J6007" s="24">
        <v>0.0</v>
      </c>
      <c r="K6007" s="23" t="s">
        <v>34</v>
      </c>
      <c r="L6007" s="25">
        <v>40082.007418981484</v>
      </c>
      <c r="M6007" s="26" t="s">
        <v>13618</v>
      </c>
      <c r="N6007" s="28"/>
      <c r="O6007" s="22" t="str">
        <f>HYPERLINK("https://pbs.twimg.com/profile_images/590542719090462720/A3O3uyhU_normal.jpg","View")</f>
        <v>View</v>
      </c>
      <c r="P6007" s="27"/>
    </row>
    <row r="6008">
      <c r="A6008" s="14">
        <v>43031.39518518519</v>
      </c>
      <c r="B6008" s="20" t="str">
        <f>HYPERLINK("https://twitter.com/Rowan1953","@Rowan1953")</f>
        <v>@Rowan1953</v>
      </c>
      <c r="C6008" s="21" t="s">
        <v>13619</v>
      </c>
      <c r="D6008" s="21" t="s">
        <v>12974</v>
      </c>
      <c r="E6008" s="22" t="str">
        <f>HYPERLINK("https://twitter.com/Rowan1953/status/922500128128237570","922500128128237570")</f>
        <v>922500128128237570</v>
      </c>
      <c r="F6008" s="23" t="s">
        <v>230</v>
      </c>
      <c r="G6008" s="24">
        <v>408.0</v>
      </c>
      <c r="H6008" s="24">
        <v>229.0</v>
      </c>
      <c r="I6008" s="24">
        <v>110.0</v>
      </c>
      <c r="J6008" s="24">
        <v>0.0</v>
      </c>
      <c r="K6008" s="23" t="s">
        <v>34</v>
      </c>
      <c r="L6008" s="25">
        <v>39991.250451388885</v>
      </c>
      <c r="M6008" s="28"/>
      <c r="N6008" s="26" t="s">
        <v>13620</v>
      </c>
      <c r="O6008" s="22" t="str">
        <f>HYPERLINK("https://pbs.twimg.com/profile_images/912007782286729216/wZiKNONF_normal.jpg","View")</f>
        <v>View</v>
      </c>
      <c r="P6008" s="27"/>
    </row>
    <row r="6009">
      <c r="A6009" s="14">
        <v>43031.39520833333</v>
      </c>
      <c r="B6009" s="20" t="str">
        <f>HYPERLINK("https://twitter.com/anupathapliyal","@anupathapliyal")</f>
        <v>@anupathapliyal</v>
      </c>
      <c r="C6009" s="21" t="s">
        <v>13621</v>
      </c>
      <c r="D6009" s="21" t="s">
        <v>42</v>
      </c>
      <c r="E6009" s="22" t="str">
        <f>HYPERLINK("https://twitter.com/anupathapliyal/status/922500135396941824","922500135396941824")</f>
        <v>922500135396941824</v>
      </c>
      <c r="F6009" s="23" t="s">
        <v>230</v>
      </c>
      <c r="G6009" s="24">
        <v>539.0</v>
      </c>
      <c r="H6009" s="24">
        <v>491.0</v>
      </c>
      <c r="I6009" s="24">
        <v>8501.0</v>
      </c>
      <c r="J6009" s="24">
        <v>0.0</v>
      </c>
      <c r="K6009" s="23" t="s">
        <v>34</v>
      </c>
      <c r="L6009" s="25">
        <v>42167.94113425926</v>
      </c>
      <c r="M6009" s="28"/>
      <c r="N6009" s="26" t="s">
        <v>13622</v>
      </c>
      <c r="O6009" s="22" t="str">
        <f>HYPERLINK("https://pbs.twimg.com/profile_images/611205025595965440/lyiGHKeh_normal.jpg","View")</f>
        <v>View</v>
      </c>
      <c r="P6009" s="27"/>
    </row>
    <row r="6010">
      <c r="A6010" s="14">
        <v>43031.39521990741</v>
      </c>
      <c r="B6010" s="20" t="str">
        <f>HYPERLINK("https://twitter.com/dvorak__","@dvorak__")</f>
        <v>@dvorak__</v>
      </c>
      <c r="C6010" s="21" t="s">
        <v>13623</v>
      </c>
      <c r="D6010" s="21" t="s">
        <v>42</v>
      </c>
      <c r="E6010" s="22" t="str">
        <f>HYPERLINK("https://twitter.com/dvorak__/status/922500139700297728","922500139700297728")</f>
        <v>922500139700297728</v>
      </c>
      <c r="F6010" s="23" t="s">
        <v>39</v>
      </c>
      <c r="G6010" s="24">
        <v>2147.0</v>
      </c>
      <c r="H6010" s="24">
        <v>862.0</v>
      </c>
      <c r="I6010" s="24">
        <v>8501.0</v>
      </c>
      <c r="J6010" s="24">
        <v>0.0</v>
      </c>
      <c r="K6010" s="23" t="s">
        <v>34</v>
      </c>
      <c r="L6010" s="25">
        <v>40316.24420138889</v>
      </c>
      <c r="M6010" s="26" t="s">
        <v>271</v>
      </c>
      <c r="N6010" s="26" t="s">
        <v>13624</v>
      </c>
      <c r="O6010" s="22" t="str">
        <f>HYPERLINK("https://pbs.twimg.com/profile_images/902434845204168704/UcVta89G_normal.png","View")</f>
        <v>View</v>
      </c>
      <c r="P6010" s="27"/>
    </row>
    <row r="6011">
      <c r="A6011" s="14">
        <v>43031.39530092593</v>
      </c>
      <c r="B6011" s="20" t="str">
        <f>HYPERLINK("https://twitter.com/Kalpanabrj","@Kalpanabrj")</f>
        <v>@Kalpanabrj</v>
      </c>
      <c r="C6011" s="21" t="s">
        <v>13625</v>
      </c>
      <c r="D6011" s="21" t="s">
        <v>42</v>
      </c>
      <c r="E6011" s="22" t="str">
        <f>HYPERLINK("https://twitter.com/Kalpanabrj/status/922500171476242432","922500171476242432")</f>
        <v>922500171476242432</v>
      </c>
      <c r="F6011" s="23" t="s">
        <v>33</v>
      </c>
      <c r="G6011" s="24">
        <v>77.0</v>
      </c>
      <c r="H6011" s="24">
        <v>113.0</v>
      </c>
      <c r="I6011" s="24">
        <v>8501.0</v>
      </c>
      <c r="J6011" s="24">
        <v>0.0</v>
      </c>
      <c r="K6011" s="23" t="s">
        <v>34</v>
      </c>
      <c r="L6011" s="25">
        <v>42790.59025462963</v>
      </c>
      <c r="M6011" s="26" t="s">
        <v>13626</v>
      </c>
      <c r="N6011" s="28"/>
      <c r="O6011" s="22" t="str">
        <f>HYPERLINK("https://pbs.twimg.com/profile_images/835254479221997568/ujsCsLmd_normal.jpg","View")</f>
        <v>View</v>
      </c>
      <c r="P6011" s="27"/>
    </row>
    <row r="6012">
      <c r="A6012" s="14">
        <v>43031.395636574074</v>
      </c>
      <c r="B6012" s="20" t="str">
        <f>HYPERLINK("https://twitter.com/shashistonesgm1","@shashistonesgm1")</f>
        <v>@shashistonesgm1</v>
      </c>
      <c r="C6012" s="21" t="s">
        <v>13627</v>
      </c>
      <c r="D6012" s="21" t="s">
        <v>42</v>
      </c>
      <c r="E6012" s="22" t="str">
        <f>HYPERLINK("https://twitter.com/shashistonesgm1/status/922500290141503489","922500290141503489")</f>
        <v>922500290141503489</v>
      </c>
      <c r="F6012" s="23" t="s">
        <v>33</v>
      </c>
      <c r="G6012" s="24">
        <v>38.0</v>
      </c>
      <c r="H6012" s="24">
        <v>64.0</v>
      </c>
      <c r="I6012" s="24">
        <v>8501.0</v>
      </c>
      <c r="J6012" s="24">
        <v>0.0</v>
      </c>
      <c r="K6012" s="23" t="s">
        <v>34</v>
      </c>
      <c r="L6012" s="25">
        <v>42562.35481481481</v>
      </c>
      <c r="M6012" s="26" t="s">
        <v>127</v>
      </c>
      <c r="N6012" s="26" t="s">
        <v>13628</v>
      </c>
      <c r="O6012" s="22" t="str">
        <f>HYPERLINK("https://pbs.twimg.com/profile_images/834284548544413697/AIkVd8Rn_normal.jpg","View")</f>
        <v>View</v>
      </c>
      <c r="P6012" s="27"/>
    </row>
    <row r="6013">
      <c r="A6013" s="14">
        <v>43031.39568287037</v>
      </c>
      <c r="B6013" s="20" t="str">
        <f>HYPERLINK("https://twitter.com/narensalem","@narensalem")</f>
        <v>@narensalem</v>
      </c>
      <c r="C6013" s="21" t="s">
        <v>13629</v>
      </c>
      <c r="D6013" s="21" t="s">
        <v>42</v>
      </c>
      <c r="E6013" s="22" t="str">
        <f>HYPERLINK("https://twitter.com/narensalem/status/922500309078773761","922500309078773761")</f>
        <v>922500309078773761</v>
      </c>
      <c r="F6013" s="23" t="s">
        <v>33</v>
      </c>
      <c r="G6013" s="24">
        <v>8.0</v>
      </c>
      <c r="H6013" s="24">
        <v>25.0</v>
      </c>
      <c r="I6013" s="24">
        <v>8501.0</v>
      </c>
      <c r="J6013" s="24">
        <v>0.0</v>
      </c>
      <c r="K6013" s="23" t="s">
        <v>34</v>
      </c>
      <c r="L6013" s="25">
        <v>41501.99925925926</v>
      </c>
      <c r="M6013" s="28"/>
      <c r="N6013" s="28"/>
      <c r="O6013" s="22" t="str">
        <f>HYPERLINK("https://abs.twimg.com/sticky/default_profile_images/default_profile_normal.png","View")</f>
        <v>View</v>
      </c>
      <c r="P6013" s="27"/>
    </row>
    <row r="6014">
      <c r="A6014" s="14">
        <v>43031.39575231481</v>
      </c>
      <c r="B6014" s="20" t="str">
        <f t="shared" ref="B6014:B6015" si="91">HYPERLINK("https://twitter.com/WQuarrels","@WQuarrels")</f>
        <v>@WQuarrels</v>
      </c>
      <c r="C6014" s="21" t="s">
        <v>13630</v>
      </c>
      <c r="D6014" s="21" t="s">
        <v>13631</v>
      </c>
      <c r="E6014" s="22" t="str">
        <f>HYPERLINK("https://twitter.com/WQuarrels/status/922500332021829637","922500332021829637")</f>
        <v>922500332021829637</v>
      </c>
      <c r="F6014" s="23" t="s">
        <v>187</v>
      </c>
      <c r="G6014" s="24">
        <v>695.0</v>
      </c>
      <c r="H6014" s="24">
        <v>887.0</v>
      </c>
      <c r="I6014" s="24">
        <v>0.0</v>
      </c>
      <c r="J6014" s="24">
        <v>0.0</v>
      </c>
      <c r="K6014" s="23" t="s">
        <v>34</v>
      </c>
      <c r="L6014" s="25">
        <v>42662.84821759259</v>
      </c>
      <c r="M6014" s="28"/>
      <c r="N6014" s="28"/>
      <c r="O6014" s="22" t="str">
        <f t="shared" ref="O6014:O6015" si="92">HYPERLINK("https://pbs.twimg.com/profile_images/789738204056346624/gRkoQSdg_normal.jpg","View")</f>
        <v>View</v>
      </c>
      <c r="P6014" s="27"/>
    </row>
    <row r="6015">
      <c r="A6015" s="14">
        <v>43031.39576388889</v>
      </c>
      <c r="B6015" s="20" t="str">
        <f t="shared" si="91"/>
        <v>@WQuarrels</v>
      </c>
      <c r="C6015" s="21" t="s">
        <v>13630</v>
      </c>
      <c r="D6015" s="21" t="s">
        <v>13632</v>
      </c>
      <c r="E6015" s="22" t="str">
        <f>HYPERLINK("https://twitter.com/WQuarrels/status/922500337927368709","922500337927368709")</f>
        <v>922500337927368709</v>
      </c>
      <c r="F6015" s="23" t="s">
        <v>187</v>
      </c>
      <c r="G6015" s="24">
        <v>695.0</v>
      </c>
      <c r="H6015" s="24">
        <v>887.0</v>
      </c>
      <c r="I6015" s="24">
        <v>0.0</v>
      </c>
      <c r="J6015" s="24">
        <v>0.0</v>
      </c>
      <c r="K6015" s="23" t="s">
        <v>34</v>
      </c>
      <c r="L6015" s="25">
        <v>42662.84821759259</v>
      </c>
      <c r="M6015" s="28"/>
      <c r="N6015" s="28"/>
      <c r="O6015" s="22" t="str">
        <f t="shared" si="92"/>
        <v>View</v>
      </c>
      <c r="P6015" s="27"/>
    </row>
    <row r="6016">
      <c r="A6016" s="14">
        <v>43031.39591435185</v>
      </c>
      <c r="B6016" s="20" t="str">
        <f>HYPERLINK("https://twitter.com/HIMESH_SS","@HIMESH_SS")</f>
        <v>@HIMESH_SS</v>
      </c>
      <c r="C6016" s="21" t="s">
        <v>13633</v>
      </c>
      <c r="D6016" s="21" t="s">
        <v>163</v>
      </c>
      <c r="E6016" s="22" t="str">
        <f>HYPERLINK("https://twitter.com/HIMESH_SS/status/922500394110001153","922500394110001153")</f>
        <v>922500394110001153</v>
      </c>
      <c r="F6016" s="23" t="s">
        <v>33</v>
      </c>
      <c r="G6016" s="24">
        <v>3248.0</v>
      </c>
      <c r="H6016" s="24">
        <v>3283.0</v>
      </c>
      <c r="I6016" s="24">
        <v>1005.0</v>
      </c>
      <c r="J6016" s="24">
        <v>0.0</v>
      </c>
      <c r="K6016" s="23" t="s">
        <v>34</v>
      </c>
      <c r="L6016" s="25">
        <v>40350.00952546296</v>
      </c>
      <c r="M6016" s="26" t="s">
        <v>13634</v>
      </c>
      <c r="N6016" s="26" t="s">
        <v>13635</v>
      </c>
      <c r="O6016" s="22" t="str">
        <f>HYPERLINK("https://pbs.twimg.com/profile_images/744497543413850112/O3OgfIfs_normal.jpg","View")</f>
        <v>View</v>
      </c>
      <c r="P6016" s="27"/>
    </row>
    <row r="6017">
      <c r="A6017" s="14">
        <v>43031.3959837963</v>
      </c>
      <c r="B6017" s="20" t="str">
        <f>HYPERLINK("https://twitter.com/Pabriks","@Pabriks")</f>
        <v>@Pabriks</v>
      </c>
      <c r="C6017" s="21" t="s">
        <v>13636</v>
      </c>
      <c r="D6017" s="21" t="s">
        <v>13295</v>
      </c>
      <c r="E6017" s="22" t="str">
        <f>HYPERLINK("https://twitter.com/Pabriks/status/922500417979846658","922500417979846658")</f>
        <v>922500417979846658</v>
      </c>
      <c r="F6017" s="23" t="s">
        <v>39</v>
      </c>
      <c r="G6017" s="24">
        <v>15611.0</v>
      </c>
      <c r="H6017" s="24">
        <v>703.0</v>
      </c>
      <c r="I6017" s="24">
        <v>19.0</v>
      </c>
      <c r="J6017" s="24">
        <v>0.0</v>
      </c>
      <c r="K6017" s="23" t="s">
        <v>34</v>
      </c>
      <c r="L6017" s="25">
        <v>40505.07131944445</v>
      </c>
      <c r="M6017" s="28"/>
      <c r="N6017" s="26" t="s">
        <v>13637</v>
      </c>
      <c r="O6017" s="22" t="str">
        <f>HYPERLINK("https://pbs.twimg.com/profile_images/460743334042935297/MTQvC4Qe_normal.jpeg","View")</f>
        <v>View</v>
      </c>
      <c r="P6017" s="27"/>
    </row>
    <row r="6018">
      <c r="A6018" s="14">
        <v>43031.3959837963</v>
      </c>
      <c r="B6018" s="20" t="str">
        <f>HYPERLINK("https://twitter.com/Luzern888","@Luzern888")</f>
        <v>@Luzern888</v>
      </c>
      <c r="C6018" s="21" t="s">
        <v>13638</v>
      </c>
      <c r="D6018" s="21" t="s">
        <v>10614</v>
      </c>
      <c r="E6018" s="22" t="str">
        <f>HYPERLINK("https://twitter.com/Luzern888/status/922500419535773696","922500419535773696")</f>
        <v>922500419535773696</v>
      </c>
      <c r="F6018" s="23" t="s">
        <v>33</v>
      </c>
      <c r="G6018" s="24">
        <v>512.0</v>
      </c>
      <c r="H6018" s="24">
        <v>232.0</v>
      </c>
      <c r="I6018" s="24">
        <v>159.0</v>
      </c>
      <c r="J6018" s="24">
        <v>0.0</v>
      </c>
      <c r="K6018" s="23" t="s">
        <v>34</v>
      </c>
      <c r="L6018" s="25">
        <v>41678.673368055555</v>
      </c>
      <c r="M6018" s="26" t="s">
        <v>920</v>
      </c>
      <c r="N6018" s="26" t="s">
        <v>13639</v>
      </c>
      <c r="O6018" s="22" t="str">
        <f>HYPERLINK("https://pbs.twimg.com/profile_images/432312416701923328/Rv1znQac_normal.jpeg","View")</f>
        <v>View</v>
      </c>
      <c r="P6018" s="27"/>
    </row>
    <row r="6019">
      <c r="A6019" s="14">
        <v>43031.39608796296</v>
      </c>
      <c r="B6019" s="20" t="str">
        <f>HYPERLINK("https://twitter.com/krishnansram","@krishnansram")</f>
        <v>@krishnansram</v>
      </c>
      <c r="C6019" s="21" t="s">
        <v>13640</v>
      </c>
      <c r="D6019" s="21" t="s">
        <v>163</v>
      </c>
      <c r="E6019" s="22" t="str">
        <f>HYPERLINK("https://twitter.com/krishnansram/status/922500457175572480","922500457175572480")</f>
        <v>922500457175572480</v>
      </c>
      <c r="F6019" s="23" t="s">
        <v>33</v>
      </c>
      <c r="G6019" s="24">
        <v>413.0</v>
      </c>
      <c r="H6019" s="24">
        <v>1425.0</v>
      </c>
      <c r="I6019" s="24">
        <v>1005.0</v>
      </c>
      <c r="J6019" s="24">
        <v>0.0</v>
      </c>
      <c r="K6019" s="23" t="s">
        <v>34</v>
      </c>
      <c r="L6019" s="25">
        <v>41387.57502314815</v>
      </c>
      <c r="M6019" s="26" t="s">
        <v>13641</v>
      </c>
      <c r="N6019" s="28"/>
      <c r="O6019" s="22" t="str">
        <f>HYPERLINK("https://pbs.twimg.com/profile_images/753912129053306880/A-LCN5zZ_normal.jpg","View")</f>
        <v>View</v>
      </c>
      <c r="P6019" s="27"/>
    </row>
    <row r="6020">
      <c r="A6020" s="14">
        <v>43031.396099537036</v>
      </c>
      <c r="B6020" s="20" t="str">
        <f>HYPERLINK("https://twitter.com/malang0000000","@malang0000000")</f>
        <v>@malang0000000</v>
      </c>
      <c r="C6020" s="21" t="s">
        <v>13642</v>
      </c>
      <c r="D6020" s="21" t="s">
        <v>3039</v>
      </c>
      <c r="E6020" s="22" t="str">
        <f>HYPERLINK("https://twitter.com/malang0000000/status/922500459784474624","922500459784474624")</f>
        <v>922500459784474624</v>
      </c>
      <c r="F6020" s="23" t="s">
        <v>33</v>
      </c>
      <c r="G6020" s="24">
        <v>21.0</v>
      </c>
      <c r="H6020" s="24">
        <v>33.0</v>
      </c>
      <c r="I6020" s="24">
        <v>6.0</v>
      </c>
      <c r="J6020" s="24">
        <v>0.0</v>
      </c>
      <c r="K6020" s="23" t="s">
        <v>34</v>
      </c>
      <c r="L6020" s="25">
        <v>42186.998935185184</v>
      </c>
      <c r="M6020" s="26" t="s">
        <v>13643</v>
      </c>
      <c r="N6020" s="26" t="s">
        <v>13644</v>
      </c>
      <c r="O6020" s="22" t="str">
        <f>HYPERLINK("https://pbs.twimg.com/profile_images/921618749471457280/nRJIkNNB_normal.jpg","View")</f>
        <v>View</v>
      </c>
      <c r="P6020" s="27"/>
    </row>
    <row r="6021">
      <c r="A6021" s="14">
        <v>43031.39611111111</v>
      </c>
      <c r="B6021" s="20" t="str">
        <f>HYPERLINK("https://twitter.com/Praveen_A_V","@Praveen_A_V")</f>
        <v>@Praveen_A_V</v>
      </c>
      <c r="C6021" s="21" t="s">
        <v>13645</v>
      </c>
      <c r="D6021" s="21" t="s">
        <v>42</v>
      </c>
      <c r="E6021" s="22" t="str">
        <f>HYPERLINK("https://twitter.com/Praveen_A_V/status/922500464721170432","922500464721170432")</f>
        <v>922500464721170432</v>
      </c>
      <c r="F6021" s="23" t="s">
        <v>55</v>
      </c>
      <c r="G6021" s="24">
        <v>99.0</v>
      </c>
      <c r="H6021" s="24">
        <v>161.0</v>
      </c>
      <c r="I6021" s="24">
        <v>8501.0</v>
      </c>
      <c r="J6021" s="24">
        <v>0.0</v>
      </c>
      <c r="K6021" s="23" t="s">
        <v>34</v>
      </c>
      <c r="L6021" s="25">
        <v>40709.42550925926</v>
      </c>
      <c r="M6021" s="26" t="s">
        <v>13646</v>
      </c>
      <c r="N6021" s="26" t="s">
        <v>13647</v>
      </c>
      <c r="O6021" s="22" t="str">
        <f>HYPERLINK("https://pbs.twimg.com/profile_images/636972798926196740/A_t2r9vR_normal.jpg","View")</f>
        <v>View</v>
      </c>
      <c r="P6021" s="27"/>
    </row>
    <row r="6022">
      <c r="A6022" s="14">
        <v>43031.3962962963</v>
      </c>
      <c r="B6022" s="20" t="str">
        <f>HYPERLINK("https://twitter.com/Osmansi83769316","@Osmansi83769316")</f>
        <v>@Osmansi83769316</v>
      </c>
      <c r="C6022" s="21" t="s">
        <v>13648</v>
      </c>
      <c r="D6022" s="21" t="s">
        <v>11232</v>
      </c>
      <c r="E6022" s="22" t="str">
        <f>HYPERLINK("https://twitter.com/Osmansi83769316/status/922500532337545216","922500532337545216")</f>
        <v>922500532337545216</v>
      </c>
      <c r="F6022" s="23" t="s">
        <v>33</v>
      </c>
      <c r="G6022" s="24">
        <v>61.0</v>
      </c>
      <c r="H6022" s="24">
        <v>160.0</v>
      </c>
      <c r="I6022" s="24">
        <v>7.0</v>
      </c>
      <c r="J6022" s="24">
        <v>0.0</v>
      </c>
      <c r="K6022" s="23" t="s">
        <v>34</v>
      </c>
      <c r="L6022" s="25">
        <v>42940.40885416667</v>
      </c>
      <c r="M6022" s="26" t="s">
        <v>13649</v>
      </c>
      <c r="N6022" s="26" t="s">
        <v>13650</v>
      </c>
      <c r="O6022" s="22" t="str">
        <f>HYPERLINK("https://pbs.twimg.com/profile_images/899970840397303808/SFETlf78_normal.jpg","View")</f>
        <v>View</v>
      </c>
      <c r="P6022" s="27"/>
    </row>
    <row r="6023">
      <c r="A6023" s="14">
        <v>43031.39634259259</v>
      </c>
      <c r="B6023" s="20" t="str">
        <f>HYPERLINK("https://twitter.com/News247WorldPre","@News247WorldPre")</f>
        <v>@News247WorldPre</v>
      </c>
      <c r="C6023" s="21" t="s">
        <v>11200</v>
      </c>
      <c r="D6023" s="21" t="s">
        <v>12974</v>
      </c>
      <c r="E6023" s="22" t="str">
        <f>HYPERLINK("https://twitter.com/News247WorldPre/status/922500549492314112","922500549492314112")</f>
        <v>922500549492314112</v>
      </c>
      <c r="F6023" s="23" t="s">
        <v>55</v>
      </c>
      <c r="G6023" s="24">
        <v>272.0</v>
      </c>
      <c r="H6023" s="24">
        <v>340.0</v>
      </c>
      <c r="I6023" s="24">
        <v>110.0</v>
      </c>
      <c r="J6023" s="24">
        <v>0.0</v>
      </c>
      <c r="K6023" s="23" t="s">
        <v>34</v>
      </c>
      <c r="L6023" s="25">
        <v>41979.56165509259</v>
      </c>
      <c r="M6023" s="26" t="s">
        <v>40</v>
      </c>
      <c r="N6023" s="26" t="s">
        <v>11202</v>
      </c>
      <c r="O6023" s="22" t="str">
        <f>HYPERLINK("https://pbs.twimg.com/profile_images/541343662672588800/g6RS79lu_normal.jpeg","View")</f>
        <v>View</v>
      </c>
      <c r="P6023" s="27"/>
    </row>
    <row r="6024">
      <c r="A6024" s="14">
        <v>43031.396423611106</v>
      </c>
      <c r="B6024" s="20" t="str">
        <f>HYPERLINK("https://twitter.com/Abhi_4_Nation","@Abhi_4_Nation")</f>
        <v>@Abhi_4_Nation</v>
      </c>
      <c r="C6024" s="21" t="s">
        <v>8205</v>
      </c>
      <c r="D6024" s="21" t="s">
        <v>42</v>
      </c>
      <c r="E6024" s="22" t="str">
        <f>HYPERLINK("https://twitter.com/Abhi_4_Nation/status/922500577178849280","922500577178849280")</f>
        <v>922500577178849280</v>
      </c>
      <c r="F6024" s="23" t="s">
        <v>39</v>
      </c>
      <c r="G6024" s="24">
        <v>691.0</v>
      </c>
      <c r="H6024" s="24">
        <v>739.0</v>
      </c>
      <c r="I6024" s="24">
        <v>8501.0</v>
      </c>
      <c r="J6024" s="24">
        <v>0.0</v>
      </c>
      <c r="K6024" s="23" t="s">
        <v>34</v>
      </c>
      <c r="L6024" s="25">
        <v>41403.05452546296</v>
      </c>
      <c r="M6024" s="26" t="s">
        <v>13651</v>
      </c>
      <c r="N6024" s="26" t="s">
        <v>13652</v>
      </c>
      <c r="O6024" s="22" t="str">
        <f>HYPERLINK("https://pbs.twimg.com/profile_images/873450376283865088/JKfNaHpH_normal.jpg","View")</f>
        <v>View</v>
      </c>
      <c r="P6024" s="27"/>
    </row>
    <row r="6025">
      <c r="A6025" s="14">
        <v>43031.39666666667</v>
      </c>
      <c r="B6025" s="20" t="str">
        <f>HYPERLINK("https://twitter.com/McnabbTeddy","@McnabbTeddy")</f>
        <v>@McnabbTeddy</v>
      </c>
      <c r="C6025" s="21" t="s">
        <v>13653</v>
      </c>
      <c r="D6025" s="21" t="s">
        <v>13654</v>
      </c>
      <c r="E6025" s="22" t="str">
        <f>HYPERLINK("https://twitter.com/McnabbTeddy/status/922500663938109441","922500663938109441")</f>
        <v>922500663938109441</v>
      </c>
      <c r="F6025" s="23" t="s">
        <v>55</v>
      </c>
      <c r="G6025" s="24">
        <v>4615.0</v>
      </c>
      <c r="H6025" s="24">
        <v>3297.0</v>
      </c>
      <c r="I6025" s="24">
        <v>1.0</v>
      </c>
      <c r="J6025" s="24">
        <v>0.0</v>
      </c>
      <c r="K6025" s="23" t="s">
        <v>34</v>
      </c>
      <c r="L6025" s="25">
        <v>40742.35208333333</v>
      </c>
      <c r="M6025" s="26" t="s">
        <v>13655</v>
      </c>
      <c r="N6025" s="26" t="s">
        <v>13656</v>
      </c>
      <c r="O6025" s="22" t="str">
        <f>HYPERLINK("https://pbs.twimg.com/profile_images/798135484493037568/u1LlBvgj_normal.jpg","View")</f>
        <v>View</v>
      </c>
      <c r="P6025" s="27"/>
    </row>
    <row r="6026">
      <c r="A6026" s="14">
        <v>43031.39672453704</v>
      </c>
      <c r="B6026" s="20" t="str">
        <f>HYPERLINK("https://twitter.com/JewRicans","@JewRicans")</f>
        <v>@JewRicans</v>
      </c>
      <c r="C6026" s="21" t="s">
        <v>13657</v>
      </c>
      <c r="D6026" s="21" t="s">
        <v>13658</v>
      </c>
      <c r="E6026" s="22" t="str">
        <f>HYPERLINK("https://twitter.com/JewRicans/status/922500685056192513","922500685056192513")</f>
        <v>922500685056192513</v>
      </c>
      <c r="F6026" s="30" t="s">
        <v>411</v>
      </c>
      <c r="G6026" s="24">
        <v>571.0</v>
      </c>
      <c r="H6026" s="24">
        <v>939.0</v>
      </c>
      <c r="I6026" s="24">
        <v>0.0</v>
      </c>
      <c r="J6026" s="24">
        <v>0.0</v>
      </c>
      <c r="K6026" s="23" t="s">
        <v>34</v>
      </c>
      <c r="L6026" s="25">
        <v>42443.61519675926</v>
      </c>
      <c r="M6026" s="28"/>
      <c r="N6026" s="26" t="s">
        <v>13659</v>
      </c>
      <c r="O6026" s="22" t="str">
        <f>HYPERLINK("https://pbs.twimg.com/profile_images/823663366627532801/kqDSpjEo_normal.jpg","View")</f>
        <v>View</v>
      </c>
      <c r="P6026" s="27"/>
    </row>
    <row r="6027">
      <c r="A6027" s="14">
        <v>43031.39701388888</v>
      </c>
      <c r="B6027" s="20" t="str">
        <f>HYPERLINK("https://twitter.com/deepu_thakur1","@deepu_thakur1")</f>
        <v>@deepu_thakur1</v>
      </c>
      <c r="C6027" s="21" t="s">
        <v>13660</v>
      </c>
      <c r="D6027" s="21" t="s">
        <v>42</v>
      </c>
      <c r="E6027" s="22" t="str">
        <f>HYPERLINK("https://twitter.com/deepu_thakur1/status/922500790056620033","922500790056620033")</f>
        <v>922500790056620033</v>
      </c>
      <c r="F6027" s="23" t="s">
        <v>33</v>
      </c>
      <c r="G6027" s="24">
        <v>103.0</v>
      </c>
      <c r="H6027" s="24">
        <v>93.0</v>
      </c>
      <c r="I6027" s="24">
        <v>8501.0</v>
      </c>
      <c r="J6027" s="24">
        <v>0.0</v>
      </c>
      <c r="K6027" s="23" t="s">
        <v>34</v>
      </c>
      <c r="L6027" s="25">
        <v>42655.91766203704</v>
      </c>
      <c r="M6027" s="26" t="s">
        <v>13661</v>
      </c>
      <c r="N6027" s="26" t="s">
        <v>13662</v>
      </c>
      <c r="O6027" s="22" t="str">
        <f>HYPERLINK("https://pbs.twimg.com/profile_images/910607825168207872/mLghX51b_normal.jpg","View")</f>
        <v>View</v>
      </c>
      <c r="P6027" s="27"/>
    </row>
    <row r="6028">
      <c r="A6028" s="14">
        <v>43031.39740740741</v>
      </c>
      <c r="B6028" s="20" t="str">
        <f>HYPERLINK("https://twitter.com/NiranjanPatha20","@NiranjanPatha20")</f>
        <v>@NiranjanPatha20</v>
      </c>
      <c r="C6028" s="21" t="s">
        <v>13663</v>
      </c>
      <c r="D6028" s="21" t="s">
        <v>42</v>
      </c>
      <c r="E6028" s="22" t="str">
        <f>HYPERLINK("https://twitter.com/NiranjanPatha20/status/922500933451317248","922500933451317248")</f>
        <v>922500933451317248</v>
      </c>
      <c r="F6028" s="23" t="s">
        <v>33</v>
      </c>
      <c r="G6028" s="24">
        <v>10.0</v>
      </c>
      <c r="H6028" s="24">
        <v>13.0</v>
      </c>
      <c r="I6028" s="24">
        <v>8501.0</v>
      </c>
      <c r="J6028" s="24">
        <v>0.0</v>
      </c>
      <c r="K6028" s="23" t="s">
        <v>34</v>
      </c>
      <c r="L6028" s="25">
        <v>42962.246469907404</v>
      </c>
      <c r="M6028" s="26" t="s">
        <v>227</v>
      </c>
      <c r="N6028" s="26" t="s">
        <v>13664</v>
      </c>
      <c r="O6028" s="22" t="str">
        <f>HYPERLINK("https://pbs.twimg.com/profile_images/911656205197623296/JWPJsJnR_normal.jpg","View")</f>
        <v>View</v>
      </c>
      <c r="P6028" s="27"/>
    </row>
    <row r="6029">
      <c r="A6029" s="14">
        <v>43031.397523148145</v>
      </c>
      <c r="B6029" s="20" t="str">
        <f>HYPERLINK("https://twitter.com/tweet2kishore","@tweet2kishore")</f>
        <v>@tweet2kishore</v>
      </c>
      <c r="C6029" s="21" t="s">
        <v>13665</v>
      </c>
      <c r="D6029" s="21" t="s">
        <v>163</v>
      </c>
      <c r="E6029" s="22" t="str">
        <f>HYPERLINK("https://twitter.com/tweet2kishore/status/922500974194737152","922500974194737152")</f>
        <v>922500974194737152</v>
      </c>
      <c r="F6029" s="23" t="s">
        <v>33</v>
      </c>
      <c r="G6029" s="24">
        <v>322.0</v>
      </c>
      <c r="H6029" s="24">
        <v>265.0</v>
      </c>
      <c r="I6029" s="24">
        <v>1005.0</v>
      </c>
      <c r="J6029" s="24">
        <v>0.0</v>
      </c>
      <c r="K6029" s="23" t="s">
        <v>34</v>
      </c>
      <c r="L6029" s="25">
        <v>39973.21152777778</v>
      </c>
      <c r="M6029" s="26" t="s">
        <v>204</v>
      </c>
      <c r="N6029" s="26" t="s">
        <v>13666</v>
      </c>
      <c r="O6029" s="22" t="str">
        <f>HYPERLINK("https://pbs.twimg.com/profile_images/595112162776850432/xFeqfpua_normal.jpg","View")</f>
        <v>View</v>
      </c>
      <c r="P6029" s="27"/>
    </row>
    <row r="6030">
      <c r="A6030" s="14">
        <v>43031.397731481484</v>
      </c>
      <c r="B6030" s="20" t="str">
        <f>HYPERLINK("https://twitter.com/d3n1k1","@d3n1k1")</f>
        <v>@d3n1k1</v>
      </c>
      <c r="C6030" s="21" t="s">
        <v>13667</v>
      </c>
      <c r="D6030" s="21" t="s">
        <v>42</v>
      </c>
      <c r="E6030" s="22" t="str">
        <f>HYPERLINK("https://twitter.com/d3n1k1/status/922501049356652544","922501049356652544")</f>
        <v>922501049356652544</v>
      </c>
      <c r="F6030" s="23" t="s">
        <v>769</v>
      </c>
      <c r="G6030" s="24">
        <v>1735.0</v>
      </c>
      <c r="H6030" s="24">
        <v>879.0</v>
      </c>
      <c r="I6030" s="24">
        <v>8501.0</v>
      </c>
      <c r="J6030" s="24">
        <v>0.0</v>
      </c>
      <c r="K6030" s="23" t="s">
        <v>34</v>
      </c>
      <c r="L6030" s="25">
        <v>41064.21071759259</v>
      </c>
      <c r="M6030" s="26" t="s">
        <v>13668</v>
      </c>
      <c r="N6030" s="26" t="s">
        <v>13669</v>
      </c>
      <c r="O6030" s="22" t="str">
        <f>HYPERLINK("https://pbs.twimg.com/profile_images/922815730470367232/RQJZZRIo_normal.jpg","View")</f>
        <v>View</v>
      </c>
      <c r="P6030" s="27"/>
    </row>
    <row r="6031">
      <c r="A6031" s="14">
        <v>43031.397881944446</v>
      </c>
      <c r="B6031" s="20" t="str">
        <f>HYPERLINK("https://twitter.com/SJ4change","@SJ4change")</f>
        <v>@SJ4change</v>
      </c>
      <c r="C6031" s="21" t="s">
        <v>13670</v>
      </c>
      <c r="D6031" s="21" t="s">
        <v>42</v>
      </c>
      <c r="E6031" s="22" t="str">
        <f>HYPERLINK("https://twitter.com/SJ4change/status/922501104868265986","922501104868265986")</f>
        <v>922501104868265986</v>
      </c>
      <c r="F6031" s="23" t="s">
        <v>43</v>
      </c>
      <c r="G6031" s="24">
        <v>40.0</v>
      </c>
      <c r="H6031" s="24">
        <v>43.0</v>
      </c>
      <c r="I6031" s="24">
        <v>8501.0</v>
      </c>
      <c r="J6031" s="24">
        <v>0.0</v>
      </c>
      <c r="K6031" s="23" t="s">
        <v>34</v>
      </c>
      <c r="L6031" s="25">
        <v>40330.555972222224</v>
      </c>
      <c r="M6031" s="26" t="s">
        <v>207</v>
      </c>
      <c r="N6031" s="26" t="s">
        <v>13671</v>
      </c>
      <c r="O6031" s="22" t="str">
        <f>HYPERLINK("https://pbs.twimg.com/profile_images/2478261211/5z0s2w7g6hdgxklew59a_normal.jpeg","View")</f>
        <v>View</v>
      </c>
      <c r="P6031" s="27"/>
    </row>
    <row r="6032">
      <c r="A6032" s="14">
        <v>43031.397939814815</v>
      </c>
      <c r="B6032" s="20" t="str">
        <f>HYPERLINK("https://twitter.com/Parthap92593918","@Parthap92593918")</f>
        <v>@Parthap92593918</v>
      </c>
      <c r="C6032" s="21" t="s">
        <v>13672</v>
      </c>
      <c r="D6032" s="21" t="s">
        <v>42</v>
      </c>
      <c r="E6032" s="22" t="str">
        <f>HYPERLINK("https://twitter.com/Parthap92593918/status/922501126892658694","922501126892658694")</f>
        <v>922501126892658694</v>
      </c>
      <c r="F6032" s="23" t="s">
        <v>33</v>
      </c>
      <c r="G6032" s="24">
        <v>68.0</v>
      </c>
      <c r="H6032" s="24">
        <v>146.0</v>
      </c>
      <c r="I6032" s="24">
        <v>8501.0</v>
      </c>
      <c r="J6032" s="24">
        <v>0.0</v>
      </c>
      <c r="K6032" s="23" t="s">
        <v>34</v>
      </c>
      <c r="L6032" s="25">
        <v>42558.05126157407</v>
      </c>
      <c r="M6032" s="26" t="s">
        <v>575</v>
      </c>
      <c r="N6032" s="26" t="s">
        <v>13673</v>
      </c>
      <c r="O6032" s="22" t="str">
        <f>HYPERLINK("https://pbs.twimg.com/profile_images/879579244678041600/CqCuea3K_normal.jpg","View")</f>
        <v>View</v>
      </c>
      <c r="P6032" s="27"/>
    </row>
    <row r="6033">
      <c r="A6033" s="14">
        <v>43031.397939814815</v>
      </c>
      <c r="B6033" s="20" t="str">
        <f>HYPERLINK("https://twitter.com/JoeFreedomLove","@JoeFreedomLove")</f>
        <v>@JoeFreedomLove</v>
      </c>
      <c r="C6033" s="21" t="s">
        <v>13674</v>
      </c>
      <c r="D6033" s="21" t="s">
        <v>13675</v>
      </c>
      <c r="E6033" s="22" t="str">
        <f>HYPERLINK("https://twitter.com/JoeFreedomLove/status/922501126938804224","922501126938804224")</f>
        <v>922501126938804224</v>
      </c>
      <c r="F6033" s="23" t="s">
        <v>39</v>
      </c>
      <c r="G6033" s="24">
        <v>39177.0</v>
      </c>
      <c r="H6033" s="24">
        <v>36075.0</v>
      </c>
      <c r="I6033" s="24">
        <v>0.0</v>
      </c>
      <c r="J6033" s="24">
        <v>1.0</v>
      </c>
      <c r="K6033" s="23" t="s">
        <v>34</v>
      </c>
      <c r="L6033" s="25">
        <v>41866.58309027778</v>
      </c>
      <c r="M6033" s="26" t="s">
        <v>13676</v>
      </c>
      <c r="N6033" s="26" t="s">
        <v>13677</v>
      </c>
      <c r="O6033" s="22" t="str">
        <f>HYPERLINK("https://pbs.twimg.com/profile_images/500412055292092419/q7vIrkVA_normal.jpeg","View")</f>
        <v>View</v>
      </c>
      <c r="P6033" s="27"/>
    </row>
    <row r="6034">
      <c r="A6034" s="14">
        <v>43031.39803240741</v>
      </c>
      <c r="B6034" s="20" t="str">
        <f>HYPERLINK("https://twitter.com/AshishJ26458308","@AshishJ26458308")</f>
        <v>@AshishJ26458308</v>
      </c>
      <c r="C6034" s="21" t="s">
        <v>13678</v>
      </c>
      <c r="D6034" s="21" t="s">
        <v>42</v>
      </c>
      <c r="E6034" s="22" t="str">
        <f>HYPERLINK("https://twitter.com/AshishJ26458308/status/922501160916762625","922501160916762625")</f>
        <v>922501160916762625</v>
      </c>
      <c r="F6034" s="23" t="s">
        <v>33</v>
      </c>
      <c r="G6034" s="24">
        <v>0.0</v>
      </c>
      <c r="H6034" s="24">
        <v>22.0</v>
      </c>
      <c r="I6034" s="24">
        <v>8501.0</v>
      </c>
      <c r="J6034" s="24">
        <v>0.0</v>
      </c>
      <c r="K6034" s="23" t="s">
        <v>34</v>
      </c>
      <c r="L6034" s="25">
        <v>43031.261770833335</v>
      </c>
      <c r="M6034" s="28"/>
      <c r="N6034" s="28"/>
      <c r="O6034" s="22" t="str">
        <f>HYPERLINK("https://abs.twimg.com/sticky/default_profile_images/default_profile_normal.png","View")</f>
        <v>View</v>
      </c>
      <c r="P6034" s="27"/>
    </row>
    <row r="6035">
      <c r="A6035" s="14">
        <v>43031.39811342592</v>
      </c>
      <c r="B6035" s="20" t="str">
        <f>HYPERLINK("https://twitter.com/Canada_Zone","@Canada_Zone")</f>
        <v>@Canada_Zone</v>
      </c>
      <c r="C6035" s="21" t="s">
        <v>13679</v>
      </c>
      <c r="D6035" s="21" t="s">
        <v>13680</v>
      </c>
      <c r="E6035" s="22" t="str">
        <f>HYPERLINK("https://twitter.com/Canada_Zone/status/922501191313092608","922501191313092608")</f>
        <v>922501191313092608</v>
      </c>
      <c r="F6035" s="23" t="s">
        <v>187</v>
      </c>
      <c r="G6035" s="24">
        <v>193.0</v>
      </c>
      <c r="H6035" s="24">
        <v>38.0</v>
      </c>
      <c r="I6035" s="24">
        <v>0.0</v>
      </c>
      <c r="J6035" s="24">
        <v>0.0</v>
      </c>
      <c r="K6035" s="23" t="s">
        <v>34</v>
      </c>
      <c r="L6035" s="25">
        <v>42708.17774305555</v>
      </c>
      <c r="M6035" s="26" t="s">
        <v>11738</v>
      </c>
      <c r="N6035" s="26" t="s">
        <v>13681</v>
      </c>
      <c r="O6035" s="22" t="str">
        <f>HYPERLINK("https://pbs.twimg.com/profile_images/805687259479453696/lPBl1dsJ_normal.jpg","View")</f>
        <v>View</v>
      </c>
      <c r="P6035" s="27"/>
    </row>
    <row r="6036">
      <c r="A6036" s="14">
        <v>43031.39818287037</v>
      </c>
      <c r="B6036" s="20" t="str">
        <f>HYPERLINK("https://twitter.com/bjp_guj","@bjp_guj")</f>
        <v>@bjp_guj</v>
      </c>
      <c r="C6036" s="21" t="s">
        <v>13682</v>
      </c>
      <c r="D6036" s="21" t="s">
        <v>42</v>
      </c>
      <c r="E6036" s="22" t="str">
        <f>HYPERLINK("https://twitter.com/bjp_guj/status/922501214654353411","922501214654353411")</f>
        <v>922501214654353411</v>
      </c>
      <c r="F6036" s="23" t="s">
        <v>39</v>
      </c>
      <c r="G6036" s="24">
        <v>2367.0</v>
      </c>
      <c r="H6036" s="24">
        <v>726.0</v>
      </c>
      <c r="I6036" s="24">
        <v>8501.0</v>
      </c>
      <c r="J6036" s="24">
        <v>0.0</v>
      </c>
      <c r="K6036" s="23" t="s">
        <v>34</v>
      </c>
      <c r="L6036" s="25">
        <v>40215.08758101852</v>
      </c>
      <c r="M6036" s="26" t="s">
        <v>1354</v>
      </c>
      <c r="N6036" s="26" t="s">
        <v>13683</v>
      </c>
      <c r="O6036" s="22" t="str">
        <f>HYPERLINK("https://pbs.twimg.com/profile_images/907114341908008961/zveFS4kH_normal.jpg","View")</f>
        <v>View</v>
      </c>
      <c r="P6036" s="27"/>
    </row>
    <row r="6037">
      <c r="A6037" s="14">
        <v>43031.39834490741</v>
      </c>
      <c r="B6037" s="20" t="str">
        <f>HYPERLINK("https://twitter.com/mySA_Politics","@mySA_Politics")</f>
        <v>@mySA_Politics</v>
      </c>
      <c r="C6037" s="21" t="s">
        <v>13684</v>
      </c>
      <c r="D6037" s="21" t="s">
        <v>13685</v>
      </c>
      <c r="E6037" s="22" t="str">
        <f>HYPERLINK("https://twitter.com/mySA_Politics/status/922501274351886336","922501274351886336")</f>
        <v>922501274351886336</v>
      </c>
      <c r="F6037" s="23" t="s">
        <v>187</v>
      </c>
      <c r="G6037" s="24">
        <v>2024.0</v>
      </c>
      <c r="H6037" s="24">
        <v>1259.0</v>
      </c>
      <c r="I6037" s="24">
        <v>0.0</v>
      </c>
      <c r="J6037" s="24">
        <v>0.0</v>
      </c>
      <c r="K6037" s="23" t="s">
        <v>34</v>
      </c>
      <c r="L6037" s="25">
        <v>39994.59659722222</v>
      </c>
      <c r="M6037" s="26" t="s">
        <v>13686</v>
      </c>
      <c r="N6037" s="26" t="s">
        <v>13687</v>
      </c>
      <c r="O6037" s="22" t="str">
        <f>HYPERLINK("https://pbs.twimg.com/profile_images/534755691550892032/Tn_w-v1P_normal.jpeg","View")</f>
        <v>View</v>
      </c>
      <c r="P6037" s="27"/>
    </row>
    <row r="6038">
      <c r="A6038" s="14">
        <v>43031.39840277778</v>
      </c>
      <c r="B6038" s="20" t="str">
        <f>HYPERLINK("https://twitter.com/TRILOKHNATH","@TRILOKHNATH")</f>
        <v>@TRILOKHNATH</v>
      </c>
      <c r="C6038" s="21" t="s">
        <v>13688</v>
      </c>
      <c r="D6038" s="21" t="s">
        <v>42</v>
      </c>
      <c r="E6038" s="22" t="str">
        <f>HYPERLINK("https://twitter.com/TRILOKHNATH/status/922501294173990912","922501294173990912")</f>
        <v>922501294173990912</v>
      </c>
      <c r="F6038" s="23" t="s">
        <v>33</v>
      </c>
      <c r="G6038" s="24">
        <v>14541.0</v>
      </c>
      <c r="H6038" s="24">
        <v>8719.0</v>
      </c>
      <c r="I6038" s="24">
        <v>8501.0</v>
      </c>
      <c r="J6038" s="24">
        <v>0.0</v>
      </c>
      <c r="K6038" s="23" t="s">
        <v>34</v>
      </c>
      <c r="L6038" s="25">
        <v>40660.262453703705</v>
      </c>
      <c r="M6038" s="26" t="s">
        <v>13689</v>
      </c>
      <c r="N6038" s="26" t="s">
        <v>13690</v>
      </c>
      <c r="O6038" s="22" t="str">
        <f>HYPERLINK("https://pbs.twimg.com/profile_images/1560963445/gopal_normal.jpg","View")</f>
        <v>View</v>
      </c>
      <c r="P6038" s="27"/>
    </row>
    <row r="6039">
      <c r="A6039" s="14">
        <v>43031.39841435185</v>
      </c>
      <c r="B6039" s="20" t="str">
        <f>HYPERLINK("https://twitter.com/marcelomoina12","@marcelomoina12")</f>
        <v>@marcelomoina12</v>
      </c>
      <c r="C6039" s="21" t="s">
        <v>13691</v>
      </c>
      <c r="D6039" s="21" t="s">
        <v>13692</v>
      </c>
      <c r="E6039" s="22" t="str">
        <f>HYPERLINK("https://twitter.com/marcelomoina12/status/922501300465668097","922501300465668097")</f>
        <v>922501300465668097</v>
      </c>
      <c r="F6039" s="23" t="s">
        <v>187</v>
      </c>
      <c r="G6039" s="24">
        <v>194.0</v>
      </c>
      <c r="H6039" s="24">
        <v>133.0</v>
      </c>
      <c r="I6039" s="24">
        <v>0.0</v>
      </c>
      <c r="J6039" s="24">
        <v>0.0</v>
      </c>
      <c r="K6039" s="23" t="s">
        <v>34</v>
      </c>
      <c r="L6039" s="25">
        <v>42226.54503472222</v>
      </c>
      <c r="M6039" s="28"/>
      <c r="N6039" s="26" t="s">
        <v>13693</v>
      </c>
      <c r="O6039" s="22" t="str">
        <f>HYPERLINK("https://pbs.twimg.com/profile_images/923080212715397121/WVtELid1_normal.jpg","View")</f>
        <v>View</v>
      </c>
      <c r="P6039" s="27"/>
    </row>
    <row r="6040">
      <c r="A6040" s="14">
        <v>43031.398506944446</v>
      </c>
      <c r="B6040" s="20" t="str">
        <f>HYPERLINK("https://twitter.com/krishnansram","@krishnansram")</f>
        <v>@krishnansram</v>
      </c>
      <c r="C6040" s="21" t="s">
        <v>13640</v>
      </c>
      <c r="D6040" s="21" t="s">
        <v>4507</v>
      </c>
      <c r="E6040" s="22" t="str">
        <f>HYPERLINK("https://twitter.com/krishnansram/status/922501330769362944","922501330769362944")</f>
        <v>922501330769362944</v>
      </c>
      <c r="F6040" s="23" t="s">
        <v>33</v>
      </c>
      <c r="G6040" s="24">
        <v>413.0</v>
      </c>
      <c r="H6040" s="24">
        <v>1425.0</v>
      </c>
      <c r="I6040" s="24">
        <v>139.0</v>
      </c>
      <c r="J6040" s="24">
        <v>0.0</v>
      </c>
      <c r="K6040" s="23" t="s">
        <v>34</v>
      </c>
      <c r="L6040" s="25">
        <v>41387.57502314815</v>
      </c>
      <c r="M6040" s="26" t="s">
        <v>13641</v>
      </c>
      <c r="N6040" s="28"/>
      <c r="O6040" s="22" t="str">
        <f>HYPERLINK("https://pbs.twimg.com/profile_images/753912129053306880/A-LCN5zZ_normal.jpg","View")</f>
        <v>View</v>
      </c>
      <c r="P6040" s="27"/>
    </row>
    <row r="6041">
      <c r="A6041" s="14">
        <v>43031.39858796296</v>
      </c>
      <c r="B6041" s="20" t="str">
        <f>HYPERLINK("https://twitter.com/Vandebharathi","@Vandebharathi")</f>
        <v>@Vandebharathi</v>
      </c>
      <c r="C6041" s="21" t="s">
        <v>13694</v>
      </c>
      <c r="D6041" s="21" t="s">
        <v>42</v>
      </c>
      <c r="E6041" s="22" t="str">
        <f>HYPERLINK("https://twitter.com/Vandebharathi/status/922501361648001024","922501361648001024")</f>
        <v>922501361648001024</v>
      </c>
      <c r="F6041" s="23" t="s">
        <v>33</v>
      </c>
      <c r="G6041" s="24">
        <v>688.0</v>
      </c>
      <c r="H6041" s="24">
        <v>2237.0</v>
      </c>
      <c r="I6041" s="24">
        <v>8501.0</v>
      </c>
      <c r="J6041" s="24">
        <v>0.0</v>
      </c>
      <c r="K6041" s="23" t="s">
        <v>34</v>
      </c>
      <c r="L6041" s="25">
        <v>41257.2184837963</v>
      </c>
      <c r="M6041" s="26" t="s">
        <v>762</v>
      </c>
      <c r="N6041" s="26" t="s">
        <v>13695</v>
      </c>
      <c r="O6041" s="22" t="str">
        <f>HYPERLINK("https://pbs.twimg.com/profile_images/378800000182877459/e9212b1d86ff27dc35b703353648c769_normal.jpeg","View")</f>
        <v>View</v>
      </c>
      <c r="P6041" s="27"/>
    </row>
    <row r="6042">
      <c r="A6042" s="14">
        <v>43031.398680555554</v>
      </c>
      <c r="B6042" s="20" t="str">
        <f>HYPERLINK("https://twitter.com/MustafaEmreAkin","@MustafaEmreAkin")</f>
        <v>@MustafaEmreAkin</v>
      </c>
      <c r="C6042" s="21" t="s">
        <v>13696</v>
      </c>
      <c r="D6042" s="21" t="s">
        <v>13295</v>
      </c>
      <c r="E6042" s="22" t="str">
        <f>HYPERLINK("https://twitter.com/MustafaEmreAkin/status/922501395042926594","922501395042926594")</f>
        <v>922501395042926594</v>
      </c>
      <c r="F6042" s="23" t="s">
        <v>33</v>
      </c>
      <c r="G6042" s="24">
        <v>50.0</v>
      </c>
      <c r="H6042" s="24">
        <v>229.0</v>
      </c>
      <c r="I6042" s="24">
        <v>19.0</v>
      </c>
      <c r="J6042" s="24">
        <v>0.0</v>
      </c>
      <c r="K6042" s="23" t="s">
        <v>34</v>
      </c>
      <c r="L6042" s="25">
        <v>40587.142175925925</v>
      </c>
      <c r="M6042" s="26" t="s">
        <v>13331</v>
      </c>
      <c r="N6042" s="28"/>
      <c r="O6042" s="22" t="str">
        <f>HYPERLINK("https://pbs.twimg.com/profile_images/700290940381097984/I-6nU5Ib_normal.jpg","View")</f>
        <v>View</v>
      </c>
      <c r="P6042" s="27"/>
    </row>
    <row r="6043">
      <c r="A6043" s="14">
        <v>43031.398726851854</v>
      </c>
      <c r="B6043" s="20" t="str">
        <f>HYPERLINK("https://twitter.com/themistern","@themistern")</f>
        <v>@themistern</v>
      </c>
      <c r="C6043" s="21" t="s">
        <v>13697</v>
      </c>
      <c r="D6043" s="21" t="s">
        <v>13698</v>
      </c>
      <c r="E6043" s="22" t="str">
        <f>HYPERLINK("https://twitter.com/themistern/status/922501413778984966","922501413778984966")</f>
        <v>922501413778984966</v>
      </c>
      <c r="F6043" s="23" t="s">
        <v>33</v>
      </c>
      <c r="G6043" s="24">
        <v>838.0</v>
      </c>
      <c r="H6043" s="24">
        <v>691.0</v>
      </c>
      <c r="I6043" s="24">
        <v>0.0</v>
      </c>
      <c r="J6043" s="24">
        <v>1.0</v>
      </c>
      <c r="K6043" s="23" t="s">
        <v>34</v>
      </c>
      <c r="L6043" s="25">
        <v>40310.07693287037</v>
      </c>
      <c r="M6043" s="26" t="s">
        <v>905</v>
      </c>
      <c r="N6043" s="26" t="s">
        <v>13699</v>
      </c>
      <c r="O6043" s="22" t="str">
        <f>HYPERLINK("https://pbs.twimg.com/profile_images/914605729046294529/YI5Lfd3z_normal.jpg","View")</f>
        <v>View</v>
      </c>
      <c r="P6043" s="27"/>
    </row>
    <row r="6044">
      <c r="A6044" s="14">
        <v>43031.39875</v>
      </c>
      <c r="B6044" s="20" t="str">
        <f>HYPERLINK("https://twitter.com/RashmiD34115217","@RashmiD34115217")</f>
        <v>@RashmiD34115217</v>
      </c>
      <c r="C6044" s="21" t="s">
        <v>13700</v>
      </c>
      <c r="D6044" s="21" t="s">
        <v>42</v>
      </c>
      <c r="E6044" s="22" t="str">
        <f>HYPERLINK("https://twitter.com/RashmiD34115217/status/922501418866458626","922501418866458626")</f>
        <v>922501418866458626</v>
      </c>
      <c r="F6044" s="23" t="s">
        <v>33</v>
      </c>
      <c r="G6044" s="24">
        <v>2123.0</v>
      </c>
      <c r="H6044" s="24">
        <v>741.0</v>
      </c>
      <c r="I6044" s="24">
        <v>8501.0</v>
      </c>
      <c r="J6044" s="24">
        <v>0.0</v>
      </c>
      <c r="K6044" s="23" t="s">
        <v>34</v>
      </c>
      <c r="L6044" s="25">
        <v>42919.2096875</v>
      </c>
      <c r="M6044" s="26" t="s">
        <v>204</v>
      </c>
      <c r="N6044" s="26" t="s">
        <v>13701</v>
      </c>
      <c r="O6044" s="22" t="str">
        <f>HYPERLINK("https://pbs.twimg.com/profile_images/889471269208510465/pnvZcp4y_normal.jpg","View")</f>
        <v>View</v>
      </c>
      <c r="P6044" s="27"/>
    </row>
    <row r="6045">
      <c r="A6045" s="14">
        <v>43031.39875</v>
      </c>
      <c r="B6045" s="20" t="str">
        <f>HYPERLINK("https://twitter.com/TrumpFirehose","@TrumpFirehose")</f>
        <v>@TrumpFirehose</v>
      </c>
      <c r="C6045" s="21" t="s">
        <v>13534</v>
      </c>
      <c r="D6045" s="21" t="s">
        <v>13702</v>
      </c>
      <c r="E6045" s="22" t="str">
        <f>HYPERLINK("https://twitter.com/TrumpFirehose/status/922501422150815744","922501422150815744")</f>
        <v>922501422150815744</v>
      </c>
      <c r="F6045" s="23" t="s">
        <v>13534</v>
      </c>
      <c r="G6045" s="24">
        <v>80.0</v>
      </c>
      <c r="H6045" s="24">
        <v>1.0</v>
      </c>
      <c r="I6045" s="24">
        <v>0.0</v>
      </c>
      <c r="J6045" s="24">
        <v>0.0</v>
      </c>
      <c r="K6045" s="23" t="s">
        <v>34</v>
      </c>
      <c r="L6045" s="25">
        <v>42634.614328703705</v>
      </c>
      <c r="M6045" s="28"/>
      <c r="N6045" s="26" t="s">
        <v>13536</v>
      </c>
      <c r="O6045" s="22" t="str">
        <f>HYPERLINK("https://pbs.twimg.com/profile_images/778799296153919488/f53MO6xf_normal.jpg","View")</f>
        <v>View</v>
      </c>
      <c r="P6045" s="27"/>
    </row>
    <row r="6046">
      <c r="A6046" s="14">
        <v>43031.3987962963</v>
      </c>
      <c r="B6046" s="20" t="str">
        <f>HYPERLINK("https://twitter.com/kamlesh65able","@kamlesh65able")</f>
        <v>@kamlesh65able</v>
      </c>
      <c r="C6046" s="21" t="s">
        <v>13703</v>
      </c>
      <c r="D6046" s="21" t="s">
        <v>42</v>
      </c>
      <c r="E6046" s="22" t="str">
        <f>HYPERLINK("https://twitter.com/kamlesh65able/status/922501435962548226","922501435962548226")</f>
        <v>922501435962548226</v>
      </c>
      <c r="F6046" s="23" t="s">
        <v>33</v>
      </c>
      <c r="G6046" s="24">
        <v>4045.0</v>
      </c>
      <c r="H6046" s="24">
        <v>2743.0</v>
      </c>
      <c r="I6046" s="24">
        <v>8501.0</v>
      </c>
      <c r="J6046" s="24">
        <v>0.0</v>
      </c>
      <c r="K6046" s="23" t="s">
        <v>34</v>
      </c>
      <c r="L6046" s="25">
        <v>40816.13112268518</v>
      </c>
      <c r="M6046" s="26" t="s">
        <v>13704</v>
      </c>
      <c r="N6046" s="26" t="s">
        <v>13705</v>
      </c>
      <c r="O6046" s="22" t="str">
        <f>HYPERLINK("https://pbs.twimg.com/profile_images/864002627612409856/2E41FB8j_normal.jpg","View")</f>
        <v>View</v>
      </c>
      <c r="P6046" s="27"/>
    </row>
    <row r="6047">
      <c r="A6047" s="14">
        <v>43031.39892361111</v>
      </c>
      <c r="B6047" s="20" t="str">
        <f>HYPERLINK("https://twitter.com/rak_esh_raz","@rak_esh_raz")</f>
        <v>@rak_esh_raz</v>
      </c>
      <c r="C6047" s="21" t="s">
        <v>13706</v>
      </c>
      <c r="D6047" s="21" t="s">
        <v>42</v>
      </c>
      <c r="E6047" s="22" t="str">
        <f>HYPERLINK("https://twitter.com/rak_esh_raz/status/922501484201119744","922501484201119744")</f>
        <v>922501484201119744</v>
      </c>
      <c r="F6047" s="23" t="s">
        <v>33</v>
      </c>
      <c r="G6047" s="24">
        <v>118.0</v>
      </c>
      <c r="H6047" s="24">
        <v>33.0</v>
      </c>
      <c r="I6047" s="24">
        <v>8501.0</v>
      </c>
      <c r="J6047" s="24">
        <v>0.0</v>
      </c>
      <c r="K6047" s="23" t="s">
        <v>34</v>
      </c>
      <c r="L6047" s="25">
        <v>42610.204050925924</v>
      </c>
      <c r="M6047" s="26" t="s">
        <v>13707</v>
      </c>
      <c r="N6047" s="26" t="s">
        <v>13708</v>
      </c>
      <c r="O6047" s="22" t="str">
        <f>HYPERLINK("https://pbs.twimg.com/profile_images/866497123096907776/JWW5Vtrw_normal.jpg","View")</f>
        <v>View</v>
      </c>
      <c r="P6047" s="27"/>
    </row>
    <row r="6048">
      <c r="A6048" s="14">
        <v>43031.39900462963</v>
      </c>
      <c r="B6048" s="20" t="str">
        <f>HYPERLINK("https://twitter.com/6i4BN9EkiLkGJNj","@6i4BN9EkiLkGJNj")</f>
        <v>@6i4BN9EkiLkGJNj</v>
      </c>
      <c r="C6048" s="21" t="s">
        <v>13709</v>
      </c>
      <c r="D6048" s="21" t="s">
        <v>42</v>
      </c>
      <c r="E6048" s="22" t="str">
        <f>HYPERLINK("https://twitter.com/6i4BN9EkiLkGJNj/status/922501511086616576","922501511086616576")</f>
        <v>922501511086616576</v>
      </c>
      <c r="F6048" s="23" t="s">
        <v>33</v>
      </c>
      <c r="G6048" s="24">
        <v>942.0</v>
      </c>
      <c r="H6048" s="24">
        <v>1061.0</v>
      </c>
      <c r="I6048" s="24">
        <v>8501.0</v>
      </c>
      <c r="J6048" s="24">
        <v>0.0</v>
      </c>
      <c r="K6048" s="23" t="s">
        <v>34</v>
      </c>
      <c r="L6048" s="25">
        <v>42370.9450462963</v>
      </c>
      <c r="M6048" s="26" t="s">
        <v>13710</v>
      </c>
      <c r="N6048" s="26" t="s">
        <v>13711</v>
      </c>
      <c r="O6048" s="22" t="str">
        <f>HYPERLINK("https://pbs.twimg.com/profile_images/889094589684043776/D2UuaoPT_normal.jpg","View")</f>
        <v>View</v>
      </c>
      <c r="P6048" s="27"/>
    </row>
    <row r="6049">
      <c r="A6049" s="14">
        <v>43031.39902777778</v>
      </c>
      <c r="B6049" s="20" t="str">
        <f>HYPERLINK("https://twitter.com/krunox123","@krunox123")</f>
        <v>@krunox123</v>
      </c>
      <c r="C6049" s="21" t="s">
        <v>1750</v>
      </c>
      <c r="D6049" s="21" t="s">
        <v>13712</v>
      </c>
      <c r="E6049" s="22" t="str">
        <f>HYPERLINK("https://twitter.com/krunox123/status/922501521048207362","922501521048207362")</f>
        <v>922501521048207362</v>
      </c>
      <c r="F6049" s="23" t="s">
        <v>187</v>
      </c>
      <c r="G6049" s="24">
        <v>10220.0</v>
      </c>
      <c r="H6049" s="24">
        <v>2.0</v>
      </c>
      <c r="I6049" s="24">
        <v>0.0</v>
      </c>
      <c r="J6049" s="24">
        <v>0.0</v>
      </c>
      <c r="K6049" s="23" t="s">
        <v>34</v>
      </c>
      <c r="L6049" s="25">
        <v>40938.22789351852</v>
      </c>
      <c r="M6049" s="26" t="s">
        <v>1752</v>
      </c>
      <c r="N6049" s="26" t="s">
        <v>1753</v>
      </c>
      <c r="O6049" s="22" t="str">
        <f>HYPERLINK("https://pbs.twimg.com/profile_images/824952382618349568/2SFIkM2x_normal.jpg","View")</f>
        <v>View</v>
      </c>
      <c r="P6049" s="27"/>
    </row>
    <row r="6050">
      <c r="A6050" s="14">
        <v>43031.399097222224</v>
      </c>
      <c r="B6050" s="20" t="str">
        <f>HYPERLINK("https://twitter.com/rishav_suvarna","@rishav_suvarna")</f>
        <v>@rishav_suvarna</v>
      </c>
      <c r="C6050" s="21" t="s">
        <v>13713</v>
      </c>
      <c r="D6050" s="21" t="s">
        <v>42</v>
      </c>
      <c r="E6050" s="22" t="str">
        <f>HYPERLINK("https://twitter.com/rishav_suvarna/status/922501545924509696","922501545924509696")</f>
        <v>922501545924509696</v>
      </c>
      <c r="F6050" s="23" t="s">
        <v>33</v>
      </c>
      <c r="G6050" s="24">
        <v>28.0</v>
      </c>
      <c r="H6050" s="24">
        <v>291.0</v>
      </c>
      <c r="I6050" s="24">
        <v>8501.0</v>
      </c>
      <c r="J6050" s="24">
        <v>0.0</v>
      </c>
      <c r="K6050" s="23" t="s">
        <v>34</v>
      </c>
      <c r="L6050" s="25">
        <v>42990.332395833335</v>
      </c>
      <c r="M6050" s="26" t="s">
        <v>2589</v>
      </c>
      <c r="N6050" s="26" t="s">
        <v>13714</v>
      </c>
      <c r="O6050" s="22" t="str">
        <f>HYPERLINK("https://pbs.twimg.com/profile_images/910873987713925121/V8JrooJL_normal.jpg","View")</f>
        <v>View</v>
      </c>
      <c r="P6050" s="27"/>
    </row>
    <row r="6051">
      <c r="A6051" s="14">
        <v>43031.399097222224</v>
      </c>
      <c r="B6051" s="20" t="str">
        <f>HYPERLINK("https://twitter.com/AzaniaPost","@AzaniaPost")</f>
        <v>@AzaniaPost</v>
      </c>
      <c r="C6051" s="21" t="s">
        <v>13715</v>
      </c>
      <c r="D6051" s="21" t="s">
        <v>13716</v>
      </c>
      <c r="E6051" s="22" t="str">
        <f>HYPERLINK("https://twitter.com/AzaniaPost/status/922501547010949120","922501547010949120")</f>
        <v>922501547010949120</v>
      </c>
      <c r="F6051" s="23" t="s">
        <v>55</v>
      </c>
      <c r="G6051" s="24">
        <v>148.0</v>
      </c>
      <c r="H6051" s="24">
        <v>32.0</v>
      </c>
      <c r="I6051" s="24">
        <v>0.0</v>
      </c>
      <c r="J6051" s="24">
        <v>0.0</v>
      </c>
      <c r="K6051" s="23" t="s">
        <v>34</v>
      </c>
      <c r="L6051" s="25">
        <v>42571.98724537037</v>
      </c>
      <c r="M6051" s="26" t="s">
        <v>7136</v>
      </c>
      <c r="N6051" s="26" t="s">
        <v>13717</v>
      </c>
      <c r="O6051" s="22" t="str">
        <f>HYPERLINK("https://pbs.twimg.com/profile_images/870259415726907394/P3pt-bIk_normal.jpg","View")</f>
        <v>View</v>
      </c>
      <c r="P6051" s="27"/>
    </row>
    <row r="6052">
      <c r="A6052" s="14">
        <v>43031.39916666667</v>
      </c>
      <c r="B6052" s="20" t="str">
        <f>HYPERLINK("https://twitter.com/Politic_Pundit","@Politic_Pundit")</f>
        <v>@Politic_Pundit</v>
      </c>
      <c r="C6052" s="21" t="s">
        <v>13718</v>
      </c>
      <c r="D6052" s="21" t="s">
        <v>13719</v>
      </c>
      <c r="E6052" s="22" t="str">
        <f>HYPERLINK("https://twitter.com/Politic_Pundit/status/922501572990525441","922501572990525441")</f>
        <v>922501572990525441</v>
      </c>
      <c r="F6052" s="23" t="s">
        <v>187</v>
      </c>
      <c r="G6052" s="24">
        <v>92.0</v>
      </c>
      <c r="H6052" s="24">
        <v>28.0</v>
      </c>
      <c r="I6052" s="24">
        <v>0.0</v>
      </c>
      <c r="J6052" s="24">
        <v>0.0</v>
      </c>
      <c r="K6052" s="23" t="s">
        <v>34</v>
      </c>
      <c r="L6052" s="25">
        <v>42304.651921296296</v>
      </c>
      <c r="M6052" s="26" t="s">
        <v>68</v>
      </c>
      <c r="N6052" s="26" t="s">
        <v>13720</v>
      </c>
      <c r="O6052" s="22" t="str">
        <f>HYPERLINK("https://pbs.twimg.com/profile_images/911603820047720448/53ZJLupx_normal.jpg","View")</f>
        <v>View</v>
      </c>
      <c r="P6052" s="27"/>
    </row>
    <row r="6053">
      <c r="A6053" s="14">
        <v>43031.399189814816</v>
      </c>
      <c r="B6053" s="20" t="str">
        <f>HYPERLINK("https://twitter.com/NamVietNetwork","@NamVietNetwork")</f>
        <v>@NamVietNetwork</v>
      </c>
      <c r="C6053" s="21" t="s">
        <v>13721</v>
      </c>
      <c r="D6053" s="21" t="s">
        <v>13722</v>
      </c>
      <c r="E6053" s="22" t="str">
        <f>HYPERLINK("https://twitter.com/NamVietNetwork/status/922501580435480576","922501580435480576")</f>
        <v>922501580435480576</v>
      </c>
      <c r="F6053" s="23" t="s">
        <v>91</v>
      </c>
      <c r="G6053" s="24">
        <v>1538.0</v>
      </c>
      <c r="H6053" s="24">
        <v>147.0</v>
      </c>
      <c r="I6053" s="24">
        <v>0.0</v>
      </c>
      <c r="J6053" s="24">
        <v>0.0</v>
      </c>
      <c r="K6053" s="23" t="s">
        <v>34</v>
      </c>
      <c r="L6053" s="25">
        <v>40189.071747685186</v>
      </c>
      <c r="M6053" s="26" t="s">
        <v>13723</v>
      </c>
      <c r="N6053" s="26" t="s">
        <v>13724</v>
      </c>
      <c r="O6053" s="22" t="str">
        <f>HYPERLINK("https://pbs.twimg.com/profile_images/2509866256/6fjgs8rtts7014kqe70t_normal.jpeg","View")</f>
        <v>View</v>
      </c>
      <c r="P6053" s="27"/>
    </row>
    <row r="6054">
      <c r="A6054" s="14">
        <v>43031.39927083333</v>
      </c>
      <c r="B6054" s="20" t="str">
        <f>HYPERLINK("https://twitter.com/Anant9999353549","@Anant9999353549")</f>
        <v>@Anant9999353549</v>
      </c>
      <c r="C6054" s="21" t="s">
        <v>13725</v>
      </c>
      <c r="D6054" s="21" t="s">
        <v>42</v>
      </c>
      <c r="E6054" s="22" t="str">
        <f>HYPERLINK("https://twitter.com/Anant9999353549/status/922501609925500928","922501609925500928")</f>
        <v>922501609925500928</v>
      </c>
      <c r="F6054" s="23" t="s">
        <v>33</v>
      </c>
      <c r="G6054" s="24">
        <v>13.0</v>
      </c>
      <c r="H6054" s="24">
        <v>140.0</v>
      </c>
      <c r="I6054" s="24">
        <v>8501.0</v>
      </c>
      <c r="J6054" s="24">
        <v>0.0</v>
      </c>
      <c r="K6054" s="23" t="s">
        <v>34</v>
      </c>
      <c r="L6054" s="25">
        <v>42253.96915509259</v>
      </c>
      <c r="M6054" s="26" t="s">
        <v>13726</v>
      </c>
      <c r="N6054" s="26" t="s">
        <v>13727</v>
      </c>
      <c r="O6054" s="22" t="str">
        <f>HYPERLINK("https://pbs.twimg.com/profile_images/904009436640886784/oqijPo0l_normal.jpg","View")</f>
        <v>View</v>
      </c>
      <c r="P6054" s="27"/>
    </row>
    <row r="6055">
      <c r="A6055" s="14">
        <v>43031.39938657408</v>
      </c>
      <c r="B6055" s="20" t="str">
        <f>HYPERLINK("https://twitter.com/astro_zombies","@astro_zombies")</f>
        <v>@astro_zombies</v>
      </c>
      <c r="C6055" s="21" t="s">
        <v>13728</v>
      </c>
      <c r="D6055" s="21" t="s">
        <v>13729</v>
      </c>
      <c r="E6055" s="22" t="str">
        <f>HYPERLINK("https://twitter.com/astro_zombies/status/922501650085920768","922501650085920768")</f>
        <v>922501650085920768</v>
      </c>
      <c r="F6055" s="23" t="s">
        <v>3884</v>
      </c>
      <c r="G6055" s="24">
        <v>765.0</v>
      </c>
      <c r="H6055" s="24">
        <v>594.0</v>
      </c>
      <c r="I6055" s="24">
        <v>0.0</v>
      </c>
      <c r="J6055" s="24">
        <v>0.0</v>
      </c>
      <c r="K6055" s="23" t="s">
        <v>34</v>
      </c>
      <c r="L6055" s="25">
        <v>40629.165509259255</v>
      </c>
      <c r="M6055" s="26" t="s">
        <v>13730</v>
      </c>
      <c r="N6055" s="26" t="s">
        <v>13731</v>
      </c>
      <c r="O6055" s="22" t="str">
        <f>HYPERLINK("https://pbs.twimg.com/profile_images/836246634421854208/f3TE1ZNv_normal.jpg","View")</f>
        <v>View</v>
      </c>
      <c r="P6055" s="27"/>
    </row>
    <row r="6056">
      <c r="A6056" s="14">
        <v>43031.399409722224</v>
      </c>
      <c r="B6056" s="20" t="str">
        <f>HYPERLINK("https://twitter.com/rturtulici","@rturtulici")</f>
        <v>@rturtulici</v>
      </c>
      <c r="C6056" s="21" t="s">
        <v>13732</v>
      </c>
      <c r="D6056" s="21" t="s">
        <v>13733</v>
      </c>
      <c r="E6056" s="22" t="str">
        <f>HYPERLINK("https://twitter.com/rturtulici/status/922501660143968256","922501660143968256")</f>
        <v>922501660143968256</v>
      </c>
      <c r="F6056" s="23" t="s">
        <v>33</v>
      </c>
      <c r="G6056" s="24">
        <v>676.0</v>
      </c>
      <c r="H6056" s="24">
        <v>1984.0</v>
      </c>
      <c r="I6056" s="24">
        <v>1.0</v>
      </c>
      <c r="J6056" s="24">
        <v>0.0</v>
      </c>
      <c r="K6056" s="23" t="s">
        <v>34</v>
      </c>
      <c r="L6056" s="25">
        <v>40022.85422453703</v>
      </c>
      <c r="M6056" s="26" t="s">
        <v>13734</v>
      </c>
      <c r="N6056" s="26" t="s">
        <v>13735</v>
      </c>
      <c r="O6056" s="22" t="str">
        <f>HYPERLINK("https://pbs.twimg.com/profile_images/849761374444158976/fCWapcsF_normal.jpg","View")</f>
        <v>View</v>
      </c>
      <c r="P6056" s="27"/>
    </row>
    <row r="6057">
      <c r="A6057" s="14">
        <v>43031.39954861111</v>
      </c>
      <c r="B6057" s="20" t="str">
        <f>HYPERLINK("https://twitter.com/bramwlbowo","@bramwlbowo")</f>
        <v>@bramwlbowo</v>
      </c>
      <c r="C6057" s="21" t="s">
        <v>13736</v>
      </c>
      <c r="D6057" s="21" t="s">
        <v>6403</v>
      </c>
      <c r="E6057" s="22" t="str">
        <f>HYPERLINK("https://twitter.com/bramwlbowo/status/922501707829071872","922501707829071872")</f>
        <v>922501707829071872</v>
      </c>
      <c r="F6057" s="23" t="s">
        <v>33</v>
      </c>
      <c r="G6057" s="24">
        <v>67.0</v>
      </c>
      <c r="H6057" s="24">
        <v>2254.0</v>
      </c>
      <c r="I6057" s="24">
        <v>97.0</v>
      </c>
      <c r="J6057" s="24">
        <v>0.0</v>
      </c>
      <c r="K6057" s="23" t="s">
        <v>34</v>
      </c>
      <c r="L6057" s="25">
        <v>40650.14210648148</v>
      </c>
      <c r="M6057" s="26" t="s">
        <v>13737</v>
      </c>
      <c r="N6057" s="26" t="s">
        <v>13738</v>
      </c>
      <c r="O6057" s="22" t="str">
        <f>HYPERLINK("https://pbs.twimg.com/profile_images/764950276256268289/SVJAR_iS_normal.jpg","View")</f>
        <v>View</v>
      </c>
      <c r="P6057" s="27"/>
    </row>
    <row r="6058">
      <c r="A6058" s="14">
        <v>43031.39966435185</v>
      </c>
      <c r="B6058" s="20" t="str">
        <f>HYPERLINK("https://twitter.com/luanquan29425","@luanquan29425")</f>
        <v>@luanquan29425</v>
      </c>
      <c r="C6058" s="21" t="s">
        <v>10865</v>
      </c>
      <c r="D6058" s="21" t="s">
        <v>13739</v>
      </c>
      <c r="E6058" s="22" t="str">
        <f>HYPERLINK("https://twitter.com/luanquan29425/status/922501749956493314","922501749956493314")</f>
        <v>922501749956493314</v>
      </c>
      <c r="F6058" s="23" t="s">
        <v>55</v>
      </c>
      <c r="G6058" s="24">
        <v>0.0</v>
      </c>
      <c r="H6058" s="24">
        <v>0.0</v>
      </c>
      <c r="I6058" s="24">
        <v>0.0</v>
      </c>
      <c r="J6058" s="24">
        <v>0.0</v>
      </c>
      <c r="K6058" s="23" t="s">
        <v>34</v>
      </c>
      <c r="L6058" s="25">
        <v>43029.47225694444</v>
      </c>
      <c r="M6058" s="28"/>
      <c r="N6058" s="28"/>
      <c r="O6058" s="22" t="str">
        <f t="shared" ref="O6058:O6060" si="93">HYPERLINK("https://abs.twimg.com/sticky/default_profile_images/default_profile_normal.png","View")</f>
        <v>View</v>
      </c>
      <c r="P6058" s="27"/>
    </row>
    <row r="6059">
      <c r="A6059" s="14">
        <v>43031.399872685186</v>
      </c>
      <c r="B6059" s="20" t="str">
        <f>HYPERLINK("https://twitter.com/chandrav09","@chandrav09")</f>
        <v>@chandrav09</v>
      </c>
      <c r="C6059" s="21" t="s">
        <v>13740</v>
      </c>
      <c r="D6059" s="21" t="s">
        <v>42</v>
      </c>
      <c r="E6059" s="22" t="str">
        <f>HYPERLINK("https://twitter.com/chandrav09/status/922501826875760640","922501826875760640")</f>
        <v>922501826875760640</v>
      </c>
      <c r="F6059" s="23" t="s">
        <v>33</v>
      </c>
      <c r="G6059" s="24">
        <v>72.0</v>
      </c>
      <c r="H6059" s="24">
        <v>67.0</v>
      </c>
      <c r="I6059" s="24">
        <v>8501.0</v>
      </c>
      <c r="J6059" s="24">
        <v>0.0</v>
      </c>
      <c r="K6059" s="23" t="s">
        <v>34</v>
      </c>
      <c r="L6059" s="25">
        <v>42493.25717592593</v>
      </c>
      <c r="M6059" s="28"/>
      <c r="N6059" s="28"/>
      <c r="O6059" s="22" t="str">
        <f t="shared" si="93"/>
        <v>View</v>
      </c>
      <c r="P6059" s="27"/>
    </row>
    <row r="6060">
      <c r="A6060" s="14">
        <v>43031.40002314815</v>
      </c>
      <c r="B6060" s="20" t="str">
        <f>HYPERLINK("https://twitter.com/WilsonBeetle","@WilsonBeetle")</f>
        <v>@WilsonBeetle</v>
      </c>
      <c r="C6060" s="21" t="s">
        <v>13741</v>
      </c>
      <c r="D6060" s="21" t="s">
        <v>42</v>
      </c>
      <c r="E6060" s="22" t="str">
        <f>HYPERLINK("https://twitter.com/WilsonBeetle/status/922501882957914112","922501882957914112")</f>
        <v>922501882957914112</v>
      </c>
      <c r="F6060" s="23" t="s">
        <v>33</v>
      </c>
      <c r="G6060" s="24">
        <v>1.0</v>
      </c>
      <c r="H6060" s="24">
        <v>8.0</v>
      </c>
      <c r="I6060" s="24">
        <v>8501.0</v>
      </c>
      <c r="J6060" s="24">
        <v>0.0</v>
      </c>
      <c r="K6060" s="23" t="s">
        <v>34</v>
      </c>
      <c r="L6060" s="25">
        <v>42921.01493055555</v>
      </c>
      <c r="M6060" s="28"/>
      <c r="N6060" s="28"/>
      <c r="O6060" s="22" t="str">
        <f t="shared" si="93"/>
        <v>View</v>
      </c>
      <c r="P6060" s="27"/>
    </row>
    <row r="6061">
      <c r="A6061" s="14">
        <v>43031.40006944444</v>
      </c>
      <c r="B6061" s="20" t="str">
        <f>HYPERLINK("https://twitter.com/pankajchandak","@pankajchandak")</f>
        <v>@pankajchandak</v>
      </c>
      <c r="C6061" s="21" t="s">
        <v>13742</v>
      </c>
      <c r="D6061" s="21" t="s">
        <v>42</v>
      </c>
      <c r="E6061" s="22" t="str">
        <f>HYPERLINK("https://twitter.com/pankajchandak/status/922501899735019521","922501899735019521")</f>
        <v>922501899735019521</v>
      </c>
      <c r="F6061" s="23" t="s">
        <v>39</v>
      </c>
      <c r="G6061" s="24">
        <v>723.0</v>
      </c>
      <c r="H6061" s="24">
        <v>960.0</v>
      </c>
      <c r="I6061" s="24">
        <v>8501.0</v>
      </c>
      <c r="J6061" s="24">
        <v>0.0</v>
      </c>
      <c r="K6061" s="23" t="s">
        <v>34</v>
      </c>
      <c r="L6061" s="25">
        <v>40240.41144675926</v>
      </c>
      <c r="M6061" s="26" t="s">
        <v>13743</v>
      </c>
      <c r="N6061" s="26" t="s">
        <v>13744</v>
      </c>
      <c r="O6061" s="22" t="str">
        <f>HYPERLINK("https://pbs.twimg.com/profile_images/2228848274/DSC02152_normal.jpg","View")</f>
        <v>View</v>
      </c>
      <c r="P6061" s="27"/>
    </row>
    <row r="6062">
      <c r="A6062" s="14">
        <v>43031.40042824074</v>
      </c>
      <c r="B6062" s="20" t="str">
        <f>HYPERLINK("https://twitter.com/bright_on_","@bright_on_")</f>
        <v>@bright_on_</v>
      </c>
      <c r="C6062" s="21" t="s">
        <v>13745</v>
      </c>
      <c r="D6062" s="21" t="s">
        <v>32</v>
      </c>
      <c r="E6062" s="22" t="str">
        <f>HYPERLINK("https://twitter.com/bright_on_/status/922502029167284224","922502029167284224")</f>
        <v>922502029167284224</v>
      </c>
      <c r="F6062" s="23" t="s">
        <v>33</v>
      </c>
      <c r="G6062" s="24">
        <v>2242.0</v>
      </c>
      <c r="H6062" s="24">
        <v>1966.0</v>
      </c>
      <c r="I6062" s="24">
        <v>471.0</v>
      </c>
      <c r="J6062" s="24">
        <v>0.0</v>
      </c>
      <c r="K6062" s="23" t="s">
        <v>34</v>
      </c>
      <c r="L6062" s="25">
        <v>40784.1012962963</v>
      </c>
      <c r="M6062" s="28"/>
      <c r="N6062" s="26" t="s">
        <v>13746</v>
      </c>
      <c r="O6062" s="22" t="str">
        <f>HYPERLINK("https://pbs.twimg.com/profile_images/531398758001430530/QGuIym8t_normal.jpeg","View")</f>
        <v>View</v>
      </c>
      <c r="P6062" s="27"/>
    </row>
    <row r="6063">
      <c r="A6063" s="14">
        <v>43031.400451388894</v>
      </c>
      <c r="B6063" s="20" t="str">
        <f>HYPERLINK("https://twitter.com/Qvoso","@Qvoso")</f>
        <v>@Qvoso</v>
      </c>
      <c r="C6063" s="21" t="s">
        <v>13747</v>
      </c>
      <c r="D6063" s="21" t="s">
        <v>3245</v>
      </c>
      <c r="E6063" s="22" t="str">
        <f>HYPERLINK("https://twitter.com/Qvoso/status/922502037912166400","922502037912166400")</f>
        <v>922502037912166400</v>
      </c>
      <c r="F6063" s="23" t="s">
        <v>33</v>
      </c>
      <c r="G6063" s="24">
        <v>4.0</v>
      </c>
      <c r="H6063" s="24">
        <v>81.0</v>
      </c>
      <c r="I6063" s="24">
        <v>6.0</v>
      </c>
      <c r="J6063" s="24">
        <v>0.0</v>
      </c>
      <c r="K6063" s="23" t="s">
        <v>34</v>
      </c>
      <c r="L6063" s="25">
        <v>42642.35297453703</v>
      </c>
      <c r="M6063" s="26" t="s">
        <v>271</v>
      </c>
      <c r="N6063" s="28"/>
      <c r="O6063" s="22" t="str">
        <f>HYPERLINK("https://abs.twimg.com/sticky/default_profile_images/default_profile_normal.png","View")</f>
        <v>View</v>
      </c>
      <c r="P6063" s="27"/>
    </row>
    <row r="6064">
      <c r="A6064" s="14">
        <v>43031.400613425925</v>
      </c>
      <c r="B6064" s="20" t="str">
        <f>HYPERLINK("https://twitter.com/OfficeOfSR","@OfficeOfSR")</f>
        <v>@OfficeOfSR</v>
      </c>
      <c r="C6064" s="21" t="s">
        <v>13748</v>
      </c>
      <c r="D6064" s="21" t="s">
        <v>42</v>
      </c>
      <c r="E6064" s="22" t="str">
        <f>HYPERLINK("https://twitter.com/OfficeOfSR/status/922502095042834432","922502095042834432")</f>
        <v>922502095042834432</v>
      </c>
      <c r="F6064" s="23" t="s">
        <v>39</v>
      </c>
      <c r="G6064" s="24">
        <v>219.0</v>
      </c>
      <c r="H6064" s="24">
        <v>227.0</v>
      </c>
      <c r="I6064" s="24">
        <v>8501.0</v>
      </c>
      <c r="J6064" s="24">
        <v>0.0</v>
      </c>
      <c r="K6064" s="23" t="s">
        <v>34</v>
      </c>
      <c r="L6064" s="25">
        <v>42308.60188657408</v>
      </c>
      <c r="M6064" s="26" t="s">
        <v>4605</v>
      </c>
      <c r="N6064" s="26" t="s">
        <v>13749</v>
      </c>
      <c r="O6064" s="22" t="str">
        <f>HYPERLINK("https://pbs.twimg.com/profile_images/910594998478839808/1xTx8V1f_normal.jpg","View")</f>
        <v>View</v>
      </c>
      <c r="P6064" s="27"/>
    </row>
    <row r="6065">
      <c r="A6065" s="14">
        <v>43031.400671296295</v>
      </c>
      <c r="B6065" s="20" t="str">
        <f>HYPERLINK("https://twitter.com/tezuma75","@tezuma75")</f>
        <v>@tezuma75</v>
      </c>
      <c r="C6065" s="21" t="s">
        <v>13750</v>
      </c>
      <c r="D6065" s="21" t="s">
        <v>12565</v>
      </c>
      <c r="E6065" s="22" t="str">
        <f>HYPERLINK("https://twitter.com/tezuma75/status/922502116186374144","922502116186374144")</f>
        <v>922502116186374144</v>
      </c>
      <c r="F6065" s="23" t="s">
        <v>33</v>
      </c>
      <c r="G6065" s="24">
        <v>365.0</v>
      </c>
      <c r="H6065" s="24">
        <v>1609.0</v>
      </c>
      <c r="I6065" s="24">
        <v>32.0</v>
      </c>
      <c r="J6065" s="24">
        <v>0.0</v>
      </c>
      <c r="K6065" s="23" t="s">
        <v>34</v>
      </c>
      <c r="L6065" s="25">
        <v>40796.24967592592</v>
      </c>
      <c r="M6065" s="26" t="s">
        <v>13751</v>
      </c>
      <c r="N6065" s="26" t="s">
        <v>13752</v>
      </c>
      <c r="O6065" s="22" t="str">
        <f>HYPERLINK("https://pbs.twimg.com/profile_images/883089556379017217/YmqNlQsU_normal.jpg","View")</f>
        <v>View</v>
      </c>
      <c r="P6065" s="27"/>
    </row>
    <row r="6066">
      <c r="A6066" s="14">
        <v>43031.400729166664</v>
      </c>
      <c r="B6066" s="20" t="str">
        <f>HYPERLINK("https://twitter.com/sawhney_d","@sawhney_d")</f>
        <v>@sawhney_d</v>
      </c>
      <c r="C6066" s="21" t="s">
        <v>13753</v>
      </c>
      <c r="D6066" s="21" t="s">
        <v>163</v>
      </c>
      <c r="E6066" s="22" t="str">
        <f>HYPERLINK("https://twitter.com/sawhney_d/status/922502137111707648","922502137111707648")</f>
        <v>922502137111707648</v>
      </c>
      <c r="F6066" s="23" t="s">
        <v>39</v>
      </c>
      <c r="G6066" s="24">
        <v>40.0</v>
      </c>
      <c r="H6066" s="24">
        <v>248.0</v>
      </c>
      <c r="I6066" s="24">
        <v>1005.0</v>
      </c>
      <c r="J6066" s="24">
        <v>0.0</v>
      </c>
      <c r="K6066" s="23" t="s">
        <v>34</v>
      </c>
      <c r="L6066" s="25">
        <v>41777.95520833333</v>
      </c>
      <c r="M6066" s="28"/>
      <c r="N6066" s="28"/>
      <c r="O6066" s="22" t="str">
        <f>HYPERLINK("https://abs.twimg.com/sticky/default_profile_images/default_profile_normal.png","View")</f>
        <v>View</v>
      </c>
      <c r="P6066" s="27"/>
    </row>
    <row r="6067">
      <c r="A6067" s="14">
        <v>43031.40085648149</v>
      </c>
      <c r="B6067" s="20" t="str">
        <f>HYPERLINK("https://twitter.com/NixauToma","@NixauToma")</f>
        <v>@NixauToma</v>
      </c>
      <c r="C6067" s="21" t="s">
        <v>13754</v>
      </c>
      <c r="D6067" s="21" t="s">
        <v>42</v>
      </c>
      <c r="E6067" s="22" t="str">
        <f>HYPERLINK("https://twitter.com/NixauToma/status/922502181718081536","922502181718081536")</f>
        <v>922502181718081536</v>
      </c>
      <c r="F6067" s="23" t="s">
        <v>43</v>
      </c>
      <c r="G6067" s="24">
        <v>245.0</v>
      </c>
      <c r="H6067" s="24">
        <v>87.0</v>
      </c>
      <c r="I6067" s="24">
        <v>8501.0</v>
      </c>
      <c r="J6067" s="24">
        <v>0.0</v>
      </c>
      <c r="K6067" s="23" t="s">
        <v>34</v>
      </c>
      <c r="L6067" s="25">
        <v>42315.779444444444</v>
      </c>
      <c r="M6067" s="26" t="s">
        <v>13294</v>
      </c>
      <c r="N6067" s="26" t="s">
        <v>13755</v>
      </c>
      <c r="O6067" s="22" t="str">
        <f>HYPERLINK("https://pbs.twimg.com/profile_images/909062172914851840/qGCTRpZd_normal.jpg","View")</f>
        <v>View</v>
      </c>
      <c r="P6067" s="27"/>
    </row>
    <row r="6068">
      <c r="A6068" s="14">
        <v>43031.400868055556</v>
      </c>
      <c r="B6068" s="20" t="str">
        <f>HYPERLINK("https://twitter.com/anandrajpurohit","@anandrajpurohit")</f>
        <v>@anandrajpurohit</v>
      </c>
      <c r="C6068" s="21" t="s">
        <v>9126</v>
      </c>
      <c r="D6068" s="21" t="s">
        <v>42</v>
      </c>
      <c r="E6068" s="22" t="str">
        <f>HYPERLINK("https://twitter.com/anandrajpurohit/status/922502185904087040","922502185904087040")</f>
        <v>922502185904087040</v>
      </c>
      <c r="F6068" s="23" t="s">
        <v>39</v>
      </c>
      <c r="G6068" s="24">
        <v>1742.0</v>
      </c>
      <c r="H6068" s="24">
        <v>2145.0</v>
      </c>
      <c r="I6068" s="24">
        <v>8501.0</v>
      </c>
      <c r="J6068" s="24">
        <v>0.0</v>
      </c>
      <c r="K6068" s="23" t="s">
        <v>34</v>
      </c>
      <c r="L6068" s="25">
        <v>40017.46366898148</v>
      </c>
      <c r="M6068" s="26" t="s">
        <v>204</v>
      </c>
      <c r="N6068" s="26" t="s">
        <v>13756</v>
      </c>
      <c r="O6068" s="22" t="str">
        <f>HYPERLINK("https://pbs.twimg.com/profile_images/906170981793677312/QKi3P6st_normal.jpg","View")</f>
        <v>View</v>
      </c>
      <c r="P6068" s="27"/>
    </row>
    <row r="6069">
      <c r="A6069" s="14">
        <v>43031.400868055556</v>
      </c>
      <c r="B6069" s="20" t="str">
        <f>HYPERLINK("https://twitter.com/toddler_treat","@toddler_treat")</f>
        <v>@toddler_treat</v>
      </c>
      <c r="C6069" s="21" t="s">
        <v>13757</v>
      </c>
      <c r="D6069" s="21" t="s">
        <v>13758</v>
      </c>
      <c r="E6069" s="22" t="str">
        <f>HYPERLINK("https://twitter.com/toddler_treat/status/922502187888140289","922502187888140289")</f>
        <v>922502187888140289</v>
      </c>
      <c r="F6069" s="23" t="s">
        <v>91</v>
      </c>
      <c r="G6069" s="24">
        <v>128.0</v>
      </c>
      <c r="H6069" s="24">
        <v>211.0</v>
      </c>
      <c r="I6069" s="24">
        <v>0.0</v>
      </c>
      <c r="J6069" s="24">
        <v>0.0</v>
      </c>
      <c r="K6069" s="23" t="s">
        <v>34</v>
      </c>
      <c r="L6069" s="25">
        <v>41237.36135416667</v>
      </c>
      <c r="M6069" s="26" t="s">
        <v>13759</v>
      </c>
      <c r="N6069" s="28"/>
      <c r="O6069" s="22" t="str">
        <f>HYPERLINK("https://pbs.twimg.com/profile_images/3025251286/5cfe0f3e4c3f0d44cb664a98b9e6f156_normal.jpeg","View")</f>
        <v>View</v>
      </c>
      <c r="P6069" s="27"/>
    </row>
    <row r="6070">
      <c r="A6070" s="14">
        <v>43031.400925925926</v>
      </c>
      <c r="B6070" s="20" t="str">
        <f>HYPERLINK("https://twitter.com/Marketsview","@Marketsview")</f>
        <v>@Marketsview</v>
      </c>
      <c r="C6070" s="21" t="s">
        <v>13760</v>
      </c>
      <c r="D6070" s="21" t="s">
        <v>13761</v>
      </c>
      <c r="E6070" s="22" t="str">
        <f>HYPERLINK("https://twitter.com/Marketsview/status/922502207081189376","922502207081189376")</f>
        <v>922502207081189376</v>
      </c>
      <c r="F6070" s="23" t="s">
        <v>187</v>
      </c>
      <c r="G6070" s="24">
        <v>695.0</v>
      </c>
      <c r="H6070" s="24">
        <v>92.0</v>
      </c>
      <c r="I6070" s="24">
        <v>0.0</v>
      </c>
      <c r="J6070" s="24">
        <v>0.0</v>
      </c>
      <c r="K6070" s="23" t="s">
        <v>34</v>
      </c>
      <c r="L6070" s="25">
        <v>40015.131631944445</v>
      </c>
      <c r="M6070" s="28"/>
      <c r="N6070" s="28"/>
      <c r="O6070" s="22" t="str">
        <f>HYPERLINK("https://pbs.twimg.com/profile_images/3533046052/37f0f71c4fc674a342cda1a4a579205c_normal.jpeg","View")</f>
        <v>View</v>
      </c>
      <c r="P6070" s="27"/>
    </row>
    <row r="6071">
      <c r="A6071" s="14">
        <v>43031.400972222225</v>
      </c>
      <c r="B6071" s="20" t="str">
        <f>HYPERLINK("https://twitter.com/msfsinfo","@msfsinfo")</f>
        <v>@msfsinfo</v>
      </c>
      <c r="C6071" s="21" t="s">
        <v>13762</v>
      </c>
      <c r="D6071" s="21" t="s">
        <v>13763</v>
      </c>
      <c r="E6071" s="22" t="str">
        <f>HYPERLINK("https://twitter.com/msfsinfo/status/922502223640264704","922502223640264704")</f>
        <v>922502223640264704</v>
      </c>
      <c r="F6071" s="23" t="s">
        <v>427</v>
      </c>
      <c r="G6071" s="24">
        <v>3453.0</v>
      </c>
      <c r="H6071" s="24">
        <v>2996.0</v>
      </c>
      <c r="I6071" s="24">
        <v>0.0</v>
      </c>
      <c r="J6071" s="24">
        <v>0.0</v>
      </c>
      <c r="K6071" s="23" t="s">
        <v>34</v>
      </c>
      <c r="L6071" s="25">
        <v>39896.4378587963</v>
      </c>
      <c r="M6071" s="26" t="s">
        <v>4239</v>
      </c>
      <c r="N6071" s="26" t="s">
        <v>13764</v>
      </c>
      <c r="O6071" s="22" t="str">
        <f>HYPERLINK("https://pbs.twimg.com/profile_images/1133962560/facebook_prof_pic_normal.JPG","View")</f>
        <v>View</v>
      </c>
      <c r="P6071" s="27"/>
    </row>
    <row r="6072">
      <c r="A6072" s="14">
        <v>43031.40107638889</v>
      </c>
      <c r="B6072" s="20" t="str">
        <f>HYPERLINK("https://twitter.com/kengtwo","@kengtwo")</f>
        <v>@kengtwo</v>
      </c>
      <c r="C6072" s="21" t="s">
        <v>13765</v>
      </c>
      <c r="D6072" s="21" t="s">
        <v>13766</v>
      </c>
      <c r="E6072" s="22" t="str">
        <f>HYPERLINK("https://twitter.com/kengtwo/status/922502263389675520","922502263389675520")</f>
        <v>922502263389675520</v>
      </c>
      <c r="F6072" s="23" t="s">
        <v>55</v>
      </c>
      <c r="G6072" s="24">
        <v>2117.0</v>
      </c>
      <c r="H6072" s="24">
        <v>2408.0</v>
      </c>
      <c r="I6072" s="24">
        <v>0.0</v>
      </c>
      <c r="J6072" s="24">
        <v>0.0</v>
      </c>
      <c r="K6072" s="23" t="s">
        <v>34</v>
      </c>
      <c r="L6072" s="25">
        <v>40270.3575462963</v>
      </c>
      <c r="M6072" s="26" t="s">
        <v>13767</v>
      </c>
      <c r="N6072" s="26" t="s">
        <v>13768</v>
      </c>
      <c r="O6072" s="22" t="str">
        <f>HYPERLINK("https://pbs.twimg.com/profile_images/671721173244186625/pKe6Gj-O_normal.jpg","View")</f>
        <v>View</v>
      </c>
      <c r="P6072" s="27"/>
    </row>
    <row r="6073">
      <c r="A6073" s="14">
        <v>43031.40113425926</v>
      </c>
      <c r="B6073" s="20" t="str">
        <f>HYPERLINK("https://twitter.com/reddaakatsuki92","@reddaakatsuki92")</f>
        <v>@reddaakatsuki92</v>
      </c>
      <c r="C6073" s="21" t="s">
        <v>13769</v>
      </c>
      <c r="D6073" s="21" t="s">
        <v>10614</v>
      </c>
      <c r="E6073" s="22" t="str">
        <f>HYPERLINK("https://twitter.com/reddaakatsuki92/status/922502283455270913","922502283455270913")</f>
        <v>922502283455270913</v>
      </c>
      <c r="F6073" s="23" t="s">
        <v>39</v>
      </c>
      <c r="G6073" s="24">
        <v>1442.0</v>
      </c>
      <c r="H6073" s="24">
        <v>178.0</v>
      </c>
      <c r="I6073" s="24">
        <v>159.0</v>
      </c>
      <c r="J6073" s="24">
        <v>0.0</v>
      </c>
      <c r="K6073" s="23" t="s">
        <v>34</v>
      </c>
      <c r="L6073" s="25">
        <v>42684.766701388886</v>
      </c>
      <c r="M6073" s="28"/>
      <c r="N6073" s="28"/>
      <c r="O6073" s="22" t="str">
        <f>HYPERLINK("https://pbs.twimg.com/profile_images/880267928272330752/rBPARKnF_normal.jpg","View")</f>
        <v>View</v>
      </c>
      <c r="P6073" s="27"/>
    </row>
    <row r="6074">
      <c r="A6074" s="14">
        <v>43031.40126157408</v>
      </c>
      <c r="B6074" s="20" t="str">
        <f>HYPERLINK("https://twitter.com/salaria_sandeep","@salaria_sandeep")</f>
        <v>@salaria_sandeep</v>
      </c>
      <c r="C6074" s="21" t="s">
        <v>13770</v>
      </c>
      <c r="D6074" s="21" t="s">
        <v>42</v>
      </c>
      <c r="E6074" s="22" t="str">
        <f>HYPERLINK("https://twitter.com/salaria_sandeep/status/922502328573464577","922502328573464577")</f>
        <v>922502328573464577</v>
      </c>
      <c r="F6074" s="23" t="s">
        <v>33</v>
      </c>
      <c r="G6074" s="24">
        <v>43.0</v>
      </c>
      <c r="H6074" s="24">
        <v>61.0</v>
      </c>
      <c r="I6074" s="24">
        <v>8501.0</v>
      </c>
      <c r="J6074" s="24">
        <v>0.0</v>
      </c>
      <c r="K6074" s="23" t="s">
        <v>34</v>
      </c>
      <c r="L6074" s="25">
        <v>41349.33862268519</v>
      </c>
      <c r="M6074" s="28"/>
      <c r="N6074" s="26" t="s">
        <v>13771</v>
      </c>
      <c r="O6074" s="22" t="str">
        <f>HYPERLINK("https://pbs.twimg.com/profile_images/412582299557851138/13VSZcnE_normal.jpeg","View")</f>
        <v>View</v>
      </c>
      <c r="P6074" s="27"/>
    </row>
    <row r="6075">
      <c r="A6075" s="14">
        <v>43031.40130787037</v>
      </c>
      <c r="B6075" s="20" t="str">
        <f>HYPERLINK("https://twitter.com/b_Ky0m4","@b_Ky0m4")</f>
        <v>@b_Ky0m4</v>
      </c>
      <c r="C6075" s="21" t="s">
        <v>13772</v>
      </c>
      <c r="D6075" s="21" t="s">
        <v>13773</v>
      </c>
      <c r="E6075" s="22" t="str">
        <f>HYPERLINK("https://twitter.com/b_Ky0m4/status/922502348185980930","922502348185980930")</f>
        <v>922502348185980930</v>
      </c>
      <c r="F6075" s="23" t="s">
        <v>55</v>
      </c>
      <c r="G6075" s="24">
        <v>200.0</v>
      </c>
      <c r="H6075" s="24">
        <v>342.0</v>
      </c>
      <c r="I6075" s="24">
        <v>0.0</v>
      </c>
      <c r="J6075" s="24">
        <v>0.0</v>
      </c>
      <c r="K6075" s="23" t="s">
        <v>34</v>
      </c>
      <c r="L6075" s="25">
        <v>41905.45027777778</v>
      </c>
      <c r="M6075" s="26" t="s">
        <v>13774</v>
      </c>
      <c r="N6075" s="26" t="s">
        <v>13775</v>
      </c>
      <c r="O6075" s="22" t="str">
        <f>HYPERLINK("https://pbs.twimg.com/profile_images/642089847390257153/vqXX2eEf_normal.jpg","View")</f>
        <v>View</v>
      </c>
      <c r="P6075" s="27"/>
    </row>
    <row r="6076">
      <c r="A6076" s="14">
        <v>43031.401400462964</v>
      </c>
      <c r="B6076" s="20" t="str">
        <f>HYPERLINK("https://twitter.com/otrwyd","@otrwyd")</f>
        <v>@otrwyd</v>
      </c>
      <c r="C6076" s="21" t="s">
        <v>13776</v>
      </c>
      <c r="D6076" s="21" t="s">
        <v>42</v>
      </c>
      <c r="E6076" s="22" t="str">
        <f>HYPERLINK("https://twitter.com/otrwyd/status/922502380481945601","922502380481945601")</f>
        <v>922502380481945601</v>
      </c>
      <c r="F6076" s="23" t="s">
        <v>55</v>
      </c>
      <c r="G6076" s="24">
        <v>2280.0</v>
      </c>
      <c r="H6076" s="24">
        <v>5002.0</v>
      </c>
      <c r="I6076" s="24">
        <v>8501.0</v>
      </c>
      <c r="J6076" s="24">
        <v>0.0</v>
      </c>
      <c r="K6076" s="23" t="s">
        <v>34</v>
      </c>
      <c r="L6076" s="25">
        <v>41057.8975</v>
      </c>
      <c r="M6076" s="26" t="s">
        <v>8308</v>
      </c>
      <c r="N6076" s="28"/>
      <c r="O6076" s="22" t="str">
        <f>HYPERLINK("https://pbs.twimg.com/profile_images/650304716539170816/L4fxw83T_normal.jpg","View")</f>
        <v>View</v>
      </c>
      <c r="P6076" s="27"/>
    </row>
    <row r="6077">
      <c r="A6077" s="14">
        <v>43031.401458333334</v>
      </c>
      <c r="B6077" s="20" t="str">
        <f>HYPERLINK("https://twitter.com/canoe21","@canoe21")</f>
        <v>@canoe21</v>
      </c>
      <c r="C6077" s="21" t="s">
        <v>5717</v>
      </c>
      <c r="D6077" s="21" t="s">
        <v>13777</v>
      </c>
      <c r="E6077" s="22" t="str">
        <f>HYPERLINK("https://twitter.com/canoe21/status/922502403710177280","922502403710177280")</f>
        <v>922502403710177280</v>
      </c>
      <c r="F6077" s="23" t="s">
        <v>187</v>
      </c>
      <c r="G6077" s="24">
        <v>91.0</v>
      </c>
      <c r="H6077" s="24">
        <v>177.0</v>
      </c>
      <c r="I6077" s="24">
        <v>0.0</v>
      </c>
      <c r="J6077" s="24">
        <v>0.0</v>
      </c>
      <c r="K6077" s="23" t="s">
        <v>34</v>
      </c>
      <c r="L6077" s="25">
        <v>39959.21364583333</v>
      </c>
      <c r="M6077" s="26" t="s">
        <v>3230</v>
      </c>
      <c r="N6077" s="26" t="s">
        <v>5719</v>
      </c>
      <c r="O6077" s="22" t="str">
        <f>HYPERLINK("https://pbs.twimg.com/profile_images/1282487616/___2_normal.jpg","View")</f>
        <v>View</v>
      </c>
      <c r="P6077" s="27"/>
    </row>
    <row r="6078">
      <c r="A6078" s="14">
        <v>43031.40170138889</v>
      </c>
      <c r="B6078" s="20" t="str">
        <f>HYPERLINK("https://twitter.com/ajayn61","@ajayn61")</f>
        <v>@ajayn61</v>
      </c>
      <c r="C6078" s="21" t="s">
        <v>13778</v>
      </c>
      <c r="D6078" s="21" t="s">
        <v>42</v>
      </c>
      <c r="E6078" s="22" t="str">
        <f>HYPERLINK("https://twitter.com/ajayn61/status/922502489991081984","922502489991081984")</f>
        <v>922502489991081984</v>
      </c>
      <c r="F6078" s="23" t="s">
        <v>33</v>
      </c>
      <c r="G6078" s="24">
        <v>67.0</v>
      </c>
      <c r="H6078" s="24">
        <v>379.0</v>
      </c>
      <c r="I6078" s="24">
        <v>8501.0</v>
      </c>
      <c r="J6078" s="24">
        <v>0.0</v>
      </c>
      <c r="K6078" s="23" t="s">
        <v>34</v>
      </c>
      <c r="L6078" s="25">
        <v>40300.9725</v>
      </c>
      <c r="M6078" s="26" t="s">
        <v>13779</v>
      </c>
      <c r="N6078" s="28"/>
      <c r="O6078" s="22" t="str">
        <f>HYPERLINK("https://pbs.twimg.com/profile_images/1260991080/Photo-0042_normal.jpg","View")</f>
        <v>View</v>
      </c>
      <c r="P6078" s="27"/>
    </row>
    <row r="6079">
      <c r="A6079" s="14">
        <v>43031.40195601852</v>
      </c>
      <c r="B6079" s="20" t="str">
        <f>HYPERLINK("https://twitter.com/JapanVisitor","@JapanVisitor")</f>
        <v>@JapanVisitor</v>
      </c>
      <c r="C6079" s="21" t="s">
        <v>13780</v>
      </c>
      <c r="D6079" s="21" t="s">
        <v>13781</v>
      </c>
      <c r="E6079" s="22" t="str">
        <f>HYPERLINK("https://twitter.com/JapanVisitor/status/922502582270009345","922502582270009345")</f>
        <v>922502582270009345</v>
      </c>
      <c r="F6079" s="23" t="s">
        <v>55</v>
      </c>
      <c r="G6079" s="24">
        <v>7398.0</v>
      </c>
      <c r="H6079" s="24">
        <v>1959.0</v>
      </c>
      <c r="I6079" s="24">
        <v>0.0</v>
      </c>
      <c r="J6079" s="24">
        <v>1.0</v>
      </c>
      <c r="K6079" s="23" t="s">
        <v>34</v>
      </c>
      <c r="L6079" s="25">
        <v>39522.412094907406</v>
      </c>
      <c r="M6079" s="26" t="s">
        <v>13782</v>
      </c>
      <c r="N6079" s="26" t="s">
        <v>13783</v>
      </c>
      <c r="O6079" s="22" t="str">
        <f>HYPERLINK("https://pbs.twimg.com/profile_images/59821609/jv-logo_normal.jpg","View")</f>
        <v>View</v>
      </c>
      <c r="P6079" s="27"/>
    </row>
    <row r="6080">
      <c r="A6080" s="14">
        <v>43031.402083333334</v>
      </c>
      <c r="B6080" s="20" t="str">
        <f>HYPERLINK("https://twitter.com/kuriharan","@kuriharan")</f>
        <v>@kuriharan</v>
      </c>
      <c r="C6080" s="21" t="s">
        <v>13784</v>
      </c>
      <c r="D6080" s="21" t="s">
        <v>13785</v>
      </c>
      <c r="E6080" s="22" t="str">
        <f>HYPERLINK("https://twitter.com/kuriharan/status/922502628063318016","922502628063318016")</f>
        <v>922502628063318016</v>
      </c>
      <c r="F6080" s="23" t="s">
        <v>769</v>
      </c>
      <c r="G6080" s="24">
        <v>25310.0</v>
      </c>
      <c r="H6080" s="24">
        <v>23977.0</v>
      </c>
      <c r="I6080" s="24">
        <v>2.0</v>
      </c>
      <c r="J6080" s="24">
        <v>1.0</v>
      </c>
      <c r="K6080" s="23" t="s">
        <v>34</v>
      </c>
      <c r="L6080" s="25">
        <v>40290.339837962965</v>
      </c>
      <c r="M6080" s="26" t="s">
        <v>3693</v>
      </c>
      <c r="N6080" s="26" t="s">
        <v>13786</v>
      </c>
      <c r="O6080" s="22" t="str">
        <f>HYPERLINK("https://pbs.twimg.com/profile_images/2510071258/293602_198108886915711_3847245_n-1_normal.png","View")</f>
        <v>View</v>
      </c>
      <c r="P6080" s="27"/>
    </row>
    <row r="6081">
      <c r="A6081" s="14">
        <v>43031.40211805556</v>
      </c>
      <c r="B6081" s="20" t="str">
        <f>HYPERLINK("https://twitter.com/General_News_","@General_News_")</f>
        <v>@General_News_</v>
      </c>
      <c r="C6081" s="21" t="s">
        <v>13787</v>
      </c>
      <c r="D6081" s="21" t="s">
        <v>13788</v>
      </c>
      <c r="E6081" s="22" t="str">
        <f>HYPERLINK("https://twitter.com/General_News_/status/922502640440922112","922502640440922112")</f>
        <v>922502640440922112</v>
      </c>
      <c r="F6081" s="23" t="s">
        <v>1020</v>
      </c>
      <c r="G6081" s="24">
        <v>1982.0</v>
      </c>
      <c r="H6081" s="24">
        <v>1964.0</v>
      </c>
      <c r="I6081" s="24">
        <v>0.0</v>
      </c>
      <c r="J6081" s="24">
        <v>0.0</v>
      </c>
      <c r="K6081" s="23" t="s">
        <v>34</v>
      </c>
      <c r="L6081" s="25">
        <v>40621.34769675926</v>
      </c>
      <c r="M6081" s="26" t="s">
        <v>68</v>
      </c>
      <c r="N6081" s="26" t="s">
        <v>13789</v>
      </c>
      <c r="O6081" s="22" t="str">
        <f>HYPERLINK("https://pbs.twimg.com/profile_images/1279304346/Afbeelding_35_normal.png","View")</f>
        <v>View</v>
      </c>
      <c r="P6081" s="27"/>
    </row>
    <row r="6082">
      <c r="A6082" s="14">
        <v>43031.40215277778</v>
      </c>
      <c r="B6082" s="20" t="str">
        <f>HYPERLINK("https://twitter.com/BondsDiva","@BondsDiva")</f>
        <v>@BondsDiva</v>
      </c>
      <c r="C6082" s="21" t="s">
        <v>13790</v>
      </c>
      <c r="D6082" s="21" t="s">
        <v>13791</v>
      </c>
      <c r="E6082" s="22" t="str">
        <f>HYPERLINK("https://twitter.com/BondsDiva/status/922502651736199168","922502651736199168")</f>
        <v>922502651736199168</v>
      </c>
      <c r="F6082" s="23" t="s">
        <v>55</v>
      </c>
      <c r="G6082" s="24">
        <v>6.0</v>
      </c>
      <c r="H6082" s="24">
        <v>18.0</v>
      </c>
      <c r="I6082" s="24">
        <v>10.0</v>
      </c>
      <c r="J6082" s="24">
        <v>0.0</v>
      </c>
      <c r="K6082" s="23" t="s">
        <v>34</v>
      </c>
      <c r="L6082" s="25">
        <v>41171.83729166667</v>
      </c>
      <c r="M6082" s="28"/>
      <c r="N6082" s="26" t="s">
        <v>13792</v>
      </c>
      <c r="O6082" s="22" t="str">
        <f>HYPERLINK("https://pbs.twimg.com/profile_images/2628889827/5275ef2adb7e778ddaa0321fedf65c88_normal.jpeg","View")</f>
        <v>View</v>
      </c>
      <c r="P6082" s="27"/>
    </row>
    <row r="6083">
      <c r="A6083" s="14">
        <v>43031.40216435185</v>
      </c>
      <c r="B6083" s="20" t="str">
        <f>HYPERLINK("https://twitter.com/kotaknaren","@kotaknaren")</f>
        <v>@kotaknaren</v>
      </c>
      <c r="C6083" s="21" t="s">
        <v>2729</v>
      </c>
      <c r="D6083" s="21" t="s">
        <v>13793</v>
      </c>
      <c r="E6083" s="22" t="str">
        <f>HYPERLINK("https://twitter.com/kotaknaren/status/922502659332067334","922502659332067334")</f>
        <v>922502659332067334</v>
      </c>
      <c r="F6083" s="23" t="s">
        <v>91</v>
      </c>
      <c r="G6083" s="24">
        <v>995.0</v>
      </c>
      <c r="H6083" s="24">
        <v>2681.0</v>
      </c>
      <c r="I6083" s="24">
        <v>1.0</v>
      </c>
      <c r="J6083" s="24">
        <v>0.0</v>
      </c>
      <c r="K6083" s="23" t="s">
        <v>34</v>
      </c>
      <c r="L6083" s="25">
        <v>40248.48484953704</v>
      </c>
      <c r="M6083" s="26" t="s">
        <v>207</v>
      </c>
      <c r="N6083" s="26" t="s">
        <v>2731</v>
      </c>
      <c r="O6083" s="22" t="str">
        <f>HYPERLINK("https://pbs.twimg.com/profile_images/813794228098564096/IEzFNegT_normal.jpg","View")</f>
        <v>View</v>
      </c>
      <c r="P6083" s="27"/>
    </row>
    <row r="6084">
      <c r="A6084" s="14">
        <v>43031.40219907407</v>
      </c>
      <c r="B6084" s="20" t="str">
        <f>HYPERLINK("https://twitter.com/Hardikpatel2785","@Hardikpatel2785")</f>
        <v>@Hardikpatel2785</v>
      </c>
      <c r="C6084" s="21" t="s">
        <v>13794</v>
      </c>
      <c r="D6084" s="21" t="s">
        <v>42</v>
      </c>
      <c r="E6084" s="22" t="str">
        <f>HYPERLINK("https://twitter.com/Hardikpatel2785/status/922502668299280384","922502668299280384")</f>
        <v>922502668299280384</v>
      </c>
      <c r="F6084" s="23" t="s">
        <v>33</v>
      </c>
      <c r="G6084" s="24">
        <v>852.0</v>
      </c>
      <c r="H6084" s="24">
        <v>4857.0</v>
      </c>
      <c r="I6084" s="24">
        <v>8501.0</v>
      </c>
      <c r="J6084" s="24">
        <v>0.0</v>
      </c>
      <c r="K6084" s="23" t="s">
        <v>34</v>
      </c>
      <c r="L6084" s="25">
        <v>41456.18166666667</v>
      </c>
      <c r="M6084" s="26" t="s">
        <v>13795</v>
      </c>
      <c r="N6084" s="26" t="s">
        <v>13796</v>
      </c>
      <c r="O6084" s="22" t="str">
        <f>HYPERLINK("https://pbs.twimg.com/profile_images/731372873214910465/l3UVVxSI_normal.jpg","View")</f>
        <v>View</v>
      </c>
      <c r="P6084" s="27"/>
    </row>
    <row r="6085">
      <c r="A6085" s="14">
        <v>43031.40219907407</v>
      </c>
      <c r="B6085" s="20" t="str">
        <f>HYPERLINK("https://twitter.com/mpostdigital","@mpostdigital")</f>
        <v>@mpostdigital</v>
      </c>
      <c r="C6085" s="21" t="s">
        <v>13797</v>
      </c>
      <c r="D6085" s="21" t="s">
        <v>13798</v>
      </c>
      <c r="E6085" s="22" t="str">
        <f>HYPERLINK("https://twitter.com/mpostdigital/status/922502669264076800","922502669264076800")</f>
        <v>922502669264076800</v>
      </c>
      <c r="F6085" s="23" t="s">
        <v>13799</v>
      </c>
      <c r="G6085" s="24">
        <v>254.0</v>
      </c>
      <c r="H6085" s="24">
        <v>43.0</v>
      </c>
      <c r="I6085" s="24">
        <v>0.0</v>
      </c>
      <c r="J6085" s="24">
        <v>0.0</v>
      </c>
      <c r="K6085" s="23" t="s">
        <v>34</v>
      </c>
      <c r="L6085" s="25">
        <v>42499.24657407407</v>
      </c>
      <c r="M6085" s="26" t="s">
        <v>575</v>
      </c>
      <c r="N6085" s="26" t="s">
        <v>13800</v>
      </c>
      <c r="O6085" s="22" t="str">
        <f>HYPERLINK("https://pbs.twimg.com/profile_images/780339756831866880/ha2WUSSx_normal.jpg","View")</f>
        <v>View</v>
      </c>
      <c r="P6085" s="27"/>
    </row>
    <row r="6086">
      <c r="A6086" s="14">
        <v>43031.40221064815</v>
      </c>
      <c r="B6086" s="20" t="str">
        <f t="shared" ref="B6086:B6087" si="94">HYPERLINK("https://twitter.com/BondsDiva","@BondsDiva")</f>
        <v>@BondsDiva</v>
      </c>
      <c r="C6086" s="21" t="s">
        <v>13790</v>
      </c>
      <c r="D6086" s="21" t="s">
        <v>13801</v>
      </c>
      <c r="E6086" s="22" t="str">
        <f>HYPERLINK("https://twitter.com/BondsDiva/status/922502673059930112","922502673059930112")</f>
        <v>922502673059930112</v>
      </c>
      <c r="F6086" s="23" t="s">
        <v>55</v>
      </c>
      <c r="G6086" s="24">
        <v>6.0</v>
      </c>
      <c r="H6086" s="24">
        <v>18.0</v>
      </c>
      <c r="I6086" s="24">
        <v>10.0</v>
      </c>
      <c r="J6086" s="24">
        <v>0.0</v>
      </c>
      <c r="K6086" s="23" t="s">
        <v>34</v>
      </c>
      <c r="L6086" s="25">
        <v>41171.83729166667</v>
      </c>
      <c r="M6086" s="28"/>
      <c r="N6086" s="26" t="s">
        <v>13792</v>
      </c>
      <c r="O6086" s="22" t="str">
        <f t="shared" ref="O6086:O6087" si="95">HYPERLINK("https://pbs.twimg.com/profile_images/2628889827/5275ef2adb7e778ddaa0321fedf65c88_normal.jpeg","View")</f>
        <v>View</v>
      </c>
      <c r="P6086" s="27"/>
    </row>
    <row r="6087">
      <c r="A6087" s="14">
        <v>43031.40228009259</v>
      </c>
      <c r="B6087" s="20" t="str">
        <f t="shared" si="94"/>
        <v>@BondsDiva</v>
      </c>
      <c r="C6087" s="21" t="s">
        <v>13790</v>
      </c>
      <c r="D6087" s="21" t="s">
        <v>13802</v>
      </c>
      <c r="E6087" s="22" t="str">
        <f>HYPERLINK("https://twitter.com/BondsDiva/status/922502697902784512","922502697902784512")</f>
        <v>922502697902784512</v>
      </c>
      <c r="F6087" s="23" t="s">
        <v>55</v>
      </c>
      <c r="G6087" s="24">
        <v>6.0</v>
      </c>
      <c r="H6087" s="24">
        <v>18.0</v>
      </c>
      <c r="I6087" s="24">
        <v>12.0</v>
      </c>
      <c r="J6087" s="24">
        <v>0.0</v>
      </c>
      <c r="K6087" s="23" t="s">
        <v>34</v>
      </c>
      <c r="L6087" s="25">
        <v>41171.83729166667</v>
      </c>
      <c r="M6087" s="28"/>
      <c r="N6087" s="26" t="s">
        <v>13792</v>
      </c>
      <c r="O6087" s="22" t="str">
        <f t="shared" si="95"/>
        <v>View</v>
      </c>
      <c r="P6087" s="27"/>
    </row>
    <row r="6088">
      <c r="A6088" s="14">
        <v>43031.40228009259</v>
      </c>
      <c r="B6088" s="20" t="str">
        <f>HYPERLINK("https://twitter.com/AppuSc","@AppuSc")</f>
        <v>@AppuSc</v>
      </c>
      <c r="C6088" s="21" t="s">
        <v>13803</v>
      </c>
      <c r="D6088" s="21" t="s">
        <v>42</v>
      </c>
      <c r="E6088" s="22" t="str">
        <f>HYPERLINK("https://twitter.com/AppuSc/status/922502699525971968","922502699525971968")</f>
        <v>922502699525971968</v>
      </c>
      <c r="F6088" s="23" t="s">
        <v>39</v>
      </c>
      <c r="G6088" s="24">
        <v>195.0</v>
      </c>
      <c r="H6088" s="24">
        <v>410.0</v>
      </c>
      <c r="I6088" s="24">
        <v>8501.0</v>
      </c>
      <c r="J6088" s="24">
        <v>0.0</v>
      </c>
      <c r="K6088" s="23" t="s">
        <v>34</v>
      </c>
      <c r="L6088" s="25">
        <v>42158.39078703704</v>
      </c>
      <c r="M6088" s="26" t="s">
        <v>1277</v>
      </c>
      <c r="N6088" s="26" t="s">
        <v>13804</v>
      </c>
      <c r="O6088" s="22" t="str">
        <f>HYPERLINK("https://pbs.twimg.com/profile_images/900952368774225925/XL22et5o_normal.jpg","View")</f>
        <v>View</v>
      </c>
      <c r="P6088" s="27"/>
    </row>
    <row r="6089">
      <c r="A6089" s="14">
        <v>43031.402337962965</v>
      </c>
      <c r="B6089" s="20" t="str">
        <f>HYPERLINK("https://twitter.com/Sureshbssuresh","@Sureshbssuresh")</f>
        <v>@Sureshbssuresh</v>
      </c>
      <c r="C6089" s="21" t="s">
        <v>13805</v>
      </c>
      <c r="D6089" s="21" t="s">
        <v>42</v>
      </c>
      <c r="E6089" s="22" t="str">
        <f>HYPERLINK("https://twitter.com/Sureshbssuresh/status/922502719499153408","922502719499153408")</f>
        <v>922502719499153408</v>
      </c>
      <c r="F6089" s="23" t="s">
        <v>43</v>
      </c>
      <c r="G6089" s="24">
        <v>18.0</v>
      </c>
      <c r="H6089" s="24">
        <v>231.0</v>
      </c>
      <c r="I6089" s="24">
        <v>8501.0</v>
      </c>
      <c r="J6089" s="24">
        <v>0.0</v>
      </c>
      <c r="K6089" s="23" t="s">
        <v>34</v>
      </c>
      <c r="L6089" s="25">
        <v>43018.01427083333</v>
      </c>
      <c r="M6089" s="26" t="s">
        <v>13806</v>
      </c>
      <c r="N6089" s="26" t="s">
        <v>13807</v>
      </c>
      <c r="O6089" s="22" t="str">
        <f>HYPERLINK("https://pbs.twimg.com/profile_images/921793206257303552/HZhAQDxd_normal.jpg","View")</f>
        <v>View</v>
      </c>
      <c r="P6089" s="27"/>
    </row>
    <row r="6090">
      <c r="A6090" s="14">
        <v>43031.402349537035</v>
      </c>
      <c r="B6090" s="20" t="str">
        <f>HYPERLINK("https://twitter.com/BondsDiva","@BondsDiva")</f>
        <v>@BondsDiva</v>
      </c>
      <c r="C6090" s="21" t="s">
        <v>13790</v>
      </c>
      <c r="D6090" s="21" t="s">
        <v>13808</v>
      </c>
      <c r="E6090" s="22" t="str">
        <f>HYPERLINK("https://twitter.com/BondsDiva/status/922502722883956736","922502722883956736")</f>
        <v>922502722883956736</v>
      </c>
      <c r="F6090" s="23" t="s">
        <v>55</v>
      </c>
      <c r="G6090" s="24">
        <v>6.0</v>
      </c>
      <c r="H6090" s="24">
        <v>18.0</v>
      </c>
      <c r="I6090" s="24">
        <v>11.0</v>
      </c>
      <c r="J6090" s="24">
        <v>0.0</v>
      </c>
      <c r="K6090" s="23" t="s">
        <v>34</v>
      </c>
      <c r="L6090" s="25">
        <v>41171.83729166667</v>
      </c>
      <c r="M6090" s="28"/>
      <c r="N6090" s="26" t="s">
        <v>13792</v>
      </c>
      <c r="O6090" s="22" t="str">
        <f>HYPERLINK("https://pbs.twimg.com/profile_images/2628889827/5275ef2adb7e778ddaa0321fedf65c88_normal.jpeg","View")</f>
        <v>View</v>
      </c>
      <c r="P6090" s="27"/>
    </row>
    <row r="6091">
      <c r="A6091" s="14">
        <v>43031.40256944444</v>
      </c>
      <c r="B6091" s="20" t="str">
        <f>HYPERLINK("https://twitter.com/guccikawa","@guccikawa")</f>
        <v>@guccikawa</v>
      </c>
      <c r="C6091" s="21" t="s">
        <v>13809</v>
      </c>
      <c r="D6091" s="21" t="s">
        <v>13810</v>
      </c>
      <c r="E6091" s="22" t="str">
        <f>HYPERLINK("https://twitter.com/guccikawa/status/922502804542861312","922502804542861312")</f>
        <v>922502804542861312</v>
      </c>
      <c r="F6091" s="23" t="s">
        <v>39</v>
      </c>
      <c r="G6091" s="24">
        <v>328.0</v>
      </c>
      <c r="H6091" s="24">
        <v>741.0</v>
      </c>
      <c r="I6091" s="24">
        <v>0.0</v>
      </c>
      <c r="J6091" s="24">
        <v>0.0</v>
      </c>
      <c r="K6091" s="23" t="s">
        <v>34</v>
      </c>
      <c r="L6091" s="25">
        <v>40359.45618055556</v>
      </c>
      <c r="M6091" s="26" t="s">
        <v>13811</v>
      </c>
      <c r="N6091" s="26" t="s">
        <v>13812</v>
      </c>
      <c r="O6091" s="22" t="str">
        <f>HYPERLINK("https://pbs.twimg.com/profile_images/686909868775620611/zooawAAE_normal.jpg","View")</f>
        <v>View</v>
      </c>
      <c r="P6091" s="27"/>
    </row>
    <row r="6092">
      <c r="A6092" s="14">
        <v>43031.402604166666</v>
      </c>
      <c r="B6092" s="20" t="str">
        <f>HYPERLINK("https://twitter.com/chatura44","@chatura44")</f>
        <v>@chatura44</v>
      </c>
      <c r="C6092" s="21" t="s">
        <v>10681</v>
      </c>
      <c r="D6092" s="21" t="s">
        <v>163</v>
      </c>
      <c r="E6092" s="22" t="str">
        <f>HYPERLINK("https://twitter.com/chatura44/status/922502818430304256","922502818430304256")</f>
        <v>922502818430304256</v>
      </c>
      <c r="F6092" s="23" t="s">
        <v>55</v>
      </c>
      <c r="G6092" s="24">
        <v>182.0</v>
      </c>
      <c r="H6092" s="24">
        <v>256.0</v>
      </c>
      <c r="I6092" s="24">
        <v>1005.0</v>
      </c>
      <c r="J6092" s="24">
        <v>0.0</v>
      </c>
      <c r="K6092" s="23" t="s">
        <v>34</v>
      </c>
      <c r="L6092" s="25">
        <v>42888.01155092593</v>
      </c>
      <c r="M6092" s="28"/>
      <c r="N6092" s="28"/>
      <c r="O6092" s="22" t="str">
        <f>HYPERLINK("https://pbs.twimg.com/profile_images/921067249464631297/j-2yNrze_normal.jpg","View")</f>
        <v>View</v>
      </c>
      <c r="P6092" s="27"/>
    </row>
    <row r="6093">
      <c r="A6093" s="14">
        <v>43031.40292824074</v>
      </c>
      <c r="B6093" s="20" t="str">
        <f>HYPERLINK("https://twitter.com/rrawat2","@rrawat2")</f>
        <v>@rrawat2</v>
      </c>
      <c r="C6093" s="21" t="s">
        <v>13813</v>
      </c>
      <c r="D6093" s="21" t="s">
        <v>42</v>
      </c>
      <c r="E6093" s="22" t="str">
        <f>HYPERLINK("https://twitter.com/rrawat2/status/922502935862394880","922502935862394880")</f>
        <v>922502935862394880</v>
      </c>
      <c r="F6093" s="23" t="s">
        <v>33</v>
      </c>
      <c r="G6093" s="24">
        <v>1598.0</v>
      </c>
      <c r="H6093" s="24">
        <v>580.0</v>
      </c>
      <c r="I6093" s="24">
        <v>8501.0</v>
      </c>
      <c r="J6093" s="24">
        <v>0.0</v>
      </c>
      <c r="K6093" s="23" t="s">
        <v>34</v>
      </c>
      <c r="L6093" s="25">
        <v>40112.221539351856</v>
      </c>
      <c r="M6093" s="26" t="s">
        <v>164</v>
      </c>
      <c r="N6093" s="26" t="s">
        <v>13814</v>
      </c>
      <c r="O6093" s="22" t="str">
        <f>HYPERLINK("https://pbs.twimg.com/profile_images/710369745661353984/dUroqdGj_normal.jpg","View")</f>
        <v>View</v>
      </c>
      <c r="P6093" s="27"/>
    </row>
    <row r="6094">
      <c r="A6094" s="14">
        <v>43031.40293981481</v>
      </c>
      <c r="B6094" s="20" t="str">
        <f>HYPERLINK("https://twitter.com/Tusu_Potter","@Tusu_Potter")</f>
        <v>@Tusu_Potter</v>
      </c>
      <c r="C6094" s="21" t="s">
        <v>13815</v>
      </c>
      <c r="D6094" s="21" t="s">
        <v>42</v>
      </c>
      <c r="E6094" s="22" t="str">
        <f>HYPERLINK("https://twitter.com/Tusu_Potter/status/922502939536539648","922502939536539648")</f>
        <v>922502939536539648</v>
      </c>
      <c r="F6094" s="23" t="s">
        <v>33</v>
      </c>
      <c r="G6094" s="24">
        <v>34.0</v>
      </c>
      <c r="H6094" s="24">
        <v>102.0</v>
      </c>
      <c r="I6094" s="24">
        <v>8501.0</v>
      </c>
      <c r="J6094" s="24">
        <v>0.0</v>
      </c>
      <c r="K6094" s="23" t="s">
        <v>34</v>
      </c>
      <c r="L6094" s="25">
        <v>42755.82553240741</v>
      </c>
      <c r="M6094" s="26" t="s">
        <v>142</v>
      </c>
      <c r="N6094" s="28"/>
      <c r="O6094" s="22" t="str">
        <f>HYPERLINK("https://pbs.twimg.com/profile_images/822853906631954432/AxS5J2jY_normal.jpg","View")</f>
        <v>View</v>
      </c>
      <c r="P6094" s="27"/>
    </row>
    <row r="6095">
      <c r="A6095" s="14">
        <v>43031.40300925926</v>
      </c>
      <c r="B6095" s="20" t="str">
        <f>HYPERLINK("https://twitter.com/kazouille","@kazouille")</f>
        <v>@kazouille</v>
      </c>
      <c r="C6095" s="21" t="s">
        <v>13816</v>
      </c>
      <c r="D6095" s="21" t="s">
        <v>82</v>
      </c>
      <c r="E6095" s="22" t="str">
        <f>HYPERLINK("https://twitter.com/kazouille/status/922502962835996672","922502962835996672")</f>
        <v>922502962835996672</v>
      </c>
      <c r="F6095" s="23" t="s">
        <v>55</v>
      </c>
      <c r="G6095" s="24">
        <v>4178.0</v>
      </c>
      <c r="H6095" s="24">
        <v>4147.0</v>
      </c>
      <c r="I6095" s="24">
        <v>38.0</v>
      </c>
      <c r="J6095" s="24">
        <v>0.0</v>
      </c>
      <c r="K6095" s="23" t="s">
        <v>34</v>
      </c>
      <c r="L6095" s="25">
        <v>40426.16484953704</v>
      </c>
      <c r="M6095" s="26" t="s">
        <v>13817</v>
      </c>
      <c r="N6095" s="26" t="s">
        <v>13818</v>
      </c>
      <c r="O6095" s="22" t="str">
        <f>HYPERLINK("https://pbs.twimg.com/profile_images/471871807218122753/PmjQde3__normal.png","View")</f>
        <v>View</v>
      </c>
      <c r="P6095" s="27"/>
    </row>
    <row r="6096">
      <c r="A6096" s="14">
        <v>43031.40375</v>
      </c>
      <c r="B6096" s="20" t="str">
        <f>HYPERLINK("https://twitter.com/Brahyo_88","@Brahyo_88")</f>
        <v>@Brahyo_88</v>
      </c>
      <c r="C6096" s="21" t="s">
        <v>13819</v>
      </c>
      <c r="D6096" s="21" t="s">
        <v>32</v>
      </c>
      <c r="E6096" s="22" t="str">
        <f>HYPERLINK("https://twitter.com/Brahyo_88/status/922503232068472832","922503232068472832")</f>
        <v>922503232068472832</v>
      </c>
      <c r="F6096" s="23" t="s">
        <v>33</v>
      </c>
      <c r="G6096" s="24">
        <v>678.0</v>
      </c>
      <c r="H6096" s="24">
        <v>1245.0</v>
      </c>
      <c r="I6096" s="24">
        <v>471.0</v>
      </c>
      <c r="J6096" s="24">
        <v>0.0</v>
      </c>
      <c r="K6096" s="23" t="s">
        <v>34</v>
      </c>
      <c r="L6096" s="25">
        <v>41454.118252314816</v>
      </c>
      <c r="M6096" s="26" t="s">
        <v>282</v>
      </c>
      <c r="N6096" s="28"/>
      <c r="O6096" s="22" t="str">
        <f>HYPERLINK("https://pbs.twimg.com/profile_images/922081655761854466/44kvY_VQ_normal.jpg","View")</f>
        <v>View</v>
      </c>
      <c r="P6096" s="27"/>
    </row>
    <row r="6097">
      <c r="A6097" s="14">
        <v>43031.40387731481</v>
      </c>
      <c r="B6097" s="20" t="str">
        <f>HYPERLINK("https://twitter.com/abhichops","@abhichops")</f>
        <v>@abhichops</v>
      </c>
      <c r="C6097" s="21" t="s">
        <v>13820</v>
      </c>
      <c r="D6097" s="21" t="s">
        <v>42</v>
      </c>
      <c r="E6097" s="22" t="str">
        <f>HYPERLINK("https://twitter.com/abhichops/status/922503278851538944","922503278851538944")</f>
        <v>922503278851538944</v>
      </c>
      <c r="F6097" s="23" t="s">
        <v>33</v>
      </c>
      <c r="G6097" s="24">
        <v>103.0</v>
      </c>
      <c r="H6097" s="24">
        <v>428.0</v>
      </c>
      <c r="I6097" s="24">
        <v>8501.0</v>
      </c>
      <c r="J6097" s="24">
        <v>0.0</v>
      </c>
      <c r="K6097" s="23" t="s">
        <v>34</v>
      </c>
      <c r="L6097" s="25">
        <v>40292.99270833333</v>
      </c>
      <c r="M6097" s="28"/>
      <c r="N6097" s="28"/>
      <c r="O6097" s="22" t="str">
        <f>HYPERLINK("https://pbs.twimg.com/profile_images/507431695365046273/yRKi7b6H_normal.jpeg","View")</f>
        <v>View</v>
      </c>
      <c r="P6097" s="27"/>
    </row>
    <row r="6098">
      <c r="A6098" s="14">
        <v>43031.40398148148</v>
      </c>
      <c r="B6098" s="20" t="str">
        <f>HYPERLINK("https://twitter.com/AbeFellowship","@AbeFellowship")</f>
        <v>@AbeFellowship</v>
      </c>
      <c r="C6098" s="21" t="s">
        <v>13821</v>
      </c>
      <c r="D6098" s="21" t="s">
        <v>13822</v>
      </c>
      <c r="E6098" s="22" t="str">
        <f>HYPERLINK("https://twitter.com/AbeFellowship/status/922503314209673216","922503314209673216")</f>
        <v>922503314209673216</v>
      </c>
      <c r="F6098" s="23" t="s">
        <v>55</v>
      </c>
      <c r="G6098" s="24">
        <v>608.0</v>
      </c>
      <c r="H6098" s="24">
        <v>877.0</v>
      </c>
      <c r="I6098" s="24">
        <v>0.0</v>
      </c>
      <c r="J6098" s="24">
        <v>0.0</v>
      </c>
      <c r="K6098" s="23" t="s">
        <v>34</v>
      </c>
      <c r="L6098" s="25">
        <v>40813.37777777778</v>
      </c>
      <c r="M6098" s="26" t="s">
        <v>13823</v>
      </c>
      <c r="N6098" s="26" t="s">
        <v>13824</v>
      </c>
      <c r="O6098" s="22" t="str">
        <f>HYPERLINK("https://pbs.twimg.com/profile_images/786669017100582916/Vxcy2x4l_normal.jpg","View")</f>
        <v>View</v>
      </c>
      <c r="P6098" s="27"/>
    </row>
    <row r="6099">
      <c r="A6099" s="14">
        <v>43031.40402777778</v>
      </c>
      <c r="B6099" s="20" t="str">
        <f>HYPERLINK("https://twitter.com/madzanza","@madzanza")</f>
        <v>@madzanza</v>
      </c>
      <c r="C6099" s="21" t="s">
        <v>13825</v>
      </c>
      <c r="D6099" s="21" t="s">
        <v>32</v>
      </c>
      <c r="E6099" s="22" t="str">
        <f>HYPERLINK("https://twitter.com/madzanza/status/922503331716706304","922503331716706304")</f>
        <v>922503331716706304</v>
      </c>
      <c r="F6099" s="23" t="s">
        <v>33</v>
      </c>
      <c r="G6099" s="24">
        <v>96.0</v>
      </c>
      <c r="H6099" s="24">
        <v>303.0</v>
      </c>
      <c r="I6099" s="24">
        <v>471.0</v>
      </c>
      <c r="J6099" s="24">
        <v>0.0</v>
      </c>
      <c r="K6099" s="23" t="s">
        <v>34</v>
      </c>
      <c r="L6099" s="25">
        <v>41129.39722222222</v>
      </c>
      <c r="M6099" s="28"/>
      <c r="N6099" s="26" t="s">
        <v>13826</v>
      </c>
      <c r="O6099" s="22" t="str">
        <f>HYPERLINK("https://pbs.twimg.com/profile_images/2482548241/Musa_normal.jpg","View")</f>
        <v>View</v>
      </c>
      <c r="P6099" s="27"/>
    </row>
    <row r="6100">
      <c r="A6100" s="14">
        <v>43031.40405092592</v>
      </c>
      <c r="B6100" s="20" t="str">
        <f t="shared" ref="B6100:B6101" si="96">HYPERLINK("https://twitter.com/BusinessesDiva","@BusinessesDiva")</f>
        <v>@BusinessesDiva</v>
      </c>
      <c r="C6100" s="21" t="s">
        <v>13827</v>
      </c>
      <c r="D6100" s="21" t="s">
        <v>13791</v>
      </c>
      <c r="E6100" s="22" t="str">
        <f>HYPERLINK("https://twitter.com/BusinessesDiva/status/922503340218388480","922503340218388480")</f>
        <v>922503340218388480</v>
      </c>
      <c r="F6100" s="23" t="s">
        <v>55</v>
      </c>
      <c r="G6100" s="24">
        <v>13.0</v>
      </c>
      <c r="H6100" s="24">
        <v>118.0</v>
      </c>
      <c r="I6100" s="24">
        <v>10.0</v>
      </c>
      <c r="J6100" s="24">
        <v>0.0</v>
      </c>
      <c r="K6100" s="23" t="s">
        <v>34</v>
      </c>
      <c r="L6100" s="25">
        <v>41171.84597222222</v>
      </c>
      <c r="M6100" s="28"/>
      <c r="N6100" s="26" t="s">
        <v>13828</v>
      </c>
      <c r="O6100" s="22" t="str">
        <f t="shared" ref="O6100:O6101" si="97">HYPERLINK("https://pbs.twimg.com/profile_images/2628920520/d5682a5052c43d2794ba2aac71aefed3_normal.png","View")</f>
        <v>View</v>
      </c>
      <c r="P6100" s="27"/>
    </row>
    <row r="6101">
      <c r="A6101" s="14">
        <v>43031.40412037037</v>
      </c>
      <c r="B6101" s="20" t="str">
        <f t="shared" si="96"/>
        <v>@BusinessesDiva</v>
      </c>
      <c r="C6101" s="21" t="s">
        <v>13827</v>
      </c>
      <c r="D6101" s="21" t="s">
        <v>13801</v>
      </c>
      <c r="E6101" s="22" t="str">
        <f>HYPERLINK("https://twitter.com/BusinessesDiva/status/922503365522681856","922503365522681856")</f>
        <v>922503365522681856</v>
      </c>
      <c r="F6101" s="23" t="s">
        <v>55</v>
      </c>
      <c r="G6101" s="24">
        <v>13.0</v>
      </c>
      <c r="H6101" s="24">
        <v>118.0</v>
      </c>
      <c r="I6101" s="24">
        <v>10.0</v>
      </c>
      <c r="J6101" s="24">
        <v>0.0</v>
      </c>
      <c r="K6101" s="23" t="s">
        <v>34</v>
      </c>
      <c r="L6101" s="25">
        <v>41171.84597222222</v>
      </c>
      <c r="M6101" s="28"/>
      <c r="N6101" s="26" t="s">
        <v>13828</v>
      </c>
      <c r="O6101" s="22" t="str">
        <f t="shared" si="97"/>
        <v>View</v>
      </c>
      <c r="P6101" s="27"/>
    </row>
    <row r="6102">
      <c r="A6102" s="14">
        <v>43031.40430555555</v>
      </c>
      <c r="B6102" s="20" t="str">
        <f>HYPERLINK("https://twitter.com/Abhishe51714333","@Abhishe51714333")</f>
        <v>@Abhishe51714333</v>
      </c>
      <c r="C6102" s="21" t="s">
        <v>13829</v>
      </c>
      <c r="D6102" s="21" t="s">
        <v>42</v>
      </c>
      <c r="E6102" s="22" t="str">
        <f>HYPERLINK("https://twitter.com/Abhishe51714333/status/922503432425979905","922503432425979905")</f>
        <v>922503432425979905</v>
      </c>
      <c r="F6102" s="23" t="s">
        <v>33</v>
      </c>
      <c r="G6102" s="24">
        <v>27.0</v>
      </c>
      <c r="H6102" s="24">
        <v>133.0</v>
      </c>
      <c r="I6102" s="24">
        <v>8501.0</v>
      </c>
      <c r="J6102" s="24">
        <v>0.0</v>
      </c>
      <c r="K6102" s="23" t="s">
        <v>34</v>
      </c>
      <c r="L6102" s="25">
        <v>42721.27060185185</v>
      </c>
      <c r="M6102" s="26" t="s">
        <v>13830</v>
      </c>
      <c r="N6102" s="26" t="s">
        <v>13831</v>
      </c>
      <c r="O6102" s="22" t="str">
        <f>HYPERLINK("https://pbs.twimg.com/profile_images/859625457058275329/XQUZgIT4_normal.jpg","View")</f>
        <v>View</v>
      </c>
      <c r="P6102" s="27"/>
    </row>
    <row r="6103">
      <c r="A6103" s="14">
        <v>43031.40435185185</v>
      </c>
      <c r="B6103" s="20" t="str">
        <f t="shared" ref="B6103:B6104" si="98">HYPERLINK("https://twitter.com/BusinessesDiva","@BusinessesDiva")</f>
        <v>@BusinessesDiva</v>
      </c>
      <c r="C6103" s="21" t="s">
        <v>13827</v>
      </c>
      <c r="D6103" s="21" t="s">
        <v>13802</v>
      </c>
      <c r="E6103" s="22" t="str">
        <f>HYPERLINK("https://twitter.com/BusinessesDiva/status/922503449404628993","922503449404628993")</f>
        <v>922503449404628993</v>
      </c>
      <c r="F6103" s="23" t="s">
        <v>55</v>
      </c>
      <c r="G6103" s="24">
        <v>13.0</v>
      </c>
      <c r="H6103" s="24">
        <v>118.0</v>
      </c>
      <c r="I6103" s="24">
        <v>12.0</v>
      </c>
      <c r="J6103" s="24">
        <v>0.0</v>
      </c>
      <c r="K6103" s="23" t="s">
        <v>34</v>
      </c>
      <c r="L6103" s="25">
        <v>41171.84597222222</v>
      </c>
      <c r="M6103" s="28"/>
      <c r="N6103" s="26" t="s">
        <v>13828</v>
      </c>
      <c r="O6103" s="22" t="str">
        <f t="shared" ref="O6103:O6104" si="99">HYPERLINK("https://pbs.twimg.com/profile_images/2628920520/d5682a5052c43d2794ba2aac71aefed3_normal.png","View")</f>
        <v>View</v>
      </c>
      <c r="P6103" s="27"/>
    </row>
    <row r="6104">
      <c r="A6104" s="14">
        <v>43031.40440972222</v>
      </c>
      <c r="B6104" s="20" t="str">
        <f t="shared" si="98"/>
        <v>@BusinessesDiva</v>
      </c>
      <c r="C6104" s="21" t="s">
        <v>13827</v>
      </c>
      <c r="D6104" s="21" t="s">
        <v>13808</v>
      </c>
      <c r="E6104" s="22" t="str">
        <f>HYPERLINK("https://twitter.com/BusinessesDiva/status/922503470556393472","922503470556393472")</f>
        <v>922503470556393472</v>
      </c>
      <c r="F6104" s="23" t="s">
        <v>55</v>
      </c>
      <c r="G6104" s="24">
        <v>13.0</v>
      </c>
      <c r="H6104" s="24">
        <v>118.0</v>
      </c>
      <c r="I6104" s="24">
        <v>11.0</v>
      </c>
      <c r="J6104" s="24">
        <v>0.0</v>
      </c>
      <c r="K6104" s="23" t="s">
        <v>34</v>
      </c>
      <c r="L6104" s="25">
        <v>41171.84597222222</v>
      </c>
      <c r="M6104" s="28"/>
      <c r="N6104" s="26" t="s">
        <v>13828</v>
      </c>
      <c r="O6104" s="22" t="str">
        <f t="shared" si="99"/>
        <v>View</v>
      </c>
      <c r="P6104" s="27"/>
    </row>
    <row r="6105">
      <c r="A6105" s="14">
        <v>43031.40453703704</v>
      </c>
      <c r="B6105" s="20" t="str">
        <f>HYPERLINK("https://twitter.com/PanvarNatvar","@PanvarNatvar")</f>
        <v>@PanvarNatvar</v>
      </c>
      <c r="C6105" s="21" t="s">
        <v>13832</v>
      </c>
      <c r="D6105" s="21" t="s">
        <v>42</v>
      </c>
      <c r="E6105" s="22" t="str">
        <f>HYPERLINK("https://twitter.com/PanvarNatvar/status/922503517641703424","922503517641703424")</f>
        <v>922503517641703424</v>
      </c>
      <c r="F6105" s="23" t="s">
        <v>33</v>
      </c>
      <c r="G6105" s="24">
        <v>12.0</v>
      </c>
      <c r="H6105" s="24">
        <v>178.0</v>
      </c>
      <c r="I6105" s="24">
        <v>8501.0</v>
      </c>
      <c r="J6105" s="24">
        <v>0.0</v>
      </c>
      <c r="K6105" s="23" t="s">
        <v>34</v>
      </c>
      <c r="L6105" s="25">
        <v>43028.83395833333</v>
      </c>
      <c r="M6105" s="26" t="s">
        <v>2189</v>
      </c>
      <c r="N6105" s="26" t="s">
        <v>13833</v>
      </c>
      <c r="O6105" s="22" t="str">
        <f>HYPERLINK("https://pbs.twimg.com/profile_images/921577770429251585/bijOclKA_normal.jpg","View")</f>
        <v>View</v>
      </c>
      <c r="P6105" s="27"/>
    </row>
    <row r="6106">
      <c r="A6106" s="14">
        <v>43031.40456018518</v>
      </c>
      <c r="B6106" s="20" t="str">
        <f>HYPERLINK("https://twitter.com/AviBraveheart","@AviBraveheart")</f>
        <v>@AviBraveheart</v>
      </c>
      <c r="C6106" s="21" t="s">
        <v>8802</v>
      </c>
      <c r="D6106" s="21" t="s">
        <v>42</v>
      </c>
      <c r="E6106" s="22" t="str">
        <f>HYPERLINK("https://twitter.com/AviBraveheart/status/922503524570640384","922503524570640384")</f>
        <v>922503524570640384</v>
      </c>
      <c r="F6106" s="23" t="s">
        <v>33</v>
      </c>
      <c r="G6106" s="24">
        <v>490.0</v>
      </c>
      <c r="H6106" s="24">
        <v>89.0</v>
      </c>
      <c r="I6106" s="24">
        <v>8501.0</v>
      </c>
      <c r="J6106" s="24">
        <v>0.0</v>
      </c>
      <c r="K6106" s="23" t="s">
        <v>34</v>
      </c>
      <c r="L6106" s="25">
        <v>40899.35313657408</v>
      </c>
      <c r="M6106" s="26" t="s">
        <v>1354</v>
      </c>
      <c r="N6106" s="26" t="s">
        <v>13834</v>
      </c>
      <c r="O6106" s="22" t="str">
        <f>HYPERLINK("https://pbs.twimg.com/profile_images/908500360339251200/x0Z7D8IE_normal.jpg","View")</f>
        <v>View</v>
      </c>
      <c r="P6106" s="27"/>
    </row>
    <row r="6107">
      <c r="A6107" s="14">
        <v>43031.40456018518</v>
      </c>
      <c r="B6107" s="20" t="str">
        <f>HYPERLINK("https://twitter.com/sunilsingh1235","@sunilsingh1235")</f>
        <v>@sunilsingh1235</v>
      </c>
      <c r="C6107" s="21" t="s">
        <v>13835</v>
      </c>
      <c r="D6107" s="21" t="s">
        <v>42</v>
      </c>
      <c r="E6107" s="22" t="str">
        <f>HYPERLINK("https://twitter.com/sunilsingh1235/status/922503525212372992","922503525212372992")</f>
        <v>922503525212372992</v>
      </c>
      <c r="F6107" s="23" t="s">
        <v>33</v>
      </c>
      <c r="G6107" s="24">
        <v>810.0</v>
      </c>
      <c r="H6107" s="24">
        <v>240.0</v>
      </c>
      <c r="I6107" s="24">
        <v>8501.0</v>
      </c>
      <c r="J6107" s="24">
        <v>0.0</v>
      </c>
      <c r="K6107" s="23" t="s">
        <v>34</v>
      </c>
      <c r="L6107" s="25">
        <v>42451.49728009259</v>
      </c>
      <c r="M6107" s="26" t="s">
        <v>204</v>
      </c>
      <c r="N6107" s="26" t="s">
        <v>13836</v>
      </c>
      <c r="O6107" s="22" t="str">
        <f>HYPERLINK("https://pbs.twimg.com/profile_images/840998833182121985/HZkv8B5g_normal.jpg","View")</f>
        <v>View</v>
      </c>
      <c r="P6107" s="27"/>
    </row>
    <row r="6108">
      <c r="A6108" s="14">
        <v>43031.40457175926</v>
      </c>
      <c r="B6108" s="20" t="str">
        <f>HYPERLINK("https://twitter.com/drmassee","@drmassee")</f>
        <v>@drmassee</v>
      </c>
      <c r="C6108" s="21" t="s">
        <v>13837</v>
      </c>
      <c r="D6108" s="21" t="s">
        <v>13838</v>
      </c>
      <c r="E6108" s="22" t="str">
        <f>HYPERLINK("https://twitter.com/drmassee/status/922503531281637376","922503531281637376")</f>
        <v>922503531281637376</v>
      </c>
      <c r="F6108" s="23" t="s">
        <v>33</v>
      </c>
      <c r="G6108" s="24">
        <v>3217.0</v>
      </c>
      <c r="H6108" s="24">
        <v>4763.0</v>
      </c>
      <c r="I6108" s="24">
        <v>1.0</v>
      </c>
      <c r="J6108" s="24">
        <v>0.0</v>
      </c>
      <c r="K6108" s="23" t="s">
        <v>34</v>
      </c>
      <c r="L6108" s="25">
        <v>42122.247094907405</v>
      </c>
      <c r="M6108" s="26" t="s">
        <v>1024</v>
      </c>
      <c r="N6108" s="26" t="s">
        <v>13839</v>
      </c>
      <c r="O6108" s="22" t="str">
        <f>HYPERLINK("https://pbs.twimg.com/profile_images/815683684082716672/bHegxK3D_normal.jpg","View")</f>
        <v>View</v>
      </c>
      <c r="P6108" s="27"/>
    </row>
    <row r="6109">
      <c r="A6109" s="14">
        <v>43031.40491898148</v>
      </c>
      <c r="B6109" s="20" t="str">
        <f>HYPERLINK("https://twitter.com/sarvpreet706","@sarvpreet706")</f>
        <v>@sarvpreet706</v>
      </c>
      <c r="C6109" s="21" t="s">
        <v>13840</v>
      </c>
      <c r="D6109" s="21" t="s">
        <v>42</v>
      </c>
      <c r="E6109" s="22" t="str">
        <f>HYPERLINK("https://twitter.com/sarvpreet706/status/922503655034470400","922503655034470400")</f>
        <v>922503655034470400</v>
      </c>
      <c r="F6109" s="23" t="s">
        <v>33</v>
      </c>
      <c r="G6109" s="24">
        <v>3.0</v>
      </c>
      <c r="H6109" s="24">
        <v>41.0</v>
      </c>
      <c r="I6109" s="24">
        <v>8501.0</v>
      </c>
      <c r="J6109" s="24">
        <v>0.0</v>
      </c>
      <c r="K6109" s="23" t="s">
        <v>34</v>
      </c>
      <c r="L6109" s="25">
        <v>42635.33083333333</v>
      </c>
      <c r="M6109" s="26" t="s">
        <v>531</v>
      </c>
      <c r="N6109" s="26" t="s">
        <v>13841</v>
      </c>
      <c r="O6109" s="22" t="str">
        <f>HYPERLINK("https://pbs.twimg.com/profile_images/778972465691176962/-o6joRF5_normal.jpg","View")</f>
        <v>View</v>
      </c>
      <c r="P6109" s="27"/>
    </row>
    <row r="6110">
      <c r="A6110" s="14">
        <v>43031.40491898148</v>
      </c>
      <c r="B6110" s="20" t="str">
        <f>HYPERLINK("https://twitter.com/Dhirend51774260","@Dhirend51774260")</f>
        <v>@Dhirend51774260</v>
      </c>
      <c r="C6110" s="21" t="s">
        <v>13842</v>
      </c>
      <c r="D6110" s="21" t="s">
        <v>42</v>
      </c>
      <c r="E6110" s="22" t="str">
        <f>HYPERLINK("https://twitter.com/Dhirend51774260/status/922503656632487936","922503656632487936")</f>
        <v>922503656632487936</v>
      </c>
      <c r="F6110" s="23" t="s">
        <v>33</v>
      </c>
      <c r="G6110" s="24">
        <v>60.0</v>
      </c>
      <c r="H6110" s="24">
        <v>58.0</v>
      </c>
      <c r="I6110" s="24">
        <v>8501.0</v>
      </c>
      <c r="J6110" s="24">
        <v>0.0</v>
      </c>
      <c r="K6110" s="23" t="s">
        <v>34</v>
      </c>
      <c r="L6110" s="25">
        <v>42689.31309027778</v>
      </c>
      <c r="M6110" s="26" t="s">
        <v>13843</v>
      </c>
      <c r="N6110" s="26" t="s">
        <v>13844</v>
      </c>
      <c r="O6110" s="22" t="str">
        <f>HYPERLINK("https://pbs.twimg.com/profile_images/803264680957513734/EC1duWQx_normal.jpg","View")</f>
        <v>View</v>
      </c>
      <c r="P6110" s="27"/>
    </row>
    <row r="6111">
      <c r="A6111" s="14">
        <v>43031.40494212963</v>
      </c>
      <c r="B6111" s="20" t="str">
        <f>HYPERLINK("https://twitter.com/sandeepkdhull","@sandeepkdhull")</f>
        <v>@sandeepkdhull</v>
      </c>
      <c r="C6111" s="21" t="s">
        <v>13845</v>
      </c>
      <c r="D6111" s="21" t="s">
        <v>42</v>
      </c>
      <c r="E6111" s="22" t="str">
        <f>HYPERLINK("https://twitter.com/sandeepkdhull/status/922503662282399744","922503662282399744")</f>
        <v>922503662282399744</v>
      </c>
      <c r="F6111" s="23" t="s">
        <v>39</v>
      </c>
      <c r="G6111" s="24">
        <v>39.0</v>
      </c>
      <c r="H6111" s="24">
        <v>244.0</v>
      </c>
      <c r="I6111" s="24">
        <v>8501.0</v>
      </c>
      <c r="J6111" s="24">
        <v>0.0</v>
      </c>
      <c r="K6111" s="23" t="s">
        <v>34</v>
      </c>
      <c r="L6111" s="25">
        <v>40148.845046296294</v>
      </c>
      <c r="M6111" s="26" t="s">
        <v>575</v>
      </c>
      <c r="N6111" s="28"/>
      <c r="O6111" s="22" t="str">
        <f>HYPERLINK("https://pbs.twimg.com/profile_images/1808915574/2011-12-30_2002_normal.jpg","View")</f>
        <v>View</v>
      </c>
      <c r="P6111" s="27"/>
    </row>
    <row r="6112">
      <c r="A6112" s="14">
        <v>43031.405057870375</v>
      </c>
      <c r="B6112" s="20" t="str">
        <f>HYPERLINK("https://twitter.com/NamitThakur1","@NamitThakur1")</f>
        <v>@NamitThakur1</v>
      </c>
      <c r="C6112" s="21" t="s">
        <v>13846</v>
      </c>
      <c r="D6112" s="21" t="s">
        <v>42</v>
      </c>
      <c r="E6112" s="22" t="str">
        <f>HYPERLINK("https://twitter.com/NamitThakur1/status/922503705282449408","922503705282449408")</f>
        <v>922503705282449408</v>
      </c>
      <c r="F6112" s="23" t="s">
        <v>39</v>
      </c>
      <c r="G6112" s="24">
        <v>2.0</v>
      </c>
      <c r="H6112" s="24">
        <v>8.0</v>
      </c>
      <c r="I6112" s="24">
        <v>8501.0</v>
      </c>
      <c r="J6112" s="24">
        <v>0.0</v>
      </c>
      <c r="K6112" s="23" t="s">
        <v>34</v>
      </c>
      <c r="L6112" s="25">
        <v>43031.39238425926</v>
      </c>
      <c r="M6112" s="26" t="s">
        <v>13847</v>
      </c>
      <c r="N6112" s="26" t="s">
        <v>13848</v>
      </c>
      <c r="O6112" s="22" t="str">
        <f>HYPERLINK("https://pbs.twimg.com/profile_images/922500718497583104/xRIk_Q3s_normal.jpg","View")</f>
        <v>View</v>
      </c>
      <c r="P6112" s="27"/>
    </row>
    <row r="6113">
      <c r="A6113" s="14">
        <v>43031.405057870375</v>
      </c>
      <c r="B6113" s="20" t="str">
        <f>HYPERLINK("https://twitter.com/goelsachin20","@goelsachin20")</f>
        <v>@goelsachin20</v>
      </c>
      <c r="C6113" s="21" t="s">
        <v>13849</v>
      </c>
      <c r="D6113" s="21" t="s">
        <v>42</v>
      </c>
      <c r="E6113" s="22" t="str">
        <f>HYPERLINK("https://twitter.com/goelsachin20/status/922503706351878144","922503706351878144")</f>
        <v>922503706351878144</v>
      </c>
      <c r="F6113" s="23" t="s">
        <v>39</v>
      </c>
      <c r="G6113" s="24">
        <v>205.0</v>
      </c>
      <c r="H6113" s="24">
        <v>456.0</v>
      </c>
      <c r="I6113" s="24">
        <v>8501.0</v>
      </c>
      <c r="J6113" s="24">
        <v>0.0</v>
      </c>
      <c r="K6113" s="23" t="s">
        <v>34</v>
      </c>
      <c r="L6113" s="25">
        <v>40302.08791666667</v>
      </c>
      <c r="M6113" s="26" t="s">
        <v>164</v>
      </c>
      <c r="N6113" s="26" t="s">
        <v>13850</v>
      </c>
      <c r="O6113" s="22" t="str">
        <f>HYPERLINK("https://pbs.twimg.com/profile_images/556072659708956672/oY2Glia__normal.jpeg","View")</f>
        <v>View</v>
      </c>
      <c r="P6113" s="27"/>
    </row>
    <row r="6114">
      <c r="A6114" s="14">
        <v>43031.405069444445</v>
      </c>
      <c r="B6114" s="20" t="str">
        <f>HYPERLINK("https://twitter.com/swas0","@swas0")</f>
        <v>@swas0</v>
      </c>
      <c r="C6114" s="21" t="s">
        <v>13851</v>
      </c>
      <c r="D6114" s="21" t="s">
        <v>12974</v>
      </c>
      <c r="E6114" s="22" t="str">
        <f>HYPERLINK("https://twitter.com/swas0/status/922503711431131136","922503711431131136")</f>
        <v>922503711431131136</v>
      </c>
      <c r="F6114" s="23" t="s">
        <v>55</v>
      </c>
      <c r="G6114" s="24">
        <v>70.0</v>
      </c>
      <c r="H6114" s="24">
        <v>246.0</v>
      </c>
      <c r="I6114" s="24">
        <v>110.0</v>
      </c>
      <c r="J6114" s="24">
        <v>0.0</v>
      </c>
      <c r="K6114" s="23" t="s">
        <v>34</v>
      </c>
      <c r="L6114" s="25">
        <v>40688.343622685185</v>
      </c>
      <c r="M6114" s="26" t="s">
        <v>5401</v>
      </c>
      <c r="N6114" s="28"/>
      <c r="O6114" s="22" t="str">
        <f>HYPERLINK("https://pbs.twimg.com/profile_images/1643492201/image_normal.jpg","View")</f>
        <v>View</v>
      </c>
      <c r="P6114" s="27"/>
    </row>
    <row r="6115">
      <c r="A6115" s="14">
        <v>43031.405127314814</v>
      </c>
      <c r="B6115" s="20" t="str">
        <f>HYPERLINK("https://twitter.com/AhmedBiikolle","@AhmedBiikolle")</f>
        <v>@AhmedBiikolle</v>
      </c>
      <c r="C6115" s="21" t="s">
        <v>13852</v>
      </c>
      <c r="D6115" s="21" t="s">
        <v>12974</v>
      </c>
      <c r="E6115" s="22" t="str">
        <f>HYPERLINK("https://twitter.com/AhmedBiikolle/status/922503729743511552","922503729743511552")</f>
        <v>922503729743511552</v>
      </c>
      <c r="F6115" s="23" t="s">
        <v>33</v>
      </c>
      <c r="G6115" s="24">
        <v>20.0</v>
      </c>
      <c r="H6115" s="24">
        <v>137.0</v>
      </c>
      <c r="I6115" s="24">
        <v>110.0</v>
      </c>
      <c r="J6115" s="24">
        <v>0.0</v>
      </c>
      <c r="K6115" s="23" t="s">
        <v>34</v>
      </c>
      <c r="L6115" s="25">
        <v>42893.31136574074</v>
      </c>
      <c r="M6115" s="26" t="s">
        <v>7210</v>
      </c>
      <c r="N6115" s="26" t="s">
        <v>13853</v>
      </c>
      <c r="O6115" s="22" t="str">
        <f>HYPERLINK("https://pbs.twimg.com/profile_images/876154261578461184/jMaOuMU__normal.jpg","View")</f>
        <v>View</v>
      </c>
      <c r="P6115" s="27"/>
    </row>
    <row r="6116">
      <c r="A6116" s="14">
        <v>43031.405231481476</v>
      </c>
      <c r="B6116" s="20" t="str">
        <f>HYPERLINK("https://twitter.com/Groan_Again","@Groan_Again")</f>
        <v>@Groan_Again</v>
      </c>
      <c r="C6116" s="21" t="s">
        <v>13854</v>
      </c>
      <c r="D6116" s="21" t="s">
        <v>13855</v>
      </c>
      <c r="E6116" s="22" t="str">
        <f>HYPERLINK("https://twitter.com/Groan_Again/status/922503770117935104","922503770117935104")</f>
        <v>922503770117935104</v>
      </c>
      <c r="F6116" s="23" t="s">
        <v>187</v>
      </c>
      <c r="G6116" s="24">
        <v>146.0</v>
      </c>
      <c r="H6116" s="24">
        <v>893.0</v>
      </c>
      <c r="I6116" s="24">
        <v>0.0</v>
      </c>
      <c r="J6116" s="24">
        <v>0.0</v>
      </c>
      <c r="K6116" s="23" t="s">
        <v>34</v>
      </c>
      <c r="L6116" s="25">
        <v>42381.75170138889</v>
      </c>
      <c r="M6116" s="28"/>
      <c r="N6116" s="26" t="s">
        <v>13856</v>
      </c>
      <c r="O6116" s="22" t="str">
        <f>HYPERLINK("https://pbs.twimg.com/profile_images/754311415268159489/b-yr2Fap_normal.jpg","View")</f>
        <v>View</v>
      </c>
      <c r="P6116" s="27"/>
    </row>
    <row r="6117">
      <c r="A6117" s="14">
        <v>43031.4053587963</v>
      </c>
      <c r="B6117" s="20" t="str">
        <f>HYPERLINK("https://twitter.com/Geethaputhra","@Geethaputhra")</f>
        <v>@Geethaputhra</v>
      </c>
      <c r="C6117" s="21" t="s">
        <v>13857</v>
      </c>
      <c r="D6117" s="21" t="s">
        <v>42</v>
      </c>
      <c r="E6117" s="22" t="str">
        <f>HYPERLINK("https://twitter.com/Geethaputhra/status/922503816829747200","922503816829747200")</f>
        <v>922503816829747200</v>
      </c>
      <c r="F6117" s="23" t="s">
        <v>33</v>
      </c>
      <c r="G6117" s="24">
        <v>68.0</v>
      </c>
      <c r="H6117" s="24">
        <v>420.0</v>
      </c>
      <c r="I6117" s="24">
        <v>8501.0</v>
      </c>
      <c r="J6117" s="24">
        <v>0.0</v>
      </c>
      <c r="K6117" s="23" t="s">
        <v>34</v>
      </c>
      <c r="L6117" s="25">
        <v>42345.68162037037</v>
      </c>
      <c r="M6117" s="26" t="s">
        <v>13858</v>
      </c>
      <c r="N6117" s="26" t="s">
        <v>13859</v>
      </c>
      <c r="O6117" s="22" t="str">
        <f>HYPERLINK("https://pbs.twimg.com/profile_images/852034465001906177/A4SX4eH0_normal.jpg","View")</f>
        <v>View</v>
      </c>
      <c r="P6117" s="27"/>
    </row>
    <row r="6118">
      <c r="A6118" s="14">
        <v>43031.40537037037</v>
      </c>
      <c r="B6118" s="20" t="str">
        <f>HYPERLINK("https://twitter.com/slimchick1900","@slimchick1900")</f>
        <v>@slimchick1900</v>
      </c>
      <c r="C6118" s="21" t="s">
        <v>13860</v>
      </c>
      <c r="D6118" s="21" t="s">
        <v>10614</v>
      </c>
      <c r="E6118" s="22" t="str">
        <f>HYPERLINK("https://twitter.com/slimchick1900/status/922503818117615616","922503818117615616")</f>
        <v>922503818117615616</v>
      </c>
      <c r="F6118" s="23" t="s">
        <v>33</v>
      </c>
      <c r="G6118" s="24">
        <v>979.0</v>
      </c>
      <c r="H6118" s="24">
        <v>151.0</v>
      </c>
      <c r="I6118" s="24">
        <v>159.0</v>
      </c>
      <c r="J6118" s="24">
        <v>0.0</v>
      </c>
      <c r="K6118" s="23" t="s">
        <v>34</v>
      </c>
      <c r="L6118" s="25">
        <v>40205.15584490741</v>
      </c>
      <c r="M6118" s="26" t="s">
        <v>13861</v>
      </c>
      <c r="N6118" s="26" t="s">
        <v>13862</v>
      </c>
      <c r="O6118" s="22" t="str">
        <f>HYPERLINK("https://pbs.twimg.com/profile_images/1874796229/Natasha_pic_normal.jpg","View")</f>
        <v>View</v>
      </c>
      <c r="P6118" s="27"/>
    </row>
    <row r="6119">
      <c r="A6119" s="14">
        <v>43031.405428240745</v>
      </c>
      <c r="B6119" s="20" t="str">
        <f>HYPERLINK("https://twitter.com/Yogesh44439133","@Yogesh44439133")</f>
        <v>@Yogesh44439133</v>
      </c>
      <c r="C6119" s="21" t="s">
        <v>13863</v>
      </c>
      <c r="D6119" s="21" t="s">
        <v>42</v>
      </c>
      <c r="E6119" s="22" t="str">
        <f>HYPERLINK("https://twitter.com/Yogesh44439133/status/922503842050097152","922503842050097152")</f>
        <v>922503842050097152</v>
      </c>
      <c r="F6119" s="23" t="s">
        <v>33</v>
      </c>
      <c r="G6119" s="24">
        <v>246.0</v>
      </c>
      <c r="H6119" s="24">
        <v>987.0</v>
      </c>
      <c r="I6119" s="24">
        <v>8501.0</v>
      </c>
      <c r="J6119" s="24">
        <v>0.0</v>
      </c>
      <c r="K6119" s="23" t="s">
        <v>34</v>
      </c>
      <c r="L6119" s="25">
        <v>42853.16128472222</v>
      </c>
      <c r="M6119" s="26" t="s">
        <v>13864</v>
      </c>
      <c r="N6119" s="26" t="s">
        <v>13865</v>
      </c>
      <c r="O6119" s="22" t="str">
        <f>HYPERLINK("https://pbs.twimg.com/profile_images/866968600304812032/YER-i4p6_normal.jpg","View")</f>
        <v>View</v>
      </c>
      <c r="P6119" s="27"/>
    </row>
    <row r="6120">
      <c r="A6120" s="14">
        <v>43031.40604166666</v>
      </c>
      <c r="B6120" s="20" t="str">
        <f>HYPERLINK("https://twitter.com/shitalmanga","@shitalmanga")</f>
        <v>@shitalmanga</v>
      </c>
      <c r="C6120" s="21" t="s">
        <v>13866</v>
      </c>
      <c r="D6120" s="21" t="s">
        <v>42</v>
      </c>
      <c r="E6120" s="22" t="str">
        <f>HYPERLINK("https://twitter.com/shitalmanga/status/922504060720295936","922504060720295936")</f>
        <v>922504060720295936</v>
      </c>
      <c r="F6120" s="23" t="s">
        <v>33</v>
      </c>
      <c r="G6120" s="24">
        <v>579.0</v>
      </c>
      <c r="H6120" s="24">
        <v>444.0</v>
      </c>
      <c r="I6120" s="24">
        <v>8501.0</v>
      </c>
      <c r="J6120" s="24">
        <v>0.0</v>
      </c>
      <c r="K6120" s="23" t="s">
        <v>34</v>
      </c>
      <c r="L6120" s="25">
        <v>40379.38800925926</v>
      </c>
      <c r="M6120" s="26" t="s">
        <v>625</v>
      </c>
      <c r="N6120" s="26" t="s">
        <v>13867</v>
      </c>
      <c r="O6120" s="22" t="str">
        <f>HYPERLINK("https://pbs.twimg.com/profile_images/921649595612049408/ihFluW2l_normal.jpg","View")</f>
        <v>View</v>
      </c>
      <c r="P6120" s="27"/>
    </row>
    <row r="6121">
      <c r="A6121" s="14">
        <v>43031.40609953704</v>
      </c>
      <c r="B6121" s="20" t="str">
        <f>HYPERLINK("https://twitter.com/go_pagal","@go_pagal")</f>
        <v>@go_pagal</v>
      </c>
      <c r="C6121" s="21" t="s">
        <v>13868</v>
      </c>
      <c r="D6121" s="21" t="s">
        <v>42</v>
      </c>
      <c r="E6121" s="22" t="str">
        <f>HYPERLINK("https://twitter.com/go_pagal/status/922504084153810944","922504084153810944")</f>
        <v>922504084153810944</v>
      </c>
      <c r="F6121" s="23" t="s">
        <v>39</v>
      </c>
      <c r="G6121" s="24">
        <v>55.0</v>
      </c>
      <c r="H6121" s="24">
        <v>355.0</v>
      </c>
      <c r="I6121" s="24">
        <v>8501.0</v>
      </c>
      <c r="J6121" s="24">
        <v>0.0</v>
      </c>
      <c r="K6121" s="23" t="s">
        <v>34</v>
      </c>
      <c r="L6121" s="25">
        <v>42913.02034722222</v>
      </c>
      <c r="M6121" s="28"/>
      <c r="N6121" s="26" t="s">
        <v>13869</v>
      </c>
      <c r="O6121" s="22" t="str">
        <f>HYPERLINK("https://pbs.twimg.com/profile_images/879604178791706624/CC0t1amD_normal.jpg","View")</f>
        <v>View</v>
      </c>
      <c r="P6121" s="27"/>
    </row>
    <row r="6122">
      <c r="A6122" s="14">
        <v>43031.40611111111</v>
      </c>
      <c r="B6122" s="20" t="str">
        <f>HYPERLINK("https://twitter.com/CurrenciesDiva","@CurrenciesDiva")</f>
        <v>@CurrenciesDiva</v>
      </c>
      <c r="C6122" s="21" t="s">
        <v>13870</v>
      </c>
      <c r="D6122" s="21" t="s">
        <v>13791</v>
      </c>
      <c r="E6122" s="22" t="str">
        <f>HYPERLINK("https://twitter.com/CurrenciesDiva/status/922504088792600576","922504088792600576")</f>
        <v>922504088792600576</v>
      </c>
      <c r="F6122" s="23" t="s">
        <v>55</v>
      </c>
      <c r="G6122" s="24">
        <v>2.0</v>
      </c>
      <c r="H6122" s="24">
        <v>5.0</v>
      </c>
      <c r="I6122" s="24">
        <v>10.0</v>
      </c>
      <c r="J6122" s="24">
        <v>0.0</v>
      </c>
      <c r="K6122" s="23" t="s">
        <v>34</v>
      </c>
      <c r="L6122" s="25">
        <v>41779.47230324074</v>
      </c>
      <c r="M6122" s="28"/>
      <c r="N6122" s="28"/>
      <c r="O6122" s="22" t="str">
        <f>HYPERLINK("https://abs.twimg.com/sticky/default_profile_images/default_profile_normal.png","View")</f>
        <v>View</v>
      </c>
      <c r="P6122" s="27"/>
    </row>
    <row r="6123">
      <c r="A6123" s="14">
        <v>43031.40614583333</v>
      </c>
      <c r="B6123" s="20" t="str">
        <f>HYPERLINK("https://twitter.com/harupuko","@harupuko")</f>
        <v>@harupuko</v>
      </c>
      <c r="C6123" s="21" t="s">
        <v>13871</v>
      </c>
      <c r="D6123" s="21" t="s">
        <v>42</v>
      </c>
      <c r="E6123" s="22" t="str">
        <f>HYPERLINK("https://twitter.com/harupuko/status/922504101719445504","922504101719445504")</f>
        <v>922504101719445504</v>
      </c>
      <c r="F6123" s="23" t="s">
        <v>39</v>
      </c>
      <c r="G6123" s="24">
        <v>38.0</v>
      </c>
      <c r="H6123" s="24">
        <v>24.0</v>
      </c>
      <c r="I6123" s="24">
        <v>8501.0</v>
      </c>
      <c r="J6123" s="24">
        <v>0.0</v>
      </c>
      <c r="K6123" s="23" t="s">
        <v>34</v>
      </c>
      <c r="L6123" s="25">
        <v>41094.982627314814</v>
      </c>
      <c r="M6123" s="28"/>
      <c r="N6123" s="26" t="s">
        <v>13872</v>
      </c>
      <c r="O6123" s="22" t="str">
        <f>HYPERLINK("https://pbs.twimg.com/profile_images/757166762055995393/8dRaLHvq_normal.jpg","View")</f>
        <v>View</v>
      </c>
      <c r="P6123" s="27"/>
    </row>
    <row r="6124">
      <c r="A6124" s="14">
        <v>43031.406180555554</v>
      </c>
      <c r="B6124" s="20" t="str">
        <f>HYPERLINK("https://twitter.com/ISapnaJi","@ISapnaJi")</f>
        <v>@ISapnaJi</v>
      </c>
      <c r="C6124" s="21" t="s">
        <v>13873</v>
      </c>
      <c r="D6124" s="21" t="s">
        <v>42</v>
      </c>
      <c r="E6124" s="22" t="str">
        <f>HYPERLINK("https://twitter.com/ISapnaJi/status/922504112322830341","922504112322830341")</f>
        <v>922504112322830341</v>
      </c>
      <c r="F6124" s="23" t="s">
        <v>39</v>
      </c>
      <c r="G6124" s="24">
        <v>76.0</v>
      </c>
      <c r="H6124" s="24">
        <v>910.0</v>
      </c>
      <c r="I6124" s="24">
        <v>8501.0</v>
      </c>
      <c r="J6124" s="24">
        <v>0.0</v>
      </c>
      <c r="K6124" s="23" t="s">
        <v>34</v>
      </c>
      <c r="L6124" s="25">
        <v>43031.39572916667</v>
      </c>
      <c r="M6124" s="26" t="s">
        <v>575</v>
      </c>
      <c r="N6124" s="26" t="s">
        <v>13874</v>
      </c>
      <c r="O6124" s="22" t="str">
        <f>HYPERLINK("https://pbs.twimg.com/profile_images/922501425112010754/wQYBwsR3_normal.jpg","View")</f>
        <v>View</v>
      </c>
      <c r="P6124" s="27"/>
    </row>
    <row r="6125">
      <c r="A6125" s="14">
        <v>43031.406180555554</v>
      </c>
      <c r="B6125" s="20" t="str">
        <f>HYPERLINK("https://twitter.com/CurrenciesDiva","@CurrenciesDiva")</f>
        <v>@CurrenciesDiva</v>
      </c>
      <c r="C6125" s="21" t="s">
        <v>13870</v>
      </c>
      <c r="D6125" s="21" t="s">
        <v>13801</v>
      </c>
      <c r="E6125" s="22" t="str">
        <f>HYPERLINK("https://twitter.com/CurrenciesDiva/status/922504113660686336","922504113660686336")</f>
        <v>922504113660686336</v>
      </c>
      <c r="F6125" s="23" t="s">
        <v>55</v>
      </c>
      <c r="G6125" s="24">
        <v>2.0</v>
      </c>
      <c r="H6125" s="24">
        <v>5.0</v>
      </c>
      <c r="I6125" s="24">
        <v>10.0</v>
      </c>
      <c r="J6125" s="24">
        <v>0.0</v>
      </c>
      <c r="K6125" s="23" t="s">
        <v>34</v>
      </c>
      <c r="L6125" s="25">
        <v>41779.47230324074</v>
      </c>
      <c r="M6125" s="28"/>
      <c r="N6125" s="28"/>
      <c r="O6125" s="22" t="str">
        <f>HYPERLINK("https://abs.twimg.com/sticky/default_profile_images/default_profile_normal.png","View")</f>
        <v>View</v>
      </c>
      <c r="P6125" s="27"/>
    </row>
    <row r="6126">
      <c r="A6126" s="14">
        <v>43031.40625</v>
      </c>
      <c r="B6126" s="20" t="str">
        <f>HYPERLINK("https://twitter.com/subhakantabisw2","@subhakantabisw2")</f>
        <v>@subhakantabisw2</v>
      </c>
      <c r="C6126" s="21" t="s">
        <v>13875</v>
      </c>
      <c r="D6126" s="21" t="s">
        <v>42</v>
      </c>
      <c r="E6126" s="22" t="str">
        <f>HYPERLINK("https://twitter.com/subhakantabisw2/status/922504136418926592","922504136418926592")</f>
        <v>922504136418926592</v>
      </c>
      <c r="F6126" s="23" t="s">
        <v>33</v>
      </c>
      <c r="G6126" s="24">
        <v>14.0</v>
      </c>
      <c r="H6126" s="24">
        <v>46.0</v>
      </c>
      <c r="I6126" s="24">
        <v>8501.0</v>
      </c>
      <c r="J6126" s="24">
        <v>0.0</v>
      </c>
      <c r="K6126" s="23" t="s">
        <v>34</v>
      </c>
      <c r="L6126" s="25">
        <v>41116.91856481481</v>
      </c>
      <c r="M6126" s="26" t="s">
        <v>13876</v>
      </c>
      <c r="N6126" s="28"/>
      <c r="O6126" s="22" t="str">
        <f>HYPERLINK("https://pbs.twimg.com/profile_images/875028222743764992/ngoH0RWz_normal.jpg","View")</f>
        <v>View</v>
      </c>
      <c r="P6126" s="27"/>
    </row>
    <row r="6127">
      <c r="A6127" s="14">
        <v>43031.40627314815</v>
      </c>
      <c r="B6127" s="20" t="str">
        <f>HYPERLINK("https://twitter.com/CSISKoreaChair","@CSISKoreaChair")</f>
        <v>@CSISKoreaChair</v>
      </c>
      <c r="C6127" s="21" t="s">
        <v>13877</v>
      </c>
      <c r="D6127" s="21" t="s">
        <v>13878</v>
      </c>
      <c r="E6127" s="22" t="str">
        <f>HYPERLINK("https://twitter.com/CSISKoreaChair/status/922504144543510528","922504144543510528")</f>
        <v>922504144543510528</v>
      </c>
      <c r="F6127" s="23" t="s">
        <v>769</v>
      </c>
      <c r="G6127" s="24">
        <v>10608.0</v>
      </c>
      <c r="H6127" s="24">
        <v>706.0</v>
      </c>
      <c r="I6127" s="24">
        <v>1.0</v>
      </c>
      <c r="J6127" s="24">
        <v>3.0</v>
      </c>
      <c r="K6127" s="23" t="s">
        <v>34</v>
      </c>
      <c r="L6127" s="25">
        <v>40260.558229166665</v>
      </c>
      <c r="M6127" s="26" t="s">
        <v>4239</v>
      </c>
      <c r="N6127" s="26" t="s">
        <v>13879</v>
      </c>
      <c r="O6127" s="22" t="str">
        <f>HYPERLINK("https://pbs.twimg.com/profile_images/459782887248625664/dtWO6CiC_normal.jpeg","View")</f>
        <v>View</v>
      </c>
      <c r="P6127" s="27"/>
    </row>
    <row r="6128">
      <c r="A6128" s="14">
        <v>43031.40627314815</v>
      </c>
      <c r="B6128" s="20" t="str">
        <f>HYPERLINK("https://twitter.com/arjun102030","@arjun102030")</f>
        <v>@arjun102030</v>
      </c>
      <c r="C6128" s="21" t="s">
        <v>13880</v>
      </c>
      <c r="D6128" s="21" t="s">
        <v>42</v>
      </c>
      <c r="E6128" s="22" t="str">
        <f>HYPERLINK("https://twitter.com/arjun102030/status/922504146195922944","922504146195922944")</f>
        <v>922504146195922944</v>
      </c>
      <c r="F6128" s="23" t="s">
        <v>33</v>
      </c>
      <c r="G6128" s="24">
        <v>2796.0</v>
      </c>
      <c r="H6128" s="24">
        <v>4456.0</v>
      </c>
      <c r="I6128" s="24">
        <v>8501.0</v>
      </c>
      <c r="J6128" s="24">
        <v>0.0</v>
      </c>
      <c r="K6128" s="23" t="s">
        <v>34</v>
      </c>
      <c r="L6128" s="25">
        <v>42358.952372685184</v>
      </c>
      <c r="M6128" s="26" t="s">
        <v>204</v>
      </c>
      <c r="N6128" s="26" t="s">
        <v>13881</v>
      </c>
      <c r="O6128" s="22" t="str">
        <f>HYPERLINK("https://pbs.twimg.com/profile_images/909831463062745088/groyMtR-_normal.jpg","View")</f>
        <v>View</v>
      </c>
      <c r="P6128" s="27"/>
    </row>
    <row r="6129">
      <c r="A6129" s="14">
        <v>43031.40629629629</v>
      </c>
      <c r="B6129" s="20" t="str">
        <f>HYPERLINK("https://twitter.com/MadSpaceNews","@MadSpaceNews")</f>
        <v>@MadSpaceNews</v>
      </c>
      <c r="C6129" s="21" t="s">
        <v>13882</v>
      </c>
      <c r="D6129" s="21" t="s">
        <v>13883</v>
      </c>
      <c r="E6129" s="22" t="str">
        <f>HYPERLINK("https://twitter.com/MadSpaceNews/status/922504154618007552","922504154618007552")</f>
        <v>922504154618007552</v>
      </c>
      <c r="F6129" s="23" t="s">
        <v>13884</v>
      </c>
      <c r="G6129" s="24">
        <v>289.0</v>
      </c>
      <c r="H6129" s="24">
        <v>492.0</v>
      </c>
      <c r="I6129" s="24">
        <v>0.0</v>
      </c>
      <c r="J6129" s="24">
        <v>0.0</v>
      </c>
      <c r="K6129" s="23" t="s">
        <v>34</v>
      </c>
      <c r="L6129" s="25">
        <v>42810.410254629634</v>
      </c>
      <c r="M6129" s="26" t="s">
        <v>92</v>
      </c>
      <c r="N6129" s="26" t="s">
        <v>13885</v>
      </c>
      <c r="O6129" s="22" t="str">
        <f>HYPERLINK("https://pbs.twimg.com/profile_images/842445762202075138/Tv7J9njN_normal.jpg","View")</f>
        <v>View</v>
      </c>
      <c r="P6129" s="27"/>
    </row>
    <row r="6130">
      <c r="A6130" s="14">
        <v>43031.40630787037</v>
      </c>
      <c r="B6130" s="20" t="str">
        <f>HYPERLINK("https://twitter.com/CaptAssamRegt","@CaptAssamRegt")</f>
        <v>@CaptAssamRegt</v>
      </c>
      <c r="C6130" s="21" t="s">
        <v>13886</v>
      </c>
      <c r="D6130" s="21" t="s">
        <v>42</v>
      </c>
      <c r="E6130" s="22" t="str">
        <f>HYPERLINK("https://twitter.com/CaptAssamRegt/status/922504159953162240","922504159953162240")</f>
        <v>922504159953162240</v>
      </c>
      <c r="F6130" s="23" t="s">
        <v>33</v>
      </c>
      <c r="G6130" s="24">
        <v>278.0</v>
      </c>
      <c r="H6130" s="24">
        <v>876.0</v>
      </c>
      <c r="I6130" s="24">
        <v>8501.0</v>
      </c>
      <c r="J6130" s="24">
        <v>0.0</v>
      </c>
      <c r="K6130" s="23" t="s">
        <v>34</v>
      </c>
      <c r="L6130" s="25">
        <v>42610.28318287037</v>
      </c>
      <c r="M6130" s="28"/>
      <c r="N6130" s="26" t="s">
        <v>13887</v>
      </c>
      <c r="O6130" s="22" t="str">
        <f>HYPERLINK("https://pbs.twimg.com/profile_images/897379607942508544/aj_pERZM_normal.jpg","View")</f>
        <v>View</v>
      </c>
      <c r="P6130" s="27"/>
    </row>
    <row r="6131">
      <c r="A6131" s="14">
        <v>43031.406319444446</v>
      </c>
      <c r="B6131" s="20" t="str">
        <f>HYPERLINK("https://twitter.com/Gayatri74601312","@Gayatri74601312")</f>
        <v>@Gayatri74601312</v>
      </c>
      <c r="C6131" s="21" t="s">
        <v>13888</v>
      </c>
      <c r="D6131" s="21" t="s">
        <v>42</v>
      </c>
      <c r="E6131" s="22" t="str">
        <f>HYPERLINK("https://twitter.com/Gayatri74601312/status/922504161396011008","922504161396011008")</f>
        <v>922504161396011008</v>
      </c>
      <c r="F6131" s="23" t="s">
        <v>33</v>
      </c>
      <c r="G6131" s="24">
        <v>21.0</v>
      </c>
      <c r="H6131" s="24">
        <v>65.0</v>
      </c>
      <c r="I6131" s="24">
        <v>8501.0</v>
      </c>
      <c r="J6131" s="24">
        <v>0.0</v>
      </c>
      <c r="K6131" s="23" t="s">
        <v>34</v>
      </c>
      <c r="L6131" s="25">
        <v>42936.43703703704</v>
      </c>
      <c r="M6131" s="26" t="s">
        <v>13889</v>
      </c>
      <c r="N6131" s="28"/>
      <c r="O6131" s="22" t="str">
        <f>HYPERLINK("https://pbs.twimg.com/profile_images/901022177234780160/1MYCDfJL_normal.jpg","View")</f>
        <v>View</v>
      </c>
      <c r="P6131" s="27"/>
    </row>
    <row r="6132">
      <c r="A6132" s="14">
        <v>43031.40634259259</v>
      </c>
      <c r="B6132" s="20" t="str">
        <f>HYPERLINK("https://twitter.com/DonaldTrump_Is","@DonaldTrump_Is")</f>
        <v>@DonaldTrump_Is</v>
      </c>
      <c r="C6132" s="21" t="s">
        <v>13890</v>
      </c>
      <c r="D6132" s="21" t="s">
        <v>13891</v>
      </c>
      <c r="E6132" s="22" t="str">
        <f>HYPERLINK("https://twitter.com/DonaldTrump_Is/status/922504169940045824","922504169940045824")</f>
        <v>922504169940045824</v>
      </c>
      <c r="F6132" s="23" t="s">
        <v>13892</v>
      </c>
      <c r="G6132" s="24">
        <v>1520.0</v>
      </c>
      <c r="H6132" s="24">
        <v>2.0</v>
      </c>
      <c r="I6132" s="24">
        <v>1.0</v>
      </c>
      <c r="J6132" s="24">
        <v>0.0</v>
      </c>
      <c r="K6132" s="23" t="s">
        <v>34</v>
      </c>
      <c r="L6132" s="25">
        <v>42362.41521990741</v>
      </c>
      <c r="M6132" s="28"/>
      <c r="N6132" s="26" t="s">
        <v>13893</v>
      </c>
      <c r="O6132" s="22" t="str">
        <f>HYPERLINK("https://pbs.twimg.com/profile_images/803194969599148032/sIPJp6If_normal.jpg","View")</f>
        <v>View</v>
      </c>
      <c r="P6132" s="27"/>
    </row>
    <row r="6133">
      <c r="A6133" s="14">
        <v>43031.40634259259</v>
      </c>
      <c r="B6133" s="20" t="str">
        <f>HYPERLINK("https://twitter.com/_kevinpandya_","@_kevinpandya_")</f>
        <v>@_kevinpandya_</v>
      </c>
      <c r="C6133" s="21" t="s">
        <v>13894</v>
      </c>
      <c r="D6133" s="21" t="s">
        <v>42</v>
      </c>
      <c r="E6133" s="22" t="str">
        <f>HYPERLINK("https://twitter.com/_kevinpandya_/status/922504170732642304","922504170732642304")</f>
        <v>922504170732642304</v>
      </c>
      <c r="F6133" s="23" t="s">
        <v>33</v>
      </c>
      <c r="G6133" s="24">
        <v>196.0</v>
      </c>
      <c r="H6133" s="24">
        <v>415.0</v>
      </c>
      <c r="I6133" s="24">
        <v>8501.0</v>
      </c>
      <c r="J6133" s="24">
        <v>0.0</v>
      </c>
      <c r="K6133" s="23" t="s">
        <v>34</v>
      </c>
      <c r="L6133" s="25">
        <v>42980.270787037036</v>
      </c>
      <c r="M6133" s="26" t="s">
        <v>13895</v>
      </c>
      <c r="N6133" s="26" t="s">
        <v>13896</v>
      </c>
      <c r="O6133" s="22" t="str">
        <f>HYPERLINK("https://pbs.twimg.com/profile_images/904203591405133824/wjlvlxWJ_normal.jpg","View")</f>
        <v>View</v>
      </c>
      <c r="P6133" s="27"/>
    </row>
    <row r="6134">
      <c r="A6134" s="14">
        <v>43031.406377314815</v>
      </c>
      <c r="B6134" s="20" t="str">
        <f>HYPERLINK("https://twitter.com/CurrenciesDiva","@CurrenciesDiva")</f>
        <v>@CurrenciesDiva</v>
      </c>
      <c r="C6134" s="21" t="s">
        <v>13870</v>
      </c>
      <c r="D6134" s="21" t="s">
        <v>13802</v>
      </c>
      <c r="E6134" s="22" t="str">
        <f>HYPERLINK("https://twitter.com/CurrenciesDiva/status/922504184728915968","922504184728915968")</f>
        <v>922504184728915968</v>
      </c>
      <c r="F6134" s="23" t="s">
        <v>55</v>
      </c>
      <c r="G6134" s="24">
        <v>2.0</v>
      </c>
      <c r="H6134" s="24">
        <v>5.0</v>
      </c>
      <c r="I6134" s="24">
        <v>12.0</v>
      </c>
      <c r="J6134" s="24">
        <v>0.0</v>
      </c>
      <c r="K6134" s="23" t="s">
        <v>34</v>
      </c>
      <c r="L6134" s="25">
        <v>41779.47230324074</v>
      </c>
      <c r="M6134" s="28"/>
      <c r="N6134" s="28"/>
      <c r="O6134" s="22" t="str">
        <f>HYPERLINK("https://abs.twimg.com/sticky/default_profile_images/default_profile_normal.png","View")</f>
        <v>View</v>
      </c>
      <c r="P6134" s="27"/>
    </row>
    <row r="6135">
      <c r="A6135" s="14">
        <v>43031.40640046296</v>
      </c>
      <c r="B6135" s="20" t="str">
        <f>HYPERLINK("https://twitter.com/Ithrahim","@Ithrahim")</f>
        <v>@Ithrahim</v>
      </c>
      <c r="C6135" s="21" t="s">
        <v>13897</v>
      </c>
      <c r="D6135" s="21" t="s">
        <v>42</v>
      </c>
      <c r="E6135" s="22" t="str">
        <f>HYPERLINK("https://twitter.com/Ithrahim/status/922504191477796865","922504191477796865")</f>
        <v>922504191477796865</v>
      </c>
      <c r="F6135" s="23" t="s">
        <v>33</v>
      </c>
      <c r="G6135" s="24">
        <v>1022.0</v>
      </c>
      <c r="H6135" s="24">
        <v>301.0</v>
      </c>
      <c r="I6135" s="24">
        <v>8501.0</v>
      </c>
      <c r="J6135" s="24">
        <v>0.0</v>
      </c>
      <c r="K6135" s="23" t="s">
        <v>34</v>
      </c>
      <c r="L6135" s="25">
        <v>39978.46821759259</v>
      </c>
      <c r="M6135" s="26" t="s">
        <v>40</v>
      </c>
      <c r="N6135" s="26" t="s">
        <v>13898</v>
      </c>
      <c r="O6135" s="22" t="str">
        <f>HYPERLINK("https://pbs.twimg.com/profile_images/473779622866206720/XXrT-CGV_normal.jpeg","View")</f>
        <v>View</v>
      </c>
      <c r="P6135" s="27"/>
    </row>
    <row r="6136">
      <c r="A6136" s="14">
        <v>43031.406435185185</v>
      </c>
      <c r="B6136" s="20" t="str">
        <f>HYPERLINK("https://twitter.com/CurrenciesDiva","@CurrenciesDiva")</f>
        <v>@CurrenciesDiva</v>
      </c>
      <c r="C6136" s="21" t="s">
        <v>13870</v>
      </c>
      <c r="D6136" s="21" t="s">
        <v>13808</v>
      </c>
      <c r="E6136" s="22" t="str">
        <f>HYPERLINK("https://twitter.com/CurrenciesDiva/status/922504204962299904","922504204962299904")</f>
        <v>922504204962299904</v>
      </c>
      <c r="F6136" s="23" t="s">
        <v>55</v>
      </c>
      <c r="G6136" s="24">
        <v>2.0</v>
      </c>
      <c r="H6136" s="24">
        <v>5.0</v>
      </c>
      <c r="I6136" s="24">
        <v>11.0</v>
      </c>
      <c r="J6136" s="24">
        <v>0.0</v>
      </c>
      <c r="K6136" s="23" t="s">
        <v>34</v>
      </c>
      <c r="L6136" s="25">
        <v>41779.47230324074</v>
      </c>
      <c r="M6136" s="28"/>
      <c r="N6136" s="28"/>
      <c r="O6136" s="22" t="str">
        <f>HYPERLINK("https://abs.twimg.com/sticky/default_profile_images/default_profile_normal.png","View")</f>
        <v>View</v>
      </c>
      <c r="P6136" s="27"/>
    </row>
    <row r="6137">
      <c r="A6137" s="14">
        <v>43031.40652777778</v>
      </c>
      <c r="B6137" s="20" t="str">
        <f>HYPERLINK("https://twitter.com/forzaoldbasterd","@forzaoldbasterd")</f>
        <v>@forzaoldbasterd</v>
      </c>
      <c r="C6137" s="21" t="s">
        <v>13899</v>
      </c>
      <c r="D6137" s="21" t="s">
        <v>10653</v>
      </c>
      <c r="E6137" s="22" t="str">
        <f>HYPERLINK("https://twitter.com/forzaoldbasterd/status/922504236964777984","922504236964777984")</f>
        <v>922504236964777984</v>
      </c>
      <c r="F6137" s="23" t="s">
        <v>55</v>
      </c>
      <c r="G6137" s="24">
        <v>3772.0</v>
      </c>
      <c r="H6137" s="24">
        <v>4874.0</v>
      </c>
      <c r="I6137" s="24">
        <v>9.0</v>
      </c>
      <c r="J6137" s="24">
        <v>0.0</v>
      </c>
      <c r="K6137" s="23" t="s">
        <v>34</v>
      </c>
      <c r="L6137" s="25">
        <v>40641.98981481481</v>
      </c>
      <c r="M6137" s="26" t="s">
        <v>13900</v>
      </c>
      <c r="N6137" s="26" t="s">
        <v>13901</v>
      </c>
      <c r="O6137" s="22" t="str">
        <f>HYPERLINK("https://pbs.twimg.com/profile_images/746716233618186240/xtDoxUty_normal.jpg","View")</f>
        <v>View</v>
      </c>
      <c r="P6137" s="27"/>
    </row>
    <row r="6138">
      <c r="A6138" s="14">
        <v>43031.4071875</v>
      </c>
      <c r="B6138" s="20" t="str">
        <f>HYPERLINK("https://twitter.com/k3shtk4r","@k3shtk4r")</f>
        <v>@k3shtk4r</v>
      </c>
      <c r="C6138" s="21" t="s">
        <v>13403</v>
      </c>
      <c r="D6138" s="21" t="s">
        <v>13902</v>
      </c>
      <c r="E6138" s="22" t="str">
        <f>HYPERLINK("https://twitter.com/k3shtk4r/status/922504478280085509","922504478280085509")</f>
        <v>922504478280085509</v>
      </c>
      <c r="F6138" s="23" t="s">
        <v>187</v>
      </c>
      <c r="G6138" s="24">
        <v>373.0</v>
      </c>
      <c r="H6138" s="24">
        <v>99.0</v>
      </c>
      <c r="I6138" s="24">
        <v>0.0</v>
      </c>
      <c r="J6138" s="24">
        <v>0.0</v>
      </c>
      <c r="K6138" s="23" t="s">
        <v>34</v>
      </c>
      <c r="L6138" s="25">
        <v>40445.06240740741</v>
      </c>
      <c r="M6138" s="28"/>
      <c r="N6138" s="26" t="s">
        <v>13405</v>
      </c>
      <c r="O6138" s="22" t="str">
        <f>HYPERLINK("https://pbs.twimg.com/profile_images/1643334812/1_normal.jpg","View")</f>
        <v>View</v>
      </c>
      <c r="P6138" s="27"/>
    </row>
    <row r="6139">
      <c r="A6139" s="14">
        <v>43031.40725694444</v>
      </c>
      <c r="B6139" s="20" t="str">
        <f>HYPERLINK("https://twitter.com/wantyx737","@wantyx737")</f>
        <v>@wantyx737</v>
      </c>
      <c r="C6139" s="21" t="s">
        <v>13122</v>
      </c>
      <c r="D6139" s="21" t="s">
        <v>6403</v>
      </c>
      <c r="E6139" s="22" t="str">
        <f>HYPERLINK("https://twitter.com/wantyx737/status/922504501822664704","922504501822664704")</f>
        <v>922504501822664704</v>
      </c>
      <c r="F6139" s="23" t="s">
        <v>39</v>
      </c>
      <c r="G6139" s="24">
        <v>179.0</v>
      </c>
      <c r="H6139" s="24">
        <v>102.0</v>
      </c>
      <c r="I6139" s="24">
        <v>97.0</v>
      </c>
      <c r="J6139" s="24">
        <v>0.0</v>
      </c>
      <c r="K6139" s="23" t="s">
        <v>34</v>
      </c>
      <c r="L6139" s="25">
        <v>42740.222905092596</v>
      </c>
      <c r="M6139" s="26" t="s">
        <v>6118</v>
      </c>
      <c r="N6139" s="26" t="s">
        <v>13903</v>
      </c>
      <c r="O6139" s="22" t="str">
        <f>HYPERLINK("https://abs.twimg.com/sticky/default_profile_images/default_profile_normal.png","View")</f>
        <v>View</v>
      </c>
      <c r="P6139" s="27"/>
    </row>
    <row r="6140">
      <c r="A6140" s="14">
        <v>43031.407372685186</v>
      </c>
      <c r="B6140" s="20" t="str">
        <f>HYPERLINK("https://twitter.com/kichio1","@kichio1")</f>
        <v>@kichio1</v>
      </c>
      <c r="C6140" s="21" t="s">
        <v>13904</v>
      </c>
      <c r="D6140" s="21" t="s">
        <v>1642</v>
      </c>
      <c r="E6140" s="22" t="str">
        <f>HYPERLINK("https://twitter.com/kichio1/status/922504543631544322","922504543631544322")</f>
        <v>922504543631544322</v>
      </c>
      <c r="F6140" s="23" t="s">
        <v>55</v>
      </c>
      <c r="G6140" s="24">
        <v>27.0</v>
      </c>
      <c r="H6140" s="24">
        <v>16.0</v>
      </c>
      <c r="I6140" s="24">
        <v>199.0</v>
      </c>
      <c r="J6140" s="24">
        <v>0.0</v>
      </c>
      <c r="K6140" s="23" t="s">
        <v>34</v>
      </c>
      <c r="L6140" s="25">
        <v>41033.283113425925</v>
      </c>
      <c r="M6140" s="26" t="s">
        <v>6449</v>
      </c>
      <c r="N6140" s="26" t="s">
        <v>13905</v>
      </c>
      <c r="O6140" s="22" t="str">
        <f>HYPERLINK("https://pbs.twimg.com/profile_images/901349083096293376/G4Os7vXg_normal.jpg","View")</f>
        <v>View</v>
      </c>
      <c r="P6140" s="27"/>
    </row>
    <row r="6141">
      <c r="A6141" s="14">
        <v>43031.40739583333</v>
      </c>
      <c r="B6141" s="20" t="str">
        <f>HYPERLINK("https://twitter.com/siddromi","@siddromi")</f>
        <v>@siddromi</v>
      </c>
      <c r="C6141" s="21" t="s">
        <v>13906</v>
      </c>
      <c r="D6141" s="21" t="s">
        <v>42</v>
      </c>
      <c r="E6141" s="22" t="str">
        <f>HYPERLINK("https://twitter.com/siddromi/status/922504554993913857","922504554993913857")</f>
        <v>922504554993913857</v>
      </c>
      <c r="F6141" s="23" t="s">
        <v>33</v>
      </c>
      <c r="G6141" s="24">
        <v>175.0</v>
      </c>
      <c r="H6141" s="24">
        <v>324.0</v>
      </c>
      <c r="I6141" s="24">
        <v>8501.0</v>
      </c>
      <c r="J6141" s="24">
        <v>0.0</v>
      </c>
      <c r="K6141" s="23" t="s">
        <v>34</v>
      </c>
      <c r="L6141" s="25">
        <v>40631.3897337963</v>
      </c>
      <c r="M6141" s="26" t="s">
        <v>1189</v>
      </c>
      <c r="N6141" s="26" t="s">
        <v>13907</v>
      </c>
      <c r="O6141" s="22" t="str">
        <f>HYPERLINK("https://pbs.twimg.com/profile_images/702824346188795904/GuKMWonO_normal.jpg","View")</f>
        <v>View</v>
      </c>
      <c r="P6141" s="27"/>
    </row>
    <row r="6142">
      <c r="A6142" s="14">
        <v>43031.40747685185</v>
      </c>
      <c r="B6142" s="20" t="str">
        <f>HYPERLINK("https://twitter.com/susil1432","@susil1432")</f>
        <v>@susil1432</v>
      </c>
      <c r="C6142" s="21" t="s">
        <v>13908</v>
      </c>
      <c r="D6142" s="21" t="s">
        <v>42</v>
      </c>
      <c r="E6142" s="22" t="str">
        <f>HYPERLINK("https://twitter.com/susil1432/status/922504581593964544","922504581593964544")</f>
        <v>922504581593964544</v>
      </c>
      <c r="F6142" s="23" t="s">
        <v>33</v>
      </c>
      <c r="G6142" s="24">
        <v>12.0</v>
      </c>
      <c r="H6142" s="24">
        <v>209.0</v>
      </c>
      <c r="I6142" s="24">
        <v>8501.0</v>
      </c>
      <c r="J6142" s="24">
        <v>0.0</v>
      </c>
      <c r="K6142" s="23" t="s">
        <v>34</v>
      </c>
      <c r="L6142" s="25">
        <v>42766.804872685185</v>
      </c>
      <c r="M6142" s="26" t="s">
        <v>572</v>
      </c>
      <c r="N6142" s="26" t="s">
        <v>13909</v>
      </c>
      <c r="O6142" s="22" t="str">
        <f>HYPERLINK("https://pbs.twimg.com/profile_images/870943021143134208/ZKnaWSm9_normal.jpg","View")</f>
        <v>View</v>
      </c>
      <c r="P6142" s="27"/>
    </row>
    <row r="6143">
      <c r="A6143" s="14">
        <v>43031.4075</v>
      </c>
      <c r="B6143" s="20" t="str">
        <f t="shared" ref="B6143:B6146" si="100">HYPERLINK("https://twitter.com/ProductiveMoms","@ProductiveMoms")</f>
        <v>@ProductiveMoms</v>
      </c>
      <c r="C6143" s="21" t="s">
        <v>13910</v>
      </c>
      <c r="D6143" s="21" t="s">
        <v>13791</v>
      </c>
      <c r="E6143" s="22" t="str">
        <f>HYPERLINK("https://twitter.com/ProductiveMoms/status/922504592612397056","922504592612397056")</f>
        <v>922504592612397056</v>
      </c>
      <c r="F6143" s="23" t="s">
        <v>55</v>
      </c>
      <c r="G6143" s="24">
        <v>16.0</v>
      </c>
      <c r="H6143" s="24">
        <v>61.0</v>
      </c>
      <c r="I6143" s="24">
        <v>10.0</v>
      </c>
      <c r="J6143" s="24">
        <v>0.0</v>
      </c>
      <c r="K6143" s="23" t="s">
        <v>34</v>
      </c>
      <c r="L6143" s="25">
        <v>41114.24587962963</v>
      </c>
      <c r="M6143" s="28"/>
      <c r="N6143" s="26" t="s">
        <v>13911</v>
      </c>
      <c r="O6143" s="22" t="str">
        <f t="shared" ref="O6143:O6146" si="101">HYPERLINK("https://pbs.twimg.com/profile_images/780509612676157440/3jycMKlk_normal.jpg","View")</f>
        <v>View</v>
      </c>
      <c r="P6143" s="27"/>
    </row>
    <row r="6144">
      <c r="A6144" s="14">
        <v>43031.40762731481</v>
      </c>
      <c r="B6144" s="20" t="str">
        <f t="shared" si="100"/>
        <v>@ProductiveMoms</v>
      </c>
      <c r="C6144" s="21" t="s">
        <v>13910</v>
      </c>
      <c r="D6144" s="21" t="s">
        <v>13801</v>
      </c>
      <c r="E6144" s="22" t="str">
        <f>HYPERLINK("https://twitter.com/ProductiveMoms/status/922504637059448832","922504637059448832")</f>
        <v>922504637059448832</v>
      </c>
      <c r="F6144" s="23" t="s">
        <v>55</v>
      </c>
      <c r="G6144" s="24">
        <v>16.0</v>
      </c>
      <c r="H6144" s="24">
        <v>61.0</v>
      </c>
      <c r="I6144" s="24">
        <v>10.0</v>
      </c>
      <c r="J6144" s="24">
        <v>0.0</v>
      </c>
      <c r="K6144" s="23" t="s">
        <v>34</v>
      </c>
      <c r="L6144" s="25">
        <v>41114.24587962963</v>
      </c>
      <c r="M6144" s="28"/>
      <c r="N6144" s="26" t="s">
        <v>13911</v>
      </c>
      <c r="O6144" s="22" t="str">
        <f t="shared" si="101"/>
        <v>View</v>
      </c>
      <c r="P6144" s="27"/>
    </row>
    <row r="6145">
      <c r="A6145" s="14">
        <v>43031.40770833333</v>
      </c>
      <c r="B6145" s="20" t="str">
        <f t="shared" si="100"/>
        <v>@ProductiveMoms</v>
      </c>
      <c r="C6145" s="21" t="s">
        <v>13910</v>
      </c>
      <c r="D6145" s="21" t="s">
        <v>13802</v>
      </c>
      <c r="E6145" s="22" t="str">
        <f>HYPERLINK("https://twitter.com/ProductiveMoms/status/922504667887648769","922504667887648769")</f>
        <v>922504667887648769</v>
      </c>
      <c r="F6145" s="23" t="s">
        <v>55</v>
      </c>
      <c r="G6145" s="24">
        <v>16.0</v>
      </c>
      <c r="H6145" s="24">
        <v>61.0</v>
      </c>
      <c r="I6145" s="24">
        <v>12.0</v>
      </c>
      <c r="J6145" s="24">
        <v>0.0</v>
      </c>
      <c r="K6145" s="23" t="s">
        <v>34</v>
      </c>
      <c r="L6145" s="25">
        <v>41114.24587962963</v>
      </c>
      <c r="M6145" s="28"/>
      <c r="N6145" s="26" t="s">
        <v>13911</v>
      </c>
      <c r="O6145" s="22" t="str">
        <f t="shared" si="101"/>
        <v>View</v>
      </c>
      <c r="P6145" s="27"/>
    </row>
    <row r="6146">
      <c r="A6146" s="14">
        <v>43031.40777777778</v>
      </c>
      <c r="B6146" s="20" t="str">
        <f t="shared" si="100"/>
        <v>@ProductiveMoms</v>
      </c>
      <c r="C6146" s="21" t="s">
        <v>13910</v>
      </c>
      <c r="D6146" s="21" t="s">
        <v>13808</v>
      </c>
      <c r="E6146" s="22" t="str">
        <f>HYPERLINK("https://twitter.com/ProductiveMoms/status/922504692684353536","922504692684353536")</f>
        <v>922504692684353536</v>
      </c>
      <c r="F6146" s="23" t="s">
        <v>55</v>
      </c>
      <c r="G6146" s="24">
        <v>16.0</v>
      </c>
      <c r="H6146" s="24">
        <v>61.0</v>
      </c>
      <c r="I6146" s="24">
        <v>11.0</v>
      </c>
      <c r="J6146" s="24">
        <v>0.0</v>
      </c>
      <c r="K6146" s="23" t="s">
        <v>34</v>
      </c>
      <c r="L6146" s="25">
        <v>41114.24587962963</v>
      </c>
      <c r="M6146" s="28"/>
      <c r="N6146" s="26" t="s">
        <v>13911</v>
      </c>
      <c r="O6146" s="22" t="str">
        <f t="shared" si="101"/>
        <v>View</v>
      </c>
      <c r="P6146" s="27"/>
    </row>
    <row r="6147">
      <c r="A6147" s="14">
        <v>43031.40788194444</v>
      </c>
      <c r="B6147" s="20" t="str">
        <f>HYPERLINK("https://twitter.com/BenC981","@BenC981")</f>
        <v>@BenC981</v>
      </c>
      <c r="C6147" s="21" t="s">
        <v>7014</v>
      </c>
      <c r="D6147" s="21" t="s">
        <v>12974</v>
      </c>
      <c r="E6147" s="22" t="str">
        <f>HYPERLINK("https://twitter.com/BenC981/status/922504731314008066","922504731314008066")</f>
        <v>922504731314008066</v>
      </c>
      <c r="F6147" s="23" t="s">
        <v>39</v>
      </c>
      <c r="G6147" s="24">
        <v>32.0</v>
      </c>
      <c r="H6147" s="24">
        <v>237.0</v>
      </c>
      <c r="I6147" s="24">
        <v>110.0</v>
      </c>
      <c r="J6147" s="24">
        <v>0.0</v>
      </c>
      <c r="K6147" s="23" t="s">
        <v>34</v>
      </c>
      <c r="L6147" s="25">
        <v>42724.012337962966</v>
      </c>
      <c r="M6147" s="26" t="s">
        <v>40</v>
      </c>
      <c r="N6147" s="26" t="s">
        <v>7015</v>
      </c>
      <c r="O6147" s="22" t="str">
        <f>HYPERLINK("https://pbs.twimg.com/profile_images/879393724551266304/lo-HM1jr_normal.jpg","View")</f>
        <v>View</v>
      </c>
      <c r="P6147" s="27"/>
    </row>
    <row r="6148">
      <c r="A6148" s="14">
        <v>43031.40795138889</v>
      </c>
      <c r="B6148" s="20" t="str">
        <f>HYPERLINK("https://twitter.com/FreddieKeene88","@FreddieKeene88")</f>
        <v>@FreddieKeene88</v>
      </c>
      <c r="C6148" s="21" t="s">
        <v>5846</v>
      </c>
      <c r="D6148" s="21" t="s">
        <v>13912</v>
      </c>
      <c r="E6148" s="22" t="str">
        <f>HYPERLINK("https://twitter.com/FreddieKeene88/status/922504754370097153","922504754370097153")</f>
        <v>922504754370097153</v>
      </c>
      <c r="F6148" s="23" t="s">
        <v>187</v>
      </c>
      <c r="G6148" s="24">
        <v>435.0</v>
      </c>
      <c r="H6148" s="24">
        <v>378.0</v>
      </c>
      <c r="I6148" s="24">
        <v>0.0</v>
      </c>
      <c r="J6148" s="24">
        <v>0.0</v>
      </c>
      <c r="K6148" s="23" t="s">
        <v>34</v>
      </c>
      <c r="L6148" s="25">
        <v>41931.50732638889</v>
      </c>
      <c r="M6148" s="26" t="s">
        <v>5848</v>
      </c>
      <c r="N6148" s="26" t="s">
        <v>5849</v>
      </c>
      <c r="O6148" s="22" t="str">
        <f>HYPERLINK("https://pbs.twimg.com/profile_images/523916159620349952/lW6VckxG_normal.jpeg","View")</f>
        <v>View</v>
      </c>
      <c r="P6148" s="27"/>
    </row>
    <row r="6149">
      <c r="A6149" s="14">
        <v>43031.40795138889</v>
      </c>
      <c r="B6149" s="20" t="str">
        <f>HYPERLINK("https://twitter.com/sumipath94","@sumipath94")</f>
        <v>@sumipath94</v>
      </c>
      <c r="C6149" s="21" t="s">
        <v>13913</v>
      </c>
      <c r="D6149" s="21" t="s">
        <v>42</v>
      </c>
      <c r="E6149" s="22" t="str">
        <f>HYPERLINK("https://twitter.com/sumipath94/status/922504756597329920","922504756597329920")</f>
        <v>922504756597329920</v>
      </c>
      <c r="F6149" s="23" t="s">
        <v>33</v>
      </c>
      <c r="G6149" s="24">
        <v>1.0</v>
      </c>
      <c r="H6149" s="24">
        <v>76.0</v>
      </c>
      <c r="I6149" s="24">
        <v>8501.0</v>
      </c>
      <c r="J6149" s="24">
        <v>0.0</v>
      </c>
      <c r="K6149" s="23" t="s">
        <v>34</v>
      </c>
      <c r="L6149" s="25">
        <v>42996.72583333333</v>
      </c>
      <c r="M6149" s="28"/>
      <c r="N6149" s="28"/>
      <c r="O6149" s="22" t="str">
        <f>HYPERLINK("https://abs.twimg.com/sticky/default_profile_images/default_profile_normal.png","View")</f>
        <v>View</v>
      </c>
      <c r="P6149" s="27"/>
    </row>
    <row r="6150">
      <c r="A6150" s="14">
        <v>43031.40796296296</v>
      </c>
      <c r="B6150" s="20" t="str">
        <f>HYPERLINK("https://twitter.com/CSIS","@CSIS")</f>
        <v>@CSIS</v>
      </c>
      <c r="C6150" s="21" t="s">
        <v>12198</v>
      </c>
      <c r="D6150" s="21" t="s">
        <v>13914</v>
      </c>
      <c r="E6150" s="22" t="str">
        <f>HYPERLINK("https://twitter.com/CSIS/status/922504759894044672","922504759894044672")</f>
        <v>922504759894044672</v>
      </c>
      <c r="F6150" s="23" t="s">
        <v>769</v>
      </c>
      <c r="G6150" s="24">
        <v>234459.0</v>
      </c>
      <c r="H6150" s="24">
        <v>93.0</v>
      </c>
      <c r="I6150" s="24">
        <v>10.0</v>
      </c>
      <c r="J6150" s="24">
        <v>12.0</v>
      </c>
      <c r="K6150" s="23" t="s">
        <v>34</v>
      </c>
      <c r="L6150" s="25">
        <v>40627.42355324074</v>
      </c>
      <c r="M6150" s="26" t="s">
        <v>4239</v>
      </c>
      <c r="N6150" s="26" t="s">
        <v>12200</v>
      </c>
      <c r="O6150" s="22" t="str">
        <f>HYPERLINK("https://pbs.twimg.com/profile_images/477147454463176704/CMatM8X8_normal.jpeg","View")</f>
        <v>View</v>
      </c>
      <c r="P6150" s="27"/>
    </row>
    <row r="6151">
      <c r="A6151" s="14">
        <v>43031.40834490741</v>
      </c>
      <c r="B6151" s="20" t="str">
        <f>HYPERLINK("https://twitter.com/HenryKBarton","@HenryKBarton")</f>
        <v>@HenryKBarton</v>
      </c>
      <c r="C6151" s="21" t="s">
        <v>13915</v>
      </c>
      <c r="D6151" s="21" t="s">
        <v>5674</v>
      </c>
      <c r="E6151" s="22" t="str">
        <f>HYPERLINK("https://twitter.com/HenryKBarton/status/922504895797833728","922504895797833728")</f>
        <v>922504895797833728</v>
      </c>
      <c r="F6151" s="23" t="s">
        <v>55</v>
      </c>
      <c r="G6151" s="24">
        <v>892.0</v>
      </c>
      <c r="H6151" s="24">
        <v>2474.0</v>
      </c>
      <c r="I6151" s="24">
        <v>2.0</v>
      </c>
      <c r="J6151" s="24">
        <v>0.0</v>
      </c>
      <c r="K6151" s="23" t="s">
        <v>34</v>
      </c>
      <c r="L6151" s="25">
        <v>40686.40300925926</v>
      </c>
      <c r="M6151" s="26" t="s">
        <v>905</v>
      </c>
      <c r="N6151" s="28"/>
      <c r="O6151" s="22" t="str">
        <f>HYPERLINK("https://pbs.twimg.com/profile_images/1549904633/800px-Pleiades_large_normal.jpg","View")</f>
        <v>View</v>
      </c>
      <c r="P6151" s="27"/>
    </row>
    <row r="6152">
      <c r="A6152" s="14">
        <v>43031.408414351856</v>
      </c>
      <c r="B6152" s="20" t="str">
        <f>HYPERLINK("https://twitter.com/MilinParikh29","@MilinParikh29")</f>
        <v>@MilinParikh29</v>
      </c>
      <c r="C6152" s="21" t="s">
        <v>13916</v>
      </c>
      <c r="D6152" s="21" t="s">
        <v>42</v>
      </c>
      <c r="E6152" s="22" t="str">
        <f>HYPERLINK("https://twitter.com/MilinParikh29/status/922504923941498881","922504923941498881")</f>
        <v>922504923941498881</v>
      </c>
      <c r="F6152" s="23" t="s">
        <v>33</v>
      </c>
      <c r="G6152" s="24">
        <v>171.0</v>
      </c>
      <c r="H6152" s="24">
        <v>171.0</v>
      </c>
      <c r="I6152" s="24">
        <v>8501.0</v>
      </c>
      <c r="J6152" s="24">
        <v>0.0</v>
      </c>
      <c r="K6152" s="23" t="s">
        <v>34</v>
      </c>
      <c r="L6152" s="25">
        <v>41235.98302083333</v>
      </c>
      <c r="M6152" s="26" t="s">
        <v>204</v>
      </c>
      <c r="N6152" s="26" t="s">
        <v>13917</v>
      </c>
      <c r="O6152" s="22" t="str">
        <f>HYPERLINK("https://pbs.twimg.com/profile_images/891683147267657730/If-raG-U_normal.jpg","View")</f>
        <v>View</v>
      </c>
      <c r="P6152" s="27"/>
    </row>
    <row r="6153">
      <c r="A6153" s="14">
        <v>43031.408483796295</v>
      </c>
      <c r="B6153" s="20" t="str">
        <f>HYPERLINK("https://twitter.com/motokiyo5","@motokiyo5")</f>
        <v>@motokiyo5</v>
      </c>
      <c r="C6153" s="21" t="s">
        <v>13918</v>
      </c>
      <c r="D6153" s="21" t="s">
        <v>13919</v>
      </c>
      <c r="E6153" s="22" t="str">
        <f>HYPERLINK("https://twitter.com/motokiyo5/status/922504948260134912","922504948260134912")</f>
        <v>922504948260134912</v>
      </c>
      <c r="F6153" s="23" t="s">
        <v>55</v>
      </c>
      <c r="G6153" s="24">
        <v>5218.0</v>
      </c>
      <c r="H6153" s="24">
        <v>4979.0</v>
      </c>
      <c r="I6153" s="24">
        <v>10.0</v>
      </c>
      <c r="J6153" s="24">
        <v>0.0</v>
      </c>
      <c r="K6153" s="23" t="s">
        <v>34</v>
      </c>
      <c r="L6153" s="25">
        <v>42153.55511574074</v>
      </c>
      <c r="M6153" s="26" t="s">
        <v>13920</v>
      </c>
      <c r="N6153" s="26" t="s">
        <v>13921</v>
      </c>
      <c r="O6153" s="22" t="str">
        <f>HYPERLINK("https://pbs.twimg.com/profile_images/905413251105644545/rbPbtPiu_normal.jpg","View")</f>
        <v>View</v>
      </c>
      <c r="P6153" s="27"/>
    </row>
    <row r="6154">
      <c r="A6154" s="14">
        <v>43031.408541666664</v>
      </c>
      <c r="B6154" s="20" t="str">
        <f>HYPERLINK("https://twitter.com/sitifatimahnet","@sitifatimahnet")</f>
        <v>@sitifatimahnet</v>
      </c>
      <c r="C6154" s="21" t="s">
        <v>1762</v>
      </c>
      <c r="D6154" s="21" t="s">
        <v>13922</v>
      </c>
      <c r="E6154" s="22" t="str">
        <f>HYPERLINK("https://twitter.com/sitifatimahnet/status/922504969722499072","922504969722499072")</f>
        <v>922504969722499072</v>
      </c>
      <c r="F6154" s="23" t="s">
        <v>187</v>
      </c>
      <c r="G6154" s="24">
        <v>309.0</v>
      </c>
      <c r="H6154" s="24">
        <v>27.0</v>
      </c>
      <c r="I6154" s="24">
        <v>0.0</v>
      </c>
      <c r="J6154" s="24">
        <v>0.0</v>
      </c>
      <c r="K6154" s="23" t="s">
        <v>34</v>
      </c>
      <c r="L6154" s="25">
        <v>42698.43719907408</v>
      </c>
      <c r="M6154" s="26" t="s">
        <v>1764</v>
      </c>
      <c r="N6154" s="26" t="s">
        <v>1765</v>
      </c>
      <c r="O6154" s="22" t="str">
        <f>HYPERLINK("https://pbs.twimg.com/profile_images/897683241594912769/-rSDzg9T_normal.jpg","View")</f>
        <v>View</v>
      </c>
      <c r="P6154" s="27"/>
    </row>
    <row r="6155">
      <c r="A6155" s="14">
        <v>43031.40857638889</v>
      </c>
      <c r="B6155" s="20" t="str">
        <f>HYPERLINK("https://twitter.com/umb_sanathsonu","@umb_sanathsonu")</f>
        <v>@umb_sanathsonu</v>
      </c>
      <c r="C6155" s="21" t="s">
        <v>13923</v>
      </c>
      <c r="D6155" s="21" t="s">
        <v>42</v>
      </c>
      <c r="E6155" s="22" t="str">
        <f>HYPERLINK("https://twitter.com/umb_sanathsonu/status/922504981369860096","922504981369860096")</f>
        <v>922504981369860096</v>
      </c>
      <c r="F6155" s="23" t="s">
        <v>33</v>
      </c>
      <c r="G6155" s="24">
        <v>37.0</v>
      </c>
      <c r="H6155" s="24">
        <v>155.0</v>
      </c>
      <c r="I6155" s="24">
        <v>8501.0</v>
      </c>
      <c r="J6155" s="24">
        <v>0.0</v>
      </c>
      <c r="K6155" s="23" t="s">
        <v>34</v>
      </c>
      <c r="L6155" s="25">
        <v>41696.241215277776</v>
      </c>
      <c r="M6155" s="26" t="s">
        <v>603</v>
      </c>
      <c r="N6155" s="26" t="s">
        <v>13924</v>
      </c>
      <c r="O6155" s="22" t="str">
        <f>HYPERLINK("https://pbs.twimg.com/profile_images/921968546971881472/RBYNrHTQ_normal.jpg","View")</f>
        <v>View</v>
      </c>
      <c r="P6155" s="27"/>
    </row>
    <row r="6156">
      <c r="A6156" s="14">
        <v>43031.40872685185</v>
      </c>
      <c r="B6156" s="20" t="str">
        <f>HYPERLINK("https://twitter.com/electionguide","@electionguide")</f>
        <v>@electionguide</v>
      </c>
      <c r="C6156" s="21" t="s">
        <v>13925</v>
      </c>
      <c r="D6156" s="21" t="s">
        <v>13926</v>
      </c>
      <c r="E6156" s="22" t="str">
        <f>HYPERLINK("https://twitter.com/electionguide/status/922505037422710784","922505037422710784")</f>
        <v>922505037422710784</v>
      </c>
      <c r="F6156" s="23" t="s">
        <v>55</v>
      </c>
      <c r="G6156" s="24">
        <v>4871.0</v>
      </c>
      <c r="H6156" s="24">
        <v>422.0</v>
      </c>
      <c r="I6156" s="24">
        <v>0.0</v>
      </c>
      <c r="J6156" s="24">
        <v>1.0</v>
      </c>
      <c r="K6156" s="23" t="s">
        <v>34</v>
      </c>
      <c r="L6156" s="25">
        <v>39913.51855324074</v>
      </c>
      <c r="M6156" s="26" t="s">
        <v>13927</v>
      </c>
      <c r="N6156" s="26" t="s">
        <v>13928</v>
      </c>
      <c r="O6156" s="22" t="str">
        <f>HYPERLINK("https://pbs.twimg.com/profile_images/2563549760/ej8qmi76ugrunlxbnjpf_normal.png","View")</f>
        <v>View</v>
      </c>
      <c r="P6156" s="27"/>
    </row>
    <row r="6157">
      <c r="A6157" s="14">
        <v>43031.40885416667</v>
      </c>
      <c r="B6157" s="20" t="str">
        <f>HYPERLINK("https://twitter.com/MarilynTaylorTX","@MarilynTaylorTX")</f>
        <v>@MarilynTaylorTX</v>
      </c>
      <c r="C6157" s="21" t="s">
        <v>13929</v>
      </c>
      <c r="D6157" s="21" t="s">
        <v>13791</v>
      </c>
      <c r="E6157" s="22" t="str">
        <f>HYPERLINK("https://twitter.com/MarilynTaylorTX/status/922505081416589313","922505081416589313")</f>
        <v>922505081416589313</v>
      </c>
      <c r="F6157" s="23" t="s">
        <v>55</v>
      </c>
      <c r="G6157" s="24">
        <v>185.0</v>
      </c>
      <c r="H6157" s="24">
        <v>691.0</v>
      </c>
      <c r="I6157" s="24">
        <v>10.0</v>
      </c>
      <c r="J6157" s="24">
        <v>0.0</v>
      </c>
      <c r="K6157" s="23" t="s">
        <v>34</v>
      </c>
      <c r="L6157" s="25">
        <v>41228.54006944445</v>
      </c>
      <c r="M6157" s="28"/>
      <c r="N6157" s="26" t="s">
        <v>13930</v>
      </c>
      <c r="O6157" s="22" t="str">
        <f>HYPERLINK("https://pbs.twimg.com/profile_images/2853626167/0825bb7eef56fbd82750329744a5afb6_normal.jpeg","View")</f>
        <v>View</v>
      </c>
      <c r="P6157" s="27"/>
    </row>
    <row r="6158">
      <c r="A6158" s="14">
        <v>43031.40885416667</v>
      </c>
      <c r="B6158" s="20" t="str">
        <f>HYPERLINK("https://twitter.com/RighttoaliveRta","@RighttoaliveRta")</f>
        <v>@RighttoaliveRta</v>
      </c>
      <c r="C6158" s="21" t="s">
        <v>13931</v>
      </c>
      <c r="D6158" s="21" t="s">
        <v>42</v>
      </c>
      <c r="E6158" s="22" t="str">
        <f>HYPERLINK("https://twitter.com/RighttoaliveRta/status/922505082192588801","922505082192588801")</f>
        <v>922505082192588801</v>
      </c>
      <c r="F6158" s="23" t="s">
        <v>33</v>
      </c>
      <c r="G6158" s="24">
        <v>41.0</v>
      </c>
      <c r="H6158" s="24">
        <v>254.0</v>
      </c>
      <c r="I6158" s="24">
        <v>8501.0</v>
      </c>
      <c r="J6158" s="24">
        <v>0.0</v>
      </c>
      <c r="K6158" s="23" t="s">
        <v>34</v>
      </c>
      <c r="L6158" s="25">
        <v>42779.26043981481</v>
      </c>
      <c r="M6158" s="26" t="s">
        <v>204</v>
      </c>
      <c r="N6158" s="26" t="s">
        <v>13932</v>
      </c>
      <c r="O6158" s="22" t="str">
        <f>HYPERLINK("https://pbs.twimg.com/profile_images/909858860625625094/osTY9k8L_normal.jpg","View")</f>
        <v>View</v>
      </c>
      <c r="P6158" s="27"/>
    </row>
    <row r="6159">
      <c r="A6159" s="14">
        <v>43031.408900462964</v>
      </c>
      <c r="B6159" s="20" t="str">
        <f>HYPERLINK("https://twitter.com/mahamanian","@mahamanian")</f>
        <v>@mahamanian</v>
      </c>
      <c r="C6159" s="21" t="s">
        <v>13933</v>
      </c>
      <c r="D6159" s="21" t="s">
        <v>42</v>
      </c>
      <c r="E6159" s="22" t="str">
        <f>HYPERLINK("https://twitter.com/mahamanian/status/922505099435417602","922505099435417602")</f>
        <v>922505099435417602</v>
      </c>
      <c r="F6159" s="23" t="s">
        <v>33</v>
      </c>
      <c r="G6159" s="24">
        <v>24.0</v>
      </c>
      <c r="H6159" s="24">
        <v>303.0</v>
      </c>
      <c r="I6159" s="24">
        <v>8501.0</v>
      </c>
      <c r="J6159" s="24">
        <v>0.0</v>
      </c>
      <c r="K6159" s="23" t="s">
        <v>34</v>
      </c>
      <c r="L6159" s="25">
        <v>41201.05907407407</v>
      </c>
      <c r="M6159" s="26" t="s">
        <v>13934</v>
      </c>
      <c r="N6159" s="26" t="s">
        <v>13935</v>
      </c>
      <c r="O6159" s="22" t="str">
        <f>HYPERLINK("https://pbs.twimg.com/profile_images/662515344544628737/YtYqIpCR_normal.jpg","View")</f>
        <v>View</v>
      </c>
      <c r="P6159" s="27"/>
    </row>
    <row r="6160">
      <c r="A6160" s="14">
        <v>43031.40895833333</v>
      </c>
      <c r="B6160" s="20" t="str">
        <f>HYPERLINK("https://twitter.com/MarilynTaylorTX","@MarilynTaylorTX")</f>
        <v>@MarilynTaylorTX</v>
      </c>
      <c r="C6160" s="21" t="s">
        <v>13929</v>
      </c>
      <c r="D6160" s="21" t="s">
        <v>13801</v>
      </c>
      <c r="E6160" s="22" t="str">
        <f>HYPERLINK("https://twitter.com/MarilynTaylorTX/status/922505120197120000","922505120197120000")</f>
        <v>922505120197120000</v>
      </c>
      <c r="F6160" s="23" t="s">
        <v>55</v>
      </c>
      <c r="G6160" s="24">
        <v>185.0</v>
      </c>
      <c r="H6160" s="24">
        <v>691.0</v>
      </c>
      <c r="I6160" s="24">
        <v>10.0</v>
      </c>
      <c r="J6160" s="24">
        <v>0.0</v>
      </c>
      <c r="K6160" s="23" t="s">
        <v>34</v>
      </c>
      <c r="L6160" s="25">
        <v>41228.54006944445</v>
      </c>
      <c r="M6160" s="28"/>
      <c r="N6160" s="26" t="s">
        <v>13930</v>
      </c>
      <c r="O6160" s="22" t="str">
        <f>HYPERLINK("https://pbs.twimg.com/profile_images/2853626167/0825bb7eef56fbd82750329744a5afb6_normal.jpeg","View")</f>
        <v>View</v>
      </c>
      <c r="P6160" s="27"/>
    </row>
    <row r="6161">
      <c r="A6161" s="14">
        <v>43031.40907407408</v>
      </c>
      <c r="B6161" s="20" t="str">
        <f>HYPERLINK("https://twitter.com/Mr_Insanity97","@Mr_Insanity97")</f>
        <v>@Mr_Insanity97</v>
      </c>
      <c r="C6161" s="21" t="s">
        <v>13304</v>
      </c>
      <c r="D6161" s="21" t="s">
        <v>12480</v>
      </c>
      <c r="E6161" s="22" t="str">
        <f>HYPERLINK("https://twitter.com/Mr_Insanity97/status/922505159707627520","922505159707627520")</f>
        <v>922505159707627520</v>
      </c>
      <c r="F6161" s="23" t="s">
        <v>39</v>
      </c>
      <c r="G6161" s="24">
        <v>993.0</v>
      </c>
      <c r="H6161" s="24">
        <v>5001.0</v>
      </c>
      <c r="I6161" s="24">
        <v>8.0</v>
      </c>
      <c r="J6161" s="24">
        <v>0.0</v>
      </c>
      <c r="K6161" s="23" t="s">
        <v>34</v>
      </c>
      <c r="L6161" s="25">
        <v>41877.76186342593</v>
      </c>
      <c r="M6161" s="26" t="s">
        <v>13305</v>
      </c>
      <c r="N6161" s="26" t="s">
        <v>13306</v>
      </c>
      <c r="O6161" s="22" t="str">
        <f>HYPERLINK("https://pbs.twimg.com/profile_images/841832752353812481/55UBynaq_normal.jpg","View")</f>
        <v>View</v>
      </c>
      <c r="P6161" s="27"/>
    </row>
    <row r="6162">
      <c r="A6162" s="14">
        <v>43031.409108796295</v>
      </c>
      <c r="B6162" s="20" t="str">
        <f>HYPERLINK("https://twitter.com/MarilynTaylorTX","@MarilynTaylorTX")</f>
        <v>@MarilynTaylorTX</v>
      </c>
      <c r="C6162" s="21" t="s">
        <v>13929</v>
      </c>
      <c r="D6162" s="21" t="s">
        <v>13802</v>
      </c>
      <c r="E6162" s="22" t="str">
        <f>HYPERLINK("https://twitter.com/MarilynTaylorTX/status/922505173695569920","922505173695569920")</f>
        <v>922505173695569920</v>
      </c>
      <c r="F6162" s="23" t="s">
        <v>55</v>
      </c>
      <c r="G6162" s="24">
        <v>185.0</v>
      </c>
      <c r="H6162" s="24">
        <v>691.0</v>
      </c>
      <c r="I6162" s="24">
        <v>12.0</v>
      </c>
      <c r="J6162" s="24">
        <v>0.0</v>
      </c>
      <c r="K6162" s="23" t="s">
        <v>34</v>
      </c>
      <c r="L6162" s="25">
        <v>41228.54006944445</v>
      </c>
      <c r="M6162" s="28"/>
      <c r="N6162" s="26" t="s">
        <v>13930</v>
      </c>
      <c r="O6162" s="22" t="str">
        <f>HYPERLINK("https://pbs.twimg.com/profile_images/2853626167/0825bb7eef56fbd82750329744a5afb6_normal.jpeg","View")</f>
        <v>View</v>
      </c>
      <c r="P6162" s="27"/>
    </row>
    <row r="6163">
      <c r="A6163" s="14">
        <v>43031.40913194444</v>
      </c>
      <c r="B6163" s="20" t="str">
        <f>HYPERLINK("https://twitter.com/Mr_Insanity97","@Mr_Insanity97")</f>
        <v>@Mr_Insanity97</v>
      </c>
      <c r="C6163" s="21" t="s">
        <v>13304</v>
      </c>
      <c r="D6163" s="21" t="s">
        <v>13936</v>
      </c>
      <c r="E6163" s="22" t="str">
        <f>HYPERLINK("https://twitter.com/Mr_Insanity97/status/922505184105914370","922505184105914370")</f>
        <v>922505184105914370</v>
      </c>
      <c r="F6163" s="23" t="s">
        <v>39</v>
      </c>
      <c r="G6163" s="24">
        <v>993.0</v>
      </c>
      <c r="H6163" s="24">
        <v>5001.0</v>
      </c>
      <c r="I6163" s="24">
        <v>4.0</v>
      </c>
      <c r="J6163" s="24">
        <v>0.0</v>
      </c>
      <c r="K6163" s="23" t="s">
        <v>34</v>
      </c>
      <c r="L6163" s="25">
        <v>41877.76186342593</v>
      </c>
      <c r="M6163" s="26" t="s">
        <v>13305</v>
      </c>
      <c r="N6163" s="26" t="s">
        <v>13306</v>
      </c>
      <c r="O6163" s="22" t="str">
        <f>HYPERLINK("https://pbs.twimg.com/profile_images/841832752353812481/55UBynaq_normal.jpg","View")</f>
        <v>View</v>
      </c>
      <c r="P6163" s="27"/>
    </row>
    <row r="6164">
      <c r="A6164" s="14">
        <v>43031.409166666665</v>
      </c>
      <c r="B6164" s="20" t="str">
        <f>HYPERLINK("https://twitter.com/MarilynTaylorTX","@MarilynTaylorTX")</f>
        <v>@MarilynTaylorTX</v>
      </c>
      <c r="C6164" s="21" t="s">
        <v>13929</v>
      </c>
      <c r="D6164" s="21" t="s">
        <v>13808</v>
      </c>
      <c r="E6164" s="22" t="str">
        <f>HYPERLINK("https://twitter.com/MarilynTaylorTX/status/922505194163773440","922505194163773440")</f>
        <v>922505194163773440</v>
      </c>
      <c r="F6164" s="23" t="s">
        <v>55</v>
      </c>
      <c r="G6164" s="24">
        <v>185.0</v>
      </c>
      <c r="H6164" s="24">
        <v>691.0</v>
      </c>
      <c r="I6164" s="24">
        <v>11.0</v>
      </c>
      <c r="J6164" s="24">
        <v>0.0</v>
      </c>
      <c r="K6164" s="23" t="s">
        <v>34</v>
      </c>
      <c r="L6164" s="25">
        <v>41228.54006944445</v>
      </c>
      <c r="M6164" s="28"/>
      <c r="N6164" s="26" t="s">
        <v>13930</v>
      </c>
      <c r="O6164" s="22" t="str">
        <f>HYPERLINK("https://pbs.twimg.com/profile_images/2853626167/0825bb7eef56fbd82750329744a5afb6_normal.jpeg","View")</f>
        <v>View</v>
      </c>
      <c r="P6164" s="27"/>
    </row>
    <row r="6165">
      <c r="A6165" s="14">
        <v>43031.40920138889</v>
      </c>
      <c r="B6165" s="20" t="str">
        <f t="shared" ref="B6165:B6166" si="102">HYPERLINK("https://twitter.com/Mr_Insanity97","@Mr_Insanity97")</f>
        <v>@Mr_Insanity97</v>
      </c>
      <c r="C6165" s="21" t="s">
        <v>13304</v>
      </c>
      <c r="D6165" s="21" t="s">
        <v>9229</v>
      </c>
      <c r="E6165" s="22" t="str">
        <f>HYPERLINK("https://twitter.com/Mr_Insanity97/status/922505205828276224","922505205828276224")</f>
        <v>922505205828276224</v>
      </c>
      <c r="F6165" s="23" t="s">
        <v>39</v>
      </c>
      <c r="G6165" s="24">
        <v>993.0</v>
      </c>
      <c r="H6165" s="24">
        <v>5001.0</v>
      </c>
      <c r="I6165" s="24">
        <v>38.0</v>
      </c>
      <c r="J6165" s="24">
        <v>0.0</v>
      </c>
      <c r="K6165" s="23" t="s">
        <v>34</v>
      </c>
      <c r="L6165" s="25">
        <v>41877.76186342593</v>
      </c>
      <c r="M6165" s="26" t="s">
        <v>13305</v>
      </c>
      <c r="N6165" s="26" t="s">
        <v>13306</v>
      </c>
      <c r="O6165" s="22" t="str">
        <f t="shared" ref="O6165:O6166" si="103">HYPERLINK("https://pbs.twimg.com/profile_images/841832752353812481/55UBynaq_normal.jpg","View")</f>
        <v>View</v>
      </c>
      <c r="P6165" s="27"/>
    </row>
    <row r="6166">
      <c r="A6166" s="14">
        <v>43031.409259259264</v>
      </c>
      <c r="B6166" s="20" t="str">
        <f t="shared" si="102"/>
        <v>@Mr_Insanity97</v>
      </c>
      <c r="C6166" s="21" t="s">
        <v>13304</v>
      </c>
      <c r="D6166" s="21" t="s">
        <v>7844</v>
      </c>
      <c r="E6166" s="22" t="str">
        <f>HYPERLINK("https://twitter.com/Mr_Insanity97/status/922505226799771648","922505226799771648")</f>
        <v>922505226799771648</v>
      </c>
      <c r="F6166" s="23" t="s">
        <v>39</v>
      </c>
      <c r="G6166" s="24">
        <v>993.0</v>
      </c>
      <c r="H6166" s="24">
        <v>5001.0</v>
      </c>
      <c r="I6166" s="24">
        <v>60.0</v>
      </c>
      <c r="J6166" s="24">
        <v>0.0</v>
      </c>
      <c r="K6166" s="23" t="s">
        <v>34</v>
      </c>
      <c r="L6166" s="25">
        <v>41877.76186342593</v>
      </c>
      <c r="M6166" s="26" t="s">
        <v>13305</v>
      </c>
      <c r="N6166" s="26" t="s">
        <v>13306</v>
      </c>
      <c r="O6166" s="22" t="str">
        <f t="shared" si="103"/>
        <v>View</v>
      </c>
      <c r="P6166" s="27"/>
    </row>
    <row r="6167">
      <c r="A6167" s="14">
        <v>43031.409409722226</v>
      </c>
      <c r="B6167" s="20" t="str">
        <f>HYPERLINK("https://twitter.com/chaube_gi","@chaube_gi")</f>
        <v>@chaube_gi</v>
      </c>
      <c r="C6167" s="21" t="s">
        <v>13937</v>
      </c>
      <c r="D6167" s="21" t="s">
        <v>42</v>
      </c>
      <c r="E6167" s="22" t="str">
        <f>HYPERLINK("https://twitter.com/chaube_gi/status/922505282546257922","922505282546257922")</f>
        <v>922505282546257922</v>
      </c>
      <c r="F6167" s="23" t="s">
        <v>33</v>
      </c>
      <c r="G6167" s="24">
        <v>46.0</v>
      </c>
      <c r="H6167" s="24">
        <v>36.0</v>
      </c>
      <c r="I6167" s="24">
        <v>8501.0</v>
      </c>
      <c r="J6167" s="24">
        <v>0.0</v>
      </c>
      <c r="K6167" s="23" t="s">
        <v>34</v>
      </c>
      <c r="L6167" s="25">
        <v>40666.93854166666</v>
      </c>
      <c r="M6167" s="26" t="s">
        <v>13938</v>
      </c>
      <c r="N6167" s="26" t="s">
        <v>13939</v>
      </c>
      <c r="O6167" s="22" t="str">
        <f>HYPERLINK("https://pbs.twimg.com/profile_images/903316844047564800/OgO2odKy_normal.jpg","View")</f>
        <v>View</v>
      </c>
      <c r="P6167" s="27"/>
    </row>
    <row r="6168">
      <c r="A6168" s="14">
        <v>43031.40947916667</v>
      </c>
      <c r="B6168" s="20" t="str">
        <f>HYPERLINK("https://twitter.com/DonJohnstonLC","@DonJohnstonLC")</f>
        <v>@DonJohnstonLC</v>
      </c>
      <c r="C6168" s="21" t="s">
        <v>12229</v>
      </c>
      <c r="D6168" s="21" t="s">
        <v>13940</v>
      </c>
      <c r="E6168" s="22" t="str">
        <f>HYPERLINK("https://twitter.com/DonJohnstonLC/status/922505309867905024","922505309867905024")</f>
        <v>922505309867905024</v>
      </c>
      <c r="F6168" s="23" t="s">
        <v>187</v>
      </c>
      <c r="G6168" s="24">
        <v>2843.0</v>
      </c>
      <c r="H6168" s="24">
        <v>782.0</v>
      </c>
      <c r="I6168" s="24">
        <v>0.0</v>
      </c>
      <c r="J6168" s="24">
        <v>0.0</v>
      </c>
      <c r="K6168" s="23" t="s">
        <v>34</v>
      </c>
      <c r="L6168" s="25">
        <v>42518.63056712963</v>
      </c>
      <c r="M6168" s="26" t="s">
        <v>2534</v>
      </c>
      <c r="N6168" s="26" t="s">
        <v>12231</v>
      </c>
      <c r="O6168" s="22" t="str">
        <f>HYPERLINK("https://pbs.twimg.com/profile_images/899843960767643648/x30pTAZ9_normal.jpg","View")</f>
        <v>View</v>
      </c>
      <c r="P6168" s="27"/>
    </row>
    <row r="6169">
      <c r="A6169" s="14">
        <v>43031.40951388889</v>
      </c>
      <c r="B6169" s="20" t="str">
        <f>HYPERLINK("https://twitter.com/Advocatecka","@Advocatecka")</f>
        <v>@Advocatecka</v>
      </c>
      <c r="C6169" s="21" t="s">
        <v>13941</v>
      </c>
      <c r="D6169" s="21" t="s">
        <v>42</v>
      </c>
      <c r="E6169" s="22" t="str">
        <f>HYPERLINK("https://twitter.com/Advocatecka/status/922505321465110529","922505321465110529")</f>
        <v>922505321465110529</v>
      </c>
      <c r="F6169" s="23" t="s">
        <v>33</v>
      </c>
      <c r="G6169" s="24">
        <v>20.0</v>
      </c>
      <c r="H6169" s="24">
        <v>94.0</v>
      </c>
      <c r="I6169" s="24">
        <v>8501.0</v>
      </c>
      <c r="J6169" s="24">
        <v>0.0</v>
      </c>
      <c r="K6169" s="23" t="s">
        <v>34</v>
      </c>
      <c r="L6169" s="25">
        <v>42689.35215277778</v>
      </c>
      <c r="M6169" s="28"/>
      <c r="N6169" s="28"/>
      <c r="O6169" s="22" t="str">
        <f>HYPERLINK("https://pbs.twimg.com/profile_images/798565223934271488/8UfdBZsy_normal.jpg","View")</f>
        <v>View</v>
      </c>
      <c r="P6169" s="27"/>
    </row>
    <row r="6170">
      <c r="A6170" s="14">
        <v>43031.40959490741</v>
      </c>
      <c r="B6170" s="20" t="str">
        <f>HYPERLINK("https://twitter.com/billysnow20","@billysnow20")</f>
        <v>@billysnow20</v>
      </c>
      <c r="C6170" s="21" t="s">
        <v>13942</v>
      </c>
      <c r="D6170" s="21" t="s">
        <v>13943</v>
      </c>
      <c r="E6170" s="22" t="str">
        <f>HYPERLINK("https://twitter.com/billysnow20/status/922505349080367104","922505349080367104")</f>
        <v>922505349080367104</v>
      </c>
      <c r="F6170" s="30" t="s">
        <v>411</v>
      </c>
      <c r="G6170" s="24">
        <v>14.0</v>
      </c>
      <c r="H6170" s="24">
        <v>10.0</v>
      </c>
      <c r="I6170" s="24">
        <v>0.0</v>
      </c>
      <c r="J6170" s="24">
        <v>0.0</v>
      </c>
      <c r="K6170" s="23" t="s">
        <v>34</v>
      </c>
      <c r="L6170" s="25">
        <v>43022.19944444444</v>
      </c>
      <c r="M6170" s="26" t="s">
        <v>1024</v>
      </c>
      <c r="N6170" s="26" t="s">
        <v>13944</v>
      </c>
      <c r="O6170" s="22" t="str">
        <f>HYPERLINK("https://pbs.twimg.com/profile_images/919169002856783873/bGloqq9z_normal.jpg","View")</f>
        <v>View</v>
      </c>
      <c r="P6170" s="27"/>
    </row>
    <row r="6171">
      <c r="A6171" s="14">
        <v>43031.40971064815</v>
      </c>
      <c r="B6171" s="20" t="str">
        <f>HYPERLINK("https://twitter.com/Ajjujnu14","@Ajjujnu14")</f>
        <v>@Ajjujnu14</v>
      </c>
      <c r="C6171" s="21" t="s">
        <v>13945</v>
      </c>
      <c r="D6171" s="21" t="s">
        <v>42</v>
      </c>
      <c r="E6171" s="22" t="str">
        <f>HYPERLINK("https://twitter.com/Ajjujnu14/status/922505391761629185","922505391761629185")</f>
        <v>922505391761629185</v>
      </c>
      <c r="F6171" s="23" t="s">
        <v>33</v>
      </c>
      <c r="G6171" s="24">
        <v>44.0</v>
      </c>
      <c r="H6171" s="24">
        <v>42.0</v>
      </c>
      <c r="I6171" s="24">
        <v>8501.0</v>
      </c>
      <c r="J6171" s="24">
        <v>0.0</v>
      </c>
      <c r="K6171" s="23" t="s">
        <v>34</v>
      </c>
      <c r="L6171" s="25">
        <v>42632.43777777778</v>
      </c>
      <c r="M6171" s="26" t="s">
        <v>575</v>
      </c>
      <c r="N6171" s="26" t="s">
        <v>13946</v>
      </c>
      <c r="O6171" s="22" t="str">
        <f>HYPERLINK("https://pbs.twimg.com/profile_images/777924973105078272/I7s2Lvsu_normal.jpg","View")</f>
        <v>View</v>
      </c>
      <c r="P6171" s="27"/>
    </row>
    <row r="6172">
      <c r="A6172" s="14">
        <v>43031.40976851852</v>
      </c>
      <c r="B6172" s="20" t="str">
        <f>HYPERLINK("https://twitter.com/Torysoldier","@Torysoldier")</f>
        <v>@Torysoldier</v>
      </c>
      <c r="C6172" s="21" t="s">
        <v>13947</v>
      </c>
      <c r="D6172" s="21" t="s">
        <v>12974</v>
      </c>
      <c r="E6172" s="22" t="str">
        <f>HYPERLINK("https://twitter.com/Torysoldier/status/922505414595502080","922505414595502080")</f>
        <v>922505414595502080</v>
      </c>
      <c r="F6172" s="23" t="s">
        <v>39</v>
      </c>
      <c r="G6172" s="24">
        <v>162.0</v>
      </c>
      <c r="H6172" s="24">
        <v>221.0</v>
      </c>
      <c r="I6172" s="24">
        <v>110.0</v>
      </c>
      <c r="J6172" s="24">
        <v>0.0</v>
      </c>
      <c r="K6172" s="23" t="s">
        <v>34</v>
      </c>
      <c r="L6172" s="25">
        <v>42915.46842592592</v>
      </c>
      <c r="M6172" s="28"/>
      <c r="N6172" s="26" t="s">
        <v>13948</v>
      </c>
      <c r="O6172" s="22" t="str">
        <f>HYPERLINK("https://pbs.twimg.com/profile_images/922837456675856385/JqdFyBrM_normal.jpg","View")</f>
        <v>View</v>
      </c>
      <c r="P6172" s="27"/>
    </row>
    <row r="6173">
      <c r="A6173" s="14">
        <v>43031.409791666665</v>
      </c>
      <c r="B6173" s="20" t="str">
        <f>HYPERLINK("https://twitter.com/mukundh122","@mukundh122")</f>
        <v>@mukundh122</v>
      </c>
      <c r="C6173" s="21" t="s">
        <v>13949</v>
      </c>
      <c r="D6173" s="21" t="s">
        <v>42</v>
      </c>
      <c r="E6173" s="22" t="str">
        <f>HYPERLINK("https://twitter.com/mukundh122/status/922505422254194688","922505422254194688")</f>
        <v>922505422254194688</v>
      </c>
      <c r="F6173" s="23" t="s">
        <v>33</v>
      </c>
      <c r="G6173" s="24">
        <v>8.0</v>
      </c>
      <c r="H6173" s="24">
        <v>28.0</v>
      </c>
      <c r="I6173" s="24">
        <v>8501.0</v>
      </c>
      <c r="J6173" s="24">
        <v>0.0</v>
      </c>
      <c r="K6173" s="23" t="s">
        <v>34</v>
      </c>
      <c r="L6173" s="25">
        <v>42760.02203703704</v>
      </c>
      <c r="M6173" s="26" t="s">
        <v>13950</v>
      </c>
      <c r="N6173" s="26" t="s">
        <v>13951</v>
      </c>
      <c r="O6173" s="22" t="str">
        <f>HYPERLINK("https://pbs.twimg.com/profile_images/824176398319357952/L8TT3oQV_normal.jpg","View")</f>
        <v>View</v>
      </c>
      <c r="P6173" s="27"/>
    </row>
    <row r="6174">
      <c r="A6174" s="14">
        <v>43031.40983796296</v>
      </c>
      <c r="B6174" s="20" t="str">
        <f>HYPERLINK("https://twitter.com/Newsweek","@Newsweek")</f>
        <v>@Newsweek</v>
      </c>
      <c r="C6174" s="21" t="s">
        <v>13952</v>
      </c>
      <c r="D6174" s="21" t="s">
        <v>13953</v>
      </c>
      <c r="E6174" s="22" t="str">
        <f>HYPERLINK("https://twitter.com/Newsweek/status/922505439081791488","922505439081791488")</f>
        <v>922505439081791488</v>
      </c>
      <c r="F6174" s="23" t="s">
        <v>1103</v>
      </c>
      <c r="G6174" s="24">
        <v>3373677.0</v>
      </c>
      <c r="H6174" s="24">
        <v>75.0</v>
      </c>
      <c r="I6174" s="24">
        <v>18.0</v>
      </c>
      <c r="J6174" s="24">
        <v>16.0</v>
      </c>
      <c r="K6174" s="23" t="s">
        <v>34</v>
      </c>
      <c r="L6174" s="25">
        <v>39170.53554398148</v>
      </c>
      <c r="M6174" s="26" t="s">
        <v>2534</v>
      </c>
      <c r="N6174" s="26" t="s">
        <v>13954</v>
      </c>
      <c r="O6174" s="22" t="str">
        <f>HYPERLINK("https://pbs.twimg.com/profile_images/741603495929905152/di0NxkFa_normal.jpg","View")</f>
        <v>View</v>
      </c>
      <c r="P6174" s="27"/>
    </row>
    <row r="6175">
      <c r="A6175" s="14">
        <v>43031.40986111111</v>
      </c>
      <c r="B6175" s="20" t="str">
        <f t="shared" ref="B6175:B6177" si="104">HYPERLINK("https://twitter.com/NicoleSales7","@NicoleSales7")</f>
        <v>@NicoleSales7</v>
      </c>
      <c r="C6175" s="21" t="s">
        <v>13955</v>
      </c>
      <c r="D6175" s="21" t="s">
        <v>13791</v>
      </c>
      <c r="E6175" s="22" t="str">
        <f>HYPERLINK("https://twitter.com/NicoleSales7/status/922505445763293184","922505445763293184")</f>
        <v>922505445763293184</v>
      </c>
      <c r="F6175" s="23" t="s">
        <v>55</v>
      </c>
      <c r="G6175" s="24">
        <v>172.0</v>
      </c>
      <c r="H6175" s="24">
        <v>409.0</v>
      </c>
      <c r="I6175" s="24">
        <v>10.0</v>
      </c>
      <c r="J6175" s="24">
        <v>0.0</v>
      </c>
      <c r="K6175" s="23" t="s">
        <v>34</v>
      </c>
      <c r="L6175" s="25">
        <v>41228.52060185185</v>
      </c>
      <c r="M6175" s="28"/>
      <c r="N6175" s="26" t="s">
        <v>13956</v>
      </c>
      <c r="O6175" s="22" t="str">
        <f t="shared" ref="O6175:O6177" si="105">HYPERLINK("https://pbs.twimg.com/profile_images/2853489650/9fe31658fee05b934f82a4c5678ad241_normal.png","View")</f>
        <v>View</v>
      </c>
      <c r="P6175" s="27"/>
    </row>
    <row r="6176">
      <c r="A6176" s="14">
        <v>43031.40991898148</v>
      </c>
      <c r="B6176" s="20" t="str">
        <f t="shared" si="104"/>
        <v>@NicoleSales7</v>
      </c>
      <c r="C6176" s="21" t="s">
        <v>13955</v>
      </c>
      <c r="D6176" s="21" t="s">
        <v>13801</v>
      </c>
      <c r="E6176" s="22" t="str">
        <f>HYPERLINK("https://twitter.com/NicoleSales7/status/922505466709663744","922505466709663744")</f>
        <v>922505466709663744</v>
      </c>
      <c r="F6176" s="23" t="s">
        <v>55</v>
      </c>
      <c r="G6176" s="24">
        <v>172.0</v>
      </c>
      <c r="H6176" s="24">
        <v>409.0</v>
      </c>
      <c r="I6176" s="24">
        <v>10.0</v>
      </c>
      <c r="J6176" s="24">
        <v>0.0</v>
      </c>
      <c r="K6176" s="23" t="s">
        <v>34</v>
      </c>
      <c r="L6176" s="25">
        <v>41228.52060185185</v>
      </c>
      <c r="M6176" s="28"/>
      <c r="N6176" s="26" t="s">
        <v>13956</v>
      </c>
      <c r="O6176" s="22" t="str">
        <f t="shared" si="105"/>
        <v>View</v>
      </c>
      <c r="P6176" s="27"/>
    </row>
    <row r="6177">
      <c r="A6177" s="14">
        <v>43031.40997685185</v>
      </c>
      <c r="B6177" s="20" t="str">
        <f t="shared" si="104"/>
        <v>@NicoleSales7</v>
      </c>
      <c r="C6177" s="21" t="s">
        <v>13955</v>
      </c>
      <c r="D6177" s="21" t="s">
        <v>13802</v>
      </c>
      <c r="E6177" s="22" t="str">
        <f>HYPERLINK("https://twitter.com/NicoleSales7/status/922505487387541504","922505487387541504")</f>
        <v>922505487387541504</v>
      </c>
      <c r="F6177" s="23" t="s">
        <v>55</v>
      </c>
      <c r="G6177" s="24">
        <v>172.0</v>
      </c>
      <c r="H6177" s="24">
        <v>409.0</v>
      </c>
      <c r="I6177" s="24">
        <v>12.0</v>
      </c>
      <c r="J6177" s="24">
        <v>0.0</v>
      </c>
      <c r="K6177" s="23" t="s">
        <v>34</v>
      </c>
      <c r="L6177" s="25">
        <v>41228.52060185185</v>
      </c>
      <c r="M6177" s="28"/>
      <c r="N6177" s="26" t="s">
        <v>13956</v>
      </c>
      <c r="O6177" s="22" t="str">
        <f t="shared" si="105"/>
        <v>View</v>
      </c>
      <c r="P6177" s="27"/>
    </row>
    <row r="6178">
      <c r="A6178" s="14">
        <v>43031.40998842593</v>
      </c>
      <c r="B6178" s="20" t="str">
        <f>HYPERLINK("https://twitter.com/jrwisard","@jrwisard")</f>
        <v>@jrwisard</v>
      </c>
      <c r="C6178" s="21" t="s">
        <v>13957</v>
      </c>
      <c r="D6178" s="21" t="s">
        <v>13295</v>
      </c>
      <c r="E6178" s="22" t="str">
        <f>HYPERLINK("https://twitter.com/jrwisard/status/922505491825209345","922505491825209345")</f>
        <v>922505491825209345</v>
      </c>
      <c r="F6178" s="23" t="s">
        <v>33</v>
      </c>
      <c r="G6178" s="24">
        <v>41.0</v>
      </c>
      <c r="H6178" s="24">
        <v>136.0</v>
      </c>
      <c r="I6178" s="24">
        <v>19.0</v>
      </c>
      <c r="J6178" s="24">
        <v>0.0</v>
      </c>
      <c r="K6178" s="23" t="s">
        <v>34</v>
      </c>
      <c r="L6178" s="25">
        <v>41742.53922453704</v>
      </c>
      <c r="M6178" s="26" t="s">
        <v>10438</v>
      </c>
      <c r="N6178" s="26" t="s">
        <v>13958</v>
      </c>
      <c r="O6178" s="22" t="str">
        <f>HYPERLINK("https://pbs.twimg.com/profile_images/455436709019127809/JD528zAS_normal.png","View")</f>
        <v>View</v>
      </c>
      <c r="P6178" s="27"/>
    </row>
    <row r="6179">
      <c r="A6179" s="14">
        <v>43031.41002314815</v>
      </c>
      <c r="B6179" s="20" t="str">
        <f>HYPERLINK("https://twitter.com/NicoleSales7","@NicoleSales7")</f>
        <v>@NicoleSales7</v>
      </c>
      <c r="C6179" s="21" t="s">
        <v>13955</v>
      </c>
      <c r="D6179" s="21" t="s">
        <v>13808</v>
      </c>
      <c r="E6179" s="22" t="str">
        <f>HYPERLINK("https://twitter.com/NicoleSales7/status/922505507474042880","922505507474042880")</f>
        <v>922505507474042880</v>
      </c>
      <c r="F6179" s="23" t="s">
        <v>55</v>
      </c>
      <c r="G6179" s="24">
        <v>172.0</v>
      </c>
      <c r="H6179" s="24">
        <v>409.0</v>
      </c>
      <c r="I6179" s="24">
        <v>11.0</v>
      </c>
      <c r="J6179" s="24">
        <v>0.0</v>
      </c>
      <c r="K6179" s="23" t="s">
        <v>34</v>
      </c>
      <c r="L6179" s="25">
        <v>41228.52060185185</v>
      </c>
      <c r="M6179" s="28"/>
      <c r="N6179" s="26" t="s">
        <v>13956</v>
      </c>
      <c r="O6179" s="22" t="str">
        <f>HYPERLINK("https://pbs.twimg.com/profile_images/2853489650/9fe31658fee05b934f82a4c5678ad241_normal.png","View")</f>
        <v>View</v>
      </c>
      <c r="P6179" s="27"/>
    </row>
    <row r="6180">
      <c r="A6180" s="14">
        <v>43031.41003472223</v>
      </c>
      <c r="B6180" s="20" t="str">
        <f>HYPERLINK("https://twitter.com/shebet","@shebet")</f>
        <v>@shebet</v>
      </c>
      <c r="C6180" s="21" t="s">
        <v>13959</v>
      </c>
      <c r="D6180" s="21" t="s">
        <v>8493</v>
      </c>
      <c r="E6180" s="22" t="str">
        <f>HYPERLINK("https://twitter.com/shebet/status/922505511756382209","922505511756382209")</f>
        <v>922505511756382209</v>
      </c>
      <c r="F6180" s="23" t="s">
        <v>33</v>
      </c>
      <c r="G6180" s="24">
        <v>31.0</v>
      </c>
      <c r="H6180" s="24">
        <v>378.0</v>
      </c>
      <c r="I6180" s="24">
        <v>10.0</v>
      </c>
      <c r="J6180" s="24">
        <v>0.0</v>
      </c>
      <c r="K6180" s="23" t="s">
        <v>34</v>
      </c>
      <c r="L6180" s="25">
        <v>40132.66306712963</v>
      </c>
      <c r="M6180" s="28"/>
      <c r="N6180" s="28"/>
      <c r="O6180" s="22" t="str">
        <f>HYPERLINK("https://abs.twimg.com/sticky/default_profile_images/default_profile_normal.png","View")</f>
        <v>View</v>
      </c>
      <c r="P6180" s="27"/>
    </row>
    <row r="6181">
      <c r="A6181" s="14">
        <v>43031.410046296296</v>
      </c>
      <c r="B6181" s="20" t="str">
        <f>HYPERLINK("https://twitter.com/Ganesh_Jodha1","@Ganesh_Jodha1")</f>
        <v>@Ganesh_Jodha1</v>
      </c>
      <c r="C6181" s="21" t="s">
        <v>13960</v>
      </c>
      <c r="D6181" s="21" t="s">
        <v>42</v>
      </c>
      <c r="E6181" s="22" t="str">
        <f>HYPERLINK("https://twitter.com/Ganesh_Jodha1/status/922505512154836993","922505512154836993")</f>
        <v>922505512154836993</v>
      </c>
      <c r="F6181" s="23" t="s">
        <v>33</v>
      </c>
      <c r="G6181" s="24">
        <v>108.0</v>
      </c>
      <c r="H6181" s="24">
        <v>127.0</v>
      </c>
      <c r="I6181" s="24">
        <v>8501.0</v>
      </c>
      <c r="J6181" s="24">
        <v>0.0</v>
      </c>
      <c r="K6181" s="23" t="s">
        <v>34</v>
      </c>
      <c r="L6181" s="25">
        <v>42815.43853009259</v>
      </c>
      <c r="M6181" s="28"/>
      <c r="N6181" s="28"/>
      <c r="O6181" s="22" t="str">
        <f>HYPERLINK("https://pbs.twimg.com/profile_images/844251733899575297/vWdZnxTW_normal.jpg","View")</f>
        <v>View</v>
      </c>
      <c r="P6181" s="27"/>
    </row>
    <row r="6182">
      <c r="A6182" s="14">
        <v>43031.41008101852</v>
      </c>
      <c r="B6182" s="20" t="str">
        <f>HYPERLINK("https://twitter.com/jg_mcfadden","@jg_mcfadden")</f>
        <v>@jg_mcfadden</v>
      </c>
      <c r="C6182" s="21" t="s">
        <v>13961</v>
      </c>
      <c r="D6182" s="21" t="s">
        <v>13962</v>
      </c>
      <c r="E6182" s="22" t="str">
        <f>HYPERLINK("https://twitter.com/jg_mcfadden/status/922505525677342720","922505525677342720")</f>
        <v>922505525677342720</v>
      </c>
      <c r="F6182" s="23" t="s">
        <v>33</v>
      </c>
      <c r="G6182" s="24">
        <v>999.0</v>
      </c>
      <c r="H6182" s="24">
        <v>3292.0</v>
      </c>
      <c r="I6182" s="24">
        <v>18.0</v>
      </c>
      <c r="J6182" s="24">
        <v>0.0</v>
      </c>
      <c r="K6182" s="23" t="s">
        <v>34</v>
      </c>
      <c r="L6182" s="25">
        <v>41484.92329861111</v>
      </c>
      <c r="M6182" s="26" t="s">
        <v>13963</v>
      </c>
      <c r="N6182" s="26" t="s">
        <v>13964</v>
      </c>
      <c r="O6182" s="22" t="str">
        <f>HYPERLINK("https://pbs.twimg.com/profile_images/882121486370168835/GZtX0EBc_normal.jpg","View")</f>
        <v>View</v>
      </c>
      <c r="P6182" s="27"/>
    </row>
    <row r="6183">
      <c r="A6183" s="14">
        <v>43031.41008101852</v>
      </c>
      <c r="B6183" s="20" t="str">
        <f>HYPERLINK("https://twitter.com/bicchunokami","@bicchunokami")</f>
        <v>@bicchunokami</v>
      </c>
      <c r="C6183" s="21" t="s">
        <v>13965</v>
      </c>
      <c r="D6183" s="21" t="s">
        <v>12974</v>
      </c>
      <c r="E6183" s="22" t="str">
        <f>HYPERLINK("https://twitter.com/bicchunokami/status/922505527283683328","922505527283683328")</f>
        <v>922505527283683328</v>
      </c>
      <c r="F6183" s="23" t="s">
        <v>39</v>
      </c>
      <c r="G6183" s="24">
        <v>354.0</v>
      </c>
      <c r="H6183" s="24">
        <v>549.0</v>
      </c>
      <c r="I6183" s="24">
        <v>110.0</v>
      </c>
      <c r="J6183" s="24">
        <v>0.0</v>
      </c>
      <c r="K6183" s="23" t="s">
        <v>34</v>
      </c>
      <c r="L6183" s="25">
        <v>42916.80736111111</v>
      </c>
      <c r="M6183" s="26" t="s">
        <v>13966</v>
      </c>
      <c r="N6183" s="26" t="s">
        <v>13967</v>
      </c>
      <c r="O6183" s="22" t="str">
        <f>HYPERLINK("https://pbs.twimg.com/profile_images/914519252366790656/-ybR91p6_normal.jpg","View")</f>
        <v>View</v>
      </c>
      <c r="P6183" s="27"/>
    </row>
    <row r="6184">
      <c r="A6184" s="14">
        <v>43031.410104166665</v>
      </c>
      <c r="B6184" s="20" t="str">
        <f>HYPERLINK("https://twitter.com/Asherlaw","@Asherlaw")</f>
        <v>@Asherlaw</v>
      </c>
      <c r="C6184" s="21" t="s">
        <v>13968</v>
      </c>
      <c r="D6184" s="21" t="s">
        <v>13919</v>
      </c>
      <c r="E6184" s="22" t="str">
        <f>HYPERLINK("https://twitter.com/Asherlaw/status/922505536976904192","922505536976904192")</f>
        <v>922505536976904192</v>
      </c>
      <c r="F6184" s="23" t="s">
        <v>635</v>
      </c>
      <c r="G6184" s="24">
        <v>111.0</v>
      </c>
      <c r="H6184" s="24">
        <v>735.0</v>
      </c>
      <c r="I6184" s="24">
        <v>10.0</v>
      </c>
      <c r="J6184" s="24">
        <v>0.0</v>
      </c>
      <c r="K6184" s="23" t="s">
        <v>34</v>
      </c>
      <c r="L6184" s="25">
        <v>39867.299212962964</v>
      </c>
      <c r="M6184" s="26" t="s">
        <v>13969</v>
      </c>
      <c r="N6184" s="26" t="s">
        <v>13970</v>
      </c>
      <c r="O6184" s="22" t="str">
        <f>HYPERLINK("https://pbs.twimg.com/profile_images/920636106063994880/n33U95Yc_normal.jpg","View")</f>
        <v>View</v>
      </c>
      <c r="P6184" s="27"/>
    </row>
    <row r="6185">
      <c r="A6185" s="14">
        <v>43031.41042824074</v>
      </c>
      <c r="B6185" s="20" t="str">
        <f>HYPERLINK("https://twitter.com/DharmendraSan15","@DharmendraSan15")</f>
        <v>@DharmendraSan15</v>
      </c>
      <c r="C6185" s="21" t="s">
        <v>13971</v>
      </c>
      <c r="D6185" s="21" t="s">
        <v>42</v>
      </c>
      <c r="E6185" s="22" t="str">
        <f>HYPERLINK("https://twitter.com/DharmendraSan15/status/922505652328476672","922505652328476672")</f>
        <v>922505652328476672</v>
      </c>
      <c r="F6185" s="23" t="s">
        <v>33</v>
      </c>
      <c r="G6185" s="24">
        <v>2.0</v>
      </c>
      <c r="H6185" s="24">
        <v>21.0</v>
      </c>
      <c r="I6185" s="24">
        <v>8501.0</v>
      </c>
      <c r="J6185" s="24">
        <v>0.0</v>
      </c>
      <c r="K6185" s="23" t="s">
        <v>34</v>
      </c>
      <c r="L6185" s="25">
        <v>43031.392858796295</v>
      </c>
      <c r="M6185" s="26" t="s">
        <v>6488</v>
      </c>
      <c r="N6185" s="28"/>
      <c r="O6185" s="22" t="str">
        <f>HYPERLINK("https://pbs.twimg.com/profile_images/922502565341814784/is-XBkNx_normal.jpg","View")</f>
        <v>View</v>
      </c>
      <c r="P6185" s="27"/>
    </row>
    <row r="6186">
      <c r="A6186" s="14">
        <v>43031.41049768518</v>
      </c>
      <c r="B6186" s="20" t="str">
        <f>HYPERLINK("https://twitter.com/ForexHoney","@ForexHoney")</f>
        <v>@ForexHoney</v>
      </c>
      <c r="C6186" s="21" t="s">
        <v>13972</v>
      </c>
      <c r="D6186" s="21" t="s">
        <v>13791</v>
      </c>
      <c r="E6186" s="22" t="str">
        <f>HYPERLINK("https://twitter.com/ForexHoney/status/922505675850203137","922505675850203137")</f>
        <v>922505675850203137</v>
      </c>
      <c r="F6186" s="23" t="s">
        <v>55</v>
      </c>
      <c r="G6186" s="24">
        <v>12.0</v>
      </c>
      <c r="H6186" s="24">
        <v>18.0</v>
      </c>
      <c r="I6186" s="24">
        <v>10.0</v>
      </c>
      <c r="J6186" s="24">
        <v>0.0</v>
      </c>
      <c r="K6186" s="23" t="s">
        <v>34</v>
      </c>
      <c r="L6186" s="25">
        <v>40934.841469907406</v>
      </c>
      <c r="M6186" s="28"/>
      <c r="N6186" s="28"/>
      <c r="O6186" s="22" t="str">
        <f>HYPERLINK("https://pbs.twimg.com/profile_images/598868178882592770/GrWt18gI_normal.jpg","View")</f>
        <v>View</v>
      </c>
      <c r="P6186" s="27"/>
    </row>
    <row r="6187">
      <c r="A6187" s="14">
        <v>43031.41049768518</v>
      </c>
      <c r="B6187" s="20" t="str">
        <f>HYPERLINK("https://twitter.com/JasminLucci","@JasminLucci")</f>
        <v>@JasminLucci</v>
      </c>
      <c r="C6187" s="21" t="s">
        <v>13973</v>
      </c>
      <c r="D6187" s="21" t="s">
        <v>13962</v>
      </c>
      <c r="E6187" s="22" t="str">
        <f>HYPERLINK("https://twitter.com/JasminLucci/status/922505677498613760","922505677498613760")</f>
        <v>922505677498613760</v>
      </c>
      <c r="F6187" s="23" t="s">
        <v>39</v>
      </c>
      <c r="G6187" s="24">
        <v>814.0</v>
      </c>
      <c r="H6187" s="24">
        <v>516.0</v>
      </c>
      <c r="I6187" s="24">
        <v>18.0</v>
      </c>
      <c r="J6187" s="24">
        <v>0.0</v>
      </c>
      <c r="K6187" s="23" t="s">
        <v>34</v>
      </c>
      <c r="L6187" s="25">
        <v>41773.648368055554</v>
      </c>
      <c r="M6187" s="26" t="s">
        <v>13974</v>
      </c>
      <c r="N6187" s="26" t="s">
        <v>13975</v>
      </c>
      <c r="O6187" s="22" t="str">
        <f>HYPERLINK("https://pbs.twimg.com/profile_images/471740687621160963/XNOkn3bQ_normal.jpeg","View")</f>
        <v>View</v>
      </c>
      <c r="P6187" s="27"/>
    </row>
    <row r="6188">
      <c r="A6188" s="14">
        <v>43031.41054398148</v>
      </c>
      <c r="B6188" s="20" t="str">
        <f>HYPERLINK("https://twitter.com/ForexHoney","@ForexHoney")</f>
        <v>@ForexHoney</v>
      </c>
      <c r="C6188" s="21" t="s">
        <v>13972</v>
      </c>
      <c r="D6188" s="21" t="s">
        <v>13801</v>
      </c>
      <c r="E6188" s="22" t="str">
        <f>HYPERLINK("https://twitter.com/ForexHoney/status/922505694196072448","922505694196072448")</f>
        <v>922505694196072448</v>
      </c>
      <c r="F6188" s="23" t="s">
        <v>55</v>
      </c>
      <c r="G6188" s="24">
        <v>12.0</v>
      </c>
      <c r="H6188" s="24">
        <v>18.0</v>
      </c>
      <c r="I6188" s="24">
        <v>10.0</v>
      </c>
      <c r="J6188" s="24">
        <v>0.0</v>
      </c>
      <c r="K6188" s="23" t="s">
        <v>34</v>
      </c>
      <c r="L6188" s="25">
        <v>40934.841469907406</v>
      </c>
      <c r="M6188" s="28"/>
      <c r="N6188" s="28"/>
      <c r="O6188" s="22" t="str">
        <f>HYPERLINK("https://pbs.twimg.com/profile_images/598868178882592770/GrWt18gI_normal.jpg","View")</f>
        <v>View</v>
      </c>
      <c r="P6188" s="27"/>
    </row>
    <row r="6189">
      <c r="A6189" s="14">
        <v>43031.41054398148</v>
      </c>
      <c r="B6189" s="20" t="str">
        <f>HYPERLINK("https://twitter.com/SugimuraIP","@SugimuraIP")</f>
        <v>@SugimuraIP</v>
      </c>
      <c r="C6189" s="21" t="s">
        <v>5535</v>
      </c>
      <c r="D6189" s="21" t="s">
        <v>13976</v>
      </c>
      <c r="E6189" s="22" t="str">
        <f>HYPERLINK("https://twitter.com/SugimuraIP/status/922505695676850177","922505695676850177")</f>
        <v>922505695676850177</v>
      </c>
      <c r="F6189" s="23" t="s">
        <v>187</v>
      </c>
      <c r="G6189" s="24">
        <v>1684.0</v>
      </c>
      <c r="H6189" s="24">
        <v>748.0</v>
      </c>
      <c r="I6189" s="24">
        <v>0.0</v>
      </c>
      <c r="J6189" s="24">
        <v>0.0</v>
      </c>
      <c r="K6189" s="23" t="s">
        <v>34</v>
      </c>
      <c r="L6189" s="25">
        <v>41494.99694444444</v>
      </c>
      <c r="M6189" s="26" t="s">
        <v>923</v>
      </c>
      <c r="N6189" s="26" t="s">
        <v>5537</v>
      </c>
      <c r="O6189" s="22" t="str">
        <f>HYPERLINK("https://pbs.twimg.com/profile_images/378800000263751071/fbce8dd28d77a613d95f31dcbda75470_normal.jpeg","View")</f>
        <v>View</v>
      </c>
      <c r="P6189" s="27"/>
    </row>
    <row r="6190">
      <c r="A6190" s="14">
        <v>43031.41059027778</v>
      </c>
      <c r="B6190" s="20" t="str">
        <f>HYPERLINK("https://twitter.com/ForexHoney","@ForexHoney")</f>
        <v>@ForexHoney</v>
      </c>
      <c r="C6190" s="21" t="s">
        <v>13972</v>
      </c>
      <c r="D6190" s="21" t="s">
        <v>13802</v>
      </c>
      <c r="E6190" s="22" t="str">
        <f>HYPERLINK("https://twitter.com/ForexHoney/status/922505711568928769","922505711568928769")</f>
        <v>922505711568928769</v>
      </c>
      <c r="F6190" s="23" t="s">
        <v>55</v>
      </c>
      <c r="G6190" s="24">
        <v>12.0</v>
      </c>
      <c r="H6190" s="24">
        <v>18.0</v>
      </c>
      <c r="I6190" s="24">
        <v>12.0</v>
      </c>
      <c r="J6190" s="24">
        <v>0.0</v>
      </c>
      <c r="K6190" s="23" t="s">
        <v>34</v>
      </c>
      <c r="L6190" s="25">
        <v>40934.841469907406</v>
      </c>
      <c r="M6190" s="28"/>
      <c r="N6190" s="28"/>
      <c r="O6190" s="22" t="str">
        <f>HYPERLINK("https://pbs.twimg.com/profile_images/598868178882592770/GrWt18gI_normal.jpg","View")</f>
        <v>View</v>
      </c>
      <c r="P6190" s="27"/>
    </row>
    <row r="6191">
      <c r="A6191" s="14">
        <v>43031.41060185185</v>
      </c>
      <c r="B6191" s="20" t="str">
        <f>HYPERLINK("https://twitter.com/minminnyer","@minminnyer")</f>
        <v>@minminnyer</v>
      </c>
      <c r="C6191" s="21" t="s">
        <v>13977</v>
      </c>
      <c r="D6191" s="21" t="s">
        <v>67</v>
      </c>
      <c r="E6191" s="22" t="str">
        <f>HYPERLINK("https://twitter.com/minminnyer/status/922505714010152960","922505714010152960")</f>
        <v>922505714010152960</v>
      </c>
      <c r="F6191" s="23" t="s">
        <v>39</v>
      </c>
      <c r="G6191" s="24">
        <v>64.0</v>
      </c>
      <c r="H6191" s="24">
        <v>396.0</v>
      </c>
      <c r="I6191" s="24">
        <v>169.0</v>
      </c>
      <c r="J6191" s="24">
        <v>0.0</v>
      </c>
      <c r="K6191" s="23" t="s">
        <v>34</v>
      </c>
      <c r="L6191" s="25">
        <v>42659.36038194444</v>
      </c>
      <c r="M6191" s="26" t="s">
        <v>2534</v>
      </c>
      <c r="N6191" s="26" t="s">
        <v>13978</v>
      </c>
      <c r="O6191" s="22" t="str">
        <f>HYPERLINK("https://pbs.twimg.com/profile_images/853402041095397376/MsXq39WD_normal.jpg","View")</f>
        <v>View</v>
      </c>
      <c r="P6191" s="27"/>
    </row>
    <row r="6192">
      <c r="A6192" s="14">
        <v>43031.410625000004</v>
      </c>
      <c r="B6192" s="20" t="str">
        <f>HYPERLINK("https://twitter.com/raaghu24474","@raaghu24474")</f>
        <v>@raaghu24474</v>
      </c>
      <c r="C6192" s="21" t="s">
        <v>11582</v>
      </c>
      <c r="D6192" s="21" t="s">
        <v>42</v>
      </c>
      <c r="E6192" s="22" t="str">
        <f>HYPERLINK("https://twitter.com/raaghu24474/status/922505723292000256","922505723292000256")</f>
        <v>922505723292000256</v>
      </c>
      <c r="F6192" s="23" t="s">
        <v>33</v>
      </c>
      <c r="G6192" s="24">
        <v>43.0</v>
      </c>
      <c r="H6192" s="24">
        <v>104.0</v>
      </c>
      <c r="I6192" s="24">
        <v>8501.0</v>
      </c>
      <c r="J6192" s="24">
        <v>0.0</v>
      </c>
      <c r="K6192" s="23" t="s">
        <v>34</v>
      </c>
      <c r="L6192" s="25">
        <v>42697.31190972222</v>
      </c>
      <c r="M6192" s="26" t="s">
        <v>13979</v>
      </c>
      <c r="N6192" s="26" t="s">
        <v>13980</v>
      </c>
      <c r="O6192" s="22" t="str">
        <f>HYPERLINK("https://pbs.twimg.com/profile_images/826478603030327297/syRQOGCq_normal.jpg","View")</f>
        <v>View</v>
      </c>
      <c r="P6192" s="27"/>
    </row>
    <row r="6193">
      <c r="A6193" s="14">
        <v>43031.41064814814</v>
      </c>
      <c r="B6193" s="20" t="str">
        <f>HYPERLINK("https://twitter.com/ForexHoney","@ForexHoney")</f>
        <v>@ForexHoney</v>
      </c>
      <c r="C6193" s="21" t="s">
        <v>13972</v>
      </c>
      <c r="D6193" s="21" t="s">
        <v>13808</v>
      </c>
      <c r="E6193" s="22" t="str">
        <f>HYPERLINK("https://twitter.com/ForexHoney/status/922505730019569665","922505730019569665")</f>
        <v>922505730019569665</v>
      </c>
      <c r="F6193" s="23" t="s">
        <v>55</v>
      </c>
      <c r="G6193" s="24">
        <v>12.0</v>
      </c>
      <c r="H6193" s="24">
        <v>18.0</v>
      </c>
      <c r="I6193" s="24">
        <v>11.0</v>
      </c>
      <c r="J6193" s="24">
        <v>0.0</v>
      </c>
      <c r="K6193" s="23" t="s">
        <v>34</v>
      </c>
      <c r="L6193" s="25">
        <v>40934.841469907406</v>
      </c>
      <c r="M6193" s="28"/>
      <c r="N6193" s="28"/>
      <c r="O6193" s="22" t="str">
        <f>HYPERLINK("https://pbs.twimg.com/profile_images/598868178882592770/GrWt18gI_normal.jpg","View")</f>
        <v>View</v>
      </c>
      <c r="P6193" s="27"/>
    </row>
    <row r="6194">
      <c r="A6194" s="14">
        <v>43031.41081018519</v>
      </c>
      <c r="B6194" s="20" t="str">
        <f>HYPERLINK("https://twitter.com/RajivBJPCHD","@RajivBJPCHD")</f>
        <v>@RajivBJPCHD</v>
      </c>
      <c r="C6194" s="21" t="s">
        <v>13981</v>
      </c>
      <c r="D6194" s="21" t="s">
        <v>42</v>
      </c>
      <c r="E6194" s="22" t="str">
        <f>HYPERLINK("https://twitter.com/RajivBJPCHD/status/922505791013208066","922505791013208066")</f>
        <v>922505791013208066</v>
      </c>
      <c r="F6194" s="23" t="s">
        <v>43</v>
      </c>
      <c r="G6194" s="24">
        <v>259.0</v>
      </c>
      <c r="H6194" s="24">
        <v>152.0</v>
      </c>
      <c r="I6194" s="24">
        <v>8501.0</v>
      </c>
      <c r="J6194" s="24">
        <v>0.0</v>
      </c>
      <c r="K6194" s="23" t="s">
        <v>34</v>
      </c>
      <c r="L6194" s="25">
        <v>41722.48663194444</v>
      </c>
      <c r="M6194" s="26" t="s">
        <v>13982</v>
      </c>
      <c r="N6194" s="26" t="s">
        <v>13983</v>
      </c>
      <c r="O6194" s="22" t="str">
        <f>HYPERLINK("https://pbs.twimg.com/profile_images/662884416406970368/rOnOWAU6_normal.jpg","View")</f>
        <v>View</v>
      </c>
      <c r="P6194" s="27"/>
    </row>
    <row r="6195">
      <c r="A6195" s="14">
        <v>43031.410879629635</v>
      </c>
      <c r="B6195" s="20" t="str">
        <f>HYPERLINK("https://twitter.com/prithvi9772","@prithvi9772")</f>
        <v>@prithvi9772</v>
      </c>
      <c r="C6195" s="21" t="s">
        <v>13984</v>
      </c>
      <c r="D6195" s="21" t="s">
        <v>42</v>
      </c>
      <c r="E6195" s="22" t="str">
        <f>HYPERLINK("https://twitter.com/prithvi9772/status/922505816170577920","922505816170577920")</f>
        <v>922505816170577920</v>
      </c>
      <c r="F6195" s="23" t="s">
        <v>33</v>
      </c>
      <c r="G6195" s="24">
        <v>0.0</v>
      </c>
      <c r="H6195" s="24">
        <v>110.0</v>
      </c>
      <c r="I6195" s="24">
        <v>8501.0</v>
      </c>
      <c r="J6195" s="24">
        <v>0.0</v>
      </c>
      <c r="K6195" s="23" t="s">
        <v>34</v>
      </c>
      <c r="L6195" s="25">
        <v>43031.39501157407</v>
      </c>
      <c r="M6195" s="28"/>
      <c r="N6195" s="28"/>
      <c r="O6195" s="22" t="str">
        <f>HYPERLINK("https://abs.twimg.com/sticky/default_profile_images/default_profile_normal.png","View")</f>
        <v>View</v>
      </c>
      <c r="P6195" s="27"/>
    </row>
    <row r="6196">
      <c r="A6196" s="14">
        <v>43031.41092592593</v>
      </c>
      <c r="B6196" s="20" t="str">
        <f>HYPERLINK("https://twitter.com/ratlpolicy","@ratlpolicy")</f>
        <v>@ratlpolicy</v>
      </c>
      <c r="C6196" s="21" t="s">
        <v>13985</v>
      </c>
      <c r="D6196" s="21" t="s">
        <v>13986</v>
      </c>
      <c r="E6196" s="22" t="str">
        <f>HYPERLINK("https://twitter.com/ratlpolicy/status/922505833623277568","922505833623277568")</f>
        <v>922505833623277568</v>
      </c>
      <c r="F6196" s="30" t="s">
        <v>191</v>
      </c>
      <c r="G6196" s="24">
        <v>5.0</v>
      </c>
      <c r="H6196" s="24">
        <v>137.0</v>
      </c>
      <c r="I6196" s="24">
        <v>0.0</v>
      </c>
      <c r="J6196" s="24">
        <v>0.0</v>
      </c>
      <c r="K6196" s="23" t="s">
        <v>34</v>
      </c>
      <c r="L6196" s="25">
        <v>42986.51043981481</v>
      </c>
      <c r="M6196" s="28"/>
      <c r="N6196" s="28"/>
      <c r="O6196" s="22" t="str">
        <f>HYPERLINK("https://pbs.twimg.com/profile_images/907269569127096321/SXt_qR1E_normal.jpg","View")</f>
        <v>View</v>
      </c>
      <c r="P6196" s="27"/>
    </row>
    <row r="6197">
      <c r="A6197" s="14">
        <v>43031.41097222222</v>
      </c>
      <c r="B6197" s="20" t="str">
        <f>HYPERLINK("https://twitter.com/www_mental","@www_mental")</f>
        <v>@www_mental</v>
      </c>
      <c r="C6197" s="21" t="s">
        <v>13987</v>
      </c>
      <c r="D6197" s="21" t="s">
        <v>42</v>
      </c>
      <c r="E6197" s="22" t="str">
        <f>HYPERLINK("https://twitter.com/www_mental/status/922505849234268160","922505849234268160")</f>
        <v>922505849234268160</v>
      </c>
      <c r="F6197" s="23" t="s">
        <v>33</v>
      </c>
      <c r="G6197" s="24">
        <v>152.0</v>
      </c>
      <c r="H6197" s="24">
        <v>283.0</v>
      </c>
      <c r="I6197" s="24">
        <v>8501.0</v>
      </c>
      <c r="J6197" s="24">
        <v>0.0</v>
      </c>
      <c r="K6197" s="23" t="s">
        <v>34</v>
      </c>
      <c r="L6197" s="25">
        <v>42746.88228009259</v>
      </c>
      <c r="M6197" s="26" t="s">
        <v>13988</v>
      </c>
      <c r="N6197" s="26" t="s">
        <v>13989</v>
      </c>
      <c r="O6197" s="22" t="str">
        <f>HYPERLINK("https://pbs.twimg.com/profile_images/819415202416435200/CMwTYEw2_normal.jpg","View")</f>
        <v>View</v>
      </c>
      <c r="P6197" s="27"/>
    </row>
    <row r="6198">
      <c r="A6198" s="14">
        <v>43031.41106481482</v>
      </c>
      <c r="B6198" s="20" t="str">
        <f>HYPERLINK("https://twitter.com/madrassuper","@madrassuper")</f>
        <v>@madrassuper</v>
      </c>
      <c r="C6198" s="21" t="s">
        <v>13990</v>
      </c>
      <c r="D6198" s="21" t="s">
        <v>42</v>
      </c>
      <c r="E6198" s="22" t="str">
        <f>HYPERLINK("https://twitter.com/madrassuper/status/922505885024272384","922505885024272384")</f>
        <v>922505885024272384</v>
      </c>
      <c r="F6198" s="23" t="s">
        <v>33</v>
      </c>
      <c r="G6198" s="24">
        <v>64.0</v>
      </c>
      <c r="H6198" s="24">
        <v>85.0</v>
      </c>
      <c r="I6198" s="24">
        <v>8501.0</v>
      </c>
      <c r="J6198" s="24">
        <v>0.0</v>
      </c>
      <c r="K6198" s="23" t="s">
        <v>34</v>
      </c>
      <c r="L6198" s="25">
        <v>42751.26078703704</v>
      </c>
      <c r="M6198" s="28"/>
      <c r="N6198" s="26" t="s">
        <v>13991</v>
      </c>
      <c r="O6198" s="22" t="str">
        <f>HYPERLINK("https://abs.twimg.com/sticky/default_profile_images/default_profile_normal.png","View")</f>
        <v>View</v>
      </c>
      <c r="P6198" s="27"/>
    </row>
    <row r="6199">
      <c r="A6199" s="14">
        <v>43031.41111111111</v>
      </c>
      <c r="B6199" s="20" t="str">
        <f>HYPERLINK("https://twitter.com/NahashonSheezy","@NahashonSheezy")</f>
        <v>@NahashonSheezy</v>
      </c>
      <c r="C6199" s="21" t="s">
        <v>13992</v>
      </c>
      <c r="D6199" s="21" t="s">
        <v>32</v>
      </c>
      <c r="E6199" s="22" t="str">
        <f>HYPERLINK("https://twitter.com/NahashonSheezy/status/922505899826171904","922505899826171904")</f>
        <v>922505899826171904</v>
      </c>
      <c r="F6199" s="23" t="s">
        <v>33</v>
      </c>
      <c r="G6199" s="24">
        <v>2038.0</v>
      </c>
      <c r="H6199" s="24">
        <v>692.0</v>
      </c>
      <c r="I6199" s="24">
        <v>471.0</v>
      </c>
      <c r="J6199" s="24">
        <v>0.0</v>
      </c>
      <c r="K6199" s="23" t="s">
        <v>34</v>
      </c>
      <c r="L6199" s="25">
        <v>40559.13357638889</v>
      </c>
      <c r="M6199" s="26" t="s">
        <v>13993</v>
      </c>
      <c r="N6199" s="26" t="s">
        <v>13994</v>
      </c>
      <c r="O6199" s="22" t="str">
        <f>HYPERLINK("https://pbs.twimg.com/profile_images/898469651109302272/kyqk0RWj_normal.jpg","View")</f>
        <v>View</v>
      </c>
      <c r="P6199" s="27"/>
    </row>
    <row r="6200">
      <c r="A6200" s="14">
        <v>43031.411145833335</v>
      </c>
      <c r="B6200" s="20" t="str">
        <f>HYPERLINK("https://twitter.com/Rajkumar1964Raj","@Rajkumar1964Raj")</f>
        <v>@Rajkumar1964Raj</v>
      </c>
      <c r="C6200" s="21" t="s">
        <v>13995</v>
      </c>
      <c r="D6200" s="21" t="s">
        <v>42</v>
      </c>
      <c r="E6200" s="22" t="str">
        <f>HYPERLINK("https://twitter.com/Rajkumar1964Raj/status/922505911125422081","922505911125422081")</f>
        <v>922505911125422081</v>
      </c>
      <c r="F6200" s="23" t="s">
        <v>33</v>
      </c>
      <c r="G6200" s="24">
        <v>586.0</v>
      </c>
      <c r="H6200" s="24">
        <v>1502.0</v>
      </c>
      <c r="I6200" s="24">
        <v>8501.0</v>
      </c>
      <c r="J6200" s="24">
        <v>0.0</v>
      </c>
      <c r="K6200" s="23" t="s">
        <v>34</v>
      </c>
      <c r="L6200" s="25">
        <v>41469.325162037036</v>
      </c>
      <c r="M6200" s="26" t="s">
        <v>575</v>
      </c>
      <c r="N6200" s="26" t="s">
        <v>13996</v>
      </c>
      <c r="O6200" s="22" t="str">
        <f>HYPERLINK("https://abs.twimg.com/sticky/default_profile_images/default_profile_normal.png","View")</f>
        <v>View</v>
      </c>
      <c r="P6200" s="27"/>
    </row>
    <row r="6201">
      <c r="A6201" s="14">
        <v>43031.411273148144</v>
      </c>
      <c r="B6201" s="20" t="str">
        <f>HYPERLINK("https://twitter.com/SwatiP1995","@SwatiP1995")</f>
        <v>@SwatiP1995</v>
      </c>
      <c r="C6201" s="21" t="s">
        <v>13997</v>
      </c>
      <c r="D6201" s="21" t="s">
        <v>42</v>
      </c>
      <c r="E6201" s="22" t="str">
        <f>HYPERLINK("https://twitter.com/SwatiP1995/status/922505956789047296","922505956789047296")</f>
        <v>922505956789047296</v>
      </c>
      <c r="F6201" s="23" t="s">
        <v>33</v>
      </c>
      <c r="G6201" s="24">
        <v>350.0</v>
      </c>
      <c r="H6201" s="24">
        <v>559.0</v>
      </c>
      <c r="I6201" s="24">
        <v>8501.0</v>
      </c>
      <c r="J6201" s="24">
        <v>0.0</v>
      </c>
      <c r="K6201" s="23" t="s">
        <v>34</v>
      </c>
      <c r="L6201" s="25">
        <v>41147.115891203706</v>
      </c>
      <c r="M6201" s="28"/>
      <c r="N6201" s="26" t="s">
        <v>13998</v>
      </c>
      <c r="O6201" s="22" t="str">
        <f>HYPERLINK("https://pbs.twimg.com/profile_images/2544788150/116_normal.jpg","View")</f>
        <v>View</v>
      </c>
      <c r="P6201" s="27"/>
    </row>
    <row r="6202">
      <c r="A6202" s="14">
        <v>43031.41138888889</v>
      </c>
      <c r="B6202" s="20" t="str">
        <f>HYPERLINK("https://twitter.com/10021gov","@10021gov")</f>
        <v>@10021gov</v>
      </c>
      <c r="C6202" s="21" t="s">
        <v>7474</v>
      </c>
      <c r="D6202" s="21" t="s">
        <v>13999</v>
      </c>
      <c r="E6202" s="22" t="str">
        <f>HYPERLINK("https://twitter.com/10021gov/status/922505999373791237","922505999373791237")</f>
        <v>922505999373791237</v>
      </c>
      <c r="F6202" s="23" t="s">
        <v>187</v>
      </c>
      <c r="G6202" s="24">
        <v>213.0</v>
      </c>
      <c r="H6202" s="24">
        <v>915.0</v>
      </c>
      <c r="I6202" s="24">
        <v>0.0</v>
      </c>
      <c r="J6202" s="24">
        <v>0.0</v>
      </c>
      <c r="K6202" s="23" t="s">
        <v>34</v>
      </c>
      <c r="L6202" s="25">
        <v>42816.07736111111</v>
      </c>
      <c r="M6202" s="28"/>
      <c r="N6202" s="26" t="s">
        <v>7476</v>
      </c>
      <c r="O6202" s="22" t="str">
        <f>HYPERLINK("https://pbs.twimg.com/profile_images/844474501094146048/uzUHZfMJ_normal.jpg","View")</f>
        <v>View</v>
      </c>
      <c r="P6202" s="27"/>
    </row>
    <row r="6203">
      <c r="A6203" s="14">
        <v>43031.41142361111</v>
      </c>
      <c r="B6203" s="20" t="str">
        <f>HYPERLINK("https://twitter.com/MyHistoryMaster","@MyHistoryMaster")</f>
        <v>@MyHistoryMaster</v>
      </c>
      <c r="C6203" s="21" t="s">
        <v>9759</v>
      </c>
      <c r="D6203" s="21" t="s">
        <v>12565</v>
      </c>
      <c r="E6203" s="22" t="str">
        <f>HYPERLINK("https://twitter.com/MyHistoryMaster/status/922506011692490753","922506011692490753")</f>
        <v>922506011692490753</v>
      </c>
      <c r="F6203" s="23" t="s">
        <v>55</v>
      </c>
      <c r="G6203" s="24">
        <v>46.0</v>
      </c>
      <c r="H6203" s="24">
        <v>98.0</v>
      </c>
      <c r="I6203" s="24">
        <v>32.0</v>
      </c>
      <c r="J6203" s="24">
        <v>0.0</v>
      </c>
      <c r="K6203" s="23" t="s">
        <v>34</v>
      </c>
      <c r="L6203" s="25">
        <v>42000.60366898148</v>
      </c>
      <c r="M6203" s="26" t="s">
        <v>920</v>
      </c>
      <c r="N6203" s="26" t="s">
        <v>9760</v>
      </c>
      <c r="O6203" s="22" t="str">
        <f>HYPERLINK("https://pbs.twimg.com/profile_images/823025688957419520/4_lFVc05_normal.jpg","View")</f>
        <v>View</v>
      </c>
      <c r="P6203" s="27"/>
    </row>
    <row r="6204">
      <c r="A6204" s="14">
        <v>43031.411516203705</v>
      </c>
      <c r="B6204" s="20" t="str">
        <f>HYPERLINK("https://twitter.com/Mr_Insanity97","@Mr_Insanity97")</f>
        <v>@Mr_Insanity97</v>
      </c>
      <c r="C6204" s="21" t="s">
        <v>13304</v>
      </c>
      <c r="D6204" s="21" t="s">
        <v>11625</v>
      </c>
      <c r="E6204" s="22" t="str">
        <f>HYPERLINK("https://twitter.com/Mr_Insanity97/status/922506048057106433","922506048057106433")</f>
        <v>922506048057106433</v>
      </c>
      <c r="F6204" s="23" t="s">
        <v>39</v>
      </c>
      <c r="G6204" s="24">
        <v>993.0</v>
      </c>
      <c r="H6204" s="24">
        <v>5001.0</v>
      </c>
      <c r="I6204" s="24">
        <v>11.0</v>
      </c>
      <c r="J6204" s="24">
        <v>0.0</v>
      </c>
      <c r="K6204" s="23" t="s">
        <v>34</v>
      </c>
      <c r="L6204" s="25">
        <v>41877.76186342593</v>
      </c>
      <c r="M6204" s="26" t="s">
        <v>13305</v>
      </c>
      <c r="N6204" s="26" t="s">
        <v>13306</v>
      </c>
      <c r="O6204" s="22" t="str">
        <f>HYPERLINK("https://pbs.twimg.com/profile_images/841832752353812481/55UBynaq_normal.jpg","View")</f>
        <v>View</v>
      </c>
      <c r="P6204" s="27"/>
    </row>
    <row r="6205">
      <c r="A6205" s="14">
        <v>43031.41158564815</v>
      </c>
      <c r="B6205" s="20" t="str">
        <f>HYPERLINK("https://twitter.com/hpanchal874","@hpanchal874")</f>
        <v>@hpanchal874</v>
      </c>
      <c r="C6205" s="21" t="s">
        <v>14000</v>
      </c>
      <c r="D6205" s="21" t="s">
        <v>825</v>
      </c>
      <c r="E6205" s="22" t="str">
        <f>HYPERLINK("https://twitter.com/hpanchal874/status/922506072966840321","922506072966840321")</f>
        <v>922506072966840321</v>
      </c>
      <c r="F6205" s="23" t="s">
        <v>33</v>
      </c>
      <c r="G6205" s="24">
        <v>107.0</v>
      </c>
      <c r="H6205" s="24">
        <v>344.0</v>
      </c>
      <c r="I6205" s="24">
        <v>109.0</v>
      </c>
      <c r="J6205" s="24">
        <v>0.0</v>
      </c>
      <c r="K6205" s="23" t="s">
        <v>34</v>
      </c>
      <c r="L6205" s="25">
        <v>42568.43445601852</v>
      </c>
      <c r="M6205" s="28"/>
      <c r="N6205" s="26" t="s">
        <v>14001</v>
      </c>
      <c r="O6205" s="22" t="str">
        <f>HYPERLINK("https://pbs.twimg.com/profile_images/916681674787774464/8qbhdlr6_normal.jpg","View")</f>
        <v>View</v>
      </c>
      <c r="P6205" s="27"/>
    </row>
    <row r="6206">
      <c r="A6206" s="14">
        <v>43031.411620370374</v>
      </c>
      <c r="B6206" s="20" t="str">
        <f>HYPERLINK("https://twitter.com/SagarGu27131106","@SagarGu27131106")</f>
        <v>@SagarGu27131106</v>
      </c>
      <c r="C6206" s="21" t="s">
        <v>14002</v>
      </c>
      <c r="D6206" s="21" t="s">
        <v>42</v>
      </c>
      <c r="E6206" s="22" t="str">
        <f>HYPERLINK("https://twitter.com/SagarGu27131106/status/922506083020578816","922506083020578816")</f>
        <v>922506083020578816</v>
      </c>
      <c r="F6206" s="23" t="s">
        <v>33</v>
      </c>
      <c r="G6206" s="24">
        <v>18.0</v>
      </c>
      <c r="H6206" s="24">
        <v>138.0</v>
      </c>
      <c r="I6206" s="24">
        <v>8501.0</v>
      </c>
      <c r="J6206" s="24">
        <v>0.0</v>
      </c>
      <c r="K6206" s="23" t="s">
        <v>34</v>
      </c>
      <c r="L6206" s="25">
        <v>42740.16138888889</v>
      </c>
      <c r="M6206" s="26" t="s">
        <v>394</v>
      </c>
      <c r="N6206" s="26" t="s">
        <v>14003</v>
      </c>
      <c r="O6206" s="22" t="str">
        <f>HYPERLINK("https://pbs.twimg.com/profile_images/916377471129346048/_PUf1Ksh_normal.jpg","View")</f>
        <v>View</v>
      </c>
      <c r="P6206" s="27"/>
    </row>
    <row r="6207">
      <c r="A6207" s="14">
        <v>43031.41179398148</v>
      </c>
      <c r="B6207" s="20" t="str">
        <f>HYPERLINK("https://twitter.com/sidspeaksup","@sidspeaksup")</f>
        <v>@sidspeaksup</v>
      </c>
      <c r="C6207" s="21" t="s">
        <v>14004</v>
      </c>
      <c r="D6207" s="21" t="s">
        <v>8665</v>
      </c>
      <c r="E6207" s="22" t="str">
        <f>HYPERLINK("https://twitter.com/sidspeaksup/status/922506145180168193","922506145180168193")</f>
        <v>922506145180168193</v>
      </c>
      <c r="F6207" s="23" t="s">
        <v>33</v>
      </c>
      <c r="G6207" s="24">
        <v>1637.0</v>
      </c>
      <c r="H6207" s="24">
        <v>2560.0</v>
      </c>
      <c r="I6207" s="24">
        <v>67.0</v>
      </c>
      <c r="J6207" s="24">
        <v>0.0</v>
      </c>
      <c r="K6207" s="23" t="s">
        <v>34</v>
      </c>
      <c r="L6207" s="25">
        <v>42044.29518518518</v>
      </c>
      <c r="M6207" s="26" t="s">
        <v>14005</v>
      </c>
      <c r="N6207" s="28"/>
      <c r="O6207" s="22" t="str">
        <f>HYPERLINK("https://pbs.twimg.com/profile_images/831054494645448705/oz6mL6kR_normal.jpg","View")</f>
        <v>View</v>
      </c>
      <c r="P6207" s="27"/>
    </row>
    <row r="6208">
      <c r="A6208" s="14">
        <v>43031.41181712963</v>
      </c>
      <c r="B6208" s="20" t="str">
        <f>HYPERLINK("https://twitter.com/Dharmesh8690","@Dharmesh8690")</f>
        <v>@Dharmesh8690</v>
      </c>
      <c r="C6208" s="21">
        <v>9.601269881E9</v>
      </c>
      <c r="D6208" s="21" t="s">
        <v>42</v>
      </c>
      <c r="E6208" s="22" t="str">
        <f>HYPERLINK("https://twitter.com/Dharmesh8690/status/922506154126712832","922506154126712832")</f>
        <v>922506154126712832</v>
      </c>
      <c r="F6208" s="23" t="s">
        <v>33</v>
      </c>
      <c r="G6208" s="24">
        <v>93.0</v>
      </c>
      <c r="H6208" s="24">
        <v>89.0</v>
      </c>
      <c r="I6208" s="24">
        <v>8501.0</v>
      </c>
      <c r="J6208" s="24">
        <v>0.0</v>
      </c>
      <c r="K6208" s="23" t="s">
        <v>34</v>
      </c>
      <c r="L6208" s="25">
        <v>42878.143483796295</v>
      </c>
      <c r="M6208" s="28"/>
      <c r="N6208" s="28"/>
      <c r="O6208" s="22" t="str">
        <f>HYPERLINK("https://abs.twimg.com/sticky/default_profile_images/default_profile_normal.png","View")</f>
        <v>View</v>
      </c>
      <c r="P6208" s="27"/>
    </row>
    <row r="6209">
      <c r="A6209" s="14">
        <v>43031.411875000005</v>
      </c>
      <c r="B6209" s="20" t="str">
        <f>HYPERLINK("https://twitter.com/admirathoria","@admirathoria")</f>
        <v>@admirathoria</v>
      </c>
      <c r="C6209" s="21" t="s">
        <v>14006</v>
      </c>
      <c r="D6209" s="21" t="s">
        <v>14007</v>
      </c>
      <c r="E6209" s="22" t="str">
        <f>HYPERLINK("https://twitter.com/admirathoria/status/922506174532083713","922506174532083713")</f>
        <v>922506174532083713</v>
      </c>
      <c r="F6209" s="23" t="s">
        <v>55</v>
      </c>
      <c r="G6209" s="24">
        <v>464.0</v>
      </c>
      <c r="H6209" s="24">
        <v>341.0</v>
      </c>
      <c r="I6209" s="24">
        <v>0.0</v>
      </c>
      <c r="J6209" s="24">
        <v>1.0</v>
      </c>
      <c r="K6209" s="23" t="s">
        <v>34</v>
      </c>
      <c r="L6209" s="25">
        <v>42285.252789351856</v>
      </c>
      <c r="M6209" s="26" t="s">
        <v>5053</v>
      </c>
      <c r="N6209" s="26" t="s">
        <v>14008</v>
      </c>
      <c r="O6209" s="22" t="str">
        <f>HYPERLINK("https://pbs.twimg.com/profile_images/750315564619272192/jEYkoZRn_normal.jpg","View")</f>
        <v>View</v>
      </c>
      <c r="P6209" s="27"/>
    </row>
    <row r="6210">
      <c r="A6210" s="14">
        <v>43031.41190972222</v>
      </c>
      <c r="B6210" s="20" t="str">
        <f>HYPERLINK("https://twitter.com/BSAFunds","@BSAFunds")</f>
        <v>@BSAFunds</v>
      </c>
      <c r="C6210" s="21" t="s">
        <v>1248</v>
      </c>
      <c r="D6210" s="21" t="s">
        <v>14009</v>
      </c>
      <c r="E6210" s="22" t="str">
        <f>HYPERLINK("https://twitter.com/BSAFunds/status/922506187492470787","922506187492470787")</f>
        <v>922506187492470787</v>
      </c>
      <c r="F6210" s="23" t="s">
        <v>187</v>
      </c>
      <c r="G6210" s="24">
        <v>20910.0</v>
      </c>
      <c r="H6210" s="24">
        <v>8929.0</v>
      </c>
      <c r="I6210" s="24">
        <v>0.0</v>
      </c>
      <c r="J6210" s="24">
        <v>0.0</v>
      </c>
      <c r="K6210" s="23" t="s">
        <v>34</v>
      </c>
      <c r="L6210" s="25">
        <v>42601.94818287037</v>
      </c>
      <c r="M6210" s="26" t="s">
        <v>1250</v>
      </c>
      <c r="N6210" s="26" t="s">
        <v>1251</v>
      </c>
      <c r="O6210" s="22" t="str">
        <f>HYPERLINK("https://pbs.twimg.com/profile_images/912769166960033792/N4LAmrTs_normal.jpg","View")</f>
        <v>View</v>
      </c>
      <c r="P6210" s="27"/>
    </row>
    <row r="6211">
      <c r="A6211" s="14">
        <v>43031.411990740744</v>
      </c>
      <c r="B6211" s="20" t="str">
        <f>HYPERLINK("https://twitter.com/psi021001","@psi021001")</f>
        <v>@psi021001</v>
      </c>
      <c r="C6211" s="21" t="s">
        <v>14010</v>
      </c>
      <c r="D6211" s="21" t="s">
        <v>14011</v>
      </c>
      <c r="E6211" s="22" t="str">
        <f>HYPERLINK("https://twitter.com/psi021001/status/922506220371447808","922506220371447808")</f>
        <v>922506220371447808</v>
      </c>
      <c r="F6211" s="23" t="s">
        <v>55</v>
      </c>
      <c r="G6211" s="24">
        <v>1763.0</v>
      </c>
      <c r="H6211" s="24">
        <v>3275.0</v>
      </c>
      <c r="I6211" s="24">
        <v>0.0</v>
      </c>
      <c r="J6211" s="24">
        <v>2.0</v>
      </c>
      <c r="K6211" s="23" t="s">
        <v>34</v>
      </c>
      <c r="L6211" s="25">
        <v>40291.51584490741</v>
      </c>
      <c r="M6211" s="26" t="s">
        <v>14012</v>
      </c>
      <c r="N6211" s="26" t="s">
        <v>14013</v>
      </c>
      <c r="O6211" s="22" t="str">
        <f>HYPERLINK("https://pbs.twimg.com/profile_images/847349536792039424/T7hrnhN0_normal.jpg","View")</f>
        <v>View</v>
      </c>
      <c r="P6211" s="27"/>
    </row>
    <row r="6212">
      <c r="A6212" s="14">
        <v>43031.41216435185</v>
      </c>
      <c r="B6212" s="20" t="str">
        <f>HYPERLINK("https://twitter.com/revolution_fr","@revolution_fr")</f>
        <v>@revolution_fr</v>
      </c>
      <c r="C6212" s="21" t="s">
        <v>321</v>
      </c>
      <c r="D6212" s="21" t="s">
        <v>8493</v>
      </c>
      <c r="E6212" s="22" t="str">
        <f>HYPERLINK("https://twitter.com/revolution_fr/status/922506281595883520","922506281595883520")</f>
        <v>922506281595883520</v>
      </c>
      <c r="F6212" s="23" t="s">
        <v>43</v>
      </c>
      <c r="G6212" s="24">
        <v>2647.0</v>
      </c>
      <c r="H6212" s="24">
        <v>3619.0</v>
      </c>
      <c r="I6212" s="24">
        <v>10.0</v>
      </c>
      <c r="J6212" s="24">
        <v>0.0</v>
      </c>
      <c r="K6212" s="23" t="s">
        <v>34</v>
      </c>
      <c r="L6212" s="25">
        <v>42400.312430555554</v>
      </c>
      <c r="M6212" s="26" t="s">
        <v>323</v>
      </c>
      <c r="N6212" s="26" t="s">
        <v>324</v>
      </c>
      <c r="O6212" s="22" t="str">
        <f>HYPERLINK("https://pbs.twimg.com/profile_images/912005330749575173/gmtBFZtv_normal.jpg","View")</f>
        <v>View</v>
      </c>
      <c r="P6212" s="27"/>
    </row>
    <row r="6213">
      <c r="A6213" s="14">
        <v>43031.41229166667</v>
      </c>
      <c r="B6213" s="20" t="str">
        <f>HYPERLINK("https://twitter.com/palkhamesra","@palkhamesra")</f>
        <v>@palkhamesra</v>
      </c>
      <c r="C6213" s="21" t="s">
        <v>14014</v>
      </c>
      <c r="D6213" s="21" t="s">
        <v>42</v>
      </c>
      <c r="E6213" s="22" t="str">
        <f>HYPERLINK("https://twitter.com/palkhamesra/status/922506327301160960","922506327301160960")</f>
        <v>922506327301160960</v>
      </c>
      <c r="F6213" s="23" t="s">
        <v>39</v>
      </c>
      <c r="G6213" s="24">
        <v>324.0</v>
      </c>
      <c r="H6213" s="24">
        <v>156.0</v>
      </c>
      <c r="I6213" s="24">
        <v>8501.0</v>
      </c>
      <c r="J6213" s="24">
        <v>0.0</v>
      </c>
      <c r="K6213" s="23" t="s">
        <v>34</v>
      </c>
      <c r="L6213" s="25">
        <v>40129.23721064815</v>
      </c>
      <c r="M6213" s="26" t="s">
        <v>204</v>
      </c>
      <c r="N6213" s="26" t="s">
        <v>14015</v>
      </c>
      <c r="O6213" s="22" t="str">
        <f>HYPERLINK("https://pbs.twimg.com/profile_images/426327061821542401/qvusLGOR_normal.jpeg","View")</f>
        <v>View</v>
      </c>
      <c r="P6213" s="27"/>
    </row>
    <row r="6214">
      <c r="A6214" s="14">
        <v>43031.41234953704</v>
      </c>
      <c r="B6214" s="20" t="str">
        <f>HYPERLINK("https://twitter.com/surajbelose40","@surajbelose40")</f>
        <v>@surajbelose40</v>
      </c>
      <c r="C6214" s="21" t="s">
        <v>14016</v>
      </c>
      <c r="D6214" s="21" t="s">
        <v>42</v>
      </c>
      <c r="E6214" s="22" t="str">
        <f>HYPERLINK("https://twitter.com/surajbelose40/status/922506349291999238","922506349291999238")</f>
        <v>922506349291999238</v>
      </c>
      <c r="F6214" s="23" t="s">
        <v>33</v>
      </c>
      <c r="G6214" s="24">
        <v>227.0</v>
      </c>
      <c r="H6214" s="24">
        <v>21.0</v>
      </c>
      <c r="I6214" s="24">
        <v>8501.0</v>
      </c>
      <c r="J6214" s="24">
        <v>0.0</v>
      </c>
      <c r="K6214" s="23" t="s">
        <v>34</v>
      </c>
      <c r="L6214" s="25">
        <v>42748.141064814816</v>
      </c>
      <c r="M6214" s="26" t="s">
        <v>14017</v>
      </c>
      <c r="N6214" s="26" t="s">
        <v>14018</v>
      </c>
      <c r="O6214" s="22" t="str">
        <f>HYPERLINK("https://pbs.twimg.com/profile_images/921680269161136128/IAEfH2m-_normal.jpg","View")</f>
        <v>View</v>
      </c>
      <c r="P6214" s="27"/>
    </row>
    <row r="6215">
      <c r="A6215" s="14">
        <v>43031.41244212963</v>
      </c>
      <c r="B6215" s="20" t="str">
        <f>HYPERLINK("https://twitter.com/saurabhlmishra","@saurabhlmishra")</f>
        <v>@saurabhlmishra</v>
      </c>
      <c r="C6215" s="21" t="s">
        <v>14019</v>
      </c>
      <c r="D6215" s="21" t="s">
        <v>42</v>
      </c>
      <c r="E6215" s="22" t="str">
        <f>HYPERLINK("https://twitter.com/saurabhlmishra/status/922506382397468673","922506382397468673")</f>
        <v>922506382397468673</v>
      </c>
      <c r="F6215" s="23" t="s">
        <v>33</v>
      </c>
      <c r="G6215" s="24">
        <v>287.0</v>
      </c>
      <c r="H6215" s="24">
        <v>1279.0</v>
      </c>
      <c r="I6215" s="24">
        <v>8501.0</v>
      </c>
      <c r="J6215" s="24">
        <v>0.0</v>
      </c>
      <c r="K6215" s="23" t="s">
        <v>34</v>
      </c>
      <c r="L6215" s="25">
        <v>41176.258981481486</v>
      </c>
      <c r="M6215" s="26" t="s">
        <v>1738</v>
      </c>
      <c r="N6215" s="26" t="s">
        <v>14020</v>
      </c>
      <c r="O6215" s="22" t="str">
        <f>HYPERLINK("https://pbs.twimg.com/profile_images/775993987215745025/fuBfPcqw_normal.jpg","View")</f>
        <v>View</v>
      </c>
      <c r="P6215" s="27"/>
    </row>
    <row r="6216">
      <c r="A6216" s="14">
        <v>43031.412569444445</v>
      </c>
      <c r="B6216" s="20" t="str">
        <f>HYPERLINK("https://twitter.com/BKY_21","@BKY_21")</f>
        <v>@BKY_21</v>
      </c>
      <c r="C6216" s="21" t="s">
        <v>14021</v>
      </c>
      <c r="D6216" s="21" t="s">
        <v>14022</v>
      </c>
      <c r="E6216" s="22" t="str">
        <f>HYPERLINK("https://twitter.com/BKY_21/status/922506429163913216","922506429163913216")</f>
        <v>922506429163913216</v>
      </c>
      <c r="F6216" s="23" t="s">
        <v>33</v>
      </c>
      <c r="G6216" s="24">
        <v>106.0</v>
      </c>
      <c r="H6216" s="24">
        <v>375.0</v>
      </c>
      <c r="I6216" s="24">
        <v>56.0</v>
      </c>
      <c r="J6216" s="24">
        <v>0.0</v>
      </c>
      <c r="K6216" s="23" t="s">
        <v>34</v>
      </c>
      <c r="L6216" s="25">
        <v>41229.8690162037</v>
      </c>
      <c r="M6216" s="26" t="s">
        <v>14023</v>
      </c>
      <c r="N6216" s="26" t="s">
        <v>14024</v>
      </c>
      <c r="O6216" s="22" t="str">
        <f>HYPERLINK("https://pbs.twimg.com/profile_images/890367896756535296/lc8vqz_3_normal.jpg","View")</f>
        <v>View</v>
      </c>
      <c r="P6216" s="27"/>
    </row>
    <row r="6217">
      <c r="A6217" s="14">
        <v>43031.41259259259</v>
      </c>
      <c r="B6217" s="20" t="str">
        <f>HYPERLINK("https://twitter.com/itsVKabra","@itsVKabra")</f>
        <v>@itsVKabra</v>
      </c>
      <c r="C6217" s="21" t="s">
        <v>14025</v>
      </c>
      <c r="D6217" s="21" t="s">
        <v>42</v>
      </c>
      <c r="E6217" s="22" t="str">
        <f>HYPERLINK("https://twitter.com/itsVKabra/status/922506438286520320","922506438286520320")</f>
        <v>922506438286520320</v>
      </c>
      <c r="F6217" s="23" t="s">
        <v>33</v>
      </c>
      <c r="G6217" s="24">
        <v>68.0</v>
      </c>
      <c r="H6217" s="24">
        <v>88.0</v>
      </c>
      <c r="I6217" s="24">
        <v>8501.0</v>
      </c>
      <c r="J6217" s="24">
        <v>0.0</v>
      </c>
      <c r="K6217" s="23" t="s">
        <v>34</v>
      </c>
      <c r="L6217" s="25">
        <v>41849.071550925924</v>
      </c>
      <c r="M6217" s="26" t="s">
        <v>3557</v>
      </c>
      <c r="N6217" s="28"/>
      <c r="O6217" s="22" t="str">
        <f>HYPERLINK("https://pbs.twimg.com/profile_images/827575545902698496/4Ofz5qhF_normal.jpg","View")</f>
        <v>View</v>
      </c>
      <c r="P6217" s="27"/>
    </row>
    <row r="6218">
      <c r="A6218" s="14">
        <v>43031.41271990741</v>
      </c>
      <c r="B6218" s="20" t="str">
        <f>HYPERLINK("https://twitter.com/tono_vanvi","@tono_vanvi")</f>
        <v>@tono_vanvi</v>
      </c>
      <c r="C6218" s="21" t="s">
        <v>14026</v>
      </c>
      <c r="D6218" s="21" t="s">
        <v>126</v>
      </c>
      <c r="E6218" s="22" t="str">
        <f>HYPERLINK("https://twitter.com/tono_vanvi/status/922506484377776128","922506484377776128")</f>
        <v>922506484377776128</v>
      </c>
      <c r="F6218" s="23" t="s">
        <v>33</v>
      </c>
      <c r="G6218" s="24">
        <v>43913.0</v>
      </c>
      <c r="H6218" s="24">
        <v>5484.0</v>
      </c>
      <c r="I6218" s="24">
        <v>62.0</v>
      </c>
      <c r="J6218" s="24">
        <v>0.0</v>
      </c>
      <c r="K6218" s="23" t="s">
        <v>34</v>
      </c>
      <c r="L6218" s="25">
        <v>41720.7255787037</v>
      </c>
      <c r="M6218" s="26" t="s">
        <v>14027</v>
      </c>
      <c r="N6218" s="26" t="s">
        <v>14028</v>
      </c>
      <c r="O6218" s="22" t="str">
        <f>HYPERLINK("https://pbs.twimg.com/profile_images/798178011581321216/yDuYxGdc_normal.jpg","View")</f>
        <v>View</v>
      </c>
      <c r="P6218" s="27"/>
    </row>
    <row r="6219">
      <c r="A6219" s="14">
        <v>43031.412824074076</v>
      </c>
      <c r="B6219" s="20" t="str">
        <f>HYPERLINK("https://twitter.com/RiyadhAlrifai","@RiyadhAlrifai")</f>
        <v>@RiyadhAlrifai</v>
      </c>
      <c r="C6219" s="21" t="s">
        <v>14029</v>
      </c>
      <c r="D6219" s="21" t="s">
        <v>13962</v>
      </c>
      <c r="E6219" s="22" t="str">
        <f>HYPERLINK("https://twitter.com/RiyadhAlrifai/status/922506519844925440","922506519844925440")</f>
        <v>922506519844925440</v>
      </c>
      <c r="F6219" s="23" t="s">
        <v>43</v>
      </c>
      <c r="G6219" s="24">
        <v>544.0</v>
      </c>
      <c r="H6219" s="24">
        <v>372.0</v>
      </c>
      <c r="I6219" s="24">
        <v>18.0</v>
      </c>
      <c r="J6219" s="24">
        <v>0.0</v>
      </c>
      <c r="K6219" s="23" t="s">
        <v>34</v>
      </c>
      <c r="L6219" s="25">
        <v>40821.99989583333</v>
      </c>
      <c r="M6219" s="26" t="s">
        <v>14030</v>
      </c>
      <c r="N6219" s="28"/>
      <c r="O6219" s="22" t="str">
        <f>HYPERLINK("https://pbs.twimg.com/profile_images/450300748321271808/k0-9mBoK_normal.png","View")</f>
        <v>View</v>
      </c>
      <c r="P6219" s="27"/>
    </row>
    <row r="6220">
      <c r="A6220" s="14">
        <v>43031.41291666667</v>
      </c>
      <c r="B6220" s="20" t="str">
        <f>HYPERLINK("https://twitter.com/anirudhpandeyji","@anirudhpandeyji")</f>
        <v>@anirudhpandeyji</v>
      </c>
      <c r="C6220" s="21" t="s">
        <v>14031</v>
      </c>
      <c r="D6220" s="21" t="s">
        <v>13962</v>
      </c>
      <c r="E6220" s="22" t="str">
        <f>HYPERLINK("https://twitter.com/anirudhpandeyji/status/922506554556821504","922506554556821504")</f>
        <v>922506554556821504</v>
      </c>
      <c r="F6220" s="23" t="s">
        <v>33</v>
      </c>
      <c r="G6220" s="24">
        <v>2032.0</v>
      </c>
      <c r="H6220" s="24">
        <v>2422.0</v>
      </c>
      <c r="I6220" s="24">
        <v>18.0</v>
      </c>
      <c r="J6220" s="24">
        <v>0.0</v>
      </c>
      <c r="K6220" s="23" t="s">
        <v>34</v>
      </c>
      <c r="L6220" s="25">
        <v>41616.28166666666</v>
      </c>
      <c r="M6220" s="26" t="s">
        <v>9985</v>
      </c>
      <c r="N6220" s="26" t="s">
        <v>14032</v>
      </c>
      <c r="O6220" s="22" t="str">
        <f>HYPERLINK("https://pbs.twimg.com/profile_images/642171362153394176/xBIL7GCv_normal.jpg","View")</f>
        <v>View</v>
      </c>
      <c r="P6220" s="27"/>
    </row>
    <row r="6221">
      <c r="A6221" s="14">
        <v>43031.41295138889</v>
      </c>
      <c r="B6221" s="20" t="str">
        <f>HYPERLINK("https://twitter.com/randomBeeps","@randomBeeps")</f>
        <v>@randomBeeps</v>
      </c>
      <c r="C6221" s="21" t="s">
        <v>14033</v>
      </c>
      <c r="D6221" s="21" t="s">
        <v>42</v>
      </c>
      <c r="E6221" s="22" t="str">
        <f>HYPERLINK("https://twitter.com/randomBeeps/status/922506565747273729","922506565747273729")</f>
        <v>922506565747273729</v>
      </c>
      <c r="F6221" s="23" t="s">
        <v>33</v>
      </c>
      <c r="G6221" s="24">
        <v>136.0</v>
      </c>
      <c r="H6221" s="24">
        <v>30.0</v>
      </c>
      <c r="I6221" s="24">
        <v>8501.0</v>
      </c>
      <c r="J6221" s="24">
        <v>0.0</v>
      </c>
      <c r="K6221" s="23" t="s">
        <v>34</v>
      </c>
      <c r="L6221" s="25">
        <v>39928.926203703704</v>
      </c>
      <c r="M6221" s="26" t="s">
        <v>575</v>
      </c>
      <c r="N6221" s="26" t="s">
        <v>14034</v>
      </c>
      <c r="O6221" s="22" t="str">
        <f>HYPERLINK("https://pbs.twimg.com/profile_images/842428571817725953/hg2NDi-I_normal.jpg","View")</f>
        <v>View</v>
      </c>
      <c r="P6221" s="27"/>
    </row>
    <row r="6222">
      <c r="A6222" s="14">
        <v>43031.4131712963</v>
      </c>
      <c r="B6222" s="20" t="str">
        <f>HYPERLINK("https://twitter.com/SkSain14","@SkSain14")</f>
        <v>@SkSain14</v>
      </c>
      <c r="C6222" s="21" t="s">
        <v>14035</v>
      </c>
      <c r="D6222" s="21" t="s">
        <v>42</v>
      </c>
      <c r="E6222" s="22" t="str">
        <f>HYPERLINK("https://twitter.com/SkSain14/status/922506647653646336","922506647653646336")</f>
        <v>922506647653646336</v>
      </c>
      <c r="F6222" s="23" t="s">
        <v>33</v>
      </c>
      <c r="G6222" s="24">
        <v>17.0</v>
      </c>
      <c r="H6222" s="24">
        <v>86.0</v>
      </c>
      <c r="I6222" s="24">
        <v>8501.0</v>
      </c>
      <c r="J6222" s="24">
        <v>0.0</v>
      </c>
      <c r="K6222" s="23" t="s">
        <v>34</v>
      </c>
      <c r="L6222" s="25">
        <v>43020.84788194444</v>
      </c>
      <c r="M6222" s="26" t="s">
        <v>14036</v>
      </c>
      <c r="N6222" s="28"/>
      <c r="O6222" s="22" t="str">
        <f>HYPERLINK("https://pbs.twimg.com/profile_images/921386793961791488/lKj3agUi_normal.jpg","View")</f>
        <v>View</v>
      </c>
      <c r="P6222" s="27"/>
    </row>
    <row r="6223">
      <c r="A6223" s="14">
        <v>43031.413402777776</v>
      </c>
      <c r="B6223" s="20" t="str">
        <f>HYPERLINK("https://twitter.com/Indiaaakash","@Indiaaakash")</f>
        <v>@Indiaaakash</v>
      </c>
      <c r="C6223" s="21" t="s">
        <v>14037</v>
      </c>
      <c r="D6223" s="21" t="s">
        <v>42</v>
      </c>
      <c r="E6223" s="22" t="str">
        <f>HYPERLINK("https://twitter.com/Indiaaakash/status/922506728737931265","922506728737931265")</f>
        <v>922506728737931265</v>
      </c>
      <c r="F6223" s="23" t="s">
        <v>33</v>
      </c>
      <c r="G6223" s="24">
        <v>6203.0</v>
      </c>
      <c r="H6223" s="24">
        <v>2580.0</v>
      </c>
      <c r="I6223" s="24">
        <v>8501.0</v>
      </c>
      <c r="J6223" s="24">
        <v>0.0</v>
      </c>
      <c r="K6223" s="23" t="s">
        <v>34</v>
      </c>
      <c r="L6223" s="25">
        <v>41478.13146990741</v>
      </c>
      <c r="M6223" s="26" t="s">
        <v>227</v>
      </c>
      <c r="N6223" s="26" t="s">
        <v>14038</v>
      </c>
      <c r="O6223" s="22" t="str">
        <f>HYPERLINK("https://pbs.twimg.com/profile_images/894868902663995392/7AHQZW9r_normal.jpg","View")</f>
        <v>View</v>
      </c>
      <c r="P6223" s="27"/>
    </row>
    <row r="6224">
      <c r="A6224" s="14">
        <v>43031.41347222222</v>
      </c>
      <c r="B6224" s="20" t="str">
        <f>HYPERLINK("https://twitter.com/agrawalamit11","@agrawalamit11")</f>
        <v>@agrawalamit11</v>
      </c>
      <c r="C6224" s="21" t="s">
        <v>14039</v>
      </c>
      <c r="D6224" s="21" t="s">
        <v>163</v>
      </c>
      <c r="E6224" s="22" t="str">
        <f>HYPERLINK("https://twitter.com/agrawalamit11/status/922506757116715011","922506757116715011")</f>
        <v>922506757116715011</v>
      </c>
      <c r="F6224" s="23" t="s">
        <v>33</v>
      </c>
      <c r="G6224" s="24">
        <v>1019.0</v>
      </c>
      <c r="H6224" s="24">
        <v>184.0</v>
      </c>
      <c r="I6224" s="24">
        <v>1005.0</v>
      </c>
      <c r="J6224" s="24">
        <v>0.0</v>
      </c>
      <c r="K6224" s="23" t="s">
        <v>34</v>
      </c>
      <c r="L6224" s="25">
        <v>40829.035787037035</v>
      </c>
      <c r="M6224" s="26" t="s">
        <v>11520</v>
      </c>
      <c r="N6224" s="26" t="s">
        <v>14040</v>
      </c>
      <c r="O6224" s="22" t="str">
        <f>HYPERLINK("https://pbs.twimg.com/profile_images/840619453792542720/w1InLsVH_normal.jpg","View")</f>
        <v>View</v>
      </c>
      <c r="P6224" s="27"/>
    </row>
    <row r="6225">
      <c r="A6225" s="14">
        <v>43031.41354166667</v>
      </c>
      <c r="B6225" s="20" t="str">
        <f>HYPERLINK("https://twitter.com/Libya_NewsToday","@Libya_NewsToday")</f>
        <v>@Libya_NewsToday</v>
      </c>
      <c r="C6225" s="21" t="s">
        <v>14041</v>
      </c>
      <c r="D6225" s="21" t="s">
        <v>14042</v>
      </c>
      <c r="E6225" s="22" t="str">
        <f>HYPERLINK("https://twitter.com/Libya_NewsToday/status/922506779405283333","922506779405283333")</f>
        <v>922506779405283333</v>
      </c>
      <c r="F6225" s="23" t="s">
        <v>14043</v>
      </c>
      <c r="G6225" s="24">
        <v>2237.0</v>
      </c>
      <c r="H6225" s="24">
        <v>1.0</v>
      </c>
      <c r="I6225" s="24">
        <v>0.0</v>
      </c>
      <c r="J6225" s="24">
        <v>0.0</v>
      </c>
      <c r="K6225" s="23" t="s">
        <v>34</v>
      </c>
      <c r="L6225" s="25">
        <v>41640.29063657408</v>
      </c>
      <c r="M6225" s="26" t="s">
        <v>14044</v>
      </c>
      <c r="N6225" s="26" t="s">
        <v>14045</v>
      </c>
      <c r="O6225" s="22" t="str">
        <f>HYPERLINK("https://pbs.twimg.com/profile_images/418396031387062272/QwXcG-_T_normal.png","View")</f>
        <v>View</v>
      </c>
      <c r="P6225" s="27"/>
    </row>
    <row r="6226">
      <c r="A6226" s="14">
        <v>43031.41365740741</v>
      </c>
      <c r="B6226" s="20" t="str">
        <f>HYPERLINK("https://twitter.com/S_Galimberti","@S_Galimberti")</f>
        <v>@S_Galimberti</v>
      </c>
      <c r="C6226" s="21" t="s">
        <v>14046</v>
      </c>
      <c r="D6226" s="21" t="s">
        <v>14047</v>
      </c>
      <c r="E6226" s="22" t="str">
        <f>HYPERLINK("https://twitter.com/S_Galimberti/status/922506821113348099","922506821113348099")</f>
        <v>922506821113348099</v>
      </c>
      <c r="F6226" s="23" t="s">
        <v>39</v>
      </c>
      <c r="G6226" s="24">
        <v>90526.0</v>
      </c>
      <c r="H6226" s="24">
        <v>87125.0</v>
      </c>
      <c r="I6226" s="24">
        <v>3.0</v>
      </c>
      <c r="J6226" s="24">
        <v>2.0</v>
      </c>
      <c r="K6226" s="23" t="s">
        <v>34</v>
      </c>
      <c r="L6226" s="25">
        <v>41507.21581018518</v>
      </c>
      <c r="M6226" s="26" t="s">
        <v>5912</v>
      </c>
      <c r="N6226" s="26" t="s">
        <v>14048</v>
      </c>
      <c r="O6226" s="22" t="str">
        <f>HYPERLINK("https://pbs.twimg.com/profile_images/688140202565476352/EvprkhJd_normal.jpg","View")</f>
        <v>View</v>
      </c>
      <c r="P6226" s="27"/>
    </row>
    <row r="6227">
      <c r="A6227" s="14">
        <v>43031.41369212963</v>
      </c>
      <c r="B6227" s="20" t="str">
        <f>HYPERLINK("https://twitter.com/RtKing09","@RtKing09")</f>
        <v>@RtKing09</v>
      </c>
      <c r="C6227" s="21" t="s">
        <v>14049</v>
      </c>
      <c r="D6227" s="21" t="s">
        <v>42</v>
      </c>
      <c r="E6227" s="22" t="str">
        <f>HYPERLINK("https://twitter.com/RtKing09/status/922506835759792129","922506835759792129")</f>
        <v>922506835759792129</v>
      </c>
      <c r="F6227" s="23" t="s">
        <v>33</v>
      </c>
      <c r="G6227" s="24">
        <v>222.0</v>
      </c>
      <c r="H6227" s="24">
        <v>11.0</v>
      </c>
      <c r="I6227" s="24">
        <v>8501.0</v>
      </c>
      <c r="J6227" s="24">
        <v>0.0</v>
      </c>
      <c r="K6227" s="23" t="s">
        <v>34</v>
      </c>
      <c r="L6227" s="25">
        <v>41686.16092592593</v>
      </c>
      <c r="M6227" s="28"/>
      <c r="N6227" s="26" t="s">
        <v>14050</v>
      </c>
      <c r="O6227" s="22" t="str">
        <f>HYPERLINK("https://pbs.twimg.com/profile_images/863346451434409985/PG-_e6oU_normal.jpg","View")</f>
        <v>View</v>
      </c>
      <c r="P6227" s="27"/>
    </row>
    <row r="6228">
      <c r="A6228" s="14">
        <v>43031.41395833333</v>
      </c>
      <c r="B6228" s="20" t="str">
        <f>HYPERLINK("https://twitter.com/Durgeshrai2013","@Durgeshrai2013")</f>
        <v>@Durgeshrai2013</v>
      </c>
      <c r="C6228" s="21" t="s">
        <v>12847</v>
      </c>
      <c r="D6228" s="21" t="s">
        <v>163</v>
      </c>
      <c r="E6228" s="22" t="str">
        <f>HYPERLINK("https://twitter.com/Durgeshrai2013/status/922506932920995842","922506932920995842")</f>
        <v>922506932920995842</v>
      </c>
      <c r="F6228" s="23" t="s">
        <v>33</v>
      </c>
      <c r="G6228" s="24">
        <v>113.0</v>
      </c>
      <c r="H6228" s="24">
        <v>284.0</v>
      </c>
      <c r="I6228" s="24">
        <v>1005.0</v>
      </c>
      <c r="J6228" s="24">
        <v>0.0</v>
      </c>
      <c r="K6228" s="23" t="s">
        <v>34</v>
      </c>
      <c r="L6228" s="25">
        <v>41426.170625</v>
      </c>
      <c r="M6228" s="28"/>
      <c r="N6228" s="28"/>
      <c r="O6228" s="22" t="str">
        <f>HYPERLINK("https://pbs.twimg.com/profile_images/567611788766625792/zguv87zs_normal.jpeg","View")</f>
        <v>View</v>
      </c>
      <c r="P6228" s="27"/>
    </row>
    <row r="6229">
      <c r="A6229" s="14">
        <v>43031.413993055554</v>
      </c>
      <c r="B6229" s="20" t="str">
        <f>HYPERLINK("https://twitter.com/therajeshsharma","@therajeshsharma")</f>
        <v>@therajeshsharma</v>
      </c>
      <c r="C6229" s="21" t="s">
        <v>14051</v>
      </c>
      <c r="D6229" s="21" t="s">
        <v>42</v>
      </c>
      <c r="E6229" s="22" t="str">
        <f>HYPERLINK("https://twitter.com/therajeshsharma/status/922506944295743488","922506944295743488")</f>
        <v>922506944295743488</v>
      </c>
      <c r="F6229" s="23" t="s">
        <v>33</v>
      </c>
      <c r="G6229" s="24">
        <v>1096.0</v>
      </c>
      <c r="H6229" s="24">
        <v>417.0</v>
      </c>
      <c r="I6229" s="24">
        <v>8501.0</v>
      </c>
      <c r="J6229" s="24">
        <v>0.0</v>
      </c>
      <c r="K6229" s="23" t="s">
        <v>34</v>
      </c>
      <c r="L6229" s="25">
        <v>41356.1096875</v>
      </c>
      <c r="M6229" s="26" t="s">
        <v>14052</v>
      </c>
      <c r="N6229" s="26" t="s">
        <v>14053</v>
      </c>
      <c r="O6229" s="22" t="str">
        <f>HYPERLINK("https://pbs.twimg.com/profile_images/890421261725204481/dJ0nKwGS_normal.jpg","View")</f>
        <v>View</v>
      </c>
      <c r="P6229" s="27"/>
    </row>
    <row r="6230">
      <c r="A6230" s="14">
        <v>43031.41400462963</v>
      </c>
      <c r="B6230" s="20" t="str">
        <f>HYPERLINK("https://twitter.com/RAKESHKKUSHWAH","@RAKESHKKUSHWAH")</f>
        <v>@RAKESHKKUSHWAH</v>
      </c>
      <c r="C6230" s="21" t="s">
        <v>4850</v>
      </c>
      <c r="D6230" s="21" t="s">
        <v>2861</v>
      </c>
      <c r="E6230" s="22" t="str">
        <f>HYPERLINK("https://twitter.com/RAKESHKKUSHWAH/status/922506948880220160","922506948880220160")</f>
        <v>922506948880220160</v>
      </c>
      <c r="F6230" s="23" t="s">
        <v>33</v>
      </c>
      <c r="G6230" s="24">
        <v>179.0</v>
      </c>
      <c r="H6230" s="24">
        <v>250.0</v>
      </c>
      <c r="I6230" s="24">
        <v>40.0</v>
      </c>
      <c r="J6230" s="24">
        <v>0.0</v>
      </c>
      <c r="K6230" s="23" t="s">
        <v>34</v>
      </c>
      <c r="L6230" s="25">
        <v>42987.103680555556</v>
      </c>
      <c r="M6230" s="26" t="s">
        <v>1633</v>
      </c>
      <c r="N6230" s="26" t="s">
        <v>4851</v>
      </c>
      <c r="O6230" s="22" t="str">
        <f>HYPERLINK("https://pbs.twimg.com/profile_images/916350935567286272/tHMm7oYS_normal.jpg","View")</f>
        <v>View</v>
      </c>
      <c r="P6230" s="27"/>
    </row>
    <row r="6231">
      <c r="A6231" s="14">
        <v>43031.41403935185</v>
      </c>
      <c r="B6231" s="20" t="str">
        <f>HYPERLINK("https://twitter.com/kkgiree","@kkgiree")</f>
        <v>@kkgiree</v>
      </c>
      <c r="C6231" s="21" t="s">
        <v>14054</v>
      </c>
      <c r="D6231" s="21" t="s">
        <v>42</v>
      </c>
      <c r="E6231" s="22" t="str">
        <f>HYPERLINK("https://twitter.com/kkgiree/status/922506961827934208","922506961827934208")</f>
        <v>922506961827934208</v>
      </c>
      <c r="F6231" s="23" t="s">
        <v>33</v>
      </c>
      <c r="G6231" s="24">
        <v>192.0</v>
      </c>
      <c r="H6231" s="24">
        <v>651.0</v>
      </c>
      <c r="I6231" s="24">
        <v>8501.0</v>
      </c>
      <c r="J6231" s="24">
        <v>0.0</v>
      </c>
      <c r="K6231" s="23" t="s">
        <v>34</v>
      </c>
      <c r="L6231" s="25">
        <v>42432.469456018516</v>
      </c>
      <c r="M6231" s="26" t="s">
        <v>14055</v>
      </c>
      <c r="N6231" s="26" t="s">
        <v>14056</v>
      </c>
      <c r="O6231" s="22" t="str">
        <f>HYPERLINK("https://pbs.twimg.com/profile_images/844426321870630912/2vW5ADFE_normal.jpg","View")</f>
        <v>View</v>
      </c>
      <c r="P6231" s="27"/>
    </row>
    <row r="6232">
      <c r="A6232" s="14">
        <v>43031.41417824074</v>
      </c>
      <c r="B6232" s="20" t="str">
        <f>HYPERLINK("https://twitter.com/AmorShabbi","@AmorShabbi")</f>
        <v>@AmorShabbi</v>
      </c>
      <c r="C6232" s="31" t="s">
        <v>14057</v>
      </c>
      <c r="D6232" s="21" t="s">
        <v>13962</v>
      </c>
      <c r="E6232" s="22" t="str">
        <f>HYPERLINK("https://twitter.com/AmorShabbi/status/922507011098664960","922507011098664960")</f>
        <v>922507011098664960</v>
      </c>
      <c r="F6232" s="23" t="s">
        <v>39</v>
      </c>
      <c r="G6232" s="24">
        <v>4725.0</v>
      </c>
      <c r="H6232" s="24">
        <v>2298.0</v>
      </c>
      <c r="I6232" s="24">
        <v>18.0</v>
      </c>
      <c r="J6232" s="24">
        <v>0.0</v>
      </c>
      <c r="K6232" s="23" t="s">
        <v>34</v>
      </c>
      <c r="L6232" s="25">
        <v>40247.39388888889</v>
      </c>
      <c r="M6232" s="26" t="s">
        <v>14058</v>
      </c>
      <c r="N6232" s="26" t="s">
        <v>14059</v>
      </c>
      <c r="O6232" s="22" t="str">
        <f>HYPERLINK("https://pbs.twimg.com/profile_images/551336594053943296/tlmS2Bu7_normal.jpeg","View")</f>
        <v>View</v>
      </c>
      <c r="P6232" s="27"/>
    </row>
    <row r="6233">
      <c r="A6233" s="14">
        <v>43031.4143287037</v>
      </c>
      <c r="B6233" s="20" t="str">
        <f>HYPERLINK("https://twitter.com/sanjayv30253007","@sanjayv30253007")</f>
        <v>@sanjayv30253007</v>
      </c>
      <c r="C6233" s="21" t="s">
        <v>14060</v>
      </c>
      <c r="D6233" s="21" t="s">
        <v>42</v>
      </c>
      <c r="E6233" s="22" t="str">
        <f>HYPERLINK("https://twitter.com/sanjayv30253007/status/922507066631221248","922507066631221248")</f>
        <v>922507066631221248</v>
      </c>
      <c r="F6233" s="23" t="s">
        <v>33</v>
      </c>
      <c r="G6233" s="24">
        <v>22.0</v>
      </c>
      <c r="H6233" s="24">
        <v>814.0</v>
      </c>
      <c r="I6233" s="24">
        <v>8501.0</v>
      </c>
      <c r="J6233" s="24">
        <v>0.0</v>
      </c>
      <c r="K6233" s="23" t="s">
        <v>34</v>
      </c>
      <c r="L6233" s="25">
        <v>42274.042025462964</v>
      </c>
      <c r="M6233" s="26" t="s">
        <v>14061</v>
      </c>
      <c r="N6233" s="26" t="s">
        <v>14062</v>
      </c>
      <c r="O6233" s="22" t="str">
        <f>HYPERLINK("https://pbs.twimg.com/profile_images/900789505707397121/TgXY7ENl_normal.jpg","View")</f>
        <v>View</v>
      </c>
      <c r="P6233" s="27"/>
    </row>
    <row r="6234">
      <c r="A6234" s="14">
        <v>43031.414351851854</v>
      </c>
      <c r="B6234" s="20" t="str">
        <f>HYPERLINK("https://twitter.com/Mr_Insanity97","@Mr_Insanity97")</f>
        <v>@Mr_Insanity97</v>
      </c>
      <c r="C6234" s="21" t="s">
        <v>13304</v>
      </c>
      <c r="D6234" s="21" t="s">
        <v>9978</v>
      </c>
      <c r="E6234" s="22" t="str">
        <f>HYPERLINK("https://twitter.com/Mr_Insanity97/status/922507073086214144","922507073086214144")</f>
        <v>922507073086214144</v>
      </c>
      <c r="F6234" s="23" t="s">
        <v>39</v>
      </c>
      <c r="G6234" s="24">
        <v>993.0</v>
      </c>
      <c r="H6234" s="24">
        <v>5001.0</v>
      </c>
      <c r="I6234" s="24">
        <v>3.0</v>
      </c>
      <c r="J6234" s="24">
        <v>0.0</v>
      </c>
      <c r="K6234" s="23" t="s">
        <v>34</v>
      </c>
      <c r="L6234" s="25">
        <v>41877.76186342593</v>
      </c>
      <c r="M6234" s="26" t="s">
        <v>13305</v>
      </c>
      <c r="N6234" s="26" t="s">
        <v>13306</v>
      </c>
      <c r="O6234" s="22" t="str">
        <f>HYPERLINK("https://pbs.twimg.com/profile_images/841832752353812481/55UBynaq_normal.jpg","View")</f>
        <v>View</v>
      </c>
      <c r="P6234" s="27"/>
    </row>
    <row r="6235">
      <c r="A6235" s="14">
        <v>43031.41436342592</v>
      </c>
      <c r="B6235" s="20" t="str">
        <f>HYPERLINK("https://twitter.com/PreetiS04376562","@PreetiS04376562")</f>
        <v>@PreetiS04376562</v>
      </c>
      <c r="C6235" s="21" t="s">
        <v>14063</v>
      </c>
      <c r="D6235" s="21" t="s">
        <v>42</v>
      </c>
      <c r="E6235" s="22" t="str">
        <f>HYPERLINK("https://twitter.com/PreetiS04376562/status/922507079901777921","922507079901777921")</f>
        <v>922507079901777921</v>
      </c>
      <c r="F6235" s="23" t="s">
        <v>33</v>
      </c>
      <c r="G6235" s="24">
        <v>0.0</v>
      </c>
      <c r="H6235" s="24">
        <v>22.0</v>
      </c>
      <c r="I6235" s="24">
        <v>8501.0</v>
      </c>
      <c r="J6235" s="24">
        <v>0.0</v>
      </c>
      <c r="K6235" s="23" t="s">
        <v>34</v>
      </c>
      <c r="L6235" s="25">
        <v>42955.90211805556</v>
      </c>
      <c r="M6235" s="28"/>
      <c r="N6235" s="28"/>
      <c r="O6235" s="22" t="str">
        <f>HYPERLINK("https://abs.twimg.com/sticky/default_profile_images/default_profile_normal.png","View")</f>
        <v>View</v>
      </c>
      <c r="P6235" s="27"/>
    </row>
    <row r="6236">
      <c r="A6236" s="14">
        <v>43031.41443287037</v>
      </c>
      <c r="B6236" s="20" t="str">
        <f>HYPERLINK("https://twitter.com/FXGoddess","@FXGoddess")</f>
        <v>@FXGoddess</v>
      </c>
      <c r="C6236" s="21" t="s">
        <v>14064</v>
      </c>
      <c r="D6236" s="21" t="s">
        <v>13791</v>
      </c>
      <c r="E6236" s="22" t="str">
        <f>HYPERLINK("https://twitter.com/FXGoddess/status/922507101645062144","922507101645062144")</f>
        <v>922507101645062144</v>
      </c>
      <c r="F6236" s="23" t="s">
        <v>55</v>
      </c>
      <c r="G6236" s="24">
        <v>7.0</v>
      </c>
      <c r="H6236" s="24">
        <v>5.0</v>
      </c>
      <c r="I6236" s="24">
        <v>10.0</v>
      </c>
      <c r="J6236" s="24">
        <v>0.0</v>
      </c>
      <c r="K6236" s="23" t="s">
        <v>34</v>
      </c>
      <c r="L6236" s="25">
        <v>40934.82121527778</v>
      </c>
      <c r="M6236" s="28"/>
      <c r="N6236" s="26" t="s">
        <v>14065</v>
      </c>
      <c r="O6236" s="22" t="str">
        <f>HYPERLINK("https://pbs.twimg.com/profile_images/2690534289/d2af177d803a938d2d6f3d7481c4ab91_normal.png","View")</f>
        <v>View</v>
      </c>
      <c r="P6236" s="27"/>
    </row>
    <row r="6237">
      <c r="A6237" s="14">
        <v>43031.41443287037</v>
      </c>
      <c r="B6237" s="20" t="str">
        <f>HYPERLINK("https://twitter.com/mikemoratinos","@mikemoratinos")</f>
        <v>@mikemoratinos</v>
      </c>
      <c r="C6237" s="21" t="s">
        <v>13122</v>
      </c>
      <c r="D6237" s="21" t="s">
        <v>14066</v>
      </c>
      <c r="E6237" s="22" t="str">
        <f>HYPERLINK("https://twitter.com/mikemoratinos/status/922507105206140928","922507105206140928")</f>
        <v>922507105206140928</v>
      </c>
      <c r="F6237" s="23" t="s">
        <v>33</v>
      </c>
      <c r="G6237" s="24">
        <v>2337.0</v>
      </c>
      <c r="H6237" s="24">
        <v>3495.0</v>
      </c>
      <c r="I6237" s="24">
        <v>3.0</v>
      </c>
      <c r="J6237" s="24">
        <v>0.0</v>
      </c>
      <c r="K6237" s="23" t="s">
        <v>34</v>
      </c>
      <c r="L6237" s="25">
        <v>40918.063159722224</v>
      </c>
      <c r="M6237" s="26" t="s">
        <v>14067</v>
      </c>
      <c r="N6237" s="26" t="s">
        <v>14068</v>
      </c>
      <c r="O6237" s="22" t="str">
        <f>HYPERLINK("https://pbs.twimg.com/profile_images/920441610458017793/9tsfmLhJ_normal.jpg","View")</f>
        <v>View</v>
      </c>
      <c r="P6237" s="27"/>
    </row>
    <row r="6238">
      <c r="A6238" s="14">
        <v>43031.41447916666</v>
      </c>
      <c r="B6238" s="20" t="str">
        <f>HYPERLINK("https://twitter.com/FXGoddess","@FXGoddess")</f>
        <v>@FXGoddess</v>
      </c>
      <c r="C6238" s="21" t="s">
        <v>14064</v>
      </c>
      <c r="D6238" s="21" t="s">
        <v>13801</v>
      </c>
      <c r="E6238" s="22" t="str">
        <f>HYPERLINK("https://twitter.com/FXGoddess/status/922507120574062594","922507120574062594")</f>
        <v>922507120574062594</v>
      </c>
      <c r="F6238" s="23" t="s">
        <v>55</v>
      </c>
      <c r="G6238" s="24">
        <v>7.0</v>
      </c>
      <c r="H6238" s="24">
        <v>5.0</v>
      </c>
      <c r="I6238" s="24">
        <v>10.0</v>
      </c>
      <c r="J6238" s="24">
        <v>0.0</v>
      </c>
      <c r="K6238" s="23" t="s">
        <v>34</v>
      </c>
      <c r="L6238" s="25">
        <v>40934.82121527778</v>
      </c>
      <c r="M6238" s="28"/>
      <c r="N6238" s="26" t="s">
        <v>14065</v>
      </c>
      <c r="O6238" s="22" t="str">
        <f>HYPERLINK("https://pbs.twimg.com/profile_images/2690534289/d2af177d803a938d2d6f3d7481c4ab91_normal.png","View")</f>
        <v>View</v>
      </c>
      <c r="P6238" s="27"/>
    </row>
    <row r="6239">
      <c r="A6239" s="14">
        <v>43031.41449074074</v>
      </c>
      <c r="B6239" s="20" t="str">
        <f>HYPERLINK("https://twitter.com/marchef2","@marchef2")</f>
        <v>@marchef2</v>
      </c>
      <c r="C6239" s="21" t="s">
        <v>14069</v>
      </c>
      <c r="D6239" s="21" t="s">
        <v>10614</v>
      </c>
      <c r="E6239" s="22" t="str">
        <f>HYPERLINK("https://twitter.com/marchef2/status/922507123518590979","922507123518590979")</f>
        <v>922507123518590979</v>
      </c>
      <c r="F6239" s="23" t="s">
        <v>55</v>
      </c>
      <c r="G6239" s="24">
        <v>40.0</v>
      </c>
      <c r="H6239" s="24">
        <v>393.0</v>
      </c>
      <c r="I6239" s="24">
        <v>159.0</v>
      </c>
      <c r="J6239" s="24">
        <v>0.0</v>
      </c>
      <c r="K6239" s="23" t="s">
        <v>34</v>
      </c>
      <c r="L6239" s="25">
        <v>42817.217997685184</v>
      </c>
      <c r="M6239" s="28"/>
      <c r="N6239" s="28"/>
      <c r="O6239" s="22" t="str">
        <f>HYPERLINK("https://abs.twimg.com/sticky/default_profile_images/default_profile_normal.png","View")</f>
        <v>View</v>
      </c>
      <c r="P6239" s="27"/>
    </row>
    <row r="6240">
      <c r="A6240" s="14">
        <v>43031.414502314816</v>
      </c>
      <c r="B6240" s="20" t="str">
        <f>HYPERLINK("https://twitter.com/mr_adeshjain","@mr_adeshjain")</f>
        <v>@mr_adeshjain</v>
      </c>
      <c r="C6240" s="21" t="s">
        <v>14070</v>
      </c>
      <c r="D6240" s="21" t="s">
        <v>14071</v>
      </c>
      <c r="E6240" s="22" t="str">
        <f>HYPERLINK("https://twitter.com/mr_adeshjain/status/922507128866193408","922507128866193408")</f>
        <v>922507128866193408</v>
      </c>
      <c r="F6240" s="23" t="s">
        <v>33</v>
      </c>
      <c r="G6240" s="24">
        <v>291.0</v>
      </c>
      <c r="H6240" s="24">
        <v>72.0</v>
      </c>
      <c r="I6240" s="24">
        <v>0.0</v>
      </c>
      <c r="J6240" s="24">
        <v>0.0</v>
      </c>
      <c r="K6240" s="23" t="s">
        <v>34</v>
      </c>
      <c r="L6240" s="25">
        <v>42505.18835648148</v>
      </c>
      <c r="M6240" s="26" t="s">
        <v>14072</v>
      </c>
      <c r="N6240" s="26" t="s">
        <v>14073</v>
      </c>
      <c r="O6240" s="22" t="str">
        <f>HYPERLINK("https://pbs.twimg.com/profile_images/920004518577704960/EkuaC-Dd_normal.jpg","View")</f>
        <v>View</v>
      </c>
      <c r="P6240" s="27"/>
    </row>
    <row r="6241">
      <c r="A6241" s="14">
        <v>43031.414560185185</v>
      </c>
      <c r="B6241" s="20" t="str">
        <f>HYPERLINK("https://twitter.com/SridharPaladugu","@SridharPaladugu")</f>
        <v>@SridharPaladugu</v>
      </c>
      <c r="C6241" s="21" t="s">
        <v>14074</v>
      </c>
      <c r="D6241" s="21" t="s">
        <v>163</v>
      </c>
      <c r="E6241" s="22" t="str">
        <f>HYPERLINK("https://twitter.com/SridharPaladugu/status/922507148055187457","922507148055187457")</f>
        <v>922507148055187457</v>
      </c>
      <c r="F6241" s="23" t="s">
        <v>55</v>
      </c>
      <c r="G6241" s="24">
        <v>550.0</v>
      </c>
      <c r="H6241" s="24">
        <v>83.0</v>
      </c>
      <c r="I6241" s="24">
        <v>1005.0</v>
      </c>
      <c r="J6241" s="24">
        <v>0.0</v>
      </c>
      <c r="K6241" s="23" t="s">
        <v>34</v>
      </c>
      <c r="L6241" s="25">
        <v>41539.48645833333</v>
      </c>
      <c r="M6241" s="28"/>
      <c r="N6241" s="26" t="s">
        <v>14075</v>
      </c>
      <c r="O6241" s="22" t="str">
        <f>HYPERLINK("https://pbs.twimg.com/profile_images/427448976229810176/9ZRfKRw4_normal.jpeg","View")</f>
        <v>View</v>
      </c>
      <c r="P6241" s="27"/>
    </row>
    <row r="6242">
      <c r="A6242" s="14">
        <v>43031.414606481485</v>
      </c>
      <c r="B6242" s="20" t="str">
        <f>HYPERLINK("https://twitter.com/NamVietNetwork","@NamVietNetwork")</f>
        <v>@NamVietNetwork</v>
      </c>
      <c r="C6242" s="21" t="s">
        <v>13721</v>
      </c>
      <c r="D6242" s="21" t="s">
        <v>14076</v>
      </c>
      <c r="E6242" s="22" t="str">
        <f>HYPERLINK("https://twitter.com/NamVietNetwork/status/922507166874992640","922507166874992640")</f>
        <v>922507166874992640</v>
      </c>
      <c r="F6242" s="23" t="s">
        <v>91</v>
      </c>
      <c r="G6242" s="24">
        <v>1538.0</v>
      </c>
      <c r="H6242" s="24">
        <v>147.0</v>
      </c>
      <c r="I6242" s="24">
        <v>0.0</v>
      </c>
      <c r="J6242" s="24">
        <v>0.0</v>
      </c>
      <c r="K6242" s="23" t="s">
        <v>34</v>
      </c>
      <c r="L6242" s="25">
        <v>40189.071747685186</v>
      </c>
      <c r="M6242" s="26" t="s">
        <v>13723</v>
      </c>
      <c r="N6242" s="26" t="s">
        <v>13724</v>
      </c>
      <c r="O6242" s="22" t="str">
        <f>HYPERLINK("https://pbs.twimg.com/profile_images/2509866256/6fjgs8rtts7014kqe70t_normal.jpeg","View")</f>
        <v>View</v>
      </c>
      <c r="P6242" s="27"/>
    </row>
    <row r="6243">
      <c r="A6243" s="14">
        <v>43031.414618055554</v>
      </c>
      <c r="B6243" s="20" t="str">
        <f>HYPERLINK("https://twitter.com/VishalSng","@VishalSng")</f>
        <v>@VishalSng</v>
      </c>
      <c r="C6243" s="21" t="s">
        <v>14077</v>
      </c>
      <c r="D6243" s="21" t="s">
        <v>42</v>
      </c>
      <c r="E6243" s="22" t="str">
        <f>HYPERLINK("https://twitter.com/VishalSng/status/922507169479647232","922507169479647232")</f>
        <v>922507169479647232</v>
      </c>
      <c r="F6243" s="23" t="s">
        <v>43</v>
      </c>
      <c r="G6243" s="24">
        <v>90.0</v>
      </c>
      <c r="H6243" s="24">
        <v>427.0</v>
      </c>
      <c r="I6243" s="24">
        <v>8501.0</v>
      </c>
      <c r="J6243" s="24">
        <v>0.0</v>
      </c>
      <c r="K6243" s="23" t="s">
        <v>34</v>
      </c>
      <c r="L6243" s="25">
        <v>40074.8825462963</v>
      </c>
      <c r="M6243" s="26" t="s">
        <v>204</v>
      </c>
      <c r="N6243" s="26" t="s">
        <v>14078</v>
      </c>
      <c r="O6243" s="22" t="str">
        <f>HYPERLINK("https://abs.twimg.com/sticky/default_profile_images/default_profile_normal.png","View")</f>
        <v>View</v>
      </c>
      <c r="P6243" s="27"/>
    </row>
    <row r="6244">
      <c r="A6244" s="14">
        <v>43031.41465277778</v>
      </c>
      <c r="B6244" s="20" t="str">
        <f>HYPERLINK("https://twitter.com/anand_anusheel","@anand_anusheel")</f>
        <v>@anand_anusheel</v>
      </c>
      <c r="C6244" s="21" t="s">
        <v>14079</v>
      </c>
      <c r="D6244" s="21" t="s">
        <v>10614</v>
      </c>
      <c r="E6244" s="22" t="str">
        <f>HYPERLINK("https://twitter.com/anand_anusheel/status/922507184570712069","922507184570712069")</f>
        <v>922507184570712069</v>
      </c>
      <c r="F6244" s="23" t="s">
        <v>33</v>
      </c>
      <c r="G6244" s="24">
        <v>147.0</v>
      </c>
      <c r="H6244" s="24">
        <v>239.0</v>
      </c>
      <c r="I6244" s="24">
        <v>159.0</v>
      </c>
      <c r="J6244" s="24">
        <v>0.0</v>
      </c>
      <c r="K6244" s="23" t="s">
        <v>34</v>
      </c>
      <c r="L6244" s="25">
        <v>40079.07486111111</v>
      </c>
      <c r="M6244" s="26" t="s">
        <v>575</v>
      </c>
      <c r="N6244" s="26" t="s">
        <v>14080</v>
      </c>
      <c r="O6244" s="22" t="str">
        <f>HYPERLINK("https://pbs.twimg.com/profile_images/916366576437288960/dQlbO2cl_normal.jpg","View")</f>
        <v>View</v>
      </c>
      <c r="P6244" s="27"/>
    </row>
    <row r="6245">
      <c r="A6245" s="14">
        <v>43031.41467592593</v>
      </c>
      <c r="B6245" s="20" t="str">
        <f>HYPERLINK("https://twitter.com/AmrishSahitya","@AmrishSahitya")</f>
        <v>@AmrishSahitya</v>
      </c>
      <c r="C6245" s="21" t="s">
        <v>14081</v>
      </c>
      <c r="D6245" s="21" t="s">
        <v>42</v>
      </c>
      <c r="E6245" s="22" t="str">
        <f>HYPERLINK("https://twitter.com/AmrishSahitya/status/922507189633167360","922507189633167360")</f>
        <v>922507189633167360</v>
      </c>
      <c r="F6245" s="23" t="s">
        <v>33</v>
      </c>
      <c r="G6245" s="24">
        <v>0.0</v>
      </c>
      <c r="H6245" s="24">
        <v>5.0</v>
      </c>
      <c r="I6245" s="24">
        <v>8501.0</v>
      </c>
      <c r="J6245" s="24">
        <v>0.0</v>
      </c>
      <c r="K6245" s="23" t="s">
        <v>34</v>
      </c>
      <c r="L6245" s="25">
        <v>43028.37175925926</v>
      </c>
      <c r="M6245" s="28"/>
      <c r="N6245" s="28"/>
      <c r="O6245" s="22" t="str">
        <f>HYPERLINK("https://abs.twimg.com/sticky/default_profile_images/default_profile_normal.png","View")</f>
        <v>View</v>
      </c>
      <c r="P6245" s="27"/>
    </row>
    <row r="6246">
      <c r="A6246" s="14">
        <v>43031.41475694445</v>
      </c>
      <c r="B6246" s="20" t="str">
        <f>HYPERLINK("https://twitter.com/FXGoddess","@FXGoddess")</f>
        <v>@FXGoddess</v>
      </c>
      <c r="C6246" s="21" t="s">
        <v>14064</v>
      </c>
      <c r="D6246" s="21" t="s">
        <v>13802</v>
      </c>
      <c r="E6246" s="22" t="str">
        <f>HYPERLINK("https://twitter.com/FXGoddess/status/922507221509931009","922507221509931009")</f>
        <v>922507221509931009</v>
      </c>
      <c r="F6246" s="23" t="s">
        <v>55</v>
      </c>
      <c r="G6246" s="24">
        <v>7.0</v>
      </c>
      <c r="H6246" s="24">
        <v>5.0</v>
      </c>
      <c r="I6246" s="24">
        <v>12.0</v>
      </c>
      <c r="J6246" s="24">
        <v>0.0</v>
      </c>
      <c r="K6246" s="23" t="s">
        <v>34</v>
      </c>
      <c r="L6246" s="25">
        <v>40934.82121527778</v>
      </c>
      <c r="M6246" s="28"/>
      <c r="N6246" s="26" t="s">
        <v>14065</v>
      </c>
      <c r="O6246" s="22" t="str">
        <f>HYPERLINK("https://pbs.twimg.com/profile_images/2690534289/d2af177d803a938d2d6f3d7481c4ab91_normal.png","View")</f>
        <v>View</v>
      </c>
      <c r="P6246" s="27"/>
    </row>
    <row r="6247">
      <c r="A6247" s="14">
        <v>43031.414768518516</v>
      </c>
      <c r="B6247" s="20" t="str">
        <f>HYPERLINK("https://twitter.com/komarova5675","@komarova5675")</f>
        <v>@komarova5675</v>
      </c>
      <c r="C6247" s="21" t="s">
        <v>14082</v>
      </c>
      <c r="D6247" s="21" t="s">
        <v>14083</v>
      </c>
      <c r="E6247" s="22" t="str">
        <f>HYPERLINK("https://twitter.com/komarova5675/status/922507225804947457","922507225804947457")</f>
        <v>922507225804947457</v>
      </c>
      <c r="F6247" s="30" t="s">
        <v>411</v>
      </c>
      <c r="G6247" s="24">
        <v>0.0</v>
      </c>
      <c r="H6247" s="24">
        <v>2.0</v>
      </c>
      <c r="I6247" s="24">
        <v>0.0</v>
      </c>
      <c r="J6247" s="24">
        <v>0.0</v>
      </c>
      <c r="K6247" s="23" t="s">
        <v>34</v>
      </c>
      <c r="L6247" s="25">
        <v>43013.093206018515</v>
      </c>
      <c r="M6247" s="28"/>
      <c r="N6247" s="28"/>
      <c r="O6247" s="22" t="str">
        <f>HYPERLINK("https://pbs.twimg.com/profile_images/922058810885251072/11NkzPiN_normal.jpg","View")</f>
        <v>View</v>
      </c>
      <c r="P6247" s="27"/>
    </row>
    <row r="6248">
      <c r="A6248" s="14">
        <v>43031.41482638889</v>
      </c>
      <c r="B6248" s="20" t="str">
        <f>HYPERLINK("https://twitter.com/djfinch03","@djfinch03")</f>
        <v>@djfinch03</v>
      </c>
      <c r="C6248" s="21" t="s">
        <v>14084</v>
      </c>
      <c r="D6248" s="21" t="s">
        <v>13919</v>
      </c>
      <c r="E6248" s="22" t="str">
        <f>HYPERLINK("https://twitter.com/djfinch03/status/922507244717137921","922507244717137921")</f>
        <v>922507244717137921</v>
      </c>
      <c r="F6248" s="23" t="s">
        <v>33</v>
      </c>
      <c r="G6248" s="24">
        <v>97.0</v>
      </c>
      <c r="H6248" s="24">
        <v>664.0</v>
      </c>
      <c r="I6248" s="24">
        <v>10.0</v>
      </c>
      <c r="J6248" s="24">
        <v>0.0</v>
      </c>
      <c r="K6248" s="23" t="s">
        <v>34</v>
      </c>
      <c r="L6248" s="25">
        <v>41119.80819444444</v>
      </c>
      <c r="M6248" s="28"/>
      <c r="N6248" s="26" t="s">
        <v>14085</v>
      </c>
      <c r="O6248" s="22" t="str">
        <f>HYPERLINK("https://abs.twimg.com/sticky/default_profile_images/default_profile_normal.png","View")</f>
        <v>View</v>
      </c>
      <c r="P6248" s="27"/>
    </row>
    <row r="6249">
      <c r="A6249" s="14">
        <v>43031.41482638889</v>
      </c>
      <c r="B6249" s="20" t="str">
        <f>HYPERLINK("https://twitter.com/sengarajay235","@sengarajay235")</f>
        <v>@sengarajay235</v>
      </c>
      <c r="C6249" s="21" t="s">
        <v>14086</v>
      </c>
      <c r="D6249" s="21" t="s">
        <v>14087</v>
      </c>
      <c r="E6249" s="22" t="str">
        <f>HYPERLINK("https://twitter.com/sengarajay235/status/922507247258710018","922507247258710018")</f>
        <v>922507247258710018</v>
      </c>
      <c r="F6249" s="23" t="s">
        <v>33</v>
      </c>
      <c r="G6249" s="24">
        <v>16014.0</v>
      </c>
      <c r="H6249" s="24">
        <v>1002.0</v>
      </c>
      <c r="I6249" s="24">
        <v>5.0</v>
      </c>
      <c r="J6249" s="24">
        <v>0.0</v>
      </c>
      <c r="K6249" s="23" t="s">
        <v>34</v>
      </c>
      <c r="L6249" s="25">
        <v>42547.96802083333</v>
      </c>
      <c r="M6249" s="26" t="s">
        <v>3901</v>
      </c>
      <c r="N6249" s="26" t="s">
        <v>14088</v>
      </c>
      <c r="O6249" s="22" t="str">
        <f>HYPERLINK("https://pbs.twimg.com/profile_images/914143515914862592/G8W64Ko5_normal.jpg","View")</f>
        <v>View</v>
      </c>
      <c r="P6249" s="27"/>
    </row>
    <row r="6250">
      <c r="A6250" s="14">
        <v>43031.41482638889</v>
      </c>
      <c r="B6250" s="20" t="str">
        <f>HYPERLINK("https://twitter.com/nagarajrangasam","@nagarajrangasam")</f>
        <v>@nagarajrangasam</v>
      </c>
      <c r="C6250" s="21" t="s">
        <v>14089</v>
      </c>
      <c r="D6250" s="21" t="s">
        <v>42</v>
      </c>
      <c r="E6250" s="22" t="str">
        <f>HYPERLINK("https://twitter.com/nagarajrangasam/status/922507247367757824","922507247367757824")</f>
        <v>922507247367757824</v>
      </c>
      <c r="F6250" s="23" t="s">
        <v>33</v>
      </c>
      <c r="G6250" s="24">
        <v>0.0</v>
      </c>
      <c r="H6250" s="24">
        <v>57.0</v>
      </c>
      <c r="I6250" s="24">
        <v>8501.0</v>
      </c>
      <c r="J6250" s="24">
        <v>0.0</v>
      </c>
      <c r="K6250" s="23" t="s">
        <v>34</v>
      </c>
      <c r="L6250" s="25">
        <v>42177.05594907407</v>
      </c>
      <c r="M6250" s="28"/>
      <c r="N6250" s="28"/>
      <c r="O6250" s="22" t="str">
        <f>HYPERLINK("https://abs.twimg.com/sticky/default_profile_images/default_profile_normal.png","View")</f>
        <v>View</v>
      </c>
      <c r="P6250" s="27"/>
    </row>
    <row r="6251">
      <c r="A6251" s="14">
        <v>43031.41482638889</v>
      </c>
      <c r="B6251" s="20" t="str">
        <f>HYPERLINK("https://twitter.com/Nitinvigg","@Nitinvigg")</f>
        <v>@Nitinvigg</v>
      </c>
      <c r="C6251" s="21" t="s">
        <v>14090</v>
      </c>
      <c r="D6251" s="21" t="s">
        <v>42</v>
      </c>
      <c r="E6251" s="22" t="str">
        <f>HYPERLINK("https://twitter.com/Nitinvigg/status/922507248059998211","922507248059998211")</f>
        <v>922507248059998211</v>
      </c>
      <c r="F6251" s="23" t="s">
        <v>33</v>
      </c>
      <c r="G6251" s="24">
        <v>270.0</v>
      </c>
      <c r="H6251" s="24">
        <v>808.0</v>
      </c>
      <c r="I6251" s="24">
        <v>8501.0</v>
      </c>
      <c r="J6251" s="24">
        <v>0.0</v>
      </c>
      <c r="K6251" s="23" t="s">
        <v>34</v>
      </c>
      <c r="L6251" s="25">
        <v>40647.52782407407</v>
      </c>
      <c r="M6251" s="26" t="s">
        <v>575</v>
      </c>
      <c r="N6251" s="26" t="s">
        <v>14091</v>
      </c>
      <c r="O6251" s="22" t="str">
        <f>HYPERLINK("https://pbs.twimg.com/profile_images/890096369691766784/JWnM7_fP_normal.jpg","View")</f>
        <v>View</v>
      </c>
      <c r="P6251" s="27"/>
    </row>
    <row r="6252">
      <c r="A6252" s="14">
        <v>43031.414872685185</v>
      </c>
      <c r="B6252" s="20" t="str">
        <f>HYPERLINK("https://twitter.com/sanjayusmishra","@sanjayusmishra")</f>
        <v>@sanjayusmishra</v>
      </c>
      <c r="C6252" s="21" t="s">
        <v>14092</v>
      </c>
      <c r="D6252" s="21" t="s">
        <v>42</v>
      </c>
      <c r="E6252" s="22" t="str">
        <f>HYPERLINK("https://twitter.com/sanjayusmishra/status/922507264488910848","922507264488910848")</f>
        <v>922507264488910848</v>
      </c>
      <c r="F6252" s="23" t="s">
        <v>33</v>
      </c>
      <c r="G6252" s="24">
        <v>2.0</v>
      </c>
      <c r="H6252" s="24">
        <v>31.0</v>
      </c>
      <c r="I6252" s="24">
        <v>8501.0</v>
      </c>
      <c r="J6252" s="24">
        <v>0.0</v>
      </c>
      <c r="K6252" s="23" t="s">
        <v>34</v>
      </c>
      <c r="L6252" s="25">
        <v>42892.12583333333</v>
      </c>
      <c r="M6252" s="26" t="s">
        <v>227</v>
      </c>
      <c r="N6252" s="28"/>
      <c r="O6252" s="22" t="str">
        <f>HYPERLINK("https://pbs.twimg.com/profile_images/873211555244105728/ELf0xI0W_normal.jpg","View")</f>
        <v>View</v>
      </c>
      <c r="P6252" s="27"/>
    </row>
    <row r="6253">
      <c r="A6253" s="14">
        <v>43031.41494212963</v>
      </c>
      <c r="B6253" s="20" t="str">
        <f>HYPERLINK("https://twitter.com/FXGoddess","@FXGoddess")</f>
        <v>@FXGoddess</v>
      </c>
      <c r="C6253" s="21" t="s">
        <v>14064</v>
      </c>
      <c r="D6253" s="21" t="s">
        <v>13808</v>
      </c>
      <c r="E6253" s="22" t="str">
        <f>HYPERLINK("https://twitter.com/FXGoddess/status/922507288329388032","922507288329388032")</f>
        <v>922507288329388032</v>
      </c>
      <c r="F6253" s="23" t="s">
        <v>55</v>
      </c>
      <c r="G6253" s="24">
        <v>7.0</v>
      </c>
      <c r="H6253" s="24">
        <v>5.0</v>
      </c>
      <c r="I6253" s="24">
        <v>11.0</v>
      </c>
      <c r="J6253" s="24">
        <v>0.0</v>
      </c>
      <c r="K6253" s="23" t="s">
        <v>34</v>
      </c>
      <c r="L6253" s="25">
        <v>40934.82121527778</v>
      </c>
      <c r="M6253" s="28"/>
      <c r="N6253" s="26" t="s">
        <v>14065</v>
      </c>
      <c r="O6253" s="22" t="str">
        <f>HYPERLINK("https://pbs.twimg.com/profile_images/2690534289/d2af177d803a938d2d6f3d7481c4ab91_normal.png","View")</f>
        <v>View</v>
      </c>
      <c r="P6253" s="27"/>
    </row>
    <row r="6254">
      <c r="A6254" s="14">
        <v>43031.41506944444</v>
      </c>
      <c r="B6254" s="20" t="str">
        <f>HYPERLINK("https://twitter.com/LoveLinuxMint","@LoveLinuxMint")</f>
        <v>@LoveLinuxMint</v>
      </c>
      <c r="C6254" s="21" t="s">
        <v>14093</v>
      </c>
      <c r="D6254" s="21" t="s">
        <v>12974</v>
      </c>
      <c r="E6254" s="22" t="str">
        <f>HYPERLINK("https://twitter.com/LoveLinuxMint/status/922507333414150144","922507333414150144")</f>
        <v>922507333414150144</v>
      </c>
      <c r="F6254" s="23" t="s">
        <v>55</v>
      </c>
      <c r="G6254" s="24">
        <v>146.0</v>
      </c>
      <c r="H6254" s="24">
        <v>126.0</v>
      </c>
      <c r="I6254" s="24">
        <v>110.0</v>
      </c>
      <c r="J6254" s="24">
        <v>0.0</v>
      </c>
      <c r="K6254" s="23" t="s">
        <v>34</v>
      </c>
      <c r="L6254" s="25">
        <v>40473.47719907407</v>
      </c>
      <c r="M6254" s="26" t="s">
        <v>14094</v>
      </c>
      <c r="N6254" s="26" t="s">
        <v>14095</v>
      </c>
      <c r="O6254" s="22" t="str">
        <f>HYPERLINK("https://pbs.twimg.com/profile_images/1150314801/Black2_normal.png","View")</f>
        <v>View</v>
      </c>
      <c r="P6254" s="27"/>
    </row>
    <row r="6255">
      <c r="A6255" s="14">
        <v>43031.415347222224</v>
      </c>
      <c r="B6255" s="20" t="str">
        <f>HYPERLINK("https://twitter.com/EricPattonPsi","@EricPattonPsi")</f>
        <v>@EricPattonPsi</v>
      </c>
      <c r="C6255" s="21" t="s">
        <v>14096</v>
      </c>
      <c r="D6255" s="21" t="s">
        <v>105</v>
      </c>
      <c r="E6255" s="22" t="str">
        <f>HYPERLINK("https://twitter.com/EricPattonPsi/status/922507434832384000","922507434832384000")</f>
        <v>922507434832384000</v>
      </c>
      <c r="F6255" s="23" t="s">
        <v>55</v>
      </c>
      <c r="G6255" s="24">
        <v>4733.0</v>
      </c>
      <c r="H6255" s="24">
        <v>180.0</v>
      </c>
      <c r="I6255" s="24">
        <v>69.0</v>
      </c>
      <c r="J6255" s="24">
        <v>0.0</v>
      </c>
      <c r="K6255" s="23" t="s">
        <v>34</v>
      </c>
      <c r="L6255" s="25">
        <v>40434.27519675926</v>
      </c>
      <c r="M6255" s="26" t="s">
        <v>14097</v>
      </c>
      <c r="N6255" s="26" t="s">
        <v>14098</v>
      </c>
      <c r="O6255" s="22" t="str">
        <f>HYPERLINK("https://pbs.twimg.com/profile_images/887047138428977153/-NSLJTNH_normal.jpg","View")</f>
        <v>View</v>
      </c>
      <c r="P6255" s="27"/>
    </row>
    <row r="6256">
      <c r="A6256" s="14">
        <v>43031.415347222224</v>
      </c>
      <c r="B6256" s="20" t="str">
        <f>HYPERLINK("https://twitter.com/harish_purohit","@harish_purohit")</f>
        <v>@harish_purohit</v>
      </c>
      <c r="C6256" s="21" t="s">
        <v>9751</v>
      </c>
      <c r="D6256" s="21" t="s">
        <v>14087</v>
      </c>
      <c r="E6256" s="22" t="str">
        <f>HYPERLINK("https://twitter.com/harish_purohit/status/922507435012603904","922507435012603904")</f>
        <v>922507435012603904</v>
      </c>
      <c r="F6256" s="23" t="s">
        <v>33</v>
      </c>
      <c r="G6256" s="24">
        <v>18672.0</v>
      </c>
      <c r="H6256" s="24">
        <v>5873.0</v>
      </c>
      <c r="I6256" s="24">
        <v>5.0</v>
      </c>
      <c r="J6256" s="24">
        <v>0.0</v>
      </c>
      <c r="K6256" s="23" t="s">
        <v>34</v>
      </c>
      <c r="L6256" s="25">
        <v>40272.51099537037</v>
      </c>
      <c r="M6256" s="28"/>
      <c r="N6256" s="26" t="s">
        <v>9752</v>
      </c>
      <c r="O6256" s="22" t="str">
        <f>HYPERLINK("https://pbs.twimg.com/profile_images/832158664786006017/TUQsb_jf_normal.jpg","View")</f>
        <v>View</v>
      </c>
      <c r="P6256" s="27"/>
    </row>
    <row r="6257">
      <c r="A6257" s="14">
        <v>43031.41538194445</v>
      </c>
      <c r="B6257" s="20" t="str">
        <f>HYPERLINK("https://twitter.com/Aravind17469152","@Aravind17469152")</f>
        <v>@Aravind17469152</v>
      </c>
      <c r="C6257" s="21" t="s">
        <v>14099</v>
      </c>
      <c r="D6257" s="21" t="s">
        <v>42</v>
      </c>
      <c r="E6257" s="22" t="str">
        <f>HYPERLINK("https://twitter.com/Aravind17469152/status/922507446110773248","922507446110773248")</f>
        <v>922507446110773248</v>
      </c>
      <c r="F6257" s="23" t="s">
        <v>33</v>
      </c>
      <c r="G6257" s="24">
        <v>0.0</v>
      </c>
      <c r="H6257" s="24">
        <v>11.0</v>
      </c>
      <c r="I6257" s="24">
        <v>8501.0</v>
      </c>
      <c r="J6257" s="24">
        <v>0.0</v>
      </c>
      <c r="K6257" s="23" t="s">
        <v>34</v>
      </c>
      <c r="L6257" s="25">
        <v>42919.92922453704</v>
      </c>
      <c r="M6257" s="28"/>
      <c r="N6257" s="28"/>
      <c r="O6257" s="22" t="str">
        <f>HYPERLINK("https://abs.twimg.com/sticky/default_profile_images/default_profile_normal.png","View")</f>
        <v>View</v>
      </c>
      <c r="P6257" s="27"/>
    </row>
    <row r="6258">
      <c r="A6258" s="14">
        <v>43031.41539351852</v>
      </c>
      <c r="B6258" s="20" t="str">
        <f>HYPERLINK("https://twitter.com/ShivSinghRanaw2","@ShivSinghRanaw2")</f>
        <v>@ShivSinghRanaw2</v>
      </c>
      <c r="C6258" s="21" t="s">
        <v>14100</v>
      </c>
      <c r="D6258" s="21" t="s">
        <v>42</v>
      </c>
      <c r="E6258" s="22" t="str">
        <f>HYPERLINK("https://twitter.com/ShivSinghRanaw2/status/922507452171431936","922507452171431936")</f>
        <v>922507452171431936</v>
      </c>
      <c r="F6258" s="23" t="s">
        <v>33</v>
      </c>
      <c r="G6258" s="24">
        <v>91.0</v>
      </c>
      <c r="H6258" s="24">
        <v>60.0</v>
      </c>
      <c r="I6258" s="24">
        <v>8501.0</v>
      </c>
      <c r="J6258" s="24">
        <v>0.0</v>
      </c>
      <c r="K6258" s="23" t="s">
        <v>34</v>
      </c>
      <c r="L6258" s="25">
        <v>42677.0243287037</v>
      </c>
      <c r="M6258" s="26" t="s">
        <v>2189</v>
      </c>
      <c r="N6258" s="26" t="s">
        <v>14101</v>
      </c>
      <c r="O6258" s="22" t="str">
        <f>HYPERLINK("https://pbs.twimg.com/profile_images/892769534335234049/vc3NfRBt_normal.jpg","View")</f>
        <v>View</v>
      </c>
      <c r="P6258" s="27"/>
    </row>
    <row r="6259">
      <c r="A6259" s="14">
        <v>43031.415497685186</v>
      </c>
      <c r="B6259" s="20" t="str">
        <f>HYPERLINK("https://twitter.com/iityogendra","@iityogendra")</f>
        <v>@iityogendra</v>
      </c>
      <c r="C6259" s="21" t="s">
        <v>14102</v>
      </c>
      <c r="D6259" s="21" t="s">
        <v>42</v>
      </c>
      <c r="E6259" s="22" t="str">
        <f>HYPERLINK("https://twitter.com/iityogendra/status/922507490805260288","922507490805260288")</f>
        <v>922507490805260288</v>
      </c>
      <c r="F6259" s="23" t="s">
        <v>39</v>
      </c>
      <c r="G6259" s="24">
        <v>90.0</v>
      </c>
      <c r="H6259" s="24">
        <v>1081.0</v>
      </c>
      <c r="I6259" s="24">
        <v>8501.0</v>
      </c>
      <c r="J6259" s="24">
        <v>0.0</v>
      </c>
      <c r="K6259" s="23" t="s">
        <v>34</v>
      </c>
      <c r="L6259" s="25">
        <v>41686.09042824074</v>
      </c>
      <c r="M6259" s="26" t="s">
        <v>1162</v>
      </c>
      <c r="N6259" s="26" t="s">
        <v>14103</v>
      </c>
      <c r="O6259" s="22" t="str">
        <f>HYPERLINK("https://pbs.twimg.com/profile_images/887112977907933184/aY1C1jph_normal.jpg","View")</f>
        <v>View</v>
      </c>
      <c r="P6259" s="27"/>
    </row>
    <row r="6260">
      <c r="A6260" s="14">
        <v>43031.41552083333</v>
      </c>
      <c r="B6260" s="20" t="str">
        <f>HYPERLINK("https://twitter.com/olemunyake","@olemunyake")</f>
        <v>@olemunyake</v>
      </c>
      <c r="C6260" s="21" t="s">
        <v>14104</v>
      </c>
      <c r="D6260" s="21" t="s">
        <v>32</v>
      </c>
      <c r="E6260" s="22" t="str">
        <f>HYPERLINK("https://twitter.com/olemunyake/status/922507495956008960","922507495956008960")</f>
        <v>922507495956008960</v>
      </c>
      <c r="F6260" s="23" t="s">
        <v>33</v>
      </c>
      <c r="G6260" s="24">
        <v>238.0</v>
      </c>
      <c r="H6260" s="24">
        <v>453.0</v>
      </c>
      <c r="I6260" s="24">
        <v>471.0</v>
      </c>
      <c r="J6260" s="24">
        <v>0.0</v>
      </c>
      <c r="K6260" s="23" t="s">
        <v>34</v>
      </c>
      <c r="L6260" s="25">
        <v>42481.896782407406</v>
      </c>
      <c r="M6260" s="26" t="s">
        <v>14105</v>
      </c>
      <c r="N6260" s="26" t="s">
        <v>14106</v>
      </c>
      <c r="O6260" s="22" t="str">
        <f>HYPERLINK("https://pbs.twimg.com/profile_images/848263739593895936/0cvxIMMu_normal.jpg","View")</f>
        <v>View</v>
      </c>
      <c r="P6260" s="27"/>
    </row>
    <row r="6261">
      <c r="A6261" s="14">
        <v>43031.41563657408</v>
      </c>
      <c r="B6261" s="20" t="str">
        <f>HYPERLINK("https://twitter.com/121sonu","@121sonu")</f>
        <v>@121sonu</v>
      </c>
      <c r="C6261" s="21" t="s">
        <v>14107</v>
      </c>
      <c r="D6261" s="21" t="s">
        <v>42</v>
      </c>
      <c r="E6261" s="22" t="str">
        <f>HYPERLINK("https://twitter.com/121sonu/status/922507539429724162","922507539429724162")</f>
        <v>922507539429724162</v>
      </c>
      <c r="F6261" s="23" t="s">
        <v>39</v>
      </c>
      <c r="G6261" s="24">
        <v>88.0</v>
      </c>
      <c r="H6261" s="24">
        <v>136.0</v>
      </c>
      <c r="I6261" s="24">
        <v>8501.0</v>
      </c>
      <c r="J6261" s="24">
        <v>0.0</v>
      </c>
      <c r="K6261" s="23" t="s">
        <v>34</v>
      </c>
      <c r="L6261" s="25">
        <v>40135.787997685184</v>
      </c>
      <c r="M6261" s="26" t="s">
        <v>14108</v>
      </c>
      <c r="N6261" s="26" t="s">
        <v>14109</v>
      </c>
      <c r="O6261" s="22" t="str">
        <f>HYPERLINK("https://pbs.twimg.com/profile_images/828690695351332865/YfvLA8UB_normal.jpg","View")</f>
        <v>View</v>
      </c>
      <c r="P6261" s="27"/>
    </row>
    <row r="6262">
      <c r="A6262" s="14">
        <v>43031.41564814815</v>
      </c>
      <c r="B6262" s="20" t="str">
        <f>HYPERLINK("https://twitter.com/vibgyor_PK","@vibgyor_PK")</f>
        <v>@vibgyor_PK</v>
      </c>
      <c r="C6262" s="21" t="s">
        <v>14110</v>
      </c>
      <c r="D6262" s="21" t="s">
        <v>42</v>
      </c>
      <c r="E6262" s="22" t="str">
        <f>HYPERLINK("https://twitter.com/vibgyor_PK/status/922507543271825409","922507543271825409")</f>
        <v>922507543271825409</v>
      </c>
      <c r="F6262" s="23" t="s">
        <v>33</v>
      </c>
      <c r="G6262" s="24">
        <v>451.0</v>
      </c>
      <c r="H6262" s="24">
        <v>1000.0</v>
      </c>
      <c r="I6262" s="24">
        <v>8501.0</v>
      </c>
      <c r="J6262" s="24">
        <v>0.0</v>
      </c>
      <c r="K6262" s="23" t="s">
        <v>34</v>
      </c>
      <c r="L6262" s="25">
        <v>40700.36278935185</v>
      </c>
      <c r="M6262" s="26" t="s">
        <v>164</v>
      </c>
      <c r="N6262" s="26" t="s">
        <v>14111</v>
      </c>
      <c r="O6262" s="22" t="str">
        <f>HYPERLINK("https://pbs.twimg.com/profile_images/630304626483433473/SyxEjnjM_normal.jpg","View")</f>
        <v>View</v>
      </c>
      <c r="P6262" s="27"/>
    </row>
    <row r="6263">
      <c r="A6263" s="14">
        <v>43031.41576388889</v>
      </c>
      <c r="B6263" s="20" t="str">
        <f>HYPERLINK("https://twitter.com/FXProPrincess","@FXProPrincess")</f>
        <v>@FXProPrincess</v>
      </c>
      <c r="C6263" s="21" t="s">
        <v>14112</v>
      </c>
      <c r="D6263" s="21" t="s">
        <v>13791</v>
      </c>
      <c r="E6263" s="22" t="str">
        <f>HYPERLINK("https://twitter.com/FXProPrincess/status/922507586145894400","922507586145894400")</f>
        <v>922507586145894400</v>
      </c>
      <c r="F6263" s="23" t="s">
        <v>55</v>
      </c>
      <c r="G6263" s="24">
        <v>8.0</v>
      </c>
      <c r="H6263" s="24">
        <v>5.0</v>
      </c>
      <c r="I6263" s="24">
        <v>10.0</v>
      </c>
      <c r="J6263" s="24">
        <v>0.0</v>
      </c>
      <c r="K6263" s="23" t="s">
        <v>34</v>
      </c>
      <c r="L6263" s="25">
        <v>40934.813310185185</v>
      </c>
      <c r="M6263" s="28"/>
      <c r="N6263" s="28"/>
      <c r="O6263" s="22" t="str">
        <f>HYPERLINK("https://abs.twimg.com/sticky/default_profile_images/default_profile_normal.png","View")</f>
        <v>View</v>
      </c>
      <c r="P6263" s="27"/>
    </row>
    <row r="6264">
      <c r="A6264" s="14">
        <v>43031.41578703704</v>
      </c>
      <c r="B6264" s="20" t="str">
        <f>HYPERLINK("https://twitter.com/Kaveio1","@Kaveio1")</f>
        <v>@Kaveio1</v>
      </c>
      <c r="C6264" s="21" t="s">
        <v>14113</v>
      </c>
      <c r="D6264" s="21" t="s">
        <v>14066</v>
      </c>
      <c r="E6264" s="22" t="str">
        <f>HYPERLINK("https://twitter.com/Kaveio1/status/922507594819874817","922507594819874817")</f>
        <v>922507594819874817</v>
      </c>
      <c r="F6264" s="23" t="s">
        <v>43</v>
      </c>
      <c r="G6264" s="24">
        <v>926.0</v>
      </c>
      <c r="H6264" s="24">
        <v>1167.0</v>
      </c>
      <c r="I6264" s="24">
        <v>3.0</v>
      </c>
      <c r="J6264" s="24">
        <v>0.0</v>
      </c>
      <c r="K6264" s="23" t="s">
        <v>34</v>
      </c>
      <c r="L6264" s="25">
        <v>41260.175162037034</v>
      </c>
      <c r="M6264" s="26" t="s">
        <v>14114</v>
      </c>
      <c r="N6264" s="26" t="s">
        <v>14115</v>
      </c>
      <c r="O6264" s="22" t="str">
        <f>HYPERLINK("https://pbs.twimg.com/profile_images/678273302058659840/y18kdFNi_normal.jpg","View")</f>
        <v>View</v>
      </c>
      <c r="P6264" s="27"/>
    </row>
    <row r="6265">
      <c r="A6265" s="14">
        <v>43031.41578703704</v>
      </c>
      <c r="B6265" s="20" t="str">
        <f>HYPERLINK("https://twitter.com/raajkrsingh1000","@raajkrsingh1000")</f>
        <v>@raajkrsingh1000</v>
      </c>
      <c r="C6265" s="21" t="s">
        <v>14116</v>
      </c>
      <c r="D6265" s="21" t="s">
        <v>42</v>
      </c>
      <c r="E6265" s="22" t="str">
        <f>HYPERLINK("https://twitter.com/raajkrsingh1000/status/922507596157693952","922507596157693952")</f>
        <v>922507596157693952</v>
      </c>
      <c r="F6265" s="23" t="s">
        <v>33</v>
      </c>
      <c r="G6265" s="24">
        <v>4.0</v>
      </c>
      <c r="H6265" s="24">
        <v>64.0</v>
      </c>
      <c r="I6265" s="24">
        <v>8501.0</v>
      </c>
      <c r="J6265" s="24">
        <v>0.0</v>
      </c>
      <c r="K6265" s="23" t="s">
        <v>34</v>
      </c>
      <c r="L6265" s="25">
        <v>42624.45869212963</v>
      </c>
      <c r="M6265" s="26" t="s">
        <v>14117</v>
      </c>
      <c r="N6265" s="28"/>
      <c r="O6265" s="22" t="str">
        <f>HYPERLINK("https://pbs.twimg.com/profile_images/905489715725344768/DDkgIq5w_normal.jpg","View")</f>
        <v>View</v>
      </c>
      <c r="P6265" s="27"/>
    </row>
    <row r="6266">
      <c r="A6266" s="14">
        <v>43031.415810185186</v>
      </c>
      <c r="B6266" s="20" t="str">
        <f>HYPERLINK("https://twitter.com/FXProPrincess","@FXProPrincess")</f>
        <v>@FXProPrincess</v>
      </c>
      <c r="C6266" s="21" t="s">
        <v>14112</v>
      </c>
      <c r="D6266" s="21" t="s">
        <v>13801</v>
      </c>
      <c r="E6266" s="22" t="str">
        <f>HYPERLINK("https://twitter.com/FXProPrincess/status/922507603027955712","922507603027955712")</f>
        <v>922507603027955712</v>
      </c>
      <c r="F6266" s="23" t="s">
        <v>55</v>
      </c>
      <c r="G6266" s="24">
        <v>8.0</v>
      </c>
      <c r="H6266" s="24">
        <v>5.0</v>
      </c>
      <c r="I6266" s="24">
        <v>10.0</v>
      </c>
      <c r="J6266" s="24">
        <v>0.0</v>
      </c>
      <c r="K6266" s="23" t="s">
        <v>34</v>
      </c>
      <c r="L6266" s="25">
        <v>40934.813310185185</v>
      </c>
      <c r="M6266" s="28"/>
      <c r="N6266" s="28"/>
      <c r="O6266" s="22" t="str">
        <f>HYPERLINK("https://abs.twimg.com/sticky/default_profile_images/default_profile_normal.png","View")</f>
        <v>View</v>
      </c>
      <c r="P6266" s="27"/>
    </row>
    <row r="6267">
      <c r="A6267" s="14">
        <v>43031.41582175926</v>
      </c>
      <c r="B6267" s="20" t="str">
        <f>HYPERLINK("https://twitter.com/RtKing09","@RtKing09")</f>
        <v>@RtKing09</v>
      </c>
      <c r="C6267" s="21" t="s">
        <v>14049</v>
      </c>
      <c r="D6267" s="21" t="s">
        <v>4507</v>
      </c>
      <c r="E6267" s="22" t="str">
        <f>HYPERLINK("https://twitter.com/RtKing09/status/922507605498478593","922507605498478593")</f>
        <v>922507605498478593</v>
      </c>
      <c r="F6267" s="23" t="s">
        <v>33</v>
      </c>
      <c r="G6267" s="24">
        <v>222.0</v>
      </c>
      <c r="H6267" s="24">
        <v>11.0</v>
      </c>
      <c r="I6267" s="24">
        <v>139.0</v>
      </c>
      <c r="J6267" s="24">
        <v>0.0</v>
      </c>
      <c r="K6267" s="23" t="s">
        <v>34</v>
      </c>
      <c r="L6267" s="25">
        <v>41686.16092592593</v>
      </c>
      <c r="M6267" s="28"/>
      <c r="N6267" s="26" t="s">
        <v>14050</v>
      </c>
      <c r="O6267" s="22" t="str">
        <f>HYPERLINK("https://pbs.twimg.com/profile_images/863346451434409985/PG-_e6oU_normal.jpg","View")</f>
        <v>View</v>
      </c>
      <c r="P6267" s="27"/>
    </row>
    <row r="6268">
      <c r="A6268" s="14">
        <v>43031.415856481486</v>
      </c>
      <c r="B6268" s="20" t="str">
        <f>HYPERLINK("https://twitter.com/FXProPrincess","@FXProPrincess")</f>
        <v>@FXProPrincess</v>
      </c>
      <c r="C6268" s="21" t="s">
        <v>14112</v>
      </c>
      <c r="D6268" s="21" t="s">
        <v>13802</v>
      </c>
      <c r="E6268" s="22" t="str">
        <f>HYPERLINK("https://twitter.com/FXProPrincess/status/922507621269041153","922507621269041153")</f>
        <v>922507621269041153</v>
      </c>
      <c r="F6268" s="23" t="s">
        <v>55</v>
      </c>
      <c r="G6268" s="24">
        <v>8.0</v>
      </c>
      <c r="H6268" s="24">
        <v>5.0</v>
      </c>
      <c r="I6268" s="24">
        <v>12.0</v>
      </c>
      <c r="J6268" s="24">
        <v>0.0</v>
      </c>
      <c r="K6268" s="23" t="s">
        <v>34</v>
      </c>
      <c r="L6268" s="25">
        <v>40934.813310185185</v>
      </c>
      <c r="M6268" s="28"/>
      <c r="N6268" s="28"/>
      <c r="O6268" s="22" t="str">
        <f>HYPERLINK("https://abs.twimg.com/sticky/default_profile_images/default_profile_normal.png","View")</f>
        <v>View</v>
      </c>
      <c r="P6268" s="27"/>
    </row>
    <row r="6269">
      <c r="A6269" s="14">
        <v>43031.41599537037</v>
      </c>
      <c r="B6269" s="20" t="str">
        <f>HYPERLINK("https://twitter.com/kkshukla1953","@kkshukla1953")</f>
        <v>@kkshukla1953</v>
      </c>
      <c r="C6269" s="21" t="s">
        <v>14118</v>
      </c>
      <c r="D6269" s="21" t="s">
        <v>42</v>
      </c>
      <c r="E6269" s="22" t="str">
        <f>HYPERLINK("https://twitter.com/kkshukla1953/status/922507669805572096","922507669805572096")</f>
        <v>922507669805572096</v>
      </c>
      <c r="F6269" s="23" t="s">
        <v>33</v>
      </c>
      <c r="G6269" s="24">
        <v>14.0</v>
      </c>
      <c r="H6269" s="24">
        <v>213.0</v>
      </c>
      <c r="I6269" s="24">
        <v>8501.0</v>
      </c>
      <c r="J6269" s="24">
        <v>0.0</v>
      </c>
      <c r="K6269" s="23" t="s">
        <v>34</v>
      </c>
      <c r="L6269" s="25">
        <v>41801.83395833333</v>
      </c>
      <c r="M6269" s="26" t="s">
        <v>14119</v>
      </c>
      <c r="N6269" s="26" t="s">
        <v>14120</v>
      </c>
      <c r="O6269" s="22" t="str">
        <f>HYPERLINK("https://pbs.twimg.com/profile_images/493613501353455616/UCJD_O66_normal.jpeg","View")</f>
        <v>View</v>
      </c>
      <c r="P6269" s="27"/>
    </row>
    <row r="6270">
      <c r="A6270" s="14">
        <v>43031.41601851852</v>
      </c>
      <c r="B6270" s="20" t="str">
        <f>HYPERLINK("https://twitter.com/CVikrantTweets","@CVikrantTweets")</f>
        <v>@CVikrantTweets</v>
      </c>
      <c r="C6270" s="21" t="s">
        <v>14121</v>
      </c>
      <c r="D6270" s="21" t="s">
        <v>42</v>
      </c>
      <c r="E6270" s="22" t="str">
        <f>HYPERLINK("https://twitter.com/CVikrantTweets/status/922507676793192448","922507676793192448")</f>
        <v>922507676793192448</v>
      </c>
      <c r="F6270" s="23" t="s">
        <v>39</v>
      </c>
      <c r="G6270" s="24">
        <v>10.0</v>
      </c>
      <c r="H6270" s="24">
        <v>93.0</v>
      </c>
      <c r="I6270" s="24">
        <v>8501.0</v>
      </c>
      <c r="J6270" s="24">
        <v>0.0</v>
      </c>
      <c r="K6270" s="23" t="s">
        <v>34</v>
      </c>
      <c r="L6270" s="25">
        <v>41660.053518518514</v>
      </c>
      <c r="M6270" s="28"/>
      <c r="N6270" s="26" t="s">
        <v>14122</v>
      </c>
      <c r="O6270" s="22" t="str">
        <f t="shared" ref="O6270:O6271" si="106">HYPERLINK("https://abs.twimg.com/sticky/default_profile_images/default_profile_normal.png","View")</f>
        <v>View</v>
      </c>
      <c r="P6270" s="27"/>
    </row>
    <row r="6271">
      <c r="A6271" s="14">
        <v>43031.416076388894</v>
      </c>
      <c r="B6271" s="20" t="str">
        <f>HYPERLINK("https://twitter.com/FXProPrincess","@FXProPrincess")</f>
        <v>@FXProPrincess</v>
      </c>
      <c r="C6271" s="21" t="s">
        <v>14112</v>
      </c>
      <c r="D6271" s="21" t="s">
        <v>13808</v>
      </c>
      <c r="E6271" s="22" t="str">
        <f>HYPERLINK("https://twitter.com/FXProPrincess/status/922507697102008320","922507697102008320")</f>
        <v>922507697102008320</v>
      </c>
      <c r="F6271" s="23" t="s">
        <v>55</v>
      </c>
      <c r="G6271" s="24">
        <v>8.0</v>
      </c>
      <c r="H6271" s="24">
        <v>5.0</v>
      </c>
      <c r="I6271" s="24">
        <v>11.0</v>
      </c>
      <c r="J6271" s="24">
        <v>0.0</v>
      </c>
      <c r="K6271" s="23" t="s">
        <v>34</v>
      </c>
      <c r="L6271" s="25">
        <v>40934.813310185185</v>
      </c>
      <c r="M6271" s="28"/>
      <c r="N6271" s="28"/>
      <c r="O6271" s="22" t="str">
        <f t="shared" si="106"/>
        <v>View</v>
      </c>
      <c r="P6271" s="27"/>
    </row>
    <row r="6272">
      <c r="A6272" s="14">
        <v>43031.41608796296</v>
      </c>
      <c r="B6272" s="20" t="str">
        <f>HYPERLINK("https://twitter.com/why_love35","@why_love35")</f>
        <v>@why_love35</v>
      </c>
      <c r="C6272" s="21" t="s">
        <v>14123</v>
      </c>
      <c r="D6272" s="21" t="s">
        <v>42</v>
      </c>
      <c r="E6272" s="22" t="str">
        <f>HYPERLINK("https://twitter.com/why_love35/status/922507704140046336","922507704140046336")</f>
        <v>922507704140046336</v>
      </c>
      <c r="F6272" s="23" t="s">
        <v>33</v>
      </c>
      <c r="G6272" s="24">
        <v>17.0</v>
      </c>
      <c r="H6272" s="24">
        <v>22.0</v>
      </c>
      <c r="I6272" s="24">
        <v>8501.0</v>
      </c>
      <c r="J6272" s="24">
        <v>0.0</v>
      </c>
      <c r="K6272" s="23" t="s">
        <v>34</v>
      </c>
      <c r="L6272" s="25">
        <v>42066.94461805555</v>
      </c>
      <c r="M6272" s="26" t="s">
        <v>204</v>
      </c>
      <c r="N6272" s="26" t="s">
        <v>14124</v>
      </c>
      <c r="O6272" s="22" t="str">
        <f>HYPERLINK("https://pbs.twimg.com/profile_images/920253151768219648/wxqHcgNb_normal.jpg","View")</f>
        <v>View</v>
      </c>
      <c r="P6272" s="27"/>
    </row>
    <row r="6273">
      <c r="A6273" s="14">
        <v>43031.41614583333</v>
      </c>
      <c r="B6273" s="20" t="str">
        <f>HYPERLINK("https://twitter.com/francmolica","@francmolica")</f>
        <v>@francmolica</v>
      </c>
      <c r="C6273" s="21" t="s">
        <v>14125</v>
      </c>
      <c r="D6273" s="21" t="s">
        <v>14126</v>
      </c>
      <c r="E6273" s="22" t="str">
        <f>HYPERLINK("https://twitter.com/francmolica/status/922507722985213956","922507722985213956")</f>
        <v>922507722985213956</v>
      </c>
      <c r="F6273" s="23" t="s">
        <v>33</v>
      </c>
      <c r="G6273" s="24">
        <v>27288.0</v>
      </c>
      <c r="H6273" s="24">
        <v>21103.0</v>
      </c>
      <c r="I6273" s="24">
        <v>2.0</v>
      </c>
      <c r="J6273" s="24">
        <v>0.0</v>
      </c>
      <c r="K6273" s="23" t="s">
        <v>34</v>
      </c>
      <c r="L6273" s="25">
        <v>42243.27211805555</v>
      </c>
      <c r="M6273" s="26" t="s">
        <v>14127</v>
      </c>
      <c r="N6273" s="26" t="s">
        <v>14128</v>
      </c>
      <c r="O6273" s="22" t="str">
        <f>HYPERLINK("https://pbs.twimg.com/profile_images/917902016298483712/HTzhHZCY_normal.jpg","View")</f>
        <v>View</v>
      </c>
      <c r="P6273" s="27"/>
    </row>
    <row r="6274">
      <c r="A6274" s="14">
        <v>43031.41627314815</v>
      </c>
      <c r="B6274" s="20" t="str">
        <f>HYPERLINK("https://twitter.com/CouponsDeals_","@CouponsDeals_")</f>
        <v>@CouponsDeals_</v>
      </c>
      <c r="C6274" s="21" t="s">
        <v>14129</v>
      </c>
      <c r="D6274" s="21" t="s">
        <v>14130</v>
      </c>
      <c r="E6274" s="22" t="str">
        <f>HYPERLINK("https://twitter.com/CouponsDeals_/status/922507769621766144","922507769621766144")</f>
        <v>922507769621766144</v>
      </c>
      <c r="F6274" s="23" t="s">
        <v>91</v>
      </c>
      <c r="G6274" s="24">
        <v>1005.0</v>
      </c>
      <c r="H6274" s="24">
        <v>1316.0</v>
      </c>
      <c r="I6274" s="24">
        <v>0.0</v>
      </c>
      <c r="J6274" s="24">
        <v>0.0</v>
      </c>
      <c r="K6274" s="23" t="s">
        <v>34</v>
      </c>
      <c r="L6274" s="25">
        <v>40864.254212962966</v>
      </c>
      <c r="M6274" s="28"/>
      <c r="N6274" s="28"/>
      <c r="O6274" s="22" t="str">
        <f>HYPERLINK("https://pbs.twimg.com/profile_images/1646301554/plannerws_normal.jpg","View")</f>
        <v>View</v>
      </c>
      <c r="P6274" s="27"/>
    </row>
    <row r="6275">
      <c r="A6275" s="14">
        <v>43031.416296296295</v>
      </c>
      <c r="B6275" s="20" t="str">
        <f>HYPERLINK("https://twitter.com/vkjajoria","@vkjajoria")</f>
        <v>@vkjajoria</v>
      </c>
      <c r="C6275" s="21" t="s">
        <v>14131</v>
      </c>
      <c r="D6275" s="21" t="s">
        <v>42</v>
      </c>
      <c r="E6275" s="22" t="str">
        <f>HYPERLINK("https://twitter.com/vkjajoria/status/922507778077454337","922507778077454337")</f>
        <v>922507778077454337</v>
      </c>
      <c r="F6275" s="23" t="s">
        <v>43</v>
      </c>
      <c r="G6275" s="24">
        <v>1036.0</v>
      </c>
      <c r="H6275" s="24">
        <v>723.0</v>
      </c>
      <c r="I6275" s="24">
        <v>8501.0</v>
      </c>
      <c r="J6275" s="24">
        <v>0.0</v>
      </c>
      <c r="K6275" s="23" t="s">
        <v>34</v>
      </c>
      <c r="L6275" s="25">
        <v>40096.291597222225</v>
      </c>
      <c r="M6275" s="26" t="s">
        <v>204</v>
      </c>
      <c r="N6275" s="26" t="s">
        <v>14132</v>
      </c>
      <c r="O6275" s="22" t="str">
        <f>HYPERLINK("https://pbs.twimg.com/profile_images/853046025774219264/jv5NIY9X_normal.jpg","View")</f>
        <v>View</v>
      </c>
      <c r="P6275" s="27"/>
    </row>
    <row r="6276">
      <c r="A6276" s="14">
        <v>43031.41644675926</v>
      </c>
      <c r="B6276" s="20" t="str">
        <f>HYPERLINK("https://twitter.com/CCCF_FCSGE","@CCCF_FCSGE")</f>
        <v>@CCCF_FCSGE</v>
      </c>
      <c r="C6276" s="21" t="s">
        <v>14133</v>
      </c>
      <c r="D6276" s="21" t="s">
        <v>14134</v>
      </c>
      <c r="E6276" s="22" t="str">
        <f>HYPERLINK("https://twitter.com/CCCF_FCSGE/status/922507835136790528","922507835136790528")</f>
        <v>922507835136790528</v>
      </c>
      <c r="F6276" s="23" t="s">
        <v>55</v>
      </c>
      <c r="G6276" s="24">
        <v>1931.0</v>
      </c>
      <c r="H6276" s="24">
        <v>379.0</v>
      </c>
      <c r="I6276" s="24">
        <v>1.0</v>
      </c>
      <c r="J6276" s="24">
        <v>0.0</v>
      </c>
      <c r="K6276" s="23" t="s">
        <v>34</v>
      </c>
      <c r="L6276" s="25">
        <v>40952.5291087963</v>
      </c>
      <c r="M6276" s="26" t="s">
        <v>920</v>
      </c>
      <c r="N6276" s="26" t="s">
        <v>14135</v>
      </c>
      <c r="O6276" s="22" t="str">
        <f>HYPERLINK("https://pbs.twimg.com/profile_images/805810777642962944/Kxje4Yjn_normal.jpg","View")</f>
        <v>View</v>
      </c>
      <c r="P6276" s="27"/>
    </row>
    <row r="6277">
      <c r="A6277" s="14">
        <v>43031.41653935185</v>
      </c>
      <c r="B6277" s="20" t="str">
        <f>HYPERLINK("https://twitter.com/Dharmesh8690","@Dharmesh8690")</f>
        <v>@Dharmesh8690</v>
      </c>
      <c r="C6277" s="21">
        <v>9.601269881E9</v>
      </c>
      <c r="D6277" s="21" t="s">
        <v>4949</v>
      </c>
      <c r="E6277" s="22" t="str">
        <f>HYPERLINK("https://twitter.com/Dharmesh8690/status/922507866161913856","922507866161913856")</f>
        <v>922507866161913856</v>
      </c>
      <c r="F6277" s="23" t="s">
        <v>33</v>
      </c>
      <c r="G6277" s="24">
        <v>93.0</v>
      </c>
      <c r="H6277" s="24">
        <v>89.0</v>
      </c>
      <c r="I6277" s="24">
        <v>6.0</v>
      </c>
      <c r="J6277" s="24">
        <v>0.0</v>
      </c>
      <c r="K6277" s="23" t="s">
        <v>34</v>
      </c>
      <c r="L6277" s="25">
        <v>42878.143483796295</v>
      </c>
      <c r="M6277" s="28"/>
      <c r="N6277" s="28"/>
      <c r="O6277" s="22" t="str">
        <f>HYPERLINK("https://abs.twimg.com/sticky/default_profile_images/default_profile_normal.png","View")</f>
        <v>View</v>
      </c>
      <c r="P6277" s="27"/>
    </row>
    <row r="6278">
      <c r="A6278" s="14">
        <v>43031.41667824074</v>
      </c>
      <c r="B6278" s="20" t="str">
        <f>HYPERLINK("https://twitter.com/AsCorrespondent","@AsCorrespondent")</f>
        <v>@AsCorrespondent</v>
      </c>
      <c r="C6278" s="21" t="s">
        <v>5563</v>
      </c>
      <c r="D6278" s="21" t="s">
        <v>14136</v>
      </c>
      <c r="E6278" s="22" t="str">
        <f>HYPERLINK("https://twitter.com/AsCorrespondent/status/922507916078473216","922507916078473216")</f>
        <v>922507916078473216</v>
      </c>
      <c r="F6278" s="23" t="s">
        <v>769</v>
      </c>
      <c r="G6278" s="24">
        <v>62903.0</v>
      </c>
      <c r="H6278" s="24">
        <v>3895.0</v>
      </c>
      <c r="I6278" s="24">
        <v>0.0</v>
      </c>
      <c r="J6278" s="24">
        <v>1.0</v>
      </c>
      <c r="K6278" s="23" t="s">
        <v>34</v>
      </c>
      <c r="L6278" s="25">
        <v>40104.37483796296</v>
      </c>
      <c r="M6278" s="26" t="s">
        <v>5565</v>
      </c>
      <c r="N6278" s="26" t="s">
        <v>5566</v>
      </c>
      <c r="O6278" s="22" t="str">
        <f>HYPERLINK("https://pbs.twimg.com/profile_images/890461823325032448/sYzh58oB_normal.jpg","View")</f>
        <v>View</v>
      </c>
      <c r="P6278" s="27"/>
    </row>
    <row r="6279">
      <c r="A6279" s="14">
        <v>43031.41674768519</v>
      </c>
      <c r="B6279" s="20" t="str">
        <f t="shared" ref="B6279:B6280" si="107">HYPERLINK("https://twitter.com/FXDivaReal","@FXDivaReal")</f>
        <v>@FXDivaReal</v>
      </c>
      <c r="C6279" s="21" t="s">
        <v>14137</v>
      </c>
      <c r="D6279" s="21" t="s">
        <v>13791</v>
      </c>
      <c r="E6279" s="22" t="str">
        <f>HYPERLINK("https://twitter.com/FXDivaReal/status/922507944373055488","922507944373055488")</f>
        <v>922507944373055488</v>
      </c>
      <c r="F6279" s="23" t="s">
        <v>55</v>
      </c>
      <c r="G6279" s="24">
        <v>17.0</v>
      </c>
      <c r="H6279" s="24">
        <v>11.0</v>
      </c>
      <c r="I6279" s="24">
        <v>10.0</v>
      </c>
      <c r="J6279" s="24">
        <v>0.0</v>
      </c>
      <c r="K6279" s="23" t="s">
        <v>34</v>
      </c>
      <c r="L6279" s="25">
        <v>40934.80666666667</v>
      </c>
      <c r="M6279" s="28"/>
      <c r="N6279" s="28"/>
      <c r="O6279" s="22" t="str">
        <f t="shared" ref="O6279:O6280" si="108">HYPERLINK("https://abs.twimg.com/sticky/default_profile_images/default_profile_normal.png","View")</f>
        <v>View</v>
      </c>
      <c r="P6279" s="27"/>
    </row>
    <row r="6280">
      <c r="A6280" s="14">
        <v>43031.41680555556</v>
      </c>
      <c r="B6280" s="20" t="str">
        <f t="shared" si="107"/>
        <v>@FXDivaReal</v>
      </c>
      <c r="C6280" s="21" t="s">
        <v>14137</v>
      </c>
      <c r="D6280" s="21" t="s">
        <v>13801</v>
      </c>
      <c r="E6280" s="22" t="str">
        <f>HYPERLINK("https://twitter.com/FXDivaReal/status/922507962035216385","922507962035216385")</f>
        <v>922507962035216385</v>
      </c>
      <c r="F6280" s="23" t="s">
        <v>55</v>
      </c>
      <c r="G6280" s="24">
        <v>17.0</v>
      </c>
      <c r="H6280" s="24">
        <v>11.0</v>
      </c>
      <c r="I6280" s="24">
        <v>10.0</v>
      </c>
      <c r="J6280" s="24">
        <v>0.0</v>
      </c>
      <c r="K6280" s="23" t="s">
        <v>34</v>
      </c>
      <c r="L6280" s="25">
        <v>40934.80666666667</v>
      </c>
      <c r="M6280" s="28"/>
      <c r="N6280" s="28"/>
      <c r="O6280" s="22" t="str">
        <f t="shared" si="108"/>
        <v>View</v>
      </c>
      <c r="P6280" s="27"/>
    </row>
    <row r="6281">
      <c r="A6281" s="14">
        <v>43031.4168287037</v>
      </c>
      <c r="B6281" s="20" t="str">
        <f>HYPERLINK("https://twitter.com/webnauta5_9","@webnauta5_9")</f>
        <v>@webnauta5_9</v>
      </c>
      <c r="C6281" s="21" t="s">
        <v>10958</v>
      </c>
      <c r="D6281" s="21" t="s">
        <v>14066</v>
      </c>
      <c r="E6281" s="22" t="str">
        <f>HYPERLINK("https://twitter.com/webnauta5_9/status/922507969979387905","922507969979387905")</f>
        <v>922507969979387905</v>
      </c>
      <c r="F6281" s="23" t="s">
        <v>33</v>
      </c>
      <c r="G6281" s="24">
        <v>3326.0</v>
      </c>
      <c r="H6281" s="24">
        <v>3731.0</v>
      </c>
      <c r="I6281" s="24">
        <v>3.0</v>
      </c>
      <c r="J6281" s="24">
        <v>0.0</v>
      </c>
      <c r="K6281" s="23" t="s">
        <v>34</v>
      </c>
      <c r="L6281" s="25">
        <v>42067.216736111106</v>
      </c>
      <c r="M6281" s="26" t="s">
        <v>5912</v>
      </c>
      <c r="N6281" s="26" t="s">
        <v>10959</v>
      </c>
      <c r="O6281" s="22" t="str">
        <f>HYPERLINK("https://pbs.twimg.com/profile_images/887734771060756480/GdALMDTL_normal.jpg","View")</f>
        <v>View</v>
      </c>
      <c r="P6281" s="27"/>
    </row>
    <row r="6282">
      <c r="A6282" s="14">
        <v>43031.41700231482</v>
      </c>
      <c r="B6282" s="20" t="str">
        <f>HYPERLINK("https://twitter.com/gopalrathi","@gopalrathi")</f>
        <v>@gopalrathi</v>
      </c>
      <c r="C6282" s="21" t="s">
        <v>14138</v>
      </c>
      <c r="D6282" s="21" t="s">
        <v>42</v>
      </c>
      <c r="E6282" s="22" t="str">
        <f>HYPERLINK("https://twitter.com/gopalrathi/status/922508036744216576","922508036744216576")</f>
        <v>922508036744216576</v>
      </c>
      <c r="F6282" s="23" t="s">
        <v>33</v>
      </c>
      <c r="G6282" s="24">
        <v>372.0</v>
      </c>
      <c r="H6282" s="24">
        <v>162.0</v>
      </c>
      <c r="I6282" s="24">
        <v>8501.0</v>
      </c>
      <c r="J6282" s="24">
        <v>0.0</v>
      </c>
      <c r="K6282" s="23" t="s">
        <v>34</v>
      </c>
      <c r="L6282" s="25">
        <v>40243.46047453704</v>
      </c>
      <c r="M6282" s="26" t="s">
        <v>204</v>
      </c>
      <c r="N6282" s="26" t="s">
        <v>14139</v>
      </c>
      <c r="O6282" s="22" t="str">
        <f>HYPERLINK("https://pbs.twimg.com/profile_images/835927039878254592/1W3pr3Zx_normal.jpg","View")</f>
        <v>View</v>
      </c>
      <c r="P6282" s="27"/>
    </row>
    <row r="6283">
      <c r="A6283" s="14">
        <v>43031.41704861111</v>
      </c>
      <c r="B6283" s="20" t="str">
        <f t="shared" ref="B6283:B6284" si="109">HYPERLINK("https://twitter.com/FXDivaReal","@FXDivaReal")</f>
        <v>@FXDivaReal</v>
      </c>
      <c r="C6283" s="21" t="s">
        <v>14137</v>
      </c>
      <c r="D6283" s="21" t="s">
        <v>13802</v>
      </c>
      <c r="E6283" s="22" t="str">
        <f>HYPERLINK("https://twitter.com/FXDivaReal/status/922508051654905856","922508051654905856")</f>
        <v>922508051654905856</v>
      </c>
      <c r="F6283" s="23" t="s">
        <v>55</v>
      </c>
      <c r="G6283" s="24">
        <v>17.0</v>
      </c>
      <c r="H6283" s="24">
        <v>11.0</v>
      </c>
      <c r="I6283" s="24">
        <v>12.0</v>
      </c>
      <c r="J6283" s="24">
        <v>0.0</v>
      </c>
      <c r="K6283" s="23" t="s">
        <v>34</v>
      </c>
      <c r="L6283" s="25">
        <v>40934.80666666667</v>
      </c>
      <c r="M6283" s="28"/>
      <c r="N6283" s="28"/>
      <c r="O6283" s="22" t="str">
        <f t="shared" ref="O6283:O6284" si="110">HYPERLINK("https://abs.twimg.com/sticky/default_profile_images/default_profile_normal.png","View")</f>
        <v>View</v>
      </c>
      <c r="P6283" s="27"/>
    </row>
    <row r="6284">
      <c r="A6284" s="14">
        <v>43031.41710648148</v>
      </c>
      <c r="B6284" s="20" t="str">
        <f t="shared" si="109"/>
        <v>@FXDivaReal</v>
      </c>
      <c r="C6284" s="21" t="s">
        <v>14137</v>
      </c>
      <c r="D6284" s="21" t="s">
        <v>13808</v>
      </c>
      <c r="E6284" s="22" t="str">
        <f>HYPERLINK("https://twitter.com/FXDivaReal/status/922508070843949056","922508070843949056")</f>
        <v>922508070843949056</v>
      </c>
      <c r="F6284" s="23" t="s">
        <v>55</v>
      </c>
      <c r="G6284" s="24">
        <v>17.0</v>
      </c>
      <c r="H6284" s="24">
        <v>11.0</v>
      </c>
      <c r="I6284" s="24">
        <v>11.0</v>
      </c>
      <c r="J6284" s="24">
        <v>0.0</v>
      </c>
      <c r="K6284" s="23" t="s">
        <v>34</v>
      </c>
      <c r="L6284" s="25">
        <v>40934.80666666667</v>
      </c>
      <c r="M6284" s="28"/>
      <c r="N6284" s="28"/>
      <c r="O6284" s="22" t="str">
        <f t="shared" si="110"/>
        <v>View</v>
      </c>
      <c r="P6284" s="27"/>
    </row>
    <row r="6285">
      <c r="A6285" s="14">
        <v>43031.417129629626</v>
      </c>
      <c r="B6285" s="20" t="str">
        <f>HYPERLINK("https://twitter.com/_misfitnextdoor","@_misfitnextdoor")</f>
        <v>@_misfitnextdoor</v>
      </c>
      <c r="C6285" s="21" t="s">
        <v>14140</v>
      </c>
      <c r="D6285" s="21" t="s">
        <v>32</v>
      </c>
      <c r="E6285" s="22" t="str">
        <f>HYPERLINK("https://twitter.com/_misfitnextdoor/status/922508082613235713","922508082613235713")</f>
        <v>922508082613235713</v>
      </c>
      <c r="F6285" s="23" t="s">
        <v>33</v>
      </c>
      <c r="G6285" s="24">
        <v>72.0</v>
      </c>
      <c r="H6285" s="24">
        <v>227.0</v>
      </c>
      <c r="I6285" s="24">
        <v>471.0</v>
      </c>
      <c r="J6285" s="24">
        <v>0.0</v>
      </c>
      <c r="K6285" s="23" t="s">
        <v>34</v>
      </c>
      <c r="L6285" s="25">
        <v>42591.441932870366</v>
      </c>
      <c r="M6285" s="26" t="s">
        <v>14141</v>
      </c>
      <c r="N6285" s="26" t="s">
        <v>14142</v>
      </c>
      <c r="O6285" s="22" t="str">
        <f>HYPERLINK("https://pbs.twimg.com/profile_images/792086506794016768/Y4Bsmn2M_normal.jpg","View")</f>
        <v>View</v>
      </c>
      <c r="P6285" s="27"/>
    </row>
    <row r="6286">
      <c r="A6286" s="14">
        <v>43031.41716435185</v>
      </c>
      <c r="B6286" s="20" t="str">
        <f>HYPERLINK("https://twitter.com/4everVancouver","@4everVancouver")</f>
        <v>@4everVancouver</v>
      </c>
      <c r="C6286" s="21" t="s">
        <v>14143</v>
      </c>
      <c r="D6286" s="21" t="s">
        <v>13962</v>
      </c>
      <c r="E6286" s="22" t="str">
        <f>HYPERLINK("https://twitter.com/4everVancouver/status/922508091400232960","922508091400232960")</f>
        <v>922508091400232960</v>
      </c>
      <c r="F6286" s="23" t="s">
        <v>39</v>
      </c>
      <c r="G6286" s="24">
        <v>178.0</v>
      </c>
      <c r="H6286" s="24">
        <v>480.0</v>
      </c>
      <c r="I6286" s="24">
        <v>18.0</v>
      </c>
      <c r="J6286" s="24">
        <v>0.0</v>
      </c>
      <c r="K6286" s="23" t="s">
        <v>34</v>
      </c>
      <c r="L6286" s="25">
        <v>42289.499872685185</v>
      </c>
      <c r="M6286" s="26" t="s">
        <v>14144</v>
      </c>
      <c r="N6286" s="26" t="s">
        <v>14145</v>
      </c>
      <c r="O6286" s="22" t="str">
        <f>HYPERLINK("https://pbs.twimg.com/profile_images/818643761336942592/wo6AabJU_normal.jpg","View")</f>
        <v>View</v>
      </c>
      <c r="P6286" s="27"/>
    </row>
    <row r="6287">
      <c r="A6287" s="14">
        <v>43031.4171875</v>
      </c>
      <c r="B6287" s="20" t="str">
        <f>HYPERLINK("https://twitter.com/Estherlennaert1","@Estherlennaert1")</f>
        <v>@Estherlennaert1</v>
      </c>
      <c r="C6287" s="21" t="s">
        <v>14146</v>
      </c>
      <c r="D6287" s="21" t="s">
        <v>13962</v>
      </c>
      <c r="E6287" s="22" t="str">
        <f>HYPERLINK("https://twitter.com/Estherlennaert1/status/922508102469025792","922508102469025792")</f>
        <v>922508102469025792</v>
      </c>
      <c r="F6287" s="23" t="s">
        <v>43</v>
      </c>
      <c r="G6287" s="24">
        <v>119.0</v>
      </c>
      <c r="H6287" s="24">
        <v>218.0</v>
      </c>
      <c r="I6287" s="24">
        <v>18.0</v>
      </c>
      <c r="J6287" s="24">
        <v>0.0</v>
      </c>
      <c r="K6287" s="23" t="s">
        <v>34</v>
      </c>
      <c r="L6287" s="25">
        <v>42723.18938657407</v>
      </c>
      <c r="M6287" s="26" t="s">
        <v>2967</v>
      </c>
      <c r="N6287" s="28"/>
      <c r="O6287" s="22" t="str">
        <f>HYPERLINK("https://pbs.twimg.com/profile_images/907858432442728448/i61sgRS5_normal.jpg","View")</f>
        <v>View</v>
      </c>
      <c r="P6287" s="27"/>
    </row>
    <row r="6288">
      <c r="A6288" s="14">
        <v>43031.41729166667</v>
      </c>
      <c r="B6288" s="20" t="str">
        <f>HYPERLINK("https://twitter.com/VikasSh64850937","@VikasSh64850937")</f>
        <v>@VikasSh64850937</v>
      </c>
      <c r="C6288" s="21" t="s">
        <v>14147</v>
      </c>
      <c r="D6288" s="21" t="s">
        <v>42</v>
      </c>
      <c r="E6288" s="22" t="str">
        <f>HYPERLINK("https://twitter.com/VikasSh64850937/status/922508141027246080","922508141027246080")</f>
        <v>922508141027246080</v>
      </c>
      <c r="F6288" s="23" t="s">
        <v>33</v>
      </c>
      <c r="G6288" s="24">
        <v>2.0</v>
      </c>
      <c r="H6288" s="24">
        <v>14.0</v>
      </c>
      <c r="I6288" s="24">
        <v>8501.0</v>
      </c>
      <c r="J6288" s="24">
        <v>0.0</v>
      </c>
      <c r="K6288" s="23" t="s">
        <v>34</v>
      </c>
      <c r="L6288" s="25">
        <v>42983.199641203704</v>
      </c>
      <c r="M6288" s="26" t="s">
        <v>14148</v>
      </c>
      <c r="N6288" s="28"/>
      <c r="O6288" s="22" t="str">
        <f>HYPERLINK("https://pbs.twimg.com/profile_images/922507139867799553/0WI6S0Lo_normal.jpg","View")</f>
        <v>View</v>
      </c>
      <c r="P6288" s="27"/>
    </row>
    <row r="6289">
      <c r="A6289" s="14">
        <v>43031.41731481481</v>
      </c>
      <c r="B6289" s="20" t="str">
        <f>HYPERLINK("https://twitter.com/HareshRathod19","@HareshRathod19")</f>
        <v>@HareshRathod19</v>
      </c>
      <c r="C6289" s="21" t="s">
        <v>14149</v>
      </c>
      <c r="D6289" s="21" t="s">
        <v>42</v>
      </c>
      <c r="E6289" s="22" t="str">
        <f>HYPERLINK("https://twitter.com/HareshRathod19/status/922508146060546048","922508146060546048")</f>
        <v>922508146060546048</v>
      </c>
      <c r="F6289" s="23" t="s">
        <v>43</v>
      </c>
      <c r="G6289" s="24">
        <v>10.0</v>
      </c>
      <c r="H6289" s="24">
        <v>21.0</v>
      </c>
      <c r="I6289" s="24">
        <v>8501.0</v>
      </c>
      <c r="J6289" s="24">
        <v>0.0</v>
      </c>
      <c r="K6289" s="23" t="s">
        <v>34</v>
      </c>
      <c r="L6289" s="25">
        <v>41722.10140046296</v>
      </c>
      <c r="M6289" s="28"/>
      <c r="N6289" s="28"/>
      <c r="O6289" s="22" t="str">
        <f>HYPERLINK("https://pbs.twimg.com/profile_images/448028593575440384/Kh44IKIp_normal.jpeg","View")</f>
        <v>View</v>
      </c>
      <c r="P6289" s="27"/>
    </row>
    <row r="6290">
      <c r="A6290" s="14">
        <v>43031.41736111111</v>
      </c>
      <c r="B6290" s="20" t="str">
        <f>HYPERLINK("https://twitter.com/Russell10Daniel","@Russell10Daniel")</f>
        <v>@Russell10Daniel</v>
      </c>
      <c r="C6290" s="21" t="s">
        <v>14150</v>
      </c>
      <c r="D6290" s="21" t="s">
        <v>12974</v>
      </c>
      <c r="E6290" s="22" t="str">
        <f>HYPERLINK("https://twitter.com/Russell10Daniel/status/922508165417193472","922508165417193472")</f>
        <v>922508165417193472</v>
      </c>
      <c r="F6290" s="23" t="s">
        <v>33</v>
      </c>
      <c r="G6290" s="24">
        <v>78.0</v>
      </c>
      <c r="H6290" s="24">
        <v>467.0</v>
      </c>
      <c r="I6290" s="24">
        <v>110.0</v>
      </c>
      <c r="J6290" s="24">
        <v>0.0</v>
      </c>
      <c r="K6290" s="23" t="s">
        <v>34</v>
      </c>
      <c r="L6290" s="25">
        <v>42628.524305555555</v>
      </c>
      <c r="M6290" s="26" t="s">
        <v>14151</v>
      </c>
      <c r="N6290" s="33" t="s">
        <v>14152</v>
      </c>
      <c r="O6290" s="22" t="str">
        <f>HYPERLINK("https://pbs.twimg.com/profile_images/914913964550746112/J9qJgOtV_normal.jpg","View")</f>
        <v>View</v>
      </c>
      <c r="P6290" s="27"/>
    </row>
    <row r="6291">
      <c r="A6291" s="14">
        <v>43031.41738425926</v>
      </c>
      <c r="B6291" s="20" t="str">
        <f>HYPERLINK("https://twitter.com/World_News_Plow","@World_News_Plow")</f>
        <v>@World_News_Plow</v>
      </c>
      <c r="C6291" s="21" t="s">
        <v>14153</v>
      </c>
      <c r="D6291" s="21" t="s">
        <v>14154</v>
      </c>
      <c r="E6291" s="22" t="str">
        <f>HYPERLINK("https://twitter.com/World_News_Plow/status/922508172887171072","922508172887171072")</f>
        <v>922508172887171072</v>
      </c>
      <c r="F6291" s="23" t="s">
        <v>14153</v>
      </c>
      <c r="G6291" s="24">
        <v>569.0</v>
      </c>
      <c r="H6291" s="24">
        <v>4821.0</v>
      </c>
      <c r="I6291" s="24">
        <v>1.0</v>
      </c>
      <c r="J6291" s="24">
        <v>0.0</v>
      </c>
      <c r="K6291" s="23" t="s">
        <v>34</v>
      </c>
      <c r="L6291" s="25">
        <v>42226.43298611111</v>
      </c>
      <c r="M6291" s="26" t="s">
        <v>14155</v>
      </c>
      <c r="N6291" s="26" t="s">
        <v>14156</v>
      </c>
      <c r="O6291" s="22" t="str">
        <f>HYPERLINK("https://pbs.twimg.com/profile_images/668927119611682816/A-oXXhiX_normal.jpg","View")</f>
        <v>View</v>
      </c>
      <c r="P6291" s="27"/>
    </row>
    <row r="6292">
      <c r="A6292" s="14">
        <v>43031.41741898148</v>
      </c>
      <c r="B6292" s="20" t="str">
        <f>HYPERLINK("https://twitter.com/rohitmishra183","@rohitmishra183")</f>
        <v>@rohitmishra183</v>
      </c>
      <c r="C6292" s="21" t="s">
        <v>14157</v>
      </c>
      <c r="D6292" s="21" t="s">
        <v>42</v>
      </c>
      <c r="E6292" s="22" t="str">
        <f>HYPERLINK("https://twitter.com/rohitmishra183/status/922508185335762945","922508185335762945")</f>
        <v>922508185335762945</v>
      </c>
      <c r="F6292" s="23" t="s">
        <v>43</v>
      </c>
      <c r="G6292" s="24">
        <v>1246.0</v>
      </c>
      <c r="H6292" s="24">
        <v>743.0</v>
      </c>
      <c r="I6292" s="24">
        <v>8501.0</v>
      </c>
      <c r="J6292" s="24">
        <v>0.0</v>
      </c>
      <c r="K6292" s="23" t="s">
        <v>34</v>
      </c>
      <c r="L6292" s="25">
        <v>41349.06793981481</v>
      </c>
      <c r="M6292" s="26" t="s">
        <v>3880</v>
      </c>
      <c r="N6292" s="26" t="s">
        <v>14158</v>
      </c>
      <c r="O6292" s="22" t="str">
        <f>HYPERLINK("https://pbs.twimg.com/profile_images/866620170189627392/hWWpVccW_normal.jpg","View")</f>
        <v>View</v>
      </c>
      <c r="P6292" s="27"/>
    </row>
    <row r="6293">
      <c r="A6293" s="14">
        <v>43031.41755787037</v>
      </c>
      <c r="B6293" s="20" t="str">
        <f>HYPERLINK("https://twitter.com/iShares","@iShares")</f>
        <v>@iShares</v>
      </c>
      <c r="C6293" s="21" t="s">
        <v>14159</v>
      </c>
      <c r="D6293" s="21" t="s">
        <v>14160</v>
      </c>
      <c r="E6293" s="22" t="str">
        <f>HYPERLINK("https://twitter.com/iShares/status/922508234363060224","922508234363060224")</f>
        <v>922508234363060224</v>
      </c>
      <c r="F6293" s="23" t="s">
        <v>14161</v>
      </c>
      <c r="G6293" s="24">
        <v>192633.0</v>
      </c>
      <c r="H6293" s="24">
        <v>1123.0</v>
      </c>
      <c r="I6293" s="24">
        <v>1.0</v>
      </c>
      <c r="J6293" s="24">
        <v>6.0</v>
      </c>
      <c r="K6293" s="23" t="s">
        <v>34</v>
      </c>
      <c r="L6293" s="25">
        <v>40441.46672453704</v>
      </c>
      <c r="M6293" s="26" t="s">
        <v>7414</v>
      </c>
      <c r="N6293" s="26" t="s">
        <v>14162</v>
      </c>
      <c r="O6293" s="22" t="str">
        <f>HYPERLINK("https://pbs.twimg.com/profile_images/797195670302195712/dl5gXb87_normal.jpg","View")</f>
        <v>View</v>
      </c>
      <c r="P6293" s="27"/>
    </row>
    <row r="6294">
      <c r="A6294" s="14">
        <v>43031.41756944444</v>
      </c>
      <c r="B6294" s="20" t="str">
        <f>HYPERLINK("https://twitter.com/BrownRenville","@BrownRenville")</f>
        <v>@BrownRenville</v>
      </c>
      <c r="C6294" s="21" t="s">
        <v>14163</v>
      </c>
      <c r="D6294" s="21" t="s">
        <v>14164</v>
      </c>
      <c r="E6294" s="22" t="str">
        <f>HYPERLINK("https://twitter.com/BrownRenville/status/922508238217793536","922508238217793536")</f>
        <v>922508238217793536</v>
      </c>
      <c r="F6294" s="23" t="s">
        <v>2119</v>
      </c>
      <c r="G6294" s="24">
        <v>1683.0</v>
      </c>
      <c r="H6294" s="24">
        <v>1012.0</v>
      </c>
      <c r="I6294" s="24">
        <v>0.0</v>
      </c>
      <c r="J6294" s="24">
        <v>0.0</v>
      </c>
      <c r="K6294" s="23" t="s">
        <v>34</v>
      </c>
      <c r="L6294" s="25">
        <v>41203.401874999996</v>
      </c>
      <c r="M6294" s="28"/>
      <c r="N6294" s="26" t="s">
        <v>14165</v>
      </c>
      <c r="O6294" s="22" t="str">
        <f>HYPERLINK("https://pbs.twimg.com/profile_images/670918573171306497/BhW6fYsT_normal.jpg","View")</f>
        <v>View</v>
      </c>
      <c r="P6294" s="27"/>
    </row>
    <row r="6295">
      <c r="A6295" s="14">
        <v>43031.41765046296</v>
      </c>
      <c r="B6295" s="20" t="str">
        <f>HYPERLINK("https://twitter.com/TonerBuyer","@TonerBuyer")</f>
        <v>@TonerBuyer</v>
      </c>
      <c r="C6295" s="21" t="s">
        <v>14166</v>
      </c>
      <c r="D6295" s="21" t="s">
        <v>14167</v>
      </c>
      <c r="E6295" s="22" t="str">
        <f>HYPERLINK("https://twitter.com/TonerBuyer/status/922508270564077568","922508270564077568")</f>
        <v>922508270564077568</v>
      </c>
      <c r="F6295" s="23" t="s">
        <v>55</v>
      </c>
      <c r="G6295" s="24">
        <v>2801.0</v>
      </c>
      <c r="H6295" s="24">
        <v>4995.0</v>
      </c>
      <c r="I6295" s="24">
        <v>0.0</v>
      </c>
      <c r="J6295" s="24">
        <v>0.0</v>
      </c>
      <c r="K6295" s="23" t="s">
        <v>34</v>
      </c>
      <c r="L6295" s="25">
        <v>41154.78251157407</v>
      </c>
      <c r="M6295" s="26" t="s">
        <v>14168</v>
      </c>
      <c r="N6295" s="26" t="s">
        <v>14169</v>
      </c>
      <c r="O6295" s="22" t="str">
        <f>HYPERLINK("https://pbs.twimg.com/profile_images/863869318764810240/L24dOj5G_normal.jpg","View")</f>
        <v>View</v>
      </c>
      <c r="P6295" s="27"/>
    </row>
    <row r="6296">
      <c r="A6296" s="14">
        <v>43031.41767361111</v>
      </c>
      <c r="B6296" s="20" t="str">
        <f>HYPERLINK("https://twitter.com/atlantesindia","@atlantesindia")</f>
        <v>@atlantesindia</v>
      </c>
      <c r="C6296" s="21" t="s">
        <v>12905</v>
      </c>
      <c r="D6296" s="21" t="s">
        <v>14087</v>
      </c>
      <c r="E6296" s="22" t="str">
        <f>HYPERLINK("https://twitter.com/atlantesindia/status/922508277786615808","922508277786615808")</f>
        <v>922508277786615808</v>
      </c>
      <c r="F6296" s="23" t="s">
        <v>33</v>
      </c>
      <c r="G6296" s="24">
        <v>2640.0</v>
      </c>
      <c r="H6296" s="24">
        <v>3107.0</v>
      </c>
      <c r="I6296" s="24">
        <v>5.0</v>
      </c>
      <c r="J6296" s="24">
        <v>0.0</v>
      </c>
      <c r="K6296" s="23" t="s">
        <v>34</v>
      </c>
      <c r="L6296" s="25">
        <v>42390.06854166667</v>
      </c>
      <c r="M6296" s="26" t="s">
        <v>3955</v>
      </c>
      <c r="N6296" s="26" t="s">
        <v>12906</v>
      </c>
      <c r="O6296" s="22" t="str">
        <f>HYPERLINK("https://abs.twimg.com/sticky/default_profile_images/default_profile_normal.png","View")</f>
        <v>View</v>
      </c>
      <c r="P6296" s="27"/>
    </row>
    <row r="6297">
      <c r="A6297" s="14">
        <v>43031.417766203704</v>
      </c>
      <c r="B6297" s="20" t="str">
        <f>HYPERLINK("https://twitter.com/pacollibehgjet","@pacollibehgjet")</f>
        <v>@pacollibehgjet</v>
      </c>
      <c r="C6297" s="21" t="s">
        <v>14170</v>
      </c>
      <c r="D6297" s="21" t="s">
        <v>14171</v>
      </c>
      <c r="E6297" s="22" t="str">
        <f>HYPERLINK("https://twitter.com/pacollibehgjet/status/922508312616296448","922508312616296448")</f>
        <v>922508312616296448</v>
      </c>
      <c r="F6297" s="23" t="s">
        <v>39</v>
      </c>
      <c r="G6297" s="24">
        <v>1135.0</v>
      </c>
      <c r="H6297" s="24">
        <v>598.0</v>
      </c>
      <c r="I6297" s="24">
        <v>4.0</v>
      </c>
      <c r="J6297" s="24">
        <v>9.0</v>
      </c>
      <c r="K6297" s="23" t="s">
        <v>34</v>
      </c>
      <c r="L6297" s="25">
        <v>42018.14818287037</v>
      </c>
      <c r="M6297" s="26" t="s">
        <v>14172</v>
      </c>
      <c r="N6297" s="26" t="s">
        <v>14173</v>
      </c>
      <c r="O6297" s="22" t="str">
        <f>HYPERLINK("https://pbs.twimg.com/profile_images/693170379091755010/IZ_4_jZY_normal.jpg","View")</f>
        <v>View</v>
      </c>
      <c r="P6297" s="27"/>
    </row>
    <row r="6298">
      <c r="A6298" s="14">
        <v>43031.41784722223</v>
      </c>
      <c r="B6298" s="20" t="str">
        <f>HYPERLINK("https://twitter.com/jaynya13","@jaynya13")</f>
        <v>@jaynya13</v>
      </c>
      <c r="C6298" s="21" t="s">
        <v>14174</v>
      </c>
      <c r="D6298" s="21" t="s">
        <v>13962</v>
      </c>
      <c r="E6298" s="22" t="str">
        <f>HYPERLINK("https://twitter.com/jaynya13/status/922508341208846337","922508341208846337")</f>
        <v>922508341208846337</v>
      </c>
      <c r="F6298" s="23" t="s">
        <v>33</v>
      </c>
      <c r="G6298" s="24">
        <v>2113.0</v>
      </c>
      <c r="H6298" s="24">
        <v>1873.0</v>
      </c>
      <c r="I6298" s="24">
        <v>18.0</v>
      </c>
      <c r="J6298" s="24">
        <v>0.0</v>
      </c>
      <c r="K6298" s="23" t="s">
        <v>34</v>
      </c>
      <c r="L6298" s="25">
        <v>40130.37599537037</v>
      </c>
      <c r="M6298" s="26" t="s">
        <v>14175</v>
      </c>
      <c r="N6298" s="26" t="s">
        <v>14176</v>
      </c>
      <c r="O6298" s="22" t="str">
        <f>HYPERLINK("https://pbs.twimg.com/profile_images/872609001640517634/oLdAxfWC_normal.jpg","View")</f>
        <v>View</v>
      </c>
      <c r="P6298" s="27"/>
    </row>
    <row r="6299">
      <c r="A6299" s="14">
        <v>43031.41793981481</v>
      </c>
      <c r="B6299" s="20" t="str">
        <f>HYPERLINK("https://twitter.com/slal128911","@slal128911")</f>
        <v>@slal128911</v>
      </c>
      <c r="C6299" s="21" t="s">
        <v>14177</v>
      </c>
      <c r="D6299" s="21" t="s">
        <v>42</v>
      </c>
      <c r="E6299" s="22" t="str">
        <f>HYPERLINK("https://twitter.com/slal128911/status/922508372485611520","922508372485611520")</f>
        <v>922508372485611520</v>
      </c>
      <c r="F6299" s="23" t="s">
        <v>39</v>
      </c>
      <c r="G6299" s="24">
        <v>9.0</v>
      </c>
      <c r="H6299" s="24">
        <v>64.0</v>
      </c>
      <c r="I6299" s="24">
        <v>8501.0</v>
      </c>
      <c r="J6299" s="24">
        <v>0.0</v>
      </c>
      <c r="K6299" s="23" t="s">
        <v>34</v>
      </c>
      <c r="L6299" s="25">
        <v>42383.13564814815</v>
      </c>
      <c r="M6299" s="26" t="s">
        <v>603</v>
      </c>
      <c r="N6299" s="28"/>
      <c r="O6299" s="22" t="str">
        <f>HYPERLINK("https://pbs.twimg.com/profile_images/853517965383413760/oZXKpx_t_normal.jpg","View")</f>
        <v>View</v>
      </c>
      <c r="P6299" s="27"/>
    </row>
    <row r="6300">
      <c r="A6300" s="14">
        <v>43031.417962962965</v>
      </c>
      <c r="B6300" s="20" t="str">
        <f>HYPERLINK("https://twitter.com/CntroversyINCdA","@CntroversyINCdA")</f>
        <v>@CntroversyINCdA</v>
      </c>
      <c r="C6300" s="21" t="s">
        <v>14178</v>
      </c>
      <c r="D6300" s="21" t="s">
        <v>14179</v>
      </c>
      <c r="E6300" s="22" t="str">
        <f>HYPERLINK("https://twitter.com/CntroversyINCdA/status/922508383776837632","922508383776837632")</f>
        <v>922508383776837632</v>
      </c>
      <c r="F6300" s="23" t="s">
        <v>14180</v>
      </c>
      <c r="G6300" s="24">
        <v>45.0</v>
      </c>
      <c r="H6300" s="24">
        <v>213.0</v>
      </c>
      <c r="I6300" s="24">
        <v>0.0</v>
      </c>
      <c r="J6300" s="24">
        <v>0.0</v>
      </c>
      <c r="K6300" s="23" t="s">
        <v>34</v>
      </c>
      <c r="L6300" s="25">
        <v>42567.908414351856</v>
      </c>
      <c r="M6300" s="28"/>
      <c r="N6300" s="28"/>
      <c r="O6300" s="22" t="str">
        <f>HYPERLINK("https://pbs.twimg.com/profile_images/791967831415980032/wDHHkDY0_normal.jpg","View")</f>
        <v>View</v>
      </c>
      <c r="P6300" s="27"/>
    </row>
    <row r="6301">
      <c r="A6301" s="14">
        <v>43031.417962962965</v>
      </c>
      <c r="B6301" s="20" t="str">
        <f>HYPERLINK("https://twitter.com/twdk_music","@twdk_music")</f>
        <v>@twdk_music</v>
      </c>
      <c r="C6301" s="21" t="s">
        <v>14181</v>
      </c>
      <c r="D6301" s="21" t="s">
        <v>14182</v>
      </c>
      <c r="E6301" s="22" t="str">
        <f>HYPERLINK("https://twitter.com/twdk_music/status/922508383894343680","922508383894343680")</f>
        <v>922508383894343680</v>
      </c>
      <c r="F6301" s="23" t="s">
        <v>14180</v>
      </c>
      <c r="G6301" s="24">
        <v>1149.0</v>
      </c>
      <c r="H6301" s="24">
        <v>2017.0</v>
      </c>
      <c r="I6301" s="24">
        <v>0.0</v>
      </c>
      <c r="J6301" s="24">
        <v>0.0</v>
      </c>
      <c r="K6301" s="23" t="s">
        <v>34</v>
      </c>
      <c r="L6301" s="25">
        <v>40864.87703703703</v>
      </c>
      <c r="M6301" s="26" t="s">
        <v>14183</v>
      </c>
      <c r="N6301" s="26" t="s">
        <v>14184</v>
      </c>
      <c r="O6301" s="22" t="str">
        <f>HYPERLINK("https://pbs.twimg.com/profile_images/1644742588/TW_MUSIC_AVATAR_normal.png","View")</f>
        <v>View</v>
      </c>
      <c r="P6301" s="27"/>
    </row>
    <row r="6302">
      <c r="A6302" s="14">
        <v>43031.417974537035</v>
      </c>
      <c r="B6302" s="20" t="str">
        <f>HYPERLINK("https://twitter.com/gwtspppa","@gwtspppa")</f>
        <v>@gwtspppa</v>
      </c>
      <c r="C6302" s="21" t="s">
        <v>14185</v>
      </c>
      <c r="D6302" s="21" t="s">
        <v>14186</v>
      </c>
      <c r="E6302" s="22" t="str">
        <f>HYPERLINK("https://twitter.com/gwtspppa/status/922508387102760960","922508387102760960")</f>
        <v>922508387102760960</v>
      </c>
      <c r="F6302" s="23" t="s">
        <v>427</v>
      </c>
      <c r="G6302" s="24">
        <v>1042.0</v>
      </c>
      <c r="H6302" s="24">
        <v>658.0</v>
      </c>
      <c r="I6302" s="24">
        <v>0.0</v>
      </c>
      <c r="J6302" s="24">
        <v>0.0</v>
      </c>
      <c r="K6302" s="23" t="s">
        <v>34</v>
      </c>
      <c r="L6302" s="25">
        <v>40011.41741898148</v>
      </c>
      <c r="M6302" s="26" t="s">
        <v>4239</v>
      </c>
      <c r="N6302" s="26" t="s">
        <v>14187</v>
      </c>
      <c r="O6302" s="22" t="str">
        <f>HYPERLINK("https://pbs.twimg.com/profile_images/378800000572256396/7e788c963a09f72ee0b6524df8f11bf1_normal.jpeg","View")</f>
        <v>View</v>
      </c>
      <c r="P6302" s="27"/>
    </row>
    <row r="6303">
      <c r="A6303" s="14">
        <v>43031.41800925926</v>
      </c>
      <c r="B6303" s="20" t="str">
        <f>HYPERLINK("https://twitter.com/sbleistein","@sbleistein")</f>
        <v>@sbleistein</v>
      </c>
      <c r="C6303" s="21" t="s">
        <v>14188</v>
      </c>
      <c r="D6303" s="21" t="s">
        <v>14189</v>
      </c>
      <c r="E6303" s="22" t="str">
        <f>HYPERLINK("https://twitter.com/sbleistein/status/922508401632038912","922508401632038912")</f>
        <v>922508401632038912</v>
      </c>
      <c r="F6303" s="23" t="s">
        <v>55</v>
      </c>
      <c r="G6303" s="24">
        <v>174.0</v>
      </c>
      <c r="H6303" s="24">
        <v>353.0</v>
      </c>
      <c r="I6303" s="24">
        <v>0.0</v>
      </c>
      <c r="J6303" s="24">
        <v>0.0</v>
      </c>
      <c r="K6303" s="23" t="s">
        <v>34</v>
      </c>
      <c r="L6303" s="25">
        <v>39874.05679398148</v>
      </c>
      <c r="M6303" s="26" t="s">
        <v>853</v>
      </c>
      <c r="N6303" s="26" t="s">
        <v>14190</v>
      </c>
      <c r="O6303" s="22" t="str">
        <f>HYPERLINK("https://pbs.twimg.com/profile_images/867056906359189505/k5YrZeUc_normal.jpg","View")</f>
        <v>View</v>
      </c>
      <c r="P6303" s="27"/>
    </row>
    <row r="6304">
      <c r="A6304" s="14">
        <v>43031.418020833335</v>
      </c>
      <c r="B6304" s="20" t="str">
        <f>HYPERLINK("https://twitter.com/janggolan","@janggolan")</f>
        <v>@janggolan</v>
      </c>
      <c r="C6304" s="21" t="s">
        <v>14191</v>
      </c>
      <c r="D6304" s="21" t="s">
        <v>14192</v>
      </c>
      <c r="E6304" s="22" t="str">
        <f>HYPERLINK("https://twitter.com/janggolan/status/922508404744171520","922508404744171520")</f>
        <v>922508404744171520</v>
      </c>
      <c r="F6304" s="23" t="s">
        <v>2119</v>
      </c>
      <c r="G6304" s="24">
        <v>814.0</v>
      </c>
      <c r="H6304" s="24">
        <v>643.0</v>
      </c>
      <c r="I6304" s="24">
        <v>1.0</v>
      </c>
      <c r="J6304" s="24">
        <v>0.0</v>
      </c>
      <c r="K6304" s="23" t="s">
        <v>34</v>
      </c>
      <c r="L6304" s="25">
        <v>42382.67599537037</v>
      </c>
      <c r="M6304" s="28"/>
      <c r="N6304" s="28"/>
      <c r="O6304" s="22" t="str">
        <f>HYPERLINK("https://pbs.twimg.com/profile_images/922899229529530368/Zp5ZINIr_normal.jpg","View")</f>
        <v>View</v>
      </c>
      <c r="P6304" s="27"/>
    </row>
    <row r="6305">
      <c r="A6305" s="14">
        <v>43031.41803240741</v>
      </c>
      <c r="B6305" s="20" t="str">
        <f>HYPERLINK("https://twitter.com/kanwar321","@kanwar321")</f>
        <v>@kanwar321</v>
      </c>
      <c r="C6305" s="21" t="s">
        <v>14193</v>
      </c>
      <c r="D6305" s="21" t="s">
        <v>14194</v>
      </c>
      <c r="E6305" s="22" t="str">
        <f>HYPERLINK("https://twitter.com/kanwar321/status/922508407831171074","922508407831171074")</f>
        <v>922508407831171074</v>
      </c>
      <c r="F6305" s="23" t="s">
        <v>39</v>
      </c>
      <c r="G6305" s="24">
        <v>439.0</v>
      </c>
      <c r="H6305" s="24">
        <v>1191.0</v>
      </c>
      <c r="I6305" s="24">
        <v>0.0</v>
      </c>
      <c r="J6305" s="24">
        <v>0.0</v>
      </c>
      <c r="K6305" s="23" t="s">
        <v>34</v>
      </c>
      <c r="L6305" s="25">
        <v>39882.97547453704</v>
      </c>
      <c r="M6305" s="26" t="s">
        <v>114</v>
      </c>
      <c r="N6305" s="26" t="s">
        <v>14195</v>
      </c>
      <c r="O6305" s="22" t="str">
        <f>HYPERLINK("https://pbs.twimg.com/profile_images/1260917126/kd_pic_normal.jpg","View")</f>
        <v>View</v>
      </c>
      <c r="P6305" s="27"/>
    </row>
    <row r="6306">
      <c r="A6306" s="14">
        <v>43031.418333333335</v>
      </c>
      <c r="B6306" s="20" t="str">
        <f>HYPERLINK("https://twitter.com/fachim_habi","@fachim_habi")</f>
        <v>@fachim_habi</v>
      </c>
      <c r="C6306" s="21" t="s">
        <v>14196</v>
      </c>
      <c r="D6306" s="21" t="s">
        <v>7403</v>
      </c>
      <c r="E6306" s="22" t="str">
        <f>HYPERLINK("https://twitter.com/fachim_habi/status/922508518699274241","922508518699274241")</f>
        <v>922508518699274241</v>
      </c>
      <c r="F6306" s="23" t="s">
        <v>2119</v>
      </c>
      <c r="G6306" s="24">
        <v>227.0</v>
      </c>
      <c r="H6306" s="24">
        <v>83.0</v>
      </c>
      <c r="I6306" s="24">
        <v>29.0</v>
      </c>
      <c r="J6306" s="24">
        <v>0.0</v>
      </c>
      <c r="K6306" s="23" t="s">
        <v>34</v>
      </c>
      <c r="L6306" s="25">
        <v>42367.10215277778</v>
      </c>
      <c r="M6306" s="28"/>
      <c r="N6306" s="28"/>
      <c r="O6306" s="22" t="str">
        <f>HYPERLINK("https://pbs.twimg.com/profile_images/892435191192580096/FTXLbu2b_normal.jpg","View")</f>
        <v>View</v>
      </c>
      <c r="P6306" s="27"/>
    </row>
    <row r="6307">
      <c r="A6307" s="14">
        <v>43031.41837962963</v>
      </c>
      <c r="B6307" s="20" t="str">
        <f>HYPERLINK("https://twitter.com/su1525_","@su1525_")</f>
        <v>@su1525_</v>
      </c>
      <c r="C6307" s="21" t="s">
        <v>14197</v>
      </c>
      <c r="D6307" s="21" t="s">
        <v>42</v>
      </c>
      <c r="E6307" s="22" t="str">
        <f>HYPERLINK("https://twitter.com/su1525_/status/922508531974017025","922508531974017025")</f>
        <v>922508531974017025</v>
      </c>
      <c r="F6307" s="23" t="s">
        <v>39</v>
      </c>
      <c r="G6307" s="24">
        <v>1.0</v>
      </c>
      <c r="H6307" s="24">
        <v>6.0</v>
      </c>
      <c r="I6307" s="24">
        <v>8501.0</v>
      </c>
      <c r="J6307" s="24">
        <v>0.0</v>
      </c>
      <c r="K6307" s="23" t="s">
        <v>34</v>
      </c>
      <c r="L6307" s="25">
        <v>42995.741018518514</v>
      </c>
      <c r="M6307" s="28"/>
      <c r="N6307" s="26" t="s">
        <v>14198</v>
      </c>
      <c r="O6307" s="22" t="str">
        <f>HYPERLINK("https://pbs.twimg.com/profile_images/922512063959724032/92oJf6hj_normal.jpg","View")</f>
        <v>View</v>
      </c>
      <c r="P6307" s="27"/>
    </row>
    <row r="6308">
      <c r="A6308" s="14">
        <v>43031.418391203704</v>
      </c>
      <c r="B6308" s="20" t="str">
        <f>HYPERLINK("https://twitter.com/BobbyJHays","@BobbyJHays")</f>
        <v>@BobbyJHays</v>
      </c>
      <c r="C6308" s="21" t="s">
        <v>14199</v>
      </c>
      <c r="D6308" s="21" t="s">
        <v>13962</v>
      </c>
      <c r="E6308" s="22" t="str">
        <f>HYPERLINK("https://twitter.com/BobbyJHays/status/922508536902385666","922508536902385666")</f>
        <v>922508536902385666</v>
      </c>
      <c r="F6308" s="23" t="s">
        <v>55</v>
      </c>
      <c r="G6308" s="24">
        <v>1163.0</v>
      </c>
      <c r="H6308" s="24">
        <v>967.0</v>
      </c>
      <c r="I6308" s="24">
        <v>18.0</v>
      </c>
      <c r="J6308" s="24">
        <v>0.0</v>
      </c>
      <c r="K6308" s="23" t="s">
        <v>34</v>
      </c>
      <c r="L6308" s="25">
        <v>41150.85729166667</v>
      </c>
      <c r="M6308" s="26" t="s">
        <v>14200</v>
      </c>
      <c r="N6308" s="26" t="s">
        <v>14201</v>
      </c>
      <c r="O6308" s="22" t="str">
        <f>HYPERLINK("https://pbs.twimg.com/profile_images/900872140525666305/b8TavS2C_normal.jpg","View")</f>
        <v>View</v>
      </c>
      <c r="P6308" s="27"/>
    </row>
    <row r="6309">
      <c r="A6309" s="14">
        <v>43031.41847222223</v>
      </c>
      <c r="B6309" s="20" t="str">
        <f>HYPERLINK("https://twitter.com/re9601","@re9601")</f>
        <v>@re9601</v>
      </c>
      <c r="C6309" s="21" t="s">
        <v>14202</v>
      </c>
      <c r="D6309" s="21" t="s">
        <v>14203</v>
      </c>
      <c r="E6309" s="22" t="str">
        <f>HYPERLINK("https://twitter.com/re9601/status/922508569215422467","922508569215422467")</f>
        <v>922508569215422467</v>
      </c>
      <c r="F6309" s="23" t="s">
        <v>33</v>
      </c>
      <c r="G6309" s="24">
        <v>21.0</v>
      </c>
      <c r="H6309" s="24">
        <v>147.0</v>
      </c>
      <c r="I6309" s="24">
        <v>1.0</v>
      </c>
      <c r="J6309" s="24">
        <v>0.0</v>
      </c>
      <c r="K6309" s="23" t="s">
        <v>34</v>
      </c>
      <c r="L6309" s="25">
        <v>40854.989594907405</v>
      </c>
      <c r="M6309" s="26" t="s">
        <v>14204</v>
      </c>
      <c r="N6309" s="26" t="s">
        <v>14205</v>
      </c>
      <c r="O6309" s="22" t="str">
        <f>HYPERLINK("https://pbs.twimg.com/profile_images/1770395556/A54WQrvI_normal","View")</f>
        <v>View</v>
      </c>
      <c r="P6309" s="27"/>
    </row>
    <row r="6310">
      <c r="A6310" s="14">
        <v>43031.41850694444</v>
      </c>
      <c r="B6310" s="20" t="str">
        <f>HYPERLINK("https://twitter.com/JonLuckhurst","@JonLuckhurst")</f>
        <v>@JonLuckhurst</v>
      </c>
      <c r="C6310" s="21" t="s">
        <v>14206</v>
      </c>
      <c r="D6310" s="21" t="s">
        <v>14207</v>
      </c>
      <c r="E6310" s="22" t="str">
        <f>HYPERLINK("https://twitter.com/JonLuckhurst/status/922508578027720704","922508578027720704")</f>
        <v>922508578027720704</v>
      </c>
      <c r="F6310" s="23" t="s">
        <v>55</v>
      </c>
      <c r="G6310" s="24">
        <v>452.0</v>
      </c>
      <c r="H6310" s="24">
        <v>230.0</v>
      </c>
      <c r="I6310" s="24">
        <v>0.0</v>
      </c>
      <c r="J6310" s="24">
        <v>0.0</v>
      </c>
      <c r="K6310" s="23" t="s">
        <v>34</v>
      </c>
      <c r="L6310" s="25">
        <v>39994.52059027778</v>
      </c>
      <c r="M6310" s="28"/>
      <c r="N6310" s="26" t="s">
        <v>14208</v>
      </c>
      <c r="O6310" s="22" t="str">
        <f>HYPERLINK("https://pbs.twimg.com/profile_images/1792624968/me_at_wedding_normal.jpg","View")</f>
        <v>View</v>
      </c>
      <c r="P6310" s="27"/>
    </row>
    <row r="6311">
      <c r="A6311" s="14">
        <v>43031.41857638889</v>
      </c>
      <c r="B6311" s="20" t="str">
        <f>HYPERLINK("https://twitter.com/Ciombaine","@Ciombaine")</f>
        <v>@Ciombaine</v>
      </c>
      <c r="C6311" s="21" t="s">
        <v>14209</v>
      </c>
      <c r="D6311" s="21" t="s">
        <v>32</v>
      </c>
      <c r="E6311" s="22" t="str">
        <f>HYPERLINK("https://twitter.com/Ciombaine/status/922508604053360641","922508604053360641")</f>
        <v>922508604053360641</v>
      </c>
      <c r="F6311" s="23" t="s">
        <v>33</v>
      </c>
      <c r="G6311" s="24">
        <v>892.0</v>
      </c>
      <c r="H6311" s="24">
        <v>2806.0</v>
      </c>
      <c r="I6311" s="24">
        <v>471.0</v>
      </c>
      <c r="J6311" s="24">
        <v>0.0</v>
      </c>
      <c r="K6311" s="23" t="s">
        <v>34</v>
      </c>
      <c r="L6311" s="25">
        <v>40229.9597337963</v>
      </c>
      <c r="M6311" s="26" t="s">
        <v>14210</v>
      </c>
      <c r="N6311" s="26" t="s">
        <v>14211</v>
      </c>
      <c r="O6311" s="22" t="str">
        <f>HYPERLINK("https://pbs.twimg.com/profile_images/612292295874973696/4HyoDTEn_normal.jpg","View")</f>
        <v>View</v>
      </c>
      <c r="P6311" s="27"/>
    </row>
    <row r="6312">
      <c r="A6312" s="14">
        <v>43031.418599537035</v>
      </c>
      <c r="B6312" s="20" t="str">
        <f>HYPERLINK("https://twitter.com/GarmDharam","@GarmDharam")</f>
        <v>@GarmDharam</v>
      </c>
      <c r="C6312" s="21" t="s">
        <v>14212</v>
      </c>
      <c r="D6312" s="21" t="s">
        <v>42</v>
      </c>
      <c r="E6312" s="22" t="str">
        <f>HYPERLINK("https://twitter.com/GarmDharam/status/922508613612027904","922508613612027904")</f>
        <v>922508613612027904</v>
      </c>
      <c r="F6312" s="23" t="s">
        <v>39</v>
      </c>
      <c r="G6312" s="24">
        <v>153.0</v>
      </c>
      <c r="H6312" s="24">
        <v>850.0</v>
      </c>
      <c r="I6312" s="24">
        <v>8501.0</v>
      </c>
      <c r="J6312" s="24">
        <v>0.0</v>
      </c>
      <c r="K6312" s="23" t="s">
        <v>34</v>
      </c>
      <c r="L6312" s="25">
        <v>42600.29634259259</v>
      </c>
      <c r="M6312" s="26" t="s">
        <v>246</v>
      </c>
      <c r="N6312" s="26" t="s">
        <v>14213</v>
      </c>
      <c r="O6312" s="22" t="str">
        <f>HYPERLINK("https://pbs.twimg.com/profile_images/921238530700881921/z2MtArcT_normal.jpg","View")</f>
        <v>View</v>
      </c>
      <c r="P6312" s="27"/>
    </row>
    <row r="6313">
      <c r="A6313" s="14">
        <v>43031.41864583333</v>
      </c>
      <c r="B6313" s="20" t="str">
        <f>HYPERLINK("https://twitter.com/uri4u","@uri4u")</f>
        <v>@uri4u</v>
      </c>
      <c r="C6313" s="21" t="s">
        <v>14214</v>
      </c>
      <c r="D6313" s="21" t="s">
        <v>12596</v>
      </c>
      <c r="E6313" s="22" t="str">
        <f>HYPERLINK("https://twitter.com/uri4u/status/922508628770414593","922508628770414593")</f>
        <v>922508628770414593</v>
      </c>
      <c r="F6313" s="23" t="s">
        <v>55</v>
      </c>
      <c r="G6313" s="24">
        <v>3070.0</v>
      </c>
      <c r="H6313" s="24">
        <v>1973.0</v>
      </c>
      <c r="I6313" s="24">
        <v>6.0</v>
      </c>
      <c r="J6313" s="24">
        <v>0.0</v>
      </c>
      <c r="K6313" s="23" t="s">
        <v>34</v>
      </c>
      <c r="L6313" s="25">
        <v>42349.529456018514</v>
      </c>
      <c r="M6313" s="28"/>
      <c r="N6313" s="26" t="s">
        <v>14215</v>
      </c>
      <c r="O6313" s="22" t="str">
        <f>HYPERLINK("https://pbs.twimg.com/profile_images/677674390683852800/VzrnOhEa_normal.jpg","View")</f>
        <v>View</v>
      </c>
      <c r="P6313" s="27"/>
    </row>
    <row r="6314">
      <c r="A6314" s="14">
        <v>43031.41875</v>
      </c>
      <c r="B6314" s="20" t="str">
        <f>HYPERLINK("https://twitter.com/theirnews","@theirnews")</f>
        <v>@theirnews</v>
      </c>
      <c r="C6314" s="21" t="s">
        <v>14216</v>
      </c>
      <c r="D6314" s="21" t="s">
        <v>14217</v>
      </c>
      <c r="E6314" s="22" t="str">
        <f>HYPERLINK("https://twitter.com/theirnews/status/922508669094264834","922508669094264834")</f>
        <v>922508669094264834</v>
      </c>
      <c r="F6314" s="23" t="s">
        <v>769</v>
      </c>
      <c r="G6314" s="24">
        <v>53222.0</v>
      </c>
      <c r="H6314" s="24">
        <v>1523.0</v>
      </c>
      <c r="I6314" s="24">
        <v>4.0</v>
      </c>
      <c r="J6314" s="24">
        <v>6.0</v>
      </c>
      <c r="K6314" s="23" t="s">
        <v>34</v>
      </c>
      <c r="L6314" s="25">
        <v>41318.68096064815</v>
      </c>
      <c r="M6314" s="28"/>
      <c r="N6314" s="26" t="s">
        <v>14218</v>
      </c>
      <c r="O6314" s="22" t="str">
        <f>HYPERLINK("https://pbs.twimg.com/profile_images/877158723793412096/rYeMlb6c_normal.jpg","View")</f>
        <v>View</v>
      </c>
      <c r="P6314" s="27"/>
    </row>
    <row r="6315">
      <c r="A6315" s="14">
        <v>43031.418761574074</v>
      </c>
      <c r="B6315" s="20" t="str">
        <f>HYPERLINK("https://twitter.com/theirworld","@theirworld")</f>
        <v>@theirworld</v>
      </c>
      <c r="C6315" s="21" t="s">
        <v>14219</v>
      </c>
      <c r="D6315" s="21" t="s">
        <v>14220</v>
      </c>
      <c r="E6315" s="22" t="str">
        <f>HYPERLINK("https://twitter.com/theirworld/status/922508672806342656","922508672806342656")</f>
        <v>922508672806342656</v>
      </c>
      <c r="F6315" s="23" t="s">
        <v>769</v>
      </c>
      <c r="G6315" s="24">
        <v>5432.0</v>
      </c>
      <c r="H6315" s="24">
        <v>1274.0</v>
      </c>
      <c r="I6315" s="24">
        <v>1.0</v>
      </c>
      <c r="J6315" s="24">
        <v>0.0</v>
      </c>
      <c r="K6315" s="23" t="s">
        <v>34</v>
      </c>
      <c r="L6315" s="25">
        <v>39912.11318287037</v>
      </c>
      <c r="M6315" s="26" t="s">
        <v>14221</v>
      </c>
      <c r="N6315" s="26" t="s">
        <v>14222</v>
      </c>
      <c r="O6315" s="22" t="str">
        <f>HYPERLINK("https://pbs.twimg.com/profile_images/378800000833479836/bc7776bfb324b4558732055cf66affed_normal.jpeg","View")</f>
        <v>View</v>
      </c>
      <c r="P6315" s="27"/>
    </row>
    <row r="6316">
      <c r="A6316" s="14">
        <v>43031.41881944444</v>
      </c>
      <c r="B6316" s="20" t="str">
        <f>HYPERLINK("https://twitter.com/Iluvmy_India","@Iluvmy_India")</f>
        <v>@Iluvmy_India</v>
      </c>
      <c r="C6316" s="21" t="s">
        <v>14223</v>
      </c>
      <c r="D6316" s="21" t="s">
        <v>163</v>
      </c>
      <c r="E6316" s="22" t="str">
        <f>HYPERLINK("https://twitter.com/Iluvmy_India/status/922508694536851456","922508694536851456")</f>
        <v>922508694536851456</v>
      </c>
      <c r="F6316" s="23" t="s">
        <v>33</v>
      </c>
      <c r="G6316" s="24">
        <v>74.0</v>
      </c>
      <c r="H6316" s="24">
        <v>292.0</v>
      </c>
      <c r="I6316" s="24">
        <v>1005.0</v>
      </c>
      <c r="J6316" s="24">
        <v>0.0</v>
      </c>
      <c r="K6316" s="23" t="s">
        <v>34</v>
      </c>
      <c r="L6316" s="25">
        <v>42325.25586805555</v>
      </c>
      <c r="M6316" s="26" t="s">
        <v>2813</v>
      </c>
      <c r="N6316" s="28"/>
      <c r="O6316" s="22" t="str">
        <f>HYPERLINK("https://pbs.twimg.com/profile_images/666619991467294721/arIZEIQW_normal.jpg","View")</f>
        <v>View</v>
      </c>
      <c r="P6316" s="27"/>
    </row>
    <row r="6317">
      <c r="A6317" s="14">
        <v>43031.419432870374</v>
      </c>
      <c r="B6317" s="20" t="str">
        <f>HYPERLINK("https://twitter.com/priyaakulkarni2","@priyaakulkarni2")</f>
        <v>@priyaakulkarni2</v>
      </c>
      <c r="C6317" s="21" t="s">
        <v>14224</v>
      </c>
      <c r="D6317" s="21" t="s">
        <v>42</v>
      </c>
      <c r="E6317" s="22" t="str">
        <f>HYPERLINK("https://twitter.com/priyaakulkarni2/status/922508914838552576","922508914838552576")</f>
        <v>922508914838552576</v>
      </c>
      <c r="F6317" s="23" t="s">
        <v>43</v>
      </c>
      <c r="G6317" s="24">
        <v>11782.0</v>
      </c>
      <c r="H6317" s="24">
        <v>460.0</v>
      </c>
      <c r="I6317" s="24">
        <v>8501.0</v>
      </c>
      <c r="J6317" s="24">
        <v>0.0</v>
      </c>
      <c r="K6317" s="23" t="s">
        <v>34</v>
      </c>
      <c r="L6317" s="25">
        <v>42620.86079861112</v>
      </c>
      <c r="M6317" s="26" t="s">
        <v>7811</v>
      </c>
      <c r="N6317" s="26" t="s">
        <v>14225</v>
      </c>
      <c r="O6317" s="22" t="str">
        <f>HYPERLINK("https://pbs.twimg.com/profile_images/800245762651099136/YjcNavg__normal.jpg","View")</f>
        <v>View</v>
      </c>
      <c r="P6317" s="27"/>
    </row>
    <row r="6318">
      <c r="A6318" s="14">
        <v>43031.419432870374</v>
      </c>
      <c r="B6318" s="20" t="str">
        <f>HYPERLINK("https://twitter.com/amerika_blog","@amerika_blog")</f>
        <v>@amerika_blog</v>
      </c>
      <c r="C6318" s="21" t="s">
        <v>14226</v>
      </c>
      <c r="D6318" s="21" t="s">
        <v>14227</v>
      </c>
      <c r="E6318" s="22" t="str">
        <f>HYPERLINK("https://twitter.com/amerika_blog/status/922508915002236928","922508915002236928")</f>
        <v>922508915002236928</v>
      </c>
      <c r="F6318" s="23" t="s">
        <v>187</v>
      </c>
      <c r="G6318" s="24">
        <v>3886.0</v>
      </c>
      <c r="H6318" s="24">
        <v>621.0</v>
      </c>
      <c r="I6318" s="24">
        <v>0.0</v>
      </c>
      <c r="J6318" s="24">
        <v>1.0</v>
      </c>
      <c r="K6318" s="23" t="s">
        <v>34</v>
      </c>
      <c r="L6318" s="25">
        <v>39906.03361111111</v>
      </c>
      <c r="M6318" s="28"/>
      <c r="N6318" s="26" t="s">
        <v>14228</v>
      </c>
      <c r="O6318" s="22" t="str">
        <f>HYPERLINK("https://pbs.twimg.com/profile_images/789509756167688192/LJCsTzNg_normal.jpg","View")</f>
        <v>View</v>
      </c>
      <c r="P6318" s="27"/>
    </row>
    <row r="6319">
      <c r="A6319" s="14">
        <v>43031.41945601851</v>
      </c>
      <c r="B6319" s="20" t="str">
        <f>HYPERLINK("https://twitter.com/dpoeaton","@dpoeaton")</f>
        <v>@dpoeaton</v>
      </c>
      <c r="C6319" s="21" t="s">
        <v>14229</v>
      </c>
      <c r="D6319" s="21" t="s">
        <v>14230</v>
      </c>
      <c r="E6319" s="22" t="str">
        <f>HYPERLINK("https://twitter.com/dpoeaton/status/922508925911601152","922508925911601152")</f>
        <v>922508925911601152</v>
      </c>
      <c r="F6319" s="23" t="s">
        <v>39</v>
      </c>
      <c r="G6319" s="24">
        <v>321.0</v>
      </c>
      <c r="H6319" s="24">
        <v>359.0</v>
      </c>
      <c r="I6319" s="24">
        <v>1.0</v>
      </c>
      <c r="J6319" s="24">
        <v>0.0</v>
      </c>
      <c r="K6319" s="23" t="s">
        <v>34</v>
      </c>
      <c r="L6319" s="25">
        <v>41065.48290509259</v>
      </c>
      <c r="M6319" s="26" t="s">
        <v>334</v>
      </c>
      <c r="N6319" s="26" t="s">
        <v>14231</v>
      </c>
      <c r="O6319" s="22" t="str">
        <f>HYPERLINK("https://pbs.twimg.com/profile_images/642820218042077186/spl4Um8W_normal.jpg","View")</f>
        <v>View</v>
      </c>
      <c r="P6319" s="27"/>
    </row>
    <row r="6320">
      <c r="A6320" s="14">
        <v>43031.41951388889</v>
      </c>
      <c r="B6320" s="20" t="str">
        <f>HYPERLINK("https://twitter.com/itsme_inhell","@itsme_inhell")</f>
        <v>@itsme_inhell</v>
      </c>
      <c r="C6320" s="21" t="s">
        <v>14232</v>
      </c>
      <c r="D6320" s="21" t="s">
        <v>42</v>
      </c>
      <c r="E6320" s="22" t="str">
        <f>HYPERLINK("https://twitter.com/itsme_inhell/status/922508944781729792","922508944781729792")</f>
        <v>922508944781729792</v>
      </c>
      <c r="F6320" s="23" t="s">
        <v>33</v>
      </c>
      <c r="G6320" s="24">
        <v>21.0</v>
      </c>
      <c r="H6320" s="24">
        <v>106.0</v>
      </c>
      <c r="I6320" s="24">
        <v>8501.0</v>
      </c>
      <c r="J6320" s="24">
        <v>0.0</v>
      </c>
      <c r="K6320" s="23" t="s">
        <v>34</v>
      </c>
      <c r="L6320" s="25">
        <v>41725.937673611115</v>
      </c>
      <c r="M6320" s="28"/>
      <c r="N6320" s="26" t="s">
        <v>14233</v>
      </c>
      <c r="O6320" s="22" t="str">
        <f>HYPERLINK("https://pbs.twimg.com/profile_images/883726595554287616/Kn454ulI_normal.jpg","View")</f>
        <v>View</v>
      </c>
      <c r="P6320" s="27"/>
    </row>
    <row r="6321">
      <c r="A6321" s="14">
        <v>43031.4197337963</v>
      </c>
      <c r="B6321" s="20" t="str">
        <f>HYPERLINK("https://twitter.com/satish_chat","@satish_chat")</f>
        <v>@satish_chat</v>
      </c>
      <c r="C6321" s="21" t="s">
        <v>14234</v>
      </c>
      <c r="D6321" s="21" t="s">
        <v>42</v>
      </c>
      <c r="E6321" s="22" t="str">
        <f>HYPERLINK("https://twitter.com/satish_chat/status/922509023097716736","922509023097716736")</f>
        <v>922509023097716736</v>
      </c>
      <c r="F6321" s="23" t="s">
        <v>33</v>
      </c>
      <c r="G6321" s="24">
        <v>44.0</v>
      </c>
      <c r="H6321" s="24">
        <v>122.0</v>
      </c>
      <c r="I6321" s="24">
        <v>8501.0</v>
      </c>
      <c r="J6321" s="24">
        <v>0.0</v>
      </c>
      <c r="K6321" s="23" t="s">
        <v>34</v>
      </c>
      <c r="L6321" s="25">
        <v>42483.19579861111</v>
      </c>
      <c r="M6321" s="28"/>
      <c r="N6321" s="28"/>
      <c r="O6321" s="22" t="str">
        <f>HYPERLINK("https://pbs.twimg.com/profile_images/723840839231873024/_hj_59qX_normal.jpg","View")</f>
        <v>View</v>
      </c>
      <c r="P6321" s="27"/>
    </row>
    <row r="6322">
      <c r="A6322" s="14">
        <v>43031.4197337963</v>
      </c>
      <c r="B6322" s="20" t="str">
        <f>HYPERLINK("https://twitter.com/PheniceMccall","@PheniceMccall")</f>
        <v>@PheniceMccall</v>
      </c>
      <c r="C6322" s="21" t="s">
        <v>14235</v>
      </c>
      <c r="D6322" s="21" t="s">
        <v>6403</v>
      </c>
      <c r="E6322" s="22" t="str">
        <f>HYPERLINK("https://twitter.com/PheniceMccall/status/922509023936696321","922509023936696321")</f>
        <v>922509023936696321</v>
      </c>
      <c r="F6322" s="23" t="s">
        <v>230</v>
      </c>
      <c r="G6322" s="24">
        <v>79.0</v>
      </c>
      <c r="H6322" s="24">
        <v>123.0</v>
      </c>
      <c r="I6322" s="24">
        <v>97.0</v>
      </c>
      <c r="J6322" s="24">
        <v>0.0</v>
      </c>
      <c r="K6322" s="23" t="s">
        <v>34</v>
      </c>
      <c r="L6322" s="25">
        <v>42565.4399537037</v>
      </c>
      <c r="M6322" s="28"/>
      <c r="N6322" s="28"/>
      <c r="O6322" s="22" t="str">
        <f>HYPERLINK("https://abs.twimg.com/sticky/default_profile_images/default_profile_normal.png","View")</f>
        <v>View</v>
      </c>
      <c r="P6322" s="27"/>
    </row>
    <row r="6323">
      <c r="A6323" s="14">
        <v>43031.41978009259</v>
      </c>
      <c r="B6323" s="20" t="str">
        <f>HYPERLINK("https://twitter.com/asahaze","@asahaze")</f>
        <v>@asahaze</v>
      </c>
      <c r="C6323" s="21" t="s">
        <v>14236</v>
      </c>
      <c r="D6323" s="21" t="s">
        <v>42</v>
      </c>
      <c r="E6323" s="22" t="str">
        <f>HYPERLINK("https://twitter.com/asahaze/status/922509041267499008","922509041267499008")</f>
        <v>922509041267499008</v>
      </c>
      <c r="F6323" s="23" t="s">
        <v>55</v>
      </c>
      <c r="G6323" s="24">
        <v>494.0</v>
      </c>
      <c r="H6323" s="24">
        <v>441.0</v>
      </c>
      <c r="I6323" s="24">
        <v>8501.0</v>
      </c>
      <c r="J6323" s="24">
        <v>0.0</v>
      </c>
      <c r="K6323" s="23" t="s">
        <v>34</v>
      </c>
      <c r="L6323" s="25">
        <v>40667.483819444446</v>
      </c>
      <c r="M6323" s="28"/>
      <c r="N6323" s="26" t="s">
        <v>14237</v>
      </c>
      <c r="O6323" s="22" t="str">
        <f>HYPERLINK("https://pbs.twimg.com/profile_images/550312755505295361/PrGl6ct2_normal.jpeg","View")</f>
        <v>View</v>
      </c>
      <c r="P6323" s="27"/>
    </row>
    <row r="6324">
      <c r="A6324" s="14">
        <v>43031.41983796297</v>
      </c>
      <c r="B6324" s="20" t="str">
        <f>HYPERLINK("https://twitter.com/alt_media_today","@alt_media_today")</f>
        <v>@alt_media_today</v>
      </c>
      <c r="C6324" s="21" t="s">
        <v>4304</v>
      </c>
      <c r="D6324" s="21" t="s">
        <v>14238</v>
      </c>
      <c r="E6324" s="22" t="str">
        <f>HYPERLINK("https://twitter.com/alt_media_today/status/922509062759096320","922509062759096320")</f>
        <v>922509062759096320</v>
      </c>
      <c r="F6324" s="30" t="s">
        <v>411</v>
      </c>
      <c r="G6324" s="24">
        <v>8748.0</v>
      </c>
      <c r="H6324" s="24">
        <v>4962.0</v>
      </c>
      <c r="I6324" s="24">
        <v>0.0</v>
      </c>
      <c r="J6324" s="24">
        <v>0.0</v>
      </c>
      <c r="K6324" s="23" t="s">
        <v>34</v>
      </c>
      <c r="L6324" s="25">
        <v>42287.68697916667</v>
      </c>
      <c r="M6324" s="28"/>
      <c r="N6324" s="26" t="s">
        <v>4306</v>
      </c>
      <c r="O6324" s="22" t="str">
        <f>HYPERLINK("https://pbs.twimg.com/profile_images/652996185901260801/KqCtDZcN_normal.jpg","View")</f>
        <v>View</v>
      </c>
      <c r="P6324" s="27"/>
    </row>
    <row r="6325">
      <c r="A6325" s="14">
        <v>43031.42003472222</v>
      </c>
      <c r="B6325" s="20" t="str">
        <f>HYPERLINK("https://twitter.com/RajaYad54136102","@RajaYad54136102")</f>
        <v>@RajaYad54136102</v>
      </c>
      <c r="C6325" s="21" t="s">
        <v>14239</v>
      </c>
      <c r="D6325" s="21" t="s">
        <v>42</v>
      </c>
      <c r="E6325" s="22" t="str">
        <f>HYPERLINK("https://twitter.com/RajaYad54136102/status/922509131629527040","922509131629527040")</f>
        <v>922509131629527040</v>
      </c>
      <c r="F6325" s="23" t="s">
        <v>33</v>
      </c>
      <c r="G6325" s="24">
        <v>1.0</v>
      </c>
      <c r="H6325" s="24">
        <v>68.0</v>
      </c>
      <c r="I6325" s="24">
        <v>8501.0</v>
      </c>
      <c r="J6325" s="24">
        <v>0.0</v>
      </c>
      <c r="K6325" s="23" t="s">
        <v>34</v>
      </c>
      <c r="L6325" s="25">
        <v>43031.412523148145</v>
      </c>
      <c r="M6325" s="28"/>
      <c r="N6325" s="28"/>
      <c r="O6325" s="22" t="str">
        <f>HYPERLINK("https://abs.twimg.com/sticky/default_profile_images/default_profile_normal.png","View")</f>
        <v>View</v>
      </c>
      <c r="P6325" s="27"/>
    </row>
    <row r="6326">
      <c r="A6326" s="14">
        <v>43031.4200925926</v>
      </c>
      <c r="B6326" s="20" t="str">
        <f>HYPERLINK("https://twitter.com/Dharmvir09","@Dharmvir09")</f>
        <v>@Dharmvir09</v>
      </c>
      <c r="C6326" s="21" t="s">
        <v>14240</v>
      </c>
      <c r="D6326" s="21" t="s">
        <v>14241</v>
      </c>
      <c r="E6326" s="22" t="str">
        <f>HYPERLINK("https://twitter.com/Dharmvir09/status/922509152664084482","922509152664084482")</f>
        <v>922509152664084482</v>
      </c>
      <c r="F6326" s="23" t="s">
        <v>33</v>
      </c>
      <c r="G6326" s="24">
        <v>5489.0</v>
      </c>
      <c r="H6326" s="24">
        <v>6014.0</v>
      </c>
      <c r="I6326" s="24">
        <v>1.0</v>
      </c>
      <c r="J6326" s="24">
        <v>0.0</v>
      </c>
      <c r="K6326" s="23" t="s">
        <v>34</v>
      </c>
      <c r="L6326" s="25">
        <v>42120.4783449074</v>
      </c>
      <c r="M6326" s="26" t="s">
        <v>14242</v>
      </c>
      <c r="N6326" s="26" t="s">
        <v>14243</v>
      </c>
      <c r="O6326" s="22" t="str">
        <f>HYPERLINK("https://pbs.twimg.com/profile_images/839547243694796801/zTpVnEuJ_normal.jpg","View")</f>
        <v>View</v>
      </c>
      <c r="P6326" s="27"/>
    </row>
    <row r="6327">
      <c r="A6327" s="14">
        <v>43031.4203125</v>
      </c>
      <c r="B6327" s="20" t="str">
        <f>HYPERLINK("https://twitter.com/Ken__Thompson","@Ken__Thompson")</f>
        <v>@Ken__Thompson</v>
      </c>
      <c r="C6327" s="21" t="s">
        <v>14244</v>
      </c>
      <c r="D6327" s="21" t="s">
        <v>14245</v>
      </c>
      <c r="E6327" s="22" t="str">
        <f>HYPERLINK("https://twitter.com/Ken__Thompson/status/922509232435589121","922509232435589121")</f>
        <v>922509232435589121</v>
      </c>
      <c r="F6327" s="23" t="s">
        <v>55</v>
      </c>
      <c r="G6327" s="24">
        <v>154.0</v>
      </c>
      <c r="H6327" s="24">
        <v>622.0</v>
      </c>
      <c r="I6327" s="24">
        <v>0.0</v>
      </c>
      <c r="J6327" s="24">
        <v>0.0</v>
      </c>
      <c r="K6327" s="23" t="s">
        <v>34</v>
      </c>
      <c r="L6327" s="25">
        <v>41059.888391203705</v>
      </c>
      <c r="M6327" s="26" t="s">
        <v>1964</v>
      </c>
      <c r="N6327" s="26" t="s">
        <v>14246</v>
      </c>
      <c r="O6327" s="22" t="str">
        <f>HYPERLINK("https://pbs.twimg.com/profile_images/796788052656029696/MGPI8SMZ_normal.jpg","View")</f>
        <v>View</v>
      </c>
      <c r="P6327" s="27"/>
    </row>
    <row r="6328">
      <c r="A6328" s="14">
        <v>43031.420381944445</v>
      </c>
      <c r="B6328" s="20" t="str">
        <f>HYPERLINK("https://twitter.com/bishakha","@bishakha")</f>
        <v>@bishakha</v>
      </c>
      <c r="C6328" s="21" t="s">
        <v>14247</v>
      </c>
      <c r="D6328" s="21" t="s">
        <v>13962</v>
      </c>
      <c r="E6328" s="22" t="str">
        <f>HYPERLINK("https://twitter.com/bishakha/status/922509258276577280","922509258276577280")</f>
        <v>922509258276577280</v>
      </c>
      <c r="F6328" s="23" t="s">
        <v>39</v>
      </c>
      <c r="G6328" s="24">
        <v>260.0</v>
      </c>
      <c r="H6328" s="24">
        <v>1616.0</v>
      </c>
      <c r="I6328" s="24">
        <v>18.0</v>
      </c>
      <c r="J6328" s="24">
        <v>0.0</v>
      </c>
      <c r="K6328" s="23" t="s">
        <v>34</v>
      </c>
      <c r="L6328" s="25">
        <v>39919.374375</v>
      </c>
      <c r="M6328" s="28"/>
      <c r="N6328" s="26" t="s">
        <v>14248</v>
      </c>
      <c r="O6328" s="22" t="str">
        <f>HYPERLINK("https://pbs.twimg.com/profile_images/1306997409/Hydrangeas_normal.jpg","View")</f>
        <v>View</v>
      </c>
      <c r="P6328" s="27"/>
    </row>
    <row r="6329">
      <c r="A6329" s="14">
        <v>43031.42045138888</v>
      </c>
      <c r="B6329" s="20" t="str">
        <f>HYPERLINK("https://twitter.com/rit20384","@rit20384")</f>
        <v>@rit20384</v>
      </c>
      <c r="C6329" s="21" t="s">
        <v>14249</v>
      </c>
      <c r="D6329" s="21" t="s">
        <v>42</v>
      </c>
      <c r="E6329" s="22" t="str">
        <f>HYPERLINK("https://twitter.com/rit20384/status/922509282792181760","922509282792181760")</f>
        <v>922509282792181760</v>
      </c>
      <c r="F6329" s="23" t="s">
        <v>33</v>
      </c>
      <c r="G6329" s="24">
        <v>184.0</v>
      </c>
      <c r="H6329" s="24">
        <v>397.0</v>
      </c>
      <c r="I6329" s="24">
        <v>8501.0</v>
      </c>
      <c r="J6329" s="24">
        <v>0.0</v>
      </c>
      <c r="K6329" s="23" t="s">
        <v>34</v>
      </c>
      <c r="L6329" s="25">
        <v>42215.046956018516</v>
      </c>
      <c r="M6329" s="26" t="s">
        <v>204</v>
      </c>
      <c r="N6329" s="28"/>
      <c r="O6329" s="22" t="str">
        <f>HYPERLINK("https://pbs.twimg.com/profile_images/909132483702145024/yEfImjDF_normal.jpg","View")</f>
        <v>View</v>
      </c>
      <c r="P6329" s="27"/>
    </row>
    <row r="6330">
      <c r="A6330" s="14">
        <v>43031.42071759259</v>
      </c>
      <c r="B6330" s="20" t="str">
        <f>HYPERLINK("https://twitter.com/IbrahimHossainA","@IbrahimHossainA")</f>
        <v>@IbrahimHossainA</v>
      </c>
      <c r="C6330" s="21" t="s">
        <v>14250</v>
      </c>
      <c r="D6330" s="21" t="s">
        <v>14251</v>
      </c>
      <c r="E6330" s="22" t="str">
        <f>HYPERLINK("https://twitter.com/IbrahimHossainA/status/922509380377038848","922509380377038848")</f>
        <v>922509380377038848</v>
      </c>
      <c r="F6330" s="23" t="s">
        <v>187</v>
      </c>
      <c r="G6330" s="24">
        <v>1261.0</v>
      </c>
      <c r="H6330" s="24">
        <v>1871.0</v>
      </c>
      <c r="I6330" s="24">
        <v>0.0</v>
      </c>
      <c r="J6330" s="24">
        <v>0.0</v>
      </c>
      <c r="K6330" s="23" t="s">
        <v>34</v>
      </c>
      <c r="L6330" s="25">
        <v>42708.4203125</v>
      </c>
      <c r="M6330" s="26" t="s">
        <v>7210</v>
      </c>
      <c r="N6330" s="26" t="s">
        <v>14252</v>
      </c>
      <c r="O6330" s="22" t="str">
        <f>HYPERLINK("https://pbs.twimg.com/profile_images/856152910060584961/HrdKYh8E_normal.jpg","View")</f>
        <v>View</v>
      </c>
      <c r="P6330" s="27"/>
    </row>
    <row r="6331">
      <c r="A6331" s="14">
        <v>43031.42071759259</v>
      </c>
      <c r="B6331" s="20" t="str">
        <f>HYPERLINK("https://twitter.com/njgarg","@njgarg")</f>
        <v>@njgarg</v>
      </c>
      <c r="C6331" s="21" t="s">
        <v>14253</v>
      </c>
      <c r="D6331" s="21" t="s">
        <v>14254</v>
      </c>
      <c r="E6331" s="22" t="str">
        <f>HYPERLINK("https://twitter.com/njgarg/status/922509382461591553","922509382461591553")</f>
        <v>922509382461591553</v>
      </c>
      <c r="F6331" s="23" t="s">
        <v>55</v>
      </c>
      <c r="G6331" s="24">
        <v>79.0</v>
      </c>
      <c r="H6331" s="24">
        <v>131.0</v>
      </c>
      <c r="I6331" s="24">
        <v>0.0</v>
      </c>
      <c r="J6331" s="24">
        <v>0.0</v>
      </c>
      <c r="K6331" s="23" t="s">
        <v>34</v>
      </c>
      <c r="L6331" s="25">
        <v>41381.60357638889</v>
      </c>
      <c r="M6331" s="26" t="s">
        <v>3187</v>
      </c>
      <c r="N6331" s="26" t="s">
        <v>14255</v>
      </c>
      <c r="O6331" s="22" t="str">
        <f>HYPERLINK("https://pbs.twimg.com/profile_images/492286807623467009/Sr3mNzHO_normal.jpeg","View")</f>
        <v>View</v>
      </c>
      <c r="P6331" s="27"/>
    </row>
    <row r="6332">
      <c r="A6332" s="14">
        <v>43031.420902777776</v>
      </c>
      <c r="B6332" s="20" t="str">
        <f>HYPERLINK("https://twitter.com/Purohitdeep89","@Purohitdeep89")</f>
        <v>@Purohitdeep89</v>
      </c>
      <c r="C6332" s="21" t="s">
        <v>14256</v>
      </c>
      <c r="D6332" s="21" t="s">
        <v>42</v>
      </c>
      <c r="E6332" s="22" t="str">
        <f>HYPERLINK("https://twitter.com/Purohitdeep89/status/922509446529421317","922509446529421317")</f>
        <v>922509446529421317</v>
      </c>
      <c r="F6332" s="23" t="s">
        <v>33</v>
      </c>
      <c r="G6332" s="24">
        <v>592.0</v>
      </c>
      <c r="H6332" s="24">
        <v>226.0</v>
      </c>
      <c r="I6332" s="24">
        <v>8501.0</v>
      </c>
      <c r="J6332" s="24">
        <v>0.0</v>
      </c>
      <c r="K6332" s="23" t="s">
        <v>34</v>
      </c>
      <c r="L6332" s="25">
        <v>42013.96320601852</v>
      </c>
      <c r="M6332" s="26" t="s">
        <v>14257</v>
      </c>
      <c r="N6332" s="26" t="s">
        <v>14258</v>
      </c>
      <c r="O6332" s="22" t="str">
        <f>HYPERLINK("https://pbs.twimg.com/profile_images/865970165946753024/b19qqmPh_normal.jpg","View")</f>
        <v>View</v>
      </c>
      <c r="P6332" s="27"/>
    </row>
    <row r="6333">
      <c r="A6333" s="14">
        <v>43031.42091435185</v>
      </c>
      <c r="B6333" s="20" t="str">
        <f>HYPERLINK("https://twitter.com/bharatbadalraha","@bharatbadalraha")</f>
        <v>@bharatbadalraha</v>
      </c>
      <c r="C6333" s="21" t="s">
        <v>2725</v>
      </c>
      <c r="D6333" s="21" t="s">
        <v>42</v>
      </c>
      <c r="E6333" s="22" t="str">
        <f>HYPERLINK("https://twitter.com/bharatbadalraha/status/922509452720291840","922509452720291840")</f>
        <v>922509452720291840</v>
      </c>
      <c r="F6333" s="23" t="s">
        <v>33</v>
      </c>
      <c r="G6333" s="24">
        <v>51.0</v>
      </c>
      <c r="H6333" s="24">
        <v>226.0</v>
      </c>
      <c r="I6333" s="24">
        <v>8501.0</v>
      </c>
      <c r="J6333" s="24">
        <v>0.0</v>
      </c>
      <c r="K6333" s="23" t="s">
        <v>34</v>
      </c>
      <c r="L6333" s="25">
        <v>42893.169583333336</v>
      </c>
      <c r="M6333" s="26" t="s">
        <v>204</v>
      </c>
      <c r="N6333" s="26" t="s">
        <v>14259</v>
      </c>
      <c r="O6333" s="22" t="str">
        <f>HYPERLINK("https://pbs.twimg.com/profile_images/885208446643060737/4QBUMa5B_normal.jpg","View")</f>
        <v>View</v>
      </c>
      <c r="P6333" s="27"/>
    </row>
    <row r="6334">
      <c r="A6334" s="14">
        <v>43031.420949074076</v>
      </c>
      <c r="B6334" s="20" t="str">
        <f>HYPERLINK("https://twitter.com/VikramB029","@VikramB029")</f>
        <v>@VikramB029</v>
      </c>
      <c r="C6334" s="21" t="s">
        <v>14260</v>
      </c>
      <c r="D6334" s="21" t="s">
        <v>42</v>
      </c>
      <c r="E6334" s="22" t="str">
        <f>HYPERLINK("https://twitter.com/VikramB029/status/922509465965936640","922509465965936640")</f>
        <v>922509465965936640</v>
      </c>
      <c r="F6334" s="23" t="s">
        <v>33</v>
      </c>
      <c r="G6334" s="24">
        <v>3.0</v>
      </c>
      <c r="H6334" s="24">
        <v>39.0</v>
      </c>
      <c r="I6334" s="24">
        <v>8501.0</v>
      </c>
      <c r="J6334" s="24">
        <v>0.0</v>
      </c>
      <c r="K6334" s="23" t="s">
        <v>34</v>
      </c>
      <c r="L6334" s="25">
        <v>42974.19247685185</v>
      </c>
      <c r="M6334" s="28"/>
      <c r="N6334" s="28"/>
      <c r="O6334" s="22" t="str">
        <f>HYPERLINK("https://pbs.twimg.com/profile_images/901773961662349314/CnBq8hsi_normal.jpg","View")</f>
        <v>View</v>
      </c>
      <c r="P6334" s="27"/>
    </row>
    <row r="6335">
      <c r="A6335" s="14">
        <v>43031.421006944445</v>
      </c>
      <c r="B6335" s="20" t="str">
        <f>HYPERLINK("https://twitter.com/KavaleG","@KavaleG")</f>
        <v>@KavaleG</v>
      </c>
      <c r="C6335" s="21" t="s">
        <v>14261</v>
      </c>
      <c r="D6335" s="21" t="s">
        <v>14262</v>
      </c>
      <c r="E6335" s="22" t="str">
        <f>HYPERLINK("https://twitter.com/KavaleG/status/922509485712613376","922509485712613376")</f>
        <v>922509485712613376</v>
      </c>
      <c r="F6335" s="23" t="s">
        <v>55</v>
      </c>
      <c r="G6335" s="24">
        <v>38.0</v>
      </c>
      <c r="H6335" s="24">
        <v>69.0</v>
      </c>
      <c r="I6335" s="24">
        <v>0.0</v>
      </c>
      <c r="J6335" s="24">
        <v>0.0</v>
      </c>
      <c r="K6335" s="23" t="s">
        <v>34</v>
      </c>
      <c r="L6335" s="25">
        <v>42244.779282407406</v>
      </c>
      <c r="M6335" s="26" t="s">
        <v>14263</v>
      </c>
      <c r="N6335" s="28"/>
      <c r="O6335" s="22" t="str">
        <f>HYPERLINK("https://pbs.twimg.com/profile_images/886425752278663169/1_bWuFT9_normal.jpg","View")</f>
        <v>View</v>
      </c>
      <c r="P6335" s="27"/>
    </row>
    <row r="6336">
      <c r="A6336" s="14">
        <v>43031.42115740741</v>
      </c>
      <c r="B6336" s="20" t="str">
        <f>HYPERLINK("https://twitter.com/pie_chucker","@pie_chucker")</f>
        <v>@pie_chucker</v>
      </c>
      <c r="C6336" s="21" t="s">
        <v>14264</v>
      </c>
      <c r="D6336" s="21" t="s">
        <v>42</v>
      </c>
      <c r="E6336" s="22" t="str">
        <f>HYPERLINK("https://twitter.com/pie_chucker/status/922509539529732096","922509539529732096")</f>
        <v>922509539529732096</v>
      </c>
      <c r="F6336" s="23" t="s">
        <v>39</v>
      </c>
      <c r="G6336" s="24">
        <v>332.0</v>
      </c>
      <c r="H6336" s="24">
        <v>594.0</v>
      </c>
      <c r="I6336" s="24">
        <v>8501.0</v>
      </c>
      <c r="J6336" s="24">
        <v>0.0</v>
      </c>
      <c r="K6336" s="23" t="s">
        <v>34</v>
      </c>
      <c r="L6336" s="25">
        <v>41019.835543981484</v>
      </c>
      <c r="M6336" s="26" t="s">
        <v>14265</v>
      </c>
      <c r="N6336" s="26" t="s">
        <v>14266</v>
      </c>
      <c r="O6336" s="22" t="str">
        <f>HYPERLINK("https://pbs.twimg.com/profile_images/817573662937055232/i2eGbGfz_normal.jpg","View")</f>
        <v>View</v>
      </c>
      <c r="P6336" s="27"/>
    </row>
    <row r="6337">
      <c r="A6337" s="14">
        <v>43031.42123842593</v>
      </c>
      <c r="B6337" s="20" t="str">
        <f>HYPERLINK("https://twitter.com/pradhan_donald","@pradhan_donald")</f>
        <v>@pradhan_donald</v>
      </c>
      <c r="C6337" s="21" t="s">
        <v>14267</v>
      </c>
      <c r="D6337" s="21" t="s">
        <v>14268</v>
      </c>
      <c r="E6337" s="22" t="str">
        <f>HYPERLINK("https://twitter.com/pradhan_donald/status/922509567925264384","922509567925264384")</f>
        <v>922509567925264384</v>
      </c>
      <c r="F6337" s="23" t="s">
        <v>33</v>
      </c>
      <c r="G6337" s="24">
        <v>119.0</v>
      </c>
      <c r="H6337" s="24">
        <v>409.0</v>
      </c>
      <c r="I6337" s="24">
        <v>17.0</v>
      </c>
      <c r="J6337" s="24">
        <v>0.0</v>
      </c>
      <c r="K6337" s="23" t="s">
        <v>34</v>
      </c>
      <c r="L6337" s="25">
        <v>42930.06623842593</v>
      </c>
      <c r="M6337" s="26" t="s">
        <v>14269</v>
      </c>
      <c r="N6337" s="26" t="s">
        <v>14270</v>
      </c>
      <c r="O6337" s="22" t="str">
        <f>HYPERLINK("https://pbs.twimg.com/profile_images/902408330219470848/9eUb-0_6_normal.jpg","View")</f>
        <v>View</v>
      </c>
      <c r="P6337" s="27"/>
    </row>
    <row r="6338">
      <c r="A6338" s="14">
        <v>43031.42123842593</v>
      </c>
      <c r="B6338" s="20" t="str">
        <f>HYPERLINK("https://twitter.com/SanjuSi3","@SanjuSi3")</f>
        <v>@SanjuSi3</v>
      </c>
      <c r="C6338" s="21" t="s">
        <v>14271</v>
      </c>
      <c r="D6338" s="21" t="s">
        <v>42</v>
      </c>
      <c r="E6338" s="22" t="str">
        <f>HYPERLINK("https://twitter.com/SanjuSi3/status/922509568063676416","922509568063676416")</f>
        <v>922509568063676416</v>
      </c>
      <c r="F6338" s="23" t="s">
        <v>33</v>
      </c>
      <c r="G6338" s="24">
        <v>1291.0</v>
      </c>
      <c r="H6338" s="24">
        <v>590.0</v>
      </c>
      <c r="I6338" s="24">
        <v>8501.0</v>
      </c>
      <c r="J6338" s="24">
        <v>0.0</v>
      </c>
      <c r="K6338" s="23" t="s">
        <v>34</v>
      </c>
      <c r="L6338" s="25">
        <v>42887.32780092592</v>
      </c>
      <c r="M6338" s="26" t="s">
        <v>12132</v>
      </c>
      <c r="N6338" s="26" t="s">
        <v>14272</v>
      </c>
      <c r="O6338" s="22" t="str">
        <f>HYPERLINK("https://pbs.twimg.com/profile_images/904206611102576640/V8cy6BoU_normal.jpg","View")</f>
        <v>View</v>
      </c>
      <c r="P6338" s="27"/>
    </row>
    <row r="6339">
      <c r="A6339" s="14">
        <v>43031.42157407408</v>
      </c>
      <c r="B6339" s="20" t="str">
        <f>HYPERLINK("https://twitter.com/WorldNews7777","@WorldNews7777")</f>
        <v>@WorldNews7777</v>
      </c>
      <c r="C6339" s="21" t="s">
        <v>1400</v>
      </c>
      <c r="D6339" s="21" t="s">
        <v>14273</v>
      </c>
      <c r="E6339" s="22" t="str">
        <f>HYPERLINK("https://twitter.com/WorldNews7777/status/922509689404968961","922509689404968961")</f>
        <v>922509689404968961</v>
      </c>
      <c r="F6339" s="23" t="s">
        <v>187</v>
      </c>
      <c r="G6339" s="24">
        <v>6454.0</v>
      </c>
      <c r="H6339" s="24">
        <v>6322.0</v>
      </c>
      <c r="I6339" s="24">
        <v>0.0</v>
      </c>
      <c r="J6339" s="24">
        <v>0.0</v>
      </c>
      <c r="K6339" s="23" t="s">
        <v>34</v>
      </c>
      <c r="L6339" s="25">
        <v>42489.131944444445</v>
      </c>
      <c r="M6339" s="26" t="s">
        <v>68</v>
      </c>
      <c r="N6339" s="26" t="s">
        <v>1402</v>
      </c>
      <c r="O6339" s="22" t="str">
        <f>HYPERLINK("https://pbs.twimg.com/profile_images/736884749566889984/BtAvBgS4_normal.jpg","View")</f>
        <v>View</v>
      </c>
      <c r="P6339" s="27"/>
    </row>
    <row r="6340">
      <c r="A6340" s="14">
        <v>43031.421678240746</v>
      </c>
      <c r="B6340" s="20" t="str">
        <f>HYPERLINK("https://twitter.com/flwrpwr1969","@flwrpwr1969")</f>
        <v>@flwrpwr1969</v>
      </c>
      <c r="C6340" s="21" t="s">
        <v>14274</v>
      </c>
      <c r="D6340" s="21" t="s">
        <v>14275</v>
      </c>
      <c r="E6340" s="22" t="str">
        <f>HYPERLINK("https://twitter.com/flwrpwr1969/status/922509728646881280","922509728646881280")</f>
        <v>922509728646881280</v>
      </c>
      <c r="F6340" s="23" t="s">
        <v>39</v>
      </c>
      <c r="G6340" s="24">
        <v>7684.0</v>
      </c>
      <c r="H6340" s="24">
        <v>7244.0</v>
      </c>
      <c r="I6340" s="24">
        <v>1.0</v>
      </c>
      <c r="J6340" s="24">
        <v>0.0</v>
      </c>
      <c r="K6340" s="23" t="s">
        <v>34</v>
      </c>
      <c r="L6340" s="25">
        <v>41359.652662037035</v>
      </c>
      <c r="M6340" s="26" t="s">
        <v>14276</v>
      </c>
      <c r="N6340" s="26" t="s">
        <v>14277</v>
      </c>
      <c r="O6340" s="22" t="str">
        <f>HYPERLINK("https://pbs.twimg.com/profile_images/378800000122282895/2ec93c73f4b4c254498f725492304d6b_normal.jpeg","View")</f>
        <v>View</v>
      </c>
      <c r="P6340" s="27"/>
    </row>
    <row r="6341">
      <c r="A6341" s="14">
        <v>43031.421701388885</v>
      </c>
      <c r="B6341" s="20" t="str">
        <f>HYPERLINK("https://twitter.com/upaupa99","@upaupa99")</f>
        <v>@upaupa99</v>
      </c>
      <c r="C6341" s="21" t="s">
        <v>14278</v>
      </c>
      <c r="D6341" s="21" t="s">
        <v>42</v>
      </c>
      <c r="E6341" s="22" t="str">
        <f>HYPERLINK("https://twitter.com/upaupa99/status/922509738671185920","922509738671185920")</f>
        <v>922509738671185920</v>
      </c>
      <c r="F6341" s="23" t="s">
        <v>39</v>
      </c>
      <c r="G6341" s="24">
        <v>96.0</v>
      </c>
      <c r="H6341" s="24">
        <v>103.0</v>
      </c>
      <c r="I6341" s="24">
        <v>8501.0</v>
      </c>
      <c r="J6341" s="24">
        <v>0.0</v>
      </c>
      <c r="K6341" s="23" t="s">
        <v>34</v>
      </c>
      <c r="L6341" s="25">
        <v>42264.55599537037</v>
      </c>
      <c r="M6341" s="26" t="s">
        <v>14279</v>
      </c>
      <c r="N6341" s="26" t="s">
        <v>14280</v>
      </c>
      <c r="O6341" s="22" t="str">
        <f>HYPERLINK("https://pbs.twimg.com/profile_images/917050386065760257/1zhRdYiw_normal.jpg","View")</f>
        <v>View</v>
      </c>
      <c r="P6341" s="27"/>
    </row>
    <row r="6342">
      <c r="A6342" s="14">
        <v>43031.42172453704</v>
      </c>
      <c r="B6342" s="20" t="str">
        <f>HYPERLINK("https://twitter.com/SheilaSmithCFR","@SheilaSmithCFR")</f>
        <v>@SheilaSmithCFR</v>
      </c>
      <c r="C6342" s="21" t="s">
        <v>5595</v>
      </c>
      <c r="D6342" s="21" t="s">
        <v>42</v>
      </c>
      <c r="E6342" s="22" t="str">
        <f>HYPERLINK("https://twitter.com/SheilaSmithCFR/status/922509745357033472","922509745357033472")</f>
        <v>922509745357033472</v>
      </c>
      <c r="F6342" s="23" t="s">
        <v>39</v>
      </c>
      <c r="G6342" s="24">
        <v>4431.0</v>
      </c>
      <c r="H6342" s="24">
        <v>310.0</v>
      </c>
      <c r="I6342" s="24">
        <v>8501.0</v>
      </c>
      <c r="J6342" s="24">
        <v>0.0</v>
      </c>
      <c r="K6342" s="23" t="s">
        <v>34</v>
      </c>
      <c r="L6342" s="25">
        <v>40897.79835648148</v>
      </c>
      <c r="M6342" s="26" t="s">
        <v>4239</v>
      </c>
      <c r="N6342" s="26" t="s">
        <v>5596</v>
      </c>
      <c r="O6342" s="22" t="str">
        <f>HYPERLINK("https://pbs.twimg.com/profile_images/474587797337042945/HOSFbOao_normal.jpeg","View")</f>
        <v>View</v>
      </c>
      <c r="P6342" s="27"/>
    </row>
    <row r="6343">
      <c r="A6343" s="14">
        <v>43031.42186342593</v>
      </c>
      <c r="B6343" s="20" t="str">
        <f>HYPERLINK("https://twitter.com/PaulRenato","@PaulRenato")</f>
        <v>@PaulRenato</v>
      </c>
      <c r="C6343" s="21" t="s">
        <v>14281</v>
      </c>
      <c r="D6343" s="21" t="s">
        <v>8665</v>
      </c>
      <c r="E6343" s="22" t="str">
        <f>HYPERLINK("https://twitter.com/PaulRenato/status/922509795751477248","922509795751477248")</f>
        <v>922509795751477248</v>
      </c>
      <c r="F6343" s="23" t="s">
        <v>39</v>
      </c>
      <c r="G6343" s="24">
        <v>369.0</v>
      </c>
      <c r="H6343" s="24">
        <v>393.0</v>
      </c>
      <c r="I6343" s="24">
        <v>67.0</v>
      </c>
      <c r="J6343" s="24">
        <v>0.0</v>
      </c>
      <c r="K6343" s="23" t="s">
        <v>34</v>
      </c>
      <c r="L6343" s="25">
        <v>39947.29657407408</v>
      </c>
      <c r="M6343" s="26" t="s">
        <v>14282</v>
      </c>
      <c r="N6343" s="26" t="s">
        <v>14283</v>
      </c>
      <c r="O6343" s="22" t="str">
        <f>HYPERLINK("https://pbs.twimg.com/profile_images/918603584886812672/YYUG2l4W_normal.jpg","View")</f>
        <v>View</v>
      </c>
      <c r="P6343" s="27"/>
    </row>
    <row r="6344">
      <c r="A6344" s="14">
        <v>43031.421875</v>
      </c>
      <c r="B6344" s="20" t="str">
        <f>HYPERLINK("https://twitter.com/UjawalKumar8","@UjawalKumar8")</f>
        <v>@UjawalKumar8</v>
      </c>
      <c r="C6344" s="21" t="s">
        <v>14284</v>
      </c>
      <c r="D6344" s="21" t="s">
        <v>42</v>
      </c>
      <c r="E6344" s="22" t="str">
        <f>HYPERLINK("https://twitter.com/UjawalKumar8/status/922509799014547456","922509799014547456")</f>
        <v>922509799014547456</v>
      </c>
      <c r="F6344" s="23" t="s">
        <v>33</v>
      </c>
      <c r="G6344" s="24">
        <v>4.0</v>
      </c>
      <c r="H6344" s="24">
        <v>89.0</v>
      </c>
      <c r="I6344" s="24">
        <v>8501.0</v>
      </c>
      <c r="J6344" s="24">
        <v>0.0</v>
      </c>
      <c r="K6344" s="23" t="s">
        <v>34</v>
      </c>
      <c r="L6344" s="25">
        <v>43012.08508101852</v>
      </c>
      <c r="M6344" s="26" t="s">
        <v>11460</v>
      </c>
      <c r="N6344" s="28"/>
      <c r="O6344" s="22" t="str">
        <f>HYPERLINK("https://pbs.twimg.com/profile_images/921697409532440577/JZeVeHQn_normal.jpg","View")</f>
        <v>View</v>
      </c>
      <c r="P6344" s="27"/>
    </row>
    <row r="6345">
      <c r="A6345" s="14">
        <v>43031.42188657407</v>
      </c>
      <c r="B6345" s="20" t="str">
        <f>HYPERLINK("https://twitter.com/Nishathefan","@Nishathefan")</f>
        <v>@Nishathefan</v>
      </c>
      <c r="C6345" s="21" t="s">
        <v>14285</v>
      </c>
      <c r="D6345" s="21" t="s">
        <v>42</v>
      </c>
      <c r="E6345" s="22" t="str">
        <f>HYPERLINK("https://twitter.com/Nishathefan/status/922509802844012544","922509802844012544")</f>
        <v>922509802844012544</v>
      </c>
      <c r="F6345" s="23" t="s">
        <v>39</v>
      </c>
      <c r="G6345" s="24">
        <v>0.0</v>
      </c>
      <c r="H6345" s="24">
        <v>32.0</v>
      </c>
      <c r="I6345" s="24">
        <v>8501.0</v>
      </c>
      <c r="J6345" s="24">
        <v>0.0</v>
      </c>
      <c r="K6345" s="23" t="s">
        <v>34</v>
      </c>
      <c r="L6345" s="25">
        <v>43031.41096064815</v>
      </c>
      <c r="M6345" s="28"/>
      <c r="N6345" s="26" t="s">
        <v>14286</v>
      </c>
      <c r="O6345" s="22" t="str">
        <f>HYPERLINK("https://pbs.twimg.com/profile_images/922521122238640128/kP80s9cQ_normal.jpg","View")</f>
        <v>View</v>
      </c>
      <c r="P6345" s="27"/>
    </row>
    <row r="6346">
      <c r="A6346" s="14">
        <v>43031.421944444446</v>
      </c>
      <c r="B6346" s="20" t="str">
        <f>HYPERLINK("https://twitter.com/1966Persia","@1966Persia")</f>
        <v>@1966Persia</v>
      </c>
      <c r="C6346" s="21" t="s">
        <v>14287</v>
      </c>
      <c r="D6346" s="21" t="s">
        <v>12974</v>
      </c>
      <c r="E6346" s="22" t="str">
        <f>HYPERLINK("https://twitter.com/1966Persia/status/922509824356700160","922509824356700160")</f>
        <v>922509824356700160</v>
      </c>
      <c r="F6346" s="23" t="s">
        <v>33</v>
      </c>
      <c r="G6346" s="24">
        <v>491.0</v>
      </c>
      <c r="H6346" s="24">
        <v>369.0</v>
      </c>
      <c r="I6346" s="24">
        <v>110.0</v>
      </c>
      <c r="J6346" s="24">
        <v>0.0</v>
      </c>
      <c r="K6346" s="23" t="s">
        <v>34</v>
      </c>
      <c r="L6346" s="25">
        <v>41530.66105324074</v>
      </c>
      <c r="M6346" s="28"/>
      <c r="N6346" s="26" t="s">
        <v>14288</v>
      </c>
      <c r="O6346" s="22" t="str">
        <f>HYPERLINK("https://pbs.twimg.com/profile_images/891409337331191808/reOKJo0u_normal.jpg","View")</f>
        <v>View</v>
      </c>
      <c r="P6346" s="27"/>
    </row>
    <row r="6347">
      <c r="A6347" s="14">
        <v>43031.421944444446</v>
      </c>
      <c r="B6347" s="20" t="str">
        <f>HYPERLINK("https://twitter.com/jai_simha","@jai_simha")</f>
        <v>@jai_simha</v>
      </c>
      <c r="C6347" s="21" t="s">
        <v>14289</v>
      </c>
      <c r="D6347" s="21" t="s">
        <v>42</v>
      </c>
      <c r="E6347" s="22" t="str">
        <f>HYPERLINK("https://twitter.com/jai_simha/status/922509827573608449","922509827573608449")</f>
        <v>922509827573608449</v>
      </c>
      <c r="F6347" s="23" t="s">
        <v>33</v>
      </c>
      <c r="G6347" s="24">
        <v>382.0</v>
      </c>
      <c r="H6347" s="24">
        <v>831.0</v>
      </c>
      <c r="I6347" s="24">
        <v>8501.0</v>
      </c>
      <c r="J6347" s="24">
        <v>0.0</v>
      </c>
      <c r="K6347" s="23" t="s">
        <v>34</v>
      </c>
      <c r="L6347" s="25">
        <v>40090.92774305555</v>
      </c>
      <c r="M6347" s="26" t="s">
        <v>14290</v>
      </c>
      <c r="N6347" s="26" t="s">
        <v>14291</v>
      </c>
      <c r="O6347" s="22" t="str">
        <f>HYPERLINK("https://pbs.twimg.com/profile_images/910410069803597824/bSD7eBXM_normal.jpg","View")</f>
        <v>View</v>
      </c>
      <c r="P6347" s="27"/>
    </row>
    <row r="6348">
      <c r="A6348" s="14">
        <v>43031.42209490741</v>
      </c>
      <c r="B6348" s="20" t="str">
        <f>HYPERLINK("https://twitter.com/BriceRosen","@BriceRosen")</f>
        <v>@BriceRosen</v>
      </c>
      <c r="C6348" s="21" t="s">
        <v>14292</v>
      </c>
      <c r="D6348" s="21" t="s">
        <v>14293</v>
      </c>
      <c r="E6348" s="22" t="str">
        <f>HYPERLINK("https://twitter.com/BriceRosen/status/922509881038528512","922509881038528512")</f>
        <v>922509881038528512</v>
      </c>
      <c r="F6348" s="23" t="s">
        <v>33</v>
      </c>
      <c r="G6348" s="24">
        <v>897.0</v>
      </c>
      <c r="H6348" s="24">
        <v>1615.0</v>
      </c>
      <c r="I6348" s="24">
        <v>1.0</v>
      </c>
      <c r="J6348" s="24">
        <v>0.0</v>
      </c>
      <c r="K6348" s="23" t="s">
        <v>34</v>
      </c>
      <c r="L6348" s="25">
        <v>42991.374375</v>
      </c>
      <c r="M6348" s="26" t="s">
        <v>14294</v>
      </c>
      <c r="N6348" s="26" t="s">
        <v>14295</v>
      </c>
      <c r="O6348" s="22" t="str">
        <f>HYPERLINK("https://pbs.twimg.com/profile_images/908019150684950528/zGADLuqc_normal.jpg","View")</f>
        <v>View</v>
      </c>
      <c r="P6348" s="27"/>
    </row>
    <row r="6349">
      <c r="A6349" s="14">
        <v>43031.42210648148</v>
      </c>
      <c r="B6349" s="20" t="str">
        <f>HYPERLINK("https://twitter.com/meerutdotcom","@meerutdotcom")</f>
        <v>@meerutdotcom</v>
      </c>
      <c r="C6349" s="29" t="s">
        <v>14296</v>
      </c>
      <c r="D6349" s="21" t="s">
        <v>14297</v>
      </c>
      <c r="E6349" s="22" t="str">
        <f>HYPERLINK("https://twitter.com/meerutdotcom/status/922509885916491776","922509885916491776")</f>
        <v>922509885916491776</v>
      </c>
      <c r="F6349" s="23" t="s">
        <v>14298</v>
      </c>
      <c r="G6349" s="24">
        <v>111.0</v>
      </c>
      <c r="H6349" s="24">
        <v>0.0</v>
      </c>
      <c r="I6349" s="24">
        <v>0.0</v>
      </c>
      <c r="J6349" s="24">
        <v>0.0</v>
      </c>
      <c r="K6349" s="23" t="s">
        <v>34</v>
      </c>
      <c r="L6349" s="25">
        <v>42648.72708333333</v>
      </c>
      <c r="M6349" s="28"/>
      <c r="N6349" s="28"/>
      <c r="O6349" s="22" t="str">
        <f>HYPERLINK("https://abs.twimg.com/sticky/default_profile_images/default_profile_normal.png","View")</f>
        <v>View</v>
      </c>
      <c r="P6349" s="27"/>
    </row>
    <row r="6350">
      <c r="A6350" s="14">
        <v>43031.422118055554</v>
      </c>
      <c r="B6350" s="20" t="str">
        <f>HYPERLINK("https://twitter.com/jk20019","@jk20019")</f>
        <v>@jk20019</v>
      </c>
      <c r="C6350" s="21" t="s">
        <v>14299</v>
      </c>
      <c r="D6350" s="21" t="s">
        <v>42</v>
      </c>
      <c r="E6350" s="22" t="str">
        <f>HYPERLINK("https://twitter.com/jk20019/status/922509886935543808","922509886935543808")</f>
        <v>922509886935543808</v>
      </c>
      <c r="F6350" s="23" t="s">
        <v>33</v>
      </c>
      <c r="G6350" s="24">
        <v>684.0</v>
      </c>
      <c r="H6350" s="24">
        <v>325.0</v>
      </c>
      <c r="I6350" s="24">
        <v>8501.0</v>
      </c>
      <c r="J6350" s="24">
        <v>0.0</v>
      </c>
      <c r="K6350" s="23" t="s">
        <v>34</v>
      </c>
      <c r="L6350" s="25">
        <v>42791.90524305556</v>
      </c>
      <c r="M6350" s="26" t="s">
        <v>14300</v>
      </c>
      <c r="N6350" s="26" t="s">
        <v>14301</v>
      </c>
      <c r="O6350" s="22" t="str">
        <f>HYPERLINK("https://pbs.twimg.com/profile_images/920934397066452992/qUqXKFhS_normal.jpg","View")</f>
        <v>View</v>
      </c>
      <c r="P6350" s="27"/>
    </row>
    <row r="6351">
      <c r="A6351" s="14">
        <v>43031.4221412037</v>
      </c>
      <c r="B6351" s="20" t="str">
        <f>HYPERLINK("https://twitter.com/anudeepND","@anudeepND")</f>
        <v>@anudeepND</v>
      </c>
      <c r="C6351" s="21" t="s">
        <v>14302</v>
      </c>
      <c r="D6351" s="21" t="s">
        <v>42</v>
      </c>
      <c r="E6351" s="22" t="str">
        <f>HYPERLINK("https://twitter.com/anudeepND/status/922509894929989632","922509894929989632")</f>
        <v>922509894929989632</v>
      </c>
      <c r="F6351" s="23" t="s">
        <v>43</v>
      </c>
      <c r="G6351" s="24">
        <v>21.0</v>
      </c>
      <c r="H6351" s="24">
        <v>53.0</v>
      </c>
      <c r="I6351" s="24">
        <v>8501.0</v>
      </c>
      <c r="J6351" s="24">
        <v>0.0</v>
      </c>
      <c r="K6351" s="23" t="s">
        <v>34</v>
      </c>
      <c r="L6351" s="25">
        <v>42774.348391203705</v>
      </c>
      <c r="M6351" s="28"/>
      <c r="N6351" s="28"/>
      <c r="O6351" s="22" t="str">
        <f>HYPERLINK("https://pbs.twimg.com/profile_images/829389884016164865/ClI6pHNL_normal.jpg","View")</f>
        <v>View</v>
      </c>
      <c r="P6351" s="27"/>
    </row>
    <row r="6352">
      <c r="A6352" s="14">
        <v>43031.42215277778</v>
      </c>
      <c r="B6352" s="20" t="str">
        <f>HYPERLINK("https://twitter.com/StewartTippin","@StewartTippin")</f>
        <v>@StewartTippin</v>
      </c>
      <c r="C6352" s="21" t="s">
        <v>14303</v>
      </c>
      <c r="D6352" s="21" t="s">
        <v>12974</v>
      </c>
      <c r="E6352" s="22" t="str">
        <f>HYPERLINK("https://twitter.com/StewartTippin/status/922509900378492928","922509900378492928")</f>
        <v>922509900378492928</v>
      </c>
      <c r="F6352" s="23" t="s">
        <v>39</v>
      </c>
      <c r="G6352" s="24">
        <v>65.0</v>
      </c>
      <c r="H6352" s="24">
        <v>352.0</v>
      </c>
      <c r="I6352" s="24">
        <v>110.0</v>
      </c>
      <c r="J6352" s="24">
        <v>0.0</v>
      </c>
      <c r="K6352" s="23" t="s">
        <v>34</v>
      </c>
      <c r="L6352" s="25">
        <v>42787.03010416667</v>
      </c>
      <c r="M6352" s="26" t="s">
        <v>334</v>
      </c>
      <c r="N6352" s="28"/>
      <c r="O6352" s="22" t="str">
        <f>HYPERLINK("https://pbs.twimg.com/profile_images/885123618035957760/9VLpudnx_normal.jpg","View")</f>
        <v>View</v>
      </c>
      <c r="P6352" s="27"/>
    </row>
    <row r="6353">
      <c r="A6353" s="14">
        <v>43031.422164351854</v>
      </c>
      <c r="B6353" s="20" t="str">
        <f>HYPERLINK("https://twitter.com/AbhimanyuDhruv","@AbhimanyuDhruv")</f>
        <v>@AbhimanyuDhruv</v>
      </c>
      <c r="C6353" s="21" t="s">
        <v>14304</v>
      </c>
      <c r="D6353" s="21" t="s">
        <v>163</v>
      </c>
      <c r="E6353" s="22" t="str">
        <f>HYPERLINK("https://twitter.com/AbhimanyuDhruv/status/922509905751396353","922509905751396353")</f>
        <v>922509905751396353</v>
      </c>
      <c r="F6353" s="23" t="s">
        <v>39</v>
      </c>
      <c r="G6353" s="24">
        <v>410.0</v>
      </c>
      <c r="H6353" s="24">
        <v>589.0</v>
      </c>
      <c r="I6353" s="24">
        <v>1005.0</v>
      </c>
      <c r="J6353" s="24">
        <v>0.0</v>
      </c>
      <c r="K6353" s="23" t="s">
        <v>34</v>
      </c>
      <c r="L6353" s="25">
        <v>40335.276296296295</v>
      </c>
      <c r="M6353" s="26" t="s">
        <v>96</v>
      </c>
      <c r="N6353" s="28"/>
      <c r="O6353" s="22" t="str">
        <f>HYPERLINK("https://pbs.twimg.com/profile_images/436217361473875968/Q_iJ9aY5_normal.jpeg","View")</f>
        <v>View</v>
      </c>
      <c r="P6353" s="27"/>
    </row>
    <row r="6354">
      <c r="A6354" s="14">
        <v>43031.42217592592</v>
      </c>
      <c r="B6354" s="20" t="str">
        <f>HYPERLINK("https://twitter.com/bjp_dharmesh","@bjp_dharmesh")</f>
        <v>@bjp_dharmesh</v>
      </c>
      <c r="C6354" s="21" t="s">
        <v>14305</v>
      </c>
      <c r="D6354" s="21" t="s">
        <v>42</v>
      </c>
      <c r="E6354" s="22" t="str">
        <f>HYPERLINK("https://twitter.com/bjp_dharmesh/status/922509908766887936","922509908766887936")</f>
        <v>922509908766887936</v>
      </c>
      <c r="F6354" s="23" t="s">
        <v>33</v>
      </c>
      <c r="G6354" s="24">
        <v>53.0</v>
      </c>
      <c r="H6354" s="24">
        <v>749.0</v>
      </c>
      <c r="I6354" s="24">
        <v>8501.0</v>
      </c>
      <c r="J6354" s="24">
        <v>0.0</v>
      </c>
      <c r="K6354" s="23" t="s">
        <v>34</v>
      </c>
      <c r="L6354" s="25">
        <v>42974.19394675926</v>
      </c>
      <c r="M6354" s="26" t="s">
        <v>1633</v>
      </c>
      <c r="N6354" s="26" t="s">
        <v>14306</v>
      </c>
      <c r="O6354" s="22" t="str">
        <f>HYPERLINK("https://pbs.twimg.com/profile_images/911526309427154944/4pVKUB-O_normal.jpg","View")</f>
        <v>View</v>
      </c>
      <c r="P6354" s="27"/>
    </row>
    <row r="6355">
      <c r="A6355" s="14">
        <v>43031.42224537037</v>
      </c>
      <c r="B6355" s="20" t="str">
        <f>HYPERLINK("https://twitter.com/DivyangSolank16","@DivyangSolank16")</f>
        <v>@DivyangSolank16</v>
      </c>
      <c r="C6355" s="21" t="s">
        <v>14307</v>
      </c>
      <c r="D6355" s="21" t="s">
        <v>42</v>
      </c>
      <c r="E6355" s="22" t="str">
        <f>HYPERLINK("https://twitter.com/DivyangSolank16/status/922509935262490624","922509935262490624")</f>
        <v>922509935262490624</v>
      </c>
      <c r="F6355" s="23" t="s">
        <v>33</v>
      </c>
      <c r="G6355" s="24">
        <v>28.0</v>
      </c>
      <c r="H6355" s="24">
        <v>121.0</v>
      </c>
      <c r="I6355" s="24">
        <v>8501.0</v>
      </c>
      <c r="J6355" s="24">
        <v>0.0</v>
      </c>
      <c r="K6355" s="23" t="s">
        <v>34</v>
      </c>
      <c r="L6355" s="25">
        <v>43015.983877314815</v>
      </c>
      <c r="M6355" s="26" t="s">
        <v>14308</v>
      </c>
      <c r="N6355" s="26" t="s">
        <v>14309</v>
      </c>
      <c r="O6355" s="22" t="str">
        <f>HYPERLINK("https://pbs.twimg.com/profile_images/916920076502208513/VOeNZxWQ_normal.jpg","View")</f>
        <v>View</v>
      </c>
      <c r="P6355" s="27"/>
    </row>
    <row r="6356">
      <c r="A6356" s="14">
        <v>43031.42246527778</v>
      </c>
      <c r="B6356" s="20" t="str">
        <f>HYPERLINK("https://twitter.com/unitedgirl566","@unitedgirl566")</f>
        <v>@unitedgirl566</v>
      </c>
      <c r="C6356" s="21" t="s">
        <v>14310</v>
      </c>
      <c r="D6356" s="21" t="s">
        <v>12974</v>
      </c>
      <c r="E6356" s="22" t="str">
        <f>HYPERLINK("https://twitter.com/unitedgirl566/status/922510014149025792","922510014149025792")</f>
        <v>922510014149025792</v>
      </c>
      <c r="F6356" s="23" t="s">
        <v>43</v>
      </c>
      <c r="G6356" s="24">
        <v>212.0</v>
      </c>
      <c r="H6356" s="24">
        <v>234.0</v>
      </c>
      <c r="I6356" s="24">
        <v>110.0</v>
      </c>
      <c r="J6356" s="24">
        <v>0.0</v>
      </c>
      <c r="K6356" s="23" t="s">
        <v>34</v>
      </c>
      <c r="L6356" s="25">
        <v>40484.30635416666</v>
      </c>
      <c r="M6356" s="26" t="s">
        <v>14311</v>
      </c>
      <c r="N6356" s="26" t="s">
        <v>14312</v>
      </c>
      <c r="O6356" s="22" t="str">
        <f>HYPERLINK("https://pbs.twimg.com/profile_images/1323609458/DSC00917_normal.JPG","View")</f>
        <v>View</v>
      </c>
      <c r="P6356" s="27"/>
    </row>
    <row r="6357">
      <c r="A6357" s="14">
        <v>43031.42252314815</v>
      </c>
      <c r="B6357" s="20" t="str">
        <f>HYPERLINK("https://twitter.com/didierdelmer","@didierdelmer")</f>
        <v>@didierdelmer</v>
      </c>
      <c r="C6357" s="21" t="s">
        <v>3570</v>
      </c>
      <c r="D6357" s="21" t="s">
        <v>108</v>
      </c>
      <c r="E6357" s="22" t="str">
        <f>HYPERLINK("https://twitter.com/didierdelmer/status/922510035741130753","922510035741130753")</f>
        <v>922510035741130753</v>
      </c>
      <c r="F6357" s="23" t="s">
        <v>39</v>
      </c>
      <c r="G6357" s="24">
        <v>19603.0</v>
      </c>
      <c r="H6357" s="24">
        <v>13285.0</v>
      </c>
      <c r="I6357" s="24">
        <v>88.0</v>
      </c>
      <c r="J6357" s="24">
        <v>0.0</v>
      </c>
      <c r="K6357" s="23" t="s">
        <v>34</v>
      </c>
      <c r="L6357" s="25">
        <v>39272.16715277778</v>
      </c>
      <c r="M6357" s="26" t="s">
        <v>3573</v>
      </c>
      <c r="N6357" s="26" t="s">
        <v>3574</v>
      </c>
      <c r="O6357" s="22" t="str">
        <f>HYPERLINK("https://pbs.twimg.com/profile_images/749347780657897473/EPMIfAjG_normal.jpg","View")</f>
        <v>View</v>
      </c>
      <c r="P6357" s="27"/>
    </row>
    <row r="6358">
      <c r="A6358" s="14">
        <v>43031.42252314815</v>
      </c>
      <c r="B6358" s="20" t="str">
        <f>HYPERLINK("https://twitter.com/jostaryoutube45","@jostaryoutube45")</f>
        <v>@jostaryoutube45</v>
      </c>
      <c r="C6358" s="21" t="s">
        <v>14313</v>
      </c>
      <c r="D6358" s="21" t="s">
        <v>14314</v>
      </c>
      <c r="E6358" s="22" t="str">
        <f>HYPERLINK("https://twitter.com/jostaryoutube45/status/922510036110262272","922510036110262272")</f>
        <v>922510036110262272</v>
      </c>
      <c r="F6358" s="30" t="s">
        <v>659</v>
      </c>
      <c r="G6358" s="24">
        <v>51.0</v>
      </c>
      <c r="H6358" s="24">
        <v>37.0</v>
      </c>
      <c r="I6358" s="24">
        <v>0.0</v>
      </c>
      <c r="J6358" s="24">
        <v>0.0</v>
      </c>
      <c r="K6358" s="23" t="s">
        <v>34</v>
      </c>
      <c r="L6358" s="25">
        <v>42690.224027777775</v>
      </c>
      <c r="M6358" s="26" t="s">
        <v>660</v>
      </c>
      <c r="N6358" s="26" t="s">
        <v>14315</v>
      </c>
      <c r="O6358" s="22" t="str">
        <f>HYPERLINK("https://pbs.twimg.com/profile_images/798879356579778560/mzQOQ95Y_normal.jpg","View")</f>
        <v>View</v>
      </c>
      <c r="P6358" s="27"/>
    </row>
    <row r="6359">
      <c r="A6359" s="14">
        <v>43031.42255787037</v>
      </c>
      <c r="B6359" s="20" t="str">
        <f>HYPERLINK("https://twitter.com/didierdelmer","@didierdelmer")</f>
        <v>@didierdelmer</v>
      </c>
      <c r="C6359" s="21" t="s">
        <v>3570</v>
      </c>
      <c r="D6359" s="21" t="s">
        <v>760</v>
      </c>
      <c r="E6359" s="22" t="str">
        <f>HYPERLINK("https://twitter.com/didierdelmer/status/922510046608596993","922510046608596993")</f>
        <v>922510046608596993</v>
      </c>
      <c r="F6359" s="23" t="s">
        <v>39</v>
      </c>
      <c r="G6359" s="24">
        <v>19603.0</v>
      </c>
      <c r="H6359" s="24">
        <v>13285.0</v>
      </c>
      <c r="I6359" s="24">
        <v>62.0</v>
      </c>
      <c r="J6359" s="24">
        <v>0.0</v>
      </c>
      <c r="K6359" s="23" t="s">
        <v>34</v>
      </c>
      <c r="L6359" s="25">
        <v>39272.16715277778</v>
      </c>
      <c r="M6359" s="26" t="s">
        <v>3573</v>
      </c>
      <c r="N6359" s="26" t="s">
        <v>3574</v>
      </c>
      <c r="O6359" s="22" t="str">
        <f>HYPERLINK("https://pbs.twimg.com/profile_images/749347780657897473/EPMIfAjG_normal.jpg","View")</f>
        <v>View</v>
      </c>
      <c r="P6359" s="27"/>
    </row>
    <row r="6360">
      <c r="A6360" s="14">
        <v>43031.422685185185</v>
      </c>
      <c r="B6360" s="20" t="str">
        <f>HYPERLINK("https://twitter.com/matrix____","@matrix____")</f>
        <v>@matrix____</v>
      </c>
      <c r="C6360" s="21" t="s">
        <v>14316</v>
      </c>
      <c r="D6360" s="21" t="s">
        <v>13962</v>
      </c>
      <c r="E6360" s="22" t="str">
        <f>HYPERLINK("https://twitter.com/matrix____/status/922510096084561920","922510096084561920")</f>
        <v>922510096084561920</v>
      </c>
      <c r="F6360" s="23" t="s">
        <v>55</v>
      </c>
      <c r="G6360" s="24">
        <v>3027.0</v>
      </c>
      <c r="H6360" s="24">
        <v>99.0</v>
      </c>
      <c r="I6360" s="24">
        <v>18.0</v>
      </c>
      <c r="J6360" s="24">
        <v>0.0</v>
      </c>
      <c r="K6360" s="23" t="s">
        <v>34</v>
      </c>
      <c r="L6360" s="25">
        <v>40899.41752314815</v>
      </c>
      <c r="M6360" s="28"/>
      <c r="N6360" s="26" t="s">
        <v>14317</v>
      </c>
      <c r="O6360" s="22" t="str">
        <f>HYPERLINK("https://pbs.twimg.com/profile_images/2562735424/xehron89ogped2vk6umj_normal.jpeg","View")</f>
        <v>View</v>
      </c>
      <c r="P6360" s="27"/>
    </row>
    <row r="6361">
      <c r="A6361" s="14">
        <v>43031.4227662037</v>
      </c>
      <c r="B6361" s="20" t="str">
        <f>HYPERLINK("https://twitter.com/TeacherWanjiku","@TeacherWanjiku")</f>
        <v>@TeacherWanjiku</v>
      </c>
      <c r="C6361" s="21" t="s">
        <v>14318</v>
      </c>
      <c r="D6361" s="21" t="s">
        <v>14319</v>
      </c>
      <c r="E6361" s="22" t="str">
        <f>HYPERLINK("https://twitter.com/TeacherWanjiku/status/922510123750363136","922510123750363136")</f>
        <v>922510123750363136</v>
      </c>
      <c r="F6361" s="23" t="s">
        <v>33</v>
      </c>
      <c r="G6361" s="24">
        <v>9291.0</v>
      </c>
      <c r="H6361" s="24">
        <v>965.0</v>
      </c>
      <c r="I6361" s="24">
        <v>1.0</v>
      </c>
      <c r="J6361" s="24">
        <v>0.0</v>
      </c>
      <c r="K6361" s="23" t="s">
        <v>34</v>
      </c>
      <c r="L6361" s="25">
        <v>40980.21098379629</v>
      </c>
      <c r="M6361" s="26" t="s">
        <v>843</v>
      </c>
      <c r="N6361" s="26" t="s">
        <v>14320</v>
      </c>
      <c r="O6361" s="22" t="str">
        <f>HYPERLINK("https://pbs.twimg.com/profile_images/814951958163423232/VMjDZm6O_normal.jpg","View")</f>
        <v>View</v>
      </c>
      <c r="P6361" s="27"/>
    </row>
    <row r="6362">
      <c r="A6362" s="14">
        <v>43031.42296296296</v>
      </c>
      <c r="B6362" s="20" t="str">
        <f>HYPERLINK("https://twitter.com/dishasingh6096","@dishasingh6096")</f>
        <v>@dishasingh6096</v>
      </c>
      <c r="C6362" s="21" t="s">
        <v>14321</v>
      </c>
      <c r="D6362" s="21" t="s">
        <v>42</v>
      </c>
      <c r="E6362" s="22" t="str">
        <f>HYPERLINK("https://twitter.com/dishasingh6096/status/922510196659732480","922510196659732480")</f>
        <v>922510196659732480</v>
      </c>
      <c r="F6362" s="23" t="s">
        <v>33</v>
      </c>
      <c r="G6362" s="24">
        <v>196.0</v>
      </c>
      <c r="H6362" s="24">
        <v>101.0</v>
      </c>
      <c r="I6362" s="24">
        <v>8501.0</v>
      </c>
      <c r="J6362" s="24">
        <v>0.0</v>
      </c>
      <c r="K6362" s="23" t="s">
        <v>34</v>
      </c>
      <c r="L6362" s="25">
        <v>42510.16181712963</v>
      </c>
      <c r="M6362" s="26" t="s">
        <v>195</v>
      </c>
      <c r="N6362" s="26" t="s">
        <v>14322</v>
      </c>
      <c r="O6362" s="22" t="str">
        <f>HYPERLINK("https://pbs.twimg.com/profile_images/760468314191691776/kvmPx-28_normal.jpg","View")</f>
        <v>View</v>
      </c>
      <c r="P6362" s="27"/>
    </row>
    <row r="6363">
      <c r="A6363" s="14">
        <v>43031.42309027778</v>
      </c>
      <c r="B6363" s="20" t="str">
        <f>HYPERLINK("https://twitter.com/theBlackKaner88","@theBlackKaner88")</f>
        <v>@theBlackKaner88</v>
      </c>
      <c r="C6363" s="21" t="s">
        <v>14323</v>
      </c>
      <c r="D6363" s="21" t="s">
        <v>14324</v>
      </c>
      <c r="E6363" s="22" t="str">
        <f>HYPERLINK("https://twitter.com/theBlackKaner88/status/922510242746916864","922510242746916864")</f>
        <v>922510242746916864</v>
      </c>
      <c r="F6363" s="23" t="s">
        <v>91</v>
      </c>
      <c r="G6363" s="24">
        <v>486.0</v>
      </c>
      <c r="H6363" s="24">
        <v>2241.0</v>
      </c>
      <c r="I6363" s="24">
        <v>0.0</v>
      </c>
      <c r="J6363" s="24">
        <v>0.0</v>
      </c>
      <c r="K6363" s="23" t="s">
        <v>34</v>
      </c>
      <c r="L6363" s="25">
        <v>41521.634675925925</v>
      </c>
      <c r="M6363" s="28"/>
      <c r="N6363" s="28"/>
      <c r="O6363" s="22" t="str">
        <f>HYPERLINK("https://pbs.twimg.com/profile_images/451807797651312640/eSJFjAa7_normal.jpeg","View")</f>
        <v>View</v>
      </c>
      <c r="P6363" s="27"/>
    </row>
    <row r="6364">
      <c r="A6364" s="14">
        <v>43031.42314814815</v>
      </c>
      <c r="B6364" s="20" t="str">
        <f>HYPERLINK("https://twitter.com/Kaushikj2017","@Kaushikj2017")</f>
        <v>@Kaushikj2017</v>
      </c>
      <c r="C6364" s="21" t="s">
        <v>14325</v>
      </c>
      <c r="D6364" s="21" t="s">
        <v>13328</v>
      </c>
      <c r="E6364" s="22" t="str">
        <f>HYPERLINK("https://twitter.com/Kaushikj2017/status/922510263147999232","922510263147999232")</f>
        <v>922510263147999232</v>
      </c>
      <c r="F6364" s="23" t="s">
        <v>3813</v>
      </c>
      <c r="G6364" s="24">
        <v>1.0</v>
      </c>
      <c r="H6364" s="24">
        <v>0.0</v>
      </c>
      <c r="I6364" s="24">
        <v>2.0</v>
      </c>
      <c r="J6364" s="24">
        <v>0.0</v>
      </c>
      <c r="K6364" s="23" t="s">
        <v>34</v>
      </c>
      <c r="L6364" s="25">
        <v>42769.33201388889</v>
      </c>
      <c r="M6364" s="28"/>
      <c r="N6364" s="28"/>
      <c r="O6364" s="22" t="str">
        <f t="shared" ref="O6364:O6365" si="111">HYPERLINK("https://abs.twimg.com/sticky/default_profile_images/default_profile_normal.png","View")</f>
        <v>View</v>
      </c>
      <c r="P6364" s="27"/>
    </row>
    <row r="6365">
      <c r="A6365" s="14">
        <v>43031.42371527778</v>
      </c>
      <c r="B6365" s="20" t="str">
        <f>HYPERLINK("https://twitter.com/AMITDHA35255932","@AMITDHA35255932")</f>
        <v>@AMITDHA35255932</v>
      </c>
      <c r="C6365" s="21" t="s">
        <v>14326</v>
      </c>
      <c r="D6365" s="21" t="s">
        <v>42</v>
      </c>
      <c r="E6365" s="22" t="str">
        <f>HYPERLINK("https://twitter.com/AMITDHA35255932/status/922510466571575296","922510466571575296")</f>
        <v>922510466571575296</v>
      </c>
      <c r="F6365" s="23" t="s">
        <v>33</v>
      </c>
      <c r="G6365" s="24">
        <v>0.0</v>
      </c>
      <c r="H6365" s="24">
        <v>1.0</v>
      </c>
      <c r="I6365" s="24">
        <v>8501.0</v>
      </c>
      <c r="J6365" s="24">
        <v>0.0</v>
      </c>
      <c r="K6365" s="23" t="s">
        <v>34</v>
      </c>
      <c r="L6365" s="25">
        <v>43031.39034722222</v>
      </c>
      <c r="M6365" s="28"/>
      <c r="N6365" s="28"/>
      <c r="O6365" s="22" t="str">
        <f t="shared" si="111"/>
        <v>View</v>
      </c>
      <c r="P6365" s="27"/>
    </row>
    <row r="6366">
      <c r="A6366" s="14">
        <v>43031.4240162037</v>
      </c>
      <c r="B6366" s="20" t="str">
        <f>HYPERLINK("https://twitter.com/HarshdipBhatt","@HarshdipBhatt")</f>
        <v>@HarshdipBhatt</v>
      </c>
      <c r="C6366" s="21" t="s">
        <v>14327</v>
      </c>
      <c r="D6366" s="21" t="s">
        <v>42</v>
      </c>
      <c r="E6366" s="22" t="str">
        <f>HYPERLINK("https://twitter.com/HarshdipBhatt/status/922510574432292864","922510574432292864")</f>
        <v>922510574432292864</v>
      </c>
      <c r="F6366" s="23" t="s">
        <v>33</v>
      </c>
      <c r="G6366" s="24">
        <v>48.0</v>
      </c>
      <c r="H6366" s="24">
        <v>84.0</v>
      </c>
      <c r="I6366" s="24">
        <v>8501.0</v>
      </c>
      <c r="J6366" s="24">
        <v>0.0</v>
      </c>
      <c r="K6366" s="23" t="s">
        <v>34</v>
      </c>
      <c r="L6366" s="25">
        <v>42994.47888888889</v>
      </c>
      <c r="M6366" s="28"/>
      <c r="N6366" s="28"/>
      <c r="O6366" s="22" t="str">
        <f>HYPERLINK("https://pbs.twimg.com/profile_images/909130464392179713/KXsnxm6F_normal.jpg","View")</f>
        <v>View</v>
      </c>
      <c r="P6366" s="27"/>
    </row>
    <row r="6367">
      <c r="A6367" s="14">
        <v>43031.42413194444</v>
      </c>
      <c r="B6367" s="20" t="str">
        <f>HYPERLINK("https://twitter.com/AficionadoYash","@AficionadoYash")</f>
        <v>@AficionadoYash</v>
      </c>
      <c r="C6367" s="21" t="s">
        <v>11504</v>
      </c>
      <c r="D6367" s="21" t="s">
        <v>14328</v>
      </c>
      <c r="E6367" s="22" t="str">
        <f>HYPERLINK("https://twitter.com/AficionadoYash/status/922510617294065669","922510617294065669")</f>
        <v>922510617294065669</v>
      </c>
      <c r="F6367" s="23" t="s">
        <v>187</v>
      </c>
      <c r="G6367" s="24">
        <v>2581.0</v>
      </c>
      <c r="H6367" s="24">
        <v>948.0</v>
      </c>
      <c r="I6367" s="24">
        <v>0.0</v>
      </c>
      <c r="J6367" s="24">
        <v>0.0</v>
      </c>
      <c r="K6367" s="23" t="s">
        <v>34</v>
      </c>
      <c r="L6367" s="25">
        <v>40905.1268287037</v>
      </c>
      <c r="M6367" s="26" t="s">
        <v>204</v>
      </c>
      <c r="N6367" s="26" t="s">
        <v>11506</v>
      </c>
      <c r="O6367" s="22" t="str">
        <f>HYPERLINK("https://pbs.twimg.com/profile_images/731065154129928192/gauLWTlp_normal.jpg","View")</f>
        <v>View</v>
      </c>
      <c r="P6367" s="27"/>
    </row>
    <row r="6368">
      <c r="A6368" s="14">
        <v>43031.42418981482</v>
      </c>
      <c r="B6368" s="20" t="str">
        <f>HYPERLINK("https://twitter.com/svsin07","@svsin07")</f>
        <v>@svsin07</v>
      </c>
      <c r="C6368" s="21" t="s">
        <v>14329</v>
      </c>
      <c r="D6368" s="21" t="s">
        <v>42</v>
      </c>
      <c r="E6368" s="22" t="str">
        <f>HYPERLINK("https://twitter.com/svsin07/status/922510638009565184","922510638009565184")</f>
        <v>922510638009565184</v>
      </c>
      <c r="F6368" s="23" t="s">
        <v>33</v>
      </c>
      <c r="G6368" s="24">
        <v>146.0</v>
      </c>
      <c r="H6368" s="24">
        <v>159.0</v>
      </c>
      <c r="I6368" s="24">
        <v>8501.0</v>
      </c>
      <c r="J6368" s="24">
        <v>0.0</v>
      </c>
      <c r="K6368" s="23" t="s">
        <v>34</v>
      </c>
      <c r="L6368" s="25">
        <v>42794.89709490741</v>
      </c>
      <c r="M6368" s="26" t="s">
        <v>204</v>
      </c>
      <c r="N6368" s="26" t="s">
        <v>14330</v>
      </c>
      <c r="O6368" s="22" t="str">
        <f>HYPERLINK("https://pbs.twimg.com/profile_images/882273663264768000/dKHtJyRi_normal.jpg","View")</f>
        <v>View</v>
      </c>
      <c r="P6368" s="27"/>
    </row>
    <row r="6369">
      <c r="A6369" s="14">
        <v>43031.42420138889</v>
      </c>
      <c r="B6369" s="20" t="str">
        <f>HYPERLINK("https://twitter.com/oyugi20","@oyugi20")</f>
        <v>@oyugi20</v>
      </c>
      <c r="C6369" s="21" t="s">
        <v>14331</v>
      </c>
      <c r="D6369" s="21" t="s">
        <v>32</v>
      </c>
      <c r="E6369" s="22" t="str">
        <f>HYPERLINK("https://twitter.com/oyugi20/status/922510641562300416","922510641562300416")</f>
        <v>922510641562300416</v>
      </c>
      <c r="F6369" s="23" t="s">
        <v>33</v>
      </c>
      <c r="G6369" s="24">
        <v>5962.0</v>
      </c>
      <c r="H6369" s="24">
        <v>5345.0</v>
      </c>
      <c r="I6369" s="24">
        <v>471.0</v>
      </c>
      <c r="J6369" s="24">
        <v>0.0</v>
      </c>
      <c r="K6369" s="23" t="s">
        <v>34</v>
      </c>
      <c r="L6369" s="25">
        <v>42731.2509837963</v>
      </c>
      <c r="M6369" s="26" t="s">
        <v>14332</v>
      </c>
      <c r="N6369" s="26" t="s">
        <v>14333</v>
      </c>
      <c r="O6369" s="22" t="str">
        <f>HYPERLINK("https://pbs.twimg.com/profile_images/917792866281324544/EFtMPLXo_normal.jpg","View")</f>
        <v>View</v>
      </c>
      <c r="P6369" s="27"/>
    </row>
    <row r="6370">
      <c r="A6370" s="14">
        <v>43031.42435185185</v>
      </c>
      <c r="B6370" s="20" t="str">
        <f>HYPERLINK("https://twitter.com/Shubhu6979","@Shubhu6979")</f>
        <v>@Shubhu6979</v>
      </c>
      <c r="C6370" s="21" t="s">
        <v>14334</v>
      </c>
      <c r="D6370" s="21" t="s">
        <v>42</v>
      </c>
      <c r="E6370" s="22" t="str">
        <f>HYPERLINK("https://twitter.com/Shubhu6979/status/922510697866477570","922510697866477570")</f>
        <v>922510697866477570</v>
      </c>
      <c r="F6370" s="23" t="s">
        <v>33</v>
      </c>
      <c r="G6370" s="24">
        <v>80.0</v>
      </c>
      <c r="H6370" s="24">
        <v>115.0</v>
      </c>
      <c r="I6370" s="24">
        <v>8501.0</v>
      </c>
      <c r="J6370" s="24">
        <v>0.0</v>
      </c>
      <c r="K6370" s="23" t="s">
        <v>34</v>
      </c>
      <c r="L6370" s="25">
        <v>42819.36866898148</v>
      </c>
      <c r="M6370" s="26" t="s">
        <v>617</v>
      </c>
      <c r="N6370" s="26" t="s">
        <v>14335</v>
      </c>
      <c r="O6370" s="22" t="str">
        <f>HYPERLINK("https://pbs.twimg.com/profile_images/868096935038771200/oDUpxa3j_normal.jpg","View")</f>
        <v>View</v>
      </c>
      <c r="P6370" s="27"/>
    </row>
    <row r="6371">
      <c r="A6371" s="14">
        <v>43031.42435185185</v>
      </c>
      <c r="B6371" s="20" t="str">
        <f>HYPERLINK("https://twitter.com/kul_shrivasta","@kul_shrivasta")</f>
        <v>@kul_shrivasta</v>
      </c>
      <c r="C6371" s="21" t="s">
        <v>14336</v>
      </c>
      <c r="D6371" s="21" t="s">
        <v>42</v>
      </c>
      <c r="E6371" s="22" t="str">
        <f>HYPERLINK("https://twitter.com/kul_shrivasta/status/922510698101354496","922510698101354496")</f>
        <v>922510698101354496</v>
      </c>
      <c r="F6371" s="23" t="s">
        <v>33</v>
      </c>
      <c r="G6371" s="24">
        <v>34.0</v>
      </c>
      <c r="H6371" s="24">
        <v>361.0</v>
      </c>
      <c r="I6371" s="24">
        <v>8501.0</v>
      </c>
      <c r="J6371" s="24">
        <v>0.0</v>
      </c>
      <c r="K6371" s="23" t="s">
        <v>34</v>
      </c>
      <c r="L6371" s="25">
        <v>42097.88622685186</v>
      </c>
      <c r="M6371" s="28"/>
      <c r="N6371" s="26" t="s">
        <v>14337</v>
      </c>
      <c r="O6371" s="22" t="str">
        <f>HYPERLINK("https://pbs.twimg.com/profile_images/916874219769577472/RlfwKUfy_normal.jpg","View")</f>
        <v>View</v>
      </c>
      <c r="P6371" s="27"/>
    </row>
    <row r="6372">
      <c r="A6372" s="14">
        <v>43031.42445601852</v>
      </c>
      <c r="B6372" s="20" t="str">
        <f>HYPERLINK("https://twitter.com/australizer","@australizer")</f>
        <v>@australizer</v>
      </c>
      <c r="C6372" s="21" t="s">
        <v>14338</v>
      </c>
      <c r="D6372" s="21" t="s">
        <v>14339</v>
      </c>
      <c r="E6372" s="22" t="str">
        <f>HYPERLINK("https://twitter.com/australizer/status/922510737184100352","922510737184100352")</f>
        <v>922510737184100352</v>
      </c>
      <c r="F6372" s="23" t="s">
        <v>11571</v>
      </c>
      <c r="G6372" s="24">
        <v>1532.0</v>
      </c>
      <c r="H6372" s="24">
        <v>419.0</v>
      </c>
      <c r="I6372" s="24">
        <v>0.0</v>
      </c>
      <c r="J6372" s="24">
        <v>0.0</v>
      </c>
      <c r="K6372" s="23" t="s">
        <v>34</v>
      </c>
      <c r="L6372" s="25">
        <v>41987.53167824074</v>
      </c>
      <c r="M6372" s="26" t="s">
        <v>3011</v>
      </c>
      <c r="N6372" s="26" t="s">
        <v>14340</v>
      </c>
      <c r="O6372" s="22" t="str">
        <f>HYPERLINK("https://pbs.twimg.com/profile_images/544232582020210689/4XKtv5uU_normal.png","View")</f>
        <v>View</v>
      </c>
      <c r="P6372" s="27"/>
    </row>
    <row r="6373">
      <c r="A6373" s="14">
        <v>43031.42451388889</v>
      </c>
      <c r="B6373" s="20" t="str">
        <f>HYPERLINK("https://twitter.com/sethi_rcf","@sethi_rcf")</f>
        <v>@sethi_rcf</v>
      </c>
      <c r="C6373" s="21" t="s">
        <v>14341</v>
      </c>
      <c r="D6373" s="21" t="s">
        <v>42</v>
      </c>
      <c r="E6373" s="22" t="str">
        <f>HYPERLINK("https://twitter.com/sethi_rcf/status/922510757622824960","922510757622824960")</f>
        <v>922510757622824960</v>
      </c>
      <c r="F6373" s="23" t="s">
        <v>33</v>
      </c>
      <c r="G6373" s="24">
        <v>7.0</v>
      </c>
      <c r="H6373" s="24">
        <v>90.0</v>
      </c>
      <c r="I6373" s="24">
        <v>8501.0</v>
      </c>
      <c r="J6373" s="24">
        <v>0.0</v>
      </c>
      <c r="K6373" s="23" t="s">
        <v>34</v>
      </c>
      <c r="L6373" s="25">
        <v>41622.24670138889</v>
      </c>
      <c r="M6373" s="28"/>
      <c r="N6373" s="28"/>
      <c r="O6373" s="22" t="str">
        <f>HYPERLINK("https://abs.twimg.com/sticky/default_profile_images/default_profile_normal.png","View")</f>
        <v>View</v>
      </c>
      <c r="P6373" s="27"/>
    </row>
    <row r="6374">
      <c r="A6374" s="14">
        <v>43031.42456018519</v>
      </c>
      <c r="B6374" s="20" t="str">
        <f>HYPERLINK("https://twitter.com/KristineDambro","@KristineDambro")</f>
        <v>@KristineDambro</v>
      </c>
      <c r="C6374" s="21" t="s">
        <v>14342</v>
      </c>
      <c r="D6374" s="21" t="s">
        <v>12486</v>
      </c>
      <c r="E6374" s="22" t="str">
        <f>HYPERLINK("https://twitter.com/KristineDambro/status/922510773116600320","922510773116600320")</f>
        <v>922510773116600320</v>
      </c>
      <c r="F6374" s="23" t="s">
        <v>230</v>
      </c>
      <c r="G6374" s="24">
        <v>337.0</v>
      </c>
      <c r="H6374" s="24">
        <v>843.0</v>
      </c>
      <c r="I6374" s="24">
        <v>7.0</v>
      </c>
      <c r="J6374" s="24">
        <v>0.0</v>
      </c>
      <c r="K6374" s="23" t="s">
        <v>34</v>
      </c>
      <c r="L6374" s="25">
        <v>39974.68009259259</v>
      </c>
      <c r="M6374" s="28"/>
      <c r="N6374" s="26" t="s">
        <v>14343</v>
      </c>
      <c r="O6374" s="22" t="str">
        <f>HYPERLINK("https://pbs.twimg.com/profile_images/727855995985235968/S6ps_pqK_normal.jpg","View")</f>
        <v>View</v>
      </c>
      <c r="P6374" s="27"/>
    </row>
    <row r="6375">
      <c r="A6375" s="14">
        <v>43031.424780092595</v>
      </c>
      <c r="B6375" s="20" t="str">
        <f>HYPERLINK("https://twitter.com/WuodOggot","@WuodOggot")</f>
        <v>@WuodOggot</v>
      </c>
      <c r="C6375" s="21" t="s">
        <v>14344</v>
      </c>
      <c r="D6375" s="21" t="s">
        <v>32</v>
      </c>
      <c r="E6375" s="22" t="str">
        <f>HYPERLINK("https://twitter.com/WuodOggot/status/922510852615495680","922510852615495680")</f>
        <v>922510852615495680</v>
      </c>
      <c r="F6375" s="23" t="s">
        <v>33</v>
      </c>
      <c r="G6375" s="24">
        <v>659.0</v>
      </c>
      <c r="H6375" s="24">
        <v>2270.0</v>
      </c>
      <c r="I6375" s="24">
        <v>471.0</v>
      </c>
      <c r="J6375" s="24">
        <v>0.0</v>
      </c>
      <c r="K6375" s="23" t="s">
        <v>34</v>
      </c>
      <c r="L6375" s="25">
        <v>40406.42643518519</v>
      </c>
      <c r="M6375" s="26" t="s">
        <v>14345</v>
      </c>
      <c r="N6375" s="26" t="s">
        <v>14346</v>
      </c>
      <c r="O6375" s="22" t="str">
        <f>HYPERLINK("https://pbs.twimg.com/profile_images/881628296689176576/ORgYfliZ_normal.jpg","View")</f>
        <v>View</v>
      </c>
      <c r="P6375" s="27"/>
    </row>
    <row r="6376">
      <c r="A6376" s="14">
        <v>43031.424895833334</v>
      </c>
      <c r="B6376" s="20" t="str">
        <f>HYPERLINK("https://twitter.com/Real_Lalji","@Real_Lalji")</f>
        <v>@Real_Lalji</v>
      </c>
      <c r="C6376" s="21" t="s">
        <v>14347</v>
      </c>
      <c r="D6376" s="21" t="s">
        <v>42</v>
      </c>
      <c r="E6376" s="22" t="str">
        <f>HYPERLINK("https://twitter.com/Real_Lalji/status/922510896240513024","922510896240513024")</f>
        <v>922510896240513024</v>
      </c>
      <c r="F6376" s="23" t="s">
        <v>33</v>
      </c>
      <c r="G6376" s="24">
        <v>92.0</v>
      </c>
      <c r="H6376" s="24">
        <v>27.0</v>
      </c>
      <c r="I6376" s="24">
        <v>8501.0</v>
      </c>
      <c r="J6376" s="24">
        <v>0.0</v>
      </c>
      <c r="K6376" s="23" t="s">
        <v>34</v>
      </c>
      <c r="L6376" s="25">
        <v>42465.38603009259</v>
      </c>
      <c r="M6376" s="26" t="s">
        <v>14348</v>
      </c>
      <c r="N6376" s="26" t="s">
        <v>14349</v>
      </c>
      <c r="O6376" s="22" t="str">
        <f>HYPERLINK("https://pbs.twimg.com/profile_images/867366403619377152/Q_d5kR16_normal.jpg","View")</f>
        <v>View</v>
      </c>
      <c r="P6376" s="27"/>
    </row>
    <row r="6377">
      <c r="A6377" s="14">
        <v>43031.424942129626</v>
      </c>
      <c r="B6377" s="20" t="str">
        <f>HYPERLINK("https://twitter.com/joerichlaw","@joerichlaw")</f>
        <v>@joerichlaw</v>
      </c>
      <c r="C6377" s="21" t="s">
        <v>14350</v>
      </c>
      <c r="D6377" s="21" t="s">
        <v>12974</v>
      </c>
      <c r="E6377" s="22" t="str">
        <f>HYPERLINK("https://twitter.com/joerichlaw/status/922510910836666368","922510910836666368")</f>
        <v>922510910836666368</v>
      </c>
      <c r="F6377" s="23" t="s">
        <v>230</v>
      </c>
      <c r="G6377" s="24">
        <v>10397.0</v>
      </c>
      <c r="H6377" s="24">
        <v>9044.0</v>
      </c>
      <c r="I6377" s="24">
        <v>110.0</v>
      </c>
      <c r="J6377" s="24">
        <v>0.0</v>
      </c>
      <c r="K6377" s="23" t="s">
        <v>34</v>
      </c>
      <c r="L6377" s="25">
        <v>40487.29346064815</v>
      </c>
      <c r="M6377" s="26" t="s">
        <v>334</v>
      </c>
      <c r="N6377" s="26" t="s">
        <v>14351</v>
      </c>
      <c r="O6377" s="22" t="str">
        <f>HYPERLINK("https://pbs.twimg.com/profile_images/859785458406051840/HATHwQPp_normal.jpg","View")</f>
        <v>View</v>
      </c>
      <c r="P6377" s="27"/>
    </row>
    <row r="6378">
      <c r="A6378" s="14">
        <v>43031.42510416667</v>
      </c>
      <c r="B6378" s="20" t="str">
        <f>HYPERLINK("https://twitter.com/Amritchauhan01","@Amritchauhan01")</f>
        <v>@Amritchauhan01</v>
      </c>
      <c r="C6378" s="21" t="s">
        <v>14352</v>
      </c>
      <c r="D6378" s="21" t="s">
        <v>42</v>
      </c>
      <c r="E6378" s="22" t="str">
        <f>HYPERLINK("https://twitter.com/Amritchauhan01/status/922510971305738240","922510971305738240")</f>
        <v>922510971305738240</v>
      </c>
      <c r="F6378" s="23" t="s">
        <v>33</v>
      </c>
      <c r="G6378" s="24">
        <v>5.0</v>
      </c>
      <c r="H6378" s="24">
        <v>252.0</v>
      </c>
      <c r="I6378" s="24">
        <v>8501.0</v>
      </c>
      <c r="J6378" s="24">
        <v>0.0</v>
      </c>
      <c r="K6378" s="23" t="s">
        <v>34</v>
      </c>
      <c r="L6378" s="25">
        <v>43031.416863425926</v>
      </c>
      <c r="M6378" s="26" t="s">
        <v>246</v>
      </c>
      <c r="N6378" s="28"/>
      <c r="O6378" s="22" t="str">
        <f>HYPERLINK("https://pbs.twimg.com/profile_images/922510113591537664/NpphvNwR_normal.jpg","View")</f>
        <v>View</v>
      </c>
      <c r="P6378" s="27"/>
    </row>
    <row r="6379">
      <c r="A6379" s="14">
        <v>43031.425208333334</v>
      </c>
      <c r="B6379" s="20" t="str">
        <f>HYPERLINK("https://twitter.com/DrSivaraman","@DrSivaraman")</f>
        <v>@DrSivaraman</v>
      </c>
      <c r="C6379" s="21" t="s">
        <v>14353</v>
      </c>
      <c r="D6379" s="21" t="s">
        <v>42</v>
      </c>
      <c r="E6379" s="22" t="str">
        <f>HYPERLINK("https://twitter.com/DrSivaraman/status/922511008458883072","922511008458883072")</f>
        <v>922511008458883072</v>
      </c>
      <c r="F6379" s="23" t="s">
        <v>39</v>
      </c>
      <c r="G6379" s="24">
        <v>666.0</v>
      </c>
      <c r="H6379" s="24">
        <v>707.0</v>
      </c>
      <c r="I6379" s="24">
        <v>8501.0</v>
      </c>
      <c r="J6379" s="24">
        <v>0.0</v>
      </c>
      <c r="K6379" s="23" t="s">
        <v>34</v>
      </c>
      <c r="L6379" s="25">
        <v>39937.242268518516</v>
      </c>
      <c r="M6379" s="26" t="s">
        <v>14354</v>
      </c>
      <c r="N6379" s="26" t="s">
        <v>14355</v>
      </c>
      <c r="O6379" s="22" t="str">
        <f>HYPERLINK("https://pbs.twimg.com/profile_images/1346876393/Dr.S_normal.jpg","View")</f>
        <v>View</v>
      </c>
      <c r="P6379" s="27"/>
    </row>
    <row r="6380">
      <c r="A6380" s="14">
        <v>43031.42524305556</v>
      </c>
      <c r="B6380" s="20" t="str">
        <f>HYPERLINK("https://twitter.com/SanjuSi3","@SanjuSi3")</f>
        <v>@SanjuSi3</v>
      </c>
      <c r="C6380" s="21" t="s">
        <v>14271</v>
      </c>
      <c r="D6380" s="21" t="s">
        <v>14356</v>
      </c>
      <c r="E6380" s="22" t="str">
        <f>HYPERLINK("https://twitter.com/SanjuSi3/status/922511022522372098","922511022522372098")</f>
        <v>922511022522372098</v>
      </c>
      <c r="F6380" s="23" t="s">
        <v>33</v>
      </c>
      <c r="G6380" s="24">
        <v>1291.0</v>
      </c>
      <c r="H6380" s="24">
        <v>590.0</v>
      </c>
      <c r="I6380" s="24">
        <v>1.0</v>
      </c>
      <c r="J6380" s="24">
        <v>2.0</v>
      </c>
      <c r="K6380" s="23" t="s">
        <v>34</v>
      </c>
      <c r="L6380" s="25">
        <v>42887.32780092592</v>
      </c>
      <c r="M6380" s="26" t="s">
        <v>12132</v>
      </c>
      <c r="N6380" s="26" t="s">
        <v>14272</v>
      </c>
      <c r="O6380" s="22" t="str">
        <f>HYPERLINK("https://pbs.twimg.com/profile_images/904206611102576640/V8cy6BoU_normal.jpg","View")</f>
        <v>View</v>
      </c>
      <c r="P6380" s="27"/>
    </row>
    <row r="6381">
      <c r="A6381" s="14">
        <v>43031.42528935186</v>
      </c>
      <c r="B6381" s="20" t="str">
        <f>HYPERLINK("https://twitter.com/sulistyana25","@sulistyana25")</f>
        <v>@sulistyana25</v>
      </c>
      <c r="C6381" s="21" t="s">
        <v>14357</v>
      </c>
      <c r="D6381" s="21" t="s">
        <v>13919</v>
      </c>
      <c r="E6381" s="22" t="str">
        <f>HYPERLINK("https://twitter.com/sulistyana25/status/922511037345153024","922511037345153024")</f>
        <v>922511037345153024</v>
      </c>
      <c r="F6381" s="23" t="s">
        <v>39</v>
      </c>
      <c r="G6381" s="24">
        <v>267.0</v>
      </c>
      <c r="H6381" s="24">
        <v>303.0</v>
      </c>
      <c r="I6381" s="24">
        <v>10.0</v>
      </c>
      <c r="J6381" s="24">
        <v>0.0</v>
      </c>
      <c r="K6381" s="23" t="s">
        <v>34</v>
      </c>
      <c r="L6381" s="25">
        <v>40585.12446759259</v>
      </c>
      <c r="M6381" s="26" t="s">
        <v>14358</v>
      </c>
      <c r="N6381" s="26" t="s">
        <v>14359</v>
      </c>
      <c r="O6381" s="22" t="str">
        <f>HYPERLINK("https://pbs.twimg.com/profile_images/912739176323334144/k3fDs1VY_normal.jpg","View")</f>
        <v>View</v>
      </c>
      <c r="P6381" s="27"/>
    </row>
    <row r="6382">
      <c r="A6382" s="14">
        <v>43031.425405092596</v>
      </c>
      <c r="B6382" s="20" t="str">
        <f>HYPERLINK("https://twitter.com/varunurav08","@varunurav08")</f>
        <v>@varunurav08</v>
      </c>
      <c r="C6382" s="21" t="s">
        <v>14360</v>
      </c>
      <c r="D6382" s="21" t="s">
        <v>11595</v>
      </c>
      <c r="E6382" s="22" t="str">
        <f>HYPERLINK("https://twitter.com/varunurav08/status/922511077849448448","922511077849448448")</f>
        <v>922511077849448448</v>
      </c>
      <c r="F6382" s="23" t="s">
        <v>33</v>
      </c>
      <c r="G6382" s="24">
        <v>94.0</v>
      </c>
      <c r="H6382" s="24">
        <v>16.0</v>
      </c>
      <c r="I6382" s="24">
        <v>10.0</v>
      </c>
      <c r="J6382" s="24">
        <v>0.0</v>
      </c>
      <c r="K6382" s="23" t="s">
        <v>34</v>
      </c>
      <c r="L6382" s="25">
        <v>40274.29152777778</v>
      </c>
      <c r="M6382" s="28"/>
      <c r="N6382" s="26" t="s">
        <v>14361</v>
      </c>
      <c r="O6382" s="22" t="str">
        <f>HYPERLINK("https://pbs.twimg.com/profile_images/810471165206536192/UTZvFecJ_normal.jpg","View")</f>
        <v>View</v>
      </c>
      <c r="P6382" s="27"/>
    </row>
    <row r="6383">
      <c r="A6383" s="14">
        <v>43031.42543981482</v>
      </c>
      <c r="B6383" s="20" t="str">
        <f>HYPERLINK("https://twitter.com/BrajendraPal6","@BrajendraPal6")</f>
        <v>@BrajendraPal6</v>
      </c>
      <c r="C6383" s="21" t="s">
        <v>14362</v>
      </c>
      <c r="D6383" s="21" t="s">
        <v>42</v>
      </c>
      <c r="E6383" s="22" t="str">
        <f>HYPERLINK("https://twitter.com/BrajendraPal6/status/922511091329986561","922511091329986561")</f>
        <v>922511091329986561</v>
      </c>
      <c r="F6383" s="23" t="s">
        <v>33</v>
      </c>
      <c r="G6383" s="24">
        <v>94.0</v>
      </c>
      <c r="H6383" s="24">
        <v>564.0</v>
      </c>
      <c r="I6383" s="24">
        <v>8501.0</v>
      </c>
      <c r="J6383" s="24">
        <v>0.0</v>
      </c>
      <c r="K6383" s="23" t="s">
        <v>34</v>
      </c>
      <c r="L6383" s="25">
        <v>42976.90667824074</v>
      </c>
      <c r="M6383" s="26" t="s">
        <v>1707</v>
      </c>
      <c r="N6383" s="26" t="s">
        <v>14363</v>
      </c>
      <c r="O6383" s="22" t="str">
        <f>HYPERLINK("https://pbs.twimg.com/profile_images/902796742936059904/eXPgPUdY_normal.jpg","View")</f>
        <v>View</v>
      </c>
      <c r="P6383" s="27"/>
    </row>
    <row r="6384">
      <c r="A6384" s="14">
        <v>43031.42561342593</v>
      </c>
      <c r="B6384" s="20" t="str">
        <f>HYPERLINK("https://twitter.com/sanhita4dr","@sanhita4dr")</f>
        <v>@sanhita4dr</v>
      </c>
      <c r="C6384" s="21" t="s">
        <v>14364</v>
      </c>
      <c r="D6384" s="21" t="s">
        <v>42</v>
      </c>
      <c r="E6384" s="22" t="str">
        <f>HYPERLINK("https://twitter.com/sanhita4dr/status/922511153795776512","922511153795776512")</f>
        <v>922511153795776512</v>
      </c>
      <c r="F6384" s="23" t="s">
        <v>33</v>
      </c>
      <c r="G6384" s="24">
        <v>1416.0</v>
      </c>
      <c r="H6384" s="24">
        <v>707.0</v>
      </c>
      <c r="I6384" s="24">
        <v>8501.0</v>
      </c>
      <c r="J6384" s="24">
        <v>0.0</v>
      </c>
      <c r="K6384" s="23" t="s">
        <v>34</v>
      </c>
      <c r="L6384" s="25">
        <v>41084.45857638889</v>
      </c>
      <c r="M6384" s="26" t="s">
        <v>204</v>
      </c>
      <c r="N6384" s="26" t="s">
        <v>14365</v>
      </c>
      <c r="O6384" s="22" t="str">
        <f>HYPERLINK("https://pbs.twimg.com/profile_images/735874166100918274/WbAXxW6n_normal.jpg","View")</f>
        <v>View</v>
      </c>
      <c r="P6384" s="27"/>
    </row>
    <row r="6385">
      <c r="A6385" s="14">
        <v>43031.42563657407</v>
      </c>
      <c r="B6385" s="20" t="str">
        <f>HYPERLINK("https://twitter.com/pankajverma321","@pankajverma321")</f>
        <v>@pankajverma321</v>
      </c>
      <c r="C6385" s="21" t="s">
        <v>14366</v>
      </c>
      <c r="D6385" s="21" t="s">
        <v>42</v>
      </c>
      <c r="E6385" s="22" t="str">
        <f>HYPERLINK("https://twitter.com/pankajverma321/status/922511161752301568","922511161752301568")</f>
        <v>922511161752301568</v>
      </c>
      <c r="F6385" s="23" t="s">
        <v>39</v>
      </c>
      <c r="G6385" s="24">
        <v>177.0</v>
      </c>
      <c r="H6385" s="24">
        <v>211.0</v>
      </c>
      <c r="I6385" s="24">
        <v>8501.0</v>
      </c>
      <c r="J6385" s="24">
        <v>0.0</v>
      </c>
      <c r="K6385" s="23" t="s">
        <v>34</v>
      </c>
      <c r="L6385" s="25">
        <v>42413.017060185186</v>
      </c>
      <c r="M6385" s="26" t="s">
        <v>8019</v>
      </c>
      <c r="N6385" s="26" t="s">
        <v>14367</v>
      </c>
      <c r="O6385" s="22" t="str">
        <f>HYPERLINK("https://pbs.twimg.com/profile_images/875321326008971264/dS0oxJMk_normal.jpg","View")</f>
        <v>View</v>
      </c>
      <c r="P6385" s="27"/>
    </row>
    <row r="6386">
      <c r="A6386" s="14">
        <v>43031.42582175926</v>
      </c>
      <c r="B6386" s="20" t="str">
        <f>HYPERLINK("https://twitter.com/AviMSharma12","@AviMSharma12")</f>
        <v>@AviMSharma12</v>
      </c>
      <c r="C6386" s="21" t="s">
        <v>14368</v>
      </c>
      <c r="D6386" s="21" t="s">
        <v>42</v>
      </c>
      <c r="E6386" s="22" t="str">
        <f>HYPERLINK("https://twitter.com/AviMSharma12/status/922511229985443841","922511229985443841")</f>
        <v>922511229985443841</v>
      </c>
      <c r="F6386" s="23" t="s">
        <v>39</v>
      </c>
      <c r="G6386" s="24">
        <v>42.0</v>
      </c>
      <c r="H6386" s="24">
        <v>188.0</v>
      </c>
      <c r="I6386" s="24">
        <v>8501.0</v>
      </c>
      <c r="J6386" s="24">
        <v>0.0</v>
      </c>
      <c r="K6386" s="23" t="s">
        <v>34</v>
      </c>
      <c r="L6386" s="25">
        <v>42975.02457175926</v>
      </c>
      <c r="M6386" s="26" t="s">
        <v>14369</v>
      </c>
      <c r="N6386" s="26" t="s">
        <v>14370</v>
      </c>
      <c r="O6386" s="22" t="str">
        <f>HYPERLINK("https://pbs.twimg.com/profile_images/917786056086491136/DTZbCMxg_normal.jpg","View")</f>
        <v>View</v>
      </c>
      <c r="P6386" s="27"/>
    </row>
    <row r="6387">
      <c r="A6387" s="14">
        <v>43031.4259375</v>
      </c>
      <c r="B6387" s="20" t="str">
        <f>HYPERLINK("https://twitter.com/zenpundit","@zenpundit")</f>
        <v>@zenpundit</v>
      </c>
      <c r="C6387" s="21" t="s">
        <v>14371</v>
      </c>
      <c r="D6387" s="21" t="s">
        <v>2313</v>
      </c>
      <c r="E6387" s="22" t="str">
        <f>HYPERLINK("https://twitter.com/zenpundit/status/922511274411483137","922511274411483137")</f>
        <v>922511274411483137</v>
      </c>
      <c r="F6387" s="23" t="s">
        <v>39</v>
      </c>
      <c r="G6387" s="24">
        <v>2191.0</v>
      </c>
      <c r="H6387" s="24">
        <v>920.0</v>
      </c>
      <c r="I6387" s="24">
        <v>10.0</v>
      </c>
      <c r="J6387" s="24">
        <v>0.0</v>
      </c>
      <c r="K6387" s="23" t="s">
        <v>34</v>
      </c>
      <c r="L6387" s="25">
        <v>39262.40814814815</v>
      </c>
      <c r="M6387" s="26" t="s">
        <v>14372</v>
      </c>
      <c r="N6387" s="26" t="s">
        <v>14373</v>
      </c>
      <c r="O6387" s="22" t="str">
        <f>HYPERLINK("https://pbs.twimg.com/profile_images/18744682/Zenpundit_normal.jpg","View")</f>
        <v>View</v>
      </c>
      <c r="P6387" s="27"/>
    </row>
    <row r="6388">
      <c r="A6388" s="14">
        <v>43031.42599537037</v>
      </c>
      <c r="B6388" s="20" t="str">
        <f>HYPERLINK("https://twitter.com/Fans_PM_Modi","@Fans_PM_Modi")</f>
        <v>@Fans_PM_Modi</v>
      </c>
      <c r="C6388" s="21" t="s">
        <v>14374</v>
      </c>
      <c r="D6388" s="21" t="s">
        <v>42</v>
      </c>
      <c r="E6388" s="22" t="str">
        <f>HYPERLINK("https://twitter.com/Fans_PM_Modi/status/922511294548230144","922511294548230144")</f>
        <v>922511294548230144</v>
      </c>
      <c r="F6388" s="23" t="s">
        <v>43</v>
      </c>
      <c r="G6388" s="24">
        <v>484.0</v>
      </c>
      <c r="H6388" s="24">
        <v>18.0</v>
      </c>
      <c r="I6388" s="24">
        <v>8501.0</v>
      </c>
      <c r="J6388" s="24">
        <v>0.0</v>
      </c>
      <c r="K6388" s="23" t="s">
        <v>34</v>
      </c>
      <c r="L6388" s="25">
        <v>42808.96741898148</v>
      </c>
      <c r="M6388" s="26" t="s">
        <v>14375</v>
      </c>
      <c r="N6388" s="26" t="s">
        <v>14376</v>
      </c>
      <c r="O6388" s="22" t="str">
        <f>HYPERLINK("https://pbs.twimg.com/profile_images/920190176210567168/gjMpLWgT_normal.jpg","View")</f>
        <v>View</v>
      </c>
      <c r="P6388" s="27"/>
    </row>
    <row r="6389">
      <c r="A6389" s="14">
        <v>43031.42606481482</v>
      </c>
      <c r="B6389" s="20" t="str">
        <f>HYPERLINK("https://twitter.com/Jeevesh_Prasoon","@Jeevesh_Prasoon")</f>
        <v>@Jeevesh_Prasoon</v>
      </c>
      <c r="C6389" s="21" t="s">
        <v>14377</v>
      </c>
      <c r="D6389" s="21" t="s">
        <v>42</v>
      </c>
      <c r="E6389" s="22" t="str">
        <f>HYPERLINK("https://twitter.com/Jeevesh_Prasoon/status/922511320154382336","922511320154382336")</f>
        <v>922511320154382336</v>
      </c>
      <c r="F6389" s="23" t="s">
        <v>55</v>
      </c>
      <c r="G6389" s="24">
        <v>162.0</v>
      </c>
      <c r="H6389" s="24">
        <v>673.0</v>
      </c>
      <c r="I6389" s="24">
        <v>8501.0</v>
      </c>
      <c r="J6389" s="24">
        <v>0.0</v>
      </c>
      <c r="K6389" s="23" t="s">
        <v>34</v>
      </c>
      <c r="L6389" s="25">
        <v>40339.234293981484</v>
      </c>
      <c r="M6389" s="26" t="s">
        <v>1532</v>
      </c>
      <c r="N6389" s="26" t="s">
        <v>14378</v>
      </c>
      <c r="O6389" s="22" t="str">
        <f>HYPERLINK("https://pbs.twimg.com/profile_images/688069134202998784/kvgzmIRH_normal.jpg","View")</f>
        <v>View</v>
      </c>
      <c r="P6389" s="27"/>
    </row>
    <row r="6390">
      <c r="A6390" s="14">
        <v>43031.42613425926</v>
      </c>
      <c r="B6390" s="20" t="str">
        <f>HYPERLINK("https://twitter.com/PavanCh13375965","@PavanCh13375965")</f>
        <v>@PavanCh13375965</v>
      </c>
      <c r="C6390" s="21" t="s">
        <v>14379</v>
      </c>
      <c r="D6390" s="21" t="s">
        <v>42</v>
      </c>
      <c r="E6390" s="22" t="str">
        <f>HYPERLINK("https://twitter.com/PavanCh13375965/status/922511344716230656","922511344716230656")</f>
        <v>922511344716230656</v>
      </c>
      <c r="F6390" s="23" t="s">
        <v>33</v>
      </c>
      <c r="G6390" s="24">
        <v>3.0</v>
      </c>
      <c r="H6390" s="24">
        <v>87.0</v>
      </c>
      <c r="I6390" s="24">
        <v>8501.0</v>
      </c>
      <c r="J6390" s="24">
        <v>0.0</v>
      </c>
      <c r="K6390" s="23" t="s">
        <v>34</v>
      </c>
      <c r="L6390" s="25">
        <v>43025.93460648148</v>
      </c>
      <c r="M6390" s="28"/>
      <c r="N6390" s="28"/>
      <c r="O6390" s="22" t="str">
        <f>HYPERLINK("https://abs.twimg.com/sticky/default_profile_images/default_profile_normal.png","View")</f>
        <v>View</v>
      </c>
      <c r="P6390" s="27"/>
    </row>
    <row r="6391">
      <c r="A6391" s="14">
        <v>43031.426145833335</v>
      </c>
      <c r="B6391" s="20" t="str">
        <f>HYPERLINK("https://twitter.com/step921","@step921")</f>
        <v>@step921</v>
      </c>
      <c r="C6391" s="21" t="s">
        <v>14380</v>
      </c>
      <c r="D6391" s="21" t="s">
        <v>6798</v>
      </c>
      <c r="E6391" s="22" t="str">
        <f>HYPERLINK("https://twitter.com/step921/status/922511347216211968","922511347216211968")</f>
        <v>922511347216211968</v>
      </c>
      <c r="F6391" s="23" t="s">
        <v>33</v>
      </c>
      <c r="G6391" s="24">
        <v>105.0</v>
      </c>
      <c r="H6391" s="24">
        <v>128.0</v>
      </c>
      <c r="I6391" s="24">
        <v>7.0</v>
      </c>
      <c r="J6391" s="24">
        <v>0.0</v>
      </c>
      <c r="K6391" s="23" t="s">
        <v>34</v>
      </c>
      <c r="L6391" s="25">
        <v>40354.50273148148</v>
      </c>
      <c r="M6391" s="26" t="s">
        <v>6241</v>
      </c>
      <c r="N6391" s="28"/>
      <c r="O6391" s="22" t="str">
        <f>HYPERLINK("https://pbs.twimg.com/profile_images/917221647819657216/Ssuv-G92_normal.jpg","View")</f>
        <v>View</v>
      </c>
      <c r="P6391" s="27"/>
    </row>
    <row r="6392">
      <c r="A6392" s="14">
        <v>43031.426250000004</v>
      </c>
      <c r="B6392" s="20" t="str">
        <f>HYPERLINK("https://twitter.com/FootnotesFirst","@FootnotesFirst")</f>
        <v>@FootnotesFirst</v>
      </c>
      <c r="C6392" s="21" t="s">
        <v>14381</v>
      </c>
      <c r="D6392" s="21" t="s">
        <v>9874</v>
      </c>
      <c r="E6392" s="22" t="str">
        <f>HYPERLINK("https://twitter.com/FootnotesFirst/status/922511384642023426","922511384642023426")</f>
        <v>922511384642023426</v>
      </c>
      <c r="F6392" s="23" t="s">
        <v>39</v>
      </c>
      <c r="G6392" s="24">
        <v>632.0</v>
      </c>
      <c r="H6392" s="24">
        <v>497.0</v>
      </c>
      <c r="I6392" s="24">
        <v>20.0</v>
      </c>
      <c r="J6392" s="24">
        <v>0.0</v>
      </c>
      <c r="K6392" s="23" t="s">
        <v>34</v>
      </c>
      <c r="L6392" s="25">
        <v>40133.77804398148</v>
      </c>
      <c r="M6392" s="28"/>
      <c r="N6392" s="26" t="s">
        <v>14382</v>
      </c>
      <c r="O6392" s="22" t="str">
        <f>HYPERLINK("https://pbs.twimg.com/profile_images/870752644402339840/kxzgyo3C_normal.jpg","View")</f>
        <v>View</v>
      </c>
      <c r="P6392" s="27"/>
    </row>
    <row r="6393">
      <c r="A6393" s="14">
        <v>43031.42628472223</v>
      </c>
      <c r="B6393" s="20" t="str">
        <f>HYPERLINK("https://twitter.com/AliwaOkello","@AliwaOkello")</f>
        <v>@AliwaOkello</v>
      </c>
      <c r="C6393" s="21" t="s">
        <v>956</v>
      </c>
      <c r="D6393" s="21" t="s">
        <v>14383</v>
      </c>
      <c r="E6393" s="22" t="str">
        <f>HYPERLINK("https://twitter.com/AliwaOkello/status/922511399473106944","922511399473106944")</f>
        <v>922511399473106944</v>
      </c>
      <c r="F6393" s="30" t="s">
        <v>191</v>
      </c>
      <c r="G6393" s="24">
        <v>197.0</v>
      </c>
      <c r="H6393" s="24">
        <v>30.0</v>
      </c>
      <c r="I6393" s="24">
        <v>0.0</v>
      </c>
      <c r="J6393" s="24">
        <v>0.0</v>
      </c>
      <c r="K6393" s="23" t="s">
        <v>34</v>
      </c>
      <c r="L6393" s="25">
        <v>41411.1703587963</v>
      </c>
      <c r="M6393" s="26" t="s">
        <v>114</v>
      </c>
      <c r="N6393" s="26" t="s">
        <v>958</v>
      </c>
      <c r="O6393" s="22" t="str">
        <f>HYPERLINK("https://pbs.twimg.com/profile_images/796582872782094337/y1nb7iEB_normal.jpg","View")</f>
        <v>View</v>
      </c>
      <c r="P6393" s="27"/>
    </row>
    <row r="6394">
      <c r="A6394" s="14">
        <v>43031.426516203705</v>
      </c>
      <c r="B6394" s="20" t="str">
        <f>HYPERLINK("https://twitter.com/Itsmunnasingh","@Itsmunnasingh")</f>
        <v>@Itsmunnasingh</v>
      </c>
      <c r="C6394" s="21" t="s">
        <v>14384</v>
      </c>
      <c r="D6394" s="21" t="s">
        <v>42</v>
      </c>
      <c r="E6394" s="22" t="str">
        <f>HYPERLINK("https://twitter.com/Itsmunnasingh/status/922511483505844225","922511483505844225")</f>
        <v>922511483505844225</v>
      </c>
      <c r="F6394" s="23" t="s">
        <v>33</v>
      </c>
      <c r="G6394" s="24">
        <v>65.0</v>
      </c>
      <c r="H6394" s="24">
        <v>25.0</v>
      </c>
      <c r="I6394" s="24">
        <v>8501.0</v>
      </c>
      <c r="J6394" s="24">
        <v>0.0</v>
      </c>
      <c r="K6394" s="23" t="s">
        <v>34</v>
      </c>
      <c r="L6394" s="25">
        <v>42897.96353009259</v>
      </c>
      <c r="M6394" s="26" t="s">
        <v>14385</v>
      </c>
      <c r="N6394" s="26" t="s">
        <v>14386</v>
      </c>
      <c r="O6394" s="22" t="str">
        <f>HYPERLINK("https://pbs.twimg.com/profile_images/914205833835069441/H8UY0SeD_normal.jpg","View")</f>
        <v>View</v>
      </c>
      <c r="P6394" s="27"/>
    </row>
    <row r="6395">
      <c r="A6395" s="14">
        <v>43031.426516203705</v>
      </c>
      <c r="B6395" s="20" t="str">
        <f>HYPERLINK("https://twitter.com/VishalB17597055","@VishalB17597055")</f>
        <v>@VishalB17597055</v>
      </c>
      <c r="C6395" s="21" t="s">
        <v>14387</v>
      </c>
      <c r="D6395" s="21" t="s">
        <v>42</v>
      </c>
      <c r="E6395" s="22" t="str">
        <f>HYPERLINK("https://twitter.com/VishalB17597055/status/922511484164247552","922511484164247552")</f>
        <v>922511484164247552</v>
      </c>
      <c r="F6395" s="23" t="s">
        <v>43</v>
      </c>
      <c r="G6395" s="24">
        <v>95.0</v>
      </c>
      <c r="H6395" s="24">
        <v>604.0</v>
      </c>
      <c r="I6395" s="24">
        <v>8501.0</v>
      </c>
      <c r="J6395" s="24">
        <v>0.0</v>
      </c>
      <c r="K6395" s="23" t="s">
        <v>34</v>
      </c>
      <c r="L6395" s="25">
        <v>42581.24858796297</v>
      </c>
      <c r="M6395" s="28"/>
      <c r="N6395" s="28"/>
      <c r="O6395" s="22" t="str">
        <f>HYPERLINK("https://pbs.twimg.com/profile_images/759384134770974721/_3Y_vJ3j_normal.jpg","View")</f>
        <v>View</v>
      </c>
      <c r="P6395" s="27"/>
    </row>
    <row r="6396">
      <c r="A6396" s="14">
        <v>43031.426527777774</v>
      </c>
      <c r="B6396" s="20" t="str">
        <f>HYPERLINK("https://twitter.com/Lizmseger","@Lizmseger")</f>
        <v>@Lizmseger</v>
      </c>
      <c r="C6396" s="21" t="s">
        <v>14388</v>
      </c>
      <c r="D6396" s="21" t="s">
        <v>10614</v>
      </c>
      <c r="E6396" s="22" t="str">
        <f>HYPERLINK("https://twitter.com/Lizmseger/status/922511487645749249","922511487645749249")</f>
        <v>922511487645749249</v>
      </c>
      <c r="F6396" s="23" t="s">
        <v>55</v>
      </c>
      <c r="G6396" s="24">
        <v>601.0</v>
      </c>
      <c r="H6396" s="24">
        <v>1143.0</v>
      </c>
      <c r="I6396" s="24">
        <v>159.0</v>
      </c>
      <c r="J6396" s="24">
        <v>0.0</v>
      </c>
      <c r="K6396" s="23" t="s">
        <v>34</v>
      </c>
      <c r="L6396" s="25">
        <v>42053.50457175926</v>
      </c>
      <c r="M6396" s="28"/>
      <c r="N6396" s="28"/>
      <c r="O6396" s="22" t="str">
        <f>HYPERLINK("https://abs.twimg.com/sticky/default_profile_images/default_profile_normal.png","View")</f>
        <v>View</v>
      </c>
      <c r="P6396" s="27"/>
    </row>
    <row r="6397">
      <c r="A6397" s="14">
        <v>43031.42673611111</v>
      </c>
      <c r="B6397" s="20" t="str">
        <f>HYPERLINK("https://twitter.com/shalin5960","@shalin5960")</f>
        <v>@shalin5960</v>
      </c>
      <c r="C6397" s="21" t="s">
        <v>11604</v>
      </c>
      <c r="D6397" s="21" t="s">
        <v>14389</v>
      </c>
      <c r="E6397" s="22" t="str">
        <f>HYPERLINK("https://twitter.com/shalin5960/status/922511561914273792","922511561914273792")</f>
        <v>922511561914273792</v>
      </c>
      <c r="F6397" s="23" t="s">
        <v>187</v>
      </c>
      <c r="G6397" s="24">
        <v>234.0</v>
      </c>
      <c r="H6397" s="24">
        <v>167.0</v>
      </c>
      <c r="I6397" s="24">
        <v>0.0</v>
      </c>
      <c r="J6397" s="24">
        <v>0.0</v>
      </c>
      <c r="K6397" s="23" t="s">
        <v>34</v>
      </c>
      <c r="L6397" s="25">
        <v>40276.41585648148</v>
      </c>
      <c r="M6397" s="26" t="s">
        <v>2310</v>
      </c>
      <c r="N6397" s="26" t="s">
        <v>11606</v>
      </c>
      <c r="O6397" s="22" t="str">
        <f>HYPERLINK("https://pbs.twimg.com/profile_images/883907510070935552/d2p-brHu_normal.jpg","View")</f>
        <v>View</v>
      </c>
      <c r="P6397" s="27"/>
    </row>
    <row r="6398">
      <c r="A6398" s="14">
        <v>43031.426875000005</v>
      </c>
      <c r="B6398" s="20" t="str">
        <f>HYPERLINK("https://twitter.com/ErNamdeo","@ErNamdeo")</f>
        <v>@ErNamdeo</v>
      </c>
      <c r="C6398" s="21" t="s">
        <v>14390</v>
      </c>
      <c r="D6398" s="21" t="s">
        <v>163</v>
      </c>
      <c r="E6398" s="22" t="str">
        <f>HYPERLINK("https://twitter.com/ErNamdeo/status/922511612614807552","922511612614807552")</f>
        <v>922511612614807552</v>
      </c>
      <c r="F6398" s="23" t="s">
        <v>33</v>
      </c>
      <c r="G6398" s="24">
        <v>434.0</v>
      </c>
      <c r="H6398" s="24">
        <v>657.0</v>
      </c>
      <c r="I6398" s="24">
        <v>1005.0</v>
      </c>
      <c r="J6398" s="24">
        <v>0.0</v>
      </c>
      <c r="K6398" s="23" t="s">
        <v>34</v>
      </c>
      <c r="L6398" s="25">
        <v>40222.01247685185</v>
      </c>
      <c r="M6398" s="26" t="s">
        <v>14391</v>
      </c>
      <c r="N6398" s="26" t="s">
        <v>14392</v>
      </c>
      <c r="O6398" s="22" t="str">
        <f>HYPERLINK("https://pbs.twimg.com/profile_images/898426179912212480/5igA28N0_normal.jpg","View")</f>
        <v>View</v>
      </c>
      <c r="P6398" s="27"/>
    </row>
    <row r="6399">
      <c r="A6399" s="14">
        <v>43031.4269212963</v>
      </c>
      <c r="B6399" s="20" t="str">
        <f>HYPERLINK("https://twitter.com/poppy12247705","@poppy12247705")</f>
        <v>@poppy12247705</v>
      </c>
      <c r="C6399" s="21" t="s">
        <v>14393</v>
      </c>
      <c r="D6399" s="21" t="s">
        <v>12974</v>
      </c>
      <c r="E6399" s="22" t="str">
        <f>HYPERLINK("https://twitter.com/poppy12247705/status/922511630461800448","922511630461800448")</f>
        <v>922511630461800448</v>
      </c>
      <c r="F6399" s="23" t="s">
        <v>43</v>
      </c>
      <c r="G6399" s="24">
        <v>260.0</v>
      </c>
      <c r="H6399" s="24">
        <v>986.0</v>
      </c>
      <c r="I6399" s="24">
        <v>110.0</v>
      </c>
      <c r="J6399" s="24">
        <v>0.0</v>
      </c>
      <c r="K6399" s="23" t="s">
        <v>34</v>
      </c>
      <c r="L6399" s="25">
        <v>42439.29119212963</v>
      </c>
      <c r="M6399" s="26" t="s">
        <v>14394</v>
      </c>
      <c r="N6399" s="28"/>
      <c r="O6399" s="22" t="str">
        <f>HYPERLINK("https://abs.twimg.com/sticky/default_profile_images/default_profile_normal.png","View")</f>
        <v>View</v>
      </c>
      <c r="P6399" s="27"/>
    </row>
    <row r="6400">
      <c r="A6400" s="14">
        <v>43031.42700231481</v>
      </c>
      <c r="B6400" s="20" t="str">
        <f>HYPERLINK("https://twitter.com/Amareshkumarsh7","@Amareshkumarsh7")</f>
        <v>@Amareshkumarsh7</v>
      </c>
      <c r="C6400" s="21" t="s">
        <v>14395</v>
      </c>
      <c r="D6400" s="21" t="s">
        <v>42</v>
      </c>
      <c r="E6400" s="22" t="str">
        <f>HYPERLINK("https://twitter.com/Amareshkumarsh7/status/922511660341800960","922511660341800960")</f>
        <v>922511660341800960</v>
      </c>
      <c r="F6400" s="23" t="s">
        <v>33</v>
      </c>
      <c r="G6400" s="24">
        <v>19.0</v>
      </c>
      <c r="H6400" s="24">
        <v>127.0</v>
      </c>
      <c r="I6400" s="24">
        <v>8501.0</v>
      </c>
      <c r="J6400" s="24">
        <v>0.0</v>
      </c>
      <c r="K6400" s="23" t="s">
        <v>34</v>
      </c>
      <c r="L6400" s="25">
        <v>42866.82177083333</v>
      </c>
      <c r="M6400" s="28"/>
      <c r="N6400" s="28"/>
      <c r="O6400" s="22" t="str">
        <f>HYPERLINK("https://pbs.twimg.com/profile_images/866957144490475520/KZkjEZAU_normal.jpg","View")</f>
        <v>View</v>
      </c>
      <c r="P6400" s="27"/>
    </row>
    <row r="6401">
      <c r="A6401" s="14">
        <v>43031.42704861111</v>
      </c>
      <c r="B6401" s="20" t="str">
        <f>HYPERLINK("https://twitter.com/SirBasilBrush","@SirBasilBrush")</f>
        <v>@SirBasilBrush</v>
      </c>
      <c r="C6401" s="21" t="s">
        <v>14396</v>
      </c>
      <c r="D6401" s="21" t="s">
        <v>12974</v>
      </c>
      <c r="E6401" s="22" t="str">
        <f>HYPERLINK("https://twitter.com/SirBasilBrush/status/922511677026979840","922511677026979840")</f>
        <v>922511677026979840</v>
      </c>
      <c r="F6401" s="23" t="s">
        <v>230</v>
      </c>
      <c r="G6401" s="24">
        <v>3294.0</v>
      </c>
      <c r="H6401" s="24">
        <v>1679.0</v>
      </c>
      <c r="I6401" s="24">
        <v>110.0</v>
      </c>
      <c r="J6401" s="24">
        <v>0.0</v>
      </c>
      <c r="K6401" s="23" t="s">
        <v>34</v>
      </c>
      <c r="L6401" s="25">
        <v>42277.423692129625</v>
      </c>
      <c r="M6401" s="26" t="s">
        <v>14397</v>
      </c>
      <c r="N6401" s="26" t="s">
        <v>14398</v>
      </c>
      <c r="O6401" s="22" t="str">
        <f>HYPERLINK("https://pbs.twimg.com/profile_images/678974753374404608/wZ-FfxUp_normal.jpg","View")</f>
        <v>View</v>
      </c>
      <c r="P6401" s="27"/>
    </row>
    <row r="6402">
      <c r="A6402" s="14">
        <v>43031.42704861111</v>
      </c>
      <c r="B6402" s="20" t="str">
        <f>HYPERLINK("https://twitter.com/anooppnd6745","@anooppnd6745")</f>
        <v>@anooppnd6745</v>
      </c>
      <c r="C6402" s="21" t="s">
        <v>12818</v>
      </c>
      <c r="D6402" s="21" t="s">
        <v>14399</v>
      </c>
      <c r="E6402" s="22" t="str">
        <f>HYPERLINK("https://twitter.com/anooppnd6745/status/922511677039546370","922511677039546370")</f>
        <v>922511677039546370</v>
      </c>
      <c r="F6402" s="23" t="s">
        <v>55</v>
      </c>
      <c r="G6402" s="24">
        <v>490.0</v>
      </c>
      <c r="H6402" s="24">
        <v>171.0</v>
      </c>
      <c r="I6402" s="24">
        <v>1.0</v>
      </c>
      <c r="J6402" s="24">
        <v>0.0</v>
      </c>
      <c r="K6402" s="23" t="s">
        <v>34</v>
      </c>
      <c r="L6402" s="25">
        <v>42578.02322916666</v>
      </c>
      <c r="M6402" s="26" t="s">
        <v>204</v>
      </c>
      <c r="N6402" s="26" t="s">
        <v>12819</v>
      </c>
      <c r="O6402" s="22" t="str">
        <f>HYPERLINK("https://pbs.twimg.com/profile_images/908019751120719872/VBwi2MFy_normal.jpg","View")</f>
        <v>View</v>
      </c>
      <c r="P6402" s="27"/>
    </row>
    <row r="6403">
      <c r="A6403" s="14">
        <v>43031.42726851851</v>
      </c>
      <c r="B6403" s="20" t="str">
        <f>HYPERLINK("https://twitter.com/nimmuphysio01","@nimmuphysio01")</f>
        <v>@nimmuphysio01</v>
      </c>
      <c r="C6403" s="21" t="s">
        <v>14400</v>
      </c>
      <c r="D6403" s="21" t="s">
        <v>42</v>
      </c>
      <c r="E6403" s="22" t="str">
        <f>HYPERLINK("https://twitter.com/nimmuphysio01/status/922511756601081856","922511756601081856")</f>
        <v>922511756601081856</v>
      </c>
      <c r="F6403" s="23" t="s">
        <v>86</v>
      </c>
      <c r="G6403" s="24">
        <v>13.0</v>
      </c>
      <c r="H6403" s="24">
        <v>85.0</v>
      </c>
      <c r="I6403" s="24">
        <v>8501.0</v>
      </c>
      <c r="J6403" s="24">
        <v>0.0</v>
      </c>
      <c r="K6403" s="23" t="s">
        <v>34</v>
      </c>
      <c r="L6403" s="25">
        <v>40663.16636574074</v>
      </c>
      <c r="M6403" s="26" t="s">
        <v>164</v>
      </c>
      <c r="N6403" s="26" t="s">
        <v>14401</v>
      </c>
      <c r="O6403" s="22" t="str">
        <f>HYPERLINK("https://pbs.twimg.com/profile_images/378800000854035275/776976956ec1c4358276ed7ec95f86f9_normal.jpeg","View")</f>
        <v>View</v>
      </c>
      <c r="P6403" s="27"/>
    </row>
    <row r="6404">
      <c r="A6404" s="14">
        <v>43031.42730324074</v>
      </c>
      <c r="B6404" s="20" t="str">
        <f>HYPERLINK("https://twitter.com/DUDinesh1","@DUDinesh1")</f>
        <v>@DUDinesh1</v>
      </c>
      <c r="C6404" s="21" t="s">
        <v>14402</v>
      </c>
      <c r="D6404" s="21" t="s">
        <v>42</v>
      </c>
      <c r="E6404" s="22" t="str">
        <f>HYPERLINK("https://twitter.com/DUDinesh1/status/922511767774797824","922511767774797824")</f>
        <v>922511767774797824</v>
      </c>
      <c r="F6404" s="23" t="s">
        <v>39</v>
      </c>
      <c r="G6404" s="24">
        <v>161.0</v>
      </c>
      <c r="H6404" s="24">
        <v>524.0</v>
      </c>
      <c r="I6404" s="24">
        <v>8501.0</v>
      </c>
      <c r="J6404" s="24">
        <v>0.0</v>
      </c>
      <c r="K6404" s="23" t="s">
        <v>34</v>
      </c>
      <c r="L6404" s="25">
        <v>42365.10642361111</v>
      </c>
      <c r="M6404" s="26" t="s">
        <v>603</v>
      </c>
      <c r="N6404" s="26" t="s">
        <v>14403</v>
      </c>
      <c r="O6404" s="22" t="str">
        <f>HYPERLINK("https://pbs.twimg.com/profile_images/812628390825992192/0kg412Bm_normal.jpg","View")</f>
        <v>View</v>
      </c>
      <c r="P6404" s="27"/>
    </row>
    <row r="6405">
      <c r="A6405" s="14">
        <v>43031.42736111111</v>
      </c>
      <c r="B6405" s="20" t="str">
        <f>HYPERLINK("https://twitter.com/djilaa_az","@djilaa_az")</f>
        <v>@djilaa_az</v>
      </c>
      <c r="C6405" s="21" t="s">
        <v>14404</v>
      </c>
      <c r="D6405" s="21" t="s">
        <v>12974</v>
      </c>
      <c r="E6405" s="22" t="str">
        <f>HYPERLINK("https://twitter.com/djilaa_az/status/922511789547499520","922511789547499520")</f>
        <v>922511789547499520</v>
      </c>
      <c r="F6405" s="23" t="s">
        <v>39</v>
      </c>
      <c r="G6405" s="24">
        <v>15.0</v>
      </c>
      <c r="H6405" s="24">
        <v>96.0</v>
      </c>
      <c r="I6405" s="24">
        <v>110.0</v>
      </c>
      <c r="J6405" s="24">
        <v>0.0</v>
      </c>
      <c r="K6405" s="23" t="s">
        <v>34</v>
      </c>
      <c r="L6405" s="25">
        <v>42675.461805555555</v>
      </c>
      <c r="M6405" s="26" t="s">
        <v>14405</v>
      </c>
      <c r="N6405" s="28"/>
      <c r="O6405" s="22" t="str">
        <f>HYPERLINK("https://pbs.twimg.com/profile_images/921791909248593920/f7U2KVCS_normal.jpg","View")</f>
        <v>View</v>
      </c>
      <c r="P6405" s="27"/>
    </row>
    <row r="6406">
      <c r="A6406" s="14">
        <v>43031.427523148144</v>
      </c>
      <c r="B6406" s="20" t="str">
        <f>HYPERLINK("https://twitter.com/prashantjha003","@prashantjha003")</f>
        <v>@prashantjha003</v>
      </c>
      <c r="C6406" s="21" t="s">
        <v>14406</v>
      </c>
      <c r="D6406" s="21" t="s">
        <v>42</v>
      </c>
      <c r="E6406" s="22" t="str">
        <f>HYPERLINK("https://twitter.com/prashantjha003/status/922511847105765376","922511847105765376")</f>
        <v>922511847105765376</v>
      </c>
      <c r="F6406" s="23" t="s">
        <v>33</v>
      </c>
      <c r="G6406" s="24">
        <v>156.0</v>
      </c>
      <c r="H6406" s="24">
        <v>167.0</v>
      </c>
      <c r="I6406" s="24">
        <v>8501.0</v>
      </c>
      <c r="J6406" s="24">
        <v>0.0</v>
      </c>
      <c r="K6406" s="23" t="s">
        <v>34</v>
      </c>
      <c r="L6406" s="25">
        <v>40708.08017361111</v>
      </c>
      <c r="M6406" s="26" t="s">
        <v>167</v>
      </c>
      <c r="N6406" s="26" t="s">
        <v>14407</v>
      </c>
      <c r="O6406" s="22" t="str">
        <f>HYPERLINK("https://pbs.twimg.com/profile_images/897155678422355969/gVotB7RC_normal.jpg","View")</f>
        <v>View</v>
      </c>
      <c r="P6406" s="27"/>
    </row>
    <row r="6407">
      <c r="A6407" s="14">
        <v>43031.42759259259</v>
      </c>
      <c r="B6407" s="20" t="str">
        <f>HYPERLINK("https://twitter.com/piyushraj27","@piyushraj27")</f>
        <v>@piyushraj27</v>
      </c>
      <c r="C6407" s="21" t="s">
        <v>14408</v>
      </c>
      <c r="D6407" s="21" t="s">
        <v>42</v>
      </c>
      <c r="E6407" s="22" t="str">
        <f>HYPERLINK("https://twitter.com/piyushraj27/status/922511870841446400","922511870841446400")</f>
        <v>922511870841446400</v>
      </c>
      <c r="F6407" s="23" t="s">
        <v>33</v>
      </c>
      <c r="G6407" s="24">
        <v>432.0</v>
      </c>
      <c r="H6407" s="24">
        <v>420.0</v>
      </c>
      <c r="I6407" s="24">
        <v>8501.0</v>
      </c>
      <c r="J6407" s="24">
        <v>0.0</v>
      </c>
      <c r="K6407" s="23" t="s">
        <v>34</v>
      </c>
      <c r="L6407" s="25">
        <v>40278.920902777776</v>
      </c>
      <c r="M6407" s="26" t="s">
        <v>9985</v>
      </c>
      <c r="N6407" s="26" t="s">
        <v>14409</v>
      </c>
      <c r="O6407" s="22" t="str">
        <f>HYPERLINK("https://pbs.twimg.com/profile_images/788308388933283840/jyOVe7of_normal.jpg","View")</f>
        <v>View</v>
      </c>
      <c r="P6407" s="27"/>
    </row>
    <row r="6408">
      <c r="A6408" s="14">
        <v>43031.427673611106</v>
      </c>
      <c r="B6408" s="20" t="str">
        <f>HYPERLINK("https://twitter.com/Rashmikavitri","@Rashmikavitri")</f>
        <v>@Rashmikavitri</v>
      </c>
      <c r="C6408" s="21" t="s">
        <v>14410</v>
      </c>
      <c r="D6408" s="21" t="s">
        <v>42</v>
      </c>
      <c r="E6408" s="22" t="str">
        <f>HYPERLINK("https://twitter.com/Rashmikavitri/status/922511902206341120","922511902206341120")</f>
        <v>922511902206341120</v>
      </c>
      <c r="F6408" s="23" t="s">
        <v>33</v>
      </c>
      <c r="G6408" s="24">
        <v>1289.0</v>
      </c>
      <c r="H6408" s="24">
        <v>2076.0</v>
      </c>
      <c r="I6408" s="24">
        <v>8501.0</v>
      </c>
      <c r="J6408" s="24">
        <v>0.0</v>
      </c>
      <c r="K6408" s="23" t="s">
        <v>34</v>
      </c>
      <c r="L6408" s="25">
        <v>41732.21876157408</v>
      </c>
      <c r="M6408" s="26" t="s">
        <v>164</v>
      </c>
      <c r="N6408" s="26" t="s">
        <v>14411</v>
      </c>
      <c r="O6408" s="22" t="str">
        <f>HYPERLINK("https://pbs.twimg.com/profile_images/910265852406128640/no0WzPXy_normal.jpg","View")</f>
        <v>View</v>
      </c>
      <c r="P6408" s="27"/>
    </row>
    <row r="6409">
      <c r="A6409" s="14">
        <v>43031.427673611106</v>
      </c>
      <c r="B6409" s="20" t="str">
        <f>HYPERLINK("https://twitter.com/yusuf_jupu","@yusuf_jupu")</f>
        <v>@yusuf_jupu</v>
      </c>
      <c r="C6409" s="21" t="s">
        <v>14412</v>
      </c>
      <c r="D6409" s="21" t="s">
        <v>32</v>
      </c>
      <c r="E6409" s="22" t="str">
        <f>HYPERLINK("https://twitter.com/yusuf_jupu/status/922511902374326272","922511902374326272")</f>
        <v>922511902374326272</v>
      </c>
      <c r="F6409" s="23" t="s">
        <v>39</v>
      </c>
      <c r="G6409" s="24">
        <v>1711.0</v>
      </c>
      <c r="H6409" s="24">
        <v>2551.0</v>
      </c>
      <c r="I6409" s="24">
        <v>471.0</v>
      </c>
      <c r="J6409" s="24">
        <v>0.0</v>
      </c>
      <c r="K6409" s="23" t="s">
        <v>34</v>
      </c>
      <c r="L6409" s="25">
        <v>42152.425578703704</v>
      </c>
      <c r="M6409" s="26" t="s">
        <v>762</v>
      </c>
      <c r="N6409" s="26" t="s">
        <v>14413</v>
      </c>
      <c r="O6409" s="22" t="str">
        <f>HYPERLINK("https://pbs.twimg.com/profile_images/921784810506539009/REl9nodR_normal.jpg","View")</f>
        <v>View</v>
      </c>
      <c r="P6409" s="27"/>
    </row>
    <row r="6410">
      <c r="A6410" s="14">
        <v>43031.42775462963</v>
      </c>
      <c r="B6410" s="20" t="str">
        <f>HYPERLINK("https://twitter.com/madan5046","@madan5046")</f>
        <v>@madan5046</v>
      </c>
      <c r="C6410" s="21" t="s">
        <v>14414</v>
      </c>
      <c r="D6410" s="21" t="s">
        <v>42</v>
      </c>
      <c r="E6410" s="22" t="str">
        <f>HYPERLINK("https://twitter.com/madan5046/status/922511931130257408","922511931130257408")</f>
        <v>922511931130257408</v>
      </c>
      <c r="F6410" s="23" t="s">
        <v>33</v>
      </c>
      <c r="G6410" s="24">
        <v>39.0</v>
      </c>
      <c r="H6410" s="24">
        <v>117.0</v>
      </c>
      <c r="I6410" s="24">
        <v>8501.0</v>
      </c>
      <c r="J6410" s="24">
        <v>0.0</v>
      </c>
      <c r="K6410" s="23" t="s">
        <v>34</v>
      </c>
      <c r="L6410" s="25">
        <v>42562.08200231481</v>
      </c>
      <c r="M6410" s="28"/>
      <c r="N6410" s="28"/>
      <c r="O6410" s="22" t="str">
        <f>HYPERLINK("https://pbs.twimg.com/profile_images/909138001548132352/ivqRt1v4_normal.jpg","View")</f>
        <v>View</v>
      </c>
      <c r="P6410" s="27"/>
    </row>
    <row r="6411">
      <c r="A6411" s="14">
        <v>43031.4279050926</v>
      </c>
      <c r="B6411" s="20" t="str">
        <f>HYPERLINK("https://twitter.com/vishalfast007","@vishalfast007")</f>
        <v>@vishalfast007</v>
      </c>
      <c r="C6411" s="21" t="s">
        <v>14415</v>
      </c>
      <c r="D6411" s="21" t="s">
        <v>14416</v>
      </c>
      <c r="E6411" s="22" t="str">
        <f>HYPERLINK("https://twitter.com/vishalfast007/status/922511983777337344","922511983777337344")</f>
        <v>922511983777337344</v>
      </c>
      <c r="F6411" s="23" t="s">
        <v>187</v>
      </c>
      <c r="G6411" s="24">
        <v>6450.0</v>
      </c>
      <c r="H6411" s="24">
        <v>6129.0</v>
      </c>
      <c r="I6411" s="24">
        <v>0.0</v>
      </c>
      <c r="J6411" s="24">
        <v>0.0</v>
      </c>
      <c r="K6411" s="23" t="s">
        <v>34</v>
      </c>
      <c r="L6411" s="25">
        <v>40275.98584490741</v>
      </c>
      <c r="M6411" s="28"/>
      <c r="N6411" s="26" t="s">
        <v>14417</v>
      </c>
      <c r="O6411" s="22" t="str">
        <f>HYPERLINK("https://pbs.twimg.com/profile_images/560334179481571329/aGzct4Ns_normal.jpeg","View")</f>
        <v>View</v>
      </c>
      <c r="P6411" s="27"/>
    </row>
    <row r="6412">
      <c r="A6412" s="14">
        <v>43031.428032407406</v>
      </c>
      <c r="B6412" s="20" t="str">
        <f>HYPERLINK("https://twitter.com/livemint","@livemint")</f>
        <v>@livemint</v>
      </c>
      <c r="C6412" s="21" t="s">
        <v>11532</v>
      </c>
      <c r="D6412" s="21" t="s">
        <v>14418</v>
      </c>
      <c r="E6412" s="22" t="str">
        <f>HYPERLINK("https://twitter.com/livemint/status/922512031831482368","922512031831482368")</f>
        <v>922512031831482368</v>
      </c>
      <c r="F6412" s="23" t="s">
        <v>187</v>
      </c>
      <c r="G6412" s="24">
        <v>1691199.0</v>
      </c>
      <c r="H6412" s="24">
        <v>351.0</v>
      </c>
      <c r="I6412" s="24">
        <v>2.0</v>
      </c>
      <c r="J6412" s="24">
        <v>9.0</v>
      </c>
      <c r="K6412" s="23" t="s">
        <v>34</v>
      </c>
      <c r="L6412" s="25">
        <v>39779.04696759259</v>
      </c>
      <c r="M6412" s="26" t="s">
        <v>204</v>
      </c>
      <c r="N6412" s="26" t="s">
        <v>11534</v>
      </c>
      <c r="O6412" s="22" t="str">
        <f>HYPERLINK("https://pbs.twimg.com/profile_images/786768566280458240/10bMmNvU_normal.jpg","View")</f>
        <v>View</v>
      </c>
      <c r="P6412" s="27"/>
    </row>
    <row r="6413">
      <c r="A6413" s="14">
        <v>43031.42848379629</v>
      </c>
      <c r="B6413" s="20" t="str">
        <f>HYPERLINK("https://twitter.com/zrthzmri","@zrthzmri")</f>
        <v>@zrthzmri</v>
      </c>
      <c r="C6413" s="21" t="s">
        <v>14419</v>
      </c>
      <c r="D6413" s="21" t="s">
        <v>13962</v>
      </c>
      <c r="E6413" s="22" t="str">
        <f>HYPERLINK("https://twitter.com/zrthzmri/status/922512194847178753","922512194847178753")</f>
        <v>922512194847178753</v>
      </c>
      <c r="F6413" s="23" t="s">
        <v>39</v>
      </c>
      <c r="G6413" s="24">
        <v>133.0</v>
      </c>
      <c r="H6413" s="24">
        <v>128.0</v>
      </c>
      <c r="I6413" s="24">
        <v>18.0</v>
      </c>
      <c r="J6413" s="24">
        <v>0.0</v>
      </c>
      <c r="K6413" s="23" t="s">
        <v>34</v>
      </c>
      <c r="L6413" s="25">
        <v>40766.89641203704</v>
      </c>
      <c r="M6413" s="26" t="s">
        <v>295</v>
      </c>
      <c r="N6413" s="33" t="s">
        <v>14420</v>
      </c>
      <c r="O6413" s="22" t="str">
        <f>HYPERLINK("https://pbs.twimg.com/profile_images/920843860372209664/4vjpaQcK_normal.jpg","View")</f>
        <v>View</v>
      </c>
      <c r="P6413" s="27"/>
    </row>
    <row r="6414">
      <c r="A6414" s="14">
        <v>43031.42853009259</v>
      </c>
      <c r="B6414" s="20" t="str">
        <f>HYPERLINK("https://twitter.com/gaganjp","@gaganjp")</f>
        <v>@gaganjp</v>
      </c>
      <c r="C6414" s="21" t="s">
        <v>14421</v>
      </c>
      <c r="D6414" s="21" t="s">
        <v>13919</v>
      </c>
      <c r="E6414" s="22" t="str">
        <f>HYPERLINK("https://twitter.com/gaganjp/status/922512214065496064","922512214065496064")</f>
        <v>922512214065496064</v>
      </c>
      <c r="F6414" s="23" t="s">
        <v>86</v>
      </c>
      <c r="G6414" s="24">
        <v>2661.0</v>
      </c>
      <c r="H6414" s="24">
        <v>3009.0</v>
      </c>
      <c r="I6414" s="24">
        <v>10.0</v>
      </c>
      <c r="J6414" s="24">
        <v>0.0</v>
      </c>
      <c r="K6414" s="23" t="s">
        <v>34</v>
      </c>
      <c r="L6414" s="25">
        <v>40950.442662037036</v>
      </c>
      <c r="M6414" s="26" t="s">
        <v>2353</v>
      </c>
      <c r="N6414" s="26" t="s">
        <v>14422</v>
      </c>
      <c r="O6414" s="22" t="str">
        <f>HYPERLINK("https://pbs.twimg.com/profile_images/880590651330633728/xH7TgEVa_normal.jpg","View")</f>
        <v>View</v>
      </c>
      <c r="P6414" s="27"/>
    </row>
    <row r="6415">
      <c r="A6415" s="14">
        <v>43031.42855324074</v>
      </c>
      <c r="B6415" s="20" t="str">
        <f>HYPERLINK("https://twitter.com/IndiasBigdebate","@IndiasBigdebate")</f>
        <v>@IndiasBigdebate</v>
      </c>
      <c r="C6415" s="21" t="s">
        <v>14423</v>
      </c>
      <c r="D6415" s="21" t="s">
        <v>14424</v>
      </c>
      <c r="E6415" s="22" t="str">
        <f>HYPERLINK("https://twitter.com/IndiasBigdebate/status/922512220847726593","922512220847726593")</f>
        <v>922512220847726593</v>
      </c>
      <c r="F6415" s="23" t="s">
        <v>33</v>
      </c>
      <c r="G6415" s="24">
        <v>1129.0</v>
      </c>
      <c r="H6415" s="24">
        <v>194.0</v>
      </c>
      <c r="I6415" s="24">
        <v>2.0</v>
      </c>
      <c r="J6415" s="24">
        <v>0.0</v>
      </c>
      <c r="K6415" s="23" t="s">
        <v>34</v>
      </c>
      <c r="L6415" s="25">
        <v>42216.47479166667</v>
      </c>
      <c r="M6415" s="26" t="s">
        <v>204</v>
      </c>
      <c r="N6415" s="26" t="s">
        <v>14425</v>
      </c>
      <c r="O6415" s="22" t="str">
        <f>HYPERLINK("https://pbs.twimg.com/profile_images/747690422248538112/8vtnmm--_normal.jpg","View")</f>
        <v>View</v>
      </c>
      <c r="P6415" s="27"/>
    </row>
    <row r="6416">
      <c r="A6416" s="14">
        <v>43031.42875</v>
      </c>
      <c r="B6416" s="20" t="str">
        <f>HYPERLINK("https://twitter.com/gaganjp","@gaganjp")</f>
        <v>@gaganjp</v>
      </c>
      <c r="C6416" s="21" t="s">
        <v>14421</v>
      </c>
      <c r="D6416" s="21" t="s">
        <v>12241</v>
      </c>
      <c r="E6416" s="22" t="str">
        <f>HYPERLINK("https://twitter.com/gaganjp/status/922512291668430848","922512291668430848")</f>
        <v>922512291668430848</v>
      </c>
      <c r="F6416" s="23" t="s">
        <v>86</v>
      </c>
      <c r="G6416" s="24">
        <v>2661.0</v>
      </c>
      <c r="H6416" s="24">
        <v>3009.0</v>
      </c>
      <c r="I6416" s="24">
        <v>9.0</v>
      </c>
      <c r="J6416" s="24">
        <v>0.0</v>
      </c>
      <c r="K6416" s="23" t="s">
        <v>34</v>
      </c>
      <c r="L6416" s="25">
        <v>40950.442662037036</v>
      </c>
      <c r="M6416" s="26" t="s">
        <v>2353</v>
      </c>
      <c r="N6416" s="26" t="s">
        <v>14422</v>
      </c>
      <c r="O6416" s="22" t="str">
        <f>HYPERLINK("https://pbs.twimg.com/profile_images/880590651330633728/xH7TgEVa_normal.jpg","View")</f>
        <v>View</v>
      </c>
      <c r="P6416" s="27"/>
    </row>
    <row r="6417">
      <c r="A6417" s="14">
        <v>43031.42899305555</v>
      </c>
      <c r="B6417" s="20" t="str">
        <f>HYPERLINK("https://twitter.com/i_m_singh7","@i_m_singh7")</f>
        <v>@i_m_singh7</v>
      </c>
      <c r="C6417" s="21" t="s">
        <v>14426</v>
      </c>
      <c r="D6417" s="21" t="s">
        <v>42</v>
      </c>
      <c r="E6417" s="22" t="str">
        <f>HYPERLINK("https://twitter.com/i_m_singh7/status/922512378108899329","922512378108899329")</f>
        <v>922512378108899329</v>
      </c>
      <c r="F6417" s="23" t="s">
        <v>780</v>
      </c>
      <c r="G6417" s="24">
        <v>33.0</v>
      </c>
      <c r="H6417" s="24">
        <v>178.0</v>
      </c>
      <c r="I6417" s="24">
        <v>8501.0</v>
      </c>
      <c r="J6417" s="24">
        <v>0.0</v>
      </c>
      <c r="K6417" s="23" t="s">
        <v>34</v>
      </c>
      <c r="L6417" s="25">
        <v>42683.63545138889</v>
      </c>
      <c r="M6417" s="26" t="s">
        <v>12729</v>
      </c>
      <c r="N6417" s="26" t="s">
        <v>14427</v>
      </c>
      <c r="O6417" s="22" t="str">
        <f>HYPERLINK("https://pbs.twimg.com/profile_images/921495549957750784/5aT2Rb47_normal.jpg","View")</f>
        <v>View</v>
      </c>
      <c r="P6417" s="27"/>
    </row>
    <row r="6418">
      <c r="A6418" s="14">
        <v>43031.42943287037</v>
      </c>
      <c r="B6418" s="20" t="str">
        <f t="shared" ref="B6418:B6419" si="112">HYPERLINK("https://twitter.com/gaganjp","@gaganjp")</f>
        <v>@gaganjp</v>
      </c>
      <c r="C6418" s="21" t="s">
        <v>14421</v>
      </c>
      <c r="D6418" s="21" t="s">
        <v>14428</v>
      </c>
      <c r="E6418" s="22" t="str">
        <f>HYPERLINK("https://twitter.com/gaganjp/status/922512538255814656","922512538255814656")</f>
        <v>922512538255814656</v>
      </c>
      <c r="F6418" s="23" t="s">
        <v>86</v>
      </c>
      <c r="G6418" s="24">
        <v>2661.0</v>
      </c>
      <c r="H6418" s="24">
        <v>3009.0</v>
      </c>
      <c r="I6418" s="24">
        <v>14.0</v>
      </c>
      <c r="J6418" s="24">
        <v>0.0</v>
      </c>
      <c r="K6418" s="23" t="s">
        <v>34</v>
      </c>
      <c r="L6418" s="25">
        <v>40950.442662037036</v>
      </c>
      <c r="M6418" s="26" t="s">
        <v>2353</v>
      </c>
      <c r="N6418" s="26" t="s">
        <v>14422</v>
      </c>
      <c r="O6418" s="22" t="str">
        <f t="shared" ref="O6418:O6419" si="113">HYPERLINK("https://pbs.twimg.com/profile_images/880590651330633728/xH7TgEVa_normal.jpg","View")</f>
        <v>View</v>
      </c>
      <c r="P6418" s="27"/>
    </row>
    <row r="6419">
      <c r="A6419" s="14">
        <v>43031.42953703704</v>
      </c>
      <c r="B6419" s="20" t="str">
        <f t="shared" si="112"/>
        <v>@gaganjp</v>
      </c>
      <c r="C6419" s="21" t="s">
        <v>14421</v>
      </c>
      <c r="D6419" s="21" t="s">
        <v>14429</v>
      </c>
      <c r="E6419" s="22" t="str">
        <f>HYPERLINK("https://twitter.com/gaganjp/status/922512575325093888","922512575325093888")</f>
        <v>922512575325093888</v>
      </c>
      <c r="F6419" s="23" t="s">
        <v>86</v>
      </c>
      <c r="G6419" s="24">
        <v>2661.0</v>
      </c>
      <c r="H6419" s="24">
        <v>3009.0</v>
      </c>
      <c r="I6419" s="24">
        <v>13.0</v>
      </c>
      <c r="J6419" s="24">
        <v>0.0</v>
      </c>
      <c r="K6419" s="23" t="s">
        <v>34</v>
      </c>
      <c r="L6419" s="25">
        <v>40950.442662037036</v>
      </c>
      <c r="M6419" s="26" t="s">
        <v>2353</v>
      </c>
      <c r="N6419" s="26" t="s">
        <v>14422</v>
      </c>
      <c r="O6419" s="22" t="str">
        <f t="shared" si="113"/>
        <v>View</v>
      </c>
      <c r="P6419" s="27"/>
    </row>
    <row r="6420">
      <c r="A6420" s="14">
        <v>43031.42965277778</v>
      </c>
      <c r="B6420" s="20" t="str">
        <f>HYPERLINK("https://twitter.com/RameshTanuj","@RameshTanuj")</f>
        <v>@RameshTanuj</v>
      </c>
      <c r="C6420" s="21" t="s">
        <v>14430</v>
      </c>
      <c r="D6420" s="21" t="s">
        <v>42</v>
      </c>
      <c r="E6420" s="22" t="str">
        <f>HYPERLINK("https://twitter.com/RameshTanuj/status/922512620204253190","922512620204253190")</f>
        <v>922512620204253190</v>
      </c>
      <c r="F6420" s="23" t="s">
        <v>33</v>
      </c>
      <c r="G6420" s="24">
        <v>4.0</v>
      </c>
      <c r="H6420" s="24">
        <v>37.0</v>
      </c>
      <c r="I6420" s="24">
        <v>8501.0</v>
      </c>
      <c r="J6420" s="24">
        <v>0.0</v>
      </c>
      <c r="K6420" s="23" t="s">
        <v>34</v>
      </c>
      <c r="L6420" s="25">
        <v>42992.39607638889</v>
      </c>
      <c r="M6420" s="26" t="s">
        <v>14431</v>
      </c>
      <c r="N6420" s="26" t="s">
        <v>14432</v>
      </c>
      <c r="O6420" s="22" t="str">
        <f>HYPERLINK("https://pbs.twimg.com/profile_images/908374985730777094/FvW4IeAc_normal.jpg","View")</f>
        <v>View</v>
      </c>
      <c r="P6420" s="27"/>
    </row>
    <row r="6421">
      <c r="A6421" s="14">
        <v>43031.42990740741</v>
      </c>
      <c r="B6421" s="20" t="str">
        <f>HYPERLINK("https://twitter.com/AntonLaGuardia","@AntonLaGuardia")</f>
        <v>@AntonLaGuardia</v>
      </c>
      <c r="C6421" s="21" t="s">
        <v>14433</v>
      </c>
      <c r="D6421" s="21" t="s">
        <v>14434</v>
      </c>
      <c r="E6421" s="22" t="str">
        <f>HYPERLINK("https://twitter.com/AntonLaGuardia/status/922512713397481472","922512713397481472")</f>
        <v>922512713397481472</v>
      </c>
      <c r="F6421" s="23" t="s">
        <v>1103</v>
      </c>
      <c r="G6421" s="24">
        <v>24514.0</v>
      </c>
      <c r="H6421" s="24">
        <v>844.0</v>
      </c>
      <c r="I6421" s="24">
        <v>0.0</v>
      </c>
      <c r="J6421" s="24">
        <v>0.0</v>
      </c>
      <c r="K6421" s="23" t="s">
        <v>34</v>
      </c>
      <c r="L6421" s="25">
        <v>40603.36298611111</v>
      </c>
      <c r="M6421" s="26" t="s">
        <v>334</v>
      </c>
      <c r="N6421" s="26" t="s">
        <v>14435</v>
      </c>
      <c r="O6421" s="22" t="str">
        <f>HYPERLINK("https://pbs.twimg.com/profile_images/3608120175/641670d8318088a23f55291d5604fcdc_normal.jpeg","View")</f>
        <v>View</v>
      </c>
      <c r="P6421" s="27"/>
    </row>
    <row r="6422">
      <c r="A6422" s="14">
        <v>43031.42991898148</v>
      </c>
      <c r="B6422" s="20" t="str">
        <f>HYPERLINK("https://twitter.com/dharmesh2199","@dharmesh2199")</f>
        <v>@dharmesh2199</v>
      </c>
      <c r="C6422" s="21" t="s">
        <v>14436</v>
      </c>
      <c r="D6422" s="21" t="s">
        <v>42</v>
      </c>
      <c r="E6422" s="22" t="str">
        <f>HYPERLINK("https://twitter.com/dharmesh2199/status/922512715167477761","922512715167477761")</f>
        <v>922512715167477761</v>
      </c>
      <c r="F6422" s="23" t="s">
        <v>33</v>
      </c>
      <c r="G6422" s="24">
        <v>2.0</v>
      </c>
      <c r="H6422" s="24">
        <v>38.0</v>
      </c>
      <c r="I6422" s="24">
        <v>8501.0</v>
      </c>
      <c r="J6422" s="24">
        <v>0.0</v>
      </c>
      <c r="K6422" s="23" t="s">
        <v>34</v>
      </c>
      <c r="L6422" s="25">
        <v>42960.27553240741</v>
      </c>
      <c r="M6422" s="28"/>
      <c r="N6422" s="28"/>
      <c r="O6422" s="22" t="str">
        <f>HYPERLINK("https://abs.twimg.com/sticky/default_profile_images/default_profile_normal.png","View")</f>
        <v>View</v>
      </c>
      <c r="P6422" s="27"/>
    </row>
    <row r="6423">
      <c r="A6423" s="14">
        <v>43031.4300462963</v>
      </c>
      <c r="B6423" s="20" t="str">
        <f>HYPERLINK("https://twitter.com/Sudhanwa14","@Sudhanwa14")</f>
        <v>@Sudhanwa14</v>
      </c>
      <c r="C6423" s="21" t="s">
        <v>14437</v>
      </c>
      <c r="D6423" s="21" t="s">
        <v>42</v>
      </c>
      <c r="E6423" s="22" t="str">
        <f>HYPERLINK("https://twitter.com/Sudhanwa14/status/922512760302313472","922512760302313472")</f>
        <v>922512760302313472</v>
      </c>
      <c r="F6423" s="23" t="s">
        <v>39</v>
      </c>
      <c r="G6423" s="24">
        <v>347.0</v>
      </c>
      <c r="H6423" s="24">
        <v>222.0</v>
      </c>
      <c r="I6423" s="24">
        <v>8501.0</v>
      </c>
      <c r="J6423" s="24">
        <v>0.0</v>
      </c>
      <c r="K6423" s="23" t="s">
        <v>34</v>
      </c>
      <c r="L6423" s="25">
        <v>40077.34966435185</v>
      </c>
      <c r="M6423" s="28"/>
      <c r="N6423" s="26" t="s">
        <v>14438</v>
      </c>
      <c r="O6423" s="22" t="str">
        <f>HYPERLINK("https://pbs.twimg.com/profile_images/728358220935335936/0fOH8uDz_normal.jpg","View")</f>
        <v>View</v>
      </c>
      <c r="P6423" s="27"/>
    </row>
    <row r="6424">
      <c r="A6424" s="14">
        <v>43031.43009259259</v>
      </c>
      <c r="B6424" s="20" t="str">
        <f>HYPERLINK("https://twitter.com/AbsntFriends","@AbsntFriends")</f>
        <v>@AbsntFriends</v>
      </c>
      <c r="C6424" s="21" t="s">
        <v>14439</v>
      </c>
      <c r="D6424" s="21" t="s">
        <v>5309</v>
      </c>
      <c r="E6424" s="22" t="str">
        <f>HYPERLINK("https://twitter.com/AbsntFriends/status/922512778207907841","922512778207907841")</f>
        <v>922512778207907841</v>
      </c>
      <c r="F6424" s="23" t="s">
        <v>55</v>
      </c>
      <c r="G6424" s="24">
        <v>2482.0</v>
      </c>
      <c r="H6424" s="24">
        <v>2724.0</v>
      </c>
      <c r="I6424" s="24">
        <v>22.0</v>
      </c>
      <c r="J6424" s="24">
        <v>0.0</v>
      </c>
      <c r="K6424" s="23" t="s">
        <v>34</v>
      </c>
      <c r="L6424" s="25">
        <v>39882.705416666664</v>
      </c>
      <c r="M6424" s="26" t="s">
        <v>14440</v>
      </c>
      <c r="N6424" s="28"/>
      <c r="O6424" s="22" t="str">
        <f>HYPERLINK("https://pbs.twimg.com/profile_images/848945172750663680/FGzqD_5D_normal.jpg","View")</f>
        <v>View</v>
      </c>
      <c r="P6424" s="27"/>
    </row>
    <row r="6425">
      <c r="A6425" s="14">
        <v>43031.43011574074</v>
      </c>
      <c r="B6425" s="20" t="str">
        <f>HYPERLINK("https://twitter.com/SPSHARM11341210","@SPSHARM11341210")</f>
        <v>@SPSHARM11341210</v>
      </c>
      <c r="C6425" s="21" t="s">
        <v>14441</v>
      </c>
      <c r="D6425" s="21" t="s">
        <v>42</v>
      </c>
      <c r="E6425" s="22" t="str">
        <f>HYPERLINK("https://twitter.com/SPSHARM11341210/status/922512786470477824","922512786470477824")</f>
        <v>922512786470477824</v>
      </c>
      <c r="F6425" s="23" t="s">
        <v>33</v>
      </c>
      <c r="G6425" s="24">
        <v>7642.0</v>
      </c>
      <c r="H6425" s="24">
        <v>7942.0</v>
      </c>
      <c r="I6425" s="24">
        <v>8501.0</v>
      </c>
      <c r="J6425" s="24">
        <v>0.0</v>
      </c>
      <c r="K6425" s="23" t="s">
        <v>34</v>
      </c>
      <c r="L6425" s="25">
        <v>41818.83695601852</v>
      </c>
      <c r="M6425" s="26" t="s">
        <v>14442</v>
      </c>
      <c r="N6425" s="26" t="s">
        <v>14443</v>
      </c>
      <c r="O6425" s="22" t="str">
        <f>HYPERLINK("https://pbs.twimg.com/profile_images/921420384896892928/lUOY1AiG_normal.jpg","View")</f>
        <v>View</v>
      </c>
      <c r="P6425" s="27"/>
    </row>
    <row r="6426">
      <c r="A6426" s="14">
        <v>43031.430243055554</v>
      </c>
      <c r="B6426" s="20" t="str">
        <f>HYPERLINK("https://twitter.com/AficionadoYash","@AficionadoYash")</f>
        <v>@AficionadoYash</v>
      </c>
      <c r="C6426" s="21" t="s">
        <v>11504</v>
      </c>
      <c r="D6426" s="21" t="s">
        <v>14444</v>
      </c>
      <c r="E6426" s="22" t="str">
        <f>HYPERLINK("https://twitter.com/AficionadoYash/status/922512833736269825","922512833736269825")</f>
        <v>922512833736269825</v>
      </c>
      <c r="F6426" s="23" t="s">
        <v>187</v>
      </c>
      <c r="G6426" s="24">
        <v>2581.0</v>
      </c>
      <c r="H6426" s="24">
        <v>948.0</v>
      </c>
      <c r="I6426" s="24">
        <v>0.0</v>
      </c>
      <c r="J6426" s="24">
        <v>0.0</v>
      </c>
      <c r="K6426" s="23" t="s">
        <v>34</v>
      </c>
      <c r="L6426" s="25">
        <v>40905.1268287037</v>
      </c>
      <c r="M6426" s="26" t="s">
        <v>204</v>
      </c>
      <c r="N6426" s="26" t="s">
        <v>11506</v>
      </c>
      <c r="O6426" s="22" t="str">
        <f>HYPERLINK("https://pbs.twimg.com/profile_images/731065154129928192/gauLWTlp_normal.jpg","View")</f>
        <v>View</v>
      </c>
      <c r="P6426" s="27"/>
    </row>
    <row r="6427">
      <c r="A6427" s="14">
        <v>43031.430601851855</v>
      </c>
      <c r="B6427" s="20" t="str">
        <f>HYPERLINK("https://twitter.com/itinittu","@itinittu")</f>
        <v>@itinittu</v>
      </c>
      <c r="C6427" s="21" t="s">
        <v>14445</v>
      </c>
      <c r="D6427" s="21" t="s">
        <v>13962</v>
      </c>
      <c r="E6427" s="22" t="str">
        <f>HYPERLINK("https://twitter.com/itinittu/status/922512961825992704","922512961825992704")</f>
        <v>922512961825992704</v>
      </c>
      <c r="F6427" s="23" t="s">
        <v>39</v>
      </c>
      <c r="G6427" s="24">
        <v>495.0</v>
      </c>
      <c r="H6427" s="24">
        <v>1353.0</v>
      </c>
      <c r="I6427" s="24">
        <v>18.0</v>
      </c>
      <c r="J6427" s="24">
        <v>0.0</v>
      </c>
      <c r="K6427" s="23" t="s">
        <v>34</v>
      </c>
      <c r="L6427" s="25">
        <v>40565.84537037037</v>
      </c>
      <c r="M6427" s="28"/>
      <c r="N6427" s="26" t="s">
        <v>14446</v>
      </c>
      <c r="O6427" s="22" t="str">
        <f>HYPERLINK("https://pbs.twimg.com/profile_images/1255277964/___086_normal.jpg","View")</f>
        <v>View</v>
      </c>
      <c r="P6427" s="27"/>
    </row>
    <row r="6428">
      <c r="A6428" s="14">
        <v>43031.4306712963</v>
      </c>
      <c r="B6428" s="20" t="str">
        <f>HYPERLINK("https://twitter.com/arshdee14016878","@arshdee14016878")</f>
        <v>@arshdee14016878</v>
      </c>
      <c r="C6428" s="21" t="s">
        <v>14447</v>
      </c>
      <c r="D6428" s="21" t="s">
        <v>42</v>
      </c>
      <c r="E6428" s="22" t="str">
        <f>HYPERLINK("https://twitter.com/arshdee14016878/status/922512986928922624","922512986928922624")</f>
        <v>922512986928922624</v>
      </c>
      <c r="F6428" s="23" t="s">
        <v>33</v>
      </c>
      <c r="G6428" s="24">
        <v>35.0</v>
      </c>
      <c r="H6428" s="24">
        <v>404.0</v>
      </c>
      <c r="I6428" s="24">
        <v>8501.0</v>
      </c>
      <c r="J6428" s="24">
        <v>0.0</v>
      </c>
      <c r="K6428" s="23" t="s">
        <v>34</v>
      </c>
      <c r="L6428" s="25">
        <v>41809.00880787037</v>
      </c>
      <c r="M6428" s="26" t="s">
        <v>14448</v>
      </c>
      <c r="N6428" s="26" t="s">
        <v>14449</v>
      </c>
      <c r="O6428" s="22" t="str">
        <f>HYPERLINK("https://pbs.twimg.com/profile_images/922107473774895104/Jzc8-Lvv_normal.jpg","View")</f>
        <v>View</v>
      </c>
      <c r="P6428" s="27"/>
    </row>
    <row r="6429">
      <c r="A6429" s="14">
        <v>43031.43071759259</v>
      </c>
      <c r="B6429" s="20" t="str">
        <f>HYPERLINK("https://twitter.com/Ritesh_Here","@Ritesh_Here")</f>
        <v>@Ritesh_Here</v>
      </c>
      <c r="C6429" s="21" t="s">
        <v>14450</v>
      </c>
      <c r="D6429" s="21" t="s">
        <v>42</v>
      </c>
      <c r="E6429" s="22" t="str">
        <f>HYPERLINK("https://twitter.com/Ritesh_Here/status/922513005178372097","922513005178372097")</f>
        <v>922513005178372097</v>
      </c>
      <c r="F6429" s="23" t="s">
        <v>33</v>
      </c>
      <c r="G6429" s="24">
        <v>222.0</v>
      </c>
      <c r="H6429" s="24">
        <v>1164.0</v>
      </c>
      <c r="I6429" s="24">
        <v>8501.0</v>
      </c>
      <c r="J6429" s="24">
        <v>0.0</v>
      </c>
      <c r="K6429" s="23" t="s">
        <v>34</v>
      </c>
      <c r="L6429" s="25">
        <v>40452.562893518516</v>
      </c>
      <c r="M6429" s="26" t="s">
        <v>204</v>
      </c>
      <c r="N6429" s="26" t="s">
        <v>14451</v>
      </c>
      <c r="O6429" s="22" t="str">
        <f>HYPERLINK("https://pbs.twimg.com/profile_images/1135348180/1a_normal.jpg","View")</f>
        <v>View</v>
      </c>
      <c r="P6429" s="27"/>
    </row>
    <row r="6430">
      <c r="A6430" s="14">
        <v>43031.43078703704</v>
      </c>
      <c r="B6430" s="20" t="str">
        <f>HYPERLINK("https://twitter.com/VChambore","@VChambore")</f>
        <v>@VChambore</v>
      </c>
      <c r="C6430" s="21" t="s">
        <v>14452</v>
      </c>
      <c r="D6430" s="21" t="s">
        <v>10614</v>
      </c>
      <c r="E6430" s="22" t="str">
        <f>HYPERLINK("https://twitter.com/VChambore/status/922513029119594497","922513029119594497")</f>
        <v>922513029119594497</v>
      </c>
      <c r="F6430" s="23" t="s">
        <v>39</v>
      </c>
      <c r="G6430" s="24">
        <v>218.0</v>
      </c>
      <c r="H6430" s="24">
        <v>538.0</v>
      </c>
      <c r="I6430" s="24">
        <v>159.0</v>
      </c>
      <c r="J6430" s="24">
        <v>0.0</v>
      </c>
      <c r="K6430" s="23" t="s">
        <v>34</v>
      </c>
      <c r="L6430" s="25">
        <v>41638.52569444444</v>
      </c>
      <c r="M6430" s="26" t="s">
        <v>7794</v>
      </c>
      <c r="N6430" s="26" t="s">
        <v>14453</v>
      </c>
      <c r="O6430" s="22" t="str">
        <f>HYPERLINK("https://pbs.twimg.com/profile_images/878889558544437248/8zQgfGey_normal.jpg","View")</f>
        <v>View</v>
      </c>
      <c r="P6430" s="27"/>
    </row>
    <row r="6431">
      <c r="A6431" s="14">
        <v>43031.430810185186</v>
      </c>
      <c r="B6431" s="20" t="str">
        <f>HYPERLINK("https://twitter.com/satokosatokosat","@satokosatokosat")</f>
        <v>@satokosatokosat</v>
      </c>
      <c r="C6431" s="21" t="s">
        <v>14454</v>
      </c>
      <c r="D6431" s="21" t="s">
        <v>14455</v>
      </c>
      <c r="E6431" s="22" t="str">
        <f>HYPERLINK("https://twitter.com/satokosatokosat/status/922513037663203328","922513037663203328")</f>
        <v>922513037663203328</v>
      </c>
      <c r="F6431" s="23" t="s">
        <v>14456</v>
      </c>
      <c r="G6431" s="24">
        <v>21.0</v>
      </c>
      <c r="H6431" s="24">
        <v>22.0</v>
      </c>
      <c r="I6431" s="24">
        <v>0.0</v>
      </c>
      <c r="J6431" s="24">
        <v>0.0</v>
      </c>
      <c r="K6431" s="23" t="s">
        <v>34</v>
      </c>
      <c r="L6431" s="25">
        <v>40573.0706712963</v>
      </c>
      <c r="M6431" s="26" t="s">
        <v>14457</v>
      </c>
      <c r="N6431" s="26" t="s">
        <v>14458</v>
      </c>
      <c r="O6431" s="22" t="str">
        <f>HYPERLINK("https://pbs.twimg.com/profile_images/741822549571469312/27N0hC7u_normal.jpg","View")</f>
        <v>View</v>
      </c>
      <c r="P6431" s="27"/>
    </row>
    <row r="6432">
      <c r="A6432" s="14">
        <v>43031.43082175926</v>
      </c>
      <c r="B6432" s="20" t="str">
        <f>HYPERLINK("https://twitter.com/Simple__Sameer","@Simple__Sameer")</f>
        <v>@Simple__Sameer</v>
      </c>
      <c r="C6432" s="21" t="s">
        <v>14459</v>
      </c>
      <c r="D6432" s="21" t="s">
        <v>42</v>
      </c>
      <c r="E6432" s="22" t="str">
        <f>HYPERLINK("https://twitter.com/Simple__Sameer/status/922513041152909312","922513041152909312")</f>
        <v>922513041152909312</v>
      </c>
      <c r="F6432" s="23" t="s">
        <v>33</v>
      </c>
      <c r="G6432" s="24">
        <v>382.0</v>
      </c>
      <c r="H6432" s="24">
        <v>634.0</v>
      </c>
      <c r="I6432" s="24">
        <v>8501.0</v>
      </c>
      <c r="J6432" s="24">
        <v>0.0</v>
      </c>
      <c r="K6432" s="23" t="s">
        <v>34</v>
      </c>
      <c r="L6432" s="25">
        <v>41275.06820601852</v>
      </c>
      <c r="M6432" s="26" t="s">
        <v>14460</v>
      </c>
      <c r="N6432" s="26" t="s">
        <v>14461</v>
      </c>
      <c r="O6432" s="22" t="str">
        <f>HYPERLINK("https://pbs.twimg.com/profile_images/898010641364959232/vj7OT5xU_normal.jpg","View")</f>
        <v>View</v>
      </c>
      <c r="P6432" s="27"/>
    </row>
    <row r="6433">
      <c r="A6433" s="14">
        <v>43031.430868055555</v>
      </c>
      <c r="B6433" s="20" t="str">
        <f>HYPERLINK("https://twitter.com/SisodiaHS","@SisodiaHS")</f>
        <v>@SisodiaHS</v>
      </c>
      <c r="C6433" s="21" t="s">
        <v>14462</v>
      </c>
      <c r="D6433" s="21" t="s">
        <v>42</v>
      </c>
      <c r="E6433" s="22" t="str">
        <f>HYPERLINK("https://twitter.com/SisodiaHS/status/922513059540647937","922513059540647937")</f>
        <v>922513059540647937</v>
      </c>
      <c r="F6433" s="23" t="s">
        <v>33</v>
      </c>
      <c r="G6433" s="24">
        <v>9.0</v>
      </c>
      <c r="H6433" s="24">
        <v>82.0</v>
      </c>
      <c r="I6433" s="24">
        <v>8501.0</v>
      </c>
      <c r="J6433" s="24">
        <v>0.0</v>
      </c>
      <c r="K6433" s="23" t="s">
        <v>34</v>
      </c>
      <c r="L6433" s="25">
        <v>41795.19122685185</v>
      </c>
      <c r="M6433" s="28"/>
      <c r="N6433" s="28"/>
      <c r="O6433" s="22" t="str">
        <f>HYPERLINK("https://abs.twimg.com/sticky/default_profile_images/default_profile_normal.png","View")</f>
        <v>View</v>
      </c>
      <c r="P6433" s="27"/>
    </row>
    <row r="6434">
      <c r="A6434" s="14">
        <v>43031.43137731482</v>
      </c>
      <c r="B6434" s="20" t="str">
        <f>HYPERLINK("https://twitter.com/chetanpatel118","@chetanpatel118")</f>
        <v>@chetanpatel118</v>
      </c>
      <c r="C6434" s="21" t="s">
        <v>14463</v>
      </c>
      <c r="D6434" s="21" t="s">
        <v>42</v>
      </c>
      <c r="E6434" s="22" t="str">
        <f>HYPERLINK("https://twitter.com/chetanpatel118/status/922513243104522245","922513243104522245")</f>
        <v>922513243104522245</v>
      </c>
      <c r="F6434" s="23" t="s">
        <v>33</v>
      </c>
      <c r="G6434" s="24">
        <v>23.0</v>
      </c>
      <c r="H6434" s="24">
        <v>1.0</v>
      </c>
      <c r="I6434" s="24">
        <v>8501.0</v>
      </c>
      <c r="J6434" s="24">
        <v>0.0</v>
      </c>
      <c r="K6434" s="23" t="s">
        <v>34</v>
      </c>
      <c r="L6434" s="25">
        <v>40109.44488425926</v>
      </c>
      <c r="M6434" s="26" t="s">
        <v>14464</v>
      </c>
      <c r="N6434" s="28"/>
      <c r="O6434" s="22" t="str">
        <f>HYPERLINK("https://pbs.twimg.com/profile_images/747108832409681920/BOg3ZGDP_normal.jpg","View")</f>
        <v>View</v>
      </c>
      <c r="P6434" s="27"/>
    </row>
    <row r="6435">
      <c r="A6435" s="14">
        <v>43031.431863425925</v>
      </c>
      <c r="B6435" s="20" t="str">
        <f>HYPERLINK("https://twitter.com/Nuwagaba","@Nuwagaba")</f>
        <v>@Nuwagaba</v>
      </c>
      <c r="C6435" s="21" t="s">
        <v>14465</v>
      </c>
      <c r="D6435" s="21" t="s">
        <v>14466</v>
      </c>
      <c r="E6435" s="22" t="str">
        <f>HYPERLINK("https://twitter.com/Nuwagaba/status/922513420209065984","922513420209065984")</f>
        <v>922513420209065984</v>
      </c>
      <c r="F6435" s="23" t="s">
        <v>39</v>
      </c>
      <c r="G6435" s="24">
        <v>836.0</v>
      </c>
      <c r="H6435" s="24">
        <v>582.0</v>
      </c>
      <c r="I6435" s="24">
        <v>4.0</v>
      </c>
      <c r="J6435" s="24">
        <v>0.0</v>
      </c>
      <c r="K6435" s="23" t="s">
        <v>34</v>
      </c>
      <c r="L6435" s="25">
        <v>39895.0102662037</v>
      </c>
      <c r="M6435" s="26" t="s">
        <v>14467</v>
      </c>
      <c r="N6435" s="26" t="s">
        <v>14468</v>
      </c>
      <c r="O6435" s="22" t="str">
        <f>HYPERLINK("https://pbs.twimg.com/profile_images/748818781523369984/YiRsnmWh_normal.jpg","View")</f>
        <v>View</v>
      </c>
      <c r="P6435" s="27"/>
    </row>
    <row r="6436">
      <c r="A6436" s="14">
        <v>43031.43190972222</v>
      </c>
      <c r="B6436" s="20" t="str">
        <f>HYPERLINK("https://twitter.com/USPressWorld","@USPressWorld")</f>
        <v>@USPressWorld</v>
      </c>
      <c r="C6436" s="21" t="s">
        <v>6586</v>
      </c>
      <c r="D6436" s="21" t="s">
        <v>14469</v>
      </c>
      <c r="E6436" s="22" t="str">
        <f>HYPERLINK("https://twitter.com/USPressWorld/status/922513435765755906","922513435765755906")</f>
        <v>922513435765755906</v>
      </c>
      <c r="F6436" s="23" t="s">
        <v>6588</v>
      </c>
      <c r="G6436" s="24">
        <v>12280.0</v>
      </c>
      <c r="H6436" s="24">
        <v>12373.0</v>
      </c>
      <c r="I6436" s="24">
        <v>0.0</v>
      </c>
      <c r="J6436" s="24">
        <v>0.0</v>
      </c>
      <c r="K6436" s="23" t="s">
        <v>34</v>
      </c>
      <c r="L6436" s="25">
        <v>41218.808217592596</v>
      </c>
      <c r="M6436" s="26" t="s">
        <v>6589</v>
      </c>
      <c r="N6436" s="26" t="s">
        <v>6590</v>
      </c>
      <c r="O6436" s="22" t="str">
        <f>HYPERLINK("https://pbs.twimg.com/profile_images/692071485813440512/MxuoxAoC_normal.png","View")</f>
        <v>View</v>
      </c>
      <c r="P6436" s="27"/>
    </row>
    <row r="6437">
      <c r="A6437" s="14">
        <v>43031.431979166664</v>
      </c>
      <c r="B6437" s="20" t="str">
        <f>HYPERLINK("https://twitter.com/DileepP60999070","@DileepP60999070")</f>
        <v>@DileepP60999070</v>
      </c>
      <c r="C6437" s="21" t="s">
        <v>14470</v>
      </c>
      <c r="D6437" s="21" t="s">
        <v>42</v>
      </c>
      <c r="E6437" s="22" t="str">
        <f>HYPERLINK("https://twitter.com/DileepP60999070/status/922513463749984256","922513463749984256")</f>
        <v>922513463749984256</v>
      </c>
      <c r="F6437" s="23" t="s">
        <v>33</v>
      </c>
      <c r="G6437" s="24">
        <v>39.0</v>
      </c>
      <c r="H6437" s="24">
        <v>782.0</v>
      </c>
      <c r="I6437" s="24">
        <v>8501.0</v>
      </c>
      <c r="J6437" s="24">
        <v>0.0</v>
      </c>
      <c r="K6437" s="23" t="s">
        <v>34</v>
      </c>
      <c r="L6437" s="25">
        <v>43019.947650462964</v>
      </c>
      <c r="M6437" s="26" t="s">
        <v>14471</v>
      </c>
      <c r="N6437" s="28"/>
      <c r="O6437" s="22" t="str">
        <f>HYPERLINK("https://pbs.twimg.com/profile_images/922676871526879233/I1EwqsD4_normal.jpg","View")</f>
        <v>View</v>
      </c>
      <c r="P6437" s="27"/>
    </row>
    <row r="6438">
      <c r="A6438" s="14">
        <v>43031.43216435185</v>
      </c>
      <c r="B6438" s="20" t="str">
        <f>HYPERLINK("https://twitter.com/ASHWINIDUBEY","@ASHWINIDUBEY")</f>
        <v>@ASHWINIDUBEY</v>
      </c>
      <c r="C6438" s="21" t="s">
        <v>14472</v>
      </c>
      <c r="D6438" s="21" t="s">
        <v>42</v>
      </c>
      <c r="E6438" s="22" t="str">
        <f>HYPERLINK("https://twitter.com/ASHWINIDUBEY/status/922513527738220544","922513527738220544")</f>
        <v>922513527738220544</v>
      </c>
      <c r="F6438" s="23" t="s">
        <v>33</v>
      </c>
      <c r="G6438" s="24">
        <v>212.0</v>
      </c>
      <c r="H6438" s="24">
        <v>828.0</v>
      </c>
      <c r="I6438" s="24">
        <v>8501.0</v>
      </c>
      <c r="J6438" s="24">
        <v>0.0</v>
      </c>
      <c r="K6438" s="23" t="s">
        <v>34</v>
      </c>
      <c r="L6438" s="25">
        <v>40039.86765046296</v>
      </c>
      <c r="M6438" s="26" t="s">
        <v>7689</v>
      </c>
      <c r="N6438" s="26" t="s">
        <v>14473</v>
      </c>
      <c r="O6438" s="22" t="str">
        <f>HYPERLINK("https://pbs.twimg.com/profile_images/559721099152203777/1N6qPFUT_normal.jpeg","View")</f>
        <v>View</v>
      </c>
      <c r="P6438" s="27"/>
    </row>
    <row r="6439">
      <c r="A6439" s="14">
        <v>43031.43225694445</v>
      </c>
      <c r="B6439" s="20" t="str">
        <f>HYPERLINK("https://twitter.com/nikhilkale25","@nikhilkale25")</f>
        <v>@nikhilkale25</v>
      </c>
      <c r="C6439" s="21" t="s">
        <v>14474</v>
      </c>
      <c r="D6439" s="21" t="s">
        <v>42</v>
      </c>
      <c r="E6439" s="22" t="str">
        <f>HYPERLINK("https://twitter.com/nikhilkale25/status/922513561682821120","922513561682821120")</f>
        <v>922513561682821120</v>
      </c>
      <c r="F6439" s="23" t="s">
        <v>33</v>
      </c>
      <c r="G6439" s="24">
        <v>93.0</v>
      </c>
      <c r="H6439" s="24">
        <v>789.0</v>
      </c>
      <c r="I6439" s="24">
        <v>8501.0</v>
      </c>
      <c r="J6439" s="24">
        <v>0.0</v>
      </c>
      <c r="K6439" s="23" t="s">
        <v>34</v>
      </c>
      <c r="L6439" s="25">
        <v>40216.41484953704</v>
      </c>
      <c r="M6439" s="26" t="s">
        <v>207</v>
      </c>
      <c r="N6439" s="26" t="s">
        <v>14475</v>
      </c>
      <c r="O6439" s="22" t="str">
        <f>HYPERLINK("https://pbs.twimg.com/profile_images/563776696243851264/X61q1ojk_normal.jpeg","View")</f>
        <v>View</v>
      </c>
      <c r="P6439" s="27"/>
    </row>
    <row r="6440">
      <c r="A6440" s="14">
        <v>43031.43244212963</v>
      </c>
      <c r="B6440" s="20" t="str">
        <f>HYPERLINK("https://twitter.com/Anjani04","@Anjani04")</f>
        <v>@Anjani04</v>
      </c>
      <c r="C6440" s="21" t="s">
        <v>14476</v>
      </c>
      <c r="D6440" s="21" t="s">
        <v>42</v>
      </c>
      <c r="E6440" s="22" t="str">
        <f>HYPERLINK("https://twitter.com/Anjani04/status/922513631610265600","922513631610265600")</f>
        <v>922513631610265600</v>
      </c>
      <c r="F6440" s="23" t="s">
        <v>33</v>
      </c>
      <c r="G6440" s="24">
        <v>179.0</v>
      </c>
      <c r="H6440" s="24">
        <v>122.0</v>
      </c>
      <c r="I6440" s="24">
        <v>8501.0</v>
      </c>
      <c r="J6440" s="24">
        <v>0.0</v>
      </c>
      <c r="K6440" s="23" t="s">
        <v>34</v>
      </c>
      <c r="L6440" s="25">
        <v>41197.97375</v>
      </c>
      <c r="M6440" s="28"/>
      <c r="N6440" s="26" t="s">
        <v>14477</v>
      </c>
      <c r="O6440" s="22" t="str">
        <f>HYPERLINK("https://pbs.twimg.com/profile_images/684787859140694016/8ppDYWyw_normal.jpg","View")</f>
        <v>View</v>
      </c>
      <c r="P6440" s="27"/>
    </row>
    <row r="6441">
      <c r="A6441" s="14">
        <v>43031.43256944444</v>
      </c>
      <c r="B6441" s="20" t="str">
        <f>HYPERLINK("https://twitter.com/GabbyOgbechie1","@GabbyOgbechie1")</f>
        <v>@GabbyOgbechie1</v>
      </c>
      <c r="C6441" s="21" t="s">
        <v>14478</v>
      </c>
      <c r="D6441" s="21" t="s">
        <v>14479</v>
      </c>
      <c r="E6441" s="22" t="str">
        <f>HYPERLINK("https://twitter.com/GabbyOgbechie1/status/922513676770390016","922513676770390016")</f>
        <v>922513676770390016</v>
      </c>
      <c r="F6441" s="23" t="s">
        <v>33</v>
      </c>
      <c r="G6441" s="24">
        <v>5066.0</v>
      </c>
      <c r="H6441" s="24">
        <v>5452.0</v>
      </c>
      <c r="I6441" s="24">
        <v>0.0</v>
      </c>
      <c r="J6441" s="24">
        <v>0.0</v>
      </c>
      <c r="K6441" s="23" t="s">
        <v>34</v>
      </c>
      <c r="L6441" s="25">
        <v>41416.53494212963</v>
      </c>
      <c r="M6441" s="26" t="s">
        <v>14480</v>
      </c>
      <c r="N6441" s="26" t="s">
        <v>14481</v>
      </c>
      <c r="O6441" s="22" t="str">
        <f>HYPERLINK("https://pbs.twimg.com/profile_images/475710173135122433/g6d6rAYp_normal.jpeg","View")</f>
        <v>View</v>
      </c>
      <c r="P6441" s="27"/>
    </row>
    <row r="6442">
      <c r="A6442" s="14">
        <v>43031.432858796295</v>
      </c>
      <c r="B6442" s="20" t="str">
        <f>HYPERLINK("https://twitter.com/FamousPixs","@FamousPixs")</f>
        <v>@FamousPixs</v>
      </c>
      <c r="C6442" s="21" t="s">
        <v>14482</v>
      </c>
      <c r="D6442" s="21" t="s">
        <v>10614</v>
      </c>
      <c r="E6442" s="22" t="str">
        <f>HYPERLINK("https://twitter.com/FamousPixs/status/922513782798278656","922513782798278656")</f>
        <v>922513782798278656</v>
      </c>
      <c r="F6442" s="23" t="s">
        <v>33</v>
      </c>
      <c r="G6442" s="24">
        <v>1910.0</v>
      </c>
      <c r="H6442" s="24">
        <v>4968.0</v>
      </c>
      <c r="I6442" s="24">
        <v>159.0</v>
      </c>
      <c r="J6442" s="24">
        <v>0.0</v>
      </c>
      <c r="K6442" s="23" t="s">
        <v>34</v>
      </c>
      <c r="L6442" s="25">
        <v>40641.77390046296</v>
      </c>
      <c r="M6442" s="28"/>
      <c r="N6442" s="28"/>
      <c r="O6442" s="22" t="str">
        <f>HYPERLINK("https://pbs.twimg.com/profile_images/1697602353/FamousPixs4_normal.jpg","View")</f>
        <v>View</v>
      </c>
      <c r="P6442" s="27"/>
    </row>
    <row r="6443">
      <c r="A6443" s="14">
        <v>43031.4330787037</v>
      </c>
      <c r="B6443" s="20" t="str">
        <f>HYPERLINK("https://twitter.com/reggaeholic_","@reggaeholic_")</f>
        <v>@reggaeholic_</v>
      </c>
      <c r="C6443" s="21" t="s">
        <v>14483</v>
      </c>
      <c r="D6443" s="21" t="s">
        <v>32</v>
      </c>
      <c r="E6443" s="22" t="str">
        <f>HYPERLINK("https://twitter.com/reggaeholic_/status/922513862599069698","922513862599069698")</f>
        <v>922513862599069698</v>
      </c>
      <c r="F6443" s="23" t="s">
        <v>33</v>
      </c>
      <c r="G6443" s="24">
        <v>2980.0</v>
      </c>
      <c r="H6443" s="24">
        <v>1444.0</v>
      </c>
      <c r="I6443" s="24">
        <v>471.0</v>
      </c>
      <c r="J6443" s="24">
        <v>0.0</v>
      </c>
      <c r="K6443" s="23" t="s">
        <v>34</v>
      </c>
      <c r="L6443" s="25">
        <v>41047.37267361111</v>
      </c>
      <c r="M6443" s="26" t="s">
        <v>843</v>
      </c>
      <c r="N6443" s="26" t="s">
        <v>14484</v>
      </c>
      <c r="O6443" s="22" t="str">
        <f>HYPERLINK("https://pbs.twimg.com/profile_images/898503843289411584/rY2_1AfZ_normal.jpg","View")</f>
        <v>View</v>
      </c>
      <c r="P6443" s="27"/>
    </row>
    <row r="6444">
      <c r="A6444" s="14">
        <v>43031.433124999996</v>
      </c>
      <c r="B6444" s="20" t="str">
        <f>HYPERLINK("https://twitter.com/kamaljit_in","@kamaljit_in")</f>
        <v>@kamaljit_in</v>
      </c>
      <c r="C6444" s="21" t="s">
        <v>14485</v>
      </c>
      <c r="D6444" s="21" t="s">
        <v>42</v>
      </c>
      <c r="E6444" s="22" t="str">
        <f>HYPERLINK("https://twitter.com/kamaljit_in/status/922513879376130049","922513879376130049")</f>
        <v>922513879376130049</v>
      </c>
      <c r="F6444" s="23" t="s">
        <v>230</v>
      </c>
      <c r="G6444" s="24">
        <v>8209.0</v>
      </c>
      <c r="H6444" s="24">
        <v>7997.0</v>
      </c>
      <c r="I6444" s="24">
        <v>8501.0</v>
      </c>
      <c r="J6444" s="24">
        <v>0.0</v>
      </c>
      <c r="K6444" s="23" t="s">
        <v>34</v>
      </c>
      <c r="L6444" s="25">
        <v>41107.470555555556</v>
      </c>
      <c r="M6444" s="28"/>
      <c r="N6444" s="26" t="s">
        <v>14486</v>
      </c>
      <c r="O6444" s="22" t="str">
        <f>HYPERLINK("https://pbs.twimg.com/profile_images/917364459080892416/MB4Yu3T0_normal.jpg","View")</f>
        <v>View</v>
      </c>
      <c r="P6444" s="27"/>
    </row>
    <row r="6445">
      <c r="A6445" s="14">
        <v>43031.433171296296</v>
      </c>
      <c r="B6445" s="20" t="str">
        <f>HYPERLINK("https://twitter.com/fujitayuh","@fujitayuh")</f>
        <v>@fujitayuh</v>
      </c>
      <c r="C6445" s="21" t="s">
        <v>4589</v>
      </c>
      <c r="D6445" s="21" t="s">
        <v>13962</v>
      </c>
      <c r="E6445" s="22" t="str">
        <f>HYPERLINK("https://twitter.com/fujitayuh/status/922513894181978112","922513894181978112")</f>
        <v>922513894181978112</v>
      </c>
      <c r="F6445" s="23" t="s">
        <v>230</v>
      </c>
      <c r="G6445" s="24">
        <v>457.0</v>
      </c>
      <c r="H6445" s="24">
        <v>265.0</v>
      </c>
      <c r="I6445" s="24">
        <v>18.0</v>
      </c>
      <c r="J6445" s="24">
        <v>0.0</v>
      </c>
      <c r="K6445" s="23" t="s">
        <v>34</v>
      </c>
      <c r="L6445" s="25">
        <v>40208.23972222222</v>
      </c>
      <c r="M6445" s="26" t="s">
        <v>4591</v>
      </c>
      <c r="N6445" s="26" t="s">
        <v>4592</v>
      </c>
      <c r="O6445" s="22" t="str">
        <f>HYPERLINK("https://pbs.twimg.com/profile_images/667191542/800px-Four_of_the_Seven_Sisters_normal.jpg","View")</f>
        <v>View</v>
      </c>
      <c r="P6445" s="27"/>
    </row>
    <row r="6446">
      <c r="A6446" s="14">
        <v>43031.43326388889</v>
      </c>
      <c r="B6446" s="20" t="str">
        <f>HYPERLINK("https://twitter.com/IntellecIndian","@IntellecIndian")</f>
        <v>@IntellecIndian</v>
      </c>
      <c r="C6446" s="21" t="s">
        <v>14487</v>
      </c>
      <c r="D6446" s="21" t="s">
        <v>42</v>
      </c>
      <c r="E6446" s="22" t="str">
        <f>HYPERLINK("https://twitter.com/IntellecIndian/status/922513929070366721","922513929070366721")</f>
        <v>922513929070366721</v>
      </c>
      <c r="F6446" s="23" t="s">
        <v>43</v>
      </c>
      <c r="G6446" s="24">
        <v>49.0</v>
      </c>
      <c r="H6446" s="24">
        <v>7.0</v>
      </c>
      <c r="I6446" s="24">
        <v>8501.0</v>
      </c>
      <c r="J6446" s="24">
        <v>0.0</v>
      </c>
      <c r="K6446" s="23" t="s">
        <v>34</v>
      </c>
      <c r="L6446" s="25">
        <v>42543.52354166667</v>
      </c>
      <c r="M6446" s="28"/>
      <c r="N6446" s="28"/>
      <c r="O6446" s="22" t="str">
        <f>HYPERLINK("https://pbs.twimg.com/profile_images/837021583109685248/BajrNeZu_normal.jpg","View")</f>
        <v>View</v>
      </c>
      <c r="P6446" s="27"/>
    </row>
    <row r="6447">
      <c r="A6447" s="14">
        <v>43031.43328703704</v>
      </c>
      <c r="B6447" s="20" t="str">
        <f>HYPERLINK("https://twitter.com/Paresh6972","@Paresh6972")</f>
        <v>@Paresh6972</v>
      </c>
      <c r="C6447" s="21" t="s">
        <v>14488</v>
      </c>
      <c r="D6447" s="21" t="s">
        <v>42</v>
      </c>
      <c r="E6447" s="22" t="str">
        <f>HYPERLINK("https://twitter.com/Paresh6972/status/922513936649351169","922513936649351169")</f>
        <v>922513936649351169</v>
      </c>
      <c r="F6447" s="23" t="s">
        <v>33</v>
      </c>
      <c r="G6447" s="24">
        <v>78.0</v>
      </c>
      <c r="H6447" s="24">
        <v>104.0</v>
      </c>
      <c r="I6447" s="24">
        <v>8501.0</v>
      </c>
      <c r="J6447" s="24">
        <v>0.0</v>
      </c>
      <c r="K6447" s="23" t="s">
        <v>34</v>
      </c>
      <c r="L6447" s="25">
        <v>41360.05739583333</v>
      </c>
      <c r="M6447" s="26" t="s">
        <v>164</v>
      </c>
      <c r="N6447" s="26" t="s">
        <v>2122</v>
      </c>
      <c r="O6447" s="22" t="str">
        <f>HYPERLINK("https://pbs.twimg.com/profile_images/576848343004905472/39XtNrYU_normal.jpeg","View")</f>
        <v>View</v>
      </c>
      <c r="P6447" s="27"/>
    </row>
    <row r="6448">
      <c r="A6448" s="14">
        <v>43031.4334375</v>
      </c>
      <c r="B6448" s="20" t="str">
        <f>HYPERLINK("https://twitter.com/9t_news","@9t_news")</f>
        <v>@9t_news</v>
      </c>
      <c r="C6448" s="21" t="s">
        <v>14489</v>
      </c>
      <c r="D6448" s="21" t="s">
        <v>14490</v>
      </c>
      <c r="E6448" s="22" t="str">
        <f>HYPERLINK("https://twitter.com/9t_news/status/922513991728906241","922513991728906241")</f>
        <v>922513991728906241</v>
      </c>
      <c r="F6448" s="23" t="s">
        <v>11978</v>
      </c>
      <c r="G6448" s="24">
        <v>343.0</v>
      </c>
      <c r="H6448" s="24">
        <v>53.0</v>
      </c>
      <c r="I6448" s="24">
        <v>0.0</v>
      </c>
      <c r="J6448" s="24">
        <v>0.0</v>
      </c>
      <c r="K6448" s="23" t="s">
        <v>34</v>
      </c>
      <c r="L6448" s="25">
        <v>42011.39508101852</v>
      </c>
      <c r="M6448" s="28"/>
      <c r="N6448" s="28"/>
      <c r="O6448" s="22" t="str">
        <f>HYPERLINK("https://abs.twimg.com/sticky/default_profile_images/default_profile_normal.png","View")</f>
        <v>View</v>
      </c>
      <c r="P6448" s="27"/>
    </row>
    <row r="6449">
      <c r="A6449" s="14">
        <v>43031.43355324074</v>
      </c>
      <c r="B6449" s="20" t="str">
        <f>HYPERLINK("https://twitter.com/The_Guy_Carl","@The_Guy_Carl")</f>
        <v>@The_Guy_Carl</v>
      </c>
      <c r="C6449" s="21" t="s">
        <v>14491</v>
      </c>
      <c r="D6449" s="21" t="s">
        <v>32</v>
      </c>
      <c r="E6449" s="22" t="str">
        <f>HYPERLINK("https://twitter.com/The_Guy_Carl/status/922514030610305025","922514030610305025")</f>
        <v>922514030610305025</v>
      </c>
      <c r="F6449" s="23" t="s">
        <v>33</v>
      </c>
      <c r="G6449" s="24">
        <v>18611.0</v>
      </c>
      <c r="H6449" s="24">
        <v>17355.0</v>
      </c>
      <c r="I6449" s="24">
        <v>471.0</v>
      </c>
      <c r="J6449" s="24">
        <v>0.0</v>
      </c>
      <c r="K6449" s="23" t="s">
        <v>34</v>
      </c>
      <c r="L6449" s="25">
        <v>41656.44262731481</v>
      </c>
      <c r="M6449" s="26" t="s">
        <v>14492</v>
      </c>
      <c r="N6449" s="26" t="s">
        <v>14493</v>
      </c>
      <c r="O6449" s="22" t="str">
        <f>HYPERLINK("https://pbs.twimg.com/profile_images/919974177460903937/BgezJewW_normal.jpg","View")</f>
        <v>View</v>
      </c>
      <c r="P6449" s="27"/>
    </row>
    <row r="6450">
      <c r="A6450" s="14">
        <v>43031.433587962965</v>
      </c>
      <c r="B6450" s="20" t="str">
        <f>HYPERLINK("https://twitter.com/ChrisAdamTweets","@ChrisAdamTweets")</f>
        <v>@ChrisAdamTweets</v>
      </c>
      <c r="C6450" s="21" t="s">
        <v>14494</v>
      </c>
      <c r="D6450" s="21" t="s">
        <v>14495</v>
      </c>
      <c r="E6450" s="22" t="str">
        <f>HYPERLINK("https://twitter.com/ChrisAdamTweets/status/922514045692809216","922514045692809216")</f>
        <v>922514045692809216</v>
      </c>
      <c r="F6450" s="23" t="s">
        <v>14496</v>
      </c>
      <c r="G6450" s="24">
        <v>5184.0</v>
      </c>
      <c r="H6450" s="24">
        <v>5623.0</v>
      </c>
      <c r="I6450" s="24">
        <v>0.0</v>
      </c>
      <c r="J6450" s="24">
        <v>1.0</v>
      </c>
      <c r="K6450" s="23" t="s">
        <v>34</v>
      </c>
      <c r="L6450" s="25">
        <v>40507.838368055556</v>
      </c>
      <c r="M6450" s="26" t="s">
        <v>14497</v>
      </c>
      <c r="N6450" s="26" t="s">
        <v>14498</v>
      </c>
      <c r="O6450" s="22" t="str">
        <f>HYPERLINK("https://pbs.twimg.com/profile_images/1175796191/imagesCA6R0T67_normal.jpg","View")</f>
        <v>View</v>
      </c>
      <c r="P6450" s="27"/>
    </row>
    <row r="6451">
      <c r="A6451" s="14">
        <v>43031.43373842593</v>
      </c>
      <c r="B6451" s="20" t="str">
        <f>HYPERLINK("https://twitter.com/One_n_OnlyOne","@One_n_OnlyOne")</f>
        <v>@One_n_OnlyOne</v>
      </c>
      <c r="C6451" s="21" t="s">
        <v>14499</v>
      </c>
      <c r="D6451" s="21" t="s">
        <v>42</v>
      </c>
      <c r="E6451" s="22" t="str">
        <f>HYPERLINK("https://twitter.com/One_n_OnlyOne/status/922514101481324544","922514101481324544")</f>
        <v>922514101481324544</v>
      </c>
      <c r="F6451" s="23" t="s">
        <v>230</v>
      </c>
      <c r="G6451" s="24">
        <v>94.0</v>
      </c>
      <c r="H6451" s="24">
        <v>346.0</v>
      </c>
      <c r="I6451" s="24">
        <v>8501.0</v>
      </c>
      <c r="J6451" s="24">
        <v>0.0</v>
      </c>
      <c r="K6451" s="23" t="s">
        <v>34</v>
      </c>
      <c r="L6451" s="25">
        <v>42519.256886574076</v>
      </c>
      <c r="M6451" s="26" t="s">
        <v>204</v>
      </c>
      <c r="N6451" s="26" t="s">
        <v>14500</v>
      </c>
      <c r="O6451" s="22" t="str">
        <f>HYPERLINK("https://pbs.twimg.com/profile_images/736912294597165056/QKBOg5bj_normal.jpg","View")</f>
        <v>View</v>
      </c>
      <c r="P6451" s="27"/>
    </row>
    <row r="6452">
      <c r="A6452" s="14">
        <v>43031.43378472222</v>
      </c>
      <c r="B6452" s="20" t="str">
        <f>HYPERLINK("https://twitter.com/salaamhyd11","@salaamhyd11")</f>
        <v>@salaamhyd11</v>
      </c>
      <c r="C6452" s="21" t="s">
        <v>14501</v>
      </c>
      <c r="D6452" s="21" t="s">
        <v>42</v>
      </c>
      <c r="E6452" s="22" t="str">
        <f>HYPERLINK("https://twitter.com/salaamhyd11/status/922514117143007234","922514117143007234")</f>
        <v>922514117143007234</v>
      </c>
      <c r="F6452" s="23" t="s">
        <v>39</v>
      </c>
      <c r="G6452" s="24">
        <v>40.0</v>
      </c>
      <c r="H6452" s="24">
        <v>187.0</v>
      </c>
      <c r="I6452" s="24">
        <v>8501.0</v>
      </c>
      <c r="J6452" s="24">
        <v>0.0</v>
      </c>
      <c r="K6452" s="23" t="s">
        <v>34</v>
      </c>
      <c r="L6452" s="25">
        <v>42939.57774305556</v>
      </c>
      <c r="M6452" s="26" t="s">
        <v>167</v>
      </c>
      <c r="N6452" s="26" t="s">
        <v>14502</v>
      </c>
      <c r="O6452" s="22" t="str">
        <f>HYPERLINK("https://pbs.twimg.com/profile_images/889481777957482497/QjWPpcXH_normal.jpg","View")</f>
        <v>View</v>
      </c>
      <c r="P6452" s="27"/>
    </row>
    <row r="6453">
      <c r="A6453" s="14">
        <v>43031.43413194444</v>
      </c>
      <c r="B6453" s="20" t="str">
        <f>HYPERLINK("https://twitter.com/RokhadeRaju","@RokhadeRaju")</f>
        <v>@RokhadeRaju</v>
      </c>
      <c r="C6453" s="21" t="s">
        <v>14503</v>
      </c>
      <c r="D6453" s="21" t="s">
        <v>42</v>
      </c>
      <c r="E6453" s="22" t="str">
        <f>HYPERLINK("https://twitter.com/RokhadeRaju/status/922514243034873856","922514243034873856")</f>
        <v>922514243034873856</v>
      </c>
      <c r="F6453" s="23" t="s">
        <v>39</v>
      </c>
      <c r="G6453" s="24">
        <v>12.0</v>
      </c>
      <c r="H6453" s="24">
        <v>91.0</v>
      </c>
      <c r="I6453" s="24">
        <v>8501.0</v>
      </c>
      <c r="J6453" s="24">
        <v>0.0</v>
      </c>
      <c r="K6453" s="23" t="s">
        <v>34</v>
      </c>
      <c r="L6453" s="25">
        <v>42722.251793981486</v>
      </c>
      <c r="M6453" s="26" t="s">
        <v>14504</v>
      </c>
      <c r="N6453" s="26" t="s">
        <v>14505</v>
      </c>
      <c r="O6453" s="22" t="str">
        <f>HYPERLINK("https://pbs.twimg.com/profile_images/811162025728454656/05wNTQ1A_normal.jpg","View")</f>
        <v>View</v>
      </c>
      <c r="P6453" s="27"/>
    </row>
    <row r="6454">
      <c r="A6454" s="14">
        <v>43031.43417824074</v>
      </c>
      <c r="B6454" s="20" t="str">
        <f>HYPERLINK("https://twitter.com/jaco_chundabad","@jaco_chundabad")</f>
        <v>@jaco_chundabad</v>
      </c>
      <c r="C6454" s="21" t="s">
        <v>14506</v>
      </c>
      <c r="D6454" s="21" t="s">
        <v>32</v>
      </c>
      <c r="E6454" s="22" t="str">
        <f>HYPERLINK("https://twitter.com/jaco_chundabad/status/922514258944053248","922514258944053248")</f>
        <v>922514258944053248</v>
      </c>
      <c r="F6454" s="23" t="s">
        <v>33</v>
      </c>
      <c r="G6454" s="24">
        <v>12130.0</v>
      </c>
      <c r="H6454" s="24">
        <v>7365.0</v>
      </c>
      <c r="I6454" s="24">
        <v>471.0</v>
      </c>
      <c r="J6454" s="24">
        <v>0.0</v>
      </c>
      <c r="K6454" s="23" t="s">
        <v>34</v>
      </c>
      <c r="L6454" s="25">
        <v>41363.991527777776</v>
      </c>
      <c r="M6454" s="26" t="s">
        <v>7136</v>
      </c>
      <c r="N6454" s="28"/>
      <c r="O6454" s="22" t="str">
        <f>HYPERLINK("https://pbs.twimg.com/profile_images/922860972993318912/BJgOVM7Q_normal.jpg","View")</f>
        <v>View</v>
      </c>
      <c r="P6454" s="27"/>
    </row>
    <row r="6455">
      <c r="A6455" s="14">
        <v>43031.434212962966</v>
      </c>
      <c r="B6455" s="20" t="str">
        <f>HYPERLINK("https://twitter.com/soazaimee","@soazaimee")</f>
        <v>@soazaimee</v>
      </c>
      <c r="C6455" s="21" t="s">
        <v>14507</v>
      </c>
      <c r="D6455" s="21" t="s">
        <v>14508</v>
      </c>
      <c r="E6455" s="22" t="str">
        <f>HYPERLINK("https://twitter.com/soazaimee/status/922514270159495168","922514270159495168")</f>
        <v>922514270159495168</v>
      </c>
      <c r="F6455" s="23" t="s">
        <v>55</v>
      </c>
      <c r="G6455" s="24">
        <v>27.0</v>
      </c>
      <c r="H6455" s="24">
        <v>26.0</v>
      </c>
      <c r="I6455" s="24">
        <v>1.0</v>
      </c>
      <c r="J6455" s="24">
        <v>0.0</v>
      </c>
      <c r="K6455" s="23" t="s">
        <v>34</v>
      </c>
      <c r="L6455" s="25">
        <v>42111.621203703704</v>
      </c>
      <c r="M6455" s="28"/>
      <c r="N6455" s="28"/>
      <c r="O6455" s="22" t="str">
        <f>HYPERLINK("https://pbs.twimg.com/profile_images/827227144170328064/lPTjPkrF_normal.jpg","View")</f>
        <v>View</v>
      </c>
      <c r="P6455" s="27"/>
    </row>
    <row r="6456">
      <c r="A6456" s="14">
        <v>43031.43429398148</v>
      </c>
      <c r="B6456" s="20" t="str">
        <f>HYPERLINK("https://twitter.com/KvermaLavi","@KvermaLavi")</f>
        <v>@KvermaLavi</v>
      </c>
      <c r="C6456" s="21" t="s">
        <v>14509</v>
      </c>
      <c r="D6456" s="21" t="s">
        <v>42</v>
      </c>
      <c r="E6456" s="22" t="str">
        <f>HYPERLINK("https://twitter.com/KvermaLavi/status/922514301453189120","922514301453189120")</f>
        <v>922514301453189120</v>
      </c>
      <c r="F6456" s="23" t="s">
        <v>33</v>
      </c>
      <c r="G6456" s="24">
        <v>84.0</v>
      </c>
      <c r="H6456" s="24">
        <v>71.0</v>
      </c>
      <c r="I6456" s="24">
        <v>8501.0</v>
      </c>
      <c r="J6456" s="24">
        <v>0.0</v>
      </c>
      <c r="K6456" s="23" t="s">
        <v>34</v>
      </c>
      <c r="L6456" s="25">
        <v>42026.29938657407</v>
      </c>
      <c r="M6456" s="28"/>
      <c r="N6456" s="26" t="s">
        <v>14510</v>
      </c>
      <c r="O6456" s="22" t="str">
        <f>HYPERLINK("https://pbs.twimg.com/profile_images/875992733613256704/BfaMv4eY_normal.jpg","View")</f>
        <v>View</v>
      </c>
      <c r="P6456" s="27"/>
    </row>
    <row r="6457">
      <c r="A6457" s="14">
        <v>43031.43440972222</v>
      </c>
      <c r="B6457" s="20" t="str">
        <f>HYPERLINK("https://twitter.com/ellenwoodsworth","@ellenwoodsworth")</f>
        <v>@ellenwoodsworth</v>
      </c>
      <c r="C6457" s="21" t="s">
        <v>14511</v>
      </c>
      <c r="D6457" s="21" t="s">
        <v>14512</v>
      </c>
      <c r="E6457" s="22" t="str">
        <f>HYPERLINK("https://twitter.com/ellenwoodsworth/status/922514343089934336","922514343089934336")</f>
        <v>922514343089934336</v>
      </c>
      <c r="F6457" s="23" t="s">
        <v>39</v>
      </c>
      <c r="G6457" s="24">
        <v>2469.0</v>
      </c>
      <c r="H6457" s="24">
        <v>531.0</v>
      </c>
      <c r="I6457" s="24">
        <v>0.0</v>
      </c>
      <c r="J6457" s="24">
        <v>0.0</v>
      </c>
      <c r="K6457" s="23" t="s">
        <v>34</v>
      </c>
      <c r="L6457" s="25">
        <v>40654.61546296296</v>
      </c>
      <c r="M6457" s="26" t="s">
        <v>920</v>
      </c>
      <c r="N6457" s="26" t="s">
        <v>14513</v>
      </c>
      <c r="O6457" s="22" t="str">
        <f>HYPERLINK("https://pbs.twimg.com/profile_images/1337347402/Ellen_Woodsworth_twitter_normal.jpg","View")</f>
        <v>View</v>
      </c>
      <c r="P6457" s="27"/>
    </row>
    <row r="6458">
      <c r="A6458" s="14">
        <v>43031.43454861111</v>
      </c>
      <c r="B6458" s="20" t="str">
        <f>HYPERLINK("https://twitter.com/chaithrakmr","@chaithrakmr")</f>
        <v>@chaithrakmr</v>
      </c>
      <c r="C6458" s="21" t="s">
        <v>14514</v>
      </c>
      <c r="D6458" s="21" t="s">
        <v>42</v>
      </c>
      <c r="E6458" s="22" t="str">
        <f>HYPERLINK("https://twitter.com/chaithrakmr/status/922514391181942784","922514391181942784")</f>
        <v>922514391181942784</v>
      </c>
      <c r="F6458" s="23" t="s">
        <v>33</v>
      </c>
      <c r="G6458" s="24">
        <v>29.0</v>
      </c>
      <c r="H6458" s="24">
        <v>233.0</v>
      </c>
      <c r="I6458" s="24">
        <v>8501.0</v>
      </c>
      <c r="J6458" s="24">
        <v>0.0</v>
      </c>
      <c r="K6458" s="23" t="s">
        <v>34</v>
      </c>
      <c r="L6458" s="25">
        <v>40717.28729166667</v>
      </c>
      <c r="M6458" s="28"/>
      <c r="N6458" s="28"/>
      <c r="O6458" s="22" t="str">
        <f>HYPERLINK("https://abs.twimg.com/sticky/default_profile_images/default_profile_normal.png","View")</f>
        <v>View</v>
      </c>
      <c r="P6458" s="27"/>
    </row>
    <row r="6459">
      <c r="A6459" s="14">
        <v>43031.434594907405</v>
      </c>
      <c r="B6459" s="20" t="str">
        <f>HYPERLINK("https://twitter.com/marketstocknews","@marketstocknews")</f>
        <v>@marketstocknews</v>
      </c>
      <c r="C6459" s="21" t="s">
        <v>4952</v>
      </c>
      <c r="D6459" s="21" t="s">
        <v>14515</v>
      </c>
      <c r="E6459" s="22" t="str">
        <f>HYPERLINK("https://twitter.com/marketstocknews/status/922514410173759488","922514410173759488")</f>
        <v>922514410173759488</v>
      </c>
      <c r="F6459" s="23" t="s">
        <v>187</v>
      </c>
      <c r="G6459" s="24">
        <v>1157.0</v>
      </c>
      <c r="H6459" s="24">
        <v>865.0</v>
      </c>
      <c r="I6459" s="24">
        <v>0.0</v>
      </c>
      <c r="J6459" s="24">
        <v>0.0</v>
      </c>
      <c r="K6459" s="23" t="s">
        <v>34</v>
      </c>
      <c r="L6459" s="25">
        <v>41911.56853009259</v>
      </c>
      <c r="M6459" s="28"/>
      <c r="N6459" s="26" t="s">
        <v>4954</v>
      </c>
      <c r="O6459" s="22" t="str">
        <f>HYPERLINK("https://pbs.twimg.com/profile_images/659111213465382912/yfS3diNs_normal.jpg","View")</f>
        <v>View</v>
      </c>
      <c r="P6459" s="27"/>
    </row>
    <row r="6460">
      <c r="A6460" s="14">
        <v>43031.43474537037</v>
      </c>
      <c r="B6460" s="20" t="str">
        <f>HYPERLINK("https://twitter.com/mwise_","@mwise_")</f>
        <v>@mwise_</v>
      </c>
      <c r="C6460" s="21" t="s">
        <v>14516</v>
      </c>
      <c r="D6460" s="21" t="s">
        <v>32</v>
      </c>
      <c r="E6460" s="22" t="str">
        <f>HYPERLINK("https://twitter.com/mwise_/status/922514465920356352","922514465920356352")</f>
        <v>922514465920356352</v>
      </c>
      <c r="F6460" s="23" t="s">
        <v>33</v>
      </c>
      <c r="G6460" s="24">
        <v>2832.0</v>
      </c>
      <c r="H6460" s="24">
        <v>381.0</v>
      </c>
      <c r="I6460" s="24">
        <v>471.0</v>
      </c>
      <c r="J6460" s="24">
        <v>0.0</v>
      </c>
      <c r="K6460" s="23" t="s">
        <v>34</v>
      </c>
      <c r="L6460" s="25">
        <v>41239.1503125</v>
      </c>
      <c r="M6460" s="26" t="s">
        <v>7790</v>
      </c>
      <c r="N6460" s="26" t="s">
        <v>14517</v>
      </c>
      <c r="O6460" s="22" t="str">
        <f>HYPERLINK("https://pbs.twimg.com/profile_images/871752012869885952/v-ral-Rz_normal.jpg","View")</f>
        <v>View</v>
      </c>
      <c r="P6460" s="27"/>
    </row>
    <row r="6461">
      <c r="A6461" s="14">
        <v>43031.43475694444</v>
      </c>
      <c r="B6461" s="20" t="str">
        <f>HYPERLINK("https://twitter.com/explorebylight","@explorebylight")</f>
        <v>@explorebylight</v>
      </c>
      <c r="C6461" s="21" t="s">
        <v>14518</v>
      </c>
      <c r="D6461" s="21" t="s">
        <v>14519</v>
      </c>
      <c r="E6461" s="22" t="str">
        <f>HYPERLINK("https://twitter.com/explorebylight/status/922514467216347138","922514467216347138")</f>
        <v>922514467216347138</v>
      </c>
      <c r="F6461" s="23" t="s">
        <v>230</v>
      </c>
      <c r="G6461" s="24">
        <v>10838.0</v>
      </c>
      <c r="H6461" s="24">
        <v>11130.0</v>
      </c>
      <c r="I6461" s="24">
        <v>0.0</v>
      </c>
      <c r="J6461" s="24">
        <v>0.0</v>
      </c>
      <c r="K6461" s="23" t="s">
        <v>34</v>
      </c>
      <c r="L6461" s="25">
        <v>39942.18814814815</v>
      </c>
      <c r="M6461" s="26" t="s">
        <v>14520</v>
      </c>
      <c r="N6461" s="26" t="s">
        <v>14521</v>
      </c>
      <c r="O6461" s="22" t="str">
        <f>HYPERLINK("https://pbs.twimg.com/profile_images/460708122332385280/YDVkaNLF_normal.jpeg","View")</f>
        <v>View</v>
      </c>
      <c r="P6461" s="27"/>
    </row>
    <row r="6462">
      <c r="A6462" s="14">
        <v>43031.43476851852</v>
      </c>
      <c r="B6462" s="20" t="str">
        <f>HYPERLINK("https://twitter.com/iamsameerrajput","@iamsameerrajput")</f>
        <v>@iamsameerrajput</v>
      </c>
      <c r="C6462" s="21" t="s">
        <v>14522</v>
      </c>
      <c r="D6462" s="21" t="s">
        <v>42</v>
      </c>
      <c r="E6462" s="22" t="str">
        <f>HYPERLINK("https://twitter.com/iamsameerrajput/status/922514474216673280","922514474216673280")</f>
        <v>922514474216673280</v>
      </c>
      <c r="F6462" s="23" t="s">
        <v>33</v>
      </c>
      <c r="G6462" s="24">
        <v>35.0</v>
      </c>
      <c r="H6462" s="24">
        <v>129.0</v>
      </c>
      <c r="I6462" s="24">
        <v>8501.0</v>
      </c>
      <c r="J6462" s="24">
        <v>0.0</v>
      </c>
      <c r="K6462" s="23" t="s">
        <v>34</v>
      </c>
      <c r="L6462" s="25">
        <v>42910.14523148148</v>
      </c>
      <c r="M6462" s="26" t="s">
        <v>14523</v>
      </c>
      <c r="N6462" s="26" t="s">
        <v>14524</v>
      </c>
      <c r="O6462" s="22" t="str">
        <f>HYPERLINK("https://pbs.twimg.com/profile_images/907185067553722368/LRhNhlQB_normal.jpg","View")</f>
        <v>View</v>
      </c>
      <c r="P6462" s="27"/>
    </row>
    <row r="6463">
      <c r="A6463" s="14">
        <v>43031.43486111111</v>
      </c>
      <c r="B6463" s="20" t="str">
        <f>HYPERLINK("https://twitter.com/ashish_rnq","@ashish_rnq")</f>
        <v>@ashish_rnq</v>
      </c>
      <c r="C6463" s="21" t="s">
        <v>14525</v>
      </c>
      <c r="D6463" s="21" t="s">
        <v>42</v>
      </c>
      <c r="E6463" s="22" t="str">
        <f>HYPERLINK("https://twitter.com/ashish_rnq/status/922514504633610240","922514504633610240")</f>
        <v>922514504633610240</v>
      </c>
      <c r="F6463" s="23" t="s">
        <v>33</v>
      </c>
      <c r="G6463" s="24">
        <v>208.0</v>
      </c>
      <c r="H6463" s="24">
        <v>287.0</v>
      </c>
      <c r="I6463" s="24">
        <v>8501.0</v>
      </c>
      <c r="J6463" s="24">
        <v>0.0</v>
      </c>
      <c r="K6463" s="23" t="s">
        <v>34</v>
      </c>
      <c r="L6463" s="25">
        <v>40210.29550925926</v>
      </c>
      <c r="M6463" s="26" t="s">
        <v>4403</v>
      </c>
      <c r="N6463" s="26" t="s">
        <v>14526</v>
      </c>
      <c r="O6463" s="22" t="str">
        <f>HYPERLINK("https://pbs.twimg.com/profile_images/823432719094910976/v2oYO_Nn_normal.jpg","View")</f>
        <v>View</v>
      </c>
      <c r="P6463" s="27"/>
    </row>
    <row r="6464">
      <c r="A6464" s="14">
        <v>43031.43493055555</v>
      </c>
      <c r="B6464" s="20" t="str">
        <f>HYPERLINK("https://twitter.com/nvision_360","@nvision_360")</f>
        <v>@nvision_360</v>
      </c>
      <c r="C6464" s="21" t="s">
        <v>2977</v>
      </c>
      <c r="D6464" s="21" t="s">
        <v>14527</v>
      </c>
      <c r="E6464" s="22" t="str">
        <f>HYPERLINK("https://twitter.com/nvision_360/status/922514529828745216","922514529828745216")</f>
        <v>922514529828745216</v>
      </c>
      <c r="F6464" s="23" t="s">
        <v>2979</v>
      </c>
      <c r="G6464" s="24">
        <v>1450.0</v>
      </c>
      <c r="H6464" s="24">
        <v>2020.0</v>
      </c>
      <c r="I6464" s="24">
        <v>0.0</v>
      </c>
      <c r="J6464" s="24">
        <v>0.0</v>
      </c>
      <c r="K6464" s="23" t="s">
        <v>34</v>
      </c>
      <c r="L6464" s="25">
        <v>42227.433703703704</v>
      </c>
      <c r="M6464" s="26" t="s">
        <v>238</v>
      </c>
      <c r="N6464" s="26" t="s">
        <v>2980</v>
      </c>
      <c r="O6464" s="22" t="str">
        <f>HYPERLINK("https://pbs.twimg.com/profile_images/631155294437924864/W9LiiFDF_normal.png","View")</f>
        <v>View</v>
      </c>
      <c r="P6464" s="27"/>
    </row>
    <row r="6465">
      <c r="A6465" s="14">
        <v>43031.43510416667</v>
      </c>
      <c r="B6465" s="20" t="str">
        <f>HYPERLINK("https://twitter.com/Nitinindory","@Nitinindory")</f>
        <v>@Nitinindory</v>
      </c>
      <c r="C6465" s="21" t="s">
        <v>14528</v>
      </c>
      <c r="D6465" s="21" t="s">
        <v>42</v>
      </c>
      <c r="E6465" s="22" t="str">
        <f>HYPERLINK("https://twitter.com/Nitinindory/status/922514596123983872","922514596123983872")</f>
        <v>922514596123983872</v>
      </c>
      <c r="F6465" s="23" t="s">
        <v>33</v>
      </c>
      <c r="G6465" s="24">
        <v>27.0</v>
      </c>
      <c r="H6465" s="24">
        <v>248.0</v>
      </c>
      <c r="I6465" s="24">
        <v>8501.0</v>
      </c>
      <c r="J6465" s="24">
        <v>0.0</v>
      </c>
      <c r="K6465" s="23" t="s">
        <v>34</v>
      </c>
      <c r="L6465" s="25">
        <v>40913.24702546296</v>
      </c>
      <c r="M6465" s="26" t="s">
        <v>9221</v>
      </c>
      <c r="N6465" s="26" t="s">
        <v>14529</v>
      </c>
      <c r="O6465" s="22" t="str">
        <f>HYPERLINK("https://pbs.twimg.com/profile_images/865560550838747136/g1Wzenwc_normal.jpg","View")</f>
        <v>View</v>
      </c>
      <c r="P6465" s="27"/>
    </row>
    <row r="6466">
      <c r="A6466" s="14">
        <v>43031.435208333336</v>
      </c>
      <c r="B6466" s="20" t="str">
        <f>HYPERLINK("https://twitter.com/sheikismail","@sheikismail")</f>
        <v>@sheikismail</v>
      </c>
      <c r="C6466" s="21" t="s">
        <v>14530</v>
      </c>
      <c r="D6466" s="21" t="s">
        <v>14531</v>
      </c>
      <c r="E6466" s="22" t="str">
        <f>HYPERLINK("https://twitter.com/sheikismail/status/922514630986960897","922514630986960897")</f>
        <v>922514630986960897</v>
      </c>
      <c r="F6466" s="23" t="s">
        <v>33</v>
      </c>
      <c r="G6466" s="24">
        <v>66.0</v>
      </c>
      <c r="H6466" s="24">
        <v>48.0</v>
      </c>
      <c r="I6466" s="24">
        <v>0.0</v>
      </c>
      <c r="J6466" s="24">
        <v>0.0</v>
      </c>
      <c r="K6466" s="23" t="s">
        <v>34</v>
      </c>
      <c r="L6466" s="25">
        <v>39727.25133101852</v>
      </c>
      <c r="M6466" s="28"/>
      <c r="N6466" s="26" t="s">
        <v>14532</v>
      </c>
      <c r="O6466" s="22" t="str">
        <f>HYPERLINK("https://pbs.twimg.com/profile_images/893836391708147712/p8xQaEbZ_normal.jpg","View")</f>
        <v>View</v>
      </c>
      <c r="P6466" s="27"/>
    </row>
    <row r="6467">
      <c r="A6467" s="14">
        <v>43031.43539351852</v>
      </c>
      <c r="B6467" s="20" t="str">
        <f>HYPERLINK("https://twitter.com/pavan_bv10","@pavan_bv10")</f>
        <v>@pavan_bv10</v>
      </c>
      <c r="C6467" s="21" t="s">
        <v>14533</v>
      </c>
      <c r="D6467" s="21" t="s">
        <v>42</v>
      </c>
      <c r="E6467" s="22" t="str">
        <f>HYPERLINK("https://twitter.com/pavan_bv10/status/922514699941429249","922514699941429249")</f>
        <v>922514699941429249</v>
      </c>
      <c r="F6467" s="23" t="s">
        <v>33</v>
      </c>
      <c r="G6467" s="24">
        <v>28.0</v>
      </c>
      <c r="H6467" s="24">
        <v>101.0</v>
      </c>
      <c r="I6467" s="24">
        <v>8501.0</v>
      </c>
      <c r="J6467" s="24">
        <v>0.0</v>
      </c>
      <c r="K6467" s="23" t="s">
        <v>34</v>
      </c>
      <c r="L6467" s="25">
        <v>42398.82193287037</v>
      </c>
      <c r="M6467" s="28"/>
      <c r="N6467" s="28"/>
      <c r="O6467" s="22" t="str">
        <f>HYPERLINK("https://pbs.twimg.com/profile_images/693279512352542721/cKxEJoeK_normal.jpg","View")</f>
        <v>View</v>
      </c>
      <c r="P6467" s="27"/>
    </row>
    <row r="6468">
      <c r="A6468" s="14">
        <v>43031.43541666667</v>
      </c>
      <c r="B6468" s="20" t="str">
        <f>HYPERLINK("https://twitter.com/richagaut","@richagaut")</f>
        <v>@richagaut</v>
      </c>
      <c r="C6468" s="21" t="s">
        <v>14534</v>
      </c>
      <c r="D6468" s="21" t="s">
        <v>42</v>
      </c>
      <c r="E6468" s="22" t="str">
        <f>HYPERLINK("https://twitter.com/richagaut/status/922514708959150080","922514708959150080")</f>
        <v>922514708959150080</v>
      </c>
      <c r="F6468" s="23" t="s">
        <v>33</v>
      </c>
      <c r="G6468" s="24">
        <v>432.0</v>
      </c>
      <c r="H6468" s="24">
        <v>505.0</v>
      </c>
      <c r="I6468" s="24">
        <v>8501.0</v>
      </c>
      <c r="J6468" s="24">
        <v>0.0</v>
      </c>
      <c r="K6468" s="23" t="s">
        <v>34</v>
      </c>
      <c r="L6468" s="25">
        <v>40591.43462962963</v>
      </c>
      <c r="M6468" s="28"/>
      <c r="N6468" s="26" t="s">
        <v>14535</v>
      </c>
      <c r="O6468" s="22" t="str">
        <f>HYPERLINK("https://pbs.twimg.com/profile_images/626033370309353472/MnRaa4Dg_normal.jpg","View")</f>
        <v>View</v>
      </c>
      <c r="P6468" s="27"/>
    </row>
    <row r="6469">
      <c r="A6469" s="14">
        <v>43031.43577546296</v>
      </c>
      <c r="B6469" s="20" t="str">
        <f>HYPERLINK("https://twitter.com/isumitksinha","@isumitksinha")</f>
        <v>@isumitksinha</v>
      </c>
      <c r="C6469" s="21" t="s">
        <v>12195</v>
      </c>
      <c r="D6469" s="21" t="s">
        <v>14536</v>
      </c>
      <c r="E6469" s="22" t="str">
        <f>HYPERLINK("https://twitter.com/isumitksinha/status/922514837283975168","922514837283975168")</f>
        <v>922514837283975168</v>
      </c>
      <c r="F6469" s="23" t="s">
        <v>91</v>
      </c>
      <c r="G6469" s="24">
        <v>821.0</v>
      </c>
      <c r="H6469" s="24">
        <v>110.0</v>
      </c>
      <c r="I6469" s="24">
        <v>0.0</v>
      </c>
      <c r="J6469" s="24">
        <v>0.0</v>
      </c>
      <c r="K6469" s="23" t="s">
        <v>34</v>
      </c>
      <c r="L6469" s="25">
        <v>40211.2578125</v>
      </c>
      <c r="M6469" s="26" t="s">
        <v>914</v>
      </c>
      <c r="N6469" s="26" t="s">
        <v>12197</v>
      </c>
      <c r="O6469" s="22" t="str">
        <f>HYPERLINK("https://pbs.twimg.com/profile_images/662292972654870528/N3kLvWAZ_normal.jpg","View")</f>
        <v>View</v>
      </c>
      <c r="P6469" s="27"/>
    </row>
    <row r="6470">
      <c r="A6470" s="14">
        <v>43031.43582175926</v>
      </c>
      <c r="B6470" s="20" t="str">
        <f>HYPERLINK("https://twitter.com/trueindian1978","@trueindian1978")</f>
        <v>@trueindian1978</v>
      </c>
      <c r="C6470" s="21" t="s">
        <v>5693</v>
      </c>
      <c r="D6470" s="21" t="s">
        <v>42</v>
      </c>
      <c r="E6470" s="22" t="str">
        <f>HYPERLINK("https://twitter.com/trueindian1978/status/922514856309178371","922514856309178371")</f>
        <v>922514856309178371</v>
      </c>
      <c r="F6470" s="23" t="s">
        <v>39</v>
      </c>
      <c r="G6470" s="24">
        <v>1507.0</v>
      </c>
      <c r="H6470" s="24">
        <v>1835.0</v>
      </c>
      <c r="I6470" s="24">
        <v>8501.0</v>
      </c>
      <c r="J6470" s="24">
        <v>0.0</v>
      </c>
      <c r="K6470" s="23" t="s">
        <v>34</v>
      </c>
      <c r="L6470" s="25">
        <v>41438.280277777776</v>
      </c>
      <c r="M6470" s="26" t="s">
        <v>14537</v>
      </c>
      <c r="N6470" s="26" t="s">
        <v>14538</v>
      </c>
      <c r="O6470" s="22" t="str">
        <f>HYPERLINK("https://pbs.twimg.com/profile_images/744085977635913729/YtRTfO6m_normal.jpg","View")</f>
        <v>View</v>
      </c>
      <c r="P6470" s="27"/>
    </row>
    <row r="6471">
      <c r="A6471" s="14">
        <v>43031.43591435185</v>
      </c>
      <c r="B6471" s="20" t="str">
        <f>HYPERLINK("https://twitter.com/TheOsintJournal","@TheOsintJournal")</f>
        <v>@TheOsintJournal</v>
      </c>
      <c r="C6471" s="21" t="s">
        <v>14539</v>
      </c>
      <c r="D6471" s="21" t="s">
        <v>14540</v>
      </c>
      <c r="E6471" s="22" t="str">
        <f>HYPERLINK("https://twitter.com/TheOsintJournal/status/922514888429326336","922514888429326336")</f>
        <v>922514888429326336</v>
      </c>
      <c r="F6471" s="23" t="s">
        <v>6530</v>
      </c>
      <c r="G6471" s="24">
        <v>5172.0</v>
      </c>
      <c r="H6471" s="24">
        <v>97.0</v>
      </c>
      <c r="I6471" s="24">
        <v>1.0</v>
      </c>
      <c r="J6471" s="24">
        <v>0.0</v>
      </c>
      <c r="K6471" s="23" t="s">
        <v>34</v>
      </c>
      <c r="L6471" s="25">
        <v>40916.39255787037</v>
      </c>
      <c r="M6471" s="28"/>
      <c r="N6471" s="26" t="s">
        <v>14541</v>
      </c>
      <c r="O6471" s="22" t="str">
        <f>HYPERLINK("https://pbs.twimg.com/profile_images/1741843980/The_OSINT_Journal__header_200x100_normal.jpg","View")</f>
        <v>View</v>
      </c>
      <c r="P6471" s="27"/>
    </row>
    <row r="6472">
      <c r="A6472" s="14">
        <v>43031.436203703706</v>
      </c>
      <c r="B6472" s="20" t="str">
        <f>HYPERLINK("https://twitter.com/kipfranko","@kipfranko")</f>
        <v>@kipfranko</v>
      </c>
      <c r="C6472" s="21" t="s">
        <v>14542</v>
      </c>
      <c r="D6472" s="21" t="s">
        <v>32</v>
      </c>
      <c r="E6472" s="22" t="str">
        <f>HYPERLINK("https://twitter.com/kipfranko/status/922514995052728320","922514995052728320")</f>
        <v>922514995052728320</v>
      </c>
      <c r="F6472" s="23" t="s">
        <v>33</v>
      </c>
      <c r="G6472" s="24">
        <v>525.0</v>
      </c>
      <c r="H6472" s="24">
        <v>497.0</v>
      </c>
      <c r="I6472" s="24">
        <v>471.0</v>
      </c>
      <c r="J6472" s="24">
        <v>0.0</v>
      </c>
      <c r="K6472" s="23" t="s">
        <v>34</v>
      </c>
      <c r="L6472" s="25">
        <v>40657.24762731481</v>
      </c>
      <c r="M6472" s="26" t="s">
        <v>114</v>
      </c>
      <c r="N6472" s="26" t="s">
        <v>14543</v>
      </c>
      <c r="O6472" s="22" t="str">
        <f>HYPERLINK("https://pbs.twimg.com/profile_images/877265669829517312/5ydEbRs__normal.jpg","View")</f>
        <v>View</v>
      </c>
      <c r="P6472" s="27"/>
    </row>
    <row r="6473">
      <c r="A6473" s="14">
        <v>43031.436331018514</v>
      </c>
      <c r="B6473" s="20" t="str">
        <f>HYPERLINK("https://twitter.com/kainkareswar","@kainkareswar")</f>
        <v>@kainkareswar</v>
      </c>
      <c r="C6473" s="21" t="s">
        <v>14544</v>
      </c>
      <c r="D6473" s="21" t="s">
        <v>42</v>
      </c>
      <c r="E6473" s="22" t="str">
        <f>HYPERLINK("https://twitter.com/kainkareswar/status/922515039541702657","922515039541702657")</f>
        <v>922515039541702657</v>
      </c>
      <c r="F6473" s="23" t="s">
        <v>33</v>
      </c>
      <c r="G6473" s="24">
        <v>444.0</v>
      </c>
      <c r="H6473" s="24">
        <v>2233.0</v>
      </c>
      <c r="I6473" s="24">
        <v>8501.0</v>
      </c>
      <c r="J6473" s="24">
        <v>0.0</v>
      </c>
      <c r="K6473" s="23" t="s">
        <v>34</v>
      </c>
      <c r="L6473" s="25">
        <v>40977.316828703704</v>
      </c>
      <c r="M6473" s="26" t="s">
        <v>14545</v>
      </c>
      <c r="N6473" s="26" t="s">
        <v>14546</v>
      </c>
      <c r="O6473" s="22" t="str">
        <f>HYPERLINK("https://pbs.twimg.com/profile_images/741505992110813188/Z8dDUw81_normal.jpg","View")</f>
        <v>View</v>
      </c>
      <c r="P6473" s="27"/>
    </row>
    <row r="6474">
      <c r="A6474" s="14">
        <v>43031.43641203704</v>
      </c>
      <c r="B6474" s="20" t="str">
        <f>HYPERLINK("https://twitter.com/Sharmistasarka3","@Sharmistasarka3")</f>
        <v>@Sharmistasarka3</v>
      </c>
      <c r="C6474" s="21" t="s">
        <v>14547</v>
      </c>
      <c r="D6474" s="21" t="s">
        <v>42</v>
      </c>
      <c r="E6474" s="22" t="str">
        <f>HYPERLINK("https://twitter.com/Sharmistasarka3/status/922515066821341185","922515066821341185")</f>
        <v>922515066821341185</v>
      </c>
      <c r="F6474" s="23" t="s">
        <v>33</v>
      </c>
      <c r="G6474" s="24">
        <v>10.0</v>
      </c>
      <c r="H6474" s="24">
        <v>335.0</v>
      </c>
      <c r="I6474" s="24">
        <v>8501.0</v>
      </c>
      <c r="J6474" s="24">
        <v>0.0</v>
      </c>
      <c r="K6474" s="23" t="s">
        <v>34</v>
      </c>
      <c r="L6474" s="25">
        <v>43011.920856481476</v>
      </c>
      <c r="M6474" s="28"/>
      <c r="N6474" s="28"/>
      <c r="O6474" s="22" t="str">
        <f>HYPERLINK("https://abs.twimg.com/sticky/default_profile_images/default_profile_normal.png","View")</f>
        <v>View</v>
      </c>
      <c r="P6474" s="27"/>
    </row>
    <row r="6475">
      <c r="A6475" s="14">
        <v>43031.436678240745</v>
      </c>
      <c r="B6475" s="20" t="str">
        <f>HYPERLINK("https://twitter.com/rajeevkingsingh","@rajeevkingsingh")</f>
        <v>@rajeevkingsingh</v>
      </c>
      <c r="C6475" s="21" t="s">
        <v>14548</v>
      </c>
      <c r="D6475" s="21" t="s">
        <v>42</v>
      </c>
      <c r="E6475" s="22" t="str">
        <f>HYPERLINK("https://twitter.com/rajeevkingsingh/status/922515165261778944","922515165261778944")</f>
        <v>922515165261778944</v>
      </c>
      <c r="F6475" s="23" t="s">
        <v>33</v>
      </c>
      <c r="G6475" s="24">
        <v>7099.0</v>
      </c>
      <c r="H6475" s="24">
        <v>6048.0</v>
      </c>
      <c r="I6475" s="24">
        <v>8501.0</v>
      </c>
      <c r="J6475" s="24">
        <v>0.0</v>
      </c>
      <c r="K6475" s="23" t="s">
        <v>34</v>
      </c>
      <c r="L6475" s="25">
        <v>42701.98956018519</v>
      </c>
      <c r="M6475" s="26" t="s">
        <v>246</v>
      </c>
      <c r="N6475" s="26" t="s">
        <v>14549</v>
      </c>
      <c r="O6475" s="22" t="str">
        <f>HYPERLINK("https://pbs.twimg.com/profile_images/923070100722372608/DgWO29m8_normal.jpg","View")</f>
        <v>View</v>
      </c>
      <c r="P6475" s="27"/>
    </row>
    <row r="6476">
      <c r="A6476" s="14">
        <v>43031.43697916667</v>
      </c>
      <c r="B6476" s="20" t="str">
        <f>HYPERLINK("https://twitter.com/Chiragabhi8","@Chiragabhi8")</f>
        <v>@Chiragabhi8</v>
      </c>
      <c r="C6476" s="21" t="s">
        <v>8932</v>
      </c>
      <c r="D6476" s="21" t="s">
        <v>42</v>
      </c>
      <c r="E6476" s="22" t="str">
        <f>HYPERLINK("https://twitter.com/Chiragabhi8/status/922515273130713088","922515273130713088")</f>
        <v>922515273130713088</v>
      </c>
      <c r="F6476" s="23" t="s">
        <v>33</v>
      </c>
      <c r="G6476" s="24">
        <v>11.0</v>
      </c>
      <c r="H6476" s="24">
        <v>72.0</v>
      </c>
      <c r="I6476" s="24">
        <v>8501.0</v>
      </c>
      <c r="J6476" s="24">
        <v>0.0</v>
      </c>
      <c r="K6476" s="23" t="s">
        <v>34</v>
      </c>
      <c r="L6476" s="25">
        <v>40468.41591435185</v>
      </c>
      <c r="M6476" s="28"/>
      <c r="N6476" s="28"/>
      <c r="O6476" s="22" t="str">
        <f>HYPERLINK("https://abs.twimg.com/sticky/default_profile_images/default_profile_normal.png","View")</f>
        <v>View</v>
      </c>
      <c r="P6476" s="27"/>
    </row>
    <row r="6477">
      <c r="A6477" s="14">
        <v>43031.437002314815</v>
      </c>
      <c r="B6477" s="20" t="str">
        <f>HYPERLINK("https://twitter.com/VMeghe","@VMeghe")</f>
        <v>@VMeghe</v>
      </c>
      <c r="C6477" s="21" t="s">
        <v>14550</v>
      </c>
      <c r="D6477" s="21" t="s">
        <v>42</v>
      </c>
      <c r="E6477" s="22" t="str">
        <f>HYPERLINK("https://twitter.com/VMeghe/status/922515281586671616","922515281586671616")</f>
        <v>922515281586671616</v>
      </c>
      <c r="F6477" s="23" t="s">
        <v>33</v>
      </c>
      <c r="G6477" s="24">
        <v>76.0</v>
      </c>
      <c r="H6477" s="24">
        <v>321.0</v>
      </c>
      <c r="I6477" s="24">
        <v>8501.0</v>
      </c>
      <c r="J6477" s="24">
        <v>0.0</v>
      </c>
      <c r="K6477" s="23" t="s">
        <v>34</v>
      </c>
      <c r="L6477" s="25">
        <v>40896.23998842593</v>
      </c>
      <c r="M6477" s="26" t="s">
        <v>14551</v>
      </c>
      <c r="N6477" s="26" t="s">
        <v>14552</v>
      </c>
      <c r="O6477" s="22" t="str">
        <f>HYPERLINK("https://pbs.twimg.com/profile_images/915851142684217344/3DXbaHjW_normal.jpg","View")</f>
        <v>View</v>
      </c>
      <c r="P6477" s="27"/>
    </row>
    <row r="6478">
      <c r="A6478" s="14">
        <v>43031.43711805556</v>
      </c>
      <c r="B6478" s="20" t="str">
        <f>HYPERLINK("https://twitter.com/trump_friends","@trump_friends")</f>
        <v>@trump_friends</v>
      </c>
      <c r="C6478" s="21" t="s">
        <v>14553</v>
      </c>
      <c r="D6478" s="21" t="s">
        <v>12974</v>
      </c>
      <c r="E6478" s="22" t="str">
        <f>HYPERLINK("https://twitter.com/trump_friends/status/922515325509304320","922515325509304320")</f>
        <v>922515325509304320</v>
      </c>
      <c r="F6478" s="23" t="s">
        <v>33</v>
      </c>
      <c r="G6478" s="24">
        <v>896.0</v>
      </c>
      <c r="H6478" s="24">
        <v>3854.0</v>
      </c>
      <c r="I6478" s="24">
        <v>110.0</v>
      </c>
      <c r="J6478" s="24">
        <v>0.0</v>
      </c>
      <c r="K6478" s="23" t="s">
        <v>34</v>
      </c>
      <c r="L6478" s="25">
        <v>42717.09868055556</v>
      </c>
      <c r="M6478" s="26" t="s">
        <v>14554</v>
      </c>
      <c r="N6478" s="26" t="s">
        <v>14555</v>
      </c>
      <c r="O6478" s="22" t="str">
        <f>HYPERLINK("https://pbs.twimg.com/profile_images/922442810330112001/PtgIpF_1_normal.jpg","View")</f>
        <v>View</v>
      </c>
      <c r="P6478" s="27"/>
    </row>
    <row r="6479">
      <c r="A6479" s="14">
        <v>43031.43712962963</v>
      </c>
      <c r="B6479" s="20" t="str">
        <f>HYPERLINK("https://twitter.com/Jdjain47","@Jdjain47")</f>
        <v>@Jdjain47</v>
      </c>
      <c r="C6479" s="21" t="s">
        <v>14556</v>
      </c>
      <c r="D6479" s="21" t="s">
        <v>42</v>
      </c>
      <c r="E6479" s="22" t="str">
        <f>HYPERLINK("https://twitter.com/Jdjain47/status/922515328201998337","922515328201998337")</f>
        <v>922515328201998337</v>
      </c>
      <c r="F6479" s="23" t="s">
        <v>230</v>
      </c>
      <c r="G6479" s="24">
        <v>42.0</v>
      </c>
      <c r="H6479" s="24">
        <v>631.0</v>
      </c>
      <c r="I6479" s="24">
        <v>8501.0</v>
      </c>
      <c r="J6479" s="24">
        <v>0.0</v>
      </c>
      <c r="K6479" s="23" t="s">
        <v>34</v>
      </c>
      <c r="L6479" s="25">
        <v>40993.08387731481</v>
      </c>
      <c r="M6479" s="28"/>
      <c r="N6479" s="28"/>
      <c r="O6479" s="22" t="str">
        <f>HYPERLINK("https://pbs.twimg.com/profile_images/1952172987/380952_2683414957156_1009829603_3079202_1993918662_n_normal.jpg","View")</f>
        <v>View</v>
      </c>
      <c r="P6479" s="27"/>
    </row>
    <row r="6480">
      <c r="A6480" s="14">
        <v>43031.437314814815</v>
      </c>
      <c r="B6480" s="20" t="str">
        <f>HYPERLINK("https://twitter.com/marketstocknews","@marketstocknews")</f>
        <v>@marketstocknews</v>
      </c>
      <c r="C6480" s="21" t="s">
        <v>4952</v>
      </c>
      <c r="D6480" s="21" t="s">
        <v>14557</v>
      </c>
      <c r="E6480" s="22" t="str">
        <f>HYPERLINK("https://twitter.com/marketstocknews/status/922515394438582273","922515394438582273")</f>
        <v>922515394438582273</v>
      </c>
      <c r="F6480" s="23" t="s">
        <v>187</v>
      </c>
      <c r="G6480" s="24">
        <v>1157.0</v>
      </c>
      <c r="H6480" s="24">
        <v>865.0</v>
      </c>
      <c r="I6480" s="24">
        <v>0.0</v>
      </c>
      <c r="J6480" s="24">
        <v>0.0</v>
      </c>
      <c r="K6480" s="23" t="s">
        <v>34</v>
      </c>
      <c r="L6480" s="25">
        <v>41911.56853009259</v>
      </c>
      <c r="M6480" s="28"/>
      <c r="N6480" s="26" t="s">
        <v>4954</v>
      </c>
      <c r="O6480" s="22" t="str">
        <f>HYPERLINK("https://pbs.twimg.com/profile_images/659111213465382912/yfS3diNs_normal.jpg","View")</f>
        <v>View</v>
      </c>
      <c r="P6480" s="27"/>
    </row>
    <row r="6481">
      <c r="A6481" s="14">
        <v>43031.43738425926</v>
      </c>
      <c r="B6481" s="20" t="str">
        <f>HYPERLINK("https://twitter.com/NiteshP60081176","@NiteshP60081176")</f>
        <v>@NiteshP60081176</v>
      </c>
      <c r="C6481" s="21" t="s">
        <v>14558</v>
      </c>
      <c r="D6481" s="21" t="s">
        <v>42</v>
      </c>
      <c r="E6481" s="22" t="str">
        <f>HYPERLINK("https://twitter.com/NiteshP60081176/status/922515421667794944","922515421667794944")</f>
        <v>922515421667794944</v>
      </c>
      <c r="F6481" s="23" t="s">
        <v>33</v>
      </c>
      <c r="G6481" s="24">
        <v>87.0</v>
      </c>
      <c r="H6481" s="24">
        <v>207.0</v>
      </c>
      <c r="I6481" s="24">
        <v>8501.0</v>
      </c>
      <c r="J6481" s="24">
        <v>0.0</v>
      </c>
      <c r="K6481" s="23" t="s">
        <v>34</v>
      </c>
      <c r="L6481" s="25">
        <v>42937.66658564815</v>
      </c>
      <c r="M6481" s="26" t="s">
        <v>1633</v>
      </c>
      <c r="N6481" s="26" t="s">
        <v>14559</v>
      </c>
      <c r="O6481" s="22" t="str">
        <f>HYPERLINK("https://pbs.twimg.com/profile_images/908759360448339968/HC4NrpVK_normal.jpg","View")</f>
        <v>View</v>
      </c>
      <c r="P6481" s="27"/>
    </row>
    <row r="6482">
      <c r="A6482" s="14">
        <v>43031.4375</v>
      </c>
      <c r="B6482" s="20" t="str">
        <f>HYPERLINK("https://twitter.com/keloland","@keloland")</f>
        <v>@keloland</v>
      </c>
      <c r="C6482" s="21" t="s">
        <v>14560</v>
      </c>
      <c r="D6482" s="21" t="s">
        <v>14561</v>
      </c>
      <c r="E6482" s="22" t="str">
        <f>HYPERLINK("https://twitter.com/keloland/status/922515464185577477","922515464185577477")</f>
        <v>922515464185577477</v>
      </c>
      <c r="F6482" s="23" t="s">
        <v>3298</v>
      </c>
      <c r="G6482" s="24">
        <v>80299.0</v>
      </c>
      <c r="H6482" s="24">
        <v>771.0</v>
      </c>
      <c r="I6482" s="24">
        <v>0.0</v>
      </c>
      <c r="J6482" s="24">
        <v>0.0</v>
      </c>
      <c r="K6482" s="23" t="s">
        <v>34</v>
      </c>
      <c r="L6482" s="25">
        <v>39717.50001157408</v>
      </c>
      <c r="M6482" s="26" t="s">
        <v>14562</v>
      </c>
      <c r="N6482" s="26" t="s">
        <v>14563</v>
      </c>
      <c r="O6482" s="22" t="str">
        <f>HYPERLINK("https://pbs.twimg.com/profile_images/814840481993457667/bLZiM8NC_normal.jpg","View")</f>
        <v>View</v>
      </c>
      <c r="P6482" s="27"/>
    </row>
    <row r="6483">
      <c r="A6483" s="14">
        <v>43031.43771990741</v>
      </c>
      <c r="B6483" s="20" t="str">
        <f>HYPERLINK("https://twitter.com/yeauchq","@yeauchq")</f>
        <v>@yeauchq</v>
      </c>
      <c r="C6483" s="21" t="s">
        <v>14564</v>
      </c>
      <c r="D6483" s="21" t="s">
        <v>82</v>
      </c>
      <c r="E6483" s="22" t="str">
        <f>HYPERLINK("https://twitter.com/yeauchq/status/922515542027599872","922515542027599872")</f>
        <v>922515542027599872</v>
      </c>
      <c r="F6483" s="23" t="s">
        <v>55</v>
      </c>
      <c r="G6483" s="24">
        <v>565.0</v>
      </c>
      <c r="H6483" s="24">
        <v>1697.0</v>
      </c>
      <c r="I6483" s="24">
        <v>38.0</v>
      </c>
      <c r="J6483" s="24">
        <v>0.0</v>
      </c>
      <c r="K6483" s="23" t="s">
        <v>34</v>
      </c>
      <c r="L6483" s="25">
        <v>40995.135601851856</v>
      </c>
      <c r="M6483" s="26" t="s">
        <v>4704</v>
      </c>
      <c r="N6483" s="26" t="s">
        <v>14565</v>
      </c>
      <c r="O6483" s="22" t="str">
        <f>HYPERLINK("https://pbs.twimg.com/profile_images/843397548458950657/29OXN9VH_normal.jpg","View")</f>
        <v>View</v>
      </c>
      <c r="P6483" s="27"/>
    </row>
    <row r="6484">
      <c r="A6484" s="14">
        <v>43031.43775462963</v>
      </c>
      <c r="B6484" s="20" t="str">
        <f>HYPERLINK("https://twitter.com/raycy","@raycy")</f>
        <v>@raycy</v>
      </c>
      <c r="C6484" s="21" t="s">
        <v>14566</v>
      </c>
      <c r="D6484" s="21" t="s">
        <v>14567</v>
      </c>
      <c r="E6484" s="22" t="str">
        <f>HYPERLINK("https://twitter.com/raycy/status/922515554233020416","922515554233020416")</f>
        <v>922515554233020416</v>
      </c>
      <c r="F6484" s="23" t="s">
        <v>55</v>
      </c>
      <c r="G6484" s="24">
        <v>175.0</v>
      </c>
      <c r="H6484" s="24">
        <v>331.0</v>
      </c>
      <c r="I6484" s="24">
        <v>1.0</v>
      </c>
      <c r="J6484" s="24">
        <v>0.0</v>
      </c>
      <c r="K6484" s="23" t="s">
        <v>34</v>
      </c>
      <c r="L6484" s="25">
        <v>40120.96271990741</v>
      </c>
      <c r="M6484" s="28"/>
      <c r="N6484" s="26" t="s">
        <v>14568</v>
      </c>
      <c r="O6484" s="22" t="str">
        <f>HYPERLINK("https://pbs.twimg.com/profile_images/948449878/44__2.045____normal.JPG","View")</f>
        <v>View</v>
      </c>
      <c r="P6484" s="27"/>
    </row>
    <row r="6485">
      <c r="A6485" s="14">
        <v>43031.43777777778</v>
      </c>
      <c r="B6485" s="20" t="str">
        <f>HYPERLINK("https://twitter.com/voastudentu","@voastudentu")</f>
        <v>@voastudentu</v>
      </c>
      <c r="C6485" s="21" t="s">
        <v>14569</v>
      </c>
      <c r="D6485" s="21" t="s">
        <v>14570</v>
      </c>
      <c r="E6485" s="22" t="str">
        <f>HYPERLINK("https://twitter.com/voastudentu/status/922515561610907649","922515561610907649")</f>
        <v>922515561610907649</v>
      </c>
      <c r="F6485" s="23" t="s">
        <v>427</v>
      </c>
      <c r="G6485" s="24">
        <v>3517.0</v>
      </c>
      <c r="H6485" s="24">
        <v>846.0</v>
      </c>
      <c r="I6485" s="24">
        <v>0.0</v>
      </c>
      <c r="J6485" s="24">
        <v>0.0</v>
      </c>
      <c r="K6485" s="23" t="s">
        <v>34</v>
      </c>
      <c r="L6485" s="25">
        <v>40451.277141203704</v>
      </c>
      <c r="M6485" s="26" t="s">
        <v>4239</v>
      </c>
      <c r="N6485" s="26" t="s">
        <v>14571</v>
      </c>
      <c r="O6485" s="22" t="str">
        <f>HYPERLINK("https://pbs.twimg.com/profile_images/768926188928720898/3QrDhafa_normal.jpg","View")</f>
        <v>View</v>
      </c>
      <c r="P6485" s="27"/>
    </row>
    <row r="6486">
      <c r="A6486" s="14">
        <v>43031.43782407408</v>
      </c>
      <c r="B6486" s="20" t="str">
        <f>HYPERLINK("https://twitter.com/hindudilse","@hindudilse")</f>
        <v>@hindudilse</v>
      </c>
      <c r="C6486" s="21" t="s">
        <v>14572</v>
      </c>
      <c r="D6486" s="21" t="s">
        <v>42</v>
      </c>
      <c r="E6486" s="22" t="str">
        <f>HYPERLINK("https://twitter.com/hindudilse/status/922515580871000064","922515580871000064")</f>
        <v>922515580871000064</v>
      </c>
      <c r="F6486" s="23" t="s">
        <v>230</v>
      </c>
      <c r="G6486" s="24">
        <v>624.0</v>
      </c>
      <c r="H6486" s="24">
        <v>771.0</v>
      </c>
      <c r="I6486" s="24">
        <v>8501.0</v>
      </c>
      <c r="J6486" s="24">
        <v>0.0</v>
      </c>
      <c r="K6486" s="23" t="s">
        <v>34</v>
      </c>
      <c r="L6486" s="25">
        <v>40303.87863425926</v>
      </c>
      <c r="M6486" s="26" t="s">
        <v>14573</v>
      </c>
      <c r="N6486" s="26" t="s">
        <v>14574</v>
      </c>
      <c r="O6486" s="22" t="str">
        <f>HYPERLINK("https://pbs.twimg.com/profile_images/906069473509031936/ViWHXlfx_normal.jpg","View")</f>
        <v>View</v>
      </c>
      <c r="P6486" s="27"/>
    </row>
    <row r="6487">
      <c r="A6487" s="14">
        <v>43031.43787037037</v>
      </c>
      <c r="B6487" s="20" t="str">
        <f>HYPERLINK("https://twitter.com/hardyfd","@hardyfd")</f>
        <v>@hardyfd</v>
      </c>
      <c r="C6487" s="21" t="s">
        <v>14575</v>
      </c>
      <c r="D6487" s="21" t="s">
        <v>10614</v>
      </c>
      <c r="E6487" s="22" t="str">
        <f>HYPERLINK("https://twitter.com/hardyfd/status/922515595865796608","922515595865796608")</f>
        <v>922515595865796608</v>
      </c>
      <c r="F6487" s="23" t="s">
        <v>39</v>
      </c>
      <c r="G6487" s="24">
        <v>507.0</v>
      </c>
      <c r="H6487" s="24">
        <v>615.0</v>
      </c>
      <c r="I6487" s="24">
        <v>159.0</v>
      </c>
      <c r="J6487" s="24">
        <v>0.0</v>
      </c>
      <c r="K6487" s="23" t="s">
        <v>34</v>
      </c>
      <c r="L6487" s="25">
        <v>40142.404710648145</v>
      </c>
      <c r="M6487" s="28"/>
      <c r="N6487" s="26" t="s">
        <v>14576</v>
      </c>
      <c r="O6487" s="22" t="str">
        <f>HYPERLINK("https://pbs.twimg.com/profile_images/804117798695768064/YNY1hAue_normal.jpg","View")</f>
        <v>View</v>
      </c>
      <c r="P6487" s="27"/>
    </row>
    <row r="6488">
      <c r="A6488" s="14">
        <v>43031.438206018516</v>
      </c>
      <c r="B6488" s="20" t="str">
        <f>HYPERLINK("https://twitter.com/terurium_chu","@terurium_chu")</f>
        <v>@terurium_chu</v>
      </c>
      <c r="C6488" s="21" t="s">
        <v>14577</v>
      </c>
      <c r="D6488" s="21" t="s">
        <v>11747</v>
      </c>
      <c r="E6488" s="22" t="str">
        <f>HYPERLINK("https://twitter.com/terurium_chu/status/922515720453242880","922515720453242880")</f>
        <v>922515720453242880</v>
      </c>
      <c r="F6488" s="23" t="s">
        <v>43</v>
      </c>
      <c r="G6488" s="24">
        <v>292.0</v>
      </c>
      <c r="H6488" s="24">
        <v>534.0</v>
      </c>
      <c r="I6488" s="24">
        <v>6.0</v>
      </c>
      <c r="J6488" s="24">
        <v>0.0</v>
      </c>
      <c r="K6488" s="23" t="s">
        <v>34</v>
      </c>
      <c r="L6488" s="25">
        <v>40330.31828703704</v>
      </c>
      <c r="M6488" s="26" t="s">
        <v>14578</v>
      </c>
      <c r="N6488" s="26" t="s">
        <v>14579</v>
      </c>
      <c r="O6488" s="22" t="str">
        <f>HYPERLINK("https://pbs.twimg.com/profile_images/1170111916/a_normal.png","View")</f>
        <v>View</v>
      </c>
      <c r="P6488" s="27"/>
    </row>
    <row r="6489">
      <c r="A6489" s="14">
        <v>43031.438252314816</v>
      </c>
      <c r="B6489" s="20" t="str">
        <f>HYPERLINK("https://twitter.com/MitraPrakash","@MitraPrakash")</f>
        <v>@MitraPrakash</v>
      </c>
      <c r="C6489" s="21" t="s">
        <v>14580</v>
      </c>
      <c r="D6489" s="21" t="s">
        <v>42</v>
      </c>
      <c r="E6489" s="22" t="str">
        <f>HYPERLINK("https://twitter.com/MitraPrakash/status/922515734084964353","922515734084964353")</f>
        <v>922515734084964353</v>
      </c>
      <c r="F6489" s="23" t="s">
        <v>39</v>
      </c>
      <c r="G6489" s="24">
        <v>210.0</v>
      </c>
      <c r="H6489" s="24">
        <v>616.0</v>
      </c>
      <c r="I6489" s="24">
        <v>8501.0</v>
      </c>
      <c r="J6489" s="24">
        <v>0.0</v>
      </c>
      <c r="K6489" s="23" t="s">
        <v>34</v>
      </c>
      <c r="L6489" s="25">
        <v>40694.896469907406</v>
      </c>
      <c r="M6489" s="28"/>
      <c r="N6489" s="28"/>
      <c r="O6489" s="22" t="str">
        <f>HYPERLINK("https://pbs.twimg.com/profile_images/554511475755069440/X0-Wsav8_normal.jpeg","View")</f>
        <v>View</v>
      </c>
      <c r="P6489" s="27"/>
    </row>
    <row r="6490">
      <c r="A6490" s="14">
        <v>43031.43837962963</v>
      </c>
      <c r="B6490" s="20" t="str">
        <f>HYPERLINK("https://twitter.com/mukherjeebhask1","@mukherjeebhask1")</f>
        <v>@mukherjeebhask1</v>
      </c>
      <c r="C6490" s="21" t="s">
        <v>14581</v>
      </c>
      <c r="D6490" s="21" t="s">
        <v>42</v>
      </c>
      <c r="E6490" s="22" t="str">
        <f>HYPERLINK("https://twitter.com/mukherjeebhask1/status/922515783309172736","922515783309172736")</f>
        <v>922515783309172736</v>
      </c>
      <c r="F6490" s="23" t="s">
        <v>33</v>
      </c>
      <c r="G6490" s="24">
        <v>73.0</v>
      </c>
      <c r="H6490" s="24">
        <v>126.0</v>
      </c>
      <c r="I6490" s="24">
        <v>8501.0</v>
      </c>
      <c r="J6490" s="24">
        <v>0.0</v>
      </c>
      <c r="K6490" s="23" t="s">
        <v>34</v>
      </c>
      <c r="L6490" s="25">
        <v>41964.36572916667</v>
      </c>
      <c r="M6490" s="28"/>
      <c r="N6490" s="28"/>
      <c r="O6490" s="22" t="str">
        <f>HYPERLINK("https://pbs.twimg.com/profile_images/824177879990890499/FcmF8YIN_normal.jpg","View")</f>
        <v>View</v>
      </c>
      <c r="P6490" s="27"/>
    </row>
    <row r="6491">
      <c r="A6491" s="14">
        <v>43031.43849537037</v>
      </c>
      <c r="B6491" s="20" t="str">
        <f>HYPERLINK("https://twitter.com/jenkwn","@jenkwn")</f>
        <v>@jenkwn</v>
      </c>
      <c r="C6491" s="21" t="s">
        <v>14582</v>
      </c>
      <c r="D6491" s="21" t="s">
        <v>2428</v>
      </c>
      <c r="E6491" s="22" t="str">
        <f>HYPERLINK("https://twitter.com/jenkwn/status/922515823201107968","922515823201107968")</f>
        <v>922515823201107968</v>
      </c>
      <c r="F6491" s="23" t="s">
        <v>55</v>
      </c>
      <c r="G6491" s="24">
        <v>41.0</v>
      </c>
      <c r="H6491" s="24">
        <v>105.0</v>
      </c>
      <c r="I6491" s="24">
        <v>16.0</v>
      </c>
      <c r="J6491" s="24">
        <v>0.0</v>
      </c>
      <c r="K6491" s="23" t="s">
        <v>34</v>
      </c>
      <c r="L6491" s="25">
        <v>41879.35481481481</v>
      </c>
      <c r="M6491" s="26" t="s">
        <v>14583</v>
      </c>
      <c r="N6491" s="26" t="s">
        <v>14584</v>
      </c>
      <c r="O6491" s="22" t="str">
        <f>HYPERLINK("https://pbs.twimg.com/profile_images/835558346715385856/1Fh2_9Jm_normal.jpg","View")</f>
        <v>View</v>
      </c>
      <c r="P6491" s="27"/>
    </row>
    <row r="6492">
      <c r="A6492" s="14">
        <v>43031.438518518524</v>
      </c>
      <c r="B6492" s="20" t="str">
        <f>HYPERLINK("https://twitter.com/Loveu5_028","@Loveu5_028")</f>
        <v>@Loveu5_028</v>
      </c>
      <c r="C6492" s="21" t="s">
        <v>14585</v>
      </c>
      <c r="D6492" s="21" t="s">
        <v>42</v>
      </c>
      <c r="E6492" s="22" t="str">
        <f>HYPERLINK("https://twitter.com/Loveu5_028/status/922515831891705856","922515831891705856")</f>
        <v>922515831891705856</v>
      </c>
      <c r="F6492" s="23" t="s">
        <v>39</v>
      </c>
      <c r="G6492" s="24">
        <v>66.0</v>
      </c>
      <c r="H6492" s="24">
        <v>32.0</v>
      </c>
      <c r="I6492" s="24">
        <v>8501.0</v>
      </c>
      <c r="J6492" s="24">
        <v>0.0</v>
      </c>
      <c r="K6492" s="23" t="s">
        <v>34</v>
      </c>
      <c r="L6492" s="25">
        <v>40758.02056712963</v>
      </c>
      <c r="M6492" s="26" t="s">
        <v>14586</v>
      </c>
      <c r="N6492" s="26" t="s">
        <v>14587</v>
      </c>
      <c r="O6492" s="22" t="str">
        <f>HYPERLINK("https://pbs.twimg.com/profile_images/803450172449558528/YfxrvnCs_normal.jpg","View")</f>
        <v>View</v>
      </c>
      <c r="P6492" s="27"/>
    </row>
    <row r="6493">
      <c r="A6493" s="14">
        <v>43031.438564814816</v>
      </c>
      <c r="B6493" s="20" t="str">
        <f>HYPERLINK("https://twitter.com/AshishP82965599","@AshishP82965599")</f>
        <v>@AshishP82965599</v>
      </c>
      <c r="C6493" s="21" t="s">
        <v>14588</v>
      </c>
      <c r="D6493" s="21" t="s">
        <v>42</v>
      </c>
      <c r="E6493" s="22" t="str">
        <f>HYPERLINK("https://twitter.com/AshishP82965599/status/922515849398730752","922515849398730752")</f>
        <v>922515849398730752</v>
      </c>
      <c r="F6493" s="23" t="s">
        <v>33</v>
      </c>
      <c r="G6493" s="24">
        <v>175.0</v>
      </c>
      <c r="H6493" s="24">
        <v>331.0</v>
      </c>
      <c r="I6493" s="24">
        <v>8501.0</v>
      </c>
      <c r="J6493" s="24">
        <v>0.0</v>
      </c>
      <c r="K6493" s="23" t="s">
        <v>34</v>
      </c>
      <c r="L6493" s="25">
        <v>42935.18753472222</v>
      </c>
      <c r="M6493" s="26" t="s">
        <v>14589</v>
      </c>
      <c r="N6493" s="26" t="s">
        <v>9472</v>
      </c>
      <c r="O6493" s="22" t="str">
        <f>HYPERLINK("https://pbs.twimg.com/profile_images/887636806535045120/HD1F9gEs_normal.jpg","View")</f>
        <v>View</v>
      </c>
      <c r="P6493" s="27"/>
    </row>
    <row r="6494">
      <c r="A6494" s="14">
        <v>43031.438564814816</v>
      </c>
      <c r="B6494" s="20" t="str">
        <f>HYPERLINK("https://twitter.com/kumarsuraj93","@kumarsuraj93")</f>
        <v>@kumarsuraj93</v>
      </c>
      <c r="C6494" s="21" t="s">
        <v>14590</v>
      </c>
      <c r="D6494" s="21" t="s">
        <v>42</v>
      </c>
      <c r="E6494" s="22" t="str">
        <f>HYPERLINK("https://twitter.com/kumarsuraj93/status/922515849960767489","922515849960767489")</f>
        <v>922515849960767489</v>
      </c>
      <c r="F6494" s="23" t="s">
        <v>33</v>
      </c>
      <c r="G6494" s="24">
        <v>1.0</v>
      </c>
      <c r="H6494" s="24">
        <v>22.0</v>
      </c>
      <c r="I6494" s="24">
        <v>8501.0</v>
      </c>
      <c r="J6494" s="24">
        <v>0.0</v>
      </c>
      <c r="K6494" s="23" t="s">
        <v>34</v>
      </c>
      <c r="L6494" s="25">
        <v>43005.21980324074</v>
      </c>
      <c r="M6494" s="26" t="s">
        <v>10018</v>
      </c>
      <c r="N6494" s="26" t="s">
        <v>14591</v>
      </c>
      <c r="O6494" s="22" t="str">
        <f>HYPERLINK("https://pbs.twimg.com/profile_images/913018186169073664/Jitbl8o2_normal.jpg","View")</f>
        <v>View</v>
      </c>
      <c r="P6494" s="27"/>
    </row>
    <row r="6495">
      <c r="A6495" s="14">
        <v>43031.438784722224</v>
      </c>
      <c r="B6495" s="20" t="str">
        <f>HYPERLINK("https://twitter.com/LavHarsh","@LavHarsh")</f>
        <v>@LavHarsh</v>
      </c>
      <c r="C6495" s="21" t="s">
        <v>14592</v>
      </c>
      <c r="D6495" s="21" t="s">
        <v>42</v>
      </c>
      <c r="E6495" s="22" t="str">
        <f>HYPERLINK("https://twitter.com/LavHarsh/status/922515929526714369","922515929526714369")</f>
        <v>922515929526714369</v>
      </c>
      <c r="F6495" s="23" t="s">
        <v>33</v>
      </c>
      <c r="G6495" s="24">
        <v>17.0</v>
      </c>
      <c r="H6495" s="24">
        <v>79.0</v>
      </c>
      <c r="I6495" s="24">
        <v>8501.0</v>
      </c>
      <c r="J6495" s="24">
        <v>0.0</v>
      </c>
      <c r="K6495" s="23" t="s">
        <v>34</v>
      </c>
      <c r="L6495" s="25">
        <v>42037.14916666667</v>
      </c>
      <c r="M6495" s="26" t="s">
        <v>14593</v>
      </c>
      <c r="N6495" s="26" t="s">
        <v>14594</v>
      </c>
      <c r="O6495" s="22" t="str">
        <f>HYPERLINK("https://pbs.twimg.com/profile_images/887238030041509888/1eQMv5aA_normal.jpg","View")</f>
        <v>View</v>
      </c>
      <c r="P6495" s="27"/>
    </row>
    <row r="6496">
      <c r="A6496" s="14">
        <v>43031.438796296294</v>
      </c>
      <c r="B6496" s="20" t="str">
        <f>HYPERLINK("https://twitter.com/3arti1yakitdahl","@3arti1yakitdahl")</f>
        <v>@3arti1yakitdahl</v>
      </c>
      <c r="C6496" s="21" t="s">
        <v>14595</v>
      </c>
      <c r="D6496" s="21" t="s">
        <v>4386</v>
      </c>
      <c r="E6496" s="22" t="str">
        <f>HYPERLINK("https://twitter.com/3arti1yakitdahl/status/922515930504220673","922515930504220673")</f>
        <v>922515930504220673</v>
      </c>
      <c r="F6496" s="23" t="s">
        <v>39</v>
      </c>
      <c r="G6496" s="24">
        <v>207.0</v>
      </c>
      <c r="H6496" s="24">
        <v>884.0</v>
      </c>
      <c r="I6496" s="24">
        <v>16.0</v>
      </c>
      <c r="J6496" s="24">
        <v>0.0</v>
      </c>
      <c r="K6496" s="23" t="s">
        <v>34</v>
      </c>
      <c r="L6496" s="25">
        <v>40761.725115740745</v>
      </c>
      <c r="M6496" s="26" t="s">
        <v>2534</v>
      </c>
      <c r="N6496" s="26" t="s">
        <v>14596</v>
      </c>
      <c r="O6496" s="22" t="str">
        <f>HYPERLINK("https://pbs.twimg.com/profile_images/851396114326618113/AuuCtoBL_normal.jpg","View")</f>
        <v>View</v>
      </c>
      <c r="P6496" s="27"/>
    </row>
    <row r="6497">
      <c r="A6497" s="14">
        <v>43031.43887731481</v>
      </c>
      <c r="B6497" s="20" t="str">
        <f>HYPERLINK("https://twitter.com/lokinrimo1973","@lokinrimo1973")</f>
        <v>@lokinrimo1973</v>
      </c>
      <c r="C6497" s="21" t="s">
        <v>14597</v>
      </c>
      <c r="D6497" s="21" t="s">
        <v>14598</v>
      </c>
      <c r="E6497" s="22" t="str">
        <f>HYPERLINK("https://twitter.com/lokinrimo1973/status/922515962640916481","922515962640916481")</f>
        <v>922515962640916481</v>
      </c>
      <c r="F6497" s="23" t="s">
        <v>14599</v>
      </c>
      <c r="G6497" s="24">
        <v>3013.0</v>
      </c>
      <c r="H6497" s="24">
        <v>713.0</v>
      </c>
      <c r="I6497" s="24">
        <v>0.0</v>
      </c>
      <c r="J6497" s="24">
        <v>0.0</v>
      </c>
      <c r="K6497" s="23" t="s">
        <v>34</v>
      </c>
      <c r="L6497" s="25">
        <v>41864.67306712963</v>
      </c>
      <c r="M6497" s="26" t="s">
        <v>14600</v>
      </c>
      <c r="N6497" s="26" t="s">
        <v>14601</v>
      </c>
      <c r="O6497" s="22" t="str">
        <f>HYPERLINK("https://pbs.twimg.com/profile_images/610654040951812098/816Vwq9p_normal.jpg","View")</f>
        <v>View</v>
      </c>
      <c r="P6497" s="27"/>
    </row>
    <row r="6498">
      <c r="A6498" s="14">
        <v>43031.43888888889</v>
      </c>
      <c r="B6498" s="20" t="str">
        <f>HYPERLINK("https://twitter.com/Krish_BJP","@Krish_BJP")</f>
        <v>@Krish_BJP</v>
      </c>
      <c r="C6498" s="21" t="s">
        <v>14602</v>
      </c>
      <c r="D6498" s="21" t="s">
        <v>163</v>
      </c>
      <c r="E6498" s="22" t="str">
        <f>HYPERLINK("https://twitter.com/Krish_BJP/status/922515965161521152","922515965161521152")</f>
        <v>922515965161521152</v>
      </c>
      <c r="F6498" s="23" t="s">
        <v>33</v>
      </c>
      <c r="G6498" s="24">
        <v>393.0</v>
      </c>
      <c r="H6498" s="24">
        <v>1193.0</v>
      </c>
      <c r="I6498" s="24">
        <v>1005.0</v>
      </c>
      <c r="J6498" s="24">
        <v>0.0</v>
      </c>
      <c r="K6498" s="23" t="s">
        <v>34</v>
      </c>
      <c r="L6498" s="25">
        <v>42521.35077546297</v>
      </c>
      <c r="M6498" s="26" t="s">
        <v>204</v>
      </c>
      <c r="N6498" s="26" t="s">
        <v>14603</v>
      </c>
      <c r="O6498" s="22" t="str">
        <f>HYPERLINK("https://pbs.twimg.com/profile_images/844224263993212934/iAi5NAUt_normal.jpg","View")</f>
        <v>View</v>
      </c>
      <c r="P6498" s="27"/>
    </row>
    <row r="6499">
      <c r="A6499" s="14">
        <v>43031.43892361112</v>
      </c>
      <c r="B6499" s="20" t="str">
        <f>HYPERLINK("https://twitter.com/maryverobeach","@maryverobeach")</f>
        <v>@maryverobeach</v>
      </c>
      <c r="C6499" s="21" t="s">
        <v>14604</v>
      </c>
      <c r="D6499" s="21" t="s">
        <v>108</v>
      </c>
      <c r="E6499" s="22" t="str">
        <f>HYPERLINK("https://twitter.com/maryverobeach/status/922515976800866305","922515976800866305")</f>
        <v>922515976800866305</v>
      </c>
      <c r="F6499" s="23" t="s">
        <v>39</v>
      </c>
      <c r="G6499" s="24">
        <v>402.0</v>
      </c>
      <c r="H6499" s="24">
        <v>409.0</v>
      </c>
      <c r="I6499" s="24">
        <v>88.0</v>
      </c>
      <c r="J6499" s="24">
        <v>0.0</v>
      </c>
      <c r="K6499" s="23" t="s">
        <v>34</v>
      </c>
      <c r="L6499" s="25">
        <v>42617.62702546296</v>
      </c>
      <c r="M6499" s="26" t="s">
        <v>6241</v>
      </c>
      <c r="N6499" s="28"/>
      <c r="O6499" s="22" t="str">
        <f>HYPERLINK("https://pbs.twimg.com/profile_images/772570726394109952/Ir1ncuL4_normal.jpg","View")</f>
        <v>View</v>
      </c>
      <c r="P6499" s="27"/>
    </row>
    <row r="6500">
      <c r="A6500" s="14">
        <v>43031.438946759255</v>
      </c>
      <c r="B6500" s="20" t="str">
        <f>HYPERLINK("https://twitter.com/bhonsalevijay","@bhonsalevijay")</f>
        <v>@bhonsalevijay</v>
      </c>
      <c r="C6500" s="21" t="s">
        <v>14605</v>
      </c>
      <c r="D6500" s="21" t="s">
        <v>42</v>
      </c>
      <c r="E6500" s="22" t="str">
        <f>HYPERLINK("https://twitter.com/bhonsalevijay/status/922515988100235264","922515988100235264")</f>
        <v>922515988100235264</v>
      </c>
      <c r="F6500" s="23" t="s">
        <v>33</v>
      </c>
      <c r="G6500" s="24">
        <v>676.0</v>
      </c>
      <c r="H6500" s="24">
        <v>1005.0</v>
      </c>
      <c r="I6500" s="24">
        <v>8501.0</v>
      </c>
      <c r="J6500" s="24">
        <v>0.0</v>
      </c>
      <c r="K6500" s="23" t="s">
        <v>34</v>
      </c>
      <c r="L6500" s="25">
        <v>42519.85960648148</v>
      </c>
      <c r="M6500" s="26" t="s">
        <v>2310</v>
      </c>
      <c r="N6500" s="26" t="s">
        <v>14606</v>
      </c>
      <c r="O6500" s="22" t="str">
        <f>HYPERLINK("https://pbs.twimg.com/profile_images/793306310485958656/6C3U3sis_normal.jpg","View")</f>
        <v>View</v>
      </c>
      <c r="P6500" s="27"/>
    </row>
    <row r="6501">
      <c r="A6501" s="14">
        <v>43031.439687499995</v>
      </c>
      <c r="B6501" s="20" t="str">
        <f>HYPERLINK("https://twitter.com/adityatunu","@adityatunu")</f>
        <v>@adityatunu</v>
      </c>
      <c r="C6501" s="21" t="s">
        <v>13406</v>
      </c>
      <c r="D6501" s="21" t="s">
        <v>42</v>
      </c>
      <c r="E6501" s="22" t="str">
        <f>HYPERLINK("https://twitter.com/adityatunu/status/922516254304243713","922516254304243713")</f>
        <v>922516254304243713</v>
      </c>
      <c r="F6501" s="23" t="s">
        <v>33</v>
      </c>
      <c r="G6501" s="24">
        <v>18.0</v>
      </c>
      <c r="H6501" s="24">
        <v>50.0</v>
      </c>
      <c r="I6501" s="24">
        <v>8501.0</v>
      </c>
      <c r="J6501" s="24">
        <v>0.0</v>
      </c>
      <c r="K6501" s="23" t="s">
        <v>34</v>
      </c>
      <c r="L6501" s="25">
        <v>40294.27130787037</v>
      </c>
      <c r="M6501" s="26" t="s">
        <v>3155</v>
      </c>
      <c r="N6501" s="28"/>
      <c r="O6501" s="22" t="str">
        <f>HYPERLINK("https://pbs.twimg.com/profile_images/669144452674420736/E7YRPwKT_normal.jpg","View")</f>
        <v>View</v>
      </c>
      <c r="P6501" s="27"/>
    </row>
    <row r="6502">
      <c r="A6502" s="14">
        <v>43031.43984953704</v>
      </c>
      <c r="B6502" s="20" t="str">
        <f>HYPERLINK("https://twitter.com/rananarya","@rananarya")</f>
        <v>@rananarya</v>
      </c>
      <c r="C6502" s="21" t="s">
        <v>14607</v>
      </c>
      <c r="D6502" s="21" t="s">
        <v>42</v>
      </c>
      <c r="E6502" s="22" t="str">
        <f>HYPERLINK("https://twitter.com/rananarya/status/922516315180490752","922516315180490752")</f>
        <v>922516315180490752</v>
      </c>
      <c r="F6502" s="23" t="s">
        <v>33</v>
      </c>
      <c r="G6502" s="24">
        <v>249.0</v>
      </c>
      <c r="H6502" s="24">
        <v>228.0</v>
      </c>
      <c r="I6502" s="24">
        <v>8501.0</v>
      </c>
      <c r="J6502" s="24">
        <v>0.0</v>
      </c>
      <c r="K6502" s="23" t="s">
        <v>34</v>
      </c>
      <c r="L6502" s="25">
        <v>41163.957280092596</v>
      </c>
      <c r="M6502" s="26" t="s">
        <v>2967</v>
      </c>
      <c r="N6502" s="26" t="s">
        <v>14608</v>
      </c>
      <c r="O6502" s="22" t="str">
        <f>HYPERLINK("https://pbs.twimg.com/profile_images/849671341250813952/-wd6BHTo_normal.jpg","View")</f>
        <v>View</v>
      </c>
      <c r="P6502" s="27"/>
    </row>
    <row r="6503">
      <c r="A6503" s="14">
        <v>43031.44020833333</v>
      </c>
      <c r="B6503" s="20" t="str">
        <f>HYPERLINK("https://twitter.com/newslivenetwork","@newslivenetwork")</f>
        <v>@newslivenetwork</v>
      </c>
      <c r="C6503" s="21" t="s">
        <v>89</v>
      </c>
      <c r="D6503" s="21" t="s">
        <v>14609</v>
      </c>
      <c r="E6503" s="22" t="str">
        <f>HYPERLINK("https://twitter.com/newslivenetwork/status/922516445250183168","922516445250183168")</f>
        <v>922516445250183168</v>
      </c>
      <c r="F6503" s="23" t="s">
        <v>91</v>
      </c>
      <c r="G6503" s="24">
        <v>271.0</v>
      </c>
      <c r="H6503" s="24">
        <v>87.0</v>
      </c>
      <c r="I6503" s="24">
        <v>0.0</v>
      </c>
      <c r="J6503" s="24">
        <v>0.0</v>
      </c>
      <c r="K6503" s="23" t="s">
        <v>34</v>
      </c>
      <c r="L6503" s="25">
        <v>42741.47196759259</v>
      </c>
      <c r="M6503" s="26" t="s">
        <v>92</v>
      </c>
      <c r="N6503" s="26" t="s">
        <v>93</v>
      </c>
      <c r="O6503" s="22" t="str">
        <f>HYPERLINK("https://pbs.twimg.com/profile_images/877414144424660992/scfhocj3_normal.jpg","View")</f>
        <v>View</v>
      </c>
      <c r="P6503" s="27"/>
    </row>
    <row r="6504">
      <c r="A6504" s="14">
        <v>43031.44034722222</v>
      </c>
      <c r="B6504" s="20" t="str">
        <f>HYPERLINK("https://twitter.com/truejournalists","@truejournalists")</f>
        <v>@truejournalists</v>
      </c>
      <c r="C6504" s="21" t="s">
        <v>14610</v>
      </c>
      <c r="D6504" s="21" t="s">
        <v>42</v>
      </c>
      <c r="E6504" s="22" t="str">
        <f>HYPERLINK("https://twitter.com/truejournalists/status/922516495770435584","922516495770435584")</f>
        <v>922516495770435584</v>
      </c>
      <c r="F6504" s="23" t="s">
        <v>33</v>
      </c>
      <c r="G6504" s="24">
        <v>89.0</v>
      </c>
      <c r="H6504" s="24">
        <v>0.0</v>
      </c>
      <c r="I6504" s="24">
        <v>8501.0</v>
      </c>
      <c r="J6504" s="24">
        <v>0.0</v>
      </c>
      <c r="K6504" s="23" t="s">
        <v>34</v>
      </c>
      <c r="L6504" s="25">
        <v>42999.6059837963</v>
      </c>
      <c r="M6504" s="28"/>
      <c r="N6504" s="26" t="s">
        <v>14611</v>
      </c>
      <c r="O6504" s="22" t="str">
        <f>HYPERLINK("https://pbs.twimg.com/profile_images/912022352694722560/simJO9cT_normal.jpg","View")</f>
        <v>View</v>
      </c>
      <c r="P6504" s="27"/>
    </row>
    <row r="6505">
      <c r="A6505" s="14">
        <v>43031.44037037037</v>
      </c>
      <c r="B6505" s="20" t="str">
        <f>HYPERLINK("https://twitter.com/raycy","@raycy")</f>
        <v>@raycy</v>
      </c>
      <c r="C6505" s="21" t="s">
        <v>14566</v>
      </c>
      <c r="D6505" s="21" t="s">
        <v>14612</v>
      </c>
      <c r="E6505" s="22" t="str">
        <f>HYPERLINK("https://twitter.com/raycy/status/922516504062525440","922516504062525440")</f>
        <v>922516504062525440</v>
      </c>
      <c r="F6505" s="23" t="s">
        <v>14613</v>
      </c>
      <c r="G6505" s="24">
        <v>175.0</v>
      </c>
      <c r="H6505" s="24">
        <v>331.0</v>
      </c>
      <c r="I6505" s="24">
        <v>1.0</v>
      </c>
      <c r="J6505" s="24">
        <v>0.0</v>
      </c>
      <c r="K6505" s="23" t="s">
        <v>34</v>
      </c>
      <c r="L6505" s="25">
        <v>40120.96271990741</v>
      </c>
      <c r="M6505" s="28"/>
      <c r="N6505" s="26" t="s">
        <v>14568</v>
      </c>
      <c r="O6505" s="22" t="str">
        <f>HYPERLINK("https://pbs.twimg.com/profile_images/948449878/44__2.045____normal.JPG","View")</f>
        <v>View</v>
      </c>
      <c r="P6505" s="27"/>
    </row>
    <row r="6506">
      <c r="A6506" s="14">
        <v>43031.440625</v>
      </c>
      <c r="B6506" s="20" t="str">
        <f>HYPERLINK("https://twitter.com/newsclipr","@newsclipr")</f>
        <v>@newsclipr</v>
      </c>
      <c r="C6506" s="21" t="s">
        <v>14614</v>
      </c>
      <c r="D6506" s="21" t="s">
        <v>14615</v>
      </c>
      <c r="E6506" s="22" t="str">
        <f>HYPERLINK("https://twitter.com/newsclipr/status/922516596211494912","922516596211494912")</f>
        <v>922516596211494912</v>
      </c>
      <c r="F6506" s="23" t="s">
        <v>55</v>
      </c>
      <c r="G6506" s="24">
        <v>97.0</v>
      </c>
      <c r="H6506" s="24">
        <v>31.0</v>
      </c>
      <c r="I6506" s="24">
        <v>0.0</v>
      </c>
      <c r="J6506" s="24">
        <v>0.0</v>
      </c>
      <c r="K6506" s="23" t="s">
        <v>34</v>
      </c>
      <c r="L6506" s="25">
        <v>42403.81226851852</v>
      </c>
      <c r="M6506" s="26" t="s">
        <v>14616</v>
      </c>
      <c r="N6506" s="26" t="s">
        <v>14617</v>
      </c>
      <c r="O6506" s="22" t="str">
        <f>HYPERLINK("https://pbs.twimg.com/profile_images/695106888141266944/VRplLncw_normal.jpg","View")</f>
        <v>View</v>
      </c>
      <c r="P6506" s="27"/>
    </row>
    <row r="6507">
      <c r="A6507" s="14">
        <v>43031.44092592593</v>
      </c>
      <c r="B6507" s="20" t="str">
        <f>HYPERLINK("https://twitter.com/atulrao1","@atulrao1")</f>
        <v>@atulrao1</v>
      </c>
      <c r="C6507" s="21" t="s">
        <v>14618</v>
      </c>
      <c r="D6507" s="21" t="s">
        <v>42</v>
      </c>
      <c r="E6507" s="22" t="str">
        <f>HYPERLINK("https://twitter.com/atulrao1/status/922516706299330560","922516706299330560")</f>
        <v>922516706299330560</v>
      </c>
      <c r="F6507" s="23" t="s">
        <v>33</v>
      </c>
      <c r="G6507" s="24">
        <v>135.0</v>
      </c>
      <c r="H6507" s="24">
        <v>222.0</v>
      </c>
      <c r="I6507" s="24">
        <v>8501.0</v>
      </c>
      <c r="J6507" s="24">
        <v>0.0</v>
      </c>
      <c r="K6507" s="23" t="s">
        <v>34</v>
      </c>
      <c r="L6507" s="25">
        <v>40884.370208333334</v>
      </c>
      <c r="M6507" s="26" t="s">
        <v>14619</v>
      </c>
      <c r="N6507" s="26" t="s">
        <v>14620</v>
      </c>
      <c r="O6507" s="22" t="str">
        <f>HYPERLINK("https://pbs.twimg.com/profile_images/808172402572046336/lmwD-ckH_normal.jpg","View")</f>
        <v>View</v>
      </c>
      <c r="P6507" s="27"/>
    </row>
    <row r="6508">
      <c r="A6508" s="14">
        <v>43031.440983796296</v>
      </c>
      <c r="B6508" s="20" t="str">
        <f>HYPERLINK("https://twitter.com/BlueSuedeHaze","@BlueSuedeHaze")</f>
        <v>@BlueSuedeHaze</v>
      </c>
      <c r="C6508" s="21" t="s">
        <v>14621</v>
      </c>
      <c r="D6508" s="21" t="s">
        <v>14622</v>
      </c>
      <c r="E6508" s="22" t="str">
        <f>HYPERLINK("https://twitter.com/BlueSuedeHaze/status/922516725911863296","922516725911863296")</f>
        <v>922516725911863296</v>
      </c>
      <c r="F6508" s="23" t="s">
        <v>55</v>
      </c>
      <c r="G6508" s="24">
        <v>653.0</v>
      </c>
      <c r="H6508" s="24">
        <v>825.0</v>
      </c>
      <c r="I6508" s="24">
        <v>0.0</v>
      </c>
      <c r="J6508" s="24">
        <v>1.0</v>
      </c>
      <c r="K6508" s="23" t="s">
        <v>34</v>
      </c>
      <c r="L6508" s="25">
        <v>39891.85512731482</v>
      </c>
      <c r="M6508" s="26" t="s">
        <v>14623</v>
      </c>
      <c r="N6508" s="26" t="s">
        <v>14624</v>
      </c>
      <c r="O6508" s="22" t="str">
        <f>HYPERLINK("https://pbs.twimg.com/profile_images/816865642410229760/nlsljght_normal.jpg","View")</f>
        <v>View</v>
      </c>
      <c r="P6508" s="27"/>
    </row>
    <row r="6509">
      <c r="A6509" s="14">
        <v>43031.44101851852</v>
      </c>
      <c r="B6509" s="20" t="str">
        <f>HYPERLINK("https://twitter.com/AnilTroublesome","@AnilTroublesome")</f>
        <v>@AnilTroublesome</v>
      </c>
      <c r="C6509" s="21" t="s">
        <v>3689</v>
      </c>
      <c r="D6509" s="21" t="s">
        <v>42</v>
      </c>
      <c r="E6509" s="22" t="str">
        <f>HYPERLINK("https://twitter.com/AnilTroublesome/status/922516736326352896","922516736326352896")</f>
        <v>922516736326352896</v>
      </c>
      <c r="F6509" s="23" t="s">
        <v>39</v>
      </c>
      <c r="G6509" s="24">
        <v>13.0</v>
      </c>
      <c r="H6509" s="24">
        <v>50.0</v>
      </c>
      <c r="I6509" s="24">
        <v>8501.0</v>
      </c>
      <c r="J6509" s="24">
        <v>0.0</v>
      </c>
      <c r="K6509" s="23" t="s">
        <v>34</v>
      </c>
      <c r="L6509" s="25">
        <v>41473.22923611111</v>
      </c>
      <c r="M6509" s="26" t="s">
        <v>1991</v>
      </c>
      <c r="N6509" s="26" t="s">
        <v>14625</v>
      </c>
      <c r="O6509" s="22" t="str">
        <f>HYPERLINK("https://pbs.twimg.com/profile_images/462471196726947842/lBrFf_P-_normal.jpeg","View")</f>
        <v>View</v>
      </c>
      <c r="P6509" s="27"/>
    </row>
    <row r="6510">
      <c r="A6510" s="14">
        <v>43031.44118055556</v>
      </c>
      <c r="B6510" s="20" t="str">
        <f>HYPERLINK("https://twitter.com/EconomyWrld","@EconomyWrld")</f>
        <v>@EconomyWrld</v>
      </c>
      <c r="C6510" s="21" t="s">
        <v>14626</v>
      </c>
      <c r="D6510" s="21" t="s">
        <v>14627</v>
      </c>
      <c r="E6510" s="22" t="str">
        <f>HYPERLINK("https://twitter.com/EconomyWrld/status/922516797940748288","922516797940748288")</f>
        <v>922516797940748288</v>
      </c>
      <c r="F6510" s="23" t="s">
        <v>14628</v>
      </c>
      <c r="G6510" s="24">
        <v>38108.0</v>
      </c>
      <c r="H6510" s="24">
        <v>1084.0</v>
      </c>
      <c r="I6510" s="24">
        <v>0.0</v>
      </c>
      <c r="J6510" s="24">
        <v>0.0</v>
      </c>
      <c r="K6510" s="23" t="s">
        <v>34</v>
      </c>
      <c r="L6510" s="25">
        <v>41220.55652777778</v>
      </c>
      <c r="M6510" s="26" t="s">
        <v>68</v>
      </c>
      <c r="N6510" s="26" t="s">
        <v>14629</v>
      </c>
      <c r="O6510" s="22" t="str">
        <f>HYPERLINK("https://pbs.twimg.com/profile_images/689163422655737856/T-4kh_eQ_normal.png","View")</f>
        <v>View</v>
      </c>
      <c r="P6510" s="27"/>
    </row>
    <row r="6511">
      <c r="A6511" s="14">
        <v>43031.441354166665</v>
      </c>
      <c r="B6511" s="20" t="str">
        <f>HYPERLINK("https://twitter.com/R__Kid","@R__Kid")</f>
        <v>@R__Kid</v>
      </c>
      <c r="C6511" s="21" t="s">
        <v>14630</v>
      </c>
      <c r="D6511" s="21" t="s">
        <v>11625</v>
      </c>
      <c r="E6511" s="22" t="str">
        <f>HYPERLINK("https://twitter.com/R__Kid/status/922516859483820032","922516859483820032")</f>
        <v>922516859483820032</v>
      </c>
      <c r="F6511" s="23" t="s">
        <v>230</v>
      </c>
      <c r="G6511" s="24">
        <v>798.0</v>
      </c>
      <c r="H6511" s="24">
        <v>4984.0</v>
      </c>
      <c r="I6511" s="24">
        <v>11.0</v>
      </c>
      <c r="J6511" s="24">
        <v>0.0</v>
      </c>
      <c r="K6511" s="23" t="s">
        <v>34</v>
      </c>
      <c r="L6511" s="25">
        <v>40393.08164351852</v>
      </c>
      <c r="M6511" s="26" t="s">
        <v>14631</v>
      </c>
      <c r="N6511" s="26" t="s">
        <v>14632</v>
      </c>
      <c r="O6511" s="22" t="str">
        <f>HYPERLINK("https://pbs.twimg.com/profile_images/491547014732079104/4K3Tfcz9_normal.jpeg","View")</f>
        <v>View</v>
      </c>
      <c r="P6511" s="27"/>
    </row>
    <row r="6512">
      <c r="A6512" s="14">
        <v>43031.44159722222</v>
      </c>
      <c r="B6512" s="20" t="str">
        <f>HYPERLINK("https://twitter.com/SteveDavidMikeV","@SteveDavidMikeV")</f>
        <v>@SteveDavidMikeV</v>
      </c>
      <c r="C6512" s="21" t="s">
        <v>14633</v>
      </c>
      <c r="D6512" s="21" t="s">
        <v>10614</v>
      </c>
      <c r="E6512" s="22" t="str">
        <f>HYPERLINK("https://twitter.com/SteveDavidMikeV/status/922516945668251648","922516945668251648")</f>
        <v>922516945668251648</v>
      </c>
      <c r="F6512" s="23" t="s">
        <v>33</v>
      </c>
      <c r="G6512" s="24">
        <v>544.0</v>
      </c>
      <c r="H6512" s="24">
        <v>57.0</v>
      </c>
      <c r="I6512" s="24">
        <v>159.0</v>
      </c>
      <c r="J6512" s="24">
        <v>0.0</v>
      </c>
      <c r="K6512" s="23" t="s">
        <v>34</v>
      </c>
      <c r="L6512" s="25">
        <v>42780.99939814815</v>
      </c>
      <c r="M6512" s="26" t="s">
        <v>2068</v>
      </c>
      <c r="N6512" s="28"/>
      <c r="O6512" s="22" t="str">
        <f>HYPERLINK("https://pbs.twimg.com/profile_images/839060328700772352/QgBFSw-e_normal.jpg","View")</f>
        <v>View</v>
      </c>
      <c r="P6512" s="27"/>
    </row>
    <row r="6513">
      <c r="A6513" s="14">
        <v>43031.441666666666</v>
      </c>
      <c r="B6513" s="20" t="str">
        <f>HYPERLINK("https://twitter.com/GracmVeCo","@GracmVeCo")</f>
        <v>@GracmVeCo</v>
      </c>
      <c r="C6513" s="21" t="s">
        <v>14634</v>
      </c>
      <c r="D6513" s="21" t="s">
        <v>14635</v>
      </c>
      <c r="E6513" s="22" t="str">
        <f>HYPERLINK("https://twitter.com/GracmVeCo/status/922516972465569792","922516972465569792")</f>
        <v>922516972465569792</v>
      </c>
      <c r="F6513" s="23" t="s">
        <v>769</v>
      </c>
      <c r="G6513" s="24">
        <v>85.0</v>
      </c>
      <c r="H6513" s="24">
        <v>107.0</v>
      </c>
      <c r="I6513" s="24">
        <v>0.0</v>
      </c>
      <c r="J6513" s="24">
        <v>0.0</v>
      </c>
      <c r="K6513" s="23" t="s">
        <v>34</v>
      </c>
      <c r="L6513" s="25">
        <v>42687.41559027778</v>
      </c>
      <c r="M6513" s="26" t="s">
        <v>14636</v>
      </c>
      <c r="N6513" s="26" t="s">
        <v>14637</v>
      </c>
      <c r="O6513" s="22" t="str">
        <f>HYPERLINK("https://pbs.twimg.com/profile_images/797864079008399360/489jwXbT_normal.jpg","View")</f>
        <v>View</v>
      </c>
      <c r="P6513" s="27"/>
    </row>
    <row r="6514">
      <c r="A6514" s="14">
        <v>43031.441666666666</v>
      </c>
      <c r="B6514" s="20" t="str">
        <f>HYPERLINK("https://twitter.com/kyodo_english","@kyodo_english")</f>
        <v>@kyodo_english</v>
      </c>
      <c r="C6514" s="21" t="s">
        <v>12586</v>
      </c>
      <c r="D6514" s="21" t="s">
        <v>14638</v>
      </c>
      <c r="E6514" s="22" t="str">
        <f>HYPERLINK("https://twitter.com/kyodo_english/status/922516973820420096","922516973820420096")</f>
        <v>922516973820420096</v>
      </c>
      <c r="F6514" s="23" t="s">
        <v>769</v>
      </c>
      <c r="G6514" s="24">
        <v>3237.0</v>
      </c>
      <c r="H6514" s="24">
        <v>29.0</v>
      </c>
      <c r="I6514" s="24">
        <v>0.0</v>
      </c>
      <c r="J6514" s="24">
        <v>0.0</v>
      </c>
      <c r="K6514" s="23" t="s">
        <v>34</v>
      </c>
      <c r="L6514" s="25">
        <v>40441.57237268519</v>
      </c>
      <c r="M6514" s="26" t="s">
        <v>853</v>
      </c>
      <c r="N6514" s="26" t="s">
        <v>12588</v>
      </c>
      <c r="O6514" s="22" t="str">
        <f>HYPERLINK("https://pbs.twimg.com/profile_images/845114681027018754/60xUfFXu_normal.jpg","View")</f>
        <v>View</v>
      </c>
      <c r="P6514" s="27"/>
    </row>
    <row r="6515">
      <c r="A6515" s="14">
        <v>43031.44200231481</v>
      </c>
      <c r="B6515" s="20" t="str">
        <f>HYPERLINK("https://twitter.com/DiChristine","@DiChristine")</f>
        <v>@DiChristine</v>
      </c>
      <c r="C6515" s="21" t="s">
        <v>14639</v>
      </c>
      <c r="D6515" s="21" t="s">
        <v>14640</v>
      </c>
      <c r="E6515" s="22" t="str">
        <f>HYPERLINK("https://twitter.com/DiChristine/status/922517094100602886","922517094100602886")</f>
        <v>922517094100602886</v>
      </c>
      <c r="F6515" s="23" t="s">
        <v>33</v>
      </c>
      <c r="G6515" s="24">
        <v>2754.0</v>
      </c>
      <c r="H6515" s="24">
        <v>559.0</v>
      </c>
      <c r="I6515" s="24">
        <v>186.0</v>
      </c>
      <c r="J6515" s="24">
        <v>0.0</v>
      </c>
      <c r="K6515" s="23" t="s">
        <v>34</v>
      </c>
      <c r="L6515" s="25">
        <v>39864.77875</v>
      </c>
      <c r="M6515" s="28"/>
      <c r="N6515" s="28"/>
      <c r="O6515" s="22" t="str">
        <f>HYPERLINK("https://pbs.twimg.com/profile_images/822281973087539205/0tAzeiYe_normal.jpg","View")</f>
        <v>View</v>
      </c>
      <c r="P6515" s="27"/>
    </row>
    <row r="6516">
      <c r="A6516" s="14">
        <v>43031.44221064815</v>
      </c>
      <c r="B6516" s="20" t="str">
        <f>HYPERLINK("https://twitter.com/mtd_abhi","@mtd_abhi")</f>
        <v>@mtd_abhi</v>
      </c>
      <c r="C6516" s="21" t="s">
        <v>14641</v>
      </c>
      <c r="D6516" s="21" t="s">
        <v>42</v>
      </c>
      <c r="E6516" s="22" t="str">
        <f>HYPERLINK("https://twitter.com/mtd_abhi/status/922517170789130240","922517170789130240")</f>
        <v>922517170789130240</v>
      </c>
      <c r="F6516" s="23" t="s">
        <v>33</v>
      </c>
      <c r="G6516" s="24">
        <v>2.0</v>
      </c>
      <c r="H6516" s="24">
        <v>13.0</v>
      </c>
      <c r="I6516" s="24">
        <v>8501.0</v>
      </c>
      <c r="J6516" s="24">
        <v>0.0</v>
      </c>
      <c r="K6516" s="23" t="s">
        <v>34</v>
      </c>
      <c r="L6516" s="25">
        <v>42995.00914351852</v>
      </c>
      <c r="M6516" s="28"/>
      <c r="N6516" s="28"/>
      <c r="O6516" s="22" t="str">
        <f>HYPERLINK("https://abs.twimg.com/sticky/default_profile_images/default_profile_normal.png","View")</f>
        <v>View</v>
      </c>
      <c r="P6516" s="27"/>
    </row>
    <row r="6517">
      <c r="A6517" s="14">
        <v>43031.44225694444</v>
      </c>
      <c r="B6517" s="20" t="str">
        <f>HYPERLINK("https://twitter.com/positive4uk","@positive4uk")</f>
        <v>@positive4uk</v>
      </c>
      <c r="C6517" s="21" t="s">
        <v>14642</v>
      </c>
      <c r="D6517" s="21" t="s">
        <v>12974</v>
      </c>
      <c r="E6517" s="22" t="str">
        <f>HYPERLINK("https://twitter.com/positive4uk/status/922517186857578499","922517186857578499")</f>
        <v>922517186857578499</v>
      </c>
      <c r="F6517" s="23" t="s">
        <v>39</v>
      </c>
      <c r="G6517" s="24">
        <v>417.0</v>
      </c>
      <c r="H6517" s="24">
        <v>783.0</v>
      </c>
      <c r="I6517" s="24">
        <v>110.0</v>
      </c>
      <c r="J6517" s="24">
        <v>0.0</v>
      </c>
      <c r="K6517" s="23" t="s">
        <v>34</v>
      </c>
      <c r="L6517" s="25">
        <v>42764.390798611115</v>
      </c>
      <c r="M6517" s="28"/>
      <c r="N6517" s="26" t="s">
        <v>14643</v>
      </c>
      <c r="O6517" s="22" t="str">
        <f>HYPERLINK("https://pbs.twimg.com/profile_images/893732659767136256/LIRwhjhQ_normal.jpg","View")</f>
        <v>View</v>
      </c>
      <c r="P6517" s="27"/>
    </row>
    <row r="6518">
      <c r="A6518" s="14">
        <v>43031.442291666666</v>
      </c>
      <c r="B6518" s="20" t="str">
        <f>HYPERLINK("https://twitter.com/Susheel_Indra","@Susheel_Indra")</f>
        <v>@Susheel_Indra</v>
      </c>
      <c r="C6518" s="21" t="s">
        <v>14644</v>
      </c>
      <c r="D6518" s="21" t="s">
        <v>163</v>
      </c>
      <c r="E6518" s="22" t="str">
        <f>HYPERLINK("https://twitter.com/Susheel_Indra/status/922517198492516352","922517198492516352")</f>
        <v>922517198492516352</v>
      </c>
      <c r="F6518" s="23" t="s">
        <v>33</v>
      </c>
      <c r="G6518" s="24">
        <v>462.0</v>
      </c>
      <c r="H6518" s="24">
        <v>680.0</v>
      </c>
      <c r="I6518" s="24">
        <v>1005.0</v>
      </c>
      <c r="J6518" s="24">
        <v>0.0</v>
      </c>
      <c r="K6518" s="23" t="s">
        <v>34</v>
      </c>
      <c r="L6518" s="25">
        <v>41592.12824074074</v>
      </c>
      <c r="M6518" s="26" t="s">
        <v>204</v>
      </c>
      <c r="N6518" s="26" t="s">
        <v>14645</v>
      </c>
      <c r="O6518" s="22" t="str">
        <f>HYPERLINK("https://pbs.twimg.com/profile_images/805284257933443072/LN-a6PKg_normal.jpg","View")</f>
        <v>View</v>
      </c>
      <c r="P6518" s="27"/>
    </row>
    <row r="6519">
      <c r="A6519" s="14">
        <v>43031.44231481482</v>
      </c>
      <c r="B6519" s="20" t="str">
        <f>HYPERLINK("https://twitter.com/jasssrajgrewal","@jasssrajgrewal")</f>
        <v>@jasssrajgrewal</v>
      </c>
      <c r="C6519" s="21" t="s">
        <v>14646</v>
      </c>
      <c r="D6519" s="21" t="s">
        <v>42</v>
      </c>
      <c r="E6519" s="22" t="str">
        <f>HYPERLINK("https://twitter.com/jasssrajgrewal/status/922517206155476993","922517206155476993")</f>
        <v>922517206155476993</v>
      </c>
      <c r="F6519" s="23" t="s">
        <v>33</v>
      </c>
      <c r="G6519" s="24">
        <v>307.0</v>
      </c>
      <c r="H6519" s="24">
        <v>589.0</v>
      </c>
      <c r="I6519" s="24">
        <v>8501.0</v>
      </c>
      <c r="J6519" s="24">
        <v>0.0</v>
      </c>
      <c r="K6519" s="23" t="s">
        <v>34</v>
      </c>
      <c r="L6519" s="25">
        <v>41460.209120370375</v>
      </c>
      <c r="M6519" s="26" t="s">
        <v>14647</v>
      </c>
      <c r="N6519" s="26" t="s">
        <v>14648</v>
      </c>
      <c r="O6519" s="22" t="str">
        <f>HYPERLINK("https://pbs.twimg.com/profile_images/914438465797816320/o1Hx6N9e_normal.jpg","View")</f>
        <v>View</v>
      </c>
      <c r="P6519" s="27"/>
    </row>
    <row r="6520">
      <c r="A6520" s="14">
        <v>43031.44236111111</v>
      </c>
      <c r="B6520" s="20" t="str">
        <f>HYPERLINK("https://twitter.com/AnilSha98044135","@AnilSha98044135")</f>
        <v>@AnilSha98044135</v>
      </c>
      <c r="C6520" s="21" t="s">
        <v>13559</v>
      </c>
      <c r="D6520" s="21" t="s">
        <v>42</v>
      </c>
      <c r="E6520" s="22" t="str">
        <f>HYPERLINK("https://twitter.com/AnilSha98044135/status/922517223494754304","922517223494754304")</f>
        <v>922517223494754304</v>
      </c>
      <c r="F6520" s="23" t="s">
        <v>33</v>
      </c>
      <c r="G6520" s="24">
        <v>1.0</v>
      </c>
      <c r="H6520" s="24">
        <v>10.0</v>
      </c>
      <c r="I6520" s="24">
        <v>8501.0</v>
      </c>
      <c r="J6520" s="24">
        <v>0.0</v>
      </c>
      <c r="K6520" s="23" t="s">
        <v>34</v>
      </c>
      <c r="L6520" s="25">
        <v>42957.84774305555</v>
      </c>
      <c r="M6520" s="28"/>
      <c r="N6520" s="28"/>
      <c r="O6520" s="22" t="str">
        <f>HYPERLINK("https://abs.twimg.com/sticky/default_profile_images/default_profile_normal.png","View")</f>
        <v>View</v>
      </c>
      <c r="P6520" s="27"/>
    </row>
    <row r="6521">
      <c r="A6521" s="14">
        <v>43031.44256944444</v>
      </c>
      <c r="B6521" s="20" t="str">
        <f>HYPERLINK("https://twitter.com/ganapati23","@ganapati23")</f>
        <v>@ganapati23</v>
      </c>
      <c r="C6521" s="21" t="s">
        <v>14649</v>
      </c>
      <c r="D6521" s="21" t="s">
        <v>42</v>
      </c>
      <c r="E6521" s="22" t="str">
        <f>HYPERLINK("https://twitter.com/ganapati23/status/922517299243884544","922517299243884544")</f>
        <v>922517299243884544</v>
      </c>
      <c r="F6521" s="23" t="s">
        <v>55</v>
      </c>
      <c r="G6521" s="24">
        <v>1847.0</v>
      </c>
      <c r="H6521" s="24">
        <v>1001.0</v>
      </c>
      <c r="I6521" s="24">
        <v>8501.0</v>
      </c>
      <c r="J6521" s="24">
        <v>0.0</v>
      </c>
      <c r="K6521" s="23" t="s">
        <v>34</v>
      </c>
      <c r="L6521" s="25">
        <v>40525.98311342593</v>
      </c>
      <c r="M6521" s="26" t="s">
        <v>14650</v>
      </c>
      <c r="N6521" s="26" t="s">
        <v>14651</v>
      </c>
      <c r="O6521" s="22" t="str">
        <f>HYPERLINK("https://pbs.twimg.com/profile_images/378800000829414761/790e42cf3ec5c266a098f6391167e113_normal.jpeg","View")</f>
        <v>View</v>
      </c>
      <c r="P6521" s="27"/>
    </row>
    <row r="6522">
      <c r="A6522" s="14">
        <v>43031.44295138889</v>
      </c>
      <c r="B6522" s="20" t="str">
        <f>HYPERLINK("https://twitter.com/Tridippatowary1","@Tridippatowary1")</f>
        <v>@Tridippatowary1</v>
      </c>
      <c r="C6522" s="21" t="s">
        <v>14652</v>
      </c>
      <c r="D6522" s="21" t="s">
        <v>42</v>
      </c>
      <c r="E6522" s="22" t="str">
        <f>HYPERLINK("https://twitter.com/Tridippatowary1/status/922517437865541632","922517437865541632")</f>
        <v>922517437865541632</v>
      </c>
      <c r="F6522" s="23" t="s">
        <v>43</v>
      </c>
      <c r="G6522" s="24">
        <v>1.0</v>
      </c>
      <c r="H6522" s="24">
        <v>0.0</v>
      </c>
      <c r="I6522" s="24">
        <v>8501.0</v>
      </c>
      <c r="J6522" s="24">
        <v>0.0</v>
      </c>
      <c r="K6522" s="23" t="s">
        <v>34</v>
      </c>
      <c r="L6522" s="25">
        <v>43031.44032407408</v>
      </c>
      <c r="M6522" s="28"/>
      <c r="N6522" s="28"/>
      <c r="O6522" s="22" t="str">
        <f>HYPERLINK("https://abs.twimg.com/sticky/default_profile_images/default_profile_normal.png","View")</f>
        <v>View</v>
      </c>
      <c r="P6522" s="27"/>
    </row>
    <row r="6523">
      <c r="A6523" s="14">
        <v>43031.44296296296</v>
      </c>
      <c r="B6523" s="20" t="str">
        <f>HYPERLINK("https://twitter.com/Rebecca17866730","@Rebecca17866730")</f>
        <v>@Rebecca17866730</v>
      </c>
      <c r="C6523" s="21" t="s">
        <v>14653</v>
      </c>
      <c r="D6523" s="21" t="s">
        <v>42</v>
      </c>
      <c r="E6523" s="22" t="str">
        <f>HYPERLINK("https://twitter.com/Rebecca17866730/status/922517442215022592","922517442215022592")</f>
        <v>922517442215022592</v>
      </c>
      <c r="F6523" s="23" t="s">
        <v>33</v>
      </c>
      <c r="G6523" s="24">
        <v>2.0</v>
      </c>
      <c r="H6523" s="24">
        <v>80.0</v>
      </c>
      <c r="I6523" s="24">
        <v>8501.0</v>
      </c>
      <c r="J6523" s="24">
        <v>0.0</v>
      </c>
      <c r="K6523" s="23" t="s">
        <v>34</v>
      </c>
      <c r="L6523" s="25">
        <v>43031.441655092596</v>
      </c>
      <c r="M6523" s="26" t="s">
        <v>3566</v>
      </c>
      <c r="N6523" s="26" t="s">
        <v>14654</v>
      </c>
      <c r="O6523" s="22" t="str">
        <f>HYPERLINK("https://pbs.twimg.com/profile_images/922828075158593536/a0OYwFQA_normal.jpg","View")</f>
        <v>View</v>
      </c>
      <c r="P6523" s="27"/>
    </row>
    <row r="6524">
      <c r="A6524" s="14">
        <v>43031.44318287037</v>
      </c>
      <c r="B6524" s="20" t="str">
        <f>HYPERLINK("https://twitter.com/heeraman98","@heeraman98")</f>
        <v>@heeraman98</v>
      </c>
      <c r="C6524" s="21" t="s">
        <v>14655</v>
      </c>
      <c r="D6524" s="21" t="s">
        <v>42</v>
      </c>
      <c r="E6524" s="22" t="str">
        <f>HYPERLINK("https://twitter.com/heeraman98/status/922517522208792576","922517522208792576")</f>
        <v>922517522208792576</v>
      </c>
      <c r="F6524" s="23" t="s">
        <v>39</v>
      </c>
      <c r="G6524" s="24">
        <v>2584.0</v>
      </c>
      <c r="H6524" s="24">
        <v>503.0</v>
      </c>
      <c r="I6524" s="24">
        <v>8501.0</v>
      </c>
      <c r="J6524" s="24">
        <v>0.0</v>
      </c>
      <c r="K6524" s="23" t="s">
        <v>34</v>
      </c>
      <c r="L6524" s="25">
        <v>40848.29913194444</v>
      </c>
      <c r="M6524" s="26" t="s">
        <v>14656</v>
      </c>
      <c r="N6524" s="26" t="s">
        <v>14657</v>
      </c>
      <c r="O6524" s="22" t="str">
        <f>HYPERLINK("https://pbs.twimg.com/profile_images/524669093740171265/maDgI7BP_normal.jpeg","View")</f>
        <v>View</v>
      </c>
      <c r="P6524" s="27"/>
    </row>
    <row r="6525">
      <c r="A6525" s="14">
        <v>43031.44331018519</v>
      </c>
      <c r="B6525" s="20" t="str">
        <f>HYPERLINK("https://twitter.com/Beaches_Lovers","@Beaches_Lovers")</f>
        <v>@Beaches_Lovers</v>
      </c>
      <c r="C6525" s="21" t="s">
        <v>14658</v>
      </c>
      <c r="D6525" s="21" t="s">
        <v>10614</v>
      </c>
      <c r="E6525" s="22" t="str">
        <f>HYPERLINK("https://twitter.com/Beaches_Lovers/status/922517568702767105","922517568702767105")</f>
        <v>922517568702767105</v>
      </c>
      <c r="F6525" s="23" t="s">
        <v>86</v>
      </c>
      <c r="G6525" s="24">
        <v>3189.0</v>
      </c>
      <c r="H6525" s="24">
        <v>3652.0</v>
      </c>
      <c r="I6525" s="24">
        <v>159.0</v>
      </c>
      <c r="J6525" s="24">
        <v>0.0</v>
      </c>
      <c r="K6525" s="23" t="s">
        <v>34</v>
      </c>
      <c r="L6525" s="25">
        <v>40721.83246527778</v>
      </c>
      <c r="M6525" s="26" t="s">
        <v>14659</v>
      </c>
      <c r="N6525" s="26" t="s">
        <v>14660</v>
      </c>
      <c r="O6525" s="22" t="str">
        <f>HYPERLINK("https://pbs.twimg.com/profile_images/851869175303634944/WNqITozG_normal.jpg","View")</f>
        <v>View</v>
      </c>
      <c r="P6525" s="27"/>
    </row>
    <row r="6526">
      <c r="A6526" s="14">
        <v>43031.44332175926</v>
      </c>
      <c r="B6526" s="20" t="str">
        <f>HYPERLINK("https://twitter.com/Camelot_1966","@Camelot_1966")</f>
        <v>@Camelot_1966</v>
      </c>
      <c r="C6526" s="21" t="s">
        <v>14661</v>
      </c>
      <c r="D6526" s="21" t="s">
        <v>12974</v>
      </c>
      <c r="E6526" s="22" t="str">
        <f>HYPERLINK("https://twitter.com/Camelot_1966/status/922517573295661056","922517573295661056")</f>
        <v>922517573295661056</v>
      </c>
      <c r="F6526" s="23" t="s">
        <v>43</v>
      </c>
      <c r="G6526" s="24">
        <v>1285.0</v>
      </c>
      <c r="H6526" s="24">
        <v>2243.0</v>
      </c>
      <c r="I6526" s="24">
        <v>110.0</v>
      </c>
      <c r="J6526" s="24">
        <v>0.0</v>
      </c>
      <c r="K6526" s="23" t="s">
        <v>34</v>
      </c>
      <c r="L6526" s="25">
        <v>42675.57543981481</v>
      </c>
      <c r="M6526" s="26" t="s">
        <v>14662</v>
      </c>
      <c r="N6526" s="26" t="s">
        <v>14663</v>
      </c>
      <c r="O6526" s="22" t="str">
        <f>HYPERLINK("https://pbs.twimg.com/profile_images/918830260707213312/dkbYvMtz_normal.jpg","View")</f>
        <v>View</v>
      </c>
      <c r="P6526" s="27"/>
    </row>
    <row r="6527">
      <c r="A6527" s="14">
        <v>43031.443518518514</v>
      </c>
      <c r="B6527" s="20" t="str">
        <f>HYPERLINK("https://twitter.com/MODIfyingBHARAT","@MODIfyingBHARAT")</f>
        <v>@MODIfyingBHARAT</v>
      </c>
      <c r="C6527" s="21" t="s">
        <v>2226</v>
      </c>
      <c r="D6527" s="21" t="s">
        <v>42</v>
      </c>
      <c r="E6527" s="22" t="str">
        <f>HYPERLINK("https://twitter.com/MODIfyingBHARAT/status/922517644032425984","922517644032425984")</f>
        <v>922517644032425984</v>
      </c>
      <c r="F6527" s="23" t="s">
        <v>39</v>
      </c>
      <c r="G6527" s="24">
        <v>5948.0</v>
      </c>
      <c r="H6527" s="24">
        <v>1.0</v>
      </c>
      <c r="I6527" s="24">
        <v>8501.0</v>
      </c>
      <c r="J6527" s="24">
        <v>0.0</v>
      </c>
      <c r="K6527" s="23" t="s">
        <v>34</v>
      </c>
      <c r="L6527" s="25">
        <v>42663.094930555555</v>
      </c>
      <c r="M6527" s="26" t="s">
        <v>575</v>
      </c>
      <c r="N6527" s="26" t="s">
        <v>14664</v>
      </c>
      <c r="O6527" s="22" t="str">
        <f>HYPERLINK("https://pbs.twimg.com/profile_images/821219104103206914/I4wg7QFf_normal.jpg","View")</f>
        <v>View</v>
      </c>
      <c r="P6527" s="27"/>
    </row>
    <row r="6528">
      <c r="A6528" s="14">
        <v>43031.44358796296</v>
      </c>
      <c r="B6528" s="20" t="str">
        <f>HYPERLINK("https://twitter.com/Naunihal013","@Naunihal013")</f>
        <v>@Naunihal013</v>
      </c>
      <c r="C6528" s="21" t="s">
        <v>14665</v>
      </c>
      <c r="D6528" s="21" t="s">
        <v>42</v>
      </c>
      <c r="E6528" s="22" t="str">
        <f>HYPERLINK("https://twitter.com/Naunihal013/status/922517669315674112","922517669315674112")</f>
        <v>922517669315674112</v>
      </c>
      <c r="F6528" s="23" t="s">
        <v>33</v>
      </c>
      <c r="G6528" s="24">
        <v>48.0</v>
      </c>
      <c r="H6528" s="24">
        <v>175.0</v>
      </c>
      <c r="I6528" s="24">
        <v>8501.0</v>
      </c>
      <c r="J6528" s="24">
        <v>0.0</v>
      </c>
      <c r="K6528" s="23" t="s">
        <v>34</v>
      </c>
      <c r="L6528" s="25">
        <v>42583.61230324074</v>
      </c>
      <c r="M6528" s="26" t="s">
        <v>14666</v>
      </c>
      <c r="N6528" s="26" t="s">
        <v>14667</v>
      </c>
      <c r="O6528" s="22" t="str">
        <f>HYPERLINK("https://pbs.twimg.com/profile_images/760236795455995906/_A8vg8iu_normal.jpg","View")</f>
        <v>View</v>
      </c>
      <c r="P6528" s="27"/>
    </row>
    <row r="6529">
      <c r="A6529" s="14">
        <v>43031.44361111111</v>
      </c>
      <c r="B6529" s="20" t="str">
        <f>HYPERLINK("https://twitter.com/Kganeshkhudi","@Kganeshkhudi")</f>
        <v>@Kganeshkhudi</v>
      </c>
      <c r="C6529" s="21" t="s">
        <v>14668</v>
      </c>
      <c r="D6529" s="21" t="s">
        <v>42</v>
      </c>
      <c r="E6529" s="22" t="str">
        <f>HYPERLINK("https://twitter.com/Kganeshkhudi/status/922517677666721793","922517677666721793")</f>
        <v>922517677666721793</v>
      </c>
      <c r="F6529" s="23" t="s">
        <v>33</v>
      </c>
      <c r="G6529" s="24">
        <v>661.0</v>
      </c>
      <c r="H6529" s="24">
        <v>1516.0</v>
      </c>
      <c r="I6529" s="24">
        <v>8501.0</v>
      </c>
      <c r="J6529" s="24">
        <v>0.0</v>
      </c>
      <c r="K6529" s="23" t="s">
        <v>34</v>
      </c>
      <c r="L6529" s="25">
        <v>42187.948124999995</v>
      </c>
      <c r="M6529" s="26" t="s">
        <v>14669</v>
      </c>
      <c r="N6529" s="26" t="s">
        <v>14670</v>
      </c>
      <c r="O6529" s="22" t="str">
        <f>HYPERLINK("https://pbs.twimg.com/profile_images/913217229155692547/HIO8Ka1D_normal.jpg","View")</f>
        <v>View</v>
      </c>
      <c r="P6529" s="27"/>
    </row>
    <row r="6530">
      <c r="A6530" s="14">
        <v>43031.44364583334</v>
      </c>
      <c r="B6530" s="20" t="str">
        <f>HYPERLINK("https://twitter.com/Bhagwan42048672","@Bhagwan42048672")</f>
        <v>@Bhagwan42048672</v>
      </c>
      <c r="C6530" s="21" t="s">
        <v>14671</v>
      </c>
      <c r="D6530" s="21" t="s">
        <v>42</v>
      </c>
      <c r="E6530" s="22" t="str">
        <f>HYPERLINK("https://twitter.com/Bhagwan42048672/status/922517691637948416","922517691637948416")</f>
        <v>922517691637948416</v>
      </c>
      <c r="F6530" s="23" t="s">
        <v>33</v>
      </c>
      <c r="G6530" s="24">
        <v>3.0</v>
      </c>
      <c r="H6530" s="24">
        <v>21.0</v>
      </c>
      <c r="I6530" s="24">
        <v>8501.0</v>
      </c>
      <c r="J6530" s="24">
        <v>0.0</v>
      </c>
      <c r="K6530" s="23" t="s">
        <v>34</v>
      </c>
      <c r="L6530" s="25">
        <v>42872.418865740736</v>
      </c>
      <c r="M6530" s="28"/>
      <c r="N6530" s="28"/>
      <c r="O6530" s="22" t="str">
        <f>HYPERLINK("https://abs.twimg.com/sticky/default_profile_images/default_profile_normal.png","View")</f>
        <v>View</v>
      </c>
      <c r="P6530" s="27"/>
    </row>
    <row r="6531">
      <c r="A6531" s="14">
        <v>43031.44368055556</v>
      </c>
      <c r="B6531" s="20" t="str">
        <f>HYPERLINK("https://twitter.com/sarge920","@sarge920")</f>
        <v>@sarge920</v>
      </c>
      <c r="C6531" s="21" t="s">
        <v>14672</v>
      </c>
      <c r="D6531" s="21" t="s">
        <v>2369</v>
      </c>
      <c r="E6531" s="22" t="str">
        <f>HYPERLINK("https://twitter.com/sarge920/status/922517702719221762","922517702719221762")</f>
        <v>922517702719221762</v>
      </c>
      <c r="F6531" s="23" t="s">
        <v>33</v>
      </c>
      <c r="G6531" s="24">
        <v>49.0</v>
      </c>
      <c r="H6531" s="24">
        <v>1765.0</v>
      </c>
      <c r="I6531" s="24">
        <v>23.0</v>
      </c>
      <c r="J6531" s="24">
        <v>0.0</v>
      </c>
      <c r="K6531" s="23" t="s">
        <v>34</v>
      </c>
      <c r="L6531" s="25">
        <v>41742.27364583333</v>
      </c>
      <c r="M6531" s="26" t="s">
        <v>14673</v>
      </c>
      <c r="N6531" s="26" t="s">
        <v>14674</v>
      </c>
      <c r="O6531" s="22" t="str">
        <f>HYPERLINK("https://pbs.twimg.com/profile_images/749753798596452352/B_D0S0WJ_normal.jpg","View")</f>
        <v>View</v>
      </c>
      <c r="P6531" s="27"/>
    </row>
    <row r="6532">
      <c r="A6532" s="14">
        <v>43031.44371527778</v>
      </c>
      <c r="B6532" s="20" t="str">
        <f>HYPERLINK("https://twitter.com/manvendragaya","@manvendragaya")</f>
        <v>@manvendragaya</v>
      </c>
      <c r="C6532" s="21" t="s">
        <v>14675</v>
      </c>
      <c r="D6532" s="21" t="s">
        <v>42</v>
      </c>
      <c r="E6532" s="22" t="str">
        <f>HYPERLINK("https://twitter.com/manvendragaya/status/922517714744332289","922517714744332289")</f>
        <v>922517714744332289</v>
      </c>
      <c r="F6532" s="23" t="s">
        <v>55</v>
      </c>
      <c r="G6532" s="24">
        <v>147.0</v>
      </c>
      <c r="H6532" s="24">
        <v>1074.0</v>
      </c>
      <c r="I6532" s="24">
        <v>8501.0</v>
      </c>
      <c r="J6532" s="24">
        <v>0.0</v>
      </c>
      <c r="K6532" s="23" t="s">
        <v>34</v>
      </c>
      <c r="L6532" s="25">
        <v>41781.33074074074</v>
      </c>
      <c r="M6532" s="28"/>
      <c r="N6532" s="28"/>
      <c r="O6532" s="22" t="str">
        <f>HYPERLINK("https://pbs.twimg.com/profile_images/469495392829063168/mNAkDHn3_normal.jpeg","View")</f>
        <v>View</v>
      </c>
      <c r="P6532" s="27"/>
    </row>
    <row r="6533">
      <c r="A6533" s="14">
        <v>43031.44375</v>
      </c>
      <c r="B6533" s="20" t="str">
        <f>HYPERLINK("https://twitter.com/NewsUpdate24Int","@NewsUpdate24Int")</f>
        <v>@NewsUpdate24Int</v>
      </c>
      <c r="C6533" s="21" t="s">
        <v>6417</v>
      </c>
      <c r="D6533" s="21" t="s">
        <v>14676</v>
      </c>
      <c r="E6533" s="22" t="str">
        <f>HYPERLINK("https://twitter.com/NewsUpdate24Int/status/922517728623251457","922517728623251457")</f>
        <v>922517728623251457</v>
      </c>
      <c r="F6533" s="23" t="s">
        <v>187</v>
      </c>
      <c r="G6533" s="24">
        <v>1282.0</v>
      </c>
      <c r="H6533" s="24">
        <v>54.0</v>
      </c>
      <c r="I6533" s="24">
        <v>0.0</v>
      </c>
      <c r="J6533" s="24">
        <v>0.0</v>
      </c>
      <c r="K6533" s="23" t="s">
        <v>34</v>
      </c>
      <c r="L6533" s="25">
        <v>42142.58181712963</v>
      </c>
      <c r="M6533" s="26" t="s">
        <v>6419</v>
      </c>
      <c r="N6533" s="26" t="s">
        <v>6420</v>
      </c>
      <c r="O6533" s="22" t="str">
        <f>HYPERLINK("https://pbs.twimg.com/profile_images/858443073717764096/OPmPGIMa_normal.jpg","View")</f>
        <v>View</v>
      </c>
      <c r="P6533" s="27"/>
    </row>
    <row r="6534">
      <c r="A6534" s="14">
        <v>43031.444444444445</v>
      </c>
      <c r="B6534" s="20" t="str">
        <f>HYPERLINK("https://twitter.com/overseasvote","@overseasvote")</f>
        <v>@overseasvote</v>
      </c>
      <c r="C6534" s="21" t="s">
        <v>14677</v>
      </c>
      <c r="D6534" s="21" t="s">
        <v>14678</v>
      </c>
      <c r="E6534" s="22" t="str">
        <f>HYPERLINK("https://twitter.com/overseasvote/status/922517979782402050","922517979782402050")</f>
        <v>922517979782402050</v>
      </c>
      <c r="F6534" s="23" t="s">
        <v>33</v>
      </c>
      <c r="G6534" s="24">
        <v>2092.0</v>
      </c>
      <c r="H6534" s="24">
        <v>871.0</v>
      </c>
      <c r="I6534" s="24">
        <v>1.0</v>
      </c>
      <c r="J6534" s="24">
        <v>0.0</v>
      </c>
      <c r="K6534" s="23" t="s">
        <v>34</v>
      </c>
      <c r="L6534" s="25">
        <v>39993.15368055555</v>
      </c>
      <c r="M6534" s="28"/>
      <c r="N6534" s="26" t="s">
        <v>14679</v>
      </c>
      <c r="O6534" s="22" t="str">
        <f>HYPERLINK("https://pbs.twimg.com/profile_images/796780092798210048/YYWMLNB8_normal.jpg","View")</f>
        <v>View</v>
      </c>
      <c r="P6534" s="27"/>
    </row>
    <row r="6535">
      <c r="A6535" s="14">
        <v>43031.44459490741</v>
      </c>
      <c r="B6535" s="20" t="str">
        <f>HYPERLINK("https://twitter.com/bpolitics","@bpolitics")</f>
        <v>@bpolitics</v>
      </c>
      <c r="C6535" s="21" t="s">
        <v>3445</v>
      </c>
      <c r="D6535" s="21" t="s">
        <v>14680</v>
      </c>
      <c r="E6535" s="22" t="str">
        <f>HYPERLINK("https://twitter.com/bpolitics/status/922518032760655873","922518032760655873")</f>
        <v>922518032760655873</v>
      </c>
      <c r="F6535" s="23" t="s">
        <v>1103</v>
      </c>
      <c r="G6535" s="24">
        <v>221050.0</v>
      </c>
      <c r="H6535" s="24">
        <v>865.0</v>
      </c>
      <c r="I6535" s="24">
        <v>5.0</v>
      </c>
      <c r="J6535" s="24">
        <v>2.0</v>
      </c>
      <c r="K6535" s="23" t="s">
        <v>34</v>
      </c>
      <c r="L6535" s="25">
        <v>41025.57640046296</v>
      </c>
      <c r="M6535" s="28"/>
      <c r="N6535" s="26" t="s">
        <v>3447</v>
      </c>
      <c r="O6535" s="22" t="str">
        <f>HYPERLINK("https://pbs.twimg.com/profile_images/714804098890133504/cUO4gD1A_normal.jpg","View")</f>
        <v>View</v>
      </c>
      <c r="P6535" s="27"/>
    </row>
    <row r="6536">
      <c r="A6536" s="14">
        <v>43031.44469907407</v>
      </c>
      <c r="B6536" s="20" t="str">
        <f>HYPERLINK("https://twitter.com/tansuacmali","@tansuacmali")</f>
        <v>@tansuacmali</v>
      </c>
      <c r="C6536" s="21" t="s">
        <v>14681</v>
      </c>
      <c r="D6536" s="21" t="s">
        <v>14682</v>
      </c>
      <c r="E6536" s="22" t="str">
        <f>HYPERLINK("https://twitter.com/tansuacmali/status/922518073050931200","922518073050931200")</f>
        <v>922518073050931200</v>
      </c>
      <c r="F6536" s="23" t="s">
        <v>86</v>
      </c>
      <c r="G6536" s="24">
        <v>198.0</v>
      </c>
      <c r="H6536" s="24">
        <v>2320.0</v>
      </c>
      <c r="I6536" s="24">
        <v>5.0</v>
      </c>
      <c r="J6536" s="24">
        <v>0.0</v>
      </c>
      <c r="K6536" s="23" t="s">
        <v>34</v>
      </c>
      <c r="L6536" s="25">
        <v>41628.38079861111</v>
      </c>
      <c r="M6536" s="28"/>
      <c r="N6536" s="28"/>
      <c r="O6536" s="22" t="str">
        <f>HYPERLINK("https://abs.twimg.com/sticky/default_profile_images/default_profile_normal.png","View")</f>
        <v>View</v>
      </c>
      <c r="P6536" s="27"/>
    </row>
    <row r="6537">
      <c r="A6537" s="14">
        <v>43031.44472222222</v>
      </c>
      <c r="B6537" s="20" t="str">
        <f>HYPERLINK("https://twitter.com/Banabir_BJYM","@Banabir_BJYM")</f>
        <v>@Banabir_BJYM</v>
      </c>
      <c r="C6537" s="21" t="s">
        <v>14683</v>
      </c>
      <c r="D6537" s="21" t="s">
        <v>42</v>
      </c>
      <c r="E6537" s="22" t="str">
        <f>HYPERLINK("https://twitter.com/Banabir_BJYM/status/922518081108193280","922518081108193280")</f>
        <v>922518081108193280</v>
      </c>
      <c r="F6537" s="23" t="s">
        <v>33</v>
      </c>
      <c r="G6537" s="24">
        <v>53.0</v>
      </c>
      <c r="H6537" s="24">
        <v>424.0</v>
      </c>
      <c r="I6537" s="24">
        <v>8501.0</v>
      </c>
      <c r="J6537" s="24">
        <v>0.0</v>
      </c>
      <c r="K6537" s="23" t="s">
        <v>34</v>
      </c>
      <c r="L6537" s="25">
        <v>40947.23457175926</v>
      </c>
      <c r="M6537" s="26" t="s">
        <v>14684</v>
      </c>
      <c r="N6537" s="26" t="s">
        <v>14685</v>
      </c>
      <c r="O6537" s="22" t="str">
        <f>HYPERLINK("https://pbs.twimg.com/profile_images/910838565344493568/tGdcEXxj_normal.jpg","View")</f>
        <v>View</v>
      </c>
      <c r="P6537" s="27"/>
    </row>
    <row r="6538">
      <c r="A6538" s="14">
        <v>43031.44474537037</v>
      </c>
      <c r="B6538" s="20" t="str">
        <f>HYPERLINK("https://twitter.com/1Rajvardhan","@1Rajvardhan")</f>
        <v>@1Rajvardhan</v>
      </c>
      <c r="C6538" s="21" t="s">
        <v>8836</v>
      </c>
      <c r="D6538" s="21" t="s">
        <v>14686</v>
      </c>
      <c r="E6538" s="22" t="str">
        <f>HYPERLINK("https://twitter.com/1Rajvardhan/status/922518089886867456","922518089886867456")</f>
        <v>922518089886867456</v>
      </c>
      <c r="F6538" s="23" t="s">
        <v>33</v>
      </c>
      <c r="G6538" s="24">
        <v>423.0</v>
      </c>
      <c r="H6538" s="24">
        <v>133.0</v>
      </c>
      <c r="I6538" s="24">
        <v>0.0</v>
      </c>
      <c r="J6538" s="24">
        <v>5.0</v>
      </c>
      <c r="K6538" s="23" t="s">
        <v>34</v>
      </c>
      <c r="L6538" s="25">
        <v>42505.298796296294</v>
      </c>
      <c r="M6538" s="28"/>
      <c r="N6538" s="28"/>
      <c r="O6538" s="22" t="str">
        <f>HYPERLINK("https://pbs.twimg.com/profile_images/923055467219185665/GylS2E84_normal.jpg","View")</f>
        <v>View</v>
      </c>
      <c r="P6538" s="27"/>
    </row>
    <row r="6539">
      <c r="A6539" s="14">
        <v>43031.444768518515</v>
      </c>
      <c r="B6539" s="20" t="str">
        <f>HYPERLINK("https://twitter.com/praveenbp21aug","@praveenbp21aug")</f>
        <v>@praveenbp21aug</v>
      </c>
      <c r="C6539" s="21" t="s">
        <v>14687</v>
      </c>
      <c r="D6539" s="21" t="s">
        <v>42</v>
      </c>
      <c r="E6539" s="22" t="str">
        <f>HYPERLINK("https://twitter.com/praveenbp21aug/status/922518096740413440","922518096740413440")</f>
        <v>922518096740413440</v>
      </c>
      <c r="F6539" s="23" t="s">
        <v>33</v>
      </c>
      <c r="G6539" s="24">
        <v>526.0</v>
      </c>
      <c r="H6539" s="24">
        <v>262.0</v>
      </c>
      <c r="I6539" s="24">
        <v>8501.0</v>
      </c>
      <c r="J6539" s="24">
        <v>0.0</v>
      </c>
      <c r="K6539" s="23" t="s">
        <v>34</v>
      </c>
      <c r="L6539" s="25">
        <v>41910.5131712963</v>
      </c>
      <c r="M6539" s="26" t="s">
        <v>14688</v>
      </c>
      <c r="N6539" s="26" t="s">
        <v>14689</v>
      </c>
      <c r="O6539" s="22" t="str">
        <f>HYPERLINK("https://pbs.twimg.com/profile_images/704715689710325760/MzVDXLPr_normal.jpg","View")</f>
        <v>View</v>
      </c>
      <c r="P6539" s="27"/>
    </row>
    <row r="6540">
      <c r="A6540" s="14">
        <v>43031.44493055556</v>
      </c>
      <c r="B6540" s="20" t="str">
        <f>HYPERLINK("https://twitter.com/satyacmehta","@satyacmehta")</f>
        <v>@satyacmehta</v>
      </c>
      <c r="C6540" s="21" t="s">
        <v>14690</v>
      </c>
      <c r="D6540" s="21" t="s">
        <v>42</v>
      </c>
      <c r="E6540" s="22" t="str">
        <f>HYPERLINK("https://twitter.com/satyacmehta/status/922518155494268928","922518155494268928")</f>
        <v>922518155494268928</v>
      </c>
      <c r="F6540" s="23" t="s">
        <v>33</v>
      </c>
      <c r="G6540" s="24">
        <v>13.0</v>
      </c>
      <c r="H6540" s="24">
        <v>299.0</v>
      </c>
      <c r="I6540" s="24">
        <v>8501.0</v>
      </c>
      <c r="J6540" s="24">
        <v>0.0</v>
      </c>
      <c r="K6540" s="23" t="s">
        <v>34</v>
      </c>
      <c r="L6540" s="25">
        <v>43027.02428240741</v>
      </c>
      <c r="M6540" s="26" t="s">
        <v>14691</v>
      </c>
      <c r="N6540" s="26" t="s">
        <v>14692</v>
      </c>
      <c r="O6540" s="22" t="str">
        <f>HYPERLINK("https://pbs.twimg.com/profile_images/920920032770584576/-SPFBXBd_normal.jpg","View")</f>
        <v>View</v>
      </c>
      <c r="P6540" s="27"/>
    </row>
    <row r="6541">
      <c r="A6541" s="14">
        <v>43031.445023148146</v>
      </c>
      <c r="B6541" s="20" t="str">
        <f>HYPERLINK("https://twitter.com/LOOVKUSH","@LOOVKUSH")</f>
        <v>@LOOVKUSH</v>
      </c>
      <c r="C6541" s="21" t="s">
        <v>14693</v>
      </c>
      <c r="D6541" s="21" t="s">
        <v>42</v>
      </c>
      <c r="E6541" s="22" t="str">
        <f>HYPERLINK("https://twitter.com/LOOVKUSH/status/922518190126546944","922518190126546944")</f>
        <v>922518190126546944</v>
      </c>
      <c r="F6541" s="23" t="s">
        <v>33</v>
      </c>
      <c r="G6541" s="24">
        <v>108.0</v>
      </c>
      <c r="H6541" s="24">
        <v>271.0</v>
      </c>
      <c r="I6541" s="24">
        <v>8501.0</v>
      </c>
      <c r="J6541" s="24">
        <v>0.0</v>
      </c>
      <c r="K6541" s="23" t="s">
        <v>34</v>
      </c>
      <c r="L6541" s="25">
        <v>40018.00219907407</v>
      </c>
      <c r="M6541" s="26" t="s">
        <v>204</v>
      </c>
      <c r="N6541" s="26" t="s">
        <v>14694</v>
      </c>
      <c r="O6541" s="22" t="str">
        <f>HYPERLINK("https://pbs.twimg.com/profile_images/2993832173/6709574d9e33b9d543a22499e4e11602_normal.jpeg","View")</f>
        <v>View</v>
      </c>
      <c r="P6541" s="27"/>
    </row>
    <row r="6542">
      <c r="A6542" s="14">
        <v>43031.445115740746</v>
      </c>
      <c r="B6542" s="20" t="str">
        <f>HYPERLINK("https://twitter.com/SaurabhJoshi","@SaurabhJoshi")</f>
        <v>@SaurabhJoshi</v>
      </c>
      <c r="C6542" s="21" t="s">
        <v>14695</v>
      </c>
      <c r="D6542" s="21" t="s">
        <v>14696</v>
      </c>
      <c r="E6542" s="22" t="str">
        <f>HYPERLINK("https://twitter.com/SaurabhJoshi/status/922518222045200388","922518222045200388")</f>
        <v>922518222045200388</v>
      </c>
      <c r="F6542" s="23" t="s">
        <v>55</v>
      </c>
      <c r="G6542" s="24">
        <v>3972.0</v>
      </c>
      <c r="H6542" s="24">
        <v>1212.0</v>
      </c>
      <c r="I6542" s="24">
        <v>3.0</v>
      </c>
      <c r="J6542" s="24">
        <v>2.0</v>
      </c>
      <c r="K6542" s="23" t="s">
        <v>34</v>
      </c>
      <c r="L6542" s="25">
        <v>39793.08996527777</v>
      </c>
      <c r="M6542" s="26" t="s">
        <v>575</v>
      </c>
      <c r="N6542" s="26" t="s">
        <v>14697</v>
      </c>
      <c r="O6542" s="22" t="str">
        <f>HYPERLINK("https://pbs.twimg.com/profile_images/855396361105166337/rUBeRxHy_normal.jpg","View")</f>
        <v>View</v>
      </c>
      <c r="P6542" s="27"/>
    </row>
    <row r="6543">
      <c r="A6543" s="14">
        <v>43031.44528935185</v>
      </c>
      <c r="B6543" s="20" t="str">
        <f>HYPERLINK("https://twitter.com/manish4525","@manish4525")</f>
        <v>@manish4525</v>
      </c>
      <c r="C6543" s="21" t="s">
        <v>14698</v>
      </c>
      <c r="D6543" s="21" t="s">
        <v>42</v>
      </c>
      <c r="E6543" s="22" t="str">
        <f>HYPERLINK("https://twitter.com/manish4525/status/922518287296053248","922518287296053248")</f>
        <v>922518287296053248</v>
      </c>
      <c r="F6543" s="23" t="s">
        <v>33</v>
      </c>
      <c r="G6543" s="24">
        <v>2006.0</v>
      </c>
      <c r="H6543" s="24">
        <v>1641.0</v>
      </c>
      <c r="I6543" s="24">
        <v>8501.0</v>
      </c>
      <c r="J6543" s="24">
        <v>0.0</v>
      </c>
      <c r="K6543" s="23" t="s">
        <v>34</v>
      </c>
      <c r="L6543" s="25">
        <v>42147.3262962963</v>
      </c>
      <c r="M6543" s="26" t="s">
        <v>14699</v>
      </c>
      <c r="N6543" s="26" t="s">
        <v>14700</v>
      </c>
      <c r="O6543" s="22" t="str">
        <f>HYPERLINK("https://pbs.twimg.com/profile_images/866273195904696320/CqL_2OpB_normal.jpg","View")</f>
        <v>View</v>
      </c>
      <c r="P6543" s="27"/>
    </row>
    <row r="6544">
      <c r="A6544" s="14">
        <v>43031.445486111115</v>
      </c>
      <c r="B6544" s="20" t="str">
        <f>HYPERLINK("https://twitter.com/santobhat","@santobhat")</f>
        <v>@santobhat</v>
      </c>
      <c r="C6544" s="21" t="s">
        <v>14701</v>
      </c>
      <c r="D6544" s="21" t="s">
        <v>42</v>
      </c>
      <c r="E6544" s="22" t="str">
        <f>HYPERLINK("https://twitter.com/santobhat/status/922518354853707776","922518354853707776")</f>
        <v>922518354853707776</v>
      </c>
      <c r="F6544" s="23" t="s">
        <v>33</v>
      </c>
      <c r="G6544" s="24">
        <v>33.0</v>
      </c>
      <c r="H6544" s="24">
        <v>83.0</v>
      </c>
      <c r="I6544" s="24">
        <v>8501.0</v>
      </c>
      <c r="J6544" s="24">
        <v>0.0</v>
      </c>
      <c r="K6544" s="23" t="s">
        <v>34</v>
      </c>
      <c r="L6544" s="25">
        <v>40078.34614583333</v>
      </c>
      <c r="M6544" s="28"/>
      <c r="N6544" s="28"/>
      <c r="O6544" s="22" t="str">
        <f>HYPERLINK("https://abs.twimg.com/sticky/default_profile_images/default_profile_normal.png","View")</f>
        <v>View</v>
      </c>
      <c r="P6544" s="27"/>
    </row>
    <row r="6545">
      <c r="A6545" s="14">
        <v>43031.4455787037</v>
      </c>
      <c r="B6545" s="20" t="str">
        <f>HYPERLINK("https://twitter.com/ash_sh","@ash_sh")</f>
        <v>@ash_sh</v>
      </c>
      <c r="C6545" s="21" t="s">
        <v>4489</v>
      </c>
      <c r="D6545" s="21" t="s">
        <v>42</v>
      </c>
      <c r="E6545" s="22" t="str">
        <f>HYPERLINK("https://twitter.com/ash_sh/status/922518390060797955","922518390060797955")</f>
        <v>922518390060797955</v>
      </c>
      <c r="F6545" s="23" t="s">
        <v>33</v>
      </c>
      <c r="G6545" s="24">
        <v>29.0</v>
      </c>
      <c r="H6545" s="24">
        <v>79.0</v>
      </c>
      <c r="I6545" s="24">
        <v>8501.0</v>
      </c>
      <c r="J6545" s="24">
        <v>0.0</v>
      </c>
      <c r="K6545" s="23" t="s">
        <v>34</v>
      </c>
      <c r="L6545" s="25">
        <v>40221.18818287037</v>
      </c>
      <c r="M6545" s="26" t="s">
        <v>204</v>
      </c>
      <c r="N6545" s="26" t="s">
        <v>14702</v>
      </c>
      <c r="O6545" s="22" t="str">
        <f>HYPERLINK("https://pbs.twimg.com/profile_images/826065322360840194/o5yjTaSo_normal.jpg","View")</f>
        <v>View</v>
      </c>
      <c r="P6545" s="27"/>
    </row>
    <row r="6546">
      <c r="A6546" s="14">
        <v>43031.44590277778</v>
      </c>
      <c r="B6546" s="20" t="str">
        <f>HYPERLINK("https://twitter.com/YolaVerona","@YolaVerona")</f>
        <v>@YolaVerona</v>
      </c>
      <c r="C6546" s="21" t="s">
        <v>14703</v>
      </c>
      <c r="D6546" s="21" t="s">
        <v>14682</v>
      </c>
      <c r="E6546" s="22" t="str">
        <f>HYPERLINK("https://twitter.com/YolaVerona/status/922518506935128070","922518506935128070")</f>
        <v>922518506935128070</v>
      </c>
      <c r="F6546" s="23" t="s">
        <v>55</v>
      </c>
      <c r="G6546" s="24">
        <v>401.0</v>
      </c>
      <c r="H6546" s="24">
        <v>708.0</v>
      </c>
      <c r="I6546" s="24">
        <v>5.0</v>
      </c>
      <c r="J6546" s="24">
        <v>0.0</v>
      </c>
      <c r="K6546" s="23" t="s">
        <v>34</v>
      </c>
      <c r="L6546" s="25">
        <v>40729.85383101852</v>
      </c>
      <c r="M6546" s="26" t="s">
        <v>14704</v>
      </c>
      <c r="N6546" s="26" t="s">
        <v>14705</v>
      </c>
      <c r="O6546" s="22" t="str">
        <f>HYPERLINK("https://pbs.twimg.com/profile_images/526768029627994113/7OLJ_kYr_normal.jpeg","View")</f>
        <v>View</v>
      </c>
      <c r="P6546" s="27"/>
    </row>
    <row r="6547">
      <c r="A6547" s="14">
        <v>43031.445972222224</v>
      </c>
      <c r="B6547" s="20" t="str">
        <f>HYPERLINK("https://twitter.com/sandeepks239","@sandeepks239")</f>
        <v>@sandeepks239</v>
      </c>
      <c r="C6547" s="21" t="s">
        <v>14706</v>
      </c>
      <c r="D6547" s="21" t="s">
        <v>42</v>
      </c>
      <c r="E6547" s="22" t="str">
        <f>HYPERLINK("https://twitter.com/sandeepks239/status/922518533359132672","922518533359132672")</f>
        <v>922518533359132672</v>
      </c>
      <c r="F6547" s="23" t="s">
        <v>33</v>
      </c>
      <c r="G6547" s="24">
        <v>5.0</v>
      </c>
      <c r="H6547" s="24">
        <v>229.0</v>
      </c>
      <c r="I6547" s="24">
        <v>8501.0</v>
      </c>
      <c r="J6547" s="24">
        <v>0.0</v>
      </c>
      <c r="K6547" s="23" t="s">
        <v>34</v>
      </c>
      <c r="L6547" s="25">
        <v>41778.41905092593</v>
      </c>
      <c r="M6547" s="28"/>
      <c r="N6547" s="28"/>
      <c r="O6547" s="22" t="str">
        <f>HYPERLINK("https://abs.twimg.com/sticky/default_profile_images/default_profile_normal.png","View")</f>
        <v>View</v>
      </c>
      <c r="P6547" s="27"/>
    </row>
    <row r="6548">
      <c r="A6548" s="14">
        <v>43031.44600694445</v>
      </c>
      <c r="B6548" s="20" t="str">
        <f>HYPERLINK("https://twitter.com/RaisinaSeries","@RaisinaSeries")</f>
        <v>@RaisinaSeries</v>
      </c>
      <c r="C6548" s="21" t="s">
        <v>14707</v>
      </c>
      <c r="D6548" s="21" t="s">
        <v>14708</v>
      </c>
      <c r="E6548" s="22" t="str">
        <f>HYPERLINK("https://twitter.com/RaisinaSeries/status/922518546969542657","922518546969542657")</f>
        <v>922518546969542657</v>
      </c>
      <c r="F6548" s="23" t="s">
        <v>39</v>
      </c>
      <c r="G6548" s="24">
        <v>24170.0</v>
      </c>
      <c r="H6548" s="24">
        <v>231.0</v>
      </c>
      <c r="I6548" s="24">
        <v>3.0</v>
      </c>
      <c r="J6548" s="24">
        <v>0.0</v>
      </c>
      <c r="K6548" s="23" t="s">
        <v>34</v>
      </c>
      <c r="L6548" s="25">
        <v>41291.49873842593</v>
      </c>
      <c r="M6548" s="26" t="s">
        <v>14709</v>
      </c>
      <c r="N6548" s="26" t="s">
        <v>14710</v>
      </c>
      <c r="O6548" s="22" t="str">
        <f>HYPERLINK("https://pbs.twimg.com/profile_images/835127600716525568/SKkzaFgh_normal.jpg","View")</f>
        <v>View</v>
      </c>
      <c r="P6548" s="27"/>
    </row>
    <row r="6549">
      <c r="A6549" s="14">
        <v>43031.446180555555</v>
      </c>
      <c r="B6549" s="20" t="str">
        <f>HYPERLINK("https://twitter.com/lovelysachin156","@lovelysachin156")</f>
        <v>@lovelysachin156</v>
      </c>
      <c r="C6549" s="21" t="s">
        <v>14711</v>
      </c>
      <c r="D6549" s="21" t="s">
        <v>42</v>
      </c>
      <c r="E6549" s="22" t="str">
        <f>HYPERLINK("https://twitter.com/lovelysachin156/status/922518608525148160","922518608525148160")</f>
        <v>922518608525148160</v>
      </c>
      <c r="F6549" s="23" t="s">
        <v>33</v>
      </c>
      <c r="G6549" s="24">
        <v>118.0</v>
      </c>
      <c r="H6549" s="24">
        <v>119.0</v>
      </c>
      <c r="I6549" s="24">
        <v>8501.0</v>
      </c>
      <c r="J6549" s="24">
        <v>0.0</v>
      </c>
      <c r="K6549" s="23" t="s">
        <v>34</v>
      </c>
      <c r="L6549" s="25">
        <v>40959.243252314816</v>
      </c>
      <c r="M6549" s="26" t="s">
        <v>603</v>
      </c>
      <c r="N6549" s="26" t="s">
        <v>14712</v>
      </c>
      <c r="O6549" s="22" t="str">
        <f>HYPERLINK("https://pbs.twimg.com/profile_images/441463357787209728/moQvl58e_normal.jpeg","View")</f>
        <v>View</v>
      </c>
      <c r="P6549" s="27"/>
    </row>
    <row r="6550">
      <c r="A6550" s="14">
        <v>43031.446180555555</v>
      </c>
      <c r="B6550" s="20" t="str">
        <f>HYPERLINK("https://twitter.com/RANATABASSUM3","@RANATABASSUM3")</f>
        <v>@RANATABASSUM3</v>
      </c>
      <c r="C6550" s="21" t="s">
        <v>14713</v>
      </c>
      <c r="D6550" s="21" t="s">
        <v>14714</v>
      </c>
      <c r="E6550" s="22" t="str">
        <f>HYPERLINK("https://twitter.com/RANATABASSUM3/status/922518608974110722","922518608974110722")</f>
        <v>922518608974110722</v>
      </c>
      <c r="F6550" s="23" t="s">
        <v>55</v>
      </c>
      <c r="G6550" s="24">
        <v>445.0</v>
      </c>
      <c r="H6550" s="24">
        <v>530.0</v>
      </c>
      <c r="I6550" s="24">
        <v>0.0</v>
      </c>
      <c r="J6550" s="24">
        <v>0.0</v>
      </c>
      <c r="K6550" s="23" t="s">
        <v>34</v>
      </c>
      <c r="L6550" s="25">
        <v>41067.677766203706</v>
      </c>
      <c r="M6550" s="26" t="s">
        <v>14715</v>
      </c>
      <c r="N6550" s="26" t="s">
        <v>14716</v>
      </c>
      <c r="O6550" s="22" t="str">
        <f>HYPERLINK("https://pbs.twimg.com/profile_images/2289173358/ge4nohgwzbi5nf09o9ks_normal.jpeg","View")</f>
        <v>View</v>
      </c>
      <c r="P6550" s="27"/>
    </row>
    <row r="6551">
      <c r="A6551" s="14">
        <v>43031.44658564815</v>
      </c>
      <c r="B6551" s="20" t="str">
        <f>HYPERLINK("https://twitter.com/drdsharma4","@drdsharma4")</f>
        <v>@drdsharma4</v>
      </c>
      <c r="C6551" s="21" t="s">
        <v>14717</v>
      </c>
      <c r="D6551" s="21" t="s">
        <v>42</v>
      </c>
      <c r="E6551" s="22" t="str">
        <f>HYPERLINK("https://twitter.com/drdsharma4/status/922518756722479104","922518756722479104")</f>
        <v>922518756722479104</v>
      </c>
      <c r="F6551" s="23" t="s">
        <v>43</v>
      </c>
      <c r="G6551" s="24">
        <v>1.0</v>
      </c>
      <c r="H6551" s="24">
        <v>80.0</v>
      </c>
      <c r="I6551" s="24">
        <v>8501.0</v>
      </c>
      <c r="J6551" s="24">
        <v>0.0</v>
      </c>
      <c r="K6551" s="23" t="s">
        <v>34</v>
      </c>
      <c r="L6551" s="25">
        <v>42322.139444444445</v>
      </c>
      <c r="M6551" s="26" t="s">
        <v>14718</v>
      </c>
      <c r="N6551" s="28"/>
      <c r="O6551" s="22" t="str">
        <f>HYPERLINK("https://pbs.twimg.com/profile_images/849814549775646720/2OwgbfO0_normal.jpg","View")</f>
        <v>View</v>
      </c>
      <c r="P6551" s="27"/>
    </row>
    <row r="6552">
      <c r="A6552" s="14">
        <v>43031.44664351852</v>
      </c>
      <c r="B6552" s="20" t="str">
        <f>HYPERLINK("https://twitter.com/InfoTryiTan","@InfoTryiTan")</f>
        <v>@InfoTryiTan</v>
      </c>
      <c r="C6552" s="21" t="s">
        <v>14719</v>
      </c>
      <c r="D6552" s="21" t="s">
        <v>14720</v>
      </c>
      <c r="E6552" s="22" t="str">
        <f>HYPERLINK("https://twitter.com/InfoTryiTan/status/922518777450737664","922518777450737664")</f>
        <v>922518777450737664</v>
      </c>
      <c r="F6552" s="23" t="s">
        <v>55</v>
      </c>
      <c r="G6552" s="24">
        <v>62.0</v>
      </c>
      <c r="H6552" s="24">
        <v>103.0</v>
      </c>
      <c r="I6552" s="24">
        <v>0.0</v>
      </c>
      <c r="J6552" s="24">
        <v>0.0</v>
      </c>
      <c r="K6552" s="23" t="s">
        <v>34</v>
      </c>
      <c r="L6552" s="25">
        <v>40556.336550925924</v>
      </c>
      <c r="M6552" s="26" t="s">
        <v>762</v>
      </c>
      <c r="N6552" s="26" t="s">
        <v>14721</v>
      </c>
      <c r="O6552" s="22" t="str">
        <f>HYPERLINK("https://pbs.twimg.com/profile_images/630705662519947264/WKCermeX_normal.jpg","View")</f>
        <v>View</v>
      </c>
      <c r="P6552" s="27"/>
    </row>
    <row r="6553">
      <c r="A6553" s="14">
        <v>43031.44689814815</v>
      </c>
      <c r="B6553" s="20" t="str">
        <f>HYPERLINK("https://twitter.com/Randhir2687910","@Randhir2687910")</f>
        <v>@Randhir2687910</v>
      </c>
      <c r="C6553" s="21" t="s">
        <v>14722</v>
      </c>
      <c r="D6553" s="21" t="s">
        <v>163</v>
      </c>
      <c r="E6553" s="22" t="str">
        <f>HYPERLINK("https://twitter.com/Randhir2687910/status/922518867737395200","922518867737395200")</f>
        <v>922518867737395200</v>
      </c>
      <c r="F6553" s="23" t="s">
        <v>33</v>
      </c>
      <c r="G6553" s="24">
        <v>55.0</v>
      </c>
      <c r="H6553" s="24">
        <v>767.0</v>
      </c>
      <c r="I6553" s="24">
        <v>1005.0</v>
      </c>
      <c r="J6553" s="24">
        <v>0.0</v>
      </c>
      <c r="K6553" s="23" t="s">
        <v>34</v>
      </c>
      <c r="L6553" s="25">
        <v>42610.49642361111</v>
      </c>
      <c r="M6553" s="26" t="s">
        <v>531</v>
      </c>
      <c r="N6553" s="26" t="s">
        <v>14723</v>
      </c>
      <c r="O6553" s="22" t="str">
        <f>HYPERLINK("https://pbs.twimg.com/profile_images/791305797691072512/hixaKlb__normal.jpg","View")</f>
        <v>View</v>
      </c>
      <c r="P6553" s="27"/>
    </row>
    <row r="6554">
      <c r="A6554" s="14">
        <v>43031.44703703704</v>
      </c>
      <c r="B6554" s="20" t="str">
        <f>HYPERLINK("https://twitter.com/KiwiPMI","@KiwiPMI")</f>
        <v>@KiwiPMI</v>
      </c>
      <c r="C6554" s="21" t="s">
        <v>14724</v>
      </c>
      <c r="D6554" s="21" t="s">
        <v>14725</v>
      </c>
      <c r="E6554" s="22" t="str">
        <f>HYPERLINK("https://twitter.com/KiwiPMI/status/922518918912200704","922518918912200704")</f>
        <v>922518918912200704</v>
      </c>
      <c r="F6554" s="23" t="s">
        <v>55</v>
      </c>
      <c r="G6554" s="24">
        <v>302.0</v>
      </c>
      <c r="H6554" s="24">
        <v>426.0</v>
      </c>
      <c r="I6554" s="24">
        <v>0.0</v>
      </c>
      <c r="J6554" s="24">
        <v>1.0</v>
      </c>
      <c r="K6554" s="23" t="s">
        <v>34</v>
      </c>
      <c r="L6554" s="25">
        <v>41486.5246875</v>
      </c>
      <c r="M6554" s="26" t="s">
        <v>3187</v>
      </c>
      <c r="N6554" s="26" t="s">
        <v>14726</v>
      </c>
      <c r="O6554" s="22" t="str">
        <f>HYPERLINK("https://pbs.twimg.com/profile_images/610850039426998272/ZNViE6Kq_normal.jpg","View")</f>
        <v>View</v>
      </c>
      <c r="P6554" s="27"/>
    </row>
    <row r="6555">
      <c r="A6555" s="14">
        <v>43031.4471412037</v>
      </c>
      <c r="B6555" s="20" t="str">
        <f>HYPERLINK("https://twitter.com/ajaydeepchouhan","@ajaydeepchouhan")</f>
        <v>@ajaydeepchouhan</v>
      </c>
      <c r="C6555" s="21" t="s">
        <v>14727</v>
      </c>
      <c r="D6555" s="21" t="s">
        <v>14728</v>
      </c>
      <c r="E6555" s="22" t="str">
        <f>HYPERLINK("https://twitter.com/ajaydeepchouhan/status/922518954714603520","922518954714603520")</f>
        <v>922518954714603520</v>
      </c>
      <c r="F6555" s="23" t="s">
        <v>33</v>
      </c>
      <c r="G6555" s="24">
        <v>223.0</v>
      </c>
      <c r="H6555" s="24">
        <v>3907.0</v>
      </c>
      <c r="I6555" s="24">
        <v>7.0</v>
      </c>
      <c r="J6555" s="24">
        <v>0.0</v>
      </c>
      <c r="K6555" s="23" t="s">
        <v>34</v>
      </c>
      <c r="L6555" s="25">
        <v>41326.32858796296</v>
      </c>
      <c r="M6555" s="26" t="s">
        <v>3042</v>
      </c>
      <c r="N6555" s="26" t="s">
        <v>14729</v>
      </c>
      <c r="O6555" s="22" t="str">
        <f>HYPERLINK("https://pbs.twimg.com/profile_images/873033553386151936/4-45AoNt_normal.jpg","View")</f>
        <v>View</v>
      </c>
      <c r="P6555" s="27"/>
    </row>
    <row r="6556">
      <c r="A6556" s="14">
        <v>43031.44734953703</v>
      </c>
      <c r="B6556" s="20" t="str">
        <f>HYPERLINK("https://twitter.com/pranavkisu","@pranavkisu")</f>
        <v>@pranavkisu</v>
      </c>
      <c r="C6556" s="21" t="s">
        <v>14730</v>
      </c>
      <c r="D6556" s="21" t="s">
        <v>42</v>
      </c>
      <c r="E6556" s="22" t="str">
        <f>HYPERLINK("https://twitter.com/pranavkisu/status/922519030312747009","922519030312747009")</f>
        <v>922519030312747009</v>
      </c>
      <c r="F6556" s="23" t="s">
        <v>33</v>
      </c>
      <c r="G6556" s="24">
        <v>100.0</v>
      </c>
      <c r="H6556" s="24">
        <v>74.0</v>
      </c>
      <c r="I6556" s="24">
        <v>8501.0</v>
      </c>
      <c r="J6556" s="24">
        <v>0.0</v>
      </c>
      <c r="K6556" s="23" t="s">
        <v>34</v>
      </c>
      <c r="L6556" s="25">
        <v>40619.45423611111</v>
      </c>
      <c r="M6556" s="28"/>
      <c r="N6556" s="26" t="s">
        <v>80</v>
      </c>
      <c r="O6556" s="22" t="str">
        <f>HYPERLINK("https://pbs.twimg.com/profile_images/854367244796571648/EWGUut9g_normal.jpg","View")</f>
        <v>View</v>
      </c>
      <c r="P6556" s="27"/>
    </row>
    <row r="6557">
      <c r="A6557" s="14">
        <v>43031.447384259256</v>
      </c>
      <c r="B6557" s="20" t="str">
        <f>HYPERLINK("https://twitter.com/satvik_tiwari","@satvik_tiwari")</f>
        <v>@satvik_tiwari</v>
      </c>
      <c r="C6557" s="21" t="s">
        <v>14731</v>
      </c>
      <c r="D6557" s="21" t="s">
        <v>42</v>
      </c>
      <c r="E6557" s="22" t="str">
        <f>HYPERLINK("https://twitter.com/satvik_tiwari/status/922519046473445376","922519046473445376")</f>
        <v>922519046473445376</v>
      </c>
      <c r="F6557" s="23" t="s">
        <v>33</v>
      </c>
      <c r="G6557" s="24">
        <v>315.0</v>
      </c>
      <c r="H6557" s="24">
        <v>1402.0</v>
      </c>
      <c r="I6557" s="24">
        <v>8501.0</v>
      </c>
      <c r="J6557" s="24">
        <v>0.0</v>
      </c>
      <c r="K6557" s="23" t="s">
        <v>34</v>
      </c>
      <c r="L6557" s="25">
        <v>42810.39790509259</v>
      </c>
      <c r="M6557" s="26" t="s">
        <v>227</v>
      </c>
      <c r="N6557" s="26" t="s">
        <v>14732</v>
      </c>
      <c r="O6557" s="22" t="str">
        <f>HYPERLINK("https://pbs.twimg.com/profile_images/898205768926638080/B98QZ02D_normal.jpg","View")</f>
        <v>View</v>
      </c>
      <c r="P6557" s="27"/>
    </row>
    <row r="6558">
      <c r="A6558" s="14">
        <v>43031.44740740741</v>
      </c>
      <c r="B6558" s="20" t="str">
        <f>HYPERLINK("https://twitter.com/TheEconomist","@TheEconomist")</f>
        <v>@TheEconomist</v>
      </c>
      <c r="C6558" s="21" t="s">
        <v>14733</v>
      </c>
      <c r="D6558" s="21" t="s">
        <v>14734</v>
      </c>
      <c r="E6558" s="22" t="str">
        <f>HYPERLINK("https://twitter.com/TheEconomist/status/922519053960404992","922519053960404992")</f>
        <v>922519053960404992</v>
      </c>
      <c r="F6558" s="23" t="s">
        <v>1103</v>
      </c>
      <c r="G6558" s="24">
        <v>2.2229466E7</v>
      </c>
      <c r="H6558" s="24">
        <v>157.0</v>
      </c>
      <c r="I6558" s="24">
        <v>46.0</v>
      </c>
      <c r="J6558" s="24">
        <v>52.0</v>
      </c>
      <c r="K6558" s="23" t="s">
        <v>34</v>
      </c>
      <c r="L6558" s="25">
        <v>39214.25335648148</v>
      </c>
      <c r="M6558" s="26" t="s">
        <v>334</v>
      </c>
      <c r="N6558" s="26" t="s">
        <v>14735</v>
      </c>
      <c r="O6558" s="22" t="str">
        <f>HYPERLINK("https://pbs.twimg.com/profile_images/879361767914262528/HdRauDM-_normal.jpg","View")</f>
        <v>View</v>
      </c>
      <c r="P6558" s="27"/>
    </row>
    <row r="6559">
      <c r="A6559" s="14">
        <v>43031.44741898148</v>
      </c>
      <c r="B6559" s="20" t="str">
        <f>HYPERLINK("https://twitter.com/rajes025","@rajes025")</f>
        <v>@rajes025</v>
      </c>
      <c r="C6559" s="21" t="s">
        <v>14736</v>
      </c>
      <c r="D6559" s="21" t="s">
        <v>42</v>
      </c>
      <c r="E6559" s="22" t="str">
        <f>HYPERLINK("https://twitter.com/rajes025/status/922519055675691008","922519055675691008")</f>
        <v>922519055675691008</v>
      </c>
      <c r="F6559" s="23" t="s">
        <v>33</v>
      </c>
      <c r="G6559" s="24">
        <v>1373.0</v>
      </c>
      <c r="H6559" s="24">
        <v>408.0</v>
      </c>
      <c r="I6559" s="24">
        <v>8501.0</v>
      </c>
      <c r="J6559" s="24">
        <v>0.0</v>
      </c>
      <c r="K6559" s="23" t="s">
        <v>34</v>
      </c>
      <c r="L6559" s="25">
        <v>40984.281875</v>
      </c>
      <c r="M6559" s="35" t="s">
        <v>14737</v>
      </c>
      <c r="N6559" s="26" t="s">
        <v>14738</v>
      </c>
      <c r="O6559" s="22" t="str">
        <f>HYPERLINK("https://pbs.twimg.com/profile_images/837525268109508609/O_AfcBoe_normal.jpg","View")</f>
        <v>View</v>
      </c>
      <c r="P6559" s="27"/>
    </row>
    <row r="6560">
      <c r="A6560" s="14">
        <v>43031.44744212963</v>
      </c>
      <c r="B6560" s="20" t="str">
        <f>HYPERLINK("https://twitter.com/candangacasique","@candangacasique")</f>
        <v>@candangacasique</v>
      </c>
      <c r="C6560" s="21" t="s">
        <v>14739</v>
      </c>
      <c r="D6560" s="21" t="s">
        <v>14740</v>
      </c>
      <c r="E6560" s="22" t="str">
        <f>HYPERLINK("https://twitter.com/candangacasique/status/922519067755507712","922519067755507712")</f>
        <v>922519067755507712</v>
      </c>
      <c r="F6560" s="23" t="s">
        <v>187</v>
      </c>
      <c r="G6560" s="24">
        <v>4401.0</v>
      </c>
      <c r="H6560" s="24">
        <v>5000.0</v>
      </c>
      <c r="I6560" s="24">
        <v>0.0</v>
      </c>
      <c r="J6560" s="24">
        <v>0.0</v>
      </c>
      <c r="K6560" s="23" t="s">
        <v>34</v>
      </c>
      <c r="L6560" s="25">
        <v>40364.68035879629</v>
      </c>
      <c r="M6560" s="26" t="s">
        <v>14741</v>
      </c>
      <c r="N6560" s="26" t="s">
        <v>14742</v>
      </c>
      <c r="O6560" s="22" t="str">
        <f>HYPERLINK("https://pbs.twimg.com/profile_images/874831349672267776/k2WGcjH1_normal.jpg","View")</f>
        <v>View</v>
      </c>
      <c r="P6560" s="27"/>
    </row>
    <row r="6561">
      <c r="A6561" s="14">
        <v>43031.44746527778</v>
      </c>
      <c r="B6561" s="20" t="str">
        <f>HYPERLINK("https://twitter.com/Essay_Lords","@Essay_Lords")</f>
        <v>@Essay_Lords</v>
      </c>
      <c r="C6561" s="21" t="s">
        <v>773</v>
      </c>
      <c r="D6561" s="21" t="s">
        <v>14743</v>
      </c>
      <c r="E6561" s="22" t="str">
        <f>HYPERLINK("https://twitter.com/Essay_Lords/status/922519074881630216","922519074881630216")</f>
        <v>922519074881630216</v>
      </c>
      <c r="F6561" s="23" t="s">
        <v>187</v>
      </c>
      <c r="G6561" s="24">
        <v>4311.0</v>
      </c>
      <c r="H6561" s="24">
        <v>3617.0</v>
      </c>
      <c r="I6561" s="24">
        <v>0.0</v>
      </c>
      <c r="J6561" s="24">
        <v>0.0</v>
      </c>
      <c r="K6561" s="23" t="s">
        <v>34</v>
      </c>
      <c r="L6561" s="25">
        <v>41982.42165509259</v>
      </c>
      <c r="M6561" s="26" t="s">
        <v>567</v>
      </c>
      <c r="N6561" s="26" t="s">
        <v>775</v>
      </c>
      <c r="O6561" s="22" t="str">
        <f>HYPERLINK("https://pbs.twimg.com/profile_images/722066414362894336/kHUvL0fA_normal.jpg","View")</f>
        <v>View</v>
      </c>
      <c r="P6561" s="27"/>
    </row>
    <row r="6562">
      <c r="A6562" s="14">
        <v>43031.447650462964</v>
      </c>
      <c r="B6562" s="20" t="str">
        <f>HYPERLINK("https://twitter.com/imdrskumar","@imdrskumar")</f>
        <v>@imdrskumar</v>
      </c>
      <c r="C6562" s="21" t="s">
        <v>14744</v>
      </c>
      <c r="D6562" s="21" t="s">
        <v>14745</v>
      </c>
      <c r="E6562" s="22" t="str">
        <f>HYPERLINK("https://twitter.com/imdrskumar/status/922519142342606848","922519142342606848")</f>
        <v>922519142342606848</v>
      </c>
      <c r="F6562" s="23" t="s">
        <v>33</v>
      </c>
      <c r="G6562" s="24">
        <v>276.0</v>
      </c>
      <c r="H6562" s="24">
        <v>509.0</v>
      </c>
      <c r="I6562" s="24">
        <v>0.0</v>
      </c>
      <c r="J6562" s="24">
        <v>0.0</v>
      </c>
      <c r="K6562" s="23" t="s">
        <v>34</v>
      </c>
      <c r="L6562" s="25">
        <v>42733.830138888894</v>
      </c>
      <c r="M6562" s="26" t="s">
        <v>575</v>
      </c>
      <c r="N6562" s="26" t="s">
        <v>14746</v>
      </c>
      <c r="O6562" s="22" t="str">
        <f>HYPERLINK("https://pbs.twimg.com/profile_images/915410032874840065/Rht6TPHC_normal.jpg","View")</f>
        <v>View</v>
      </c>
      <c r="P6562" s="27"/>
    </row>
    <row r="6563">
      <c r="A6563" s="14">
        <v>43031.44769675926</v>
      </c>
      <c r="B6563" s="20" t="str">
        <f>HYPERLINK("https://twitter.com/SudeepPaw89","@SudeepPaw89")</f>
        <v>@SudeepPaw89</v>
      </c>
      <c r="C6563" s="21" t="s">
        <v>14747</v>
      </c>
      <c r="D6563" s="21" t="s">
        <v>14748</v>
      </c>
      <c r="E6563" s="22" t="str">
        <f>HYPERLINK("https://twitter.com/SudeepPaw89/status/922519159157743616","922519159157743616")</f>
        <v>922519159157743616</v>
      </c>
      <c r="F6563" s="23" t="s">
        <v>33</v>
      </c>
      <c r="G6563" s="24">
        <v>549.0</v>
      </c>
      <c r="H6563" s="24">
        <v>4992.0</v>
      </c>
      <c r="I6563" s="24">
        <v>46.0</v>
      </c>
      <c r="J6563" s="24">
        <v>0.0</v>
      </c>
      <c r="K6563" s="23" t="s">
        <v>34</v>
      </c>
      <c r="L6563" s="25">
        <v>41931.34664351852</v>
      </c>
      <c r="M6563" s="26" t="s">
        <v>14749</v>
      </c>
      <c r="N6563" s="26" t="s">
        <v>14750</v>
      </c>
      <c r="O6563" s="22" t="str">
        <f>HYPERLINK("https://pbs.twimg.com/profile_images/900716115298537473/UOTA0zxx_normal.jpg","View")</f>
        <v>View</v>
      </c>
      <c r="P6563" s="27"/>
    </row>
    <row r="6564">
      <c r="A6564" s="14">
        <v>43031.44782407407</v>
      </c>
      <c r="B6564" s="20" t="str">
        <f>HYPERLINK("https://twitter.com/malcom2x","@malcom2x")</f>
        <v>@malcom2x</v>
      </c>
      <c r="C6564" s="21" t="s">
        <v>2073</v>
      </c>
      <c r="D6564" s="21" t="s">
        <v>14748</v>
      </c>
      <c r="E6564" s="22" t="str">
        <f>HYPERLINK("https://twitter.com/malcom2x/status/922519204187856896","922519204187856896")</f>
        <v>922519204187856896</v>
      </c>
      <c r="F6564" s="23" t="s">
        <v>39</v>
      </c>
      <c r="G6564" s="24">
        <v>1352.0</v>
      </c>
      <c r="H6564" s="24">
        <v>1098.0</v>
      </c>
      <c r="I6564" s="24">
        <v>46.0</v>
      </c>
      <c r="J6564" s="24">
        <v>0.0</v>
      </c>
      <c r="K6564" s="23" t="s">
        <v>34</v>
      </c>
      <c r="L6564" s="25">
        <v>40191.639074074075</v>
      </c>
      <c r="M6564" s="26" t="s">
        <v>1563</v>
      </c>
      <c r="N6564" s="26" t="s">
        <v>2074</v>
      </c>
      <c r="O6564" s="22" t="str">
        <f>HYPERLINK("https://pbs.twimg.com/profile_images/757599504346517504/TKKMDUvp_normal.jpg","View")</f>
        <v>View</v>
      </c>
      <c r="P6564" s="27"/>
    </row>
    <row r="6565">
      <c r="A6565" s="14">
        <v>43031.44795138889</v>
      </c>
      <c r="B6565" s="20" t="str">
        <f>HYPERLINK("https://twitter.com/deduped_economi","@deduped_economi")</f>
        <v>@deduped_economi</v>
      </c>
      <c r="C6565" s="21" t="s">
        <v>14751</v>
      </c>
      <c r="D6565" s="21" t="s">
        <v>14748</v>
      </c>
      <c r="E6565" s="22" t="str">
        <f>HYPERLINK("https://twitter.com/deduped_economi/status/922519250262040576","922519250262040576")</f>
        <v>922519250262040576</v>
      </c>
      <c r="F6565" s="23" t="s">
        <v>14752</v>
      </c>
      <c r="G6565" s="24">
        <v>166.0</v>
      </c>
      <c r="H6565" s="24">
        <v>0.0</v>
      </c>
      <c r="I6565" s="24">
        <v>46.0</v>
      </c>
      <c r="J6565" s="24">
        <v>0.0</v>
      </c>
      <c r="K6565" s="23" t="s">
        <v>34</v>
      </c>
      <c r="L6565" s="25">
        <v>42228.569247685184</v>
      </c>
      <c r="M6565" s="28"/>
      <c r="N6565" s="28"/>
      <c r="O6565" s="22" t="str">
        <f>HYPERLINK("https://abs.twimg.com/sticky/default_profile_images/default_profile_normal.png","View")</f>
        <v>View</v>
      </c>
      <c r="P6565" s="27"/>
    </row>
    <row r="6566">
      <c r="A6566" s="14">
        <v>43031.44806712963</v>
      </c>
      <c r="B6566" s="20" t="str">
        <f>HYPERLINK("https://twitter.com/ManiMishra5","@ManiMishra5")</f>
        <v>@ManiMishra5</v>
      </c>
      <c r="C6566" s="21" t="s">
        <v>14753</v>
      </c>
      <c r="D6566" s="21" t="s">
        <v>42</v>
      </c>
      <c r="E6566" s="22" t="str">
        <f>HYPERLINK("https://twitter.com/ManiMishra5/status/922519290519044096","922519290519044096")</f>
        <v>922519290519044096</v>
      </c>
      <c r="F6566" s="23" t="s">
        <v>33</v>
      </c>
      <c r="G6566" s="24">
        <v>2387.0</v>
      </c>
      <c r="H6566" s="24">
        <v>646.0</v>
      </c>
      <c r="I6566" s="24">
        <v>8501.0</v>
      </c>
      <c r="J6566" s="24">
        <v>0.0</v>
      </c>
      <c r="K6566" s="23" t="s">
        <v>34</v>
      </c>
      <c r="L6566" s="25">
        <v>41340.323749999996</v>
      </c>
      <c r="M6566" s="26" t="s">
        <v>14754</v>
      </c>
      <c r="N6566" s="26" t="s">
        <v>14049</v>
      </c>
      <c r="O6566" s="22" t="str">
        <f>HYPERLINK("https://pbs.twimg.com/profile_images/796727544020140032/gnMJg1z2_normal.jpg","View")</f>
        <v>View</v>
      </c>
      <c r="P6566" s="27"/>
    </row>
    <row r="6567">
      <c r="A6567" s="14">
        <v>43031.448113425926</v>
      </c>
      <c r="B6567" s="20" t="str">
        <f>HYPERLINK("https://twitter.com/emitchhh_","@emitchhh_")</f>
        <v>@emitchhh_</v>
      </c>
      <c r="C6567" s="21" t="s">
        <v>14755</v>
      </c>
      <c r="D6567" s="21" t="s">
        <v>14756</v>
      </c>
      <c r="E6567" s="22" t="str">
        <f>HYPERLINK("https://twitter.com/emitchhh_/status/922519307090841601","922519307090841601")</f>
        <v>922519307090841601</v>
      </c>
      <c r="F6567" s="23" t="s">
        <v>39</v>
      </c>
      <c r="G6567" s="24">
        <v>263.0</v>
      </c>
      <c r="H6567" s="24">
        <v>171.0</v>
      </c>
      <c r="I6567" s="24">
        <v>1.0</v>
      </c>
      <c r="J6567" s="24">
        <v>4.0</v>
      </c>
      <c r="K6567" s="23" t="s">
        <v>34</v>
      </c>
      <c r="L6567" s="25">
        <v>41772.56875</v>
      </c>
      <c r="M6567" s="28"/>
      <c r="N6567" s="28"/>
      <c r="O6567" s="22" t="str">
        <f>HYPERLINK("https://pbs.twimg.com/profile_images/922519506689429504/C29NQUJZ_normal.jpg","View")</f>
        <v>View</v>
      </c>
      <c r="P6567" s="27"/>
    </row>
    <row r="6568">
      <c r="A6568" s="14">
        <v>43031.448124999995</v>
      </c>
      <c r="B6568" s="20" t="str">
        <f>HYPERLINK("https://twitter.com/ajaydeepchouhan","@ajaydeepchouhan")</f>
        <v>@ajaydeepchouhan</v>
      </c>
      <c r="C6568" s="21" t="s">
        <v>14727</v>
      </c>
      <c r="D6568" s="21" t="s">
        <v>42</v>
      </c>
      <c r="E6568" s="22" t="str">
        <f>HYPERLINK("https://twitter.com/ajaydeepchouhan/status/922519312866279424","922519312866279424")</f>
        <v>922519312866279424</v>
      </c>
      <c r="F6568" s="23" t="s">
        <v>33</v>
      </c>
      <c r="G6568" s="24">
        <v>223.0</v>
      </c>
      <c r="H6568" s="24">
        <v>3907.0</v>
      </c>
      <c r="I6568" s="24">
        <v>8501.0</v>
      </c>
      <c r="J6568" s="24">
        <v>0.0</v>
      </c>
      <c r="K6568" s="23" t="s">
        <v>34</v>
      </c>
      <c r="L6568" s="25">
        <v>41326.32858796296</v>
      </c>
      <c r="M6568" s="26" t="s">
        <v>3042</v>
      </c>
      <c r="N6568" s="26" t="s">
        <v>14729</v>
      </c>
      <c r="O6568" s="22" t="str">
        <f>HYPERLINK("https://pbs.twimg.com/profile_images/873033553386151936/4-45AoNt_normal.jpg","View")</f>
        <v>View</v>
      </c>
      <c r="P6568" s="27"/>
    </row>
    <row r="6569">
      <c r="A6569" s="14">
        <v>43031.44813657408</v>
      </c>
      <c r="B6569" s="20" t="str">
        <f>HYPERLINK("https://twitter.com/sunita_jii","@sunita_jii")</f>
        <v>@sunita_jii</v>
      </c>
      <c r="C6569" s="21" t="s">
        <v>14757</v>
      </c>
      <c r="D6569" s="21" t="s">
        <v>42</v>
      </c>
      <c r="E6569" s="22" t="str">
        <f>HYPERLINK("https://twitter.com/sunita_jii/status/922519317446397952","922519317446397952")</f>
        <v>922519317446397952</v>
      </c>
      <c r="F6569" s="23" t="s">
        <v>33</v>
      </c>
      <c r="G6569" s="24">
        <v>993.0</v>
      </c>
      <c r="H6569" s="24">
        <v>172.0</v>
      </c>
      <c r="I6569" s="24">
        <v>8501.0</v>
      </c>
      <c r="J6569" s="24">
        <v>0.0</v>
      </c>
      <c r="K6569" s="23" t="s">
        <v>34</v>
      </c>
      <c r="L6569" s="25">
        <v>42593.42291666666</v>
      </c>
      <c r="M6569" s="26" t="s">
        <v>14758</v>
      </c>
      <c r="N6569" s="26" t="s">
        <v>14759</v>
      </c>
      <c r="O6569" s="22" t="str">
        <f>HYPERLINK("https://pbs.twimg.com/profile_images/921219748649508865/rtJRGRWw_normal.jpg","View")</f>
        <v>View</v>
      </c>
      <c r="P6569" s="27"/>
    </row>
    <row r="6570">
      <c r="A6570" s="14">
        <v>43031.44814814815</v>
      </c>
      <c r="B6570" s="20" t="str">
        <f>HYPERLINK("https://twitter.com/sauravjoshi09","@sauravjoshi09")</f>
        <v>@sauravjoshi09</v>
      </c>
      <c r="C6570" s="21" t="s">
        <v>14760</v>
      </c>
      <c r="D6570" s="21" t="s">
        <v>42</v>
      </c>
      <c r="E6570" s="22" t="str">
        <f>HYPERLINK("https://twitter.com/sauravjoshi09/status/922519320483082240","922519320483082240")</f>
        <v>922519320483082240</v>
      </c>
      <c r="F6570" s="23" t="s">
        <v>33</v>
      </c>
      <c r="G6570" s="24">
        <v>568.0</v>
      </c>
      <c r="H6570" s="24">
        <v>240.0</v>
      </c>
      <c r="I6570" s="24">
        <v>8501.0</v>
      </c>
      <c r="J6570" s="24">
        <v>0.0</v>
      </c>
      <c r="K6570" s="23" t="s">
        <v>34</v>
      </c>
      <c r="L6570" s="25">
        <v>40270.03971064815</v>
      </c>
      <c r="M6570" s="26" t="s">
        <v>14761</v>
      </c>
      <c r="N6570" s="26" t="s">
        <v>14762</v>
      </c>
      <c r="O6570" s="22" t="str">
        <f>HYPERLINK("https://pbs.twimg.com/profile_images/595847005227855873/z9q0ImIc_normal.jpg","View")</f>
        <v>View</v>
      </c>
      <c r="P6570" s="27"/>
    </row>
    <row r="6571">
      <c r="A6571" s="14">
        <v>43031.44820601852</v>
      </c>
      <c r="B6571" s="20" t="str">
        <f>HYPERLINK("https://twitter.com/Social_Media_b5","@Social_Media_b5")</f>
        <v>@Social_Media_b5</v>
      </c>
      <c r="C6571" s="21" t="s">
        <v>1039</v>
      </c>
      <c r="D6571" s="21" t="s">
        <v>14763</v>
      </c>
      <c r="E6571" s="22" t="str">
        <f>HYPERLINK("https://twitter.com/Social_Media_b5/status/922519342260113409","922519342260113409")</f>
        <v>922519342260113409</v>
      </c>
      <c r="F6571" s="23" t="s">
        <v>427</v>
      </c>
      <c r="G6571" s="24">
        <v>16696.0</v>
      </c>
      <c r="H6571" s="24">
        <v>16658.0</v>
      </c>
      <c r="I6571" s="24">
        <v>0.0</v>
      </c>
      <c r="J6571" s="24">
        <v>0.0</v>
      </c>
      <c r="K6571" s="23" t="s">
        <v>34</v>
      </c>
      <c r="L6571" s="25">
        <v>42347.94079861111</v>
      </c>
      <c r="M6571" s="28"/>
      <c r="N6571" s="26" t="s">
        <v>1041</v>
      </c>
      <c r="O6571" s="22" t="str">
        <f>HYPERLINK("https://pbs.twimg.com/profile_images/858238301408329729/3opANdRx_normal.jpg","View")</f>
        <v>View</v>
      </c>
      <c r="P6571" s="27"/>
    </row>
    <row r="6572">
      <c r="A6572" s="14">
        <v>43031.448321759264</v>
      </c>
      <c r="B6572" s="20" t="str">
        <f>HYPERLINK("https://twitter.com/Mohit13k","@Mohit13k")</f>
        <v>@Mohit13k</v>
      </c>
      <c r="C6572" s="21" t="s">
        <v>14764</v>
      </c>
      <c r="D6572" s="21" t="s">
        <v>42</v>
      </c>
      <c r="E6572" s="22" t="str">
        <f>HYPERLINK("https://twitter.com/Mohit13k/status/922519384840531968","922519384840531968")</f>
        <v>922519384840531968</v>
      </c>
      <c r="F6572" s="23" t="s">
        <v>33</v>
      </c>
      <c r="G6572" s="24">
        <v>141.0</v>
      </c>
      <c r="H6572" s="24">
        <v>315.0</v>
      </c>
      <c r="I6572" s="24">
        <v>8501.0</v>
      </c>
      <c r="J6572" s="24">
        <v>0.0</v>
      </c>
      <c r="K6572" s="23" t="s">
        <v>34</v>
      </c>
      <c r="L6572" s="25">
        <v>41898.3615625</v>
      </c>
      <c r="M6572" s="26" t="s">
        <v>204</v>
      </c>
      <c r="N6572" s="26" t="s">
        <v>14765</v>
      </c>
      <c r="O6572" s="22" t="str">
        <f>HYPERLINK("https://pbs.twimg.com/profile_images/894218534833737728/gDjD7_5b_normal.jpg","View")</f>
        <v>View</v>
      </c>
      <c r="P6572" s="27"/>
    </row>
    <row r="6573">
      <c r="A6573" s="14">
        <v>43031.44836805556</v>
      </c>
      <c r="B6573" s="20" t="str">
        <f>HYPERLINK("https://twitter.com/alllibertynews","@alllibertynews")</f>
        <v>@alllibertynews</v>
      </c>
      <c r="C6573" s="21" t="s">
        <v>14766</v>
      </c>
      <c r="D6573" s="21" t="s">
        <v>14748</v>
      </c>
      <c r="E6573" s="22" t="str">
        <f>HYPERLINK("https://twitter.com/alllibertynews/status/922519399499694080","922519399499694080")</f>
        <v>922519399499694080</v>
      </c>
      <c r="F6573" s="23" t="s">
        <v>14767</v>
      </c>
      <c r="G6573" s="24">
        <v>15794.0</v>
      </c>
      <c r="H6573" s="24">
        <v>4312.0</v>
      </c>
      <c r="I6573" s="24">
        <v>46.0</v>
      </c>
      <c r="J6573" s="24">
        <v>0.0</v>
      </c>
      <c r="K6573" s="23" t="s">
        <v>34</v>
      </c>
      <c r="L6573" s="25">
        <v>42355.88988425926</v>
      </c>
      <c r="M6573" s="28"/>
      <c r="N6573" s="28"/>
      <c r="O6573" s="22" t="str">
        <f>HYPERLINK("https://pbs.twimg.com/profile_images/677726486694989824/x5Umx9Jt_normal.png","View")</f>
        <v>View</v>
      </c>
      <c r="P6573" s="27"/>
    </row>
    <row r="6574">
      <c r="A6574" s="14">
        <v>43031.44844907407</v>
      </c>
      <c r="B6574" s="20" t="str">
        <f>HYPERLINK("https://twitter.com/vineetbbajpayee","@vineetbbajpayee")</f>
        <v>@vineetbbajpayee</v>
      </c>
      <c r="C6574" s="21" t="s">
        <v>14768</v>
      </c>
      <c r="D6574" s="21" t="s">
        <v>42</v>
      </c>
      <c r="E6574" s="22" t="str">
        <f>HYPERLINK("https://twitter.com/vineetbbajpayee/status/922519429652664325","922519429652664325")</f>
        <v>922519429652664325</v>
      </c>
      <c r="F6574" s="23" t="s">
        <v>33</v>
      </c>
      <c r="G6574" s="24">
        <v>177.0</v>
      </c>
      <c r="H6574" s="24">
        <v>475.0</v>
      </c>
      <c r="I6574" s="24">
        <v>8501.0</v>
      </c>
      <c r="J6574" s="24">
        <v>0.0</v>
      </c>
      <c r="K6574" s="23" t="s">
        <v>34</v>
      </c>
      <c r="L6574" s="25">
        <v>42692.476064814815</v>
      </c>
      <c r="M6574" s="26" t="s">
        <v>531</v>
      </c>
      <c r="N6574" s="26" t="s">
        <v>14769</v>
      </c>
      <c r="O6574" s="22" t="str">
        <f>HYPERLINK("https://pbs.twimg.com/profile_images/806107139152355328/FXXiYU36_normal.jpg","View")</f>
        <v>View</v>
      </c>
      <c r="P6574" s="27"/>
    </row>
    <row r="6575">
      <c r="A6575" s="14">
        <v>43031.448472222226</v>
      </c>
      <c r="B6575" s="20" t="str">
        <f>HYPERLINK("https://twitter.com/SaraGomezAranci","@SaraGomezAranci")</f>
        <v>@SaraGomezAranci</v>
      </c>
      <c r="C6575" s="21" t="s">
        <v>14770</v>
      </c>
      <c r="D6575" s="21" t="s">
        <v>14748</v>
      </c>
      <c r="E6575" s="22" t="str">
        <f>HYPERLINK("https://twitter.com/SaraGomezAranci/status/922519438347460608","922519438347460608")</f>
        <v>922519438347460608</v>
      </c>
      <c r="F6575" s="23" t="s">
        <v>39</v>
      </c>
      <c r="G6575" s="24">
        <v>1721.0</v>
      </c>
      <c r="H6575" s="24">
        <v>434.0</v>
      </c>
      <c r="I6575" s="24">
        <v>46.0</v>
      </c>
      <c r="J6575" s="24">
        <v>0.0</v>
      </c>
      <c r="K6575" s="23" t="s">
        <v>34</v>
      </c>
      <c r="L6575" s="25">
        <v>41277.07010416667</v>
      </c>
      <c r="M6575" s="28"/>
      <c r="N6575" s="26" t="s">
        <v>14771</v>
      </c>
      <c r="O6575" s="22" t="str">
        <f>HYPERLINK("https://pbs.twimg.com/profile_images/909880427351068674/WzgGubCv_normal.jpg","View")</f>
        <v>View</v>
      </c>
      <c r="P6575" s="27"/>
    </row>
    <row r="6576">
      <c r="A6576" s="14">
        <v>43031.448483796295</v>
      </c>
      <c r="B6576" s="20" t="str">
        <f>HYPERLINK("https://twitter.com/JamesSimm4","@JamesSimm4")</f>
        <v>@JamesSimm4</v>
      </c>
      <c r="C6576" s="21" t="s">
        <v>14772</v>
      </c>
      <c r="D6576" s="21" t="s">
        <v>14748</v>
      </c>
      <c r="E6576" s="22" t="str">
        <f>HYPERLINK("https://twitter.com/JamesSimm4/status/922519441652449280","922519441652449280")</f>
        <v>922519441652449280</v>
      </c>
      <c r="F6576" s="23" t="s">
        <v>39</v>
      </c>
      <c r="G6576" s="24">
        <v>92.0</v>
      </c>
      <c r="H6576" s="24">
        <v>278.0</v>
      </c>
      <c r="I6576" s="24">
        <v>46.0</v>
      </c>
      <c r="J6576" s="24">
        <v>0.0</v>
      </c>
      <c r="K6576" s="23" t="s">
        <v>34</v>
      </c>
      <c r="L6576" s="25">
        <v>41224.20613425926</v>
      </c>
      <c r="M6576" s="26" t="s">
        <v>14773</v>
      </c>
      <c r="N6576" s="26" t="s">
        <v>14774</v>
      </c>
      <c r="O6576" s="22" t="str">
        <f>HYPERLINK("https://pbs.twimg.com/profile_images/840008700899266561/s7bNFyfs_normal.jpg","View")</f>
        <v>View</v>
      </c>
      <c r="P6576" s="27"/>
    </row>
    <row r="6577">
      <c r="A6577" s="14">
        <v>43031.448495370365</v>
      </c>
      <c r="B6577" s="20" t="str">
        <f>HYPERLINK("https://twitter.com/BartThompsonOE","@BartThompsonOE")</f>
        <v>@BartThompsonOE</v>
      </c>
      <c r="C6577" s="21" t="s">
        <v>14775</v>
      </c>
      <c r="D6577" s="21" t="s">
        <v>14748</v>
      </c>
      <c r="E6577" s="22" t="str">
        <f>HYPERLINK("https://twitter.com/BartThompsonOE/status/922519447906213890","922519447906213890")</f>
        <v>922519447906213890</v>
      </c>
      <c r="F6577" s="23" t="s">
        <v>39</v>
      </c>
      <c r="G6577" s="24">
        <v>355.0</v>
      </c>
      <c r="H6577" s="24">
        <v>384.0</v>
      </c>
      <c r="I6577" s="24">
        <v>46.0</v>
      </c>
      <c r="J6577" s="24">
        <v>0.0</v>
      </c>
      <c r="K6577" s="23" t="s">
        <v>34</v>
      </c>
      <c r="L6577" s="25">
        <v>40496.720613425925</v>
      </c>
      <c r="M6577" s="26" t="s">
        <v>68</v>
      </c>
      <c r="N6577" s="26" t="s">
        <v>14776</v>
      </c>
      <c r="O6577" s="22" t="str">
        <f>HYPERLINK("https://pbs.twimg.com/profile_images/875525150803886080/BnH7ks0T_normal.jpg","View")</f>
        <v>View</v>
      </c>
      <c r="P6577" s="27"/>
    </row>
    <row r="6578">
      <c r="A6578" s="14">
        <v>43031.44863425926</v>
      </c>
      <c r="B6578" s="20" t="str">
        <f>HYPERLINK("https://twitter.com/InvestingLatest","@InvestingLatest")</f>
        <v>@InvestingLatest</v>
      </c>
      <c r="C6578" s="21" t="s">
        <v>3758</v>
      </c>
      <c r="D6578" s="21" t="s">
        <v>14777</v>
      </c>
      <c r="E6578" s="22" t="str">
        <f>HYPERLINK("https://twitter.com/InvestingLatest/status/922519496274993156","922519496274993156")</f>
        <v>922519496274993156</v>
      </c>
      <c r="F6578" s="23" t="s">
        <v>187</v>
      </c>
      <c r="G6578" s="24">
        <v>1534.0</v>
      </c>
      <c r="H6578" s="24">
        <v>33.0</v>
      </c>
      <c r="I6578" s="24">
        <v>0.0</v>
      </c>
      <c r="J6578" s="24">
        <v>0.0</v>
      </c>
      <c r="K6578" s="23" t="s">
        <v>34</v>
      </c>
      <c r="L6578" s="25">
        <v>41946.3308912037</v>
      </c>
      <c r="M6578" s="28"/>
      <c r="N6578" s="26" t="s">
        <v>3760</v>
      </c>
      <c r="O6578" s="22" t="str">
        <f>HYPERLINK("https://pbs.twimg.com/profile_images/529461684297945089/uscUz0UO_normal.jpeg","View")</f>
        <v>View</v>
      </c>
      <c r="P6578" s="27"/>
    </row>
    <row r="6579">
      <c r="A6579" s="14">
        <v>43031.44863425926</v>
      </c>
      <c r="B6579" s="20" t="str">
        <f>HYPERLINK("https://twitter.com/hinduraj_singh","@hinduraj_singh")</f>
        <v>@hinduraj_singh</v>
      </c>
      <c r="C6579" s="21" t="s">
        <v>14778</v>
      </c>
      <c r="D6579" s="21" t="s">
        <v>42</v>
      </c>
      <c r="E6579" s="22" t="str">
        <f>HYPERLINK("https://twitter.com/hinduraj_singh/status/922519496757145600","922519496757145600")</f>
        <v>922519496757145600</v>
      </c>
      <c r="F6579" s="23" t="s">
        <v>33</v>
      </c>
      <c r="G6579" s="24">
        <v>278.0</v>
      </c>
      <c r="H6579" s="24">
        <v>185.0</v>
      </c>
      <c r="I6579" s="24">
        <v>8501.0</v>
      </c>
      <c r="J6579" s="24">
        <v>0.0</v>
      </c>
      <c r="K6579" s="23" t="s">
        <v>34</v>
      </c>
      <c r="L6579" s="25">
        <v>42684.908263888894</v>
      </c>
      <c r="M6579" s="26" t="s">
        <v>14779</v>
      </c>
      <c r="N6579" s="26" t="s">
        <v>14780</v>
      </c>
      <c r="O6579" s="22" t="str">
        <f>HYPERLINK("https://pbs.twimg.com/profile_images/897028477232103424/MqdMnCWQ_normal.jpg","View")</f>
        <v>View</v>
      </c>
      <c r="P6579" s="27"/>
    </row>
    <row r="6580">
      <c r="A6580" s="14">
        <v>43031.448692129634</v>
      </c>
      <c r="B6580" s="20" t="str">
        <f>HYPERLINK("https://twitter.com/kasworld_usa","@kasworld_usa")</f>
        <v>@kasworld_usa</v>
      </c>
      <c r="C6580" s="21" t="s">
        <v>12621</v>
      </c>
      <c r="D6580" s="21" t="s">
        <v>14781</v>
      </c>
      <c r="E6580" s="22" t="str">
        <f>HYPERLINK("https://twitter.com/kasworld_usa/status/922519519616258049","922519519616258049")</f>
        <v>922519519616258049</v>
      </c>
      <c r="F6580" s="23" t="s">
        <v>187</v>
      </c>
      <c r="G6580" s="24">
        <v>5.0</v>
      </c>
      <c r="H6580" s="24">
        <v>0.0</v>
      </c>
      <c r="I6580" s="24">
        <v>0.0</v>
      </c>
      <c r="J6580" s="24">
        <v>0.0</v>
      </c>
      <c r="K6580" s="23" t="s">
        <v>34</v>
      </c>
      <c r="L6580" s="25">
        <v>43001.21859953704</v>
      </c>
      <c r="M6580" s="26" t="s">
        <v>9608</v>
      </c>
      <c r="N6580" s="26" t="s">
        <v>12623</v>
      </c>
      <c r="O6580" s="22" t="str">
        <f>HYPERLINK("https://pbs.twimg.com/profile_images/921365590719074305/DkuJU8qU_normal.jpg","View")</f>
        <v>View</v>
      </c>
      <c r="P6580" s="27"/>
    </row>
    <row r="6581">
      <c r="A6581" s="14">
        <v>43031.44880787037</v>
      </c>
      <c r="B6581" s="20" t="str">
        <f>HYPERLINK("https://twitter.com/Mr_Mannagatti","@Mr_Mannagatti")</f>
        <v>@Mr_Mannagatti</v>
      </c>
      <c r="C6581" s="21" t="s">
        <v>14782</v>
      </c>
      <c r="D6581" s="21" t="s">
        <v>42</v>
      </c>
      <c r="E6581" s="22" t="str">
        <f>HYPERLINK("https://twitter.com/Mr_Mannagatti/status/922519561781444608","922519561781444608")</f>
        <v>922519561781444608</v>
      </c>
      <c r="F6581" s="23" t="s">
        <v>39</v>
      </c>
      <c r="G6581" s="24">
        <v>217.0</v>
      </c>
      <c r="H6581" s="24">
        <v>142.0</v>
      </c>
      <c r="I6581" s="24">
        <v>8501.0</v>
      </c>
      <c r="J6581" s="24">
        <v>0.0</v>
      </c>
      <c r="K6581" s="23" t="s">
        <v>34</v>
      </c>
      <c r="L6581" s="25">
        <v>42370.236909722225</v>
      </c>
      <c r="M6581" s="28"/>
      <c r="N6581" s="26" t="s">
        <v>14783</v>
      </c>
      <c r="O6581" s="22" t="str">
        <f>HYPERLINK("https://pbs.twimg.com/profile_images/822365987131359233/Szix--Ye_normal.jpg","View")</f>
        <v>View</v>
      </c>
      <c r="P6581" s="27"/>
    </row>
    <row r="6582">
      <c r="A6582" s="14">
        <v>43031.449224537035</v>
      </c>
      <c r="B6582" s="20" t="str">
        <f>HYPERLINK("https://twitter.com/LaLanceLourd","@LaLanceLourd")</f>
        <v>@LaLanceLourd</v>
      </c>
      <c r="C6582" s="21" t="s">
        <v>14784</v>
      </c>
      <c r="D6582" s="21" t="s">
        <v>82</v>
      </c>
      <c r="E6582" s="22" t="str">
        <f>HYPERLINK("https://twitter.com/LaLanceLourd/status/922519710893092864","922519710893092864")</f>
        <v>922519710893092864</v>
      </c>
      <c r="F6582" s="23" t="s">
        <v>55</v>
      </c>
      <c r="G6582" s="24">
        <v>56.0</v>
      </c>
      <c r="H6582" s="24">
        <v>318.0</v>
      </c>
      <c r="I6582" s="24">
        <v>38.0</v>
      </c>
      <c r="J6582" s="24">
        <v>0.0</v>
      </c>
      <c r="K6582" s="23" t="s">
        <v>34</v>
      </c>
      <c r="L6582" s="25">
        <v>41951.831087962964</v>
      </c>
      <c r="M6582" s="28"/>
      <c r="N6582" s="28"/>
      <c r="O6582" s="22" t="str">
        <f>HYPERLINK("https://pbs.twimg.com/profile_images/531314079680319488/zYIYwp6P_normal.jpeg","View")</f>
        <v>View</v>
      </c>
      <c r="P6582" s="27"/>
    </row>
    <row r="6583">
      <c r="A6583" s="14">
        <v>43031.449224537035</v>
      </c>
      <c r="B6583" s="20" t="str">
        <f>HYPERLINK("https://twitter.com/aolshiv","@aolshiv")</f>
        <v>@aolshiv</v>
      </c>
      <c r="C6583" s="21" t="s">
        <v>14785</v>
      </c>
      <c r="D6583" s="21" t="s">
        <v>163</v>
      </c>
      <c r="E6583" s="22" t="str">
        <f>HYPERLINK("https://twitter.com/aolshiv/status/922519712918945793","922519712918945793")</f>
        <v>922519712918945793</v>
      </c>
      <c r="F6583" s="23" t="s">
        <v>39</v>
      </c>
      <c r="G6583" s="24">
        <v>379.0</v>
      </c>
      <c r="H6583" s="24">
        <v>126.0</v>
      </c>
      <c r="I6583" s="24">
        <v>1005.0</v>
      </c>
      <c r="J6583" s="24">
        <v>0.0</v>
      </c>
      <c r="K6583" s="23" t="s">
        <v>34</v>
      </c>
      <c r="L6583" s="25">
        <v>40156.201307870375</v>
      </c>
      <c r="M6583" s="26" t="s">
        <v>1991</v>
      </c>
      <c r="N6583" s="26" t="s">
        <v>14786</v>
      </c>
      <c r="O6583" s="22" t="str">
        <f>HYPERLINK("https://pbs.twimg.com/profile_images/2642268148/a11781624949e98b008af1def0409e39_normal.jpeg","View")</f>
        <v>View</v>
      </c>
      <c r="P6583" s="27"/>
    </row>
    <row r="6584">
      <c r="A6584" s="14">
        <v>43031.44923611111</v>
      </c>
      <c r="B6584" s="20" t="str">
        <f>HYPERLINK("https://twitter.com/RealityBecky","@RealityBecky")</f>
        <v>@RealityBecky</v>
      </c>
      <c r="C6584" s="21" t="s">
        <v>14021</v>
      </c>
      <c r="D6584" s="21" t="s">
        <v>14748</v>
      </c>
      <c r="E6584" s="22" t="str">
        <f>HYPERLINK("https://twitter.com/RealityBecky/status/922519715943211008","922519715943211008")</f>
        <v>922519715943211008</v>
      </c>
      <c r="F6584" s="23" t="s">
        <v>43</v>
      </c>
      <c r="G6584" s="24">
        <v>152.0</v>
      </c>
      <c r="H6584" s="24">
        <v>875.0</v>
      </c>
      <c r="I6584" s="24">
        <v>46.0</v>
      </c>
      <c r="J6584" s="24">
        <v>0.0</v>
      </c>
      <c r="K6584" s="23" t="s">
        <v>34</v>
      </c>
      <c r="L6584" s="25">
        <v>42963.12888888889</v>
      </c>
      <c r="M6584" s="26" t="s">
        <v>40</v>
      </c>
      <c r="N6584" s="26" t="s">
        <v>14787</v>
      </c>
      <c r="O6584" s="22" t="str">
        <f>HYPERLINK("https://pbs.twimg.com/profile_images/897762260076167168/NhTzlkQH_normal.jpg","View")</f>
        <v>View</v>
      </c>
      <c r="P6584" s="27"/>
    </row>
    <row r="6585">
      <c r="A6585" s="14">
        <v>43031.44924768519</v>
      </c>
      <c r="B6585" s="20" t="str">
        <f>HYPERLINK("https://twitter.com/parimalrohit","@parimalrohit")</f>
        <v>@parimalrohit</v>
      </c>
      <c r="C6585" s="21" t="s">
        <v>14788</v>
      </c>
      <c r="D6585" s="21" t="s">
        <v>14748</v>
      </c>
      <c r="E6585" s="22" t="str">
        <f>HYPERLINK("https://twitter.com/parimalrohit/status/922519718879211520","922519718879211520")</f>
        <v>922519718879211520</v>
      </c>
      <c r="F6585" s="23" t="s">
        <v>55</v>
      </c>
      <c r="G6585" s="24">
        <v>2561.0</v>
      </c>
      <c r="H6585" s="24">
        <v>2100.0</v>
      </c>
      <c r="I6585" s="24">
        <v>46.0</v>
      </c>
      <c r="J6585" s="24">
        <v>0.0</v>
      </c>
      <c r="K6585" s="23" t="s">
        <v>34</v>
      </c>
      <c r="L6585" s="25">
        <v>40357.842453703706</v>
      </c>
      <c r="M6585" s="26" t="s">
        <v>1563</v>
      </c>
      <c r="N6585" s="26" t="s">
        <v>14789</v>
      </c>
      <c r="O6585" s="22" t="str">
        <f>HYPERLINK("https://pbs.twimg.com/profile_images/378800000523553968/32d61fbb9d2d32321955b38d34094edb_normal.jpeg","View")</f>
        <v>View</v>
      </c>
      <c r="P6585" s="27"/>
    </row>
    <row r="6586">
      <c r="A6586" s="14">
        <v>43031.44924768519</v>
      </c>
      <c r="B6586" s="20" t="str">
        <f>HYPERLINK("https://twitter.com/BlueSquad5","@BlueSquad5")</f>
        <v>@BlueSquad5</v>
      </c>
      <c r="C6586" s="21" t="s">
        <v>14790</v>
      </c>
      <c r="D6586" s="21" t="s">
        <v>42</v>
      </c>
      <c r="E6586" s="22" t="str">
        <f>HYPERLINK("https://twitter.com/BlueSquad5/status/922519719789367297","922519719789367297")</f>
        <v>922519719789367297</v>
      </c>
      <c r="F6586" s="23" t="s">
        <v>33</v>
      </c>
      <c r="G6586" s="24">
        <v>25.0</v>
      </c>
      <c r="H6586" s="24">
        <v>383.0</v>
      </c>
      <c r="I6586" s="24">
        <v>8501.0</v>
      </c>
      <c r="J6586" s="24">
        <v>0.0</v>
      </c>
      <c r="K6586" s="23" t="s">
        <v>34</v>
      </c>
      <c r="L6586" s="25">
        <v>43031.43488425926</v>
      </c>
      <c r="M6586" s="28"/>
      <c r="N6586" s="28"/>
      <c r="O6586" s="22" t="str">
        <f>HYPERLINK("https://pbs.twimg.com/profile_images/922517906453422080/Uedz8eFM_normal.jpg","View")</f>
        <v>View</v>
      </c>
      <c r="P6586" s="27"/>
    </row>
    <row r="6587">
      <c r="A6587" s="14">
        <v>43031.44924768519</v>
      </c>
      <c r="B6587" s="20" t="str">
        <f>HYPERLINK("https://twitter.com/Shriniv45251228","@Shriniv45251228")</f>
        <v>@Shriniv45251228</v>
      </c>
      <c r="C6587" s="21" t="s">
        <v>14791</v>
      </c>
      <c r="D6587" s="21" t="s">
        <v>42</v>
      </c>
      <c r="E6587" s="22" t="str">
        <f>HYPERLINK("https://twitter.com/Shriniv45251228/status/922519721920081923","922519721920081923")</f>
        <v>922519721920081923</v>
      </c>
      <c r="F6587" s="23" t="s">
        <v>33</v>
      </c>
      <c r="G6587" s="24">
        <v>18.0</v>
      </c>
      <c r="H6587" s="24">
        <v>80.0</v>
      </c>
      <c r="I6587" s="24">
        <v>8501.0</v>
      </c>
      <c r="J6587" s="24">
        <v>0.0</v>
      </c>
      <c r="K6587" s="23" t="s">
        <v>34</v>
      </c>
      <c r="L6587" s="25">
        <v>42840.23459490741</v>
      </c>
      <c r="M6587" s="26" t="s">
        <v>14792</v>
      </c>
      <c r="N6587" s="28"/>
      <c r="O6587" s="22" t="str">
        <f>HYPERLINK("https://pbs.twimg.com/profile_images/900795898598268928/yCRt4U3o_normal.jpg","View")</f>
        <v>View</v>
      </c>
      <c r="P6587" s="27"/>
    </row>
    <row r="6588">
      <c r="A6588" s="14">
        <v>43031.44924768519</v>
      </c>
      <c r="B6588" s="20" t="str">
        <f>HYPERLINK("https://twitter.com/olivlaawolf","@olivlaawolf")</f>
        <v>@olivlaawolf</v>
      </c>
      <c r="C6588" s="21" t="s">
        <v>14793</v>
      </c>
      <c r="D6588" s="21" t="s">
        <v>2369</v>
      </c>
      <c r="E6588" s="22" t="str">
        <f>HYPERLINK("https://twitter.com/olivlaawolf/status/922519722113032195","922519722113032195")</f>
        <v>922519722113032195</v>
      </c>
      <c r="F6588" s="23" t="s">
        <v>33</v>
      </c>
      <c r="G6588" s="24">
        <v>118.0</v>
      </c>
      <c r="H6588" s="24">
        <v>2296.0</v>
      </c>
      <c r="I6588" s="24">
        <v>23.0</v>
      </c>
      <c r="J6588" s="24">
        <v>0.0</v>
      </c>
      <c r="K6588" s="23" t="s">
        <v>34</v>
      </c>
      <c r="L6588" s="25">
        <v>40627.15042824074</v>
      </c>
      <c r="M6588" s="26" t="s">
        <v>14794</v>
      </c>
      <c r="N6588" s="26" t="s">
        <v>14795</v>
      </c>
      <c r="O6588" s="22" t="str">
        <f>HYPERLINK("https://pbs.twimg.com/profile_images/764950655308066816/516Y7lV4_normal.jpg","View")</f>
        <v>View</v>
      </c>
      <c r="P6588" s="27"/>
    </row>
    <row r="6589">
      <c r="A6589" s="14">
        <v>43031.44928240741</v>
      </c>
      <c r="B6589" s="20" t="str">
        <f>HYPERLINK("https://twitter.com/cracklier","@cracklier")</f>
        <v>@cracklier</v>
      </c>
      <c r="C6589" s="21" t="s">
        <v>14796</v>
      </c>
      <c r="D6589" s="21" t="s">
        <v>42</v>
      </c>
      <c r="E6589" s="22" t="str">
        <f>HYPERLINK("https://twitter.com/cracklier/status/922519733278085120","922519733278085120")</f>
        <v>922519733278085120</v>
      </c>
      <c r="F6589" s="23" t="s">
        <v>33</v>
      </c>
      <c r="G6589" s="24">
        <v>6586.0</v>
      </c>
      <c r="H6589" s="24">
        <v>1773.0</v>
      </c>
      <c r="I6589" s="24">
        <v>8501.0</v>
      </c>
      <c r="J6589" s="24">
        <v>0.0</v>
      </c>
      <c r="K6589" s="23" t="s">
        <v>34</v>
      </c>
      <c r="L6589" s="25">
        <v>40008.258680555555</v>
      </c>
      <c r="M6589" s="26" t="s">
        <v>575</v>
      </c>
      <c r="N6589" s="26" t="s">
        <v>14797</v>
      </c>
      <c r="O6589" s="22" t="str">
        <f>HYPERLINK("https://pbs.twimg.com/profile_images/885775551058681857/7-ZcwvpI_normal.jpg","View")</f>
        <v>View</v>
      </c>
      <c r="P6589" s="27"/>
    </row>
    <row r="6590">
      <c r="A6590" s="14">
        <v>43031.44936342593</v>
      </c>
      <c r="B6590" s="20" t="str">
        <f>HYPERLINK("https://twitter.com/HT107642","@HT107642")</f>
        <v>@HT107642</v>
      </c>
      <c r="C6590" s="21" t="s">
        <v>3880</v>
      </c>
      <c r="D6590" s="21" t="s">
        <v>14748</v>
      </c>
      <c r="E6590" s="22" t="str">
        <f>HYPERLINK("https://twitter.com/HT107642/status/922519762344714240","922519762344714240")</f>
        <v>922519762344714240</v>
      </c>
      <c r="F6590" s="23" t="s">
        <v>33</v>
      </c>
      <c r="G6590" s="24">
        <v>1785.0</v>
      </c>
      <c r="H6590" s="24">
        <v>2393.0</v>
      </c>
      <c r="I6590" s="24">
        <v>46.0</v>
      </c>
      <c r="J6590" s="24">
        <v>0.0</v>
      </c>
      <c r="K6590" s="23" t="s">
        <v>34</v>
      </c>
      <c r="L6590" s="25">
        <v>42384.156331018516</v>
      </c>
      <c r="M6590" s="28"/>
      <c r="N6590" s="28"/>
      <c r="O6590" s="22" t="str">
        <f>HYPERLINK("https://pbs.twimg.com/profile_images/687965148967915520/v0Wg9mP4_normal.jpg","View")</f>
        <v>View</v>
      </c>
      <c r="P6590" s="27"/>
    </row>
    <row r="6591">
      <c r="A6591" s="14">
        <v>43031.44956018518</v>
      </c>
      <c r="B6591" s="20" t="str">
        <f>HYPERLINK("https://twitter.com/rjimenezu","@rjimenezu")</f>
        <v>@rjimenezu</v>
      </c>
      <c r="C6591" s="21" t="s">
        <v>14798</v>
      </c>
      <c r="D6591" s="21" t="s">
        <v>14799</v>
      </c>
      <c r="E6591" s="22" t="str">
        <f>HYPERLINK("https://twitter.com/rjimenezu/status/922519833723527168","922519833723527168")</f>
        <v>922519833723527168</v>
      </c>
      <c r="F6591" s="23" t="s">
        <v>187</v>
      </c>
      <c r="G6591" s="24">
        <v>521.0</v>
      </c>
      <c r="H6591" s="24">
        <v>712.0</v>
      </c>
      <c r="I6591" s="24">
        <v>0.0</v>
      </c>
      <c r="J6591" s="24">
        <v>0.0</v>
      </c>
      <c r="K6591" s="23" t="s">
        <v>34</v>
      </c>
      <c r="L6591" s="25">
        <v>40350.592511574076</v>
      </c>
      <c r="M6591" s="28"/>
      <c r="N6591" s="26" t="s">
        <v>14800</v>
      </c>
      <c r="O6591" s="22" t="str">
        <f>HYPERLINK("https://pbs.twimg.com/profile_images/906645970632417280/gT00Oflk_normal.jpg","View")</f>
        <v>View</v>
      </c>
      <c r="P6591" s="27"/>
    </row>
    <row r="6592">
      <c r="A6592" s="14">
        <v>43031.4497337963</v>
      </c>
      <c r="B6592" s="20" t="str">
        <f>HYPERLINK("https://twitter.com/AludaJoyce","@AludaJoyce")</f>
        <v>@AludaJoyce</v>
      </c>
      <c r="C6592" s="21" t="s">
        <v>14801</v>
      </c>
      <c r="D6592" s="21" t="s">
        <v>14748</v>
      </c>
      <c r="E6592" s="22" t="str">
        <f>HYPERLINK("https://twitter.com/AludaJoyce/status/922519894746435585","922519894746435585")</f>
        <v>922519894746435585</v>
      </c>
      <c r="F6592" s="23" t="s">
        <v>33</v>
      </c>
      <c r="G6592" s="24">
        <v>20.0</v>
      </c>
      <c r="H6592" s="24">
        <v>433.0</v>
      </c>
      <c r="I6592" s="24">
        <v>46.0</v>
      </c>
      <c r="J6592" s="24">
        <v>0.0</v>
      </c>
      <c r="K6592" s="23" t="s">
        <v>34</v>
      </c>
      <c r="L6592" s="25">
        <v>42904.34298611111</v>
      </c>
      <c r="M6592" s="28"/>
      <c r="N6592" s="28"/>
      <c r="O6592" s="22" t="str">
        <f t="shared" ref="O6592:O6593" si="114">HYPERLINK("https://abs.twimg.com/sticky/default_profile_images/default_profile_normal.png","View")</f>
        <v>View</v>
      </c>
      <c r="P6592" s="27"/>
    </row>
    <row r="6593">
      <c r="A6593" s="14">
        <v>43031.44978009259</v>
      </c>
      <c r="B6593" s="20" t="str">
        <f>HYPERLINK("https://twitter.com/livelifezenful","@livelifezenful")</f>
        <v>@livelifezenful</v>
      </c>
      <c r="C6593" s="21" t="s">
        <v>14802</v>
      </c>
      <c r="D6593" s="21" t="s">
        <v>14682</v>
      </c>
      <c r="E6593" s="22" t="str">
        <f>HYPERLINK("https://twitter.com/livelifezenful/status/922519912530116608","922519912530116608")</f>
        <v>922519912530116608</v>
      </c>
      <c r="F6593" s="23" t="s">
        <v>230</v>
      </c>
      <c r="G6593" s="24">
        <v>110.0</v>
      </c>
      <c r="H6593" s="24">
        <v>74.0</v>
      </c>
      <c r="I6593" s="24">
        <v>5.0</v>
      </c>
      <c r="J6593" s="24">
        <v>0.0</v>
      </c>
      <c r="K6593" s="23" t="s">
        <v>34</v>
      </c>
      <c r="L6593" s="25">
        <v>40023.42422453704</v>
      </c>
      <c r="M6593" s="28"/>
      <c r="N6593" s="28"/>
      <c r="O6593" s="22" t="str">
        <f t="shared" si="114"/>
        <v>View</v>
      </c>
      <c r="P6593" s="27"/>
    </row>
    <row r="6594">
      <c r="A6594" s="14">
        <v>43031.44978009259</v>
      </c>
      <c r="B6594" s="20" t="str">
        <f>HYPERLINK("https://twitter.com/ADHVAYAM","@ADHVAYAM")</f>
        <v>@ADHVAYAM</v>
      </c>
      <c r="C6594" s="21" t="s">
        <v>14803</v>
      </c>
      <c r="D6594" s="21" t="s">
        <v>163</v>
      </c>
      <c r="E6594" s="22" t="str">
        <f>HYPERLINK("https://twitter.com/ADHVAYAM/status/922519914665013249","922519914665013249")</f>
        <v>922519914665013249</v>
      </c>
      <c r="F6594" s="23" t="s">
        <v>33</v>
      </c>
      <c r="G6594" s="24">
        <v>1471.0</v>
      </c>
      <c r="H6594" s="24">
        <v>830.0</v>
      </c>
      <c r="I6594" s="24">
        <v>1005.0</v>
      </c>
      <c r="J6594" s="24">
        <v>0.0</v>
      </c>
      <c r="K6594" s="23" t="s">
        <v>34</v>
      </c>
      <c r="L6594" s="25">
        <v>40091.543287037035</v>
      </c>
      <c r="M6594" s="26" t="s">
        <v>96</v>
      </c>
      <c r="N6594" s="26" t="s">
        <v>14804</v>
      </c>
      <c r="O6594" s="22" t="str">
        <f>HYPERLINK("https://pbs.twimg.com/profile_images/685145220170649600/MV45nfwl_normal.png","View")</f>
        <v>View</v>
      </c>
      <c r="P6594" s="27"/>
    </row>
    <row r="6595">
      <c r="A6595" s="14">
        <v>43031.44989583333</v>
      </c>
      <c r="B6595" s="20" t="str">
        <f>HYPERLINK("https://twitter.com/smartsitesh","@smartsitesh")</f>
        <v>@smartsitesh</v>
      </c>
      <c r="C6595" s="21" t="s">
        <v>14805</v>
      </c>
      <c r="D6595" s="21" t="s">
        <v>42</v>
      </c>
      <c r="E6595" s="22" t="str">
        <f>HYPERLINK("https://twitter.com/smartsitesh/status/922519954691260416","922519954691260416")</f>
        <v>922519954691260416</v>
      </c>
      <c r="F6595" s="23" t="s">
        <v>33</v>
      </c>
      <c r="G6595" s="24">
        <v>925.0</v>
      </c>
      <c r="H6595" s="24">
        <v>1952.0</v>
      </c>
      <c r="I6595" s="24">
        <v>8501.0</v>
      </c>
      <c r="J6595" s="24">
        <v>0.0</v>
      </c>
      <c r="K6595" s="23" t="s">
        <v>34</v>
      </c>
      <c r="L6595" s="25">
        <v>39955.32763888889</v>
      </c>
      <c r="M6595" s="26" t="s">
        <v>14806</v>
      </c>
      <c r="N6595" s="26" t="s">
        <v>14807</v>
      </c>
      <c r="O6595" s="22" t="str">
        <f>HYPERLINK("https://pbs.twimg.com/profile_images/872917867032924160/23C8PTEE_normal.jpg","View")</f>
        <v>View</v>
      </c>
      <c r="P6595" s="27"/>
    </row>
    <row r="6596">
      <c r="A6596" s="14">
        <v>43031.450162037036</v>
      </c>
      <c r="B6596" s="20" t="str">
        <f>HYPERLINK("https://twitter.com/Matujhesalam272","@Matujhesalam272")</f>
        <v>@Matujhesalam272</v>
      </c>
      <c r="C6596" s="21" t="s">
        <v>14808</v>
      </c>
      <c r="D6596" s="21" t="s">
        <v>42</v>
      </c>
      <c r="E6596" s="22" t="str">
        <f>HYPERLINK("https://twitter.com/Matujhesalam272/status/922520049918689280","922520049918689280")</f>
        <v>922520049918689280</v>
      </c>
      <c r="F6596" s="23" t="s">
        <v>39</v>
      </c>
      <c r="G6596" s="24">
        <v>426.0</v>
      </c>
      <c r="H6596" s="24">
        <v>873.0</v>
      </c>
      <c r="I6596" s="24">
        <v>8501.0</v>
      </c>
      <c r="J6596" s="24">
        <v>0.0</v>
      </c>
      <c r="K6596" s="23" t="s">
        <v>34</v>
      </c>
      <c r="L6596" s="25">
        <v>41633.62736111111</v>
      </c>
      <c r="M6596" s="28"/>
      <c r="N6596" s="28"/>
      <c r="O6596" s="22" t="str">
        <f>HYPERLINK("https://pbs.twimg.com/profile_images/909117754791170048/De9l4iRB_normal.jpg","View")</f>
        <v>View</v>
      </c>
      <c r="P6596" s="27"/>
    </row>
    <row r="6597">
      <c r="A6597" s="14">
        <v>43031.45019675926</v>
      </c>
      <c r="B6597" s="20" t="str">
        <f>HYPERLINK("https://twitter.com/ANAPG67","@ANAPG67")</f>
        <v>@ANAPG67</v>
      </c>
      <c r="C6597" s="21" t="s">
        <v>14809</v>
      </c>
      <c r="D6597" s="21" t="s">
        <v>42</v>
      </c>
      <c r="E6597" s="22" t="str">
        <f>HYPERLINK("https://twitter.com/ANAPG67/status/922520063017590784","922520063017590784")</f>
        <v>922520063017590784</v>
      </c>
      <c r="F6597" s="23" t="s">
        <v>33</v>
      </c>
      <c r="G6597" s="24">
        <v>2745.0</v>
      </c>
      <c r="H6597" s="24">
        <v>3461.0</v>
      </c>
      <c r="I6597" s="24">
        <v>8501.0</v>
      </c>
      <c r="J6597" s="24">
        <v>0.0</v>
      </c>
      <c r="K6597" s="23" t="s">
        <v>34</v>
      </c>
      <c r="L6597" s="25">
        <v>40268.35175925926</v>
      </c>
      <c r="M6597" s="26" t="s">
        <v>14810</v>
      </c>
      <c r="N6597" s="26" t="s">
        <v>14811</v>
      </c>
      <c r="O6597" s="22" t="str">
        <f>HYPERLINK("https://pbs.twimg.com/profile_images/688626083290189824/R-zUt6Oe_normal.jpg","View")</f>
        <v>View</v>
      </c>
      <c r="P6597" s="27"/>
    </row>
    <row r="6598">
      <c r="A6598" s="14">
        <v>43031.450312500005</v>
      </c>
      <c r="B6598" s="20" t="str">
        <f>HYPERLINK("https://twitter.com/fujitayuh","@fujitayuh")</f>
        <v>@fujitayuh</v>
      </c>
      <c r="C6598" s="21" t="s">
        <v>4589</v>
      </c>
      <c r="D6598" s="21" t="s">
        <v>14748</v>
      </c>
      <c r="E6598" s="22" t="str">
        <f>HYPERLINK("https://twitter.com/fujitayuh/status/922520107846221824","922520107846221824")</f>
        <v>922520107846221824</v>
      </c>
      <c r="F6598" s="23" t="s">
        <v>230</v>
      </c>
      <c r="G6598" s="24">
        <v>457.0</v>
      </c>
      <c r="H6598" s="24">
        <v>265.0</v>
      </c>
      <c r="I6598" s="24">
        <v>46.0</v>
      </c>
      <c r="J6598" s="24">
        <v>0.0</v>
      </c>
      <c r="K6598" s="23" t="s">
        <v>34</v>
      </c>
      <c r="L6598" s="25">
        <v>40208.23972222222</v>
      </c>
      <c r="M6598" s="26" t="s">
        <v>4591</v>
      </c>
      <c r="N6598" s="26" t="s">
        <v>4592</v>
      </c>
      <c r="O6598" s="22" t="str">
        <f>HYPERLINK("https://pbs.twimg.com/profile_images/667191542/800px-Four_of_the_Seven_Sisters_normal.jpg","View")</f>
        <v>View</v>
      </c>
      <c r="P6598" s="27"/>
    </row>
    <row r="6599">
      <c r="A6599" s="14">
        <v>43031.450335648144</v>
      </c>
      <c r="B6599" s="20" t="str">
        <f>HYPERLINK("https://twitter.com/TCM3","@TCM3")</f>
        <v>@TCM3</v>
      </c>
      <c r="C6599" s="21" t="s">
        <v>14812</v>
      </c>
      <c r="D6599" s="21" t="s">
        <v>14813</v>
      </c>
      <c r="E6599" s="22" t="str">
        <f>HYPERLINK("https://twitter.com/TCM3/status/922520114490208257","922520114490208257")</f>
        <v>922520114490208257</v>
      </c>
      <c r="F6599" s="23" t="s">
        <v>55</v>
      </c>
      <c r="G6599" s="24">
        <v>145.0</v>
      </c>
      <c r="H6599" s="24">
        <v>240.0</v>
      </c>
      <c r="I6599" s="24">
        <v>0.0</v>
      </c>
      <c r="J6599" s="24">
        <v>0.0</v>
      </c>
      <c r="K6599" s="23" t="s">
        <v>34</v>
      </c>
      <c r="L6599" s="25">
        <v>41068.3881712963</v>
      </c>
      <c r="M6599" s="26" t="s">
        <v>14814</v>
      </c>
      <c r="N6599" s="26" t="s">
        <v>14815</v>
      </c>
      <c r="O6599" s="22" t="str">
        <f>HYPERLINK("https://pbs.twimg.com/profile_images/606124066022559747/reBEN6FZ_normal.png","View")</f>
        <v>View</v>
      </c>
      <c r="P6599" s="27"/>
    </row>
    <row r="6600">
      <c r="A6600" s="14">
        <v>43031.45037037037</v>
      </c>
      <c r="B6600" s="20" t="str">
        <f>HYPERLINK("https://twitter.com/Aaditya_BJP","@Aaditya_BJP")</f>
        <v>@Aaditya_BJP</v>
      </c>
      <c r="C6600" s="21" t="s">
        <v>14816</v>
      </c>
      <c r="D6600" s="21" t="s">
        <v>42</v>
      </c>
      <c r="E6600" s="22" t="str">
        <f>HYPERLINK("https://twitter.com/Aaditya_BJP/status/922520125273550849","922520125273550849")</f>
        <v>922520125273550849</v>
      </c>
      <c r="F6600" s="23" t="s">
        <v>33</v>
      </c>
      <c r="G6600" s="24">
        <v>860.0</v>
      </c>
      <c r="H6600" s="24">
        <v>1554.0</v>
      </c>
      <c r="I6600" s="24">
        <v>8501.0</v>
      </c>
      <c r="J6600" s="24">
        <v>0.0</v>
      </c>
      <c r="K6600" s="23" t="s">
        <v>34</v>
      </c>
      <c r="L6600" s="25">
        <v>42252.302199074074</v>
      </c>
      <c r="M6600" s="26" t="s">
        <v>8582</v>
      </c>
      <c r="N6600" s="26" t="s">
        <v>14817</v>
      </c>
      <c r="O6600" s="22" t="str">
        <f>HYPERLINK("https://pbs.twimg.com/profile_images/792794408471056384/hf5i4lGG_normal.jpg","View")</f>
        <v>View</v>
      </c>
      <c r="P6600" s="27"/>
    </row>
    <row r="6601">
      <c r="A6601" s="14">
        <v>43031.450474537036</v>
      </c>
      <c r="B6601" s="20" t="str">
        <f>HYPERLINK("https://twitter.com/economist_once","@economist_once")</f>
        <v>@economist_once</v>
      </c>
      <c r="C6601" s="21" t="s">
        <v>14818</v>
      </c>
      <c r="D6601" s="21" t="s">
        <v>14748</v>
      </c>
      <c r="E6601" s="22" t="str">
        <f>HYPERLINK("https://twitter.com/economist_once/status/922520164771516416","922520164771516416")</f>
        <v>922520164771516416</v>
      </c>
      <c r="F6601" s="23" t="s">
        <v>1576</v>
      </c>
      <c r="G6601" s="24">
        <v>39.0</v>
      </c>
      <c r="H6601" s="24">
        <v>0.0</v>
      </c>
      <c r="I6601" s="24">
        <v>46.0</v>
      </c>
      <c r="J6601" s="24">
        <v>0.0</v>
      </c>
      <c r="K6601" s="23" t="s">
        <v>34</v>
      </c>
      <c r="L6601" s="25">
        <v>42758.89394675926</v>
      </c>
      <c r="M6601" s="28"/>
      <c r="N6601" s="26" t="s">
        <v>14819</v>
      </c>
      <c r="O6601" s="22" t="str">
        <f>HYPERLINK("https://pbs.twimg.com/profile_images/823940707136270336/ixrTluis_normal.jpg","View")</f>
        <v>View</v>
      </c>
      <c r="P6601" s="27"/>
    </row>
    <row r="6602">
      <c r="A6602" s="14">
        <v>43031.45049768519</v>
      </c>
      <c r="B6602" s="20" t="str">
        <f>HYPERLINK("https://twitter.com/AmitJena700","@AmitJena700")</f>
        <v>@AmitJena700</v>
      </c>
      <c r="C6602" s="21" t="s">
        <v>14820</v>
      </c>
      <c r="D6602" s="21" t="s">
        <v>42</v>
      </c>
      <c r="E6602" s="22" t="str">
        <f>HYPERLINK("https://twitter.com/AmitJena700/status/922520173227032576","922520173227032576")</f>
        <v>922520173227032576</v>
      </c>
      <c r="F6602" s="23" t="s">
        <v>33</v>
      </c>
      <c r="G6602" s="24">
        <v>11.0</v>
      </c>
      <c r="H6602" s="24">
        <v>27.0</v>
      </c>
      <c r="I6602" s="24">
        <v>8501.0</v>
      </c>
      <c r="J6602" s="24">
        <v>0.0</v>
      </c>
      <c r="K6602" s="23" t="s">
        <v>34</v>
      </c>
      <c r="L6602" s="25">
        <v>43014.25067129629</v>
      </c>
      <c r="M6602" s="26" t="s">
        <v>14821</v>
      </c>
      <c r="N6602" s="26" t="s">
        <v>14822</v>
      </c>
      <c r="O6602" s="22" t="str">
        <f>HYPERLINK("https://pbs.twimg.com/profile_images/921092453796417536/S-9ma0II_normal.jpg","View")</f>
        <v>View</v>
      </c>
      <c r="P6602" s="27"/>
    </row>
    <row r="6603">
      <c r="A6603" s="14">
        <v>43031.45049768519</v>
      </c>
      <c r="B6603" s="20" t="str">
        <f>HYPERLINK("https://twitter.com/Willallchorn","@Willallchorn")</f>
        <v>@Willallchorn</v>
      </c>
      <c r="C6603" s="21" t="s">
        <v>14823</v>
      </c>
      <c r="D6603" s="21" t="s">
        <v>14824</v>
      </c>
      <c r="E6603" s="22" t="str">
        <f>HYPERLINK("https://twitter.com/Willallchorn/status/922520173831221251","922520173831221251")</f>
        <v>922520173831221251</v>
      </c>
      <c r="F6603" s="23" t="s">
        <v>39</v>
      </c>
      <c r="G6603" s="24">
        <v>299.0</v>
      </c>
      <c r="H6603" s="24">
        <v>415.0</v>
      </c>
      <c r="I6603" s="24">
        <v>0.0</v>
      </c>
      <c r="J6603" s="24">
        <v>0.0</v>
      </c>
      <c r="K6603" s="23" t="s">
        <v>34</v>
      </c>
      <c r="L6603" s="25">
        <v>39932.02628472222</v>
      </c>
      <c r="M6603" s="28"/>
      <c r="N6603" s="26" t="s">
        <v>14825</v>
      </c>
      <c r="O6603" s="22" t="str">
        <f>HYPERLINK("https://pbs.twimg.com/profile_images/887718204574924800/fSWRSpwS_normal.jpg","View")</f>
        <v>View</v>
      </c>
      <c r="P6603" s="27"/>
    </row>
    <row r="6604">
      <c r="A6604" s="14">
        <v>43031.450578703705</v>
      </c>
      <c r="B6604" s="20" t="str">
        <f>HYPERLINK("https://twitter.com/JJCarafano","@JJCarafano")</f>
        <v>@JJCarafano</v>
      </c>
      <c r="C6604" s="21" t="s">
        <v>14826</v>
      </c>
      <c r="D6604" s="21" t="s">
        <v>14682</v>
      </c>
      <c r="E6604" s="22" t="str">
        <f>HYPERLINK("https://twitter.com/JJCarafano/status/922520202050404352","922520202050404352")</f>
        <v>922520202050404352</v>
      </c>
      <c r="F6604" s="23" t="s">
        <v>39</v>
      </c>
      <c r="G6604" s="24">
        <v>10513.0</v>
      </c>
      <c r="H6604" s="24">
        <v>4320.0</v>
      </c>
      <c r="I6604" s="24">
        <v>5.0</v>
      </c>
      <c r="J6604" s="24">
        <v>0.0</v>
      </c>
      <c r="K6604" s="23" t="s">
        <v>34</v>
      </c>
      <c r="L6604" s="25">
        <v>39689.77679398148</v>
      </c>
      <c r="M6604" s="26" t="s">
        <v>14827</v>
      </c>
      <c r="N6604" s="26" t="s">
        <v>14828</v>
      </c>
      <c r="O6604" s="22" t="str">
        <f>HYPERLINK("https://pbs.twimg.com/profile_images/921468749923971074/iJ67oLLi_normal.jpg","View")</f>
        <v>View</v>
      </c>
      <c r="P6604" s="27"/>
    </row>
    <row r="6605">
      <c r="A6605" s="14">
        <v>43031.450625</v>
      </c>
      <c r="B6605" s="20" t="str">
        <f>HYPERLINK("https://twitter.com/vishnumayayil","@vishnumayayil")</f>
        <v>@vishnumayayil</v>
      </c>
      <c r="C6605" s="21" t="s">
        <v>14829</v>
      </c>
      <c r="D6605" s="21" t="s">
        <v>42</v>
      </c>
      <c r="E6605" s="22" t="str">
        <f>HYPERLINK("https://twitter.com/vishnumayayil/status/922520217846030336","922520217846030336")</f>
        <v>922520217846030336</v>
      </c>
      <c r="F6605" s="23" t="s">
        <v>39</v>
      </c>
      <c r="G6605" s="24">
        <v>265.0</v>
      </c>
      <c r="H6605" s="24">
        <v>247.0</v>
      </c>
      <c r="I6605" s="24">
        <v>8501.0</v>
      </c>
      <c r="J6605" s="24">
        <v>0.0</v>
      </c>
      <c r="K6605" s="23" t="s">
        <v>34</v>
      </c>
      <c r="L6605" s="25">
        <v>40738.99605324074</v>
      </c>
      <c r="M6605" s="28"/>
      <c r="N6605" s="26" t="s">
        <v>14830</v>
      </c>
      <c r="O6605" s="22" t="str">
        <f>HYPERLINK("https://pbs.twimg.com/profile_images/842987436498128897/vY9IZ7HM_normal.jpg","View")</f>
        <v>View</v>
      </c>
      <c r="P6605" s="27"/>
    </row>
    <row r="6606">
      <c r="A6606" s="14">
        <v>43031.450636574074</v>
      </c>
      <c r="B6606" s="20" t="str">
        <f>HYPERLINK("https://twitter.com/AdarshKumar92","@AdarshKumar92")</f>
        <v>@AdarshKumar92</v>
      </c>
      <c r="C6606" s="21" t="s">
        <v>14831</v>
      </c>
      <c r="D6606" s="21" t="s">
        <v>42</v>
      </c>
      <c r="E6606" s="22" t="str">
        <f>HYPERLINK("https://twitter.com/AdarshKumar92/status/922520224380829696","922520224380829696")</f>
        <v>922520224380829696</v>
      </c>
      <c r="F6606" s="23" t="s">
        <v>33</v>
      </c>
      <c r="G6606" s="24">
        <v>9.0</v>
      </c>
      <c r="H6606" s="24">
        <v>58.0</v>
      </c>
      <c r="I6606" s="24">
        <v>8501.0</v>
      </c>
      <c r="J6606" s="24">
        <v>0.0</v>
      </c>
      <c r="K6606" s="23" t="s">
        <v>34</v>
      </c>
      <c r="L6606" s="25">
        <v>43031.44883101852</v>
      </c>
      <c r="M6606" s="26" t="s">
        <v>3295</v>
      </c>
      <c r="N6606" s="26" t="s">
        <v>2671</v>
      </c>
      <c r="O6606" s="22" t="str">
        <f>HYPERLINK("https://pbs.twimg.com/profile_images/922522411316035590/4FzicyPI_normal.jpg","View")</f>
        <v>View</v>
      </c>
      <c r="P6606" s="27"/>
    </row>
    <row r="6607">
      <c r="A6607" s="14">
        <v>43031.45074074074</v>
      </c>
      <c r="B6607" s="20" t="str">
        <f>HYPERLINK("https://twitter.com/FateJun","@FateJun")</f>
        <v>@FateJun</v>
      </c>
      <c r="C6607" s="21" t="s">
        <v>14832</v>
      </c>
      <c r="D6607" s="21" t="s">
        <v>42</v>
      </c>
      <c r="E6607" s="22" t="str">
        <f>HYPERLINK("https://twitter.com/FateJun/status/922520261093507075","922520261093507075")</f>
        <v>922520261093507075</v>
      </c>
      <c r="F6607" s="23" t="s">
        <v>39</v>
      </c>
      <c r="G6607" s="24">
        <v>2434.0</v>
      </c>
      <c r="H6607" s="24">
        <v>470.0</v>
      </c>
      <c r="I6607" s="24">
        <v>8501.0</v>
      </c>
      <c r="J6607" s="24">
        <v>0.0</v>
      </c>
      <c r="K6607" s="23" t="s">
        <v>34</v>
      </c>
      <c r="L6607" s="25">
        <v>41672.75056712963</v>
      </c>
      <c r="M6607" s="26" t="s">
        <v>14833</v>
      </c>
      <c r="N6607" s="26" t="s">
        <v>14834</v>
      </c>
      <c r="O6607" s="22" t="str">
        <f>HYPERLINK("https://pbs.twimg.com/profile_images/917756593248153605/5cXhLYGO_normal.jpg","View")</f>
        <v>View</v>
      </c>
      <c r="P6607" s="27"/>
    </row>
    <row r="6608">
      <c r="A6608" s="14">
        <v>43031.45075231481</v>
      </c>
      <c r="B6608" s="20" t="str">
        <f>HYPERLINK("https://twitter.com/business","@business")</f>
        <v>@business</v>
      </c>
      <c r="C6608" s="21" t="s">
        <v>3937</v>
      </c>
      <c r="D6608" s="21" t="s">
        <v>14835</v>
      </c>
      <c r="E6608" s="22" t="str">
        <f>HYPERLINK("https://twitter.com/business/status/922520263945801728","922520263945801728")</f>
        <v>922520263945801728</v>
      </c>
      <c r="F6608" s="23" t="s">
        <v>1103</v>
      </c>
      <c r="G6608" s="24">
        <v>4337406.0</v>
      </c>
      <c r="H6608" s="24">
        <v>1088.0</v>
      </c>
      <c r="I6608" s="24">
        <v>36.0</v>
      </c>
      <c r="J6608" s="24">
        <v>70.0</v>
      </c>
      <c r="K6608" s="23" t="s">
        <v>34</v>
      </c>
      <c r="L6608" s="25">
        <v>39926.545335648145</v>
      </c>
      <c r="M6608" s="26" t="s">
        <v>3939</v>
      </c>
      <c r="N6608" s="26" t="s">
        <v>3940</v>
      </c>
      <c r="O6608" s="22" t="str">
        <f>HYPERLINK("https://pbs.twimg.com/profile_images/714946924105883648/4fgNVF4H_normal.jpg","View")</f>
        <v>View</v>
      </c>
      <c r="P6608" s="27"/>
    </row>
    <row r="6609">
      <c r="A6609" s="14">
        <v>43031.450787037036</v>
      </c>
      <c r="B6609" s="20" t="str">
        <f>HYPERLINK("https://twitter.com/JamesRoy","@JamesRoy")</f>
        <v>@JamesRoy</v>
      </c>
      <c r="C6609" s="21" t="s">
        <v>14836</v>
      </c>
      <c r="D6609" s="21" t="s">
        <v>14837</v>
      </c>
      <c r="E6609" s="22" t="str">
        <f>HYPERLINK("https://twitter.com/JamesRoy/status/922520278902693888","922520278902693888")</f>
        <v>922520278902693888</v>
      </c>
      <c r="F6609" s="23" t="s">
        <v>187</v>
      </c>
      <c r="G6609" s="24">
        <v>14551.0</v>
      </c>
      <c r="H6609" s="24">
        <v>0.0</v>
      </c>
      <c r="I6609" s="24">
        <v>0.0</v>
      </c>
      <c r="J6609" s="24">
        <v>0.0</v>
      </c>
      <c r="K6609" s="23" t="s">
        <v>34</v>
      </c>
      <c r="L6609" s="25">
        <v>39826.25667824074</v>
      </c>
      <c r="M6609" s="26" t="s">
        <v>14838</v>
      </c>
      <c r="N6609" s="26" t="s">
        <v>14839</v>
      </c>
      <c r="O6609" s="22" t="str">
        <f>HYPERLINK("https://pbs.twimg.com/profile_images/638077492847378432/_B521DK6_normal.jpg","View")</f>
        <v>View</v>
      </c>
      <c r="P6609" s="27"/>
    </row>
    <row r="6610">
      <c r="A6610" s="14">
        <v>43031.45082175926</v>
      </c>
      <c r="B6610" s="20" t="str">
        <f>HYPERLINK("https://twitter.com/NickGuarinonow","@NickGuarinonow")</f>
        <v>@NickGuarinonow</v>
      </c>
      <c r="C6610" s="21" t="s">
        <v>14840</v>
      </c>
      <c r="D6610" s="21" t="s">
        <v>14841</v>
      </c>
      <c r="E6610" s="22" t="str">
        <f>HYPERLINK("https://twitter.com/NickGuarinonow/status/922520288448806912","922520288448806912")</f>
        <v>922520288448806912</v>
      </c>
      <c r="F6610" s="23" t="s">
        <v>14842</v>
      </c>
      <c r="G6610" s="24">
        <v>18.0</v>
      </c>
      <c r="H6610" s="24">
        <v>18.0</v>
      </c>
      <c r="I6610" s="24">
        <v>0.0</v>
      </c>
      <c r="J6610" s="24">
        <v>0.0</v>
      </c>
      <c r="K6610" s="23" t="s">
        <v>34</v>
      </c>
      <c r="L6610" s="25">
        <v>42753.33300925926</v>
      </c>
      <c r="M6610" s="28"/>
      <c r="N6610" s="26" t="s">
        <v>14843</v>
      </c>
      <c r="O6610" s="22" t="str">
        <f>HYPERLINK("https://pbs.twimg.com/profile_images/821750829212463105/Xqb6H-rQ_normal.jpg","View")</f>
        <v>View</v>
      </c>
      <c r="P6610" s="27"/>
    </row>
    <row r="6611">
      <c r="A6611" s="14">
        <v>43031.45086805556</v>
      </c>
      <c r="B6611" s="20" t="str">
        <f>HYPERLINK("https://twitter.com/serge_poznanski","@serge_poznanski")</f>
        <v>@serge_poznanski</v>
      </c>
      <c r="C6611" s="21" t="s">
        <v>2763</v>
      </c>
      <c r="D6611" s="21" t="s">
        <v>14844</v>
      </c>
      <c r="E6611" s="22" t="str">
        <f>HYPERLINK("https://twitter.com/serge_poznanski/status/922520308891910144","922520308891910144")</f>
        <v>922520308891910144</v>
      </c>
      <c r="F6611" s="23" t="s">
        <v>187</v>
      </c>
      <c r="G6611" s="24">
        <v>1438.0</v>
      </c>
      <c r="H6611" s="24">
        <v>2138.0</v>
      </c>
      <c r="I6611" s="24">
        <v>0.0</v>
      </c>
      <c r="J6611" s="24">
        <v>0.0</v>
      </c>
      <c r="K6611" s="23" t="s">
        <v>34</v>
      </c>
      <c r="L6611" s="25">
        <v>42271.47445601852</v>
      </c>
      <c r="M6611" s="28"/>
      <c r="N6611" s="28"/>
      <c r="O6611" s="22" t="str">
        <f>HYPERLINK("https://pbs.twimg.com/profile_images/647277253240291328/3GezjFCJ_normal.jpg","View")</f>
        <v>View</v>
      </c>
      <c r="P6611" s="27"/>
    </row>
    <row r="6612">
      <c r="A6612" s="14">
        <v>43031.450960648144</v>
      </c>
      <c r="B6612" s="20" t="str">
        <f>HYPERLINK("https://twitter.com/Pinkal_Twitts","@Pinkal_Twitts")</f>
        <v>@Pinkal_Twitts</v>
      </c>
      <c r="C6612" s="21" t="s">
        <v>14845</v>
      </c>
      <c r="D6612" s="21" t="s">
        <v>42</v>
      </c>
      <c r="E6612" s="22" t="str">
        <f>HYPERLINK("https://twitter.com/Pinkal_Twitts/status/922520339699003392","922520339699003392")</f>
        <v>922520339699003392</v>
      </c>
      <c r="F6612" s="23" t="s">
        <v>33</v>
      </c>
      <c r="G6612" s="24">
        <v>46.0</v>
      </c>
      <c r="H6612" s="24">
        <v>68.0</v>
      </c>
      <c r="I6612" s="24">
        <v>8501.0</v>
      </c>
      <c r="J6612" s="24">
        <v>0.0</v>
      </c>
      <c r="K6612" s="23" t="s">
        <v>34</v>
      </c>
      <c r="L6612" s="25">
        <v>41592.862708333334</v>
      </c>
      <c r="M6612" s="28"/>
      <c r="N6612" s="28"/>
      <c r="O6612" s="22" t="str">
        <f>HYPERLINK("https://abs.twimg.com/sticky/default_profile_images/default_profile_normal.png","View")</f>
        <v>View</v>
      </c>
      <c r="P6612" s="27"/>
    </row>
    <row r="6613">
      <c r="A6613" s="14">
        <v>43031.45101851852</v>
      </c>
      <c r="B6613" s="20" t="str">
        <f>HYPERLINK("https://twitter.com/Sonof76","@Sonof76")</f>
        <v>@Sonof76</v>
      </c>
      <c r="C6613" s="21" t="s">
        <v>14846</v>
      </c>
      <c r="D6613" s="21" t="s">
        <v>13962</v>
      </c>
      <c r="E6613" s="22" t="str">
        <f>HYPERLINK("https://twitter.com/Sonof76/status/922520359726747648","922520359726747648")</f>
        <v>922520359726747648</v>
      </c>
      <c r="F6613" s="23" t="s">
        <v>55</v>
      </c>
      <c r="G6613" s="24">
        <v>7.0</v>
      </c>
      <c r="H6613" s="24">
        <v>55.0</v>
      </c>
      <c r="I6613" s="24">
        <v>18.0</v>
      </c>
      <c r="J6613" s="24">
        <v>0.0</v>
      </c>
      <c r="K6613" s="23" t="s">
        <v>34</v>
      </c>
      <c r="L6613" s="25">
        <v>42767.99418981481</v>
      </c>
      <c r="M6613" s="28"/>
      <c r="N6613" s="28"/>
      <c r="O6613" s="22" t="str">
        <f>HYPERLINK("https://pbs.twimg.com/profile_images/831742018149810184/SQc1PWuI_normal.jpg","View")</f>
        <v>View</v>
      </c>
      <c r="P6613" s="27"/>
    </row>
    <row r="6614">
      <c r="A6614" s="14">
        <v>43031.45103009259</v>
      </c>
      <c r="B6614" s="20" t="str">
        <f>HYPERLINK("https://twitter.com/SujeetMishra031","@SujeetMishra031")</f>
        <v>@SujeetMishra031</v>
      </c>
      <c r="C6614" s="21" t="s">
        <v>14847</v>
      </c>
      <c r="D6614" s="21" t="s">
        <v>42</v>
      </c>
      <c r="E6614" s="22" t="str">
        <f>HYPERLINK("https://twitter.com/SujeetMishra031/status/922520365988900864","922520365988900864")</f>
        <v>922520365988900864</v>
      </c>
      <c r="F6614" s="23" t="s">
        <v>33</v>
      </c>
      <c r="G6614" s="24">
        <v>992.0</v>
      </c>
      <c r="H6614" s="24">
        <v>736.0</v>
      </c>
      <c r="I6614" s="24">
        <v>8501.0</v>
      </c>
      <c r="J6614" s="24">
        <v>0.0</v>
      </c>
      <c r="K6614" s="23" t="s">
        <v>34</v>
      </c>
      <c r="L6614" s="25">
        <v>41741.35466435185</v>
      </c>
      <c r="M6614" s="26" t="s">
        <v>204</v>
      </c>
      <c r="N6614" s="26" t="s">
        <v>14848</v>
      </c>
      <c r="O6614" s="22" t="str">
        <f>HYPERLINK("https://pbs.twimg.com/profile_images/900055993110994944/XPTiA-7J_normal.jpg","View")</f>
        <v>View</v>
      </c>
      <c r="P6614" s="27"/>
    </row>
    <row r="6615">
      <c r="A6615" s="14">
        <v>43031.45106481481</v>
      </c>
      <c r="B6615" s="20" t="str">
        <f>HYPERLINK("https://twitter.com/prepzilla","@prepzilla")</f>
        <v>@prepzilla</v>
      </c>
      <c r="C6615" s="21" t="s">
        <v>4010</v>
      </c>
      <c r="D6615" s="21" t="s">
        <v>14849</v>
      </c>
      <c r="E6615" s="22" t="str">
        <f>HYPERLINK("https://twitter.com/prepzilla/status/922520376558735360","922520376558735360")</f>
        <v>922520376558735360</v>
      </c>
      <c r="F6615" s="23" t="s">
        <v>187</v>
      </c>
      <c r="G6615" s="24">
        <v>7689.0</v>
      </c>
      <c r="H6615" s="24">
        <v>476.0</v>
      </c>
      <c r="I6615" s="24">
        <v>0.0</v>
      </c>
      <c r="J6615" s="24">
        <v>0.0</v>
      </c>
      <c r="K6615" s="23" t="s">
        <v>34</v>
      </c>
      <c r="L6615" s="25">
        <v>41299.741736111115</v>
      </c>
      <c r="M6615" s="26" t="s">
        <v>4012</v>
      </c>
      <c r="N6615" s="26" t="s">
        <v>4013</v>
      </c>
      <c r="O6615" s="22" t="str">
        <f>HYPERLINK("https://pbs.twimg.com/profile_images/900797880516005888/1bWN5qbC_normal.jpg","View")</f>
        <v>View</v>
      </c>
      <c r="P6615" s="27"/>
    </row>
    <row r="6616">
      <c r="A6616" s="14">
        <v>43031.45106481481</v>
      </c>
      <c r="B6616" s="20" t="str">
        <f>HYPERLINK("https://twitter.com/onlinelords","@onlinelords")</f>
        <v>@onlinelords</v>
      </c>
      <c r="C6616" s="21" t="s">
        <v>14850</v>
      </c>
      <c r="D6616" s="21" t="s">
        <v>14851</v>
      </c>
      <c r="E6616" s="22" t="str">
        <f>HYPERLINK("https://twitter.com/onlinelords/status/922520377603043328","922520377603043328")</f>
        <v>922520377603043328</v>
      </c>
      <c r="F6616" s="23" t="s">
        <v>187</v>
      </c>
      <c r="G6616" s="24">
        <v>501.0</v>
      </c>
      <c r="H6616" s="24">
        <v>1815.0</v>
      </c>
      <c r="I6616" s="24">
        <v>0.0</v>
      </c>
      <c r="J6616" s="24">
        <v>0.0</v>
      </c>
      <c r="K6616" s="23" t="s">
        <v>34</v>
      </c>
      <c r="L6616" s="25">
        <v>42910.427141203705</v>
      </c>
      <c r="M6616" s="26" t="s">
        <v>567</v>
      </c>
      <c r="N6616" s="26" t="s">
        <v>14852</v>
      </c>
      <c r="O6616" s="22" t="str">
        <f>HYPERLINK("https://pbs.twimg.com/profile_images/919643248817254400/z8AUB3Qm_normal.jpg","View")</f>
        <v>View</v>
      </c>
      <c r="P6616" s="27"/>
    </row>
    <row r="6617">
      <c r="A6617" s="14">
        <v>43031.45107638889</v>
      </c>
      <c r="B6617" s="20" t="str">
        <f>HYPERLINK("https://twitter.com/TarzanChinnu","@TarzanChinnu")</f>
        <v>@TarzanChinnu</v>
      </c>
      <c r="C6617" s="21" t="s">
        <v>14853</v>
      </c>
      <c r="D6617" s="21" t="s">
        <v>42</v>
      </c>
      <c r="E6617" s="22" t="str">
        <f>HYPERLINK("https://twitter.com/TarzanChinnu/status/922520381885263872","922520381885263872")</f>
        <v>922520381885263872</v>
      </c>
      <c r="F6617" s="23" t="s">
        <v>33</v>
      </c>
      <c r="G6617" s="24">
        <v>93.0</v>
      </c>
      <c r="H6617" s="24">
        <v>445.0</v>
      </c>
      <c r="I6617" s="24">
        <v>8501.0</v>
      </c>
      <c r="J6617" s="24">
        <v>0.0</v>
      </c>
      <c r="K6617" s="23" t="s">
        <v>34</v>
      </c>
      <c r="L6617" s="25">
        <v>41023.128541666665</v>
      </c>
      <c r="M6617" s="26" t="s">
        <v>1991</v>
      </c>
      <c r="N6617" s="26" t="s">
        <v>14854</v>
      </c>
      <c r="O6617" s="22" t="str">
        <f>HYPERLINK("https://pbs.twimg.com/profile_images/850059262311231488/SIlMTF5Y_normal.jpg","View")</f>
        <v>View</v>
      </c>
      <c r="P6617" s="27"/>
    </row>
    <row r="6618">
      <c r="A6618" s="14">
        <v>43031.45107638889</v>
      </c>
      <c r="B6618" s="20" t="str">
        <f>HYPERLINK("https://twitter.com/bobby990r_1","@bobby990r_1")</f>
        <v>@bobby990r_1</v>
      </c>
      <c r="C6618" s="21" t="s">
        <v>8701</v>
      </c>
      <c r="D6618" s="21" t="s">
        <v>14855</v>
      </c>
      <c r="E6618" s="22" t="str">
        <f>HYPERLINK("https://twitter.com/bobby990r_1/status/922520384259411968","922520384259411968")</f>
        <v>922520384259411968</v>
      </c>
      <c r="F6618" s="23" t="s">
        <v>39</v>
      </c>
      <c r="G6618" s="24">
        <v>409.0</v>
      </c>
      <c r="H6618" s="24">
        <v>357.0</v>
      </c>
      <c r="I6618" s="24">
        <v>36.0</v>
      </c>
      <c r="J6618" s="24">
        <v>0.0</v>
      </c>
      <c r="K6618" s="23" t="s">
        <v>34</v>
      </c>
      <c r="L6618" s="25">
        <v>41659.656863425924</v>
      </c>
      <c r="M6618" s="28"/>
      <c r="N6618" s="26" t="s">
        <v>8702</v>
      </c>
      <c r="O6618" s="22" t="str">
        <f>HYPERLINK("https://pbs.twimg.com/profile_images/427116344161484801/JsZ1YLcA_normal.jpeg","View")</f>
        <v>View</v>
      </c>
      <c r="P6618" s="27"/>
    </row>
    <row r="6619">
      <c r="A6619" s="14">
        <v>43031.45109953704</v>
      </c>
      <c r="B6619" s="20" t="str">
        <f>HYPERLINK("https://twitter.com/alfonsoromillo","@alfonsoromillo")</f>
        <v>@alfonsoromillo</v>
      </c>
      <c r="C6619" s="21" t="s">
        <v>14856</v>
      </c>
      <c r="D6619" s="21" t="s">
        <v>14748</v>
      </c>
      <c r="E6619" s="22" t="str">
        <f>HYPERLINK("https://twitter.com/alfonsoromillo/status/922520390898876416","922520390898876416")</f>
        <v>922520390898876416</v>
      </c>
      <c r="F6619" s="23" t="s">
        <v>39</v>
      </c>
      <c r="G6619" s="24">
        <v>646.0</v>
      </c>
      <c r="H6619" s="24">
        <v>475.0</v>
      </c>
      <c r="I6619" s="24">
        <v>46.0</v>
      </c>
      <c r="J6619" s="24">
        <v>0.0</v>
      </c>
      <c r="K6619" s="23" t="s">
        <v>34</v>
      </c>
      <c r="L6619" s="25">
        <v>40695.199594907404</v>
      </c>
      <c r="M6619" s="26" t="s">
        <v>14857</v>
      </c>
      <c r="N6619" s="26" t="s">
        <v>14858</v>
      </c>
      <c r="O6619" s="22" t="str">
        <f>HYPERLINK("https://pbs.twimg.com/profile_images/916234406276210688/wPhChmfV_normal.jpg","View")</f>
        <v>View</v>
      </c>
      <c r="P6619" s="27"/>
    </row>
    <row r="6620">
      <c r="A6620" s="14">
        <v>43031.451111111106</v>
      </c>
      <c r="B6620" s="20" t="str">
        <f>HYPERLINK("https://twitter.com/iyer_rn","@iyer_rn")</f>
        <v>@iyer_rn</v>
      </c>
      <c r="C6620" s="21" t="s">
        <v>14859</v>
      </c>
      <c r="D6620" s="21" t="s">
        <v>42</v>
      </c>
      <c r="E6620" s="22" t="str">
        <f>HYPERLINK("https://twitter.com/iyer_rn/status/922520396649316353","922520396649316353")</f>
        <v>922520396649316353</v>
      </c>
      <c r="F6620" s="23" t="s">
        <v>55</v>
      </c>
      <c r="G6620" s="24">
        <v>364.0</v>
      </c>
      <c r="H6620" s="24">
        <v>969.0</v>
      </c>
      <c r="I6620" s="24">
        <v>8501.0</v>
      </c>
      <c r="J6620" s="24">
        <v>0.0</v>
      </c>
      <c r="K6620" s="23" t="s">
        <v>34</v>
      </c>
      <c r="L6620" s="25">
        <v>41435.14755787037</v>
      </c>
      <c r="M6620" s="26" t="s">
        <v>14860</v>
      </c>
      <c r="N6620" s="26" t="s">
        <v>14861</v>
      </c>
      <c r="O6620" s="22" t="str">
        <f>HYPERLINK("https://pbs.twimg.com/profile_images/910712765177663488/aRXOrSCM_normal.jpg","View")</f>
        <v>View</v>
      </c>
      <c r="P6620" s="27"/>
    </row>
    <row r="6621">
      <c r="A6621" s="14">
        <v>43031.45114583333</v>
      </c>
      <c r="B6621" s="20" t="str">
        <f>HYPERLINK("https://twitter.com/hdr_sharma","@hdr_sharma")</f>
        <v>@hdr_sharma</v>
      </c>
      <c r="C6621" s="21" t="s">
        <v>14862</v>
      </c>
      <c r="D6621" s="21" t="s">
        <v>42</v>
      </c>
      <c r="E6621" s="22" t="str">
        <f>HYPERLINK("https://twitter.com/hdr_sharma/status/922520408661856258","922520408661856258")</f>
        <v>922520408661856258</v>
      </c>
      <c r="F6621" s="23" t="s">
        <v>39</v>
      </c>
      <c r="G6621" s="24">
        <v>326.0</v>
      </c>
      <c r="H6621" s="24">
        <v>241.0</v>
      </c>
      <c r="I6621" s="24">
        <v>8501.0</v>
      </c>
      <c r="J6621" s="24">
        <v>0.0</v>
      </c>
      <c r="K6621" s="23" t="s">
        <v>34</v>
      </c>
      <c r="L6621" s="25">
        <v>41997.06701388889</v>
      </c>
      <c r="M6621" s="26" t="s">
        <v>14863</v>
      </c>
      <c r="N6621" s="28"/>
      <c r="O6621" s="22" t="str">
        <f>HYPERLINK("https://pbs.twimg.com/profile_images/813780056212316160/6Uk_pAvJ_normal.jpg","View")</f>
        <v>View</v>
      </c>
      <c r="P6621" s="27"/>
    </row>
    <row r="6622">
      <c r="A6622" s="14">
        <v>43031.45128472222</v>
      </c>
      <c r="B6622" s="20" t="str">
        <f>HYPERLINK("https://twitter.com/bdnews24","@bdnews24")</f>
        <v>@bdnews24</v>
      </c>
      <c r="C6622" s="21" t="s">
        <v>831</v>
      </c>
      <c r="D6622" s="21" t="s">
        <v>14864</v>
      </c>
      <c r="E6622" s="22" t="str">
        <f>HYPERLINK("https://twitter.com/bdnews24/status/922520457286479873","922520457286479873")</f>
        <v>922520457286479873</v>
      </c>
      <c r="F6622" s="23" t="s">
        <v>187</v>
      </c>
      <c r="G6622" s="24">
        <v>215301.0</v>
      </c>
      <c r="H6622" s="24">
        <v>67843.0</v>
      </c>
      <c r="I6622" s="24">
        <v>0.0</v>
      </c>
      <c r="J6622" s="24">
        <v>0.0</v>
      </c>
      <c r="K6622" s="23" t="s">
        <v>34</v>
      </c>
      <c r="L6622" s="25">
        <v>39844.468043981484</v>
      </c>
      <c r="M6622" s="26" t="s">
        <v>833</v>
      </c>
      <c r="N6622" s="26" t="s">
        <v>834</v>
      </c>
      <c r="O6622" s="22" t="str">
        <f>HYPERLINK("https://pbs.twimg.com/profile_images/718433521509994497/4iW9RC_r_normal.jpg","View")</f>
        <v>View</v>
      </c>
      <c r="P6622" s="27"/>
    </row>
    <row r="6623">
      <c r="A6623" s="14">
        <v>43031.4512962963</v>
      </c>
      <c r="B6623" s="20" t="str">
        <f>HYPERLINK("https://twitter.com/daddy_owino","@daddy_owino")</f>
        <v>@daddy_owino</v>
      </c>
      <c r="C6623" s="21" t="s">
        <v>14865</v>
      </c>
      <c r="D6623" s="21" t="s">
        <v>32</v>
      </c>
      <c r="E6623" s="22" t="str">
        <f>HYPERLINK("https://twitter.com/daddy_owino/status/922520462361546752","922520462361546752")</f>
        <v>922520462361546752</v>
      </c>
      <c r="F6623" s="23" t="s">
        <v>780</v>
      </c>
      <c r="G6623" s="24">
        <v>43.0</v>
      </c>
      <c r="H6623" s="24">
        <v>56.0</v>
      </c>
      <c r="I6623" s="24">
        <v>471.0</v>
      </c>
      <c r="J6623" s="24">
        <v>0.0</v>
      </c>
      <c r="K6623" s="23" t="s">
        <v>34</v>
      </c>
      <c r="L6623" s="25">
        <v>43001.935752314814</v>
      </c>
      <c r="M6623" s="26" t="s">
        <v>14866</v>
      </c>
      <c r="N6623" s="26" t="s">
        <v>14867</v>
      </c>
      <c r="O6623" s="22" t="str">
        <f>HYPERLINK("https://pbs.twimg.com/profile_images/916727391770284034/qXbOEYnl_normal.jpg","View")</f>
        <v>View</v>
      </c>
      <c r="P6623" s="27"/>
    </row>
    <row r="6624">
      <c r="A6624" s="14">
        <v>43031.451331018514</v>
      </c>
      <c r="B6624" s="20" t="str">
        <f>HYPERLINK("https://twitter.com/msudhaTOI","@msudhaTOI")</f>
        <v>@msudhaTOI</v>
      </c>
      <c r="C6624" s="21" t="s">
        <v>14868</v>
      </c>
      <c r="D6624" s="21" t="s">
        <v>14869</v>
      </c>
      <c r="E6624" s="22" t="str">
        <f>HYPERLINK("https://twitter.com/msudhaTOI/status/922520473170145281","922520473170145281")</f>
        <v>922520473170145281</v>
      </c>
      <c r="F6624" s="23" t="s">
        <v>33</v>
      </c>
      <c r="G6624" s="24">
        <v>289.0</v>
      </c>
      <c r="H6624" s="24">
        <v>203.0</v>
      </c>
      <c r="I6624" s="24">
        <v>0.0</v>
      </c>
      <c r="J6624" s="24">
        <v>0.0</v>
      </c>
      <c r="K6624" s="23" t="s">
        <v>34</v>
      </c>
      <c r="L6624" s="25">
        <v>42269.181238425925</v>
      </c>
      <c r="M6624" s="26" t="s">
        <v>14870</v>
      </c>
      <c r="N6624" s="26" t="s">
        <v>14871</v>
      </c>
      <c r="O6624" s="22" t="str">
        <f>HYPERLINK("https://pbs.twimg.com/profile_images/651722551643652096/PmNg2GHg_normal.jpg","View")</f>
        <v>View</v>
      </c>
      <c r="P6624" s="27"/>
    </row>
    <row r="6625">
      <c r="A6625" s="14">
        <v>43031.451331018514</v>
      </c>
      <c r="B6625" s="20" t="str">
        <f>HYPERLINK("https://twitter.com/amir_farooqui","@amir_farooqui")</f>
        <v>@amir_farooqui</v>
      </c>
      <c r="C6625" s="21" t="s">
        <v>14872</v>
      </c>
      <c r="D6625" s="21" t="s">
        <v>14873</v>
      </c>
      <c r="E6625" s="22" t="str">
        <f>HYPERLINK("https://twitter.com/amir_farooqui/status/922520474244050944","922520474244050944")</f>
        <v>922520474244050944</v>
      </c>
      <c r="F6625" s="23" t="s">
        <v>33</v>
      </c>
      <c r="G6625" s="24">
        <v>433.0</v>
      </c>
      <c r="H6625" s="24">
        <v>1631.0</v>
      </c>
      <c r="I6625" s="24">
        <v>0.0</v>
      </c>
      <c r="J6625" s="24">
        <v>0.0</v>
      </c>
      <c r="K6625" s="23" t="s">
        <v>34</v>
      </c>
      <c r="L6625" s="25">
        <v>39779.26136574074</v>
      </c>
      <c r="M6625" s="26" t="s">
        <v>590</v>
      </c>
      <c r="N6625" s="26" t="s">
        <v>14874</v>
      </c>
      <c r="O6625" s="22" t="str">
        <f>HYPERLINK("https://pbs.twimg.com/profile_images/569536487599788032/ifNvDwQw_normal.jpeg","View")</f>
        <v>View</v>
      </c>
      <c r="P6625" s="27"/>
    </row>
    <row r="6626">
      <c r="A6626" s="14">
        <v>43031.45136574074</v>
      </c>
      <c r="B6626" s="20" t="str">
        <f>HYPERLINK("https://twitter.com/NTKRNow","@NTKRNow")</f>
        <v>@NTKRNow</v>
      </c>
      <c r="C6626" s="21" t="s">
        <v>14875</v>
      </c>
      <c r="D6626" s="21" t="s">
        <v>14876</v>
      </c>
      <c r="E6626" s="22" t="str">
        <f>HYPERLINK("https://twitter.com/NTKRNow/status/922520489112764416","922520489112764416")</f>
        <v>922520489112764416</v>
      </c>
      <c r="F6626" s="23" t="s">
        <v>187</v>
      </c>
      <c r="G6626" s="24">
        <v>605.0</v>
      </c>
      <c r="H6626" s="24">
        <v>4.0</v>
      </c>
      <c r="I6626" s="24">
        <v>0.0</v>
      </c>
      <c r="J6626" s="24">
        <v>0.0</v>
      </c>
      <c r="K6626" s="23" t="s">
        <v>34</v>
      </c>
      <c r="L6626" s="25">
        <v>42402.810625</v>
      </c>
      <c r="M6626" s="28"/>
      <c r="N6626" s="28"/>
      <c r="O6626" s="22" t="str">
        <f>HYPERLINK("https://abs.twimg.com/sticky/default_profile_images/default_profile_normal.png","View")</f>
        <v>View</v>
      </c>
      <c r="P6626" s="27"/>
    </row>
    <row r="6627">
      <c r="A6627" s="14">
        <v>43031.451469907406</v>
      </c>
      <c r="B6627" s="20" t="str">
        <f>HYPERLINK("https://twitter.com/blackrock","@blackrock")</f>
        <v>@blackrock</v>
      </c>
      <c r="C6627" s="21" t="s">
        <v>14877</v>
      </c>
      <c r="D6627" s="21" t="s">
        <v>14878</v>
      </c>
      <c r="E6627" s="22" t="str">
        <f>HYPERLINK("https://twitter.com/blackrock/status/922520524089122816","922520524089122816")</f>
        <v>922520524089122816</v>
      </c>
      <c r="F6627" s="23" t="s">
        <v>55</v>
      </c>
      <c r="G6627" s="24">
        <v>339530.0</v>
      </c>
      <c r="H6627" s="24">
        <v>880.0</v>
      </c>
      <c r="I6627" s="24">
        <v>1.0</v>
      </c>
      <c r="J6627" s="24">
        <v>0.0</v>
      </c>
      <c r="K6627" s="23" t="s">
        <v>34</v>
      </c>
      <c r="L6627" s="25">
        <v>39883.237025462964</v>
      </c>
      <c r="M6627" s="28"/>
      <c r="N6627" s="26" t="s">
        <v>14879</v>
      </c>
      <c r="O6627" s="22" t="str">
        <f>HYPERLINK("https://pbs.twimg.com/profile_images/795637829758058496/MdiCo4mx_normal.jpg","View")</f>
        <v>View</v>
      </c>
      <c r="P6627" s="27"/>
    </row>
    <row r="6628">
      <c r="A6628" s="14">
        <v>43031.451585648145</v>
      </c>
      <c r="B6628" s="20" t="str">
        <f>HYPERLINK("https://twitter.com/ninosukhia","@ninosukhia")</f>
        <v>@ninosukhia</v>
      </c>
      <c r="C6628" s="21" t="s">
        <v>14880</v>
      </c>
      <c r="D6628" s="21" t="s">
        <v>13352</v>
      </c>
      <c r="E6628" s="22" t="str">
        <f>HYPERLINK("https://twitter.com/ninosukhia/status/922520567131013120","922520567131013120")</f>
        <v>922520567131013120</v>
      </c>
      <c r="F6628" s="23" t="s">
        <v>33</v>
      </c>
      <c r="G6628" s="24">
        <v>43.0</v>
      </c>
      <c r="H6628" s="24">
        <v>233.0</v>
      </c>
      <c r="I6628" s="24">
        <v>7.0</v>
      </c>
      <c r="J6628" s="24">
        <v>0.0</v>
      </c>
      <c r="K6628" s="23" t="s">
        <v>34</v>
      </c>
      <c r="L6628" s="25">
        <v>41614.11822916666</v>
      </c>
      <c r="M6628" s="28"/>
      <c r="N6628" s="28"/>
      <c r="O6628" s="22" t="str">
        <f>HYPERLINK("https://pbs.twimg.com/profile_images/378800000836120505/adc90c36cdbbb2ea3f4305d0395e6518_normal.jpeg","View")</f>
        <v>View</v>
      </c>
      <c r="P6628" s="27"/>
    </row>
    <row r="6629">
      <c r="A6629" s="14">
        <v>43031.4516087963</v>
      </c>
      <c r="B6629" s="20" t="str">
        <f>HYPERLINK("https://twitter.com/2mstephane","@2mstephane")</f>
        <v>@2mstephane</v>
      </c>
      <c r="C6629" s="21" t="s">
        <v>6993</v>
      </c>
      <c r="D6629" s="21" t="s">
        <v>14682</v>
      </c>
      <c r="E6629" s="22" t="str">
        <f>HYPERLINK("https://twitter.com/2mstephane/status/922520573674213376","922520573674213376")</f>
        <v>922520573674213376</v>
      </c>
      <c r="F6629" s="23" t="s">
        <v>33</v>
      </c>
      <c r="G6629" s="24">
        <v>5361.0</v>
      </c>
      <c r="H6629" s="24">
        <v>878.0</v>
      </c>
      <c r="I6629" s="24">
        <v>5.0</v>
      </c>
      <c r="J6629" s="24">
        <v>0.0</v>
      </c>
      <c r="K6629" s="23" t="s">
        <v>34</v>
      </c>
      <c r="L6629" s="25">
        <v>41598.24133101852</v>
      </c>
      <c r="M6629" s="26" t="s">
        <v>6994</v>
      </c>
      <c r="N6629" s="26" t="s">
        <v>6995</v>
      </c>
      <c r="O6629" s="22" t="str">
        <f>HYPERLINK("https://pbs.twimg.com/profile_images/856682876074696704/IQiE5wpB_normal.jpg","View")</f>
        <v>View</v>
      </c>
      <c r="P6629" s="27"/>
    </row>
    <row r="6630">
      <c r="A6630" s="14">
        <v>43031.451689814814</v>
      </c>
      <c r="B6630" s="20" t="str">
        <f>HYPERLINK("https://twitter.com/Ilkmade_Pol","@Ilkmade_Pol")</f>
        <v>@Ilkmade_Pol</v>
      </c>
      <c r="C6630" s="21" t="s">
        <v>14881</v>
      </c>
      <c r="D6630" s="21" t="s">
        <v>1903</v>
      </c>
      <c r="E6630" s="22" t="str">
        <f>HYPERLINK("https://twitter.com/Ilkmade_Pol/status/922520603617382400","922520603617382400")</f>
        <v>922520603617382400</v>
      </c>
      <c r="F6630" s="23" t="s">
        <v>55</v>
      </c>
      <c r="G6630" s="24">
        <v>414.0</v>
      </c>
      <c r="H6630" s="24">
        <v>4993.0</v>
      </c>
      <c r="I6630" s="24">
        <v>6.0</v>
      </c>
      <c r="J6630" s="24">
        <v>0.0</v>
      </c>
      <c r="K6630" s="23" t="s">
        <v>34</v>
      </c>
      <c r="L6630" s="25">
        <v>42674.57553240741</v>
      </c>
      <c r="M6630" s="28"/>
      <c r="N6630" s="26" t="s">
        <v>14882</v>
      </c>
      <c r="O6630" s="22" t="str">
        <f>HYPERLINK("https://pbs.twimg.com/profile_images/798562960960581632/G6ZwSkAV_normal.jpg","View")</f>
        <v>View</v>
      </c>
      <c r="P6630" s="27"/>
    </row>
    <row r="6631">
      <c r="A6631" s="14">
        <v>43031.45192129629</v>
      </c>
      <c r="B6631" s="20" t="str">
        <f>HYPERLINK("https://twitter.com/Fehreen_k96","@Fehreen_k96")</f>
        <v>@Fehreen_k96</v>
      </c>
      <c r="C6631" s="21" t="s">
        <v>14883</v>
      </c>
      <c r="D6631" s="21" t="s">
        <v>14855</v>
      </c>
      <c r="E6631" s="22" t="str">
        <f>HYPERLINK("https://twitter.com/Fehreen_k96/status/922520690175172608","922520690175172608")</f>
        <v>922520690175172608</v>
      </c>
      <c r="F6631" s="23" t="s">
        <v>39</v>
      </c>
      <c r="G6631" s="24">
        <v>22.0</v>
      </c>
      <c r="H6631" s="24">
        <v>147.0</v>
      </c>
      <c r="I6631" s="24">
        <v>36.0</v>
      </c>
      <c r="J6631" s="24">
        <v>0.0</v>
      </c>
      <c r="K6631" s="23" t="s">
        <v>34</v>
      </c>
      <c r="L6631" s="25">
        <v>43020.11006944445</v>
      </c>
      <c r="M6631" s="28"/>
      <c r="N6631" s="28"/>
      <c r="O6631" s="22" t="str">
        <f>HYPERLINK("https://abs.twimg.com/sticky/default_profile_images/default_profile_normal.png","View")</f>
        <v>View</v>
      </c>
      <c r="P6631" s="27"/>
    </row>
    <row r="6632">
      <c r="A6632" s="14">
        <v>43031.451956018514</v>
      </c>
      <c r="B6632" s="20" t="str">
        <f>HYPERLINK("https://twitter.com/sameeruppal","@sameeruppal")</f>
        <v>@sameeruppal</v>
      </c>
      <c r="C6632" s="21" t="s">
        <v>14884</v>
      </c>
      <c r="D6632" s="21" t="s">
        <v>14708</v>
      </c>
      <c r="E6632" s="22" t="str">
        <f>HYPERLINK("https://twitter.com/sameeruppal/status/922520702124781569","922520702124781569")</f>
        <v>922520702124781569</v>
      </c>
      <c r="F6632" s="23" t="s">
        <v>39</v>
      </c>
      <c r="G6632" s="24">
        <v>252.0</v>
      </c>
      <c r="H6632" s="24">
        <v>1022.0</v>
      </c>
      <c r="I6632" s="24">
        <v>3.0</v>
      </c>
      <c r="J6632" s="24">
        <v>0.0</v>
      </c>
      <c r="K6632" s="23" t="s">
        <v>34</v>
      </c>
      <c r="L6632" s="25">
        <v>40168.012245370366</v>
      </c>
      <c r="M6632" s="28"/>
      <c r="N6632" s="26" t="s">
        <v>14885</v>
      </c>
      <c r="O6632" s="22" t="str">
        <f>HYPERLINK("https://pbs.twimg.com/profile_images/824345916974972933/gpD-yvQF_normal.jpg","View")</f>
        <v>View</v>
      </c>
      <c r="P6632" s="27"/>
    </row>
    <row r="6633">
      <c r="A6633" s="14">
        <v>43031.45201388889</v>
      </c>
      <c r="B6633" s="20" t="str">
        <f>HYPERLINK("https://twitter.com/Avinash66671485","@Avinash66671485")</f>
        <v>@Avinash66671485</v>
      </c>
      <c r="C6633" s="21" t="s">
        <v>14886</v>
      </c>
      <c r="D6633" s="21" t="s">
        <v>42</v>
      </c>
      <c r="E6633" s="22" t="str">
        <f>HYPERLINK("https://twitter.com/Avinash66671485/status/922520722701987843","922520722701987843")</f>
        <v>922520722701987843</v>
      </c>
      <c r="F6633" s="23" t="s">
        <v>33</v>
      </c>
      <c r="G6633" s="24">
        <v>1.0</v>
      </c>
      <c r="H6633" s="24">
        <v>56.0</v>
      </c>
      <c r="I6633" s="24">
        <v>8501.0</v>
      </c>
      <c r="J6633" s="24">
        <v>0.0</v>
      </c>
      <c r="K6633" s="23" t="s">
        <v>34</v>
      </c>
      <c r="L6633" s="25">
        <v>43031.44359953704</v>
      </c>
      <c r="M6633" s="28"/>
      <c r="N6633" s="28"/>
      <c r="O6633" s="22" t="str">
        <f>HYPERLINK("https://abs.twimg.com/sticky/default_profile_images/default_profile_normal.png","View")</f>
        <v>View</v>
      </c>
      <c r="P6633" s="27"/>
    </row>
    <row r="6634">
      <c r="A6634" s="14">
        <v>43031.45203703704</v>
      </c>
      <c r="B6634" s="20" t="str">
        <f>HYPERLINK("https://twitter.com/Dasle1975","@Dasle1975")</f>
        <v>@Dasle1975</v>
      </c>
      <c r="C6634" s="21" t="s">
        <v>14887</v>
      </c>
      <c r="D6634" s="21" t="s">
        <v>14855</v>
      </c>
      <c r="E6634" s="22" t="str">
        <f>HYPERLINK("https://twitter.com/Dasle1975/status/922520731044450304","922520731044450304")</f>
        <v>922520731044450304</v>
      </c>
      <c r="F6634" s="23" t="s">
        <v>33</v>
      </c>
      <c r="G6634" s="24">
        <v>252.0</v>
      </c>
      <c r="H6634" s="24">
        <v>271.0</v>
      </c>
      <c r="I6634" s="24">
        <v>36.0</v>
      </c>
      <c r="J6634" s="24">
        <v>0.0</v>
      </c>
      <c r="K6634" s="23" t="s">
        <v>34</v>
      </c>
      <c r="L6634" s="25">
        <v>42632.374548611115</v>
      </c>
      <c r="M6634" s="26" t="s">
        <v>14888</v>
      </c>
      <c r="N6634" s="26" t="s">
        <v>14889</v>
      </c>
      <c r="O6634" s="22" t="str">
        <f>HYPERLINK("https://pbs.twimg.com/profile_images/778289324202885120/v8cUKmp8_normal.jpg","View")</f>
        <v>View</v>
      </c>
      <c r="P6634" s="27"/>
    </row>
    <row r="6635">
      <c r="A6635" s="14">
        <v>43031.452060185184</v>
      </c>
      <c r="B6635" s="20" t="str">
        <f>HYPERLINK("https://twitter.com/thehawaiiguy","@thehawaiiguy")</f>
        <v>@thehawaiiguy</v>
      </c>
      <c r="C6635" s="21" t="s">
        <v>14890</v>
      </c>
      <c r="D6635" s="21" t="s">
        <v>14891</v>
      </c>
      <c r="E6635" s="22" t="str">
        <f>HYPERLINK("https://twitter.com/thehawaiiguy/status/922520737243480065","922520737243480065")</f>
        <v>922520737243480065</v>
      </c>
      <c r="F6635" s="23" t="s">
        <v>55</v>
      </c>
      <c r="G6635" s="24">
        <v>3010.0</v>
      </c>
      <c r="H6635" s="24">
        <v>4972.0</v>
      </c>
      <c r="I6635" s="24">
        <v>0.0</v>
      </c>
      <c r="J6635" s="24">
        <v>0.0</v>
      </c>
      <c r="K6635" s="23" t="s">
        <v>34</v>
      </c>
      <c r="L6635" s="25">
        <v>39925.63134259259</v>
      </c>
      <c r="M6635" s="26" t="s">
        <v>14892</v>
      </c>
      <c r="N6635" s="28"/>
      <c r="O6635" s="22" t="str">
        <f>HYPERLINK("https://pbs.twimg.com/profile_images/1202133707/oahu-koolau-mountains-hvcb-301x200_normal.jpg","View")</f>
        <v>View</v>
      </c>
      <c r="P6635" s="27"/>
    </row>
    <row r="6636">
      <c r="A6636" s="14">
        <v>43031.45228009259</v>
      </c>
      <c r="B6636" s="20" t="str">
        <f>HYPERLINK("https://twitter.com/angelmkd","@angelmkd")</f>
        <v>@angelmkd</v>
      </c>
      <c r="C6636" s="21" t="s">
        <v>14893</v>
      </c>
      <c r="D6636" s="21" t="s">
        <v>14748</v>
      </c>
      <c r="E6636" s="22" t="str">
        <f>HYPERLINK("https://twitter.com/angelmkd/status/922520817098993669","922520817098993669")</f>
        <v>922520817098993669</v>
      </c>
      <c r="F6636" s="23" t="s">
        <v>33</v>
      </c>
      <c r="G6636" s="24">
        <v>2012.0</v>
      </c>
      <c r="H6636" s="24">
        <v>2004.0</v>
      </c>
      <c r="I6636" s="24">
        <v>46.0</v>
      </c>
      <c r="J6636" s="24">
        <v>0.0</v>
      </c>
      <c r="K6636" s="23" t="s">
        <v>34</v>
      </c>
      <c r="L6636" s="25">
        <v>40082.03630787037</v>
      </c>
      <c r="M6636" s="28"/>
      <c r="N6636" s="26" t="s">
        <v>14894</v>
      </c>
      <c r="O6636" s="22" t="str">
        <f>HYPERLINK("https://pbs.twimg.com/profile_images/908038730958680064/83eIJKN5_normal.jpg","View")</f>
        <v>View</v>
      </c>
      <c r="P6636" s="27"/>
    </row>
    <row r="6637">
      <c r="A6637" s="14">
        <v>43031.45229166667</v>
      </c>
      <c r="B6637" s="20" t="str">
        <f>HYPERLINK("https://twitter.com/MarcoNavarroLor","@MarcoNavarroLor")</f>
        <v>@MarcoNavarroLor</v>
      </c>
      <c r="C6637" s="21" t="s">
        <v>14895</v>
      </c>
      <c r="D6637" s="21" t="s">
        <v>14748</v>
      </c>
      <c r="E6637" s="22" t="str">
        <f>HYPERLINK("https://twitter.com/MarcoNavarroLor/status/922520823881224193","922520823881224193")</f>
        <v>922520823881224193</v>
      </c>
      <c r="F6637" s="23" t="s">
        <v>39</v>
      </c>
      <c r="G6637" s="24">
        <v>682.0</v>
      </c>
      <c r="H6637" s="24">
        <v>100.0</v>
      </c>
      <c r="I6637" s="24">
        <v>46.0</v>
      </c>
      <c r="J6637" s="24">
        <v>0.0</v>
      </c>
      <c r="K6637" s="23" t="s">
        <v>34</v>
      </c>
      <c r="L6637" s="25">
        <v>42314.45510416667</v>
      </c>
      <c r="M6637" s="26" t="s">
        <v>14896</v>
      </c>
      <c r="N6637" s="26" t="s">
        <v>14897</v>
      </c>
      <c r="O6637" s="22" t="str">
        <f>HYPERLINK("https://pbs.twimg.com/profile_images/913887688268402688/p4NueOZE_normal.jpg","View")</f>
        <v>View</v>
      </c>
      <c r="P6637" s="27"/>
    </row>
    <row r="6638">
      <c r="A6638" s="14">
        <v>43031.45234953704</v>
      </c>
      <c r="B6638" s="20" t="str">
        <f>HYPERLINK("https://twitter.com/johnrobertMUFC","@johnrobertMUFC")</f>
        <v>@johnrobertMUFC</v>
      </c>
      <c r="C6638" s="21" t="s">
        <v>14898</v>
      </c>
      <c r="D6638" s="21" t="s">
        <v>32</v>
      </c>
      <c r="E6638" s="22" t="str">
        <f>HYPERLINK("https://twitter.com/johnrobertMUFC/status/922520843003088896","922520843003088896")</f>
        <v>922520843003088896</v>
      </c>
      <c r="F6638" s="23" t="s">
        <v>33</v>
      </c>
      <c r="G6638" s="24">
        <v>627.0</v>
      </c>
      <c r="H6638" s="24">
        <v>379.0</v>
      </c>
      <c r="I6638" s="24">
        <v>471.0</v>
      </c>
      <c r="J6638" s="24">
        <v>0.0</v>
      </c>
      <c r="K6638" s="23" t="s">
        <v>34</v>
      </c>
      <c r="L6638" s="25">
        <v>40504.22862268519</v>
      </c>
      <c r="M6638" s="26" t="s">
        <v>114</v>
      </c>
      <c r="N6638" s="26" t="s">
        <v>14899</v>
      </c>
      <c r="O6638" s="22" t="str">
        <f>HYPERLINK("https://pbs.twimg.com/profile_images/656341509265080320/xwWF570v_normal.jpg","View")</f>
        <v>View</v>
      </c>
      <c r="P6638" s="27"/>
    </row>
    <row r="6639">
      <c r="A6639" s="14">
        <v>43031.45234953704</v>
      </c>
      <c r="B6639" s="20" t="str">
        <f>HYPERLINK("https://twitter.com/Moonbootica","@Moonbootica")</f>
        <v>@Moonbootica</v>
      </c>
      <c r="C6639" s="21" t="s">
        <v>14900</v>
      </c>
      <c r="D6639" s="21" t="s">
        <v>14901</v>
      </c>
      <c r="E6639" s="22" t="str">
        <f>HYPERLINK("https://twitter.com/Moonbootica/status/922520843925774337","922520843925774337")</f>
        <v>922520843925774337</v>
      </c>
      <c r="F6639" s="23" t="s">
        <v>55</v>
      </c>
      <c r="G6639" s="24">
        <v>3629.0</v>
      </c>
      <c r="H6639" s="24">
        <v>4998.0</v>
      </c>
      <c r="I6639" s="24">
        <v>0.0</v>
      </c>
      <c r="J6639" s="24">
        <v>0.0</v>
      </c>
      <c r="K6639" s="23" t="s">
        <v>34</v>
      </c>
      <c r="L6639" s="25">
        <v>39747.50643518518</v>
      </c>
      <c r="M6639" s="26" t="s">
        <v>14902</v>
      </c>
      <c r="N6639" s="26" t="s">
        <v>14903</v>
      </c>
      <c r="O6639" s="22" t="str">
        <f>HYPERLINK("https://pbs.twimg.com/profile_images/472443105405186048/ELgkuG3X_normal.jpeg","View")</f>
        <v>View</v>
      </c>
      <c r="P6639" s="27"/>
    </row>
    <row r="6640">
      <c r="A6640" s="14">
        <v>43031.45251157407</v>
      </c>
      <c r="B6640" s="20" t="str">
        <f>HYPERLINK("https://twitter.com/KEDeveaux","@KEDeveaux")</f>
        <v>@KEDeveaux</v>
      </c>
      <c r="C6640" s="21" t="s">
        <v>14904</v>
      </c>
      <c r="D6640" s="21" t="s">
        <v>14905</v>
      </c>
      <c r="E6640" s="22" t="str">
        <f>HYPERLINK("https://twitter.com/KEDeveaux/status/922520900787941376","922520900787941376")</f>
        <v>922520900787941376</v>
      </c>
      <c r="F6640" s="23" t="s">
        <v>55</v>
      </c>
      <c r="G6640" s="24">
        <v>1064.0</v>
      </c>
      <c r="H6640" s="24">
        <v>763.0</v>
      </c>
      <c r="I6640" s="24">
        <v>0.0</v>
      </c>
      <c r="J6640" s="24">
        <v>0.0</v>
      </c>
      <c r="K6640" s="23" t="s">
        <v>34</v>
      </c>
      <c r="L6640" s="25">
        <v>40217.34400462963</v>
      </c>
      <c r="M6640" s="26" t="s">
        <v>14906</v>
      </c>
      <c r="N6640" s="26" t="s">
        <v>14907</v>
      </c>
      <c r="O6640" s="22" t="str">
        <f>HYPERLINK("https://pbs.twimg.com/profile_images/3539860341/4eef5d801e1d2b7a4a61a1c56e9bf452_normal.jpeg","View")</f>
        <v>View</v>
      </c>
      <c r="P6640" s="27"/>
    </row>
    <row r="6641">
      <c r="A6641" s="14">
        <v>43031.45261574074</v>
      </c>
      <c r="B6641" s="20" t="str">
        <f>HYPERLINK("https://twitter.com/rahulkhare","@rahulkhare")</f>
        <v>@rahulkhare</v>
      </c>
      <c r="C6641" s="21" t="s">
        <v>14908</v>
      </c>
      <c r="D6641" s="21" t="s">
        <v>42</v>
      </c>
      <c r="E6641" s="22" t="str">
        <f>HYPERLINK("https://twitter.com/rahulkhare/status/922520939689943041","922520939689943041")</f>
        <v>922520939689943041</v>
      </c>
      <c r="F6641" s="23" t="s">
        <v>33</v>
      </c>
      <c r="G6641" s="24">
        <v>508.0</v>
      </c>
      <c r="H6641" s="24">
        <v>732.0</v>
      </c>
      <c r="I6641" s="24">
        <v>8501.0</v>
      </c>
      <c r="J6641" s="24">
        <v>0.0</v>
      </c>
      <c r="K6641" s="23" t="s">
        <v>34</v>
      </c>
      <c r="L6641" s="25">
        <v>39866.886608796296</v>
      </c>
      <c r="M6641" s="26" t="s">
        <v>4533</v>
      </c>
      <c r="N6641" s="26" t="s">
        <v>14909</v>
      </c>
      <c r="O6641" s="22" t="str">
        <f>HYPERLINK("https://pbs.twimg.com/profile_images/2362962183/k2zdsacwjd9s57vi7q2z_normal.jpeg","View")</f>
        <v>View</v>
      </c>
      <c r="P6641" s="27"/>
    </row>
    <row r="6642">
      <c r="A6642" s="14">
        <v>43031.45277777778</v>
      </c>
      <c r="B6642" s="20" t="str">
        <f>HYPERLINK("https://twitter.com/bhat_sadhana","@bhat_sadhana")</f>
        <v>@bhat_sadhana</v>
      </c>
      <c r="C6642" s="21" t="s">
        <v>14910</v>
      </c>
      <c r="D6642" s="21" t="s">
        <v>42</v>
      </c>
      <c r="E6642" s="22" t="str">
        <f>HYPERLINK("https://twitter.com/bhat_sadhana/status/922520998334881792","922520998334881792")</f>
        <v>922520998334881792</v>
      </c>
      <c r="F6642" s="23" t="s">
        <v>39</v>
      </c>
      <c r="G6642" s="24">
        <v>3115.0</v>
      </c>
      <c r="H6642" s="24">
        <v>2417.0</v>
      </c>
      <c r="I6642" s="24">
        <v>8501.0</v>
      </c>
      <c r="J6642" s="24">
        <v>0.0</v>
      </c>
      <c r="K6642" s="23" t="s">
        <v>34</v>
      </c>
      <c r="L6642" s="25">
        <v>41124.85302083333</v>
      </c>
      <c r="M6642" s="28"/>
      <c r="N6642" s="28"/>
      <c r="O6642" s="22" t="str">
        <f>HYPERLINK("https://pbs.twimg.com/profile_images/903680023957262338/_UiY2v0Z_normal.jpg","View")</f>
        <v>View</v>
      </c>
      <c r="P6642" s="27"/>
    </row>
    <row r="6643">
      <c r="A6643" s="14">
        <v>43031.45280092592</v>
      </c>
      <c r="B6643" s="20" t="str">
        <f>HYPERLINK("https://twitter.com/intlectualhindu","@intlectualhindu")</f>
        <v>@intlectualhindu</v>
      </c>
      <c r="C6643" s="21" t="s">
        <v>14911</v>
      </c>
      <c r="D6643" s="21" t="s">
        <v>42</v>
      </c>
      <c r="E6643" s="22" t="str">
        <f>HYPERLINK("https://twitter.com/intlectualhindu/status/922521008967270402","922521008967270402")</f>
        <v>922521008967270402</v>
      </c>
      <c r="F6643" s="23" t="s">
        <v>33</v>
      </c>
      <c r="G6643" s="24">
        <v>5.0</v>
      </c>
      <c r="H6643" s="24">
        <v>51.0</v>
      </c>
      <c r="I6643" s="24">
        <v>8501.0</v>
      </c>
      <c r="J6643" s="24">
        <v>0.0</v>
      </c>
      <c r="K6643" s="23" t="s">
        <v>34</v>
      </c>
      <c r="L6643" s="25">
        <v>43010.38795138889</v>
      </c>
      <c r="M6643" s="26" t="s">
        <v>167</v>
      </c>
      <c r="N6643" s="28"/>
      <c r="O6643" s="22" t="str">
        <f>HYPERLINK("https://pbs.twimg.com/profile_images/914891029471363072/lxXx3i_a_normal.jpg","View")</f>
        <v>View</v>
      </c>
      <c r="P6643" s="27"/>
    </row>
    <row r="6644">
      <c r="A6644" s="14">
        <v>43031.4528125</v>
      </c>
      <c r="B6644" s="20" t="str">
        <f>HYPERLINK("https://twitter.com/aj5XxLissaxX5","@aj5XxLissaxX5")</f>
        <v>@aj5XxLissaxX5</v>
      </c>
      <c r="C6644" s="21" t="s">
        <v>14912</v>
      </c>
      <c r="D6644" s="21" t="s">
        <v>2369</v>
      </c>
      <c r="E6644" s="22" t="str">
        <f>HYPERLINK("https://twitter.com/aj5XxLissaxX5/status/922521010489901056","922521010489901056")</f>
        <v>922521010489901056</v>
      </c>
      <c r="F6644" s="23" t="s">
        <v>33</v>
      </c>
      <c r="G6644" s="24">
        <v>40.0</v>
      </c>
      <c r="H6644" s="24">
        <v>2225.0</v>
      </c>
      <c r="I6644" s="24">
        <v>23.0</v>
      </c>
      <c r="J6644" s="24">
        <v>0.0</v>
      </c>
      <c r="K6644" s="23" t="s">
        <v>34</v>
      </c>
      <c r="L6644" s="25">
        <v>40913.78607638889</v>
      </c>
      <c r="M6644" s="26" t="s">
        <v>14913</v>
      </c>
      <c r="N6644" s="26" t="s">
        <v>14914</v>
      </c>
      <c r="O6644" s="22" t="str">
        <f>HYPERLINK("https://pbs.twimg.com/profile_images/523563004898443265/Uc3UWuCq_normal.jpeg","View")</f>
        <v>View</v>
      </c>
      <c r="P6644" s="27"/>
    </row>
    <row r="6645">
      <c r="A6645" s="14">
        <v>43031.45287037037</v>
      </c>
      <c r="B6645" s="20" t="str">
        <f>HYPERLINK("https://twitter.com/mlnangalama","@mlnangalama")</f>
        <v>@mlnangalama</v>
      </c>
      <c r="C6645" s="21" t="s">
        <v>925</v>
      </c>
      <c r="D6645" s="21" t="s">
        <v>14915</v>
      </c>
      <c r="E6645" s="22" t="str">
        <f>HYPERLINK("https://twitter.com/mlnangalama/status/922521030790443008","922521030790443008")</f>
        <v>922521030790443008</v>
      </c>
      <c r="F6645" s="23" t="s">
        <v>187</v>
      </c>
      <c r="G6645" s="24">
        <v>2366.0</v>
      </c>
      <c r="H6645" s="24">
        <v>1582.0</v>
      </c>
      <c r="I6645" s="24">
        <v>0.0</v>
      </c>
      <c r="J6645" s="24">
        <v>0.0</v>
      </c>
      <c r="K6645" s="23" t="s">
        <v>34</v>
      </c>
      <c r="L6645" s="25">
        <v>41041.54378472222</v>
      </c>
      <c r="M6645" s="26" t="s">
        <v>927</v>
      </c>
      <c r="N6645" s="26" t="s">
        <v>928</v>
      </c>
      <c r="O6645" s="22" t="str">
        <f>HYPERLINK("https://pbs.twimg.com/profile_images/900915882444173313/biUHzvpx_normal.jpg","View")</f>
        <v>View</v>
      </c>
      <c r="P6645" s="27"/>
    </row>
    <row r="6646">
      <c r="A6646" s="14">
        <v>43031.45287037037</v>
      </c>
      <c r="B6646" s="20" t="str">
        <f>HYPERLINK("https://twitter.com/KKSinha20271717","@KKSinha20271717")</f>
        <v>@KKSinha20271717</v>
      </c>
      <c r="C6646" s="21" t="s">
        <v>14916</v>
      </c>
      <c r="D6646" s="21" t="s">
        <v>42</v>
      </c>
      <c r="E6646" s="22" t="str">
        <f>HYPERLINK("https://twitter.com/KKSinha20271717/status/922521030899277824","922521030899277824")</f>
        <v>922521030899277824</v>
      </c>
      <c r="F6646" s="23" t="s">
        <v>33</v>
      </c>
      <c r="G6646" s="24">
        <v>5.0</v>
      </c>
      <c r="H6646" s="24">
        <v>100.0</v>
      </c>
      <c r="I6646" s="24">
        <v>8501.0</v>
      </c>
      <c r="J6646" s="24">
        <v>0.0</v>
      </c>
      <c r="K6646" s="23" t="s">
        <v>34</v>
      </c>
      <c r="L6646" s="25">
        <v>43027.946875</v>
      </c>
      <c r="M6646" s="28"/>
      <c r="N6646" s="28"/>
      <c r="O6646" s="22" t="str">
        <f>HYPERLINK("https://abs.twimg.com/sticky/default_profile_images/default_profile_normal.png","View")</f>
        <v>View</v>
      </c>
      <c r="P6646" s="27"/>
    </row>
    <row r="6647">
      <c r="A6647" s="14">
        <v>43031.452928240746</v>
      </c>
      <c r="B6647" s="20" t="str">
        <f>HYPERLINK("https://twitter.com/lovely9821","@lovely9821")</f>
        <v>@lovely9821</v>
      </c>
      <c r="C6647" s="21" t="s">
        <v>14917</v>
      </c>
      <c r="D6647" s="21" t="s">
        <v>42</v>
      </c>
      <c r="E6647" s="22" t="str">
        <f>HYPERLINK("https://twitter.com/lovely9821/status/922521054961999872","922521054961999872")</f>
        <v>922521054961999872</v>
      </c>
      <c r="F6647" s="23" t="s">
        <v>33</v>
      </c>
      <c r="G6647" s="24">
        <v>12455.0</v>
      </c>
      <c r="H6647" s="24">
        <v>870.0</v>
      </c>
      <c r="I6647" s="24">
        <v>8501.0</v>
      </c>
      <c r="J6647" s="24">
        <v>0.0</v>
      </c>
      <c r="K6647" s="23" t="s">
        <v>34</v>
      </c>
      <c r="L6647" s="25">
        <v>42164.91232638889</v>
      </c>
      <c r="M6647" s="28"/>
      <c r="N6647" s="26" t="s">
        <v>14918</v>
      </c>
      <c r="O6647" s="22" t="str">
        <f>HYPERLINK("https://pbs.twimg.com/profile_images/878897039194562560/8bobK_Ek_normal.jpg","View")</f>
        <v>View</v>
      </c>
      <c r="P6647" s="27"/>
    </row>
    <row r="6648">
      <c r="A6648" s="14">
        <v>43031.45321759259</v>
      </c>
      <c r="B6648" s="20" t="str">
        <f>HYPERLINK("https://twitter.com/PriyadarshiMuk2","@PriyadarshiMuk2")</f>
        <v>@PriyadarshiMuk2</v>
      </c>
      <c r="C6648" s="21" t="s">
        <v>14919</v>
      </c>
      <c r="D6648" s="21" t="s">
        <v>42</v>
      </c>
      <c r="E6648" s="22" t="str">
        <f>HYPERLINK("https://twitter.com/PriyadarshiMuk2/status/922521159752491008","922521159752491008")</f>
        <v>922521159752491008</v>
      </c>
      <c r="F6648" s="23" t="s">
        <v>33</v>
      </c>
      <c r="G6648" s="24">
        <v>18.0</v>
      </c>
      <c r="H6648" s="24">
        <v>60.0</v>
      </c>
      <c r="I6648" s="24">
        <v>8501.0</v>
      </c>
      <c r="J6648" s="24">
        <v>0.0</v>
      </c>
      <c r="K6648" s="23" t="s">
        <v>34</v>
      </c>
      <c r="L6648" s="25">
        <v>42343.291180555556</v>
      </c>
      <c r="M6648" s="26" t="s">
        <v>204</v>
      </c>
      <c r="N6648" s="26" t="s">
        <v>14920</v>
      </c>
      <c r="O6648" s="22" t="str">
        <f>HYPERLINK("https://pbs.twimg.com/profile_images/903783514696368129/EHXn8L7t_normal.jpg","View")</f>
        <v>View</v>
      </c>
      <c r="P6648" s="27"/>
    </row>
    <row r="6649">
      <c r="A6649" s="14">
        <v>43031.453298611115</v>
      </c>
      <c r="B6649" s="20" t="str">
        <f>HYPERLINK("https://twitter.com/naveensinghn","@naveensinghn")</f>
        <v>@naveensinghn</v>
      </c>
      <c r="C6649" s="21" t="s">
        <v>14921</v>
      </c>
      <c r="D6649" s="21" t="s">
        <v>42</v>
      </c>
      <c r="E6649" s="22" t="str">
        <f>HYPERLINK("https://twitter.com/naveensinghn/status/922521187531374592","922521187531374592")</f>
        <v>922521187531374592</v>
      </c>
      <c r="F6649" s="23" t="s">
        <v>33</v>
      </c>
      <c r="G6649" s="24">
        <v>4808.0</v>
      </c>
      <c r="H6649" s="24">
        <v>4939.0</v>
      </c>
      <c r="I6649" s="24">
        <v>8501.0</v>
      </c>
      <c r="J6649" s="24">
        <v>0.0</v>
      </c>
      <c r="K6649" s="23" t="s">
        <v>34</v>
      </c>
      <c r="L6649" s="25">
        <v>42721.17064814815</v>
      </c>
      <c r="M6649" s="26" t="s">
        <v>2031</v>
      </c>
      <c r="N6649" s="26" t="s">
        <v>14922</v>
      </c>
      <c r="O6649" s="22" t="str">
        <f>HYPERLINK("https://pbs.twimg.com/profile_images/890802512646766592/XkrwAbBY_normal.jpg","View")</f>
        <v>View</v>
      </c>
      <c r="P6649" s="27"/>
    </row>
    <row r="6650">
      <c r="A6650" s="14">
        <v>43031.45334490741</v>
      </c>
      <c r="B6650" s="20" t="str">
        <f>HYPERLINK("https://twitter.com/sheregarsandesh","@sheregarsandesh")</f>
        <v>@sheregarsandesh</v>
      </c>
      <c r="C6650" s="21" t="s">
        <v>14923</v>
      </c>
      <c r="D6650" s="21" t="s">
        <v>42</v>
      </c>
      <c r="E6650" s="22" t="str">
        <f>HYPERLINK("https://twitter.com/sheregarsandesh/status/922521204610580480","922521204610580480")</f>
        <v>922521204610580480</v>
      </c>
      <c r="F6650" s="23" t="s">
        <v>33</v>
      </c>
      <c r="G6650" s="24">
        <v>126.0</v>
      </c>
      <c r="H6650" s="24">
        <v>826.0</v>
      </c>
      <c r="I6650" s="24">
        <v>8501.0</v>
      </c>
      <c r="J6650" s="24">
        <v>0.0</v>
      </c>
      <c r="K6650" s="23" t="s">
        <v>34</v>
      </c>
      <c r="L6650" s="25">
        <v>41918.02019675926</v>
      </c>
      <c r="M6650" s="26" t="s">
        <v>14924</v>
      </c>
      <c r="N6650" s="26" t="s">
        <v>14925</v>
      </c>
      <c r="O6650" s="22" t="str">
        <f>HYPERLINK("https://pbs.twimg.com/profile_images/766585504741531648/0VOCYpPb_normal.jpg","View")</f>
        <v>View</v>
      </c>
      <c r="P6650" s="27"/>
    </row>
    <row r="6651">
      <c r="A6651" s="14">
        <v>43031.453414351854</v>
      </c>
      <c r="B6651" s="20" t="str">
        <f>HYPERLINK("https://twitter.com/AsibaSheikh","@AsibaSheikh")</f>
        <v>@AsibaSheikh</v>
      </c>
      <c r="C6651" s="21" t="s">
        <v>14926</v>
      </c>
      <c r="D6651" s="21" t="s">
        <v>32</v>
      </c>
      <c r="E6651" s="22" t="str">
        <f>HYPERLINK("https://twitter.com/AsibaSheikh/status/922521230737137665","922521230737137665")</f>
        <v>922521230737137665</v>
      </c>
      <c r="F6651" s="23" t="s">
        <v>33</v>
      </c>
      <c r="G6651" s="24">
        <v>435.0</v>
      </c>
      <c r="H6651" s="24">
        <v>218.0</v>
      </c>
      <c r="I6651" s="24">
        <v>471.0</v>
      </c>
      <c r="J6651" s="24">
        <v>0.0</v>
      </c>
      <c r="K6651" s="23" t="s">
        <v>34</v>
      </c>
      <c r="L6651" s="25">
        <v>41975.66238425926</v>
      </c>
      <c r="M6651" s="28"/>
      <c r="N6651" s="28"/>
      <c r="O6651" s="22" t="str">
        <f>HYPERLINK("https://pbs.twimg.com/profile_images/541530325793636352/xgSA4Hh3_normal.jpeg","View")</f>
        <v>View</v>
      </c>
      <c r="P6651" s="27"/>
    </row>
    <row r="6652">
      <c r="A6652" s="14">
        <v>43031.45353009259</v>
      </c>
      <c r="B6652" s="20" t="str">
        <f>HYPERLINK("https://twitter.com/MetroDiversity","@MetroDiversity")</f>
        <v>@MetroDiversity</v>
      </c>
      <c r="C6652" s="21" t="s">
        <v>14927</v>
      </c>
      <c r="D6652" s="21" t="s">
        <v>14748</v>
      </c>
      <c r="E6652" s="22" t="str">
        <f>HYPERLINK("https://twitter.com/MetroDiversity/status/922521272734699522","922521272734699522")</f>
        <v>922521272734699522</v>
      </c>
      <c r="F6652" s="23" t="s">
        <v>33</v>
      </c>
      <c r="G6652" s="24">
        <v>643.0</v>
      </c>
      <c r="H6652" s="24">
        <v>135.0</v>
      </c>
      <c r="I6652" s="24">
        <v>46.0</v>
      </c>
      <c r="J6652" s="24">
        <v>0.0</v>
      </c>
      <c r="K6652" s="23" t="s">
        <v>34</v>
      </c>
      <c r="L6652" s="25">
        <v>40507.01726851852</v>
      </c>
      <c r="M6652" s="26" t="s">
        <v>14928</v>
      </c>
      <c r="N6652" s="26" t="s">
        <v>14929</v>
      </c>
      <c r="O6652" s="22" t="str">
        <f>HYPERLINK("https://pbs.twimg.com/profile_images/777994642633568256/exmble4h_normal.jpg","View")</f>
        <v>View</v>
      </c>
      <c r="P6652" s="27"/>
    </row>
    <row r="6653">
      <c r="A6653" s="14">
        <v>43031.453564814816</v>
      </c>
      <c r="B6653" s="20" t="str">
        <f>HYPERLINK("https://twitter.com/FogodoEon","@FogodoEon")</f>
        <v>@FogodoEon</v>
      </c>
      <c r="C6653" s="21" t="s">
        <v>4444</v>
      </c>
      <c r="D6653" s="21" t="s">
        <v>14748</v>
      </c>
      <c r="E6653" s="22" t="str">
        <f>HYPERLINK("https://twitter.com/FogodoEon/status/922521284554014721","922521284554014721")</f>
        <v>922521284554014721</v>
      </c>
      <c r="F6653" s="23" t="s">
        <v>33</v>
      </c>
      <c r="G6653" s="24">
        <v>701.0</v>
      </c>
      <c r="H6653" s="24">
        <v>486.0</v>
      </c>
      <c r="I6653" s="24">
        <v>46.0</v>
      </c>
      <c r="J6653" s="24">
        <v>0.0</v>
      </c>
      <c r="K6653" s="23" t="s">
        <v>34</v>
      </c>
      <c r="L6653" s="25">
        <v>40515.37106481481</v>
      </c>
      <c r="M6653" s="26" t="s">
        <v>4445</v>
      </c>
      <c r="N6653" s="26" t="s">
        <v>4446</v>
      </c>
      <c r="O6653" s="22" t="str">
        <f>HYPERLINK("https://pbs.twimg.com/profile_images/1182337525/_ndice_normal.jpeg","View")</f>
        <v>View</v>
      </c>
      <c r="P6653" s="27"/>
    </row>
    <row r="6654">
      <c r="A6654" s="14">
        <v>43031.453622685185</v>
      </c>
      <c r="B6654" s="20" t="str">
        <f>HYPERLINK("https://twitter.com/Krish_BJP","@Krish_BJP")</f>
        <v>@Krish_BJP</v>
      </c>
      <c r="C6654" s="21" t="s">
        <v>14602</v>
      </c>
      <c r="D6654" s="21" t="s">
        <v>42</v>
      </c>
      <c r="E6654" s="22" t="str">
        <f>HYPERLINK("https://twitter.com/Krish_BJP/status/922521306318307328","922521306318307328")</f>
        <v>922521306318307328</v>
      </c>
      <c r="F6654" s="23" t="s">
        <v>33</v>
      </c>
      <c r="G6654" s="24">
        <v>393.0</v>
      </c>
      <c r="H6654" s="24">
        <v>1193.0</v>
      </c>
      <c r="I6654" s="24">
        <v>8501.0</v>
      </c>
      <c r="J6654" s="24">
        <v>0.0</v>
      </c>
      <c r="K6654" s="23" t="s">
        <v>34</v>
      </c>
      <c r="L6654" s="25">
        <v>42521.35077546297</v>
      </c>
      <c r="M6654" s="26" t="s">
        <v>204</v>
      </c>
      <c r="N6654" s="26" t="s">
        <v>14603</v>
      </c>
      <c r="O6654" s="22" t="str">
        <f>HYPERLINK("https://pbs.twimg.com/profile_images/844224263993212934/iAi5NAUt_normal.jpg","View")</f>
        <v>View</v>
      </c>
      <c r="P6654" s="27"/>
    </row>
    <row r="6655">
      <c r="A6655" s="14">
        <v>43031.453680555554</v>
      </c>
      <c r="B6655" s="20" t="str">
        <f>HYPERLINK("https://twitter.com/mnoguchi875","@mnoguchi875")</f>
        <v>@mnoguchi875</v>
      </c>
      <c r="C6655" s="21" t="s">
        <v>14930</v>
      </c>
      <c r="D6655" s="21" t="s">
        <v>1566</v>
      </c>
      <c r="E6655" s="22" t="str">
        <f>HYPERLINK("https://twitter.com/mnoguchi875/status/922521324660015104","922521324660015104")</f>
        <v>922521324660015104</v>
      </c>
      <c r="F6655" s="23" t="s">
        <v>39</v>
      </c>
      <c r="G6655" s="24">
        <v>570.0</v>
      </c>
      <c r="H6655" s="24">
        <v>687.0</v>
      </c>
      <c r="I6655" s="24">
        <v>93.0</v>
      </c>
      <c r="J6655" s="24">
        <v>0.0</v>
      </c>
      <c r="K6655" s="23" t="s">
        <v>34</v>
      </c>
      <c r="L6655" s="25">
        <v>42293.08391203704</v>
      </c>
      <c r="M6655" s="26" t="s">
        <v>14931</v>
      </c>
      <c r="N6655" s="26" t="s">
        <v>14932</v>
      </c>
      <c r="O6655" s="22" t="str">
        <f>HYPERLINK("https://pbs.twimg.com/profile_images/654951745139773440/u7Ru9QZM_normal.jpg","View")</f>
        <v>View</v>
      </c>
      <c r="P6655" s="27"/>
    </row>
    <row r="6656">
      <c r="A6656" s="14">
        <v>43031.45369212963</v>
      </c>
      <c r="B6656" s="20" t="str">
        <f>HYPERLINK("https://twitter.com/alfredobarleta","@alfredobarleta")</f>
        <v>@alfredobarleta</v>
      </c>
      <c r="C6656" s="21" t="s">
        <v>14933</v>
      </c>
      <c r="D6656" s="21" t="s">
        <v>14748</v>
      </c>
      <c r="E6656" s="22" t="str">
        <f>HYPERLINK("https://twitter.com/alfredobarleta/status/922521329525501952","922521329525501952")</f>
        <v>922521329525501952</v>
      </c>
      <c r="F6656" s="23" t="s">
        <v>33</v>
      </c>
      <c r="G6656" s="24">
        <v>758.0</v>
      </c>
      <c r="H6656" s="24">
        <v>2810.0</v>
      </c>
      <c r="I6656" s="24">
        <v>46.0</v>
      </c>
      <c r="J6656" s="24">
        <v>0.0</v>
      </c>
      <c r="K6656" s="23" t="s">
        <v>34</v>
      </c>
      <c r="L6656" s="25">
        <v>40700.44700231482</v>
      </c>
      <c r="M6656" s="26" t="s">
        <v>14934</v>
      </c>
      <c r="N6656" s="26" t="s">
        <v>14935</v>
      </c>
      <c r="O6656" s="22" t="str">
        <f>HYPERLINK("https://pbs.twimg.com/profile_images/765047820730630144/CHSUzbul_normal.jpg","View")</f>
        <v>View</v>
      </c>
      <c r="P6656" s="27"/>
    </row>
    <row r="6657">
      <c r="A6657" s="14">
        <v>43031.45370370371</v>
      </c>
      <c r="B6657" s="20" t="str">
        <f>HYPERLINK("https://twitter.com/kalvinFX","@kalvinFX")</f>
        <v>@kalvinFX</v>
      </c>
      <c r="C6657" s="21" t="s">
        <v>14936</v>
      </c>
      <c r="D6657" s="21" t="s">
        <v>14748</v>
      </c>
      <c r="E6657" s="22" t="str">
        <f>HYPERLINK("https://twitter.com/kalvinFX/status/922521336240640000","922521336240640000")</f>
        <v>922521336240640000</v>
      </c>
      <c r="F6657" s="23" t="s">
        <v>33</v>
      </c>
      <c r="G6657" s="24">
        <v>202.0</v>
      </c>
      <c r="H6657" s="24">
        <v>617.0</v>
      </c>
      <c r="I6657" s="24">
        <v>46.0</v>
      </c>
      <c r="J6657" s="24">
        <v>0.0</v>
      </c>
      <c r="K6657" s="23" t="s">
        <v>34</v>
      </c>
      <c r="L6657" s="25">
        <v>39942.18393518518</v>
      </c>
      <c r="M6657" s="26" t="s">
        <v>334</v>
      </c>
      <c r="N6657" s="26" t="s">
        <v>14937</v>
      </c>
      <c r="O6657" s="22" t="str">
        <f>HYPERLINK("https://pbs.twimg.com/profile_images/1611299017/image_normal.jpg","View")</f>
        <v>View</v>
      </c>
      <c r="P6657" s="27"/>
    </row>
    <row r="6658">
      <c r="A6658" s="14">
        <v>43031.45375</v>
      </c>
      <c r="B6658" s="20" t="str">
        <f>HYPERLINK("https://twitter.com/eloquent_bot","@eloquent_bot")</f>
        <v>@eloquent_bot</v>
      </c>
      <c r="C6658" s="21" t="s">
        <v>14938</v>
      </c>
      <c r="D6658" s="21" t="s">
        <v>14939</v>
      </c>
      <c r="E6658" s="22" t="str">
        <f>HYPERLINK("https://twitter.com/eloquent_bot/status/922521349687599105","922521349687599105")</f>
        <v>922521349687599105</v>
      </c>
      <c r="F6658" s="23" t="s">
        <v>14940</v>
      </c>
      <c r="G6658" s="24">
        <v>7.0</v>
      </c>
      <c r="H6658" s="24">
        <v>12.0</v>
      </c>
      <c r="I6658" s="24">
        <v>0.0</v>
      </c>
      <c r="J6658" s="24">
        <v>0.0</v>
      </c>
      <c r="K6658" s="23" t="s">
        <v>34</v>
      </c>
      <c r="L6658" s="25">
        <v>42978.51663194444</v>
      </c>
      <c r="M6658" s="26" t="s">
        <v>2429</v>
      </c>
      <c r="N6658" s="26" t="s">
        <v>14941</v>
      </c>
      <c r="O6658" s="22" t="str">
        <f>HYPERLINK("https://pbs.twimg.com/profile_images/905078349168607232/a2qPSu7i_normal.jpg","View")</f>
        <v>View</v>
      </c>
      <c r="P6658" s="27"/>
    </row>
    <row r="6659">
      <c r="A6659" s="14">
        <v>43031.45375</v>
      </c>
      <c r="B6659" s="20" t="str">
        <f>HYPERLINK("https://twitter.com/zeet_s","@zeet_s")</f>
        <v>@zeet_s</v>
      </c>
      <c r="C6659" s="21" t="s">
        <v>14942</v>
      </c>
      <c r="D6659" s="21" t="s">
        <v>42</v>
      </c>
      <c r="E6659" s="22" t="str">
        <f>HYPERLINK("https://twitter.com/zeet_s/status/922521351411318784","922521351411318784")</f>
        <v>922521351411318784</v>
      </c>
      <c r="F6659" s="23" t="s">
        <v>33</v>
      </c>
      <c r="G6659" s="24">
        <v>467.0</v>
      </c>
      <c r="H6659" s="24">
        <v>1179.0</v>
      </c>
      <c r="I6659" s="24">
        <v>8501.0</v>
      </c>
      <c r="J6659" s="24">
        <v>0.0</v>
      </c>
      <c r="K6659" s="23" t="s">
        <v>34</v>
      </c>
      <c r="L6659" s="25">
        <v>41896.22513888889</v>
      </c>
      <c r="M6659" s="26" t="s">
        <v>14943</v>
      </c>
      <c r="N6659" s="26" t="s">
        <v>14944</v>
      </c>
      <c r="O6659" s="22" t="str">
        <f>HYPERLINK("https://pbs.twimg.com/profile_images/887542816196493314/0jNEkB9R_normal.jpg","View")</f>
        <v>View</v>
      </c>
      <c r="P6659" s="27"/>
    </row>
    <row r="6660">
      <c r="A6660" s="14">
        <v>43031.45376157407</v>
      </c>
      <c r="B6660" s="20" t="str">
        <f>HYPERLINK("https://twitter.com/BuzzfreeNews","@BuzzfreeNews")</f>
        <v>@BuzzfreeNews</v>
      </c>
      <c r="C6660" s="29" t="s">
        <v>14945</v>
      </c>
      <c r="D6660" s="21" t="s">
        <v>14946</v>
      </c>
      <c r="E6660" s="22" t="str">
        <f>HYPERLINK("https://twitter.com/BuzzfreeNews/status/922521357258289154","922521357258289154")</f>
        <v>922521357258289154</v>
      </c>
      <c r="F6660" s="23" t="s">
        <v>187</v>
      </c>
      <c r="G6660" s="24">
        <v>63.0</v>
      </c>
      <c r="H6660" s="24">
        <v>100.0</v>
      </c>
      <c r="I6660" s="24">
        <v>0.0</v>
      </c>
      <c r="J6660" s="24">
        <v>0.0</v>
      </c>
      <c r="K6660" s="23" t="s">
        <v>34</v>
      </c>
      <c r="L6660" s="25">
        <v>42917.285902777774</v>
      </c>
      <c r="M6660" s="26" t="s">
        <v>14947</v>
      </c>
      <c r="N6660" s="26" t="s">
        <v>14948</v>
      </c>
      <c r="O6660" s="22" t="str">
        <f>HYPERLINK("https://pbs.twimg.com/profile_images/916246359832903680/VQYQAWkL_normal.jpg","View")</f>
        <v>View</v>
      </c>
      <c r="P6660" s="27"/>
    </row>
    <row r="6661">
      <c r="A6661" s="14">
        <v>43031.45379629629</v>
      </c>
      <c r="B6661" s="20" t="str">
        <f>HYPERLINK("https://twitter.com/vysakhbalan","@vysakhbalan")</f>
        <v>@vysakhbalan</v>
      </c>
      <c r="C6661" s="21" t="s">
        <v>14949</v>
      </c>
      <c r="D6661" s="21" t="s">
        <v>42</v>
      </c>
      <c r="E6661" s="22" t="str">
        <f>HYPERLINK("https://twitter.com/vysakhbalan/status/922521367865466880","922521367865466880")</f>
        <v>922521367865466880</v>
      </c>
      <c r="F6661" s="23" t="s">
        <v>33</v>
      </c>
      <c r="G6661" s="24">
        <v>26.0</v>
      </c>
      <c r="H6661" s="24">
        <v>179.0</v>
      </c>
      <c r="I6661" s="24">
        <v>8501.0</v>
      </c>
      <c r="J6661" s="24">
        <v>0.0</v>
      </c>
      <c r="K6661" s="23" t="s">
        <v>34</v>
      </c>
      <c r="L6661" s="25">
        <v>40693.43449074074</v>
      </c>
      <c r="M6661" s="26" t="s">
        <v>14950</v>
      </c>
      <c r="N6661" s="26" t="s">
        <v>14951</v>
      </c>
      <c r="O6661" s="22" t="str">
        <f>HYPERLINK("https://pbs.twimg.com/profile_images/921662554799140864/JtFyrdG2_normal.jpg","View")</f>
        <v>View</v>
      </c>
      <c r="P6661" s="27"/>
    </row>
    <row r="6662">
      <c r="A6662" s="14">
        <v>43031.45396990741</v>
      </c>
      <c r="B6662" s="20" t="str">
        <f>HYPERLINK("https://twitter.com/k_bhagavath","@k_bhagavath")</f>
        <v>@k_bhagavath</v>
      </c>
      <c r="C6662" s="21" t="s">
        <v>14952</v>
      </c>
      <c r="D6662" s="21" t="s">
        <v>42</v>
      </c>
      <c r="E6662" s="22" t="str">
        <f>HYPERLINK("https://twitter.com/k_bhagavath/status/922521431774076928","922521431774076928")</f>
        <v>922521431774076928</v>
      </c>
      <c r="F6662" s="23" t="s">
        <v>33</v>
      </c>
      <c r="G6662" s="24">
        <v>129.0</v>
      </c>
      <c r="H6662" s="24">
        <v>407.0</v>
      </c>
      <c r="I6662" s="24">
        <v>8501.0</v>
      </c>
      <c r="J6662" s="24">
        <v>0.0</v>
      </c>
      <c r="K6662" s="23" t="s">
        <v>34</v>
      </c>
      <c r="L6662" s="25">
        <v>41055.17755787037</v>
      </c>
      <c r="M6662" s="28"/>
      <c r="N6662" s="26" t="s">
        <v>14953</v>
      </c>
      <c r="O6662" s="22" t="str">
        <f>HYPERLINK("https://pbs.twimg.com/profile_images/699571657875165184/QWdB7Eh0_normal.jpg","View")</f>
        <v>View</v>
      </c>
      <c r="P6662" s="27"/>
    </row>
    <row r="6663">
      <c r="A6663" s="14">
        <v>43031.45408564815</v>
      </c>
      <c r="B6663" s="20" t="str">
        <f>HYPERLINK("https://twitter.com/jaimeotero_","@jaimeotero_")</f>
        <v>@jaimeotero_</v>
      </c>
      <c r="C6663" s="21" t="s">
        <v>3960</v>
      </c>
      <c r="D6663" s="21" t="s">
        <v>14954</v>
      </c>
      <c r="E6663" s="22" t="str">
        <f>HYPERLINK("https://twitter.com/jaimeotero_/status/922521473381752832","922521473381752832")</f>
        <v>922521473381752832</v>
      </c>
      <c r="F6663" s="23" t="s">
        <v>187</v>
      </c>
      <c r="G6663" s="24">
        <v>34534.0</v>
      </c>
      <c r="H6663" s="24">
        <v>31264.0</v>
      </c>
      <c r="I6663" s="24">
        <v>0.0</v>
      </c>
      <c r="J6663" s="24">
        <v>0.0</v>
      </c>
      <c r="K6663" s="23" t="s">
        <v>34</v>
      </c>
      <c r="L6663" s="25">
        <v>42531.01219907407</v>
      </c>
      <c r="M6663" s="26" t="s">
        <v>3962</v>
      </c>
      <c r="N6663" s="26" t="s">
        <v>3963</v>
      </c>
      <c r="O6663" s="22" t="str">
        <f>HYPERLINK("https://pbs.twimg.com/profile_images/849817561281818626/acAU04SD_normal.jpg","View")</f>
        <v>View</v>
      </c>
      <c r="P6663" s="27"/>
    </row>
    <row r="6664">
      <c r="A6664" s="14">
        <v>43031.45432870371</v>
      </c>
      <c r="B6664" s="20" t="str">
        <f>HYPERLINK("https://twitter.com/NGDPLT_no28","@NGDPLT_no28")</f>
        <v>@NGDPLT_no28</v>
      </c>
      <c r="C6664" s="21" t="s">
        <v>6911</v>
      </c>
      <c r="D6664" s="21" t="s">
        <v>14748</v>
      </c>
      <c r="E6664" s="22" t="str">
        <f>HYPERLINK("https://twitter.com/NGDPLT_no28/status/922521559956197376","922521559956197376")</f>
        <v>922521559956197376</v>
      </c>
      <c r="F6664" s="23" t="s">
        <v>3884</v>
      </c>
      <c r="G6664" s="24">
        <v>54.0</v>
      </c>
      <c r="H6664" s="24">
        <v>73.0</v>
      </c>
      <c r="I6664" s="24">
        <v>46.0</v>
      </c>
      <c r="J6664" s="24">
        <v>0.0</v>
      </c>
      <c r="K6664" s="23" t="s">
        <v>34</v>
      </c>
      <c r="L6664" s="25">
        <v>42260.03891203704</v>
      </c>
      <c r="M6664" s="26" t="s">
        <v>271</v>
      </c>
      <c r="N6664" s="26" t="s">
        <v>6912</v>
      </c>
      <c r="O6664" s="22" t="str">
        <f>HYPERLINK("https://pbs.twimg.com/profile_images/862325348314132480/oH-INEpl_normal.jpg","View")</f>
        <v>View</v>
      </c>
      <c r="P6664" s="27"/>
    </row>
    <row r="6665">
      <c r="A6665" s="14">
        <v>43031.454363425924</v>
      </c>
      <c r="B6665" s="20" t="str">
        <f>HYPERLINK("https://twitter.com/Ruttochish","@Ruttochish")</f>
        <v>@Ruttochish</v>
      </c>
      <c r="C6665" s="21" t="s">
        <v>14955</v>
      </c>
      <c r="D6665" s="21" t="s">
        <v>32</v>
      </c>
      <c r="E6665" s="22" t="str">
        <f>HYPERLINK("https://twitter.com/Ruttochish/status/922521573667590144","922521573667590144")</f>
        <v>922521573667590144</v>
      </c>
      <c r="F6665" s="23" t="s">
        <v>33</v>
      </c>
      <c r="G6665" s="24">
        <v>304.0</v>
      </c>
      <c r="H6665" s="24">
        <v>252.0</v>
      </c>
      <c r="I6665" s="24">
        <v>471.0</v>
      </c>
      <c r="J6665" s="24">
        <v>0.0</v>
      </c>
      <c r="K6665" s="23" t="s">
        <v>34</v>
      </c>
      <c r="L6665" s="25">
        <v>41120.93929398148</v>
      </c>
      <c r="M6665" s="26" t="s">
        <v>14956</v>
      </c>
      <c r="N6665" s="28"/>
      <c r="O6665" s="22" t="str">
        <f>HYPERLINK("https://pbs.twimg.com/profile_images/921063008679407616/4PUc819s_normal.jpg","View")</f>
        <v>View</v>
      </c>
      <c r="P6665" s="27"/>
    </row>
    <row r="6666">
      <c r="A6666" s="14">
        <v>43031.454375</v>
      </c>
      <c r="B6666" s="20" t="str">
        <f>HYPERLINK("https://twitter.com/NaharRajesh1","@NaharRajesh1")</f>
        <v>@NaharRajesh1</v>
      </c>
      <c r="C6666" s="21" t="s">
        <v>14957</v>
      </c>
      <c r="D6666" s="21" t="s">
        <v>42</v>
      </c>
      <c r="E6666" s="22" t="str">
        <f>HYPERLINK("https://twitter.com/NaharRajesh1/status/922521578570530816","922521578570530816")</f>
        <v>922521578570530816</v>
      </c>
      <c r="F6666" s="23" t="s">
        <v>33</v>
      </c>
      <c r="G6666" s="24">
        <v>2.0</v>
      </c>
      <c r="H6666" s="24">
        <v>10.0</v>
      </c>
      <c r="I6666" s="24">
        <v>8501.0</v>
      </c>
      <c r="J6666" s="24">
        <v>0.0</v>
      </c>
      <c r="K6666" s="23" t="s">
        <v>34</v>
      </c>
      <c r="L6666" s="25">
        <v>42671.82951388889</v>
      </c>
      <c r="M6666" s="28"/>
      <c r="N6666" s="28"/>
      <c r="O6666" s="22" t="str">
        <f>HYPERLINK("https://abs.twimg.com/sticky/default_profile_images/default_profile_normal.png","View")</f>
        <v>View</v>
      </c>
      <c r="P6666" s="27"/>
    </row>
    <row r="6667">
      <c r="A6667" s="14">
        <v>43031.45451388889</v>
      </c>
      <c r="B6667" s="20" t="str">
        <f>HYPERLINK("https://twitter.com/bourtieb","@bourtieb")</f>
        <v>@bourtieb</v>
      </c>
      <c r="C6667" s="21" t="s">
        <v>14958</v>
      </c>
      <c r="D6667" s="21" t="s">
        <v>14748</v>
      </c>
      <c r="E6667" s="22" t="str">
        <f>HYPERLINK("https://twitter.com/bourtieb/status/922521629451792384","922521629451792384")</f>
        <v>922521629451792384</v>
      </c>
      <c r="F6667" s="23" t="s">
        <v>2119</v>
      </c>
      <c r="G6667" s="24">
        <v>90.0</v>
      </c>
      <c r="H6667" s="24">
        <v>359.0</v>
      </c>
      <c r="I6667" s="24">
        <v>46.0</v>
      </c>
      <c r="J6667" s="24">
        <v>0.0</v>
      </c>
      <c r="K6667" s="23" t="s">
        <v>34</v>
      </c>
      <c r="L6667" s="25">
        <v>40979.190092592595</v>
      </c>
      <c r="M6667" s="26" t="s">
        <v>14959</v>
      </c>
      <c r="N6667" s="26" t="s">
        <v>14960</v>
      </c>
      <c r="O6667" s="22" t="str">
        <f>HYPERLINK("https://pbs.twimg.com/profile_images/569743333862277120/ajtW6wDx_normal.jpeg","View")</f>
        <v>View</v>
      </c>
      <c r="P6667" s="27"/>
    </row>
    <row r="6668">
      <c r="A6668" s="14">
        <v>43031.454571759255</v>
      </c>
      <c r="B6668" s="20" t="str">
        <f>HYPERLINK("https://twitter.com/pritamt16703602","@pritamt16703602")</f>
        <v>@pritamt16703602</v>
      </c>
      <c r="C6668" s="21" t="s">
        <v>14961</v>
      </c>
      <c r="D6668" s="21" t="s">
        <v>42</v>
      </c>
      <c r="E6668" s="22" t="str">
        <f>HYPERLINK("https://twitter.com/pritamt16703602/status/922521648711876613","922521648711876613")</f>
        <v>922521648711876613</v>
      </c>
      <c r="F6668" s="23" t="s">
        <v>33</v>
      </c>
      <c r="G6668" s="24">
        <v>5.0</v>
      </c>
      <c r="H6668" s="24">
        <v>181.0</v>
      </c>
      <c r="I6668" s="24">
        <v>8501.0</v>
      </c>
      <c r="J6668" s="24">
        <v>0.0</v>
      </c>
      <c r="K6668" s="23" t="s">
        <v>34</v>
      </c>
      <c r="L6668" s="25">
        <v>42995.40012731482</v>
      </c>
      <c r="M6668" s="28"/>
      <c r="N6668" s="28"/>
      <c r="O6668" s="22" t="str">
        <f>HYPERLINK("https://abs.twimg.com/sticky/default_profile_images/default_profile_normal.png","View")</f>
        <v>View</v>
      </c>
      <c r="P6668" s="27"/>
    </row>
    <row r="6669">
      <c r="A6669" s="14">
        <v>43031.45458333333</v>
      </c>
      <c r="B6669" s="20" t="str">
        <f>HYPERLINK("https://twitter.com/GaleonisV","@GaleonisV")</f>
        <v>@GaleonisV</v>
      </c>
      <c r="C6669" s="21" t="s">
        <v>14962</v>
      </c>
      <c r="D6669" s="21" t="s">
        <v>14748</v>
      </c>
      <c r="E6669" s="22" t="str">
        <f>HYPERLINK("https://twitter.com/GaleonisV/status/922521651916324864","922521651916324864")</f>
        <v>922521651916324864</v>
      </c>
      <c r="F6669" s="23" t="s">
        <v>33</v>
      </c>
      <c r="G6669" s="24">
        <v>104.0</v>
      </c>
      <c r="H6669" s="24">
        <v>131.0</v>
      </c>
      <c r="I6669" s="24">
        <v>46.0</v>
      </c>
      <c r="J6669" s="24">
        <v>0.0</v>
      </c>
      <c r="K6669" s="23" t="s">
        <v>34</v>
      </c>
      <c r="L6669" s="25">
        <v>42434.16641203704</v>
      </c>
      <c r="M6669" s="28"/>
      <c r="N6669" s="28"/>
      <c r="O6669" s="22" t="str">
        <f>HYPERLINK("https://pbs.twimg.com/profile_images/720211445322002433/dLAUkOBS_normal.jpg","View")</f>
        <v>View</v>
      </c>
      <c r="P6669" s="27"/>
    </row>
    <row r="6670">
      <c r="A6670" s="14">
        <v>43031.454618055555</v>
      </c>
      <c r="B6670" s="20" t="str">
        <f>HYPERLINK("https://twitter.com/SubhenduDeb","@SubhenduDeb")</f>
        <v>@SubhenduDeb</v>
      </c>
      <c r="C6670" s="21" t="s">
        <v>14963</v>
      </c>
      <c r="D6670" s="21" t="s">
        <v>42</v>
      </c>
      <c r="E6670" s="22" t="str">
        <f>HYPERLINK("https://twitter.com/SubhenduDeb/status/922521667980509190","922521667980509190")</f>
        <v>922521667980509190</v>
      </c>
      <c r="F6670" s="23" t="s">
        <v>33</v>
      </c>
      <c r="G6670" s="24">
        <v>783.0</v>
      </c>
      <c r="H6670" s="24">
        <v>1567.0</v>
      </c>
      <c r="I6670" s="24">
        <v>8501.0</v>
      </c>
      <c r="J6670" s="24">
        <v>0.0</v>
      </c>
      <c r="K6670" s="23" t="s">
        <v>34</v>
      </c>
      <c r="L6670" s="25">
        <v>40683.16559027778</v>
      </c>
      <c r="M6670" s="26" t="s">
        <v>14964</v>
      </c>
      <c r="N6670" s="26" t="s">
        <v>14965</v>
      </c>
      <c r="O6670" s="22" t="str">
        <f>HYPERLINK("https://pbs.twimg.com/profile_images/1361971901/Sun_normal.png","View")</f>
        <v>View</v>
      </c>
      <c r="P6670" s="27"/>
    </row>
    <row r="6671">
      <c r="A6671" s="14">
        <v>43031.45472222222</v>
      </c>
      <c r="B6671" s="20" t="str">
        <f>HYPERLINK("https://twitter.com/rohit_kumar008","@rohit_kumar008")</f>
        <v>@rohit_kumar008</v>
      </c>
      <c r="C6671" s="21" t="s">
        <v>14966</v>
      </c>
      <c r="D6671" s="21" t="s">
        <v>42</v>
      </c>
      <c r="E6671" s="22" t="str">
        <f>HYPERLINK("https://twitter.com/rohit_kumar008/status/922521702327713792","922521702327713792")</f>
        <v>922521702327713792</v>
      </c>
      <c r="F6671" s="23" t="s">
        <v>33</v>
      </c>
      <c r="G6671" s="24">
        <v>117.0</v>
      </c>
      <c r="H6671" s="24">
        <v>130.0</v>
      </c>
      <c r="I6671" s="24">
        <v>8501.0</v>
      </c>
      <c r="J6671" s="24">
        <v>0.0</v>
      </c>
      <c r="K6671" s="23" t="s">
        <v>34</v>
      </c>
      <c r="L6671" s="25">
        <v>40183.24167824074</v>
      </c>
      <c r="M6671" s="26" t="s">
        <v>1991</v>
      </c>
      <c r="N6671" s="26" t="s">
        <v>14967</v>
      </c>
      <c r="O6671" s="22" t="str">
        <f>HYPERLINK("https://pbs.twimg.com/profile_images/637339405837975552/buOItBcn_normal.jpg","View")</f>
        <v>View</v>
      </c>
      <c r="P6671" s="27"/>
    </row>
    <row r="6672">
      <c r="A6672" s="14">
        <v>43031.45479166666</v>
      </c>
      <c r="B6672" s="20" t="str">
        <f>HYPERLINK("https://twitter.com/SandeepKarkera2","@SandeepKarkera2")</f>
        <v>@SandeepKarkera2</v>
      </c>
      <c r="C6672" s="21" t="s">
        <v>14968</v>
      </c>
      <c r="D6672" s="21" t="s">
        <v>42</v>
      </c>
      <c r="E6672" s="22" t="str">
        <f>HYPERLINK("https://twitter.com/SandeepKarkera2/status/922521730374967296","922521730374967296")</f>
        <v>922521730374967296</v>
      </c>
      <c r="F6672" s="23" t="s">
        <v>33</v>
      </c>
      <c r="G6672" s="24">
        <v>186.0</v>
      </c>
      <c r="H6672" s="24">
        <v>368.0</v>
      </c>
      <c r="I6672" s="24">
        <v>8501.0</v>
      </c>
      <c r="J6672" s="24">
        <v>0.0</v>
      </c>
      <c r="K6672" s="23" t="s">
        <v>34</v>
      </c>
      <c r="L6672" s="25">
        <v>41153.25101851852</v>
      </c>
      <c r="M6672" s="26" t="s">
        <v>2589</v>
      </c>
      <c r="N6672" s="28"/>
      <c r="O6672" s="22" t="str">
        <f>HYPERLINK("https://pbs.twimg.com/profile_images/781943228694089728/RorrBbRJ_normal.jpg","View")</f>
        <v>View</v>
      </c>
      <c r="P6672" s="27"/>
    </row>
    <row r="6673">
      <c r="A6673" s="14">
        <v>43031.45483796296</v>
      </c>
      <c r="B6673" s="20" t="str">
        <f>HYPERLINK("https://twitter.com/rudraranjan21","@rudraranjan21")</f>
        <v>@rudraranjan21</v>
      </c>
      <c r="C6673" s="21" t="s">
        <v>14969</v>
      </c>
      <c r="D6673" s="21" t="s">
        <v>42</v>
      </c>
      <c r="E6673" s="22" t="str">
        <f>HYPERLINK("https://twitter.com/rudraranjan21/status/922521746309128192","922521746309128192")</f>
        <v>922521746309128192</v>
      </c>
      <c r="F6673" s="23" t="s">
        <v>33</v>
      </c>
      <c r="G6673" s="24">
        <v>11.0</v>
      </c>
      <c r="H6673" s="24">
        <v>172.0</v>
      </c>
      <c r="I6673" s="24">
        <v>8501.0</v>
      </c>
      <c r="J6673" s="24">
        <v>0.0</v>
      </c>
      <c r="K6673" s="23" t="s">
        <v>34</v>
      </c>
      <c r="L6673" s="25">
        <v>42991.25283564815</v>
      </c>
      <c r="M6673" s="28"/>
      <c r="N6673" s="26" t="s">
        <v>14970</v>
      </c>
      <c r="O6673" s="22" t="str">
        <f>HYPERLINK("https://pbs.twimg.com/profile_images/908608133752168448/--Zrj5A6_normal.jpg","View")</f>
        <v>View</v>
      </c>
      <c r="P6673" s="27"/>
    </row>
    <row r="6674">
      <c r="A6674" s="14">
        <v>43031.454930555556</v>
      </c>
      <c r="B6674" s="20" t="str">
        <f>HYPERLINK("https://twitter.com/2mstephane","@2mstephane")</f>
        <v>@2mstephane</v>
      </c>
      <c r="C6674" s="21" t="s">
        <v>6993</v>
      </c>
      <c r="D6674" s="21" t="s">
        <v>14855</v>
      </c>
      <c r="E6674" s="22" t="str">
        <f>HYPERLINK("https://twitter.com/2mstephane/status/922521778219618311","922521778219618311")</f>
        <v>922521778219618311</v>
      </c>
      <c r="F6674" s="23" t="s">
        <v>33</v>
      </c>
      <c r="G6674" s="24">
        <v>5361.0</v>
      </c>
      <c r="H6674" s="24">
        <v>878.0</v>
      </c>
      <c r="I6674" s="24">
        <v>36.0</v>
      </c>
      <c r="J6674" s="24">
        <v>0.0</v>
      </c>
      <c r="K6674" s="23" t="s">
        <v>34</v>
      </c>
      <c r="L6674" s="25">
        <v>41598.24133101852</v>
      </c>
      <c r="M6674" s="26" t="s">
        <v>6994</v>
      </c>
      <c r="N6674" s="26" t="s">
        <v>6995</v>
      </c>
      <c r="O6674" s="22" t="str">
        <f>HYPERLINK("https://pbs.twimg.com/profile_images/856682876074696704/IQiE5wpB_normal.jpg","View")</f>
        <v>View</v>
      </c>
      <c r="P6674" s="27"/>
    </row>
    <row r="6675">
      <c r="A6675" s="14">
        <v>43031.45506944445</v>
      </c>
      <c r="B6675" s="20" t="str">
        <f>HYPERLINK("https://twitter.com/calvince54","@calvince54")</f>
        <v>@calvince54</v>
      </c>
      <c r="C6675" s="21" t="s">
        <v>14971</v>
      </c>
      <c r="D6675" s="21" t="s">
        <v>32</v>
      </c>
      <c r="E6675" s="22" t="str">
        <f>HYPERLINK("https://twitter.com/calvince54/status/922521831436967938","922521831436967938")</f>
        <v>922521831436967938</v>
      </c>
      <c r="F6675" s="23" t="s">
        <v>33</v>
      </c>
      <c r="G6675" s="24">
        <v>3241.0</v>
      </c>
      <c r="H6675" s="24">
        <v>2969.0</v>
      </c>
      <c r="I6675" s="24">
        <v>471.0</v>
      </c>
      <c r="J6675" s="24">
        <v>0.0</v>
      </c>
      <c r="K6675" s="23" t="s">
        <v>34</v>
      </c>
      <c r="L6675" s="25">
        <v>40711.03532407407</v>
      </c>
      <c r="M6675" s="26" t="s">
        <v>14972</v>
      </c>
      <c r="N6675" s="26" t="s">
        <v>14973</v>
      </c>
      <c r="O6675" s="22" t="str">
        <f>HYPERLINK("https://pbs.twimg.com/profile_images/595854163986259969/YDE-Pf1o_normal.jpg","View")</f>
        <v>View</v>
      </c>
      <c r="P6675" s="27"/>
    </row>
    <row r="6676">
      <c r="A6676" s="14">
        <v>43031.45512731481</v>
      </c>
      <c r="B6676" s="20" t="str">
        <f>HYPERLINK("https://twitter.com/bobby990r_1","@bobby990r_1")</f>
        <v>@bobby990r_1</v>
      </c>
      <c r="C6676" s="21" t="s">
        <v>8701</v>
      </c>
      <c r="D6676" s="21" t="s">
        <v>14748</v>
      </c>
      <c r="E6676" s="22" t="str">
        <f>HYPERLINK("https://twitter.com/bobby990r_1/status/922521851041116168","922521851041116168")</f>
        <v>922521851041116168</v>
      </c>
      <c r="F6676" s="23" t="s">
        <v>39</v>
      </c>
      <c r="G6676" s="24">
        <v>409.0</v>
      </c>
      <c r="H6676" s="24">
        <v>357.0</v>
      </c>
      <c r="I6676" s="24">
        <v>46.0</v>
      </c>
      <c r="J6676" s="24">
        <v>0.0</v>
      </c>
      <c r="K6676" s="23" t="s">
        <v>34</v>
      </c>
      <c r="L6676" s="25">
        <v>41659.656863425924</v>
      </c>
      <c r="M6676" s="28"/>
      <c r="N6676" s="26" t="s">
        <v>8702</v>
      </c>
      <c r="O6676" s="22" t="str">
        <f>HYPERLINK("https://pbs.twimg.com/profile_images/427116344161484801/JsZ1YLcA_normal.jpeg","View")</f>
        <v>View</v>
      </c>
      <c r="P6676" s="27"/>
    </row>
    <row r="6677">
      <c r="A6677" s="14">
        <v>43031.455462962964</v>
      </c>
      <c r="B6677" s="20" t="str">
        <f>HYPERLINK("https://twitter.com/ajshetty88","@ajshetty88")</f>
        <v>@ajshetty88</v>
      </c>
      <c r="C6677" s="21" t="s">
        <v>14974</v>
      </c>
      <c r="D6677" s="21" t="s">
        <v>42</v>
      </c>
      <c r="E6677" s="22" t="str">
        <f>HYPERLINK("https://twitter.com/ajshetty88/status/922521973795692544","922521973795692544")</f>
        <v>922521973795692544</v>
      </c>
      <c r="F6677" s="23" t="s">
        <v>33</v>
      </c>
      <c r="G6677" s="24">
        <v>78.0</v>
      </c>
      <c r="H6677" s="24">
        <v>317.0</v>
      </c>
      <c r="I6677" s="24">
        <v>8501.0</v>
      </c>
      <c r="J6677" s="24">
        <v>0.0</v>
      </c>
      <c r="K6677" s="23" t="s">
        <v>34</v>
      </c>
      <c r="L6677" s="25">
        <v>42430.40792824074</v>
      </c>
      <c r="M6677" s="26" t="s">
        <v>14975</v>
      </c>
      <c r="N6677" s="26" t="s">
        <v>14976</v>
      </c>
      <c r="O6677" s="22" t="str">
        <f>HYPERLINK("https://pbs.twimg.com/profile_images/906872052174413824/paDJc3Cv_normal.jpg","View")</f>
        <v>View</v>
      </c>
      <c r="P6677" s="27"/>
    </row>
    <row r="6678">
      <c r="A6678" s="14">
        <v>43031.45552083333</v>
      </c>
      <c r="B6678" s="20" t="str">
        <f>HYPERLINK("https://twitter.com/nneusj","@nneusj")</f>
        <v>@nneusj</v>
      </c>
      <c r="C6678" s="21" t="s">
        <v>858</v>
      </c>
      <c r="D6678" s="21" t="s">
        <v>6403</v>
      </c>
      <c r="E6678" s="22" t="str">
        <f>HYPERLINK("https://twitter.com/nneusj/status/922521994553372672","922521994553372672")</f>
        <v>922521994553372672</v>
      </c>
      <c r="F6678" s="23" t="s">
        <v>55</v>
      </c>
      <c r="G6678" s="24">
        <v>248.0</v>
      </c>
      <c r="H6678" s="24">
        <v>1887.0</v>
      </c>
      <c r="I6678" s="24">
        <v>97.0</v>
      </c>
      <c r="J6678" s="24">
        <v>0.0</v>
      </c>
      <c r="K6678" s="23" t="s">
        <v>34</v>
      </c>
      <c r="L6678" s="25">
        <v>42310.521898148145</v>
      </c>
      <c r="M6678" s="28"/>
      <c r="N6678" s="28"/>
      <c r="O6678" s="22" t="str">
        <f>HYPERLINK("https://pbs.twimg.com/profile_images/661281424570454016/IY6X6O9R_normal.jpg","View")</f>
        <v>View</v>
      </c>
      <c r="P6678" s="27"/>
    </row>
    <row r="6679">
      <c r="A6679" s="14">
        <v>43031.455625</v>
      </c>
      <c r="B6679" s="20" t="str">
        <f>HYPERLINK("https://twitter.com/BarotNalini","@BarotNalini")</f>
        <v>@BarotNalini</v>
      </c>
      <c r="C6679" s="21" t="s">
        <v>14977</v>
      </c>
      <c r="D6679" s="21" t="s">
        <v>42</v>
      </c>
      <c r="E6679" s="22" t="str">
        <f>HYPERLINK("https://twitter.com/BarotNalini/status/922522029747617793","922522029747617793")</f>
        <v>922522029747617793</v>
      </c>
      <c r="F6679" s="23" t="s">
        <v>33</v>
      </c>
      <c r="G6679" s="24">
        <v>9.0</v>
      </c>
      <c r="H6679" s="24">
        <v>108.0</v>
      </c>
      <c r="I6679" s="24">
        <v>8501.0</v>
      </c>
      <c r="J6679" s="24">
        <v>0.0</v>
      </c>
      <c r="K6679" s="23" t="s">
        <v>34</v>
      </c>
      <c r="L6679" s="25">
        <v>43031.45050925926</v>
      </c>
      <c r="M6679" s="26" t="s">
        <v>2739</v>
      </c>
      <c r="N6679" s="26" t="s">
        <v>5330</v>
      </c>
      <c r="O6679" s="22" t="str">
        <f>HYPERLINK("https://pbs.twimg.com/profile_images/922521405400301568/Mp3MZAIu_normal.jpg","View")</f>
        <v>View</v>
      </c>
      <c r="P6679" s="27"/>
    </row>
    <row r="6680">
      <c r="A6680" s="14">
        <v>43031.45571759259</v>
      </c>
      <c r="B6680" s="20" t="str">
        <f>HYPERLINK("https://twitter.com/seishouin","@seishouin")</f>
        <v>@seishouin</v>
      </c>
      <c r="C6680" s="21" t="s">
        <v>14978</v>
      </c>
      <c r="D6680" s="21" t="s">
        <v>42</v>
      </c>
      <c r="E6680" s="22" t="str">
        <f>HYPERLINK("https://twitter.com/seishouin/status/922522064195534848","922522064195534848")</f>
        <v>922522064195534848</v>
      </c>
      <c r="F6680" s="23" t="s">
        <v>39</v>
      </c>
      <c r="G6680" s="24">
        <v>461.0</v>
      </c>
      <c r="H6680" s="24">
        <v>2048.0</v>
      </c>
      <c r="I6680" s="24">
        <v>8501.0</v>
      </c>
      <c r="J6680" s="24">
        <v>0.0</v>
      </c>
      <c r="K6680" s="23" t="s">
        <v>34</v>
      </c>
      <c r="L6680" s="25">
        <v>40686.22222222222</v>
      </c>
      <c r="M6680" s="28"/>
      <c r="N6680" s="26" t="s">
        <v>14979</v>
      </c>
      <c r="O6680" s="22" t="str">
        <f>HYPERLINK("https://pbs.twimg.com/profile_images/2289022855/image_normal.jpg","View")</f>
        <v>View</v>
      </c>
      <c r="P6680" s="27"/>
    </row>
    <row r="6681">
      <c r="A6681" s="14">
        <v>43031.45575231481</v>
      </c>
      <c r="B6681" s="20" t="str">
        <f>HYPERLINK("https://twitter.com/akaneotani","@akaneotani")</f>
        <v>@akaneotani</v>
      </c>
      <c r="C6681" s="21" t="s">
        <v>14980</v>
      </c>
      <c r="D6681" s="21" t="s">
        <v>14981</v>
      </c>
      <c r="E6681" s="22" t="str">
        <f>HYPERLINK("https://twitter.com/akaneotani/status/922522078510747648","922522078510747648")</f>
        <v>922522078510747648</v>
      </c>
      <c r="F6681" s="23" t="s">
        <v>55</v>
      </c>
      <c r="G6681" s="24">
        <v>1803.0</v>
      </c>
      <c r="H6681" s="24">
        <v>865.0</v>
      </c>
      <c r="I6681" s="24">
        <v>2.0</v>
      </c>
      <c r="J6681" s="24">
        <v>0.0</v>
      </c>
      <c r="K6681" s="23" t="s">
        <v>34</v>
      </c>
      <c r="L6681" s="25">
        <v>40976.75266203703</v>
      </c>
      <c r="M6681" s="26" t="s">
        <v>14982</v>
      </c>
      <c r="N6681" s="26" t="s">
        <v>14983</v>
      </c>
      <c r="O6681" s="22" t="str">
        <f>HYPERLINK("https://pbs.twimg.com/profile_images/922178441994227712/LIS0M29v_normal.jpg","View")</f>
        <v>View</v>
      </c>
      <c r="P6681" s="27"/>
    </row>
    <row r="6682">
      <c r="A6682" s="14">
        <v>43031.45575231481</v>
      </c>
      <c r="B6682" s="20" t="str">
        <f>HYPERLINK("https://twitter.com/shailendra_nair","@shailendra_nair")</f>
        <v>@shailendra_nair</v>
      </c>
      <c r="C6682" s="21" t="s">
        <v>4072</v>
      </c>
      <c r="D6682" s="21" t="s">
        <v>14984</v>
      </c>
      <c r="E6682" s="22" t="str">
        <f>HYPERLINK("https://twitter.com/shailendra_nair/status/922522079131504640","922522079131504640")</f>
        <v>922522079131504640</v>
      </c>
      <c r="F6682" s="23" t="s">
        <v>187</v>
      </c>
      <c r="G6682" s="24">
        <v>3990.0</v>
      </c>
      <c r="H6682" s="24">
        <v>1041.0</v>
      </c>
      <c r="I6682" s="24">
        <v>0.0</v>
      </c>
      <c r="J6682" s="24">
        <v>0.0</v>
      </c>
      <c r="K6682" s="23" t="s">
        <v>34</v>
      </c>
      <c r="L6682" s="25">
        <v>40362.43798611111</v>
      </c>
      <c r="M6682" s="26" t="s">
        <v>246</v>
      </c>
      <c r="N6682" s="26" t="s">
        <v>4074</v>
      </c>
      <c r="O6682" s="22" t="str">
        <f>HYPERLINK("https://pbs.twimg.com/profile_images/884758468879466497/M_w6UjD3_normal.jpg","View")</f>
        <v>View</v>
      </c>
      <c r="P6682" s="27"/>
    </row>
    <row r="6683">
      <c r="A6683" s="14">
        <v>43031.45583333333</v>
      </c>
      <c r="B6683" s="20" t="str">
        <f>HYPERLINK("https://twitter.com/MarcoNavarroLor","@MarcoNavarroLor")</f>
        <v>@MarcoNavarroLor</v>
      </c>
      <c r="C6683" s="21" t="s">
        <v>14895</v>
      </c>
      <c r="D6683" s="21" t="s">
        <v>14855</v>
      </c>
      <c r="E6683" s="22" t="str">
        <f>HYPERLINK("https://twitter.com/MarcoNavarroLor/status/922522105803046914","922522105803046914")</f>
        <v>922522105803046914</v>
      </c>
      <c r="F6683" s="23" t="s">
        <v>39</v>
      </c>
      <c r="G6683" s="24">
        <v>682.0</v>
      </c>
      <c r="H6683" s="24">
        <v>100.0</v>
      </c>
      <c r="I6683" s="24">
        <v>36.0</v>
      </c>
      <c r="J6683" s="24">
        <v>0.0</v>
      </c>
      <c r="K6683" s="23" t="s">
        <v>34</v>
      </c>
      <c r="L6683" s="25">
        <v>42314.45510416667</v>
      </c>
      <c r="M6683" s="26" t="s">
        <v>14896</v>
      </c>
      <c r="N6683" s="26" t="s">
        <v>14897</v>
      </c>
      <c r="O6683" s="22" t="str">
        <f>HYPERLINK("https://pbs.twimg.com/profile_images/913887688268402688/p4NueOZE_normal.jpg","View")</f>
        <v>View</v>
      </c>
      <c r="P6683" s="27"/>
    </row>
    <row r="6684">
      <c r="A6684" s="14">
        <v>43031.455937499995</v>
      </c>
      <c r="B6684" s="20" t="str">
        <f>HYPERLINK("https://twitter.com/o_oz_za_a","@o_oz_za_a")</f>
        <v>@o_oz_za_a</v>
      </c>
      <c r="C6684" s="21" t="s">
        <v>14985</v>
      </c>
      <c r="D6684" s="21" t="s">
        <v>14986</v>
      </c>
      <c r="E6684" s="22" t="str">
        <f>HYPERLINK("https://twitter.com/o_oz_za_a/status/922522144692633600","922522144692633600")</f>
        <v>922522144692633600</v>
      </c>
      <c r="F6684" s="23" t="s">
        <v>39</v>
      </c>
      <c r="G6684" s="24">
        <v>227.0</v>
      </c>
      <c r="H6684" s="24">
        <v>1599.0</v>
      </c>
      <c r="I6684" s="24">
        <v>11.0</v>
      </c>
      <c r="J6684" s="24">
        <v>0.0</v>
      </c>
      <c r="K6684" s="23" t="s">
        <v>34</v>
      </c>
      <c r="L6684" s="25">
        <v>39921.68537037037</v>
      </c>
      <c r="M6684" s="28"/>
      <c r="N6684" s="28"/>
      <c r="O6684" s="22" t="str">
        <f>HYPERLINK("https://pbs.twimg.com/profile_images/1246886796/161746_1566156343_6438648_q_normal.jpg","View")</f>
        <v>View</v>
      </c>
      <c r="P6684" s="27"/>
    </row>
    <row r="6685">
      <c r="A6685" s="14">
        <v>43031.456041666665</v>
      </c>
      <c r="B6685" s="20" t="str">
        <f>HYPERLINK("https://twitter.com/miragenewscom","@miragenewscom")</f>
        <v>@miragenewscom</v>
      </c>
      <c r="C6685" s="21" t="s">
        <v>14987</v>
      </c>
      <c r="D6685" s="21" t="s">
        <v>14988</v>
      </c>
      <c r="E6685" s="22" t="str">
        <f>HYPERLINK("https://twitter.com/miragenewscom/status/922522182823145472","922522182823145472")</f>
        <v>922522182823145472</v>
      </c>
      <c r="F6685" s="23" t="s">
        <v>14989</v>
      </c>
      <c r="G6685" s="24">
        <v>89.0</v>
      </c>
      <c r="H6685" s="24">
        <v>15.0</v>
      </c>
      <c r="I6685" s="24">
        <v>0.0</v>
      </c>
      <c r="J6685" s="24">
        <v>0.0</v>
      </c>
      <c r="K6685" s="23" t="s">
        <v>34</v>
      </c>
      <c r="L6685" s="25">
        <v>42105.250069444446</v>
      </c>
      <c r="M6685" s="28"/>
      <c r="N6685" s="28"/>
      <c r="O6685" s="22" t="str">
        <f>HYPERLINK("https://pbs.twimg.com/profile_images/586876659594178560/netfTtAf_normal.png","View")</f>
        <v>View</v>
      </c>
      <c r="P6685" s="27"/>
    </row>
    <row r="6686">
      <c r="A6686" s="14">
        <v>43031.456087962964</v>
      </c>
      <c r="B6686" s="20" t="str">
        <f>HYPERLINK("https://twitter.com/o_oz_za_a","@o_oz_za_a")</f>
        <v>@o_oz_za_a</v>
      </c>
      <c r="C6686" s="21" t="s">
        <v>14985</v>
      </c>
      <c r="D6686" s="21" t="s">
        <v>14990</v>
      </c>
      <c r="E6686" s="22" t="str">
        <f>HYPERLINK("https://twitter.com/o_oz_za_a/status/922522199994531841","922522199994531841")</f>
        <v>922522199994531841</v>
      </c>
      <c r="F6686" s="23" t="s">
        <v>39</v>
      </c>
      <c r="G6686" s="24">
        <v>227.0</v>
      </c>
      <c r="H6686" s="24">
        <v>1599.0</v>
      </c>
      <c r="I6686" s="24">
        <v>10.0</v>
      </c>
      <c r="J6686" s="24">
        <v>0.0</v>
      </c>
      <c r="K6686" s="23" t="s">
        <v>34</v>
      </c>
      <c r="L6686" s="25">
        <v>39921.68537037037</v>
      </c>
      <c r="M6686" s="28"/>
      <c r="N6686" s="28"/>
      <c r="O6686" s="22" t="str">
        <f>HYPERLINK("https://pbs.twimg.com/profile_images/1246886796/161746_1566156343_6438648_q_normal.jpg","View")</f>
        <v>View</v>
      </c>
      <c r="P6686" s="27"/>
    </row>
    <row r="6687">
      <c r="A6687" s="14">
        <v>43031.456238425926</v>
      </c>
      <c r="B6687" s="20" t="str">
        <f>HYPERLINK("https://twitter.com/utsavmandliya","@utsavmandliya")</f>
        <v>@utsavmandliya</v>
      </c>
      <c r="C6687" s="21" t="s">
        <v>14991</v>
      </c>
      <c r="D6687" s="21" t="s">
        <v>42</v>
      </c>
      <c r="E6687" s="22" t="str">
        <f>HYPERLINK("https://twitter.com/utsavmandliya/status/922522255149621255","922522255149621255")</f>
        <v>922522255149621255</v>
      </c>
      <c r="F6687" s="23" t="s">
        <v>33</v>
      </c>
      <c r="G6687" s="24">
        <v>67.0</v>
      </c>
      <c r="H6687" s="24">
        <v>12.0</v>
      </c>
      <c r="I6687" s="24">
        <v>8501.0</v>
      </c>
      <c r="J6687" s="24">
        <v>0.0</v>
      </c>
      <c r="K6687" s="23" t="s">
        <v>34</v>
      </c>
      <c r="L6687" s="25">
        <v>42668.388831018514</v>
      </c>
      <c r="M6687" s="26" t="s">
        <v>204</v>
      </c>
      <c r="N6687" s="26" t="s">
        <v>14992</v>
      </c>
      <c r="O6687" s="22" t="str">
        <f>HYPERLINK("https://pbs.twimg.com/profile_images/871264864362278912/68AQGdON_normal.jpg","View")</f>
        <v>View</v>
      </c>
      <c r="P6687" s="27"/>
    </row>
    <row r="6688">
      <c r="A6688" s="14">
        <v>43031.45638888889</v>
      </c>
      <c r="B6688" s="20" t="str">
        <f>HYPERLINK("https://twitter.com/neilaaspark","@neilaaspark")</f>
        <v>@neilaaspark</v>
      </c>
      <c r="C6688" s="21" t="s">
        <v>14993</v>
      </c>
      <c r="D6688" s="21" t="s">
        <v>14994</v>
      </c>
      <c r="E6688" s="22" t="str">
        <f>HYPERLINK("https://twitter.com/neilaaspark/status/922522306018271237","922522306018271237")</f>
        <v>922522306018271237</v>
      </c>
      <c r="F6688" s="23" t="s">
        <v>1799</v>
      </c>
      <c r="G6688" s="24">
        <v>6087.0</v>
      </c>
      <c r="H6688" s="24">
        <v>6471.0</v>
      </c>
      <c r="I6688" s="24">
        <v>1.0</v>
      </c>
      <c r="J6688" s="24">
        <v>0.0</v>
      </c>
      <c r="K6688" s="23" t="s">
        <v>34</v>
      </c>
      <c r="L6688" s="25">
        <v>42453.692129629635</v>
      </c>
      <c r="M6688" s="26" t="s">
        <v>14995</v>
      </c>
      <c r="N6688" s="26" t="s">
        <v>14996</v>
      </c>
      <c r="O6688" s="22" t="str">
        <f>HYPERLINK("https://pbs.twimg.com/profile_images/906009400443158532/LLNEMesn_normal.jpg","View")</f>
        <v>View</v>
      </c>
      <c r="P6688" s="27"/>
    </row>
    <row r="6689">
      <c r="A6689" s="14">
        <v>43031.456412037034</v>
      </c>
      <c r="B6689" s="20" t="str">
        <f>HYPERLINK("https://twitter.com/smartalkesh","@smartalkesh")</f>
        <v>@smartalkesh</v>
      </c>
      <c r="C6689" s="21" t="s">
        <v>14997</v>
      </c>
      <c r="D6689" s="21" t="s">
        <v>42</v>
      </c>
      <c r="E6689" s="22" t="str">
        <f>HYPERLINK("https://twitter.com/smartalkesh/status/922522316138934274","922522316138934274")</f>
        <v>922522316138934274</v>
      </c>
      <c r="F6689" s="23" t="s">
        <v>33</v>
      </c>
      <c r="G6689" s="24">
        <v>209.0</v>
      </c>
      <c r="H6689" s="24">
        <v>723.0</v>
      </c>
      <c r="I6689" s="24">
        <v>8501.0</v>
      </c>
      <c r="J6689" s="24">
        <v>0.0</v>
      </c>
      <c r="K6689" s="23" t="s">
        <v>34</v>
      </c>
      <c r="L6689" s="25">
        <v>40520.20895833333</v>
      </c>
      <c r="M6689" s="26" t="s">
        <v>2335</v>
      </c>
      <c r="N6689" s="26" t="s">
        <v>14998</v>
      </c>
      <c r="O6689" s="22" t="str">
        <f>HYPERLINK("https://pbs.twimg.com/profile_images/887318288228921344/mJO_RB06_normal.jpg","View")</f>
        <v>View</v>
      </c>
      <c r="P6689" s="27"/>
    </row>
    <row r="6690">
      <c r="A6690" s="14">
        <v>43031.45657407407</v>
      </c>
      <c r="B6690" s="20" t="str">
        <f>HYPERLINK("https://twitter.com/JapanPress_wky","@JapanPress_wky")</f>
        <v>@JapanPress_wky</v>
      </c>
      <c r="C6690" s="21" t="s">
        <v>13033</v>
      </c>
      <c r="D6690" s="21" t="s">
        <v>14999</v>
      </c>
      <c r="E6690" s="22" t="str">
        <f>HYPERLINK("https://twitter.com/JapanPress_wky/status/922522377111592960","922522377111592960")</f>
        <v>922522377111592960</v>
      </c>
      <c r="F6690" s="30" t="s">
        <v>659</v>
      </c>
      <c r="G6690" s="24">
        <v>1253.0</v>
      </c>
      <c r="H6690" s="24">
        <v>176.0</v>
      </c>
      <c r="I6690" s="24">
        <v>0.0</v>
      </c>
      <c r="J6690" s="24">
        <v>0.0</v>
      </c>
      <c r="K6690" s="23" t="s">
        <v>34</v>
      </c>
      <c r="L6690" s="25">
        <v>40821.911782407406</v>
      </c>
      <c r="M6690" s="26" t="s">
        <v>923</v>
      </c>
      <c r="N6690" s="26" t="s">
        <v>13035</v>
      </c>
      <c r="O6690" s="22" t="str">
        <f>HYPERLINK("https://pbs.twimg.com/profile_images/1595831534/JapanPress_wky_normal.jpg","View")</f>
        <v>View</v>
      </c>
      <c r="P6690" s="27"/>
    </row>
    <row r="6691">
      <c r="A6691" s="14">
        <v>43031.45663194444</v>
      </c>
      <c r="B6691" s="20" t="str">
        <f>HYPERLINK("https://twitter.com/AllenEllis14","@AllenEllis14")</f>
        <v>@AllenEllis14</v>
      </c>
      <c r="C6691" s="21" t="s">
        <v>15000</v>
      </c>
      <c r="D6691" s="21" t="s">
        <v>15001</v>
      </c>
      <c r="E6691" s="22" t="str">
        <f>HYPERLINK("https://twitter.com/AllenEllis14/status/922522394543214593","922522394543214593")</f>
        <v>922522394543214593</v>
      </c>
      <c r="F6691" s="23" t="s">
        <v>39</v>
      </c>
      <c r="G6691" s="24">
        <v>11699.0</v>
      </c>
      <c r="H6691" s="24">
        <v>12251.0</v>
      </c>
      <c r="I6691" s="24">
        <v>0.0</v>
      </c>
      <c r="J6691" s="24">
        <v>0.0</v>
      </c>
      <c r="K6691" s="23" t="s">
        <v>34</v>
      </c>
      <c r="L6691" s="25">
        <v>40002.53019675926</v>
      </c>
      <c r="M6691" s="26" t="s">
        <v>15002</v>
      </c>
      <c r="N6691" s="26" t="s">
        <v>15003</v>
      </c>
      <c r="O6691" s="22" t="str">
        <f>HYPERLINK("https://pbs.twimg.com/profile_images/456508981452603392/gdPi64_3_normal.jpeg","View")</f>
        <v>View</v>
      </c>
      <c r="P6691" s="27"/>
    </row>
    <row r="6692">
      <c r="A6692" s="14">
        <v>43031.456666666665</v>
      </c>
      <c r="B6692" s="20" t="str">
        <f>HYPERLINK("https://twitter.com/knut_gamsun","@knut_gamsun")</f>
        <v>@knut_gamsun</v>
      </c>
      <c r="C6692" s="21" t="s">
        <v>15004</v>
      </c>
      <c r="D6692" s="21" t="s">
        <v>14855</v>
      </c>
      <c r="E6692" s="22" t="str">
        <f>HYPERLINK("https://twitter.com/knut_gamsun/status/922522409332346883","922522409332346883")</f>
        <v>922522409332346883</v>
      </c>
      <c r="F6692" s="23" t="s">
        <v>33</v>
      </c>
      <c r="G6692" s="24">
        <v>252.0</v>
      </c>
      <c r="H6692" s="24">
        <v>1546.0</v>
      </c>
      <c r="I6692" s="24">
        <v>36.0</v>
      </c>
      <c r="J6692" s="24">
        <v>0.0</v>
      </c>
      <c r="K6692" s="23" t="s">
        <v>34</v>
      </c>
      <c r="L6692" s="25">
        <v>41763.43686342593</v>
      </c>
      <c r="M6692" s="28"/>
      <c r="N6692" s="28"/>
      <c r="O6692" s="22" t="str">
        <f>HYPERLINK("https://pbs.twimg.com/profile_images/624843716721803264/CkKtWhBc_normal.png","View")</f>
        <v>View</v>
      </c>
      <c r="P6692" s="27"/>
    </row>
    <row r="6693">
      <c r="A6693" s="14">
        <v>43031.45672453704</v>
      </c>
      <c r="B6693" s="20" t="str">
        <f>HYPERLINK("https://twitter.com/GautamS73139502","@GautamS73139502")</f>
        <v>@GautamS73139502</v>
      </c>
      <c r="C6693" s="21" t="s">
        <v>15005</v>
      </c>
      <c r="D6693" s="21" t="s">
        <v>42</v>
      </c>
      <c r="E6693" s="22" t="str">
        <f>HYPERLINK("https://twitter.com/GautamS73139502/status/922522431608295424","922522431608295424")</f>
        <v>922522431608295424</v>
      </c>
      <c r="F6693" s="23" t="s">
        <v>33</v>
      </c>
      <c r="G6693" s="24">
        <v>20.0</v>
      </c>
      <c r="H6693" s="24">
        <v>118.0</v>
      </c>
      <c r="I6693" s="24">
        <v>8501.0</v>
      </c>
      <c r="J6693" s="24">
        <v>0.0</v>
      </c>
      <c r="K6693" s="23" t="s">
        <v>34</v>
      </c>
      <c r="L6693" s="25">
        <v>43010.37712962963</v>
      </c>
      <c r="M6693" s="26" t="s">
        <v>15006</v>
      </c>
      <c r="N6693" s="26" t="s">
        <v>15007</v>
      </c>
      <c r="O6693" s="22" t="str">
        <f>HYPERLINK("https://pbs.twimg.com/profile_images/914885549047107584/4V2vmw81_normal.jpg","View")</f>
        <v>View</v>
      </c>
      <c r="P6693" s="27"/>
    </row>
    <row r="6694">
      <c r="A6694" s="14">
        <v>43031.456770833334</v>
      </c>
      <c r="B6694" s="20" t="str">
        <f>HYPERLINK("https://twitter.com/The_Rajesh","@The_Rajesh")</f>
        <v>@The_Rajesh</v>
      </c>
      <c r="C6694" s="21" t="s">
        <v>6902</v>
      </c>
      <c r="D6694" s="21" t="s">
        <v>42</v>
      </c>
      <c r="E6694" s="22" t="str">
        <f>HYPERLINK("https://twitter.com/The_Rajesh/status/922522446107959296","922522446107959296")</f>
        <v>922522446107959296</v>
      </c>
      <c r="F6694" s="23" t="s">
        <v>33</v>
      </c>
      <c r="G6694" s="24">
        <v>189.0</v>
      </c>
      <c r="H6694" s="24">
        <v>383.0</v>
      </c>
      <c r="I6694" s="24">
        <v>8501.0</v>
      </c>
      <c r="J6694" s="24">
        <v>0.0</v>
      </c>
      <c r="K6694" s="23" t="s">
        <v>34</v>
      </c>
      <c r="L6694" s="25">
        <v>40676.264016203706</v>
      </c>
      <c r="M6694" s="26" t="s">
        <v>575</v>
      </c>
      <c r="N6694" s="26" t="s">
        <v>15008</v>
      </c>
      <c r="O6694" s="22" t="str">
        <f>HYPERLINK("https://pbs.twimg.com/profile_images/843093278081847297/N-pujd2z_normal.jpg","View")</f>
        <v>View</v>
      </c>
      <c r="P6694" s="27"/>
    </row>
    <row r="6695">
      <c r="A6695" s="14">
        <v>43031.456770833334</v>
      </c>
      <c r="B6695" s="20" t="str">
        <f>HYPERLINK("https://twitter.com/SudeepPaw89","@SudeepPaw89")</f>
        <v>@SudeepPaw89</v>
      </c>
      <c r="C6695" s="21" t="s">
        <v>14747</v>
      </c>
      <c r="D6695" s="21" t="s">
        <v>760</v>
      </c>
      <c r="E6695" s="22" t="str">
        <f>HYPERLINK("https://twitter.com/SudeepPaw89/status/922522446330286080","922522446330286080")</f>
        <v>922522446330286080</v>
      </c>
      <c r="F6695" s="23" t="s">
        <v>33</v>
      </c>
      <c r="G6695" s="24">
        <v>549.0</v>
      </c>
      <c r="H6695" s="24">
        <v>4992.0</v>
      </c>
      <c r="I6695" s="24">
        <v>62.0</v>
      </c>
      <c r="J6695" s="24">
        <v>0.0</v>
      </c>
      <c r="K6695" s="23" t="s">
        <v>34</v>
      </c>
      <c r="L6695" s="25">
        <v>41931.34664351852</v>
      </c>
      <c r="M6695" s="26" t="s">
        <v>14749</v>
      </c>
      <c r="N6695" s="26" t="s">
        <v>14750</v>
      </c>
      <c r="O6695" s="22" t="str">
        <f>HYPERLINK("https://pbs.twimg.com/profile_images/900716115298537473/UOTA0zxx_normal.jpg","View")</f>
        <v>View</v>
      </c>
      <c r="P6695" s="27"/>
    </row>
    <row r="6696">
      <c r="A6696" s="14">
        <v>43031.45679398148</v>
      </c>
      <c r="B6696" s="20" t="str">
        <f>HYPERLINK("https://twitter.com/Bullish","@Bullish")</f>
        <v>@Bullish</v>
      </c>
      <c r="C6696" s="21" t="s">
        <v>2943</v>
      </c>
      <c r="D6696" s="21" t="s">
        <v>15009</v>
      </c>
      <c r="E6696" s="22" t="str">
        <f>HYPERLINK("https://twitter.com/Bullish/status/922522455188692992","922522455188692992")</f>
        <v>922522455188692992</v>
      </c>
      <c r="F6696" s="23" t="s">
        <v>187</v>
      </c>
      <c r="G6696" s="24">
        <v>184.0</v>
      </c>
      <c r="H6696" s="24">
        <v>87.0</v>
      </c>
      <c r="I6696" s="24">
        <v>0.0</v>
      </c>
      <c r="J6696" s="24">
        <v>0.0</v>
      </c>
      <c r="K6696" s="23" t="s">
        <v>34</v>
      </c>
      <c r="L6696" s="25">
        <v>42618.75304398148</v>
      </c>
      <c r="M6696" s="28"/>
      <c r="N6696" s="28"/>
      <c r="O6696" s="22" t="str">
        <f>HYPERLINK("https://pbs.twimg.com/profile_images/798692093736599552/UikI9dNE_normal.jpg","View")</f>
        <v>View</v>
      </c>
      <c r="P6696" s="27"/>
    </row>
    <row r="6697">
      <c r="A6697" s="14">
        <v>43031.45699074074</v>
      </c>
      <c r="B6697" s="20" t="str">
        <f>HYPERLINK("https://twitter.com/shivramsrini","@shivramsrini")</f>
        <v>@shivramsrini</v>
      </c>
      <c r="C6697" s="21" t="s">
        <v>15010</v>
      </c>
      <c r="D6697" s="21" t="s">
        <v>163</v>
      </c>
      <c r="E6697" s="22" t="str">
        <f>HYPERLINK("https://twitter.com/shivramsrini/status/922522527208849408","922522527208849408")</f>
        <v>922522527208849408</v>
      </c>
      <c r="F6697" s="23" t="s">
        <v>33</v>
      </c>
      <c r="G6697" s="24">
        <v>40.0</v>
      </c>
      <c r="H6697" s="24">
        <v>53.0</v>
      </c>
      <c r="I6697" s="24">
        <v>1005.0</v>
      </c>
      <c r="J6697" s="24">
        <v>0.0</v>
      </c>
      <c r="K6697" s="23" t="s">
        <v>34</v>
      </c>
      <c r="L6697" s="25">
        <v>41603.07891203704</v>
      </c>
      <c r="M6697" s="26" t="s">
        <v>4620</v>
      </c>
      <c r="N6697" s="26" t="s">
        <v>15011</v>
      </c>
      <c r="O6697" s="22" t="str">
        <f>HYPERLINK("https://pbs.twimg.com/profile_images/574094365200515073/MSuqDZJZ_normal.jpeg","View")</f>
        <v>View</v>
      </c>
      <c r="P6697" s="27"/>
    </row>
    <row r="6698">
      <c r="A6698" s="14">
        <v>43031.45707175926</v>
      </c>
      <c r="B6698" s="20" t="str">
        <f>HYPERLINK("https://twitter.com/Valhalla_Nights","@Valhalla_Nights")</f>
        <v>@Valhalla_Nights</v>
      </c>
      <c r="C6698" s="21" t="s">
        <v>15012</v>
      </c>
      <c r="D6698" s="21" t="s">
        <v>14748</v>
      </c>
      <c r="E6698" s="22" t="str">
        <f>HYPERLINK("https://twitter.com/Valhalla_Nights/status/922522554270732288","922522554270732288")</f>
        <v>922522554270732288</v>
      </c>
      <c r="F6698" s="23" t="s">
        <v>55</v>
      </c>
      <c r="G6698" s="24">
        <v>986.0</v>
      </c>
      <c r="H6698" s="24">
        <v>2976.0</v>
      </c>
      <c r="I6698" s="24">
        <v>46.0</v>
      </c>
      <c r="J6698" s="24">
        <v>0.0</v>
      </c>
      <c r="K6698" s="23" t="s">
        <v>34</v>
      </c>
      <c r="L6698" s="25">
        <v>40891.67741898148</v>
      </c>
      <c r="M6698" s="28"/>
      <c r="N6698" s="26" t="s">
        <v>15013</v>
      </c>
      <c r="O6698" s="22" t="str">
        <f>HYPERLINK("https://pbs.twimg.com/profile_images/459031192767954945/BhuwbfcY_normal.png","View")</f>
        <v>View</v>
      </c>
      <c r="P6698" s="27"/>
    </row>
    <row r="6699">
      <c r="A6699" s="14">
        <v>43031.45731481482</v>
      </c>
      <c r="B6699" s="20" t="str">
        <f>HYPERLINK("https://twitter.com/1a02ea1b284b4de","@1a02ea1b284b4de")</f>
        <v>@1a02ea1b284b4de</v>
      </c>
      <c r="C6699" s="21" t="s">
        <v>15014</v>
      </c>
      <c r="D6699" s="21" t="s">
        <v>42</v>
      </c>
      <c r="E6699" s="22" t="str">
        <f>HYPERLINK("https://twitter.com/1a02ea1b284b4de/status/922522644003426304","922522644003426304")</f>
        <v>922522644003426304</v>
      </c>
      <c r="F6699" s="23" t="s">
        <v>43</v>
      </c>
      <c r="G6699" s="24">
        <v>25.0</v>
      </c>
      <c r="H6699" s="24">
        <v>110.0</v>
      </c>
      <c r="I6699" s="24">
        <v>8501.0</v>
      </c>
      <c r="J6699" s="24">
        <v>0.0</v>
      </c>
      <c r="K6699" s="23" t="s">
        <v>34</v>
      </c>
      <c r="L6699" s="25">
        <v>42058.37003472222</v>
      </c>
      <c r="M6699" s="28"/>
      <c r="N6699" s="28"/>
      <c r="O6699" s="22" t="str">
        <f>HYPERLINK("https://pbs.twimg.com/profile_images/569902885211631616/hMQAI1Nq_normal.jpeg","View")</f>
        <v>View</v>
      </c>
      <c r="P6699" s="27"/>
    </row>
    <row r="6700">
      <c r="A6700" s="14">
        <v>43031.45737268518</v>
      </c>
      <c r="B6700" s="20" t="str">
        <f>HYPERLINK("https://twitter.com/swissifg","@swissifg")</f>
        <v>@swissifg</v>
      </c>
      <c r="C6700" s="21" t="s">
        <v>3967</v>
      </c>
      <c r="D6700" s="21" t="s">
        <v>15015</v>
      </c>
      <c r="E6700" s="22" t="str">
        <f>HYPERLINK("https://twitter.com/swissifg/status/922522664392065025","922522664392065025")</f>
        <v>922522664392065025</v>
      </c>
      <c r="F6700" s="23" t="s">
        <v>187</v>
      </c>
      <c r="G6700" s="24">
        <v>1204.0</v>
      </c>
      <c r="H6700" s="24">
        <v>671.0</v>
      </c>
      <c r="I6700" s="24">
        <v>0.0</v>
      </c>
      <c r="J6700" s="24">
        <v>0.0</v>
      </c>
      <c r="K6700" s="23" t="s">
        <v>34</v>
      </c>
      <c r="L6700" s="25">
        <v>42499.2341087963</v>
      </c>
      <c r="M6700" s="26" t="s">
        <v>3969</v>
      </c>
      <c r="N6700" s="26" t="s">
        <v>3970</v>
      </c>
      <c r="O6700" s="22" t="str">
        <f>HYPERLINK("https://pbs.twimg.com/profile_images/729681805088063489/N4ls5vb8_normal.jpg","View")</f>
        <v>View</v>
      </c>
      <c r="P6700" s="27"/>
    </row>
    <row r="6701">
      <c r="A6701" s="14">
        <v>43031.45753472223</v>
      </c>
      <c r="B6701" s="20" t="str">
        <f>HYPERLINK("https://twitter.com/Amarjeet_11","@Amarjeet_11")</f>
        <v>@Amarjeet_11</v>
      </c>
      <c r="C6701" s="21" t="s">
        <v>15016</v>
      </c>
      <c r="D6701" s="21" t="s">
        <v>42</v>
      </c>
      <c r="E6701" s="22" t="str">
        <f>HYPERLINK("https://twitter.com/Amarjeet_11/status/922522722063728640","922522722063728640")</f>
        <v>922522722063728640</v>
      </c>
      <c r="F6701" s="23" t="s">
        <v>33</v>
      </c>
      <c r="G6701" s="24">
        <v>55.0</v>
      </c>
      <c r="H6701" s="24">
        <v>446.0</v>
      </c>
      <c r="I6701" s="24">
        <v>8501.0</v>
      </c>
      <c r="J6701" s="24">
        <v>0.0</v>
      </c>
      <c r="K6701" s="23" t="s">
        <v>34</v>
      </c>
      <c r="L6701" s="25">
        <v>42725.92545138889</v>
      </c>
      <c r="M6701" s="26" t="s">
        <v>15017</v>
      </c>
      <c r="N6701" s="26" t="s">
        <v>15018</v>
      </c>
      <c r="O6701" s="22" t="str">
        <f>HYPERLINK("https://pbs.twimg.com/profile_images/914346580622245889/wMUdw1v7_normal.jpg","View")</f>
        <v>View</v>
      </c>
      <c r="P6701" s="27"/>
    </row>
    <row r="6702">
      <c r="A6702" s="14">
        <v>43031.45767361111</v>
      </c>
      <c r="B6702" s="20" t="str">
        <f>HYPERLINK("https://twitter.com/andersonumalla","@andersonumalla")</f>
        <v>@andersonumalla</v>
      </c>
      <c r="C6702" s="21" t="s">
        <v>15019</v>
      </c>
      <c r="D6702" s="21" t="s">
        <v>32</v>
      </c>
      <c r="E6702" s="22" t="str">
        <f>HYPERLINK("https://twitter.com/andersonumalla/status/922522774656167939","922522774656167939")</f>
        <v>922522774656167939</v>
      </c>
      <c r="F6702" s="23" t="s">
        <v>33</v>
      </c>
      <c r="G6702" s="24">
        <v>307.0</v>
      </c>
      <c r="H6702" s="24">
        <v>425.0</v>
      </c>
      <c r="I6702" s="24">
        <v>471.0</v>
      </c>
      <c r="J6702" s="24">
        <v>0.0</v>
      </c>
      <c r="K6702" s="23" t="s">
        <v>34</v>
      </c>
      <c r="L6702" s="25">
        <v>40719.22447916667</v>
      </c>
      <c r="M6702" s="26" t="s">
        <v>15020</v>
      </c>
      <c r="N6702" s="26" t="s">
        <v>15021</v>
      </c>
      <c r="O6702" s="22" t="str">
        <f>HYPERLINK("https://pbs.twimg.com/profile_images/631376966013329409/g2nD7JkS_normal.jpg","View")</f>
        <v>View</v>
      </c>
      <c r="P6702" s="27"/>
    </row>
    <row r="6703">
      <c r="A6703" s="14">
        <v>43031.45793981482</v>
      </c>
      <c r="B6703" s="20" t="str">
        <f>HYPERLINK("https://twitter.com/GgNewsCA","@GgNewsCA")</f>
        <v>@GgNewsCA</v>
      </c>
      <c r="C6703" s="21" t="s">
        <v>872</v>
      </c>
      <c r="D6703" s="21" t="s">
        <v>15022</v>
      </c>
      <c r="E6703" s="22" t="str">
        <f>HYPERLINK("https://twitter.com/GgNewsCA/status/922522871926272000","922522871926272000")</f>
        <v>922522871926272000</v>
      </c>
      <c r="F6703" s="23" t="s">
        <v>187</v>
      </c>
      <c r="G6703" s="24">
        <v>799.0</v>
      </c>
      <c r="H6703" s="24">
        <v>119.0</v>
      </c>
      <c r="I6703" s="24">
        <v>0.0</v>
      </c>
      <c r="J6703" s="24">
        <v>0.0</v>
      </c>
      <c r="K6703" s="23" t="s">
        <v>34</v>
      </c>
      <c r="L6703" s="25">
        <v>41680.73829861111</v>
      </c>
      <c r="M6703" s="28"/>
      <c r="N6703" s="26" t="s">
        <v>874</v>
      </c>
      <c r="O6703" s="22" t="str">
        <f>HYPERLINK("https://pbs.twimg.com/profile_images/433054278446366720/6TSJYgRu_normal.png","View")</f>
        <v>View</v>
      </c>
      <c r="P6703" s="27"/>
    </row>
    <row r="6704">
      <c r="A6704" s="14">
        <v>43031.45795138889</v>
      </c>
      <c r="B6704" s="20" t="str">
        <f>HYPERLINK("https://twitter.com/avullamparthie","@avullamparthie")</f>
        <v>@avullamparthie</v>
      </c>
      <c r="C6704" s="21" t="s">
        <v>15023</v>
      </c>
      <c r="D6704" s="21" t="s">
        <v>163</v>
      </c>
      <c r="E6704" s="22" t="str">
        <f>HYPERLINK("https://twitter.com/avullamparthie/status/922522874111344642","922522874111344642")</f>
        <v>922522874111344642</v>
      </c>
      <c r="F6704" s="23" t="s">
        <v>33</v>
      </c>
      <c r="G6704" s="24">
        <v>25.0</v>
      </c>
      <c r="H6704" s="24">
        <v>277.0</v>
      </c>
      <c r="I6704" s="24">
        <v>1005.0</v>
      </c>
      <c r="J6704" s="24">
        <v>0.0</v>
      </c>
      <c r="K6704" s="23" t="s">
        <v>34</v>
      </c>
      <c r="L6704" s="25">
        <v>42860.4435300926</v>
      </c>
      <c r="M6704" s="26" t="s">
        <v>15024</v>
      </c>
      <c r="N6704" s="28"/>
      <c r="O6704" s="22" t="str">
        <f>HYPERLINK("https://pbs.twimg.com/profile_images/861633639510974464/wUMkASEv_normal.jpg","View")</f>
        <v>View</v>
      </c>
      <c r="P6704" s="27"/>
    </row>
    <row r="6705">
      <c r="A6705" s="14">
        <v>43031.458020833335</v>
      </c>
      <c r="B6705" s="20" t="str">
        <f>HYPERLINK("https://twitter.com/CaseyBillX","@CaseyBillX")</f>
        <v>@CaseyBillX</v>
      </c>
      <c r="C6705" s="21" t="s">
        <v>3108</v>
      </c>
      <c r="D6705" s="21" t="s">
        <v>14986</v>
      </c>
      <c r="E6705" s="22" t="str">
        <f>HYPERLINK("https://twitter.com/CaseyBillX/status/922522900069879808","922522900069879808")</f>
        <v>922522900069879808</v>
      </c>
      <c r="F6705" s="23" t="s">
        <v>3109</v>
      </c>
      <c r="G6705" s="24">
        <v>2332.0</v>
      </c>
      <c r="H6705" s="24">
        <v>5001.0</v>
      </c>
      <c r="I6705" s="24">
        <v>11.0</v>
      </c>
      <c r="J6705" s="24">
        <v>0.0</v>
      </c>
      <c r="K6705" s="23" t="s">
        <v>34</v>
      </c>
      <c r="L6705" s="25">
        <v>42997.15302083333</v>
      </c>
      <c r="M6705" s="28"/>
      <c r="N6705" s="28"/>
      <c r="O6705" s="22" t="str">
        <f>HYPERLINK("https://pbs.twimg.com/profile_images/910103474003525633/_kzNa9NX_normal.jpg","View")</f>
        <v>View</v>
      </c>
      <c r="P6705" s="27"/>
    </row>
    <row r="6706">
      <c r="A6706" s="14">
        <v>43031.45806712963</v>
      </c>
      <c r="B6706" s="20" t="str">
        <f>HYPERLINK("https://twitter.com/ku_bi_ko","@ku_bi_ko")</f>
        <v>@ku_bi_ko</v>
      </c>
      <c r="C6706" s="21" t="s">
        <v>15025</v>
      </c>
      <c r="D6706" s="21" t="s">
        <v>14748</v>
      </c>
      <c r="E6706" s="22" t="str">
        <f>HYPERLINK("https://twitter.com/ku_bi_ko/status/922522916633432064","922522916633432064")</f>
        <v>922522916633432064</v>
      </c>
      <c r="F6706" s="23" t="s">
        <v>55</v>
      </c>
      <c r="G6706" s="24">
        <v>541.0</v>
      </c>
      <c r="H6706" s="24">
        <v>501.0</v>
      </c>
      <c r="I6706" s="24">
        <v>46.0</v>
      </c>
      <c r="J6706" s="24">
        <v>0.0</v>
      </c>
      <c r="K6706" s="23" t="s">
        <v>34</v>
      </c>
      <c r="L6706" s="25">
        <v>40678.55872685185</v>
      </c>
      <c r="M6706" s="26" t="s">
        <v>15026</v>
      </c>
      <c r="N6706" s="26" t="s">
        <v>15027</v>
      </c>
      <c r="O6706" s="22" t="str">
        <f>HYPERLINK("https://pbs.twimg.com/profile_images/909395630405177344/MBOMxy9H_normal.jpg","View")</f>
        <v>View</v>
      </c>
      <c r="P6706" s="27"/>
    </row>
    <row r="6707">
      <c r="A6707" s="14">
        <v>43031.45819444444</v>
      </c>
      <c r="B6707" s="20" t="str">
        <f>HYPERLINK("https://twitter.com/maxeneperera","@maxeneperera")</f>
        <v>@maxeneperera</v>
      </c>
      <c r="C6707" s="21" t="s">
        <v>15028</v>
      </c>
      <c r="D6707" s="21" t="s">
        <v>42</v>
      </c>
      <c r="E6707" s="22" t="str">
        <f>HYPERLINK("https://twitter.com/maxeneperera/status/922522960660807681","922522960660807681")</f>
        <v>922522960660807681</v>
      </c>
      <c r="F6707" s="23" t="s">
        <v>55</v>
      </c>
      <c r="G6707" s="24">
        <v>84.0</v>
      </c>
      <c r="H6707" s="24">
        <v>265.0</v>
      </c>
      <c r="I6707" s="24">
        <v>8501.0</v>
      </c>
      <c r="J6707" s="24">
        <v>0.0</v>
      </c>
      <c r="K6707" s="23" t="s">
        <v>34</v>
      </c>
      <c r="L6707" s="25">
        <v>42338.14224537037</v>
      </c>
      <c r="M6707" s="26" t="s">
        <v>10567</v>
      </c>
      <c r="N6707" s="28"/>
      <c r="O6707" s="22" t="str">
        <f>HYPERLINK("https://pbs.twimg.com/profile_images/735868495221526528/T0JB2efc_normal.jpg","View")</f>
        <v>View</v>
      </c>
      <c r="P6707" s="27"/>
    </row>
    <row r="6708">
      <c r="A6708" s="14">
        <v>43031.45825231481</v>
      </c>
      <c r="B6708" s="20" t="str">
        <f>HYPERLINK("https://twitter.com/ranjanadixit","@ranjanadixit")</f>
        <v>@ranjanadixit</v>
      </c>
      <c r="C6708" s="21" t="s">
        <v>15029</v>
      </c>
      <c r="D6708" s="21" t="s">
        <v>42</v>
      </c>
      <c r="E6708" s="22" t="str">
        <f>HYPERLINK("https://twitter.com/ranjanadixit/status/922522983213789184","922522983213789184")</f>
        <v>922522983213789184</v>
      </c>
      <c r="F6708" s="23" t="s">
        <v>33</v>
      </c>
      <c r="G6708" s="24">
        <v>57.0</v>
      </c>
      <c r="H6708" s="24">
        <v>105.0</v>
      </c>
      <c r="I6708" s="24">
        <v>8501.0</v>
      </c>
      <c r="J6708" s="24">
        <v>0.0</v>
      </c>
      <c r="K6708" s="23" t="s">
        <v>34</v>
      </c>
      <c r="L6708" s="25">
        <v>39932.10959490741</v>
      </c>
      <c r="M6708" s="26" t="s">
        <v>15030</v>
      </c>
      <c r="N6708" s="28"/>
      <c r="O6708" s="22" t="str">
        <f>HYPERLINK("https://pbs.twimg.com/profile_images/609396915860545536/YzLv5Or1_normal.jpg","View")</f>
        <v>View</v>
      </c>
      <c r="P6708" s="27"/>
    </row>
    <row r="6709">
      <c r="A6709" s="14">
        <v>43031.45837962963</v>
      </c>
      <c r="B6709" s="20" t="str">
        <f>HYPERLINK("https://twitter.com/Sorgitzak","@Sorgitzak")</f>
        <v>@Sorgitzak</v>
      </c>
      <c r="C6709" s="21" t="s">
        <v>1122</v>
      </c>
      <c r="D6709" s="21" t="s">
        <v>15031</v>
      </c>
      <c r="E6709" s="22" t="str">
        <f>HYPERLINK("https://twitter.com/Sorgitzak/status/922523029741154305","922523029741154305")</f>
        <v>922523029741154305</v>
      </c>
      <c r="F6709" s="23" t="s">
        <v>187</v>
      </c>
      <c r="G6709" s="24">
        <v>723.0</v>
      </c>
      <c r="H6709" s="24">
        <v>1309.0</v>
      </c>
      <c r="I6709" s="24">
        <v>0.0</v>
      </c>
      <c r="J6709" s="24">
        <v>0.0</v>
      </c>
      <c r="K6709" s="23" t="s">
        <v>34</v>
      </c>
      <c r="L6709" s="25">
        <v>39990.552152777775</v>
      </c>
      <c r="M6709" s="26" t="s">
        <v>1124</v>
      </c>
      <c r="N6709" s="28"/>
      <c r="O6709" s="22" t="str">
        <f>HYPERLINK("https://pbs.twimg.com/profile_images/284404970/sorgitzak_normal.JPG","View")</f>
        <v>View</v>
      </c>
      <c r="P6709" s="27"/>
    </row>
    <row r="6710">
      <c r="A6710" s="14">
        <v>43031.45842592593</v>
      </c>
      <c r="B6710" s="20" t="str">
        <f>HYPERLINK("https://twitter.com/Carlos2Yoshio","@Carlos2Yoshio")</f>
        <v>@Carlos2Yoshio</v>
      </c>
      <c r="C6710" s="21" t="s">
        <v>15032</v>
      </c>
      <c r="D6710" s="21" t="s">
        <v>14855</v>
      </c>
      <c r="E6710" s="22" t="str">
        <f>HYPERLINK("https://twitter.com/Carlos2Yoshio/status/922523045826318336","922523045826318336")</f>
        <v>922523045826318336</v>
      </c>
      <c r="F6710" s="23" t="s">
        <v>33</v>
      </c>
      <c r="G6710" s="24">
        <v>348.0</v>
      </c>
      <c r="H6710" s="24">
        <v>240.0</v>
      </c>
      <c r="I6710" s="24">
        <v>36.0</v>
      </c>
      <c r="J6710" s="24">
        <v>0.0</v>
      </c>
      <c r="K6710" s="23" t="s">
        <v>34</v>
      </c>
      <c r="L6710" s="25">
        <v>42857.368483796294</v>
      </c>
      <c r="M6710" s="26" t="s">
        <v>10375</v>
      </c>
      <c r="N6710" s="26" t="s">
        <v>15033</v>
      </c>
      <c r="O6710" s="22" t="str">
        <f>HYPERLINK("https://pbs.twimg.com/profile_images/903268955212713988/Ay-EYjzo_normal.jpg","View")</f>
        <v>View</v>
      </c>
      <c r="P6710" s="27"/>
    </row>
    <row r="6711">
      <c r="A6711" s="14">
        <v>43031.4587962963</v>
      </c>
      <c r="B6711" s="20" t="str">
        <f>HYPERLINK("https://twitter.com/almufasaTWIT","@almufasaTWIT")</f>
        <v>@almufasaTWIT</v>
      </c>
      <c r="C6711" s="21" t="s">
        <v>15034</v>
      </c>
      <c r="D6711" s="21" t="s">
        <v>12974</v>
      </c>
      <c r="E6711" s="22" t="str">
        <f>HYPERLINK("https://twitter.com/almufasaTWIT/status/922523178957721600","922523178957721600")</f>
        <v>922523178957721600</v>
      </c>
      <c r="F6711" s="23" t="s">
        <v>33</v>
      </c>
      <c r="G6711" s="24">
        <v>216.0</v>
      </c>
      <c r="H6711" s="24">
        <v>868.0</v>
      </c>
      <c r="I6711" s="24">
        <v>110.0</v>
      </c>
      <c r="J6711" s="24">
        <v>0.0</v>
      </c>
      <c r="K6711" s="23" t="s">
        <v>34</v>
      </c>
      <c r="L6711" s="25">
        <v>40634.2965162037</v>
      </c>
      <c r="M6711" s="26" t="s">
        <v>15035</v>
      </c>
      <c r="N6711" s="26" t="s">
        <v>15036</v>
      </c>
      <c r="O6711" s="22" t="str">
        <f>HYPERLINK("https://pbs.twimg.com/profile_images/3090712918/53f3b39690055e538304ef9d9ef950f5_normal.jpeg","View")</f>
        <v>View</v>
      </c>
      <c r="P6711" s="27"/>
    </row>
    <row r="6712">
      <c r="A6712" s="14">
        <v>43031.45880787037</v>
      </c>
      <c r="B6712" s="20" t="str">
        <f>HYPERLINK("https://twitter.com/2ysur2ysub","@2ysur2ysub")</f>
        <v>@2ysur2ysub</v>
      </c>
      <c r="C6712" s="21" t="s">
        <v>15037</v>
      </c>
      <c r="D6712" s="21" t="s">
        <v>108</v>
      </c>
      <c r="E6712" s="22" t="str">
        <f>HYPERLINK("https://twitter.com/2ysur2ysub/status/922523185513459713","922523185513459713")</f>
        <v>922523185513459713</v>
      </c>
      <c r="F6712" s="23" t="s">
        <v>39</v>
      </c>
      <c r="G6712" s="24">
        <v>11995.0</v>
      </c>
      <c r="H6712" s="24">
        <v>9875.0</v>
      </c>
      <c r="I6712" s="24">
        <v>88.0</v>
      </c>
      <c r="J6712" s="24">
        <v>0.0</v>
      </c>
      <c r="K6712" s="23" t="s">
        <v>34</v>
      </c>
      <c r="L6712" s="25">
        <v>39917.91804398148</v>
      </c>
      <c r="M6712" s="26" t="s">
        <v>15038</v>
      </c>
      <c r="N6712" s="26" t="s">
        <v>15039</v>
      </c>
      <c r="O6712" s="22" t="str">
        <f>HYPERLINK("https://pbs.twimg.com/profile_images/870612052280213509/NEO1vDBa_normal.jpg","View")</f>
        <v>View</v>
      </c>
      <c r="P6712" s="27"/>
    </row>
    <row r="6713">
      <c r="A6713" s="14">
        <v>43031.458819444444</v>
      </c>
      <c r="B6713" s="20" t="str">
        <f>HYPERLINK("https://twitter.com/cornelDnerahKe","@cornelDnerahKe")</f>
        <v>@cornelDnerahKe</v>
      </c>
      <c r="C6713" s="21" t="s">
        <v>15040</v>
      </c>
      <c r="D6713" s="21" t="s">
        <v>32</v>
      </c>
      <c r="E6713" s="22" t="str">
        <f>HYPERLINK("https://twitter.com/cornelDnerahKe/status/922523187002228736","922523187002228736")</f>
        <v>922523187002228736</v>
      </c>
      <c r="F6713" s="23" t="s">
        <v>33</v>
      </c>
      <c r="G6713" s="24">
        <v>508.0</v>
      </c>
      <c r="H6713" s="24">
        <v>1939.0</v>
      </c>
      <c r="I6713" s="24">
        <v>471.0</v>
      </c>
      <c r="J6713" s="24">
        <v>0.0</v>
      </c>
      <c r="K6713" s="23" t="s">
        <v>34</v>
      </c>
      <c r="L6713" s="25">
        <v>42253.215046296296</v>
      </c>
      <c r="M6713" s="26" t="s">
        <v>114</v>
      </c>
      <c r="N6713" s="26" t="s">
        <v>15041</v>
      </c>
      <c r="O6713" s="22" t="str">
        <f>HYPERLINK("https://pbs.twimg.com/profile_images/870611829239812096/M1R63Zih_normal.jpg","View")</f>
        <v>View</v>
      </c>
      <c r="P6713" s="27"/>
    </row>
    <row r="6714">
      <c r="A6714" s="14">
        <v>43031.45898148148</v>
      </c>
      <c r="B6714" s="20" t="str">
        <f>HYPERLINK("https://twitter.com/EssentiallyLtd","@EssentiallyLtd")</f>
        <v>@EssentiallyLtd</v>
      </c>
      <c r="C6714" s="21" t="s">
        <v>15042</v>
      </c>
      <c r="D6714" s="21" t="s">
        <v>15043</v>
      </c>
      <c r="E6714" s="22" t="str">
        <f>HYPERLINK("https://twitter.com/EssentiallyLtd/status/922523245756207105","922523245756207105")</f>
        <v>922523245756207105</v>
      </c>
      <c r="F6714" s="23" t="s">
        <v>427</v>
      </c>
      <c r="G6714" s="24">
        <v>742.0</v>
      </c>
      <c r="H6714" s="24">
        <v>723.0</v>
      </c>
      <c r="I6714" s="24">
        <v>0.0</v>
      </c>
      <c r="J6714" s="24">
        <v>0.0</v>
      </c>
      <c r="K6714" s="23" t="s">
        <v>34</v>
      </c>
      <c r="L6714" s="25">
        <v>41386.400671296295</v>
      </c>
      <c r="M6714" s="26" t="s">
        <v>15044</v>
      </c>
      <c r="N6714" s="26" t="s">
        <v>15045</v>
      </c>
      <c r="O6714" s="22" t="str">
        <f>HYPERLINK("https://pbs.twimg.com/profile_images/702416092371795968/da0lKxnO_normal.jpg","View")</f>
        <v>View</v>
      </c>
      <c r="P6714" s="27"/>
    </row>
    <row r="6715">
      <c r="A6715" s="14">
        <v>43031.459016203706</v>
      </c>
      <c r="B6715" s="20" t="str">
        <f>HYPERLINK("https://twitter.com/BillNeblock","@BillNeblock")</f>
        <v>@BillNeblock</v>
      </c>
      <c r="C6715" s="21" t="s">
        <v>15046</v>
      </c>
      <c r="D6715" s="21" t="s">
        <v>15047</v>
      </c>
      <c r="E6715" s="22" t="str">
        <f>HYPERLINK("https://twitter.com/BillNeblock/status/922523258737569792","922523258737569792")</f>
        <v>922523258737569792</v>
      </c>
      <c r="F6715" s="23" t="s">
        <v>427</v>
      </c>
      <c r="G6715" s="24">
        <v>827.0</v>
      </c>
      <c r="H6715" s="24">
        <v>697.0</v>
      </c>
      <c r="I6715" s="24">
        <v>0.0</v>
      </c>
      <c r="J6715" s="24">
        <v>0.0</v>
      </c>
      <c r="K6715" s="23" t="s">
        <v>34</v>
      </c>
      <c r="L6715" s="25">
        <v>42128.60497685186</v>
      </c>
      <c r="M6715" s="26" t="s">
        <v>3604</v>
      </c>
      <c r="N6715" s="26" t="s">
        <v>15048</v>
      </c>
      <c r="O6715" s="22" t="str">
        <f>HYPERLINK("https://pbs.twimg.com/profile_images/771080962667061248/IquvwkDT_normal.jpg","View")</f>
        <v>View</v>
      </c>
      <c r="P6715" s="27"/>
    </row>
    <row r="6716">
      <c r="A6716" s="14">
        <v>43031.459074074075</v>
      </c>
      <c r="B6716" s="20" t="str">
        <f>HYPERLINK("https://twitter.com/r_ranjanpd","@r_ranjanpd")</f>
        <v>@r_ranjanpd</v>
      </c>
      <c r="C6716" s="21" t="s">
        <v>15049</v>
      </c>
      <c r="D6716" s="21" t="s">
        <v>14855</v>
      </c>
      <c r="E6716" s="22" t="str">
        <f>HYPERLINK("https://twitter.com/r_ranjanpd/status/922523280271056896","922523280271056896")</f>
        <v>922523280271056896</v>
      </c>
      <c r="F6716" s="23" t="s">
        <v>33</v>
      </c>
      <c r="G6716" s="24">
        <v>205.0</v>
      </c>
      <c r="H6716" s="24">
        <v>1251.0</v>
      </c>
      <c r="I6716" s="24">
        <v>36.0</v>
      </c>
      <c r="J6716" s="24">
        <v>0.0</v>
      </c>
      <c r="K6716" s="23" t="s">
        <v>34</v>
      </c>
      <c r="L6716" s="25">
        <v>42271.44101851852</v>
      </c>
      <c r="M6716" s="26" t="s">
        <v>15050</v>
      </c>
      <c r="N6716" s="26" t="s">
        <v>15051</v>
      </c>
      <c r="O6716" s="22" t="str">
        <f>HYPERLINK("https://pbs.twimg.com/profile_images/917721435841298432/BzIeQO1k_normal.jpg","View")</f>
        <v>View</v>
      </c>
      <c r="P6716" s="27"/>
    </row>
    <row r="6717">
      <c r="A6717" s="14">
        <v>43031.459131944444</v>
      </c>
      <c r="B6717" s="20" t="str">
        <f>HYPERLINK("https://twitter.com/cyrillyrics","@cyrillyrics")</f>
        <v>@cyrillyrics</v>
      </c>
      <c r="C6717" s="21" t="s">
        <v>15052</v>
      </c>
      <c r="D6717" s="21" t="s">
        <v>15053</v>
      </c>
      <c r="E6717" s="22" t="str">
        <f>HYPERLINK("https://twitter.com/cyrillyrics/status/922523303780155397","922523303780155397")</f>
        <v>922523303780155397</v>
      </c>
      <c r="F6717" s="23" t="s">
        <v>33</v>
      </c>
      <c r="G6717" s="24">
        <v>744.0</v>
      </c>
      <c r="H6717" s="24">
        <v>2563.0</v>
      </c>
      <c r="I6717" s="24">
        <v>0.0</v>
      </c>
      <c r="J6717" s="24">
        <v>0.0</v>
      </c>
      <c r="K6717" s="23" t="s">
        <v>34</v>
      </c>
      <c r="L6717" s="25">
        <v>40741.10105324074</v>
      </c>
      <c r="M6717" s="26" t="s">
        <v>15054</v>
      </c>
      <c r="N6717" s="26" t="s">
        <v>15055</v>
      </c>
      <c r="O6717" s="22" t="str">
        <f>HYPERLINK("https://pbs.twimg.com/profile_images/668578813123653632/xibJ4oRq_normal.jpg","View")</f>
        <v>View</v>
      </c>
      <c r="P6717" s="27"/>
    </row>
    <row r="6718">
      <c r="A6718" s="14">
        <v>43031.45917824074</v>
      </c>
      <c r="B6718" s="20" t="str">
        <f>HYPERLINK("https://twitter.com/Tekki_VR","@Tekki_VR")</f>
        <v>@Tekki_VR</v>
      </c>
      <c r="C6718" s="21" t="s">
        <v>4050</v>
      </c>
      <c r="D6718" s="21" t="s">
        <v>15056</v>
      </c>
      <c r="E6718" s="22" t="str">
        <f>HYPERLINK("https://twitter.com/Tekki_VR/status/922523319248785408","922523319248785408")</f>
        <v>922523319248785408</v>
      </c>
      <c r="F6718" s="23" t="s">
        <v>187</v>
      </c>
      <c r="G6718" s="24">
        <v>1899.0</v>
      </c>
      <c r="H6718" s="24">
        <v>2480.0</v>
      </c>
      <c r="I6718" s="24">
        <v>0.0</v>
      </c>
      <c r="J6718" s="24">
        <v>0.0</v>
      </c>
      <c r="K6718" s="23" t="s">
        <v>34</v>
      </c>
      <c r="L6718" s="25">
        <v>42263.54553240741</v>
      </c>
      <c r="M6718" s="26" t="s">
        <v>4052</v>
      </c>
      <c r="N6718" s="26" t="s">
        <v>4053</v>
      </c>
      <c r="O6718" s="22" t="str">
        <f>HYPERLINK("https://pbs.twimg.com/profile_images/760662770694098944/h1nSBfE8_normal.jpg","View")</f>
        <v>View</v>
      </c>
      <c r="P6718" s="27"/>
    </row>
    <row r="6719">
      <c r="A6719" s="14">
        <v>43031.45923611111</v>
      </c>
      <c r="B6719" s="20" t="str">
        <f>HYPERLINK("https://twitter.com/the_dwc","@the_dwc")</f>
        <v>@the_dwc</v>
      </c>
      <c r="C6719" s="21" t="s">
        <v>15057</v>
      </c>
      <c r="D6719" s="21" t="s">
        <v>15058</v>
      </c>
      <c r="E6719" s="22" t="str">
        <f>HYPERLINK("https://twitter.com/the_dwc/status/922523339909890048","922523339909890048")</f>
        <v>922523339909890048</v>
      </c>
      <c r="F6719" s="23" t="s">
        <v>4619</v>
      </c>
      <c r="G6719" s="24">
        <v>435.0</v>
      </c>
      <c r="H6719" s="24">
        <v>5.0</v>
      </c>
      <c r="I6719" s="24">
        <v>0.0</v>
      </c>
      <c r="J6719" s="24">
        <v>0.0</v>
      </c>
      <c r="K6719" s="23" t="s">
        <v>34</v>
      </c>
      <c r="L6719" s="25">
        <v>41480.890555555554</v>
      </c>
      <c r="M6719" s="26" t="s">
        <v>2534</v>
      </c>
      <c r="N6719" s="26" t="s">
        <v>15059</v>
      </c>
      <c r="O6719" s="22" t="str">
        <f>HYPERLINK("https://pbs.twimg.com/profile_images/633362714744745984/42OHGsWh_normal.jpg","View")</f>
        <v>View</v>
      </c>
      <c r="P6719" s="27"/>
    </row>
    <row r="6720">
      <c r="A6720" s="14">
        <v>43031.45931712963</v>
      </c>
      <c r="B6720" s="20" t="str">
        <f>HYPERLINK("https://twitter.com/pixel_and","@pixel_and")</f>
        <v>@pixel_and</v>
      </c>
      <c r="C6720" s="21" t="s">
        <v>15060</v>
      </c>
      <c r="D6720" s="21" t="s">
        <v>11747</v>
      </c>
      <c r="E6720" s="22" t="str">
        <f>HYPERLINK("https://twitter.com/pixel_and/status/922523369454624775","922523369454624775")</f>
        <v>922523369454624775</v>
      </c>
      <c r="F6720" s="23" t="s">
        <v>15061</v>
      </c>
      <c r="G6720" s="24">
        <v>503.0</v>
      </c>
      <c r="H6720" s="24">
        <v>313.0</v>
      </c>
      <c r="I6720" s="24">
        <v>6.0</v>
      </c>
      <c r="J6720" s="24">
        <v>0.0</v>
      </c>
      <c r="K6720" s="23" t="s">
        <v>34</v>
      </c>
      <c r="L6720" s="25">
        <v>42937.002233796295</v>
      </c>
      <c r="M6720" s="26" t="s">
        <v>2068</v>
      </c>
      <c r="N6720" s="26" t="s">
        <v>15062</v>
      </c>
      <c r="O6720" s="22" t="str">
        <f>HYPERLINK("https://pbs.twimg.com/profile_images/888512402618290177/GD25H27a_normal.jpg","View")</f>
        <v>View</v>
      </c>
      <c r="P6720" s="27"/>
    </row>
    <row r="6721">
      <c r="A6721" s="14">
        <v>43031.4594212963</v>
      </c>
      <c r="B6721" s="20" t="str">
        <f>HYPERLINK("https://twitter.com/bnzjpn","@bnzjpn")</f>
        <v>@bnzjpn</v>
      </c>
      <c r="C6721" s="21" t="s">
        <v>7734</v>
      </c>
      <c r="D6721" s="21" t="s">
        <v>15063</v>
      </c>
      <c r="E6721" s="22" t="str">
        <f>HYPERLINK("https://twitter.com/bnzjpn/status/922523408117764096","922523408117764096")</f>
        <v>922523408117764096</v>
      </c>
      <c r="F6721" s="23" t="s">
        <v>427</v>
      </c>
      <c r="G6721" s="24">
        <v>207.0</v>
      </c>
      <c r="H6721" s="24">
        <v>649.0</v>
      </c>
      <c r="I6721" s="24">
        <v>0.0</v>
      </c>
      <c r="J6721" s="24">
        <v>0.0</v>
      </c>
      <c r="K6721" s="23" t="s">
        <v>34</v>
      </c>
      <c r="L6721" s="25">
        <v>41932.007627314815</v>
      </c>
      <c r="M6721" s="28"/>
      <c r="N6721" s="28"/>
      <c r="O6721" s="22" t="str">
        <f>HYPERLINK("https://pbs.twimg.com/profile_images/524095630960889856/JgG6IzOp_normal.png","View")</f>
        <v>View</v>
      </c>
      <c r="P6721" s="27"/>
    </row>
    <row r="6722">
      <c r="A6722" s="14">
        <v>43031.45953703704</v>
      </c>
      <c r="B6722" s="20" t="str">
        <f>HYPERLINK("https://twitter.com/arrorasanjeev","@arrorasanjeev")</f>
        <v>@arrorasanjeev</v>
      </c>
      <c r="C6722" s="21" t="s">
        <v>15064</v>
      </c>
      <c r="D6722" s="21" t="s">
        <v>42</v>
      </c>
      <c r="E6722" s="22" t="str">
        <f>HYPERLINK("https://twitter.com/arrorasanjeev/status/922523449322389504","922523449322389504")</f>
        <v>922523449322389504</v>
      </c>
      <c r="F6722" s="23" t="s">
        <v>230</v>
      </c>
      <c r="G6722" s="24">
        <v>1205.0</v>
      </c>
      <c r="H6722" s="24">
        <v>1804.0</v>
      </c>
      <c r="I6722" s="24">
        <v>8501.0</v>
      </c>
      <c r="J6722" s="24">
        <v>0.0</v>
      </c>
      <c r="K6722" s="23" t="s">
        <v>34</v>
      </c>
      <c r="L6722" s="25">
        <v>40019.92240740741</v>
      </c>
      <c r="M6722" s="26" t="s">
        <v>15065</v>
      </c>
      <c r="N6722" s="26" t="s">
        <v>15066</v>
      </c>
      <c r="O6722" s="22" t="str">
        <f>HYPERLINK("https://pbs.twimg.com/profile_images/899455690019815424/xU8HH7I7_normal.jpg","View")</f>
        <v>View</v>
      </c>
      <c r="P6722" s="27"/>
    </row>
    <row r="6723">
      <c r="A6723" s="14">
        <v>43031.45957175926</v>
      </c>
      <c r="B6723" s="20" t="str">
        <f>HYPERLINK("https://twitter.com/WesleyArchulet1","@WesleyArchulet1")</f>
        <v>@WesleyArchulet1</v>
      </c>
      <c r="C6723" s="21" t="s">
        <v>15067</v>
      </c>
      <c r="D6723" s="21" t="s">
        <v>13529</v>
      </c>
      <c r="E6723" s="22" t="str">
        <f>HYPERLINK("https://twitter.com/WesleyArchulet1/status/922523460991180802","922523460991180802")</f>
        <v>922523460991180802</v>
      </c>
      <c r="F6723" s="23" t="s">
        <v>33</v>
      </c>
      <c r="G6723" s="24">
        <v>209.0</v>
      </c>
      <c r="H6723" s="24">
        <v>313.0</v>
      </c>
      <c r="I6723" s="24">
        <v>6.0</v>
      </c>
      <c r="J6723" s="24">
        <v>0.0</v>
      </c>
      <c r="K6723" s="23" t="s">
        <v>34</v>
      </c>
      <c r="L6723" s="25">
        <v>42705.20327546296</v>
      </c>
      <c r="M6723" s="26" t="s">
        <v>15068</v>
      </c>
      <c r="N6723" s="26" t="s">
        <v>15069</v>
      </c>
      <c r="O6723" s="22" t="str">
        <f>HYPERLINK("https://pbs.twimg.com/profile_images/921471308554293249/wtBAmdLp_normal.jpg","View")</f>
        <v>View</v>
      </c>
      <c r="P6723" s="27"/>
    </row>
    <row r="6724">
      <c r="A6724" s="14">
        <v>43031.459745370375</v>
      </c>
      <c r="B6724" s="20" t="str">
        <f>HYPERLINK("https://twitter.com/raj4vimal","@raj4vimal")</f>
        <v>@raj4vimal</v>
      </c>
      <c r="C6724" s="21" t="s">
        <v>15070</v>
      </c>
      <c r="D6724" s="21" t="s">
        <v>42</v>
      </c>
      <c r="E6724" s="22" t="str">
        <f>HYPERLINK("https://twitter.com/raj4vimal/status/922523525612675072","922523525612675072")</f>
        <v>922523525612675072</v>
      </c>
      <c r="F6724" s="23" t="s">
        <v>33</v>
      </c>
      <c r="G6724" s="24">
        <v>68.0</v>
      </c>
      <c r="H6724" s="24">
        <v>80.0</v>
      </c>
      <c r="I6724" s="24">
        <v>8501.0</v>
      </c>
      <c r="J6724" s="24">
        <v>0.0</v>
      </c>
      <c r="K6724" s="23" t="s">
        <v>34</v>
      </c>
      <c r="L6724" s="25">
        <v>42319.99739583333</v>
      </c>
      <c r="M6724" s="26" t="s">
        <v>204</v>
      </c>
      <c r="N6724" s="26" t="s">
        <v>15071</v>
      </c>
      <c r="O6724" s="22" t="str">
        <f>HYPERLINK("https://pbs.twimg.com/profile_images/922524999767879680/NZAEIIMZ_normal.jpg","View")</f>
        <v>View</v>
      </c>
      <c r="P6724" s="27"/>
    </row>
    <row r="6725">
      <c r="A6725" s="14">
        <v>43031.45983796296</v>
      </c>
      <c r="B6725" s="20" t="str">
        <f>HYPERLINK("https://twitter.com/The87Burninator","@The87Burninator")</f>
        <v>@The87Burninator</v>
      </c>
      <c r="C6725" s="21" t="s">
        <v>15072</v>
      </c>
      <c r="D6725" s="21" t="s">
        <v>2313</v>
      </c>
      <c r="E6725" s="22" t="str">
        <f>HYPERLINK("https://twitter.com/The87Burninator/status/922523556285628418","922523556285628418")</f>
        <v>922523556285628418</v>
      </c>
      <c r="F6725" s="23" t="s">
        <v>33</v>
      </c>
      <c r="G6725" s="24">
        <v>41.0</v>
      </c>
      <c r="H6725" s="24">
        <v>35.0</v>
      </c>
      <c r="I6725" s="24">
        <v>10.0</v>
      </c>
      <c r="J6725" s="24">
        <v>0.0</v>
      </c>
      <c r="K6725" s="23" t="s">
        <v>34</v>
      </c>
      <c r="L6725" s="25">
        <v>41874.59784722222</v>
      </c>
      <c r="M6725" s="26" t="s">
        <v>15073</v>
      </c>
      <c r="N6725" s="26" t="s">
        <v>15074</v>
      </c>
      <c r="O6725" s="22" t="str">
        <f>HYPERLINK("https://pbs.twimg.com/profile_images/515143397544583168/XB0wGObH_normal.jpeg","View")</f>
        <v>View</v>
      </c>
      <c r="P6725" s="27"/>
    </row>
    <row r="6726">
      <c r="A6726" s="14">
        <v>43031.459918981476</v>
      </c>
      <c r="B6726" s="20" t="str">
        <f>HYPERLINK("https://twitter.com/_VikasSharma","@_VikasSharma")</f>
        <v>@_VikasSharma</v>
      </c>
      <c r="C6726" s="21" t="s">
        <v>14147</v>
      </c>
      <c r="D6726" s="21" t="s">
        <v>15075</v>
      </c>
      <c r="E6726" s="22" t="str">
        <f>HYPERLINK("https://twitter.com/_VikasSharma/status/922523585457152000","922523585457152000")</f>
        <v>922523585457152000</v>
      </c>
      <c r="F6726" s="23" t="s">
        <v>33</v>
      </c>
      <c r="G6726" s="24">
        <v>7386.0</v>
      </c>
      <c r="H6726" s="24">
        <v>2784.0</v>
      </c>
      <c r="I6726" s="24">
        <v>0.0</v>
      </c>
      <c r="J6726" s="24">
        <v>0.0</v>
      </c>
      <c r="K6726" s="23" t="s">
        <v>34</v>
      </c>
      <c r="L6726" s="25">
        <v>40391.27322916667</v>
      </c>
      <c r="M6726" s="26" t="s">
        <v>15076</v>
      </c>
      <c r="N6726" s="26" t="s">
        <v>15077</v>
      </c>
      <c r="O6726" s="22" t="str">
        <f>HYPERLINK("https://pbs.twimg.com/profile_images/922893172119916544/xebXdtLB_normal.jpg","View")</f>
        <v>View</v>
      </c>
      <c r="P6726" s="27"/>
    </row>
    <row r="6727">
      <c r="A6727" s="14">
        <v>43031.4599537037</v>
      </c>
      <c r="B6727" s="20" t="str">
        <f>HYPERLINK("https://twitter.com/Rajivbakshi52","@Rajivbakshi52")</f>
        <v>@Rajivbakshi52</v>
      </c>
      <c r="C6727" s="21" t="s">
        <v>15078</v>
      </c>
      <c r="D6727" s="21" t="s">
        <v>42</v>
      </c>
      <c r="E6727" s="22" t="str">
        <f>HYPERLINK("https://twitter.com/Rajivbakshi52/status/922523597880434688","922523597880434688")</f>
        <v>922523597880434688</v>
      </c>
      <c r="F6727" s="23" t="s">
        <v>39</v>
      </c>
      <c r="G6727" s="24">
        <v>10547.0</v>
      </c>
      <c r="H6727" s="24">
        <v>9445.0</v>
      </c>
      <c r="I6727" s="24">
        <v>8501.0</v>
      </c>
      <c r="J6727" s="24">
        <v>0.0</v>
      </c>
      <c r="K6727" s="23" t="s">
        <v>34</v>
      </c>
      <c r="L6727" s="25">
        <v>40721.47988425926</v>
      </c>
      <c r="M6727" s="26" t="s">
        <v>15079</v>
      </c>
      <c r="N6727" s="26" t="s">
        <v>15080</v>
      </c>
      <c r="O6727" s="22" t="str">
        <f>HYPERLINK("https://pbs.twimg.com/profile_images/590125380167536640/SCI1Eb0J_normal.jpg","View")</f>
        <v>View</v>
      </c>
      <c r="P6727" s="27"/>
    </row>
    <row r="6728">
      <c r="A6728" s="14">
        <v>43031.460069444445</v>
      </c>
      <c r="B6728" s="20" t="str">
        <f>HYPERLINK("https://twitter.com/indianews101","@indianews101")</f>
        <v>@indianews101</v>
      </c>
      <c r="C6728" s="21" t="s">
        <v>15081</v>
      </c>
      <c r="D6728" s="21" t="s">
        <v>15082</v>
      </c>
      <c r="E6728" s="22" t="str">
        <f>HYPERLINK("https://twitter.com/indianews101/status/922523641493024768","922523641493024768")</f>
        <v>922523641493024768</v>
      </c>
      <c r="F6728" s="23" t="s">
        <v>187</v>
      </c>
      <c r="G6728" s="24">
        <v>120.0</v>
      </c>
      <c r="H6728" s="24">
        <v>0.0</v>
      </c>
      <c r="I6728" s="24">
        <v>0.0</v>
      </c>
      <c r="J6728" s="24">
        <v>0.0</v>
      </c>
      <c r="K6728" s="23" t="s">
        <v>34</v>
      </c>
      <c r="L6728" s="25">
        <v>42720.778067129635</v>
      </c>
      <c r="M6728" s="28"/>
      <c r="N6728" s="28"/>
      <c r="O6728" s="22" t="str">
        <f>HYPERLINK("https://abs.twimg.com/sticky/default_profile_images/default_profile_normal.png","View")</f>
        <v>View</v>
      </c>
      <c r="P6728" s="27"/>
    </row>
    <row r="6729">
      <c r="A6729" s="14">
        <v>43031.460138888884</v>
      </c>
      <c r="B6729" s="20" t="str">
        <f>HYPERLINK("https://twitter.com/SubhashJindal8","@SubhashJindal8")</f>
        <v>@SubhashJindal8</v>
      </c>
      <c r="C6729" s="21" t="s">
        <v>15083</v>
      </c>
      <c r="D6729" s="21" t="s">
        <v>42</v>
      </c>
      <c r="E6729" s="22" t="str">
        <f>HYPERLINK("https://twitter.com/SubhashJindal8/status/922523668558659585","922523668558659585")</f>
        <v>922523668558659585</v>
      </c>
      <c r="F6729" s="23" t="s">
        <v>33</v>
      </c>
      <c r="G6729" s="24">
        <v>94.0</v>
      </c>
      <c r="H6729" s="24">
        <v>313.0</v>
      </c>
      <c r="I6729" s="24">
        <v>8501.0</v>
      </c>
      <c r="J6729" s="24">
        <v>0.0</v>
      </c>
      <c r="K6729" s="23" t="s">
        <v>34</v>
      </c>
      <c r="L6729" s="25">
        <v>42436.301770833335</v>
      </c>
      <c r="M6729" s="26" t="s">
        <v>15084</v>
      </c>
      <c r="N6729" s="26" t="s">
        <v>15085</v>
      </c>
      <c r="O6729" s="22" t="str">
        <f>HYPERLINK("https://pbs.twimg.com/profile_images/899788147923365890/WZkhGXn8_normal.jpg","View")</f>
        <v>View</v>
      </c>
      <c r="P6729" s="27"/>
    </row>
    <row r="6730">
      <c r="A6730" s="14">
        <v>43031.46037037037</v>
      </c>
      <c r="B6730" s="20" t="str">
        <f>HYPERLINK("https://twitter.com/coraline_farias","@coraline_farias")</f>
        <v>@coraline_farias</v>
      </c>
      <c r="C6730" s="21" t="s">
        <v>15086</v>
      </c>
      <c r="D6730" s="21" t="s">
        <v>15087</v>
      </c>
      <c r="E6730" s="22" t="str">
        <f>HYPERLINK("https://twitter.com/coraline_farias/status/922523750817558528","922523750817558528")</f>
        <v>922523750817558528</v>
      </c>
      <c r="F6730" s="23" t="s">
        <v>2255</v>
      </c>
      <c r="G6730" s="24">
        <v>346.0</v>
      </c>
      <c r="H6730" s="24">
        <v>2350.0</v>
      </c>
      <c r="I6730" s="24">
        <v>0.0</v>
      </c>
      <c r="J6730" s="24">
        <v>0.0</v>
      </c>
      <c r="K6730" s="23" t="s">
        <v>34</v>
      </c>
      <c r="L6730" s="25">
        <v>42836.46170138889</v>
      </c>
      <c r="M6730" s="26" t="s">
        <v>1983</v>
      </c>
      <c r="N6730" s="28"/>
      <c r="O6730" s="22" t="str">
        <f>HYPERLINK("https://pbs.twimg.com/profile_images/851869654544818176/oJO0wJUx_normal.jpg","View")</f>
        <v>View</v>
      </c>
      <c r="P6730" s="27"/>
    </row>
    <row r="6731">
      <c r="A6731" s="14">
        <v>43031.46070601852</v>
      </c>
      <c r="B6731" s="20" t="str">
        <f>HYPERLINK("https://twitter.com/Chi312Chi","@Chi312Chi")</f>
        <v>@Chi312Chi</v>
      </c>
      <c r="C6731" s="21" t="s">
        <v>478</v>
      </c>
      <c r="D6731" s="21" t="s">
        <v>14855</v>
      </c>
      <c r="E6731" s="22" t="str">
        <f>HYPERLINK("https://twitter.com/Chi312Chi/status/922523871089225729","922523871089225729")</f>
        <v>922523871089225729</v>
      </c>
      <c r="F6731" s="23" t="s">
        <v>3031</v>
      </c>
      <c r="G6731" s="24">
        <v>541.0</v>
      </c>
      <c r="H6731" s="24">
        <v>2430.0</v>
      </c>
      <c r="I6731" s="24">
        <v>36.0</v>
      </c>
      <c r="J6731" s="24">
        <v>0.0</v>
      </c>
      <c r="K6731" s="23" t="s">
        <v>34</v>
      </c>
      <c r="L6731" s="25">
        <v>41645.81662037037</v>
      </c>
      <c r="M6731" s="28"/>
      <c r="N6731" s="28"/>
      <c r="O6731" s="22" t="str">
        <f>HYPERLINK("https://pbs.twimg.com/profile_images/918940173085413376/0qeHPlF8_normal.jpg","View")</f>
        <v>View</v>
      </c>
      <c r="P6731" s="27"/>
    </row>
    <row r="6732">
      <c r="A6732" s="14">
        <v>43031.460763888885</v>
      </c>
      <c r="B6732" s="20" t="str">
        <f>HYPERLINK("https://twitter.com/sacchida222","@sacchida222")</f>
        <v>@sacchida222</v>
      </c>
      <c r="C6732" s="21" t="s">
        <v>15088</v>
      </c>
      <c r="D6732" s="21" t="s">
        <v>14748</v>
      </c>
      <c r="E6732" s="22" t="str">
        <f>HYPERLINK("https://twitter.com/sacchida222/status/922523895097212930","922523895097212930")</f>
        <v>922523895097212930</v>
      </c>
      <c r="F6732" s="23" t="s">
        <v>43</v>
      </c>
      <c r="G6732" s="24">
        <v>3.0</v>
      </c>
      <c r="H6732" s="24">
        <v>107.0</v>
      </c>
      <c r="I6732" s="24">
        <v>46.0</v>
      </c>
      <c r="J6732" s="24">
        <v>0.0</v>
      </c>
      <c r="K6732" s="23" t="s">
        <v>34</v>
      </c>
      <c r="L6732" s="25">
        <v>42678.319513888884</v>
      </c>
      <c r="M6732" s="26" t="s">
        <v>531</v>
      </c>
      <c r="N6732" s="28"/>
      <c r="O6732" s="22" t="str">
        <f>HYPERLINK("https://pbs.twimg.com/profile_images/871779146212544513/yJF8SG_-_normal.jpg","View")</f>
        <v>View</v>
      </c>
      <c r="P6732" s="27"/>
    </row>
    <row r="6733">
      <c r="A6733" s="14">
        <v>43031.46087962963</v>
      </c>
      <c r="B6733" s="20" t="str">
        <f>HYPERLINK("https://twitter.com/gunjini3","@gunjini3")</f>
        <v>@gunjini3</v>
      </c>
      <c r="C6733" s="21" t="s">
        <v>15089</v>
      </c>
      <c r="D6733" s="21" t="s">
        <v>42</v>
      </c>
      <c r="E6733" s="22" t="str">
        <f>HYPERLINK("https://twitter.com/gunjini3/status/922523935232507904","922523935232507904")</f>
        <v>922523935232507904</v>
      </c>
      <c r="F6733" s="23" t="s">
        <v>33</v>
      </c>
      <c r="G6733" s="24">
        <v>20.0</v>
      </c>
      <c r="H6733" s="24">
        <v>163.0</v>
      </c>
      <c r="I6733" s="24">
        <v>8501.0</v>
      </c>
      <c r="J6733" s="24">
        <v>0.0</v>
      </c>
      <c r="K6733" s="23" t="s">
        <v>34</v>
      </c>
      <c r="L6733" s="25">
        <v>42463.40944444445</v>
      </c>
      <c r="M6733" s="26" t="s">
        <v>15090</v>
      </c>
      <c r="N6733" s="26" t="s">
        <v>15091</v>
      </c>
      <c r="O6733" s="22" t="str">
        <f>HYPERLINK("https://pbs.twimg.com/profile_images/826699162838192128/6eMHhex6_normal.jpg","View")</f>
        <v>View</v>
      </c>
      <c r="P6733" s="27"/>
    </row>
    <row r="6734">
      <c r="A6734" s="14">
        <v>43031.46099537037</v>
      </c>
      <c r="B6734" s="20" t="str">
        <f>HYPERLINK("https://twitter.com/GibsonPierceUK","@GibsonPierceUK")</f>
        <v>@GibsonPierceUK</v>
      </c>
      <c r="C6734" s="21" t="s">
        <v>15092</v>
      </c>
      <c r="D6734" s="21" t="s">
        <v>12974</v>
      </c>
      <c r="E6734" s="22" t="str">
        <f>HYPERLINK("https://twitter.com/GibsonPierceUK/status/922523978127855616","922523978127855616")</f>
        <v>922523978127855616</v>
      </c>
      <c r="F6734" s="23" t="s">
        <v>39</v>
      </c>
      <c r="G6734" s="24">
        <v>564.0</v>
      </c>
      <c r="H6734" s="24">
        <v>930.0</v>
      </c>
      <c r="I6734" s="24">
        <v>110.0</v>
      </c>
      <c r="J6734" s="24">
        <v>0.0</v>
      </c>
      <c r="K6734" s="23" t="s">
        <v>34</v>
      </c>
      <c r="L6734" s="25">
        <v>42882.55017361111</v>
      </c>
      <c r="M6734" s="26" t="s">
        <v>7794</v>
      </c>
      <c r="N6734" s="26" t="s">
        <v>15093</v>
      </c>
      <c r="O6734" s="22" t="str">
        <f>HYPERLINK("https://pbs.twimg.com/profile_images/873207031578202112/IvJ-qh1w_normal.jpg","View")</f>
        <v>View</v>
      </c>
      <c r="P6734" s="27"/>
    </row>
    <row r="6735">
      <c r="A6735" s="14">
        <v>43031.46103009259</v>
      </c>
      <c r="B6735" s="20" t="str">
        <f>HYPERLINK("https://twitter.com/FallySomboNkhwa","@FallySomboNkhwa")</f>
        <v>@FallySomboNkhwa</v>
      </c>
      <c r="C6735" s="21" t="s">
        <v>4279</v>
      </c>
      <c r="D6735" s="21" t="s">
        <v>15094</v>
      </c>
      <c r="E6735" s="22" t="str">
        <f>HYPERLINK("https://twitter.com/FallySomboNkhwa/status/922523987904737280","922523987904737280")</f>
        <v>922523987904737280</v>
      </c>
      <c r="F6735" s="23" t="s">
        <v>187</v>
      </c>
      <c r="G6735" s="24">
        <v>406.0</v>
      </c>
      <c r="H6735" s="24">
        <v>2189.0</v>
      </c>
      <c r="I6735" s="24">
        <v>0.0</v>
      </c>
      <c r="J6735" s="24">
        <v>0.0</v>
      </c>
      <c r="K6735" s="23" t="s">
        <v>34</v>
      </c>
      <c r="L6735" s="25">
        <v>41551.82041666667</v>
      </c>
      <c r="M6735" s="26" t="s">
        <v>4281</v>
      </c>
      <c r="N6735" s="26" t="s">
        <v>4282</v>
      </c>
      <c r="O6735" s="22" t="str">
        <f>HYPERLINK("https://pbs.twimg.com/profile_images/543761133505503235/pKcg8bc2_normal.jpeg","View")</f>
        <v>View</v>
      </c>
      <c r="P6735" s="27"/>
    </row>
    <row r="6736">
      <c r="A6736" s="14">
        <v>43031.46104166667</v>
      </c>
      <c r="B6736" s="20" t="str">
        <f>HYPERLINK("https://twitter.com/LongBeachNSW","@LongBeachNSW")</f>
        <v>@LongBeachNSW</v>
      </c>
      <c r="C6736" s="21" t="s">
        <v>15095</v>
      </c>
      <c r="D6736" s="21" t="s">
        <v>15096</v>
      </c>
      <c r="E6736" s="22" t="str">
        <f>HYPERLINK("https://twitter.com/LongBeachNSW/status/922523994024304640","922523994024304640")</f>
        <v>922523994024304640</v>
      </c>
      <c r="F6736" s="23" t="s">
        <v>187</v>
      </c>
      <c r="G6736" s="24">
        <v>765.0</v>
      </c>
      <c r="H6736" s="24">
        <v>1595.0</v>
      </c>
      <c r="I6736" s="24">
        <v>0.0</v>
      </c>
      <c r="J6736" s="24">
        <v>0.0</v>
      </c>
      <c r="K6736" s="23" t="s">
        <v>34</v>
      </c>
      <c r="L6736" s="25">
        <v>41269.1096875</v>
      </c>
      <c r="M6736" s="26" t="s">
        <v>15097</v>
      </c>
      <c r="N6736" s="26" t="s">
        <v>15098</v>
      </c>
      <c r="O6736" s="22" t="str">
        <f>HYPERLINK("https://pbs.twimg.com/profile_images/3023228642/ac1e9860c5ac6e114c890afb0650107d_normal.jpeg","View")</f>
        <v>View</v>
      </c>
      <c r="P6736" s="27"/>
    </row>
    <row r="6737">
      <c r="A6737" s="14">
        <v>43031.46107638889</v>
      </c>
      <c r="B6737" s="20" t="str">
        <f>HYPERLINK("https://twitter.com/MPRAJ3","@MPRAJ3")</f>
        <v>@MPRAJ3</v>
      </c>
      <c r="C6737" s="21" t="s">
        <v>15099</v>
      </c>
      <c r="D6737" s="21" t="s">
        <v>15100</v>
      </c>
      <c r="E6737" s="22" t="str">
        <f>HYPERLINK("https://twitter.com/MPRAJ3/status/922524006074302466","922524006074302466")</f>
        <v>922524006074302466</v>
      </c>
      <c r="F6737" s="23" t="s">
        <v>33</v>
      </c>
      <c r="G6737" s="24">
        <v>326.0</v>
      </c>
      <c r="H6737" s="24">
        <v>508.0</v>
      </c>
      <c r="I6737" s="24">
        <v>38.0</v>
      </c>
      <c r="J6737" s="24">
        <v>0.0</v>
      </c>
      <c r="K6737" s="23" t="s">
        <v>34</v>
      </c>
      <c r="L6737" s="25">
        <v>41706.99989583333</v>
      </c>
      <c r="M6737" s="26" t="s">
        <v>3042</v>
      </c>
      <c r="N6737" s="26" t="s">
        <v>15101</v>
      </c>
      <c r="O6737" s="22" t="str">
        <f>HYPERLINK("https://pbs.twimg.com/profile_images/809004100188827648/--WyY92i_normal.jpg","View")</f>
        <v>View</v>
      </c>
      <c r="P6737" s="27"/>
    </row>
    <row r="6738">
      <c r="A6738" s="14">
        <v>43031.46108796296</v>
      </c>
      <c r="B6738" s="20" t="str">
        <f>HYPERLINK("https://twitter.com/ify_ok72","@ify_ok72")</f>
        <v>@ify_ok72</v>
      </c>
      <c r="C6738" s="21" t="s">
        <v>15102</v>
      </c>
      <c r="D6738" s="21" t="s">
        <v>14748</v>
      </c>
      <c r="E6738" s="22" t="str">
        <f>HYPERLINK("https://twitter.com/ify_ok72/status/922524012869234688","922524012869234688")</f>
        <v>922524012869234688</v>
      </c>
      <c r="F6738" s="23" t="s">
        <v>33</v>
      </c>
      <c r="G6738" s="24">
        <v>61.0</v>
      </c>
      <c r="H6738" s="24">
        <v>177.0</v>
      </c>
      <c r="I6738" s="24">
        <v>46.0</v>
      </c>
      <c r="J6738" s="24">
        <v>0.0</v>
      </c>
      <c r="K6738" s="23" t="s">
        <v>34</v>
      </c>
      <c r="L6738" s="25">
        <v>42993.176030092596</v>
      </c>
      <c r="M6738" s="26" t="s">
        <v>3331</v>
      </c>
      <c r="N6738" s="26" t="s">
        <v>15103</v>
      </c>
      <c r="O6738" s="22" t="str">
        <f>HYPERLINK("https://pbs.twimg.com/profile_images/917790351963951104/9FVrPZos_normal.jpg","View")</f>
        <v>View</v>
      </c>
      <c r="P6738" s="27"/>
    </row>
    <row r="6739">
      <c r="A6739" s="14">
        <v>43031.461111111115</v>
      </c>
      <c r="B6739" s="20" t="str">
        <f>HYPERLINK("https://twitter.com/Golstream","@Golstream")</f>
        <v>@Golstream</v>
      </c>
      <c r="C6739" s="21" t="s">
        <v>15104</v>
      </c>
      <c r="D6739" s="21" t="s">
        <v>15105</v>
      </c>
      <c r="E6739" s="22" t="str">
        <f>HYPERLINK("https://twitter.com/Golstream/status/922524018913267713","922524018913267713")</f>
        <v>922524018913267713</v>
      </c>
      <c r="F6739" s="23" t="s">
        <v>187</v>
      </c>
      <c r="G6739" s="24">
        <v>166.0</v>
      </c>
      <c r="H6739" s="24">
        <v>39.0</v>
      </c>
      <c r="I6739" s="24">
        <v>0.0</v>
      </c>
      <c r="J6739" s="24">
        <v>0.0</v>
      </c>
      <c r="K6739" s="23" t="s">
        <v>34</v>
      </c>
      <c r="L6739" s="25">
        <v>41206.5884375</v>
      </c>
      <c r="M6739" s="26" t="s">
        <v>204</v>
      </c>
      <c r="N6739" s="26" t="s">
        <v>15106</v>
      </c>
      <c r="O6739" s="22" t="str">
        <f>HYPERLINK("https://pbs.twimg.com/profile_images/890646874465619968/L3Sl3aGV_normal.jpg","View")</f>
        <v>View</v>
      </c>
      <c r="P6739" s="27"/>
    </row>
    <row r="6740">
      <c r="A6740" s="14">
        <v>43031.46134259259</v>
      </c>
      <c r="B6740" s="20" t="str">
        <f>HYPERLINK("https://twitter.com/vibhavpmehta","@vibhavpmehta")</f>
        <v>@vibhavpmehta</v>
      </c>
      <c r="C6740" s="21" t="s">
        <v>15107</v>
      </c>
      <c r="D6740" s="21" t="s">
        <v>42</v>
      </c>
      <c r="E6740" s="22" t="str">
        <f>HYPERLINK("https://twitter.com/vibhavpmehta/status/922524103764070400","922524103764070400")</f>
        <v>922524103764070400</v>
      </c>
      <c r="F6740" s="23" t="s">
        <v>33</v>
      </c>
      <c r="G6740" s="24">
        <v>3.0</v>
      </c>
      <c r="H6740" s="24">
        <v>12.0</v>
      </c>
      <c r="I6740" s="24">
        <v>8501.0</v>
      </c>
      <c r="J6740" s="24">
        <v>0.0</v>
      </c>
      <c r="K6740" s="23" t="s">
        <v>34</v>
      </c>
      <c r="L6740" s="25">
        <v>41682.33082175926</v>
      </c>
      <c r="M6740" s="28"/>
      <c r="N6740" s="28"/>
      <c r="O6740" s="22" t="str">
        <f>HYPERLINK("https://abs.twimg.com/sticky/default_profile_images/default_profile_normal.png","View")</f>
        <v>View</v>
      </c>
      <c r="P6740" s="27"/>
    </row>
    <row r="6741">
      <c r="A6741" s="14">
        <v>43031.461377314816</v>
      </c>
      <c r="B6741" s="20" t="str">
        <f>HYPERLINK("https://twitter.com/Prakash75421421","@Prakash75421421")</f>
        <v>@Prakash75421421</v>
      </c>
      <c r="C6741" s="21" t="s">
        <v>15108</v>
      </c>
      <c r="D6741" s="21" t="s">
        <v>42</v>
      </c>
      <c r="E6741" s="22" t="str">
        <f>HYPERLINK("https://twitter.com/Prakash75421421/status/922524114082058240","922524114082058240")</f>
        <v>922524114082058240</v>
      </c>
      <c r="F6741" s="23" t="s">
        <v>33</v>
      </c>
      <c r="G6741" s="24">
        <v>42.0</v>
      </c>
      <c r="H6741" s="24">
        <v>167.0</v>
      </c>
      <c r="I6741" s="24">
        <v>8501.0</v>
      </c>
      <c r="J6741" s="24">
        <v>0.0</v>
      </c>
      <c r="K6741" s="23" t="s">
        <v>34</v>
      </c>
      <c r="L6741" s="25">
        <v>42518.433171296296</v>
      </c>
      <c r="M6741" s="26" t="s">
        <v>2823</v>
      </c>
      <c r="N6741" s="26" t="s">
        <v>15109</v>
      </c>
      <c r="O6741" s="22" t="str">
        <f>HYPERLINK("https://pbs.twimg.com/profile_images/919255234593153024/vPhZIUdE_normal.jpg","View")</f>
        <v>View</v>
      </c>
      <c r="P6741" s="27"/>
    </row>
    <row r="6742">
      <c r="A6742" s="14">
        <v>43031.461435185185</v>
      </c>
      <c r="B6742" s="20" t="str">
        <f>HYPERLINK("https://twitter.com/canadian_stix","@canadian_stix")</f>
        <v>@canadian_stix</v>
      </c>
      <c r="C6742" s="21" t="s">
        <v>15110</v>
      </c>
      <c r="D6742" s="21" t="s">
        <v>9013</v>
      </c>
      <c r="E6742" s="22" t="str">
        <f>HYPERLINK("https://twitter.com/canadian_stix/status/922524136961990657","922524136961990657")</f>
        <v>922524136961990657</v>
      </c>
      <c r="F6742" s="23" t="s">
        <v>39</v>
      </c>
      <c r="G6742" s="24">
        <v>332.0</v>
      </c>
      <c r="H6742" s="24">
        <v>1001.0</v>
      </c>
      <c r="I6742" s="24">
        <v>31.0</v>
      </c>
      <c r="J6742" s="24">
        <v>0.0</v>
      </c>
      <c r="K6742" s="23" t="s">
        <v>34</v>
      </c>
      <c r="L6742" s="25">
        <v>39740.862592592595</v>
      </c>
      <c r="M6742" s="26" t="s">
        <v>920</v>
      </c>
      <c r="N6742" s="26" t="s">
        <v>15111</v>
      </c>
      <c r="O6742" s="22" t="str">
        <f>HYPERLINK("https://pbs.twimg.com/profile_images/1495755189/head_shot_normal.jpg","View")</f>
        <v>View</v>
      </c>
      <c r="P6742" s="27"/>
    </row>
    <row r="6743">
      <c r="A6743" s="14">
        <v>43031.46144675926</v>
      </c>
      <c r="B6743" s="20" t="str">
        <f>HYPERLINK("https://twitter.com/BragliaAlle","@BragliaAlle")</f>
        <v>@BragliaAlle</v>
      </c>
      <c r="C6743" s="21" t="s">
        <v>15112</v>
      </c>
      <c r="D6743" s="21" t="s">
        <v>1109</v>
      </c>
      <c r="E6743" s="22" t="str">
        <f>HYPERLINK("https://twitter.com/BragliaAlle/status/922524141827297280","922524141827297280")</f>
        <v>922524141827297280</v>
      </c>
      <c r="F6743" s="23" t="s">
        <v>39</v>
      </c>
      <c r="G6743" s="24">
        <v>2462.0</v>
      </c>
      <c r="H6743" s="24">
        <v>1994.0</v>
      </c>
      <c r="I6743" s="24">
        <v>71.0</v>
      </c>
      <c r="J6743" s="24">
        <v>0.0</v>
      </c>
      <c r="K6743" s="23" t="s">
        <v>34</v>
      </c>
      <c r="L6743" s="25">
        <v>41269.20980324074</v>
      </c>
      <c r="M6743" s="28"/>
      <c r="N6743" s="26" t="s">
        <v>15113</v>
      </c>
      <c r="O6743" s="22" t="str">
        <f>HYPERLINK("https://pbs.twimg.com/profile_images/715968747970961409/4aE67e3R_normal.jpg","View")</f>
        <v>View</v>
      </c>
      <c r="P6743" s="27"/>
    </row>
    <row r="6744">
      <c r="A6744" s="14">
        <v>43031.46150462963</v>
      </c>
      <c r="B6744" s="20" t="str">
        <f>HYPERLINK("https://twitter.com/olympicgames_en","@olympicgames_en")</f>
        <v>@olympicgames_en</v>
      </c>
      <c r="C6744" s="21" t="s">
        <v>15114</v>
      </c>
      <c r="D6744" s="21" t="s">
        <v>15115</v>
      </c>
      <c r="E6744" s="22" t="str">
        <f>HYPERLINK("https://twitter.com/olympicgames_en/status/922524162589118468","922524162589118468")</f>
        <v>922524162589118468</v>
      </c>
      <c r="F6744" s="23" t="s">
        <v>187</v>
      </c>
      <c r="G6744" s="24">
        <v>753.0</v>
      </c>
      <c r="H6744" s="24">
        <v>6.0</v>
      </c>
      <c r="I6744" s="24">
        <v>0.0</v>
      </c>
      <c r="J6744" s="24">
        <v>0.0</v>
      </c>
      <c r="K6744" s="23" t="s">
        <v>34</v>
      </c>
      <c r="L6744" s="25">
        <v>41715.34212962963</v>
      </c>
      <c r="M6744" s="28"/>
      <c r="N6744" s="26" t="s">
        <v>15116</v>
      </c>
      <c r="O6744" s="22" t="str">
        <f>HYPERLINK("https://pbs.twimg.com/profile_images/774858717544140801/VIVILjiT_normal.jpg","View")</f>
        <v>View</v>
      </c>
      <c r="P6744" s="27"/>
    </row>
    <row r="6745">
      <c r="A6745" s="14">
        <v>43031.4615625</v>
      </c>
      <c r="B6745" s="20" t="str">
        <f>HYPERLINK("https://twitter.com/JihadVanquisher","@JihadVanquisher")</f>
        <v>@JihadVanquisher</v>
      </c>
      <c r="C6745" s="21" t="s">
        <v>15117</v>
      </c>
      <c r="D6745" s="21" t="s">
        <v>15118</v>
      </c>
      <c r="E6745" s="22" t="str">
        <f>HYPERLINK("https://twitter.com/JihadVanquisher/status/922524182851633154","922524182851633154")</f>
        <v>922524182851633154</v>
      </c>
      <c r="F6745" s="23" t="s">
        <v>43</v>
      </c>
      <c r="G6745" s="24">
        <v>46.0</v>
      </c>
      <c r="H6745" s="24">
        <v>120.0</v>
      </c>
      <c r="I6745" s="24">
        <v>3.0</v>
      </c>
      <c r="J6745" s="24">
        <v>0.0</v>
      </c>
      <c r="K6745" s="23" t="s">
        <v>34</v>
      </c>
      <c r="L6745" s="25">
        <v>42895.157326388886</v>
      </c>
      <c r="M6745" s="28"/>
      <c r="N6745" s="28"/>
      <c r="O6745" s="22" t="str">
        <f>HYPERLINK("https://pbs.twimg.com/profile_images/873132297247088641/6ghWB-hO_normal.jpg","View")</f>
        <v>View</v>
      </c>
      <c r="P6745" s="27"/>
    </row>
    <row r="6746">
      <c r="A6746" s="14">
        <v>43031.46172453703</v>
      </c>
      <c r="B6746" s="20" t="str">
        <f>HYPERLINK("https://twitter.com/CaseyBillX","@CaseyBillX")</f>
        <v>@CaseyBillX</v>
      </c>
      <c r="C6746" s="21" t="s">
        <v>3108</v>
      </c>
      <c r="D6746" s="21" t="s">
        <v>14855</v>
      </c>
      <c r="E6746" s="22" t="str">
        <f>HYPERLINK("https://twitter.com/CaseyBillX/status/922524242226196480","922524242226196480")</f>
        <v>922524242226196480</v>
      </c>
      <c r="F6746" s="23" t="s">
        <v>3109</v>
      </c>
      <c r="G6746" s="24">
        <v>2332.0</v>
      </c>
      <c r="H6746" s="24">
        <v>5001.0</v>
      </c>
      <c r="I6746" s="24">
        <v>36.0</v>
      </c>
      <c r="J6746" s="24">
        <v>0.0</v>
      </c>
      <c r="K6746" s="23" t="s">
        <v>34</v>
      </c>
      <c r="L6746" s="25">
        <v>42997.15302083333</v>
      </c>
      <c r="M6746" s="28"/>
      <c r="N6746" s="28"/>
      <c r="O6746" s="22" t="str">
        <f>HYPERLINK("https://pbs.twimg.com/profile_images/910103474003525633/_kzNa9NX_normal.jpg","View")</f>
        <v>View</v>
      </c>
      <c r="P6746" s="27"/>
    </row>
    <row r="6747">
      <c r="A6747" s="14">
        <v>43031.46177083333</v>
      </c>
      <c r="B6747" s="20" t="str">
        <f>HYPERLINK("https://twitter.com/TokyoHappenings","@TokyoHappenings")</f>
        <v>@TokyoHappenings</v>
      </c>
      <c r="C6747" s="21" t="s">
        <v>7726</v>
      </c>
      <c r="D6747" s="21" t="s">
        <v>15119</v>
      </c>
      <c r="E6747" s="22" t="str">
        <f>HYPERLINK("https://twitter.com/TokyoHappenings/status/922524259817226241","922524259817226241")</f>
        <v>922524259817226241</v>
      </c>
      <c r="F6747" s="30" t="s">
        <v>7728</v>
      </c>
      <c r="G6747" s="24">
        <v>408.0</v>
      </c>
      <c r="H6747" s="24">
        <v>427.0</v>
      </c>
      <c r="I6747" s="24">
        <v>0.0</v>
      </c>
      <c r="J6747" s="24">
        <v>0.0</v>
      </c>
      <c r="K6747" s="23" t="s">
        <v>34</v>
      </c>
      <c r="L6747" s="25">
        <v>41270.61766203704</v>
      </c>
      <c r="M6747" s="28"/>
      <c r="N6747" s="26" t="s">
        <v>7729</v>
      </c>
      <c r="O6747" s="22" t="str">
        <f>HYPERLINK("https://pbs.twimg.com/profile_images/3030253852/fd4ab8443b77d643f9593a58172fc622_normal.png","View")</f>
        <v>View</v>
      </c>
      <c r="P6747" s="27"/>
    </row>
    <row r="6748">
      <c r="A6748" s="14">
        <v>43031.46184027778</v>
      </c>
      <c r="B6748" s="20" t="str">
        <f>HYPERLINK("https://twitter.com/manish9386r","@manish9386r")</f>
        <v>@manish9386r</v>
      </c>
      <c r="C6748" s="21" t="s">
        <v>15120</v>
      </c>
      <c r="D6748" s="21" t="s">
        <v>42</v>
      </c>
      <c r="E6748" s="22" t="str">
        <f>HYPERLINK("https://twitter.com/manish9386r/status/922524283007467520","922524283007467520")</f>
        <v>922524283007467520</v>
      </c>
      <c r="F6748" s="23" t="s">
        <v>33</v>
      </c>
      <c r="G6748" s="24">
        <v>73.0</v>
      </c>
      <c r="H6748" s="24">
        <v>779.0</v>
      </c>
      <c r="I6748" s="24">
        <v>8501.0</v>
      </c>
      <c r="J6748" s="24">
        <v>0.0</v>
      </c>
      <c r="K6748" s="23" t="s">
        <v>34</v>
      </c>
      <c r="L6748" s="25">
        <v>41072.80410879629</v>
      </c>
      <c r="M6748" s="28"/>
      <c r="N6748" s="28"/>
      <c r="O6748" s="22" t="str">
        <f>HYPERLINK("https://pbs.twimg.com/profile_images/905370719411888128/v314iJ1C_normal.jpg","View")</f>
        <v>View</v>
      </c>
      <c r="P6748" s="27"/>
    </row>
    <row r="6749">
      <c r="A6749" s="14">
        <v>43031.461863425924</v>
      </c>
      <c r="B6749" s="20" t="str">
        <f>HYPERLINK("https://twitter.com/FrankCurzio","@FrankCurzio")</f>
        <v>@FrankCurzio</v>
      </c>
      <c r="C6749" s="21" t="s">
        <v>15121</v>
      </c>
      <c r="D6749" s="21" t="s">
        <v>9874</v>
      </c>
      <c r="E6749" s="22" t="str">
        <f>HYPERLINK("https://twitter.com/FrankCurzio/status/922524293178777600","922524293178777600")</f>
        <v>922524293178777600</v>
      </c>
      <c r="F6749" s="23" t="s">
        <v>55</v>
      </c>
      <c r="G6749" s="24">
        <v>5128.0</v>
      </c>
      <c r="H6749" s="24">
        <v>514.0</v>
      </c>
      <c r="I6749" s="24">
        <v>20.0</v>
      </c>
      <c r="J6749" s="24">
        <v>0.0</v>
      </c>
      <c r="K6749" s="23" t="s">
        <v>34</v>
      </c>
      <c r="L6749" s="25">
        <v>39973.64707175926</v>
      </c>
      <c r="M6749" s="26" t="s">
        <v>68</v>
      </c>
      <c r="N6749" s="26" t="s">
        <v>15122</v>
      </c>
      <c r="O6749" s="22" t="str">
        <f>HYPERLINK("https://pbs.twimg.com/profile_images/540330527798984704/94DNjuXI_normal.jpeg","View")</f>
        <v>View</v>
      </c>
      <c r="P6749" s="27"/>
    </row>
    <row r="6750">
      <c r="A6750" s="14">
        <v>43031.46193287037</v>
      </c>
      <c r="B6750" s="20" t="str">
        <f>HYPERLINK("https://twitter.com/Watersun555","@Watersun555")</f>
        <v>@Watersun555</v>
      </c>
      <c r="C6750" s="21" t="s">
        <v>7888</v>
      </c>
      <c r="D6750" s="21" t="s">
        <v>15123</v>
      </c>
      <c r="E6750" s="22" t="str">
        <f>HYPERLINK("https://twitter.com/Watersun555/status/922524315014320128","922524315014320128")</f>
        <v>922524315014320128</v>
      </c>
      <c r="F6750" s="23" t="s">
        <v>39</v>
      </c>
      <c r="G6750" s="24">
        <v>814.0</v>
      </c>
      <c r="H6750" s="24">
        <v>1450.0</v>
      </c>
      <c r="I6750" s="24">
        <v>0.0</v>
      </c>
      <c r="J6750" s="24">
        <v>0.0</v>
      </c>
      <c r="K6750" s="23" t="s">
        <v>34</v>
      </c>
      <c r="L6750" s="25">
        <v>40779.44306712963</v>
      </c>
      <c r="M6750" s="26" t="s">
        <v>7890</v>
      </c>
      <c r="N6750" s="26" t="s">
        <v>7891</v>
      </c>
      <c r="O6750" s="22" t="str">
        <f>HYPERLINK("https://pbs.twimg.com/profile_images/711310605722976256/Vk8UZdRe_normal.jpg","View")</f>
        <v>View</v>
      </c>
      <c r="P6750" s="27"/>
    </row>
    <row r="6751">
      <c r="A6751" s="14">
        <v>43031.46193287037</v>
      </c>
      <c r="B6751" s="20" t="str">
        <f>HYPERLINK("https://twitter.com/vijayaganesh_s","@vijayaganesh_s")</f>
        <v>@vijayaganesh_s</v>
      </c>
      <c r="C6751" s="21" t="s">
        <v>15124</v>
      </c>
      <c r="D6751" s="21" t="s">
        <v>42</v>
      </c>
      <c r="E6751" s="22" t="str">
        <f>HYPERLINK("https://twitter.com/vijayaganesh_s/status/922524318306668544","922524318306668544")</f>
        <v>922524318306668544</v>
      </c>
      <c r="F6751" s="23" t="s">
        <v>43</v>
      </c>
      <c r="G6751" s="24">
        <v>167.0</v>
      </c>
      <c r="H6751" s="24">
        <v>147.0</v>
      </c>
      <c r="I6751" s="24">
        <v>8501.0</v>
      </c>
      <c r="J6751" s="24">
        <v>0.0</v>
      </c>
      <c r="K6751" s="23" t="s">
        <v>34</v>
      </c>
      <c r="L6751" s="25">
        <v>41372.44804398148</v>
      </c>
      <c r="M6751" s="26" t="s">
        <v>15125</v>
      </c>
      <c r="N6751" s="26" t="s">
        <v>15126</v>
      </c>
      <c r="O6751" s="22" t="str">
        <f>HYPERLINK("https://pbs.twimg.com/profile_images/706474311255601153/Cv2MUvvi_normal.jpg","View")</f>
        <v>View</v>
      </c>
      <c r="P6751" s="27"/>
    </row>
    <row r="6752">
      <c r="A6752" s="14">
        <v>43031.462175925924</v>
      </c>
      <c r="B6752" s="20" t="str">
        <f>HYPERLINK("https://twitter.com/AntonHilft","@AntonHilft")</f>
        <v>@AntonHilft</v>
      </c>
      <c r="C6752" s="21" t="s">
        <v>15127</v>
      </c>
      <c r="D6752" s="21" t="s">
        <v>15128</v>
      </c>
      <c r="E6752" s="22" t="str">
        <f>HYPERLINK("https://twitter.com/AntonHilft/status/922524406311735296","922524406311735296")</f>
        <v>922524406311735296</v>
      </c>
      <c r="F6752" s="30" t="s">
        <v>191</v>
      </c>
      <c r="G6752" s="24">
        <v>639.0</v>
      </c>
      <c r="H6752" s="24">
        <v>0.0</v>
      </c>
      <c r="I6752" s="24">
        <v>0.0</v>
      </c>
      <c r="J6752" s="24">
        <v>0.0</v>
      </c>
      <c r="K6752" s="23" t="s">
        <v>34</v>
      </c>
      <c r="L6752" s="25">
        <v>41685.6934837963</v>
      </c>
      <c r="M6752" s="28"/>
      <c r="N6752" s="35" t="s">
        <v>15129</v>
      </c>
      <c r="O6752" s="22" t="str">
        <f>HYPERLINK("https://pbs.twimg.com/profile_images/434850328018567168/MqX2iNBK_normal.jpeg","View")</f>
        <v>View</v>
      </c>
      <c r="P6752" s="27"/>
    </row>
    <row r="6753">
      <c r="A6753" s="14">
        <v>43031.46230324074</v>
      </c>
      <c r="B6753" s="20" t="str">
        <f>HYPERLINK("https://twitter.com/catdomino","@catdomino")</f>
        <v>@catdomino</v>
      </c>
      <c r="C6753" s="21" t="s">
        <v>15130</v>
      </c>
      <c r="D6753" s="21" t="s">
        <v>404</v>
      </c>
      <c r="E6753" s="22" t="str">
        <f>HYPERLINK("https://twitter.com/catdomino/status/922524451866140672","922524451866140672")</f>
        <v>922524451866140672</v>
      </c>
      <c r="F6753" s="23" t="s">
        <v>39</v>
      </c>
      <c r="G6753" s="24">
        <v>70.0</v>
      </c>
      <c r="H6753" s="24">
        <v>111.0</v>
      </c>
      <c r="I6753" s="24">
        <v>59.0</v>
      </c>
      <c r="J6753" s="24">
        <v>0.0</v>
      </c>
      <c r="K6753" s="23" t="s">
        <v>34</v>
      </c>
      <c r="L6753" s="25">
        <v>40624.59511574074</v>
      </c>
      <c r="M6753" s="26" t="s">
        <v>15131</v>
      </c>
      <c r="N6753" s="26" t="s">
        <v>15132</v>
      </c>
      <c r="O6753" s="22" t="str">
        <f>HYPERLINK("https://pbs.twimg.com/profile_images/550410282741563393/2bwrAWo6_normal.jpeg","View")</f>
        <v>View</v>
      </c>
      <c r="P6753" s="27"/>
    </row>
    <row r="6754">
      <c r="A6754" s="14">
        <v>43031.46251157408</v>
      </c>
      <c r="B6754" s="20" t="str">
        <f>HYPERLINK("https://twitter.com/ikevaldesai","@ikevaldesai")</f>
        <v>@ikevaldesai</v>
      </c>
      <c r="C6754" s="21" t="s">
        <v>15133</v>
      </c>
      <c r="D6754" s="21" t="s">
        <v>42</v>
      </c>
      <c r="E6754" s="22" t="str">
        <f>HYPERLINK("https://twitter.com/ikevaldesai/status/922524525203308544","922524525203308544")</f>
        <v>922524525203308544</v>
      </c>
      <c r="F6754" s="23" t="s">
        <v>33</v>
      </c>
      <c r="G6754" s="24">
        <v>166.0</v>
      </c>
      <c r="H6754" s="24">
        <v>129.0</v>
      </c>
      <c r="I6754" s="24">
        <v>8501.0</v>
      </c>
      <c r="J6754" s="24">
        <v>0.0</v>
      </c>
      <c r="K6754" s="23" t="s">
        <v>34</v>
      </c>
      <c r="L6754" s="25">
        <v>42821.259097222224</v>
      </c>
      <c r="M6754" s="26" t="s">
        <v>15134</v>
      </c>
      <c r="N6754" s="26" t="s">
        <v>15135</v>
      </c>
      <c r="O6754" s="22" t="str">
        <f>HYPERLINK("https://pbs.twimg.com/profile_images/918448198963757056/M47BJ4S3_normal.jpg","View")</f>
        <v>View</v>
      </c>
      <c r="P6754" s="27"/>
    </row>
    <row r="6755">
      <c r="A6755" s="14">
        <v>43031.4627199074</v>
      </c>
      <c r="B6755" s="20" t="str">
        <f>HYPERLINK("https://twitter.com/umashankardwive","@umashankardwive")</f>
        <v>@umashankardwive</v>
      </c>
      <c r="C6755" s="21" t="s">
        <v>15136</v>
      </c>
      <c r="D6755" s="21" t="s">
        <v>15137</v>
      </c>
      <c r="E6755" s="22" t="str">
        <f>HYPERLINK("https://twitter.com/umashankardwive/status/922524602386997248","922524602386997248")</f>
        <v>922524602386997248</v>
      </c>
      <c r="F6755" s="23" t="s">
        <v>33</v>
      </c>
      <c r="G6755" s="24">
        <v>4.0</v>
      </c>
      <c r="H6755" s="24">
        <v>74.0</v>
      </c>
      <c r="I6755" s="24">
        <v>0.0</v>
      </c>
      <c r="J6755" s="24">
        <v>0.0</v>
      </c>
      <c r="K6755" s="23" t="s">
        <v>34</v>
      </c>
      <c r="L6755" s="25">
        <v>41477.08994212963</v>
      </c>
      <c r="M6755" s="26" t="s">
        <v>15138</v>
      </c>
      <c r="N6755" s="26" t="s">
        <v>15139</v>
      </c>
      <c r="O6755" s="22" t="str">
        <f>HYPERLINK("https://pbs.twimg.com/profile_images/909450333272735744/P9H9aTzm_normal.jpg","View")</f>
        <v>View</v>
      </c>
      <c r="P6755" s="27"/>
    </row>
    <row r="6756">
      <c r="A6756" s="14">
        <v>43031.46283564815</v>
      </c>
      <c r="B6756" s="20" t="str">
        <f>HYPERLINK("https://twitter.com/shyamdhanotiya","@shyamdhanotiya")</f>
        <v>@shyamdhanotiya</v>
      </c>
      <c r="C6756" s="21" t="s">
        <v>15140</v>
      </c>
      <c r="D6756" s="21" t="s">
        <v>42</v>
      </c>
      <c r="E6756" s="22" t="str">
        <f>HYPERLINK("https://twitter.com/shyamdhanotiya/status/922524642060808193","922524642060808193")</f>
        <v>922524642060808193</v>
      </c>
      <c r="F6756" s="23" t="s">
        <v>33</v>
      </c>
      <c r="G6756" s="24">
        <v>90.0</v>
      </c>
      <c r="H6756" s="24">
        <v>475.0</v>
      </c>
      <c r="I6756" s="24">
        <v>8501.0</v>
      </c>
      <c r="J6756" s="24">
        <v>0.0</v>
      </c>
      <c r="K6756" s="23" t="s">
        <v>34</v>
      </c>
      <c r="L6756" s="25">
        <v>40160.19</v>
      </c>
      <c r="M6756" s="26" t="s">
        <v>15141</v>
      </c>
      <c r="N6756" s="26" t="s">
        <v>15142</v>
      </c>
      <c r="O6756" s="22" t="str">
        <f>HYPERLINK("https://pbs.twimg.com/profile_images/863808616758988800/W-q5nFrY_normal.jpg","View")</f>
        <v>View</v>
      </c>
      <c r="P6756" s="27"/>
    </row>
    <row r="6757">
      <c r="A6757" s="14">
        <v>43031.462847222225</v>
      </c>
      <c r="B6757" s="20" t="str">
        <f>HYPERLINK("https://twitter.com/kylyuk","@kylyuk")</f>
        <v>@kylyuk</v>
      </c>
      <c r="C6757" s="21" t="s">
        <v>15143</v>
      </c>
      <c r="D6757" s="21" t="s">
        <v>15144</v>
      </c>
      <c r="E6757" s="22" t="str">
        <f>HYPERLINK("https://twitter.com/kylyuk/status/922524649203884032","922524649203884032")</f>
        <v>922524649203884032</v>
      </c>
      <c r="F6757" s="23" t="s">
        <v>55</v>
      </c>
      <c r="G6757" s="24">
        <v>37.0</v>
      </c>
      <c r="H6757" s="24">
        <v>1.0</v>
      </c>
      <c r="I6757" s="24">
        <v>0.0</v>
      </c>
      <c r="J6757" s="24">
        <v>0.0</v>
      </c>
      <c r="K6757" s="23" t="s">
        <v>34</v>
      </c>
      <c r="L6757" s="25">
        <v>42992.11346064815</v>
      </c>
      <c r="M6757" s="26" t="s">
        <v>905</v>
      </c>
      <c r="N6757" s="26" t="s">
        <v>15145</v>
      </c>
      <c r="O6757" s="22" t="str">
        <f>HYPERLINK("https://pbs.twimg.com/profile_images/908272541831241728/zBN0NAUD_normal.jpg","View")</f>
        <v>View</v>
      </c>
      <c r="P6757" s="27"/>
    </row>
    <row r="6758">
      <c r="A6758" s="14">
        <v>43031.46303240741</v>
      </c>
      <c r="B6758" s="20" t="str">
        <f>HYPERLINK("https://twitter.com/hiya_pihu","@hiya_pihu")</f>
        <v>@hiya_pihu</v>
      </c>
      <c r="C6758" s="21" t="s">
        <v>15146</v>
      </c>
      <c r="D6758" s="21" t="s">
        <v>42</v>
      </c>
      <c r="E6758" s="22" t="str">
        <f>HYPERLINK("https://twitter.com/hiya_pihu/status/922524717243711488","922524717243711488")</f>
        <v>922524717243711488</v>
      </c>
      <c r="F6758" s="23" t="s">
        <v>55</v>
      </c>
      <c r="G6758" s="24">
        <v>2357.0</v>
      </c>
      <c r="H6758" s="24">
        <v>3036.0</v>
      </c>
      <c r="I6758" s="24">
        <v>8501.0</v>
      </c>
      <c r="J6758" s="24">
        <v>0.0</v>
      </c>
      <c r="K6758" s="23" t="s">
        <v>34</v>
      </c>
      <c r="L6758" s="25">
        <v>41439.978368055556</v>
      </c>
      <c r="M6758" s="26" t="s">
        <v>914</v>
      </c>
      <c r="N6758" s="26" t="s">
        <v>15147</v>
      </c>
      <c r="O6758" s="22" t="str">
        <f>HYPERLINK("https://pbs.twimg.com/profile_images/852579310640738304/gj_rE03H_normal.jpg","View")</f>
        <v>View</v>
      </c>
      <c r="P6758" s="27"/>
    </row>
    <row r="6759">
      <c r="A6759" s="14">
        <v>43031.4630787037</v>
      </c>
      <c r="B6759" s="20" t="str">
        <f>HYPERLINK("https://twitter.com/inUsability","@inUsability")</f>
        <v>@inUsability</v>
      </c>
      <c r="C6759" s="21" t="s">
        <v>15148</v>
      </c>
      <c r="D6759" s="21" t="s">
        <v>42</v>
      </c>
      <c r="E6759" s="22" t="str">
        <f>HYPERLINK("https://twitter.com/inUsability/status/922524732381044736","922524732381044736")</f>
        <v>922524732381044736</v>
      </c>
      <c r="F6759" s="23" t="s">
        <v>33</v>
      </c>
      <c r="G6759" s="24">
        <v>184.0</v>
      </c>
      <c r="H6759" s="24">
        <v>258.0</v>
      </c>
      <c r="I6759" s="24">
        <v>8501.0</v>
      </c>
      <c r="J6759" s="24">
        <v>0.0</v>
      </c>
      <c r="K6759" s="23" t="s">
        <v>34</v>
      </c>
      <c r="L6759" s="25">
        <v>40089.51814814815</v>
      </c>
      <c r="M6759" s="26" t="s">
        <v>65</v>
      </c>
      <c r="N6759" s="26" t="s">
        <v>15149</v>
      </c>
      <c r="O6759" s="22" t="str">
        <f>HYPERLINK("https://pbs.twimg.com/profile_images/873546741772988416/vYl88vX2_normal.jpg","View")</f>
        <v>View</v>
      </c>
      <c r="P6759" s="27"/>
    </row>
    <row r="6760">
      <c r="A6760" s="14">
        <v>43031.46314814815</v>
      </c>
      <c r="B6760" s="20" t="str">
        <f>HYPERLINK("https://twitter.com/june_fours","@june_fours")</f>
        <v>@june_fours</v>
      </c>
      <c r="C6760" s="21" t="s">
        <v>15150</v>
      </c>
      <c r="D6760" s="21" t="s">
        <v>13919</v>
      </c>
      <c r="E6760" s="22" t="str">
        <f>HYPERLINK("https://twitter.com/june_fours/status/922524757513457664","922524757513457664")</f>
        <v>922524757513457664</v>
      </c>
      <c r="F6760" s="23" t="s">
        <v>39</v>
      </c>
      <c r="G6760" s="24">
        <v>986.0</v>
      </c>
      <c r="H6760" s="24">
        <v>1771.0</v>
      </c>
      <c r="I6760" s="24">
        <v>10.0</v>
      </c>
      <c r="J6760" s="24">
        <v>0.0</v>
      </c>
      <c r="K6760" s="23" t="s">
        <v>34</v>
      </c>
      <c r="L6760" s="25">
        <v>41623.0559375</v>
      </c>
      <c r="M6760" s="28"/>
      <c r="N6760" s="28"/>
      <c r="O6760" s="22" t="str">
        <f>HYPERLINK("https://pbs.twimg.com/profile_images/771152546916433921/vOPXg8Nz_normal.jpg","View")</f>
        <v>View</v>
      </c>
      <c r="P6760" s="27"/>
    </row>
    <row r="6761">
      <c r="A6761" s="14">
        <v>43031.46354166667</v>
      </c>
      <c r="B6761" s="20" t="str">
        <f>HYPERLINK("https://twitter.com/babakaroli","@babakaroli")</f>
        <v>@babakaroli</v>
      </c>
      <c r="C6761" s="21" t="s">
        <v>15151</v>
      </c>
      <c r="D6761" s="21" t="s">
        <v>42</v>
      </c>
      <c r="E6761" s="22" t="str">
        <f>HYPERLINK("https://twitter.com/babakaroli/status/922524899133898758","922524899133898758")</f>
        <v>922524899133898758</v>
      </c>
      <c r="F6761" s="23" t="s">
        <v>33</v>
      </c>
      <c r="G6761" s="24">
        <v>1776.0</v>
      </c>
      <c r="H6761" s="24">
        <v>4612.0</v>
      </c>
      <c r="I6761" s="24">
        <v>8501.0</v>
      </c>
      <c r="J6761" s="24">
        <v>0.0</v>
      </c>
      <c r="K6761" s="23" t="s">
        <v>34</v>
      </c>
      <c r="L6761" s="25">
        <v>42948.14385416667</v>
      </c>
      <c r="M6761" s="26" t="s">
        <v>575</v>
      </c>
      <c r="N6761" s="26" t="s">
        <v>15152</v>
      </c>
      <c r="O6761" s="22" t="str">
        <f>HYPERLINK("https://pbs.twimg.com/profile_images/892383620362416133/gjTBiku8_normal.jpg","View")</f>
        <v>View</v>
      </c>
      <c r="P6761" s="27"/>
    </row>
    <row r="6762">
      <c r="A6762" s="14">
        <v>43031.46362268519</v>
      </c>
      <c r="B6762" s="20" t="str">
        <f>HYPERLINK("https://twitter.com/Antetori","@Antetori")</f>
        <v>@Antetori</v>
      </c>
      <c r="C6762" s="21" t="s">
        <v>15153</v>
      </c>
      <c r="D6762" s="21" t="s">
        <v>15154</v>
      </c>
      <c r="E6762" s="22" t="str">
        <f>HYPERLINK("https://twitter.com/Antetori/status/922524931006566406","922524931006566406")</f>
        <v>922524931006566406</v>
      </c>
      <c r="F6762" s="23" t="s">
        <v>39</v>
      </c>
      <c r="G6762" s="24">
        <v>263.0</v>
      </c>
      <c r="H6762" s="24">
        <v>271.0</v>
      </c>
      <c r="I6762" s="24">
        <v>1.0</v>
      </c>
      <c r="J6762" s="24">
        <v>0.0</v>
      </c>
      <c r="K6762" s="23" t="s">
        <v>34</v>
      </c>
      <c r="L6762" s="25">
        <v>41742.52752314815</v>
      </c>
      <c r="M6762" s="26" t="s">
        <v>1246</v>
      </c>
      <c r="N6762" s="28"/>
      <c r="O6762" s="22" t="str">
        <f>HYPERLINK("https://pbs.twimg.com/profile_images/901060453513793536/BiMR16P1_normal.jpg","View")</f>
        <v>View</v>
      </c>
      <c r="P6762" s="27"/>
    </row>
    <row r="6763">
      <c r="A6763" s="14">
        <v>43031.46364583333</v>
      </c>
      <c r="B6763" s="20" t="str">
        <f>HYPERLINK("https://twitter.com/tuubol","@tuubol")</f>
        <v>@tuubol</v>
      </c>
      <c r="C6763" s="21" t="s">
        <v>15155</v>
      </c>
      <c r="D6763" s="21" t="s">
        <v>15156</v>
      </c>
      <c r="E6763" s="22" t="str">
        <f>HYPERLINK("https://twitter.com/tuubol/status/922524938321514496","922524938321514496")</f>
        <v>922524938321514496</v>
      </c>
      <c r="F6763" s="23" t="s">
        <v>187</v>
      </c>
      <c r="G6763" s="24">
        <v>1781.0</v>
      </c>
      <c r="H6763" s="24">
        <v>1901.0</v>
      </c>
      <c r="I6763" s="24">
        <v>0.0</v>
      </c>
      <c r="J6763" s="24">
        <v>0.0</v>
      </c>
      <c r="K6763" s="23" t="s">
        <v>34</v>
      </c>
      <c r="L6763" s="25">
        <v>40639.78021990741</v>
      </c>
      <c r="M6763" s="28"/>
      <c r="N6763" s="26" t="s">
        <v>15157</v>
      </c>
      <c r="O6763" s="22" t="str">
        <f>HYPERLINK("https://pbs.twimg.com/profile_images/1309398317/tuubol-logo-short_normal.png","View")</f>
        <v>View</v>
      </c>
      <c r="P6763" s="27"/>
    </row>
    <row r="6764">
      <c r="A6764" s="14">
        <v>43031.46387731482</v>
      </c>
      <c r="B6764" s="20" t="str">
        <f>HYPERLINK("https://twitter.com/piperjjackson","@piperjjackson")</f>
        <v>@piperjjackson</v>
      </c>
      <c r="C6764" s="21" t="s">
        <v>15158</v>
      </c>
      <c r="D6764" s="21" t="s">
        <v>15159</v>
      </c>
      <c r="E6764" s="22" t="str">
        <f>HYPERLINK("https://twitter.com/piperjjackson/status/922525022937165824","922525022937165824")</f>
        <v>922525022937165824</v>
      </c>
      <c r="F6764" s="23" t="s">
        <v>55</v>
      </c>
      <c r="G6764" s="24">
        <v>385.0</v>
      </c>
      <c r="H6764" s="24">
        <v>1471.0</v>
      </c>
      <c r="I6764" s="24">
        <v>0.0</v>
      </c>
      <c r="J6764" s="24">
        <v>0.0</v>
      </c>
      <c r="K6764" s="23" t="s">
        <v>34</v>
      </c>
      <c r="L6764" s="25">
        <v>40631.97828703704</v>
      </c>
      <c r="M6764" s="26" t="s">
        <v>15160</v>
      </c>
      <c r="N6764" s="26" t="s">
        <v>15161</v>
      </c>
      <c r="O6764" s="22" t="str">
        <f>HYPERLINK("https://pbs.twimg.com/profile_images/829098592879013888/JpnYjL6G_normal.jpg","View")</f>
        <v>View</v>
      </c>
      <c r="P6764" s="27"/>
    </row>
    <row r="6765">
      <c r="A6765" s="14">
        <v>43031.46402777778</v>
      </c>
      <c r="B6765" s="20" t="str">
        <f>HYPERLINK("https://twitter.com/IamSumerIndian","@IamSumerIndian")</f>
        <v>@IamSumerIndian</v>
      </c>
      <c r="C6765" s="21" t="s">
        <v>15162</v>
      </c>
      <c r="D6765" s="21" t="s">
        <v>42</v>
      </c>
      <c r="E6765" s="22" t="str">
        <f>HYPERLINK("https://twitter.com/IamSumerIndian/status/922525077135966208","922525077135966208")</f>
        <v>922525077135966208</v>
      </c>
      <c r="F6765" s="23" t="s">
        <v>39</v>
      </c>
      <c r="G6765" s="24">
        <v>663.0</v>
      </c>
      <c r="H6765" s="24">
        <v>1920.0</v>
      </c>
      <c r="I6765" s="24">
        <v>8501.0</v>
      </c>
      <c r="J6765" s="24">
        <v>0.0</v>
      </c>
      <c r="K6765" s="23" t="s">
        <v>34</v>
      </c>
      <c r="L6765" s="25">
        <v>39981.325219907405</v>
      </c>
      <c r="M6765" s="26" t="s">
        <v>15163</v>
      </c>
      <c r="N6765" s="26" t="s">
        <v>15164</v>
      </c>
      <c r="O6765" s="22" t="str">
        <f>HYPERLINK("https://pbs.twimg.com/profile_images/1503815666/Sumer_Water_Management_normal.jpg","View")</f>
        <v>View</v>
      </c>
      <c r="P6765" s="27"/>
    </row>
    <row r="6766">
      <c r="A6766" s="14">
        <v>43031.46416666667</v>
      </c>
      <c r="B6766" s="20" t="str">
        <f>HYPERLINK("https://twitter.com/beingindianrea1","@beingindianrea1")</f>
        <v>@beingindianrea1</v>
      </c>
      <c r="C6766" s="21" t="s">
        <v>15165</v>
      </c>
      <c r="D6766" s="21" t="s">
        <v>42</v>
      </c>
      <c r="E6766" s="22" t="str">
        <f>HYPERLINK("https://twitter.com/beingindianrea1/status/922525126259822592","922525126259822592")</f>
        <v>922525126259822592</v>
      </c>
      <c r="F6766" s="23" t="s">
        <v>33</v>
      </c>
      <c r="G6766" s="24">
        <v>1989.0</v>
      </c>
      <c r="H6766" s="24">
        <v>2816.0</v>
      </c>
      <c r="I6766" s="24">
        <v>8501.0</v>
      </c>
      <c r="J6766" s="24">
        <v>0.0</v>
      </c>
      <c r="K6766" s="23" t="s">
        <v>34</v>
      </c>
      <c r="L6766" s="25">
        <v>42777.04969907408</v>
      </c>
      <c r="M6766" s="26" t="s">
        <v>15166</v>
      </c>
      <c r="N6766" s="26" t="s">
        <v>15167</v>
      </c>
      <c r="O6766" s="22" t="str">
        <f>HYPERLINK("https://pbs.twimg.com/profile_images/917789193866240001/iTgTD1iO_normal.jpg","View")</f>
        <v>View</v>
      </c>
      <c r="P6766" s="27"/>
    </row>
    <row r="6767">
      <c r="A6767" s="14">
        <v>43031.464270833334</v>
      </c>
      <c r="B6767" s="20" t="str">
        <f>HYPERLINK("https://twitter.com/realrobotnews","@realrobotnews")</f>
        <v>@realrobotnews</v>
      </c>
      <c r="C6767" s="21" t="s">
        <v>7079</v>
      </c>
      <c r="D6767" s="21" t="s">
        <v>15168</v>
      </c>
      <c r="E6767" s="22" t="str">
        <f>HYPERLINK("https://twitter.com/realrobotnews/status/922525163694055424","922525163694055424")</f>
        <v>922525163694055424</v>
      </c>
      <c r="F6767" s="23" t="s">
        <v>187</v>
      </c>
      <c r="G6767" s="24">
        <v>5.0</v>
      </c>
      <c r="H6767" s="24">
        <v>0.0</v>
      </c>
      <c r="I6767" s="24">
        <v>0.0</v>
      </c>
      <c r="J6767" s="24">
        <v>0.0</v>
      </c>
      <c r="K6767" s="23" t="s">
        <v>34</v>
      </c>
      <c r="L6767" s="25">
        <v>42994.35488425926</v>
      </c>
      <c r="M6767" s="28"/>
      <c r="N6767" s="26" t="s">
        <v>7081</v>
      </c>
      <c r="O6767" s="22" t="str">
        <f>HYPERLINK("https://pbs.twimg.com/profile_images/909080561938964480/9DGgVL-6_normal.jpg","View")</f>
        <v>View</v>
      </c>
      <c r="P6767" s="27"/>
    </row>
    <row r="6768">
      <c r="A6768" s="14">
        <v>43031.464317129634</v>
      </c>
      <c r="B6768" s="20" t="str">
        <f>HYPERLINK("https://twitter.com/adarshacharya56","@adarshacharya56")</f>
        <v>@adarshacharya56</v>
      </c>
      <c r="C6768" s="21" t="s">
        <v>15169</v>
      </c>
      <c r="D6768" s="21" t="s">
        <v>42</v>
      </c>
      <c r="E6768" s="22" t="str">
        <f>HYPERLINK("https://twitter.com/adarshacharya56/status/922525182522048512","922525182522048512")</f>
        <v>922525182522048512</v>
      </c>
      <c r="F6768" s="23" t="s">
        <v>33</v>
      </c>
      <c r="G6768" s="24">
        <v>12.0</v>
      </c>
      <c r="H6768" s="24">
        <v>68.0</v>
      </c>
      <c r="I6768" s="24">
        <v>8501.0</v>
      </c>
      <c r="J6768" s="24">
        <v>0.0</v>
      </c>
      <c r="K6768" s="23" t="s">
        <v>34</v>
      </c>
      <c r="L6768" s="25">
        <v>42435.46704861111</v>
      </c>
      <c r="M6768" s="28"/>
      <c r="N6768" s="28"/>
      <c r="O6768" s="22" t="str">
        <f>HYPERLINK("https://pbs.twimg.com/profile_images/706558977618784256/-rwNevt4_normal.jpg","View")</f>
        <v>View</v>
      </c>
      <c r="P6768" s="27"/>
    </row>
    <row r="6769">
      <c r="A6769" s="14">
        <v>43031.46436342593</v>
      </c>
      <c r="B6769" s="20" t="str">
        <f>HYPERLINK("https://twitter.com/MikeBabulic","@MikeBabulic")</f>
        <v>@MikeBabulic</v>
      </c>
      <c r="C6769" s="21" t="s">
        <v>15170</v>
      </c>
      <c r="D6769" s="21" t="s">
        <v>2456</v>
      </c>
      <c r="E6769" s="22" t="str">
        <f>HYPERLINK("https://twitter.com/MikeBabulic/status/922525199362277377","922525199362277377")</f>
        <v>922525199362277377</v>
      </c>
      <c r="F6769" s="23" t="s">
        <v>230</v>
      </c>
      <c r="G6769" s="24">
        <v>92.0</v>
      </c>
      <c r="H6769" s="24">
        <v>96.0</v>
      </c>
      <c r="I6769" s="24">
        <v>49.0</v>
      </c>
      <c r="J6769" s="24">
        <v>0.0</v>
      </c>
      <c r="K6769" s="23" t="s">
        <v>34</v>
      </c>
      <c r="L6769" s="25">
        <v>41878.90819444445</v>
      </c>
      <c r="M6769" s="28"/>
      <c r="N6769" s="28"/>
      <c r="O6769" s="22" t="str">
        <f>HYPERLINK("https://pbs.twimg.com/profile_images/504856551031443456/oqJopYsa_normal.jpeg","View")</f>
        <v>View</v>
      </c>
      <c r="P6769" s="27"/>
    </row>
    <row r="6770">
      <c r="A6770" s="14">
        <v>43031.464733796296</v>
      </c>
      <c r="B6770" s="20" t="str">
        <f>HYPERLINK("https://twitter.com/saurabhgarg004","@saurabhgarg004")</f>
        <v>@saurabhgarg004</v>
      </c>
      <c r="C6770" s="21" t="s">
        <v>15171</v>
      </c>
      <c r="D6770" s="21" t="s">
        <v>4507</v>
      </c>
      <c r="E6770" s="22" t="str">
        <f>HYPERLINK("https://twitter.com/saurabhgarg004/status/922525333433106433","922525333433106433")</f>
        <v>922525333433106433</v>
      </c>
      <c r="F6770" s="23" t="s">
        <v>55</v>
      </c>
      <c r="G6770" s="24">
        <v>139.0</v>
      </c>
      <c r="H6770" s="24">
        <v>640.0</v>
      </c>
      <c r="I6770" s="24">
        <v>139.0</v>
      </c>
      <c r="J6770" s="24">
        <v>0.0</v>
      </c>
      <c r="K6770" s="23" t="s">
        <v>34</v>
      </c>
      <c r="L6770" s="25">
        <v>41131.1012037037</v>
      </c>
      <c r="M6770" s="26" t="s">
        <v>15172</v>
      </c>
      <c r="N6770" s="26" t="s">
        <v>15173</v>
      </c>
      <c r="O6770" s="22" t="str">
        <f>HYPERLINK("https://pbs.twimg.com/profile_images/827960916058730496/caAIFE1c_normal.jpg","View")</f>
        <v>View</v>
      </c>
      <c r="P6770" s="27"/>
    </row>
    <row r="6771">
      <c r="A6771" s="14">
        <v>43031.46480324074</v>
      </c>
      <c r="B6771" s="20" t="str">
        <f>HYPERLINK("https://twitter.com/DharVinod","@DharVinod")</f>
        <v>@DharVinod</v>
      </c>
      <c r="C6771" s="21" t="s">
        <v>15174</v>
      </c>
      <c r="D6771" s="21" t="s">
        <v>42</v>
      </c>
      <c r="E6771" s="22" t="str">
        <f>HYPERLINK("https://twitter.com/DharVinod/status/922525356350771200","922525356350771200")</f>
        <v>922525356350771200</v>
      </c>
      <c r="F6771" s="23" t="s">
        <v>39</v>
      </c>
      <c r="G6771" s="24">
        <v>306.0</v>
      </c>
      <c r="H6771" s="24">
        <v>164.0</v>
      </c>
      <c r="I6771" s="24">
        <v>8501.0</v>
      </c>
      <c r="J6771" s="24">
        <v>0.0</v>
      </c>
      <c r="K6771" s="23" t="s">
        <v>34</v>
      </c>
      <c r="L6771" s="25">
        <v>40782.29054398148</v>
      </c>
      <c r="M6771" s="26" t="s">
        <v>457</v>
      </c>
      <c r="N6771" s="26" t="s">
        <v>15175</v>
      </c>
      <c r="O6771" s="22" t="str">
        <f>HYPERLINK("https://pbs.twimg.com/profile_images/687682205322096640/zm1ZRBm4_normal.jpg","View")</f>
        <v>View</v>
      </c>
      <c r="P6771" s="27"/>
    </row>
    <row r="6772">
      <c r="A6772" s="14">
        <v>43031.46493055555</v>
      </c>
      <c r="B6772" s="20" t="str">
        <f>HYPERLINK("https://twitter.com/vishalfast007","@vishalfast007")</f>
        <v>@vishalfast007</v>
      </c>
      <c r="C6772" s="21" t="s">
        <v>14415</v>
      </c>
      <c r="D6772" s="21" t="s">
        <v>15176</v>
      </c>
      <c r="E6772" s="22" t="str">
        <f>HYPERLINK("https://twitter.com/vishalfast007/status/922525401351688195","922525401351688195")</f>
        <v>922525401351688195</v>
      </c>
      <c r="F6772" s="23" t="s">
        <v>187</v>
      </c>
      <c r="G6772" s="24">
        <v>6450.0</v>
      </c>
      <c r="H6772" s="24">
        <v>6129.0</v>
      </c>
      <c r="I6772" s="24">
        <v>0.0</v>
      </c>
      <c r="J6772" s="24">
        <v>0.0</v>
      </c>
      <c r="K6772" s="23" t="s">
        <v>34</v>
      </c>
      <c r="L6772" s="25">
        <v>40275.98584490741</v>
      </c>
      <c r="M6772" s="28"/>
      <c r="N6772" s="26" t="s">
        <v>14417</v>
      </c>
      <c r="O6772" s="22" t="str">
        <f>HYPERLINK("https://pbs.twimg.com/profile_images/560334179481571329/aGzct4Ns_normal.jpeg","View")</f>
        <v>View</v>
      </c>
      <c r="P6772" s="27"/>
    </row>
    <row r="6773">
      <c r="A6773" s="14">
        <v>43031.46511574074</v>
      </c>
      <c r="B6773" s="20" t="str">
        <f>HYPERLINK("https://twitter.com/lek_benjamas","@lek_benjamas")</f>
        <v>@lek_benjamas</v>
      </c>
      <c r="C6773" s="21" t="s">
        <v>15177</v>
      </c>
      <c r="D6773" s="21" t="s">
        <v>9839</v>
      </c>
      <c r="E6773" s="22" t="str">
        <f>HYPERLINK("https://twitter.com/lek_benjamas/status/922525471006277632","922525471006277632")</f>
        <v>922525471006277632</v>
      </c>
      <c r="F6773" s="23" t="s">
        <v>39</v>
      </c>
      <c r="G6773" s="24">
        <v>18.0</v>
      </c>
      <c r="H6773" s="24">
        <v>170.0</v>
      </c>
      <c r="I6773" s="24">
        <v>5.0</v>
      </c>
      <c r="J6773" s="24">
        <v>0.0</v>
      </c>
      <c r="K6773" s="23" t="s">
        <v>34</v>
      </c>
      <c r="L6773" s="25">
        <v>42206.177395833336</v>
      </c>
      <c r="M6773" s="28"/>
      <c r="N6773" s="28"/>
      <c r="O6773" s="22" t="str">
        <f>HYPERLINK("https://pbs.twimg.com/profile_images/627642903741857792/do8se5FX_normal.jpg","View")</f>
        <v>View</v>
      </c>
      <c r="P6773" s="27"/>
    </row>
    <row r="6774">
      <c r="A6774" s="14">
        <v>43031.465370370366</v>
      </c>
      <c r="B6774" s="20" t="str">
        <f>HYPERLINK("https://twitter.com/1FRAC1","@1FRAC1")</f>
        <v>@1FRAC1</v>
      </c>
      <c r="C6774" s="21" t="s">
        <v>15178</v>
      </c>
      <c r="D6774" s="21" t="s">
        <v>15179</v>
      </c>
      <c r="E6774" s="22" t="str">
        <f>HYPERLINK("https://twitter.com/1FRAC1/status/922525562987479040","922525562987479040")</f>
        <v>922525562987479040</v>
      </c>
      <c r="F6774" s="23" t="s">
        <v>55</v>
      </c>
      <c r="G6774" s="24">
        <v>429.0</v>
      </c>
      <c r="H6774" s="24">
        <v>692.0</v>
      </c>
      <c r="I6774" s="24">
        <v>0.0</v>
      </c>
      <c r="J6774" s="24">
        <v>0.0</v>
      </c>
      <c r="K6774" s="23" t="s">
        <v>34</v>
      </c>
      <c r="L6774" s="25">
        <v>42767.015625</v>
      </c>
      <c r="M6774" s="26" t="s">
        <v>68</v>
      </c>
      <c r="N6774" s="26" t="s">
        <v>15180</v>
      </c>
      <c r="O6774" s="22" t="str">
        <f>HYPERLINK("https://pbs.twimg.com/profile_images/826711085767995393/gFJm0pOI_normal.jpg","View")</f>
        <v>View</v>
      </c>
      <c r="P6774" s="27"/>
    </row>
    <row r="6775">
      <c r="A6775" s="14">
        <v>43031.46538194444</v>
      </c>
      <c r="B6775" s="20" t="str">
        <f>HYPERLINK("https://twitter.com/varhaiskasvatus","@varhaiskasvatus")</f>
        <v>@varhaiskasvatus</v>
      </c>
      <c r="C6775" s="21" t="s">
        <v>15181</v>
      </c>
      <c r="D6775" s="21" t="s">
        <v>14466</v>
      </c>
      <c r="E6775" s="22" t="str">
        <f>HYPERLINK("https://twitter.com/varhaiskasvatus/status/922525565734871042","922525565734871042")</f>
        <v>922525565734871042</v>
      </c>
      <c r="F6775" s="23" t="s">
        <v>39</v>
      </c>
      <c r="G6775" s="24">
        <v>390.0</v>
      </c>
      <c r="H6775" s="24">
        <v>175.0</v>
      </c>
      <c r="I6775" s="24">
        <v>4.0</v>
      </c>
      <c r="J6775" s="24">
        <v>0.0</v>
      </c>
      <c r="K6775" s="23" t="s">
        <v>34</v>
      </c>
      <c r="L6775" s="25">
        <v>42311.210127314815</v>
      </c>
      <c r="M6775" s="26" t="s">
        <v>9933</v>
      </c>
      <c r="N6775" s="26" t="s">
        <v>15182</v>
      </c>
      <c r="O6775" s="22" t="str">
        <f>HYPERLINK("https://pbs.twimg.com/profile_images/715872916286652416/7f5UUgHw_normal.jpg","View")</f>
        <v>View</v>
      </c>
      <c r="P6775" s="27"/>
    </row>
    <row r="6776">
      <c r="A6776" s="14">
        <v>43031.465416666666</v>
      </c>
      <c r="B6776" s="20" t="str">
        <f>HYPERLINK("https://twitter.com/ashutos30661931","@ashutos30661931")</f>
        <v>@ashutos30661931</v>
      </c>
      <c r="C6776" s="21" t="s">
        <v>15183</v>
      </c>
      <c r="D6776" s="21" t="s">
        <v>42</v>
      </c>
      <c r="E6776" s="22" t="str">
        <f>HYPERLINK("https://twitter.com/ashutos30661931/status/922525577969418243","922525577969418243")</f>
        <v>922525577969418243</v>
      </c>
      <c r="F6776" s="23" t="s">
        <v>33</v>
      </c>
      <c r="G6776" s="24">
        <v>2120.0</v>
      </c>
      <c r="H6776" s="24">
        <v>5001.0</v>
      </c>
      <c r="I6776" s="24">
        <v>8501.0</v>
      </c>
      <c r="J6776" s="24">
        <v>0.0</v>
      </c>
      <c r="K6776" s="23" t="s">
        <v>34</v>
      </c>
      <c r="L6776" s="25">
        <v>42459.39224537037</v>
      </c>
      <c r="M6776" s="26" t="s">
        <v>575</v>
      </c>
      <c r="N6776" s="26" t="s">
        <v>15184</v>
      </c>
      <c r="O6776" s="22" t="str">
        <f>HYPERLINK("https://pbs.twimg.com/profile_images/892406180164665344/Bi700RRA_normal.jpg","View")</f>
        <v>View</v>
      </c>
      <c r="P6776" s="27"/>
    </row>
    <row r="6777">
      <c r="A6777" s="14">
        <v>43031.465474537035</v>
      </c>
      <c r="B6777" s="20" t="str">
        <f>HYPERLINK("https://twitter.com/Petchary","@Petchary")</f>
        <v>@Petchary</v>
      </c>
      <c r="C6777" s="21" t="s">
        <v>15185</v>
      </c>
      <c r="D6777" s="21" t="s">
        <v>15186</v>
      </c>
      <c r="E6777" s="22" t="str">
        <f>HYPERLINK("https://twitter.com/Petchary/status/922525600446808067","922525600446808067")</f>
        <v>922525600446808067</v>
      </c>
      <c r="F6777" s="23" t="s">
        <v>55</v>
      </c>
      <c r="G6777" s="24">
        <v>11620.0</v>
      </c>
      <c r="H6777" s="24">
        <v>11364.0</v>
      </c>
      <c r="I6777" s="24">
        <v>0.0</v>
      </c>
      <c r="J6777" s="24">
        <v>0.0</v>
      </c>
      <c r="K6777" s="23" t="s">
        <v>34</v>
      </c>
      <c r="L6777" s="25">
        <v>40395.58167824074</v>
      </c>
      <c r="M6777" s="26" t="s">
        <v>15187</v>
      </c>
      <c r="N6777" s="26" t="s">
        <v>15188</v>
      </c>
      <c r="O6777" s="22" t="str">
        <f>HYPERLINK("https://pbs.twimg.com/profile_images/921965691904946176/ACYPR7Xd_normal.jpg","View")</f>
        <v>View</v>
      </c>
      <c r="P6777" s="27"/>
    </row>
    <row r="6778">
      <c r="A6778" s="14">
        <v>43031.465590277774</v>
      </c>
      <c r="B6778" s="20" t="str">
        <f>HYPERLINK("https://twitter.com/SourabhMeteo","@SourabhMeteo")</f>
        <v>@SourabhMeteo</v>
      </c>
      <c r="C6778" s="21" t="s">
        <v>15189</v>
      </c>
      <c r="D6778" s="21" t="s">
        <v>42</v>
      </c>
      <c r="E6778" s="22" t="str">
        <f>HYPERLINK("https://twitter.com/SourabhMeteo/status/922525642083549185","922525642083549185")</f>
        <v>922525642083549185</v>
      </c>
      <c r="F6778" s="23" t="s">
        <v>33</v>
      </c>
      <c r="G6778" s="24">
        <v>547.0</v>
      </c>
      <c r="H6778" s="24">
        <v>254.0</v>
      </c>
      <c r="I6778" s="24">
        <v>8501.0</v>
      </c>
      <c r="J6778" s="24">
        <v>0.0</v>
      </c>
      <c r="K6778" s="23" t="s">
        <v>34</v>
      </c>
      <c r="L6778" s="25">
        <v>42122.3533449074</v>
      </c>
      <c r="M6778" s="26" t="s">
        <v>1532</v>
      </c>
      <c r="N6778" s="26" t="s">
        <v>15190</v>
      </c>
      <c r="O6778" s="22" t="str">
        <f>HYPERLINK("https://pbs.twimg.com/profile_images/887907850353332225/_a654dYU_normal.jpg","View")</f>
        <v>View</v>
      </c>
      <c r="P6778" s="27"/>
    </row>
    <row r="6779">
      <c r="A6779" s="14">
        <v>43031.46561342593</v>
      </c>
      <c r="B6779" s="20" t="str">
        <f>HYPERLINK("https://twitter.com/vishalfast007","@vishalfast007")</f>
        <v>@vishalfast007</v>
      </c>
      <c r="C6779" s="21" t="s">
        <v>14415</v>
      </c>
      <c r="D6779" s="21" t="s">
        <v>15191</v>
      </c>
      <c r="E6779" s="22" t="str">
        <f>HYPERLINK("https://twitter.com/vishalfast007/status/922525652267487233","922525652267487233")</f>
        <v>922525652267487233</v>
      </c>
      <c r="F6779" s="23" t="s">
        <v>187</v>
      </c>
      <c r="G6779" s="24">
        <v>6450.0</v>
      </c>
      <c r="H6779" s="24">
        <v>6129.0</v>
      </c>
      <c r="I6779" s="24">
        <v>0.0</v>
      </c>
      <c r="J6779" s="24">
        <v>0.0</v>
      </c>
      <c r="K6779" s="23" t="s">
        <v>34</v>
      </c>
      <c r="L6779" s="25">
        <v>40275.98584490741</v>
      </c>
      <c r="M6779" s="28"/>
      <c r="N6779" s="26" t="s">
        <v>14417</v>
      </c>
      <c r="O6779" s="22" t="str">
        <f>HYPERLINK("https://pbs.twimg.com/profile_images/560334179481571329/aGzct4Ns_normal.jpeg","View")</f>
        <v>View</v>
      </c>
      <c r="P6779" s="27"/>
    </row>
    <row r="6780">
      <c r="A6780" s="14">
        <v>43031.465937500005</v>
      </c>
      <c r="B6780" s="20" t="str">
        <f>HYPERLINK("https://twitter.com/Girishprabhune","@Girishprabhune")</f>
        <v>@Girishprabhune</v>
      </c>
      <c r="C6780" s="21" t="s">
        <v>15192</v>
      </c>
      <c r="D6780" s="21" t="s">
        <v>42</v>
      </c>
      <c r="E6780" s="22" t="str">
        <f>HYPERLINK("https://twitter.com/Girishprabhune/status/922525769397497856","922525769397497856")</f>
        <v>922525769397497856</v>
      </c>
      <c r="F6780" s="23" t="s">
        <v>43</v>
      </c>
      <c r="G6780" s="24">
        <v>127.0</v>
      </c>
      <c r="H6780" s="24">
        <v>125.0</v>
      </c>
      <c r="I6780" s="24">
        <v>8501.0</v>
      </c>
      <c r="J6780" s="24">
        <v>0.0</v>
      </c>
      <c r="K6780" s="23" t="s">
        <v>34</v>
      </c>
      <c r="L6780" s="25">
        <v>39964.88144675926</v>
      </c>
      <c r="M6780" s="26" t="s">
        <v>15193</v>
      </c>
      <c r="N6780" s="28"/>
      <c r="O6780" s="22" t="str">
        <f>HYPERLINK("https://pbs.twimg.com/profile_images/857551883476414464/Vj6StoHl_normal.jpg","View")</f>
        <v>View</v>
      </c>
      <c r="P6780" s="27"/>
    </row>
    <row r="6781">
      <c r="A6781" s="14">
        <v>43031.466203703705</v>
      </c>
      <c r="B6781" s="20" t="str">
        <f>HYPERLINK("https://twitter.com/PCWP_Chatham","@PCWP_Chatham")</f>
        <v>@PCWP_Chatham</v>
      </c>
      <c r="C6781" s="21" t="s">
        <v>15194</v>
      </c>
      <c r="D6781" s="21" t="s">
        <v>15195</v>
      </c>
      <c r="E6781" s="22" t="str">
        <f>HYPERLINK("https://twitter.com/PCWP_Chatham/status/922525863186493440","922525863186493440")</f>
        <v>922525863186493440</v>
      </c>
      <c r="F6781" s="23" t="s">
        <v>55</v>
      </c>
      <c r="G6781" s="24">
        <v>725.0</v>
      </c>
      <c r="H6781" s="24">
        <v>345.0</v>
      </c>
      <c r="I6781" s="24">
        <v>0.0</v>
      </c>
      <c r="J6781" s="24">
        <v>0.0</v>
      </c>
      <c r="K6781" s="23" t="s">
        <v>34</v>
      </c>
      <c r="L6781" s="25">
        <v>40445.36226851852</v>
      </c>
      <c r="M6781" s="26" t="s">
        <v>15196</v>
      </c>
      <c r="N6781" s="26" t="s">
        <v>15197</v>
      </c>
      <c r="O6781" s="22" t="str">
        <f>HYPERLINK("https://pbs.twimg.com/profile_images/2695940228/242153b755aabb854fed0c2a0c135496_normal.png","View")</f>
        <v>View</v>
      </c>
      <c r="P6781" s="27"/>
    </row>
    <row r="6782">
      <c r="A6782" s="14">
        <v>43031.46635416667</v>
      </c>
      <c r="B6782" s="20" t="str">
        <f>HYPERLINK("https://twitter.com/Sandeeprachepal","@Sandeeprachepal")</f>
        <v>@Sandeeprachepal</v>
      </c>
      <c r="C6782" s="21" t="s">
        <v>15198</v>
      </c>
      <c r="D6782" s="21" t="s">
        <v>163</v>
      </c>
      <c r="E6782" s="22" t="str">
        <f>HYPERLINK("https://twitter.com/Sandeeprachepal/status/922525918630780928","922525918630780928")</f>
        <v>922525918630780928</v>
      </c>
      <c r="F6782" s="23" t="s">
        <v>55</v>
      </c>
      <c r="G6782" s="24">
        <v>26.0</v>
      </c>
      <c r="H6782" s="24">
        <v>51.0</v>
      </c>
      <c r="I6782" s="24">
        <v>1005.0</v>
      </c>
      <c r="J6782" s="24">
        <v>0.0</v>
      </c>
      <c r="K6782" s="23" t="s">
        <v>34</v>
      </c>
      <c r="L6782" s="25">
        <v>42331.31082175926</v>
      </c>
      <c r="M6782" s="28"/>
      <c r="N6782" s="28"/>
      <c r="O6782" s="22" t="str">
        <f>HYPERLINK("https://pbs.twimg.com/profile_images/841733493650554880/8hLKPju9_normal.jpg","View")</f>
        <v>View</v>
      </c>
      <c r="P6782" s="27"/>
    </row>
    <row r="6783">
      <c r="A6783" s="14">
        <v>43031.46638888889</v>
      </c>
      <c r="B6783" s="20" t="str">
        <f>HYPERLINK("https://twitter.com/abhishekjain129","@abhishekjain129")</f>
        <v>@abhishekjain129</v>
      </c>
      <c r="C6783" s="21" t="s">
        <v>15199</v>
      </c>
      <c r="D6783" s="21" t="s">
        <v>42</v>
      </c>
      <c r="E6783" s="22" t="str">
        <f>HYPERLINK("https://twitter.com/abhishekjain129/status/922525931222077440","922525931222077440")</f>
        <v>922525931222077440</v>
      </c>
      <c r="F6783" s="23" t="s">
        <v>33</v>
      </c>
      <c r="G6783" s="24">
        <v>211.0</v>
      </c>
      <c r="H6783" s="24">
        <v>87.0</v>
      </c>
      <c r="I6783" s="24">
        <v>8501.0</v>
      </c>
      <c r="J6783" s="24">
        <v>0.0</v>
      </c>
      <c r="K6783" s="23" t="s">
        <v>34</v>
      </c>
      <c r="L6783" s="25">
        <v>40205.22405092593</v>
      </c>
      <c r="M6783" s="26" t="s">
        <v>457</v>
      </c>
      <c r="N6783" s="26" t="s">
        <v>15200</v>
      </c>
      <c r="O6783" s="22" t="str">
        <f>HYPERLINK("https://pbs.twimg.com/profile_images/851277050404978688/3r_dZ86f_normal.jpg","View")</f>
        <v>View</v>
      </c>
      <c r="P6783" s="27"/>
    </row>
    <row r="6784">
      <c r="A6784" s="14">
        <v>43031.46649305556</v>
      </c>
      <c r="B6784" s="20" t="str">
        <f>HYPERLINK("https://twitter.com/SeikokaiChurch","@SeikokaiChurch")</f>
        <v>@SeikokaiChurch</v>
      </c>
      <c r="C6784" s="21" t="s">
        <v>15201</v>
      </c>
      <c r="D6784" s="21" t="s">
        <v>15202</v>
      </c>
      <c r="E6784" s="22" t="str">
        <f>HYPERLINK("https://twitter.com/SeikokaiChurch/status/922525969105149957","922525969105149957")</f>
        <v>922525969105149957</v>
      </c>
      <c r="F6784" s="23" t="s">
        <v>48</v>
      </c>
      <c r="G6784" s="24">
        <v>16.0</v>
      </c>
      <c r="H6784" s="24">
        <v>10.0</v>
      </c>
      <c r="I6784" s="24">
        <v>0.0</v>
      </c>
      <c r="J6784" s="24">
        <v>0.0</v>
      </c>
      <c r="K6784" s="23" t="s">
        <v>34</v>
      </c>
      <c r="L6784" s="25">
        <v>41261.68096064815</v>
      </c>
      <c r="M6784" s="26" t="s">
        <v>8479</v>
      </c>
      <c r="N6784" s="26" t="s">
        <v>15203</v>
      </c>
      <c r="O6784" s="22" t="str">
        <f>HYPERLINK("https://pbs.twimg.com/profile_images/2992822176/f9f3677e8326fda8b6dd6b229e3442a1_normal.png","View")</f>
        <v>View</v>
      </c>
      <c r="P6784" s="27"/>
    </row>
    <row r="6785">
      <c r="A6785" s="14">
        <v>43031.46670138889</v>
      </c>
      <c r="B6785" s="20" t="str">
        <f>HYPERLINK("https://twitter.com/Matujhesalam272","@Matujhesalam272")</f>
        <v>@Matujhesalam272</v>
      </c>
      <c r="C6785" s="21" t="s">
        <v>14808</v>
      </c>
      <c r="D6785" s="21" t="s">
        <v>14748</v>
      </c>
      <c r="E6785" s="22" t="str">
        <f>HYPERLINK("https://twitter.com/Matujhesalam272/status/922526044350857216","922526044350857216")</f>
        <v>922526044350857216</v>
      </c>
      <c r="F6785" s="23" t="s">
        <v>39</v>
      </c>
      <c r="G6785" s="24">
        <v>426.0</v>
      </c>
      <c r="H6785" s="24">
        <v>873.0</v>
      </c>
      <c r="I6785" s="24">
        <v>46.0</v>
      </c>
      <c r="J6785" s="24">
        <v>0.0</v>
      </c>
      <c r="K6785" s="23" t="s">
        <v>34</v>
      </c>
      <c r="L6785" s="25">
        <v>41633.62736111111</v>
      </c>
      <c r="M6785" s="28"/>
      <c r="N6785" s="28"/>
      <c r="O6785" s="22" t="str">
        <f>HYPERLINK("https://pbs.twimg.com/profile_images/909117754791170048/De9l4iRB_normal.jpg","View")</f>
        <v>View</v>
      </c>
      <c r="P6785" s="27"/>
    </row>
    <row r="6786">
      <c r="A6786" s="14">
        <v>43031.46741898148</v>
      </c>
      <c r="B6786" s="20" t="str">
        <f>HYPERLINK("https://twitter.com/paoloigna1","@paoloigna1")</f>
        <v>@paoloigna1</v>
      </c>
      <c r="C6786" s="21" t="s">
        <v>15204</v>
      </c>
      <c r="D6786" s="21" t="s">
        <v>3867</v>
      </c>
      <c r="E6786" s="22" t="str">
        <f>HYPERLINK("https://twitter.com/paoloigna1/status/922526306356662273","922526306356662273")</f>
        <v>922526306356662273</v>
      </c>
      <c r="F6786" s="23" t="s">
        <v>55</v>
      </c>
      <c r="G6786" s="24">
        <v>79243.0</v>
      </c>
      <c r="H6786" s="24">
        <v>86935.0</v>
      </c>
      <c r="I6786" s="24">
        <v>23.0</v>
      </c>
      <c r="J6786" s="24">
        <v>0.0</v>
      </c>
      <c r="K6786" s="23" t="s">
        <v>34</v>
      </c>
      <c r="L6786" s="25">
        <v>41374.10376157407</v>
      </c>
      <c r="M6786" s="28"/>
      <c r="N6786" s="26" t="s">
        <v>15205</v>
      </c>
      <c r="O6786" s="22" t="str">
        <f>HYPERLINK("https://pbs.twimg.com/profile_images/418795472472383488/YQgyHWog_normal.jpeg","View")</f>
        <v>View</v>
      </c>
      <c r="P6786" s="27"/>
    </row>
    <row r="6787">
      <c r="A6787" s="14">
        <v>43031.4675</v>
      </c>
      <c r="B6787" s="20" t="str">
        <f>HYPERLINK("https://twitter.com/orangecoly","@orangecoly")</f>
        <v>@orangecoly</v>
      </c>
      <c r="C6787" s="21" t="s">
        <v>15206</v>
      </c>
      <c r="D6787" s="21" t="s">
        <v>14855</v>
      </c>
      <c r="E6787" s="22" t="str">
        <f>HYPERLINK("https://twitter.com/orangecoly/status/922526332679888896","922526332679888896")</f>
        <v>922526332679888896</v>
      </c>
      <c r="F6787" s="23" t="s">
        <v>39</v>
      </c>
      <c r="G6787" s="24">
        <v>1420.0</v>
      </c>
      <c r="H6787" s="24">
        <v>1651.0</v>
      </c>
      <c r="I6787" s="24">
        <v>36.0</v>
      </c>
      <c r="J6787" s="24">
        <v>0.0</v>
      </c>
      <c r="K6787" s="23" t="s">
        <v>34</v>
      </c>
      <c r="L6787" s="25">
        <v>40052.13003472222</v>
      </c>
      <c r="M6787" s="26" t="s">
        <v>853</v>
      </c>
      <c r="N6787" s="26" t="s">
        <v>15207</v>
      </c>
      <c r="O6787" s="22" t="str">
        <f>HYPERLINK("https://pbs.twimg.com/profile_images/737346379811540992/_CPmeqvs_normal.jpg","View")</f>
        <v>View</v>
      </c>
      <c r="P6787" s="27"/>
    </row>
    <row r="6788">
      <c r="A6788" s="14">
        <v>43031.467511574076</v>
      </c>
      <c r="B6788" s="20" t="str">
        <f>HYPERLINK("https://twitter.com/Meghanajbp22","@Meghanajbp22")</f>
        <v>@Meghanajbp22</v>
      </c>
      <c r="C6788" s="21" t="s">
        <v>15208</v>
      </c>
      <c r="D6788" s="21" t="s">
        <v>42</v>
      </c>
      <c r="E6788" s="22" t="str">
        <f>HYPERLINK("https://twitter.com/Meghanajbp22/status/922526337490759680","922526337490759680")</f>
        <v>922526337490759680</v>
      </c>
      <c r="F6788" s="23" t="s">
        <v>33</v>
      </c>
      <c r="G6788" s="24">
        <v>97.0</v>
      </c>
      <c r="H6788" s="24">
        <v>134.0</v>
      </c>
      <c r="I6788" s="24">
        <v>8501.0</v>
      </c>
      <c r="J6788" s="24">
        <v>0.0</v>
      </c>
      <c r="K6788" s="23" t="s">
        <v>34</v>
      </c>
      <c r="L6788" s="25">
        <v>42564.38033564815</v>
      </c>
      <c r="M6788" s="26" t="s">
        <v>204</v>
      </c>
      <c r="N6788" s="26" t="s">
        <v>15209</v>
      </c>
      <c r="O6788" s="22" t="str">
        <f>HYPERLINK("https://pbs.twimg.com/profile_images/869966337254281218/nYJFtBlR_normal.jpg","View")</f>
        <v>View</v>
      </c>
      <c r="P6788" s="27"/>
    </row>
    <row r="6789">
      <c r="A6789" s="14">
        <v>43031.46754629629</v>
      </c>
      <c r="B6789" s="20" t="str">
        <f>HYPERLINK("https://twitter.com/SDebneth","@SDebneth")</f>
        <v>@SDebneth</v>
      </c>
      <c r="C6789" s="21" t="s">
        <v>15210</v>
      </c>
      <c r="D6789" s="21" t="s">
        <v>42</v>
      </c>
      <c r="E6789" s="22" t="str">
        <f>HYPERLINK("https://twitter.com/SDebneth/status/922526350505897986","922526350505897986")</f>
        <v>922526350505897986</v>
      </c>
      <c r="F6789" s="23" t="s">
        <v>33</v>
      </c>
      <c r="G6789" s="24">
        <v>22.0</v>
      </c>
      <c r="H6789" s="24">
        <v>124.0</v>
      </c>
      <c r="I6789" s="24">
        <v>8501.0</v>
      </c>
      <c r="J6789" s="24">
        <v>0.0</v>
      </c>
      <c r="K6789" s="23" t="s">
        <v>34</v>
      </c>
      <c r="L6789" s="25">
        <v>42987.3888425926</v>
      </c>
      <c r="M6789" s="26" t="s">
        <v>2376</v>
      </c>
      <c r="N6789" s="28"/>
      <c r="O6789" s="22" t="str">
        <f>HYPERLINK("https://pbs.twimg.com/profile_images/910561387293892608/mArCcW-N_normal.jpg","View")</f>
        <v>View</v>
      </c>
      <c r="P6789" s="27"/>
    </row>
    <row r="6790">
      <c r="A6790" s="14">
        <v>43031.467581018514</v>
      </c>
      <c r="B6790" s="20" t="str">
        <f>HYPERLINK("https://twitter.com/GayaKeThakur","@GayaKeThakur")</f>
        <v>@GayaKeThakur</v>
      </c>
      <c r="C6790" s="21" t="s">
        <v>15211</v>
      </c>
      <c r="D6790" s="21" t="s">
        <v>42</v>
      </c>
      <c r="E6790" s="22" t="str">
        <f>HYPERLINK("https://twitter.com/GayaKeThakur/status/922526364208480256","922526364208480256")</f>
        <v>922526364208480256</v>
      </c>
      <c r="F6790" s="23" t="s">
        <v>33</v>
      </c>
      <c r="G6790" s="24">
        <v>47.0</v>
      </c>
      <c r="H6790" s="24">
        <v>15.0</v>
      </c>
      <c r="I6790" s="24">
        <v>8501.0</v>
      </c>
      <c r="J6790" s="24">
        <v>0.0</v>
      </c>
      <c r="K6790" s="23" t="s">
        <v>34</v>
      </c>
      <c r="L6790" s="25">
        <v>40981.18240740741</v>
      </c>
      <c r="M6790" s="26" t="s">
        <v>96</v>
      </c>
      <c r="N6790" s="28"/>
      <c r="O6790" s="22" t="str">
        <f>HYPERLINK("https://pbs.twimg.com/profile_images/663075395923611648/Tj5vdvfD_normal.jpg","View")</f>
        <v>View</v>
      </c>
      <c r="P6790" s="27"/>
    </row>
    <row r="6791">
      <c r="A6791" s="14">
        <v>43031.467685185184</v>
      </c>
      <c r="B6791" s="20" t="str">
        <f>HYPERLINK("https://twitter.com/Pratik11078386","@Pratik11078386")</f>
        <v>@Pratik11078386</v>
      </c>
      <c r="C6791" s="21" t="s">
        <v>15212</v>
      </c>
      <c r="D6791" s="21" t="s">
        <v>42</v>
      </c>
      <c r="E6791" s="22" t="str">
        <f>HYPERLINK("https://twitter.com/Pratik11078386/status/922526399608397824","922526399608397824")</f>
        <v>922526399608397824</v>
      </c>
      <c r="F6791" s="23" t="s">
        <v>33</v>
      </c>
      <c r="G6791" s="24">
        <v>157.0</v>
      </c>
      <c r="H6791" s="24">
        <v>535.0</v>
      </c>
      <c r="I6791" s="24">
        <v>8501.0</v>
      </c>
      <c r="J6791" s="24">
        <v>0.0</v>
      </c>
      <c r="K6791" s="23" t="s">
        <v>34</v>
      </c>
      <c r="L6791" s="25">
        <v>42777.31585648148</v>
      </c>
      <c r="M6791" s="28"/>
      <c r="N6791" s="28"/>
      <c r="O6791" s="22" t="str">
        <f>HYPERLINK("https://abs.twimg.com/sticky/default_profile_images/default_profile_normal.png","View")</f>
        <v>View</v>
      </c>
      <c r="P6791" s="27"/>
    </row>
    <row r="6792">
      <c r="A6792" s="14">
        <v>43031.46784722222</v>
      </c>
      <c r="B6792" s="20" t="str">
        <f>HYPERLINK("https://twitter.com/mallubang77","@mallubang77")</f>
        <v>@mallubang77</v>
      </c>
      <c r="C6792" s="21" t="s">
        <v>15213</v>
      </c>
      <c r="D6792" s="21" t="s">
        <v>42</v>
      </c>
      <c r="E6792" s="22" t="str">
        <f>HYPERLINK("https://twitter.com/mallubang77/status/922526460811796480","922526460811796480")</f>
        <v>922526460811796480</v>
      </c>
      <c r="F6792" s="23" t="s">
        <v>33</v>
      </c>
      <c r="G6792" s="24">
        <v>550.0</v>
      </c>
      <c r="H6792" s="24">
        <v>926.0</v>
      </c>
      <c r="I6792" s="24">
        <v>8501.0</v>
      </c>
      <c r="J6792" s="24">
        <v>0.0</v>
      </c>
      <c r="K6792" s="23" t="s">
        <v>34</v>
      </c>
      <c r="L6792" s="25">
        <v>40941.25981481482</v>
      </c>
      <c r="M6792" s="26" t="s">
        <v>65</v>
      </c>
      <c r="N6792" s="26" t="s">
        <v>15214</v>
      </c>
      <c r="O6792" s="22" t="str">
        <f>HYPERLINK("https://pbs.twimg.com/profile_images/755665323525861376/u7dzZJyq_normal.jpg","View")</f>
        <v>View</v>
      </c>
      <c r="P6792" s="27"/>
    </row>
    <row r="6793">
      <c r="A6793" s="14">
        <v>43031.46800925926</v>
      </c>
      <c r="B6793" s="20" t="str">
        <f>HYPERLINK("https://twitter.com/KirkSpano","@KirkSpano")</f>
        <v>@KirkSpano</v>
      </c>
      <c r="C6793" s="21" t="s">
        <v>15215</v>
      </c>
      <c r="D6793" s="21" t="s">
        <v>15216</v>
      </c>
      <c r="E6793" s="22" t="str">
        <f>HYPERLINK("https://twitter.com/KirkSpano/status/922526516944220161","922526516944220161")</f>
        <v>922526516944220161</v>
      </c>
      <c r="F6793" s="23" t="s">
        <v>55</v>
      </c>
      <c r="G6793" s="24">
        <v>2793.0</v>
      </c>
      <c r="H6793" s="24">
        <v>468.0</v>
      </c>
      <c r="I6793" s="24">
        <v>8.0</v>
      </c>
      <c r="J6793" s="24">
        <v>0.0</v>
      </c>
      <c r="K6793" s="23" t="s">
        <v>34</v>
      </c>
      <c r="L6793" s="25">
        <v>40854.85842592592</v>
      </c>
      <c r="M6793" s="26" t="s">
        <v>6652</v>
      </c>
      <c r="N6793" s="26" t="s">
        <v>15217</v>
      </c>
      <c r="O6793" s="22" t="str">
        <f>HYPERLINK("https://pbs.twimg.com/profile_images/465589642859790336/vJFPJHGh_normal.jpeg","View")</f>
        <v>View</v>
      </c>
      <c r="P6793" s="27"/>
    </row>
    <row r="6794">
      <c r="A6794" s="14">
        <v>43031.46806712963</v>
      </c>
      <c r="B6794" s="20" t="str">
        <f>HYPERLINK("https://twitter.com/newsatire","@newsatire")</f>
        <v>@newsatire</v>
      </c>
      <c r="C6794" s="21" t="s">
        <v>15218</v>
      </c>
      <c r="D6794" s="21" t="s">
        <v>15219</v>
      </c>
      <c r="E6794" s="22" t="str">
        <f>HYPERLINK("https://twitter.com/newsatire/status/922526538184224769","922526538184224769")</f>
        <v>922526538184224769</v>
      </c>
      <c r="F6794" s="23" t="s">
        <v>15220</v>
      </c>
      <c r="G6794" s="24">
        <v>493.0</v>
      </c>
      <c r="H6794" s="24">
        <v>215.0</v>
      </c>
      <c r="I6794" s="24">
        <v>0.0</v>
      </c>
      <c r="J6794" s="24">
        <v>0.0</v>
      </c>
      <c r="K6794" s="23" t="s">
        <v>34</v>
      </c>
      <c r="L6794" s="25">
        <v>41786.4561574074</v>
      </c>
      <c r="M6794" s="26" t="s">
        <v>204</v>
      </c>
      <c r="N6794" s="26" t="s">
        <v>15221</v>
      </c>
      <c r="O6794" s="22" t="str">
        <f>HYPERLINK("https://pbs.twimg.com/profile_images/471382556059787264/Z4WHjxPh_normal.jpeg","View")</f>
        <v>View</v>
      </c>
      <c r="P6794" s="27"/>
    </row>
    <row r="6795">
      <c r="A6795" s="14">
        <v>43031.46833333334</v>
      </c>
      <c r="B6795" s="20" t="str">
        <f>HYPERLINK("https://twitter.com/RohitPatelsr","@RohitPatelsr")</f>
        <v>@RohitPatelsr</v>
      </c>
      <c r="C6795" s="21" t="s">
        <v>15222</v>
      </c>
      <c r="D6795" s="21" t="s">
        <v>42</v>
      </c>
      <c r="E6795" s="22" t="str">
        <f>HYPERLINK("https://twitter.com/RohitPatelsr/status/922526636150611974","922526636150611974")</f>
        <v>922526636150611974</v>
      </c>
      <c r="F6795" s="23" t="s">
        <v>230</v>
      </c>
      <c r="G6795" s="24">
        <v>479.0</v>
      </c>
      <c r="H6795" s="24">
        <v>702.0</v>
      </c>
      <c r="I6795" s="24">
        <v>8501.0</v>
      </c>
      <c r="J6795" s="24">
        <v>0.0</v>
      </c>
      <c r="K6795" s="23" t="s">
        <v>34</v>
      </c>
      <c r="L6795" s="25">
        <v>41468.27658564815</v>
      </c>
      <c r="M6795" s="28"/>
      <c r="N6795" s="26" t="s">
        <v>15223</v>
      </c>
      <c r="O6795" s="22" t="str">
        <f>HYPERLINK("https://pbs.twimg.com/profile_images/876037068190887939/2K6kdDzT_normal.jpg","View")</f>
        <v>View</v>
      </c>
      <c r="P6795" s="27"/>
    </row>
    <row r="6796">
      <c r="A6796" s="14">
        <v>43031.46844907408</v>
      </c>
      <c r="B6796" s="20" t="str">
        <f>HYPERLINK("https://twitter.com/eantolini1","@eantolini1")</f>
        <v>@eantolini1</v>
      </c>
      <c r="C6796" s="21" t="s">
        <v>15224</v>
      </c>
      <c r="D6796" s="21" t="s">
        <v>15225</v>
      </c>
      <c r="E6796" s="22" t="str">
        <f>HYPERLINK("https://twitter.com/eantolini1/status/922526680425607168","922526680425607168")</f>
        <v>922526680425607168</v>
      </c>
      <c r="F6796" s="23" t="s">
        <v>48</v>
      </c>
      <c r="G6796" s="24">
        <v>98.0</v>
      </c>
      <c r="H6796" s="24">
        <v>261.0</v>
      </c>
      <c r="I6796" s="24">
        <v>0.0</v>
      </c>
      <c r="J6796" s="24">
        <v>0.0</v>
      </c>
      <c r="K6796" s="23" t="s">
        <v>34</v>
      </c>
      <c r="L6796" s="25">
        <v>41158.28418981482</v>
      </c>
      <c r="M6796" s="28"/>
      <c r="N6796" s="26" t="s">
        <v>15226</v>
      </c>
      <c r="O6796" s="22" t="str">
        <f>HYPERLINK("https://pbs.twimg.com/profile_images/787676194615484417/0DIDWWFD_normal.jpg","View")</f>
        <v>View</v>
      </c>
      <c r="P6796" s="27"/>
    </row>
    <row r="6797">
      <c r="A6797" s="14">
        <v>43031.46872685185</v>
      </c>
      <c r="B6797" s="20" t="str">
        <f>HYPERLINK("https://twitter.com/pastorabharris","@pastorabharris")</f>
        <v>@pastorabharris</v>
      </c>
      <c r="C6797" s="21" t="s">
        <v>15227</v>
      </c>
      <c r="D6797" s="21" t="s">
        <v>15228</v>
      </c>
      <c r="E6797" s="22" t="str">
        <f>HYPERLINK("https://twitter.com/pastorabharris/status/922526780895973382","922526780895973382")</f>
        <v>922526780895973382</v>
      </c>
      <c r="F6797" s="23" t="s">
        <v>33</v>
      </c>
      <c r="G6797" s="24">
        <v>1207.0</v>
      </c>
      <c r="H6797" s="24">
        <v>385.0</v>
      </c>
      <c r="I6797" s="24">
        <v>3.0</v>
      </c>
      <c r="J6797" s="24">
        <v>0.0</v>
      </c>
      <c r="K6797" s="23" t="s">
        <v>34</v>
      </c>
      <c r="L6797" s="25">
        <v>40698.907800925925</v>
      </c>
      <c r="M6797" s="26" t="s">
        <v>15229</v>
      </c>
      <c r="N6797" s="26" t="s">
        <v>15230</v>
      </c>
      <c r="O6797" s="22" t="str">
        <f>HYPERLINK("https://pbs.twimg.com/profile_images/546241028701700096/0VmdinTy_normal.jpeg","View")</f>
        <v>View</v>
      </c>
      <c r="P6797" s="27"/>
    </row>
    <row r="6798">
      <c r="A6798" s="14">
        <v>43031.46873842593</v>
      </c>
      <c r="B6798" s="20" t="str">
        <f>HYPERLINK("https://twitter.com/ashuthosh_","@ashuthosh_")</f>
        <v>@ashuthosh_</v>
      </c>
      <c r="C6798" s="21" t="s">
        <v>15231</v>
      </c>
      <c r="D6798" s="21" t="s">
        <v>163</v>
      </c>
      <c r="E6798" s="22" t="str">
        <f>HYPERLINK("https://twitter.com/ashuthosh_/status/922526784406638592","922526784406638592")</f>
        <v>922526784406638592</v>
      </c>
      <c r="F6798" s="23" t="s">
        <v>33</v>
      </c>
      <c r="G6798" s="24">
        <v>67.0</v>
      </c>
      <c r="H6798" s="24">
        <v>119.0</v>
      </c>
      <c r="I6798" s="24">
        <v>1005.0</v>
      </c>
      <c r="J6798" s="24">
        <v>0.0</v>
      </c>
      <c r="K6798" s="23" t="s">
        <v>34</v>
      </c>
      <c r="L6798" s="25">
        <v>41785.51615740741</v>
      </c>
      <c r="M6798" s="28"/>
      <c r="N6798" s="28"/>
      <c r="O6798" s="22" t="str">
        <f>HYPERLINK("https://pbs.twimg.com/profile_images/557630182467829760/zV6h3CQ__normal.jpeg","View")</f>
        <v>View</v>
      </c>
      <c r="P6798" s="27"/>
    </row>
    <row r="6799">
      <c r="A6799" s="14">
        <v>43031.468946759254</v>
      </c>
      <c r="B6799" s="20" t="str">
        <f>HYPERLINK("https://twitter.com/Barasa89","@Barasa89")</f>
        <v>@Barasa89</v>
      </c>
      <c r="C6799" s="21" t="s">
        <v>4459</v>
      </c>
      <c r="D6799" s="21" t="s">
        <v>14748</v>
      </c>
      <c r="E6799" s="22" t="str">
        <f>HYPERLINK("https://twitter.com/Barasa89/status/922526858863923201","922526858863923201")</f>
        <v>922526858863923201</v>
      </c>
      <c r="F6799" s="23" t="s">
        <v>33</v>
      </c>
      <c r="G6799" s="24">
        <v>643.0</v>
      </c>
      <c r="H6799" s="24">
        <v>463.0</v>
      </c>
      <c r="I6799" s="24">
        <v>46.0</v>
      </c>
      <c r="J6799" s="24">
        <v>0.0</v>
      </c>
      <c r="K6799" s="23" t="s">
        <v>34</v>
      </c>
      <c r="L6799" s="25">
        <v>41730.15368055555</v>
      </c>
      <c r="M6799" s="28"/>
      <c r="N6799" s="26" t="s">
        <v>4460</v>
      </c>
      <c r="O6799" s="22" t="str">
        <f>HYPERLINK("https://pbs.twimg.com/profile_images/819845661172658176/NhXCjfVm_normal.jpg","View")</f>
        <v>View</v>
      </c>
      <c r="P6799" s="27"/>
    </row>
    <row r="6800">
      <c r="A6800" s="14">
        <v>43031.46909722222</v>
      </c>
      <c r="B6800" s="20" t="str">
        <f t="shared" ref="B6800:B6801" si="115">HYPERLINK("https://twitter.com/CryptoTraderPro","@CryptoTraderPro")</f>
        <v>@CryptoTraderPro</v>
      </c>
      <c r="C6800" s="21" t="s">
        <v>15232</v>
      </c>
      <c r="D6800" s="21" t="s">
        <v>15233</v>
      </c>
      <c r="E6800" s="22" t="str">
        <f>HYPERLINK("https://twitter.com/CryptoTraderPro/status/922526915264573440","922526915264573440")</f>
        <v>922526915264573440</v>
      </c>
      <c r="F6800" s="30" t="s">
        <v>411</v>
      </c>
      <c r="G6800" s="24">
        <v>19575.0</v>
      </c>
      <c r="H6800" s="24">
        <v>15505.0</v>
      </c>
      <c r="I6800" s="24">
        <v>0.0</v>
      </c>
      <c r="J6800" s="24">
        <v>0.0</v>
      </c>
      <c r="K6800" s="23" t="s">
        <v>34</v>
      </c>
      <c r="L6800" s="25">
        <v>39684.84548611111</v>
      </c>
      <c r="M6800" s="26" t="s">
        <v>15234</v>
      </c>
      <c r="N6800" s="26" t="s">
        <v>15235</v>
      </c>
      <c r="O6800" s="22" t="str">
        <f t="shared" ref="O6800:O6801" si="116">HYPERLINK("https://pbs.twimg.com/profile_images/894645545079373824/UU7tyYTY_normal.jpg","View")</f>
        <v>View</v>
      </c>
      <c r="P6800" s="27"/>
    </row>
    <row r="6801">
      <c r="A6801" s="14">
        <v>43031.4691087963</v>
      </c>
      <c r="B6801" s="20" t="str">
        <f t="shared" si="115"/>
        <v>@CryptoTraderPro</v>
      </c>
      <c r="C6801" s="21" t="s">
        <v>15232</v>
      </c>
      <c r="D6801" s="21" t="s">
        <v>15236</v>
      </c>
      <c r="E6801" s="22" t="str">
        <f>HYPERLINK("https://twitter.com/CryptoTraderPro/status/922526916669620224","922526916669620224")</f>
        <v>922526916669620224</v>
      </c>
      <c r="F6801" s="30" t="s">
        <v>411</v>
      </c>
      <c r="G6801" s="24">
        <v>19575.0</v>
      </c>
      <c r="H6801" s="24">
        <v>15505.0</v>
      </c>
      <c r="I6801" s="24">
        <v>0.0</v>
      </c>
      <c r="J6801" s="24">
        <v>0.0</v>
      </c>
      <c r="K6801" s="23" t="s">
        <v>34</v>
      </c>
      <c r="L6801" s="25">
        <v>39684.84548611111</v>
      </c>
      <c r="M6801" s="26" t="s">
        <v>15234</v>
      </c>
      <c r="N6801" s="26" t="s">
        <v>15235</v>
      </c>
      <c r="O6801" s="22" t="str">
        <f t="shared" si="116"/>
        <v>View</v>
      </c>
      <c r="P6801" s="27"/>
    </row>
    <row r="6802">
      <c r="A6802" s="14">
        <v>43031.46912037037</v>
      </c>
      <c r="B6802" s="20" t="str">
        <f>HYPERLINK("https://twitter.com/alistairpge","@alistairpge")</f>
        <v>@alistairpge</v>
      </c>
      <c r="C6802" s="21" t="s">
        <v>12358</v>
      </c>
      <c r="D6802" s="21" t="s">
        <v>12974</v>
      </c>
      <c r="E6802" s="22" t="str">
        <f>HYPERLINK("https://twitter.com/alistairpge/status/922526920956436485","922526920956436485")</f>
        <v>922526920956436485</v>
      </c>
      <c r="F6802" s="23" t="s">
        <v>39</v>
      </c>
      <c r="G6802" s="24">
        <v>1025.0</v>
      </c>
      <c r="H6802" s="24">
        <v>269.0</v>
      </c>
      <c r="I6802" s="24">
        <v>110.0</v>
      </c>
      <c r="J6802" s="24">
        <v>0.0</v>
      </c>
      <c r="K6802" s="23" t="s">
        <v>34</v>
      </c>
      <c r="L6802" s="25">
        <v>41654.308958333335</v>
      </c>
      <c r="M6802" s="26" t="s">
        <v>10585</v>
      </c>
      <c r="N6802" s="26" t="s">
        <v>12360</v>
      </c>
      <c r="O6802" s="22" t="str">
        <f>HYPERLINK("https://pbs.twimg.com/profile_images/702803430662938625/ZRfX_XIK_normal.jpg","View")</f>
        <v>View</v>
      </c>
      <c r="P6802" s="27"/>
    </row>
    <row r="6803">
      <c r="A6803" s="14">
        <v>43031.469293981485</v>
      </c>
      <c r="B6803" s="20" t="str">
        <f>HYPERLINK("https://twitter.com/ssomvanshi","@ssomvanshi")</f>
        <v>@ssomvanshi</v>
      </c>
      <c r="C6803" s="21" t="s">
        <v>15237</v>
      </c>
      <c r="D6803" s="21" t="s">
        <v>42</v>
      </c>
      <c r="E6803" s="22" t="str">
        <f>HYPERLINK("https://twitter.com/ssomvanshi/status/922526982939713536","922526982939713536")</f>
        <v>922526982939713536</v>
      </c>
      <c r="F6803" s="23" t="s">
        <v>55</v>
      </c>
      <c r="G6803" s="24">
        <v>521.0</v>
      </c>
      <c r="H6803" s="24">
        <v>458.0</v>
      </c>
      <c r="I6803" s="24">
        <v>8501.0</v>
      </c>
      <c r="J6803" s="24">
        <v>0.0</v>
      </c>
      <c r="K6803" s="23" t="s">
        <v>34</v>
      </c>
      <c r="L6803" s="25">
        <v>40314.03199074074</v>
      </c>
      <c r="M6803" s="26" t="s">
        <v>204</v>
      </c>
      <c r="N6803" s="26" t="s">
        <v>15238</v>
      </c>
      <c r="O6803" s="22" t="str">
        <f>HYPERLINK("https://pbs.twimg.com/profile_images/833280978835509248/QXRCINhx_normal.jpg","View")</f>
        <v>View</v>
      </c>
      <c r="P6803" s="27"/>
    </row>
    <row r="6804">
      <c r="A6804" s="14">
        <v>43031.469305555554</v>
      </c>
      <c r="B6804" s="20" t="str">
        <f>HYPERLINK("https://twitter.com/tsisaga","@tsisaga")</f>
        <v>@tsisaga</v>
      </c>
      <c r="C6804" s="21" t="s">
        <v>15239</v>
      </c>
      <c r="D6804" s="21" t="s">
        <v>32</v>
      </c>
      <c r="E6804" s="22" t="str">
        <f>HYPERLINK("https://twitter.com/tsisaga/status/922526989000392710","922526989000392710")</f>
        <v>922526989000392710</v>
      </c>
      <c r="F6804" s="23" t="s">
        <v>33</v>
      </c>
      <c r="G6804" s="24">
        <v>1373.0</v>
      </c>
      <c r="H6804" s="24">
        <v>1765.0</v>
      </c>
      <c r="I6804" s="24">
        <v>471.0</v>
      </c>
      <c r="J6804" s="24">
        <v>0.0</v>
      </c>
      <c r="K6804" s="23" t="s">
        <v>34</v>
      </c>
      <c r="L6804" s="25">
        <v>40639.52247685185</v>
      </c>
      <c r="M6804" s="26" t="s">
        <v>15240</v>
      </c>
      <c r="N6804" s="26" t="s">
        <v>15241</v>
      </c>
      <c r="O6804" s="22" t="str">
        <f>HYPERLINK("https://pbs.twimg.com/profile_images/915963611016818694/IUfIJ4zp_normal.jpg","View")</f>
        <v>View</v>
      </c>
      <c r="P6804" s="27"/>
    </row>
    <row r="6805">
      <c r="A6805" s="14">
        <v>43031.46931712963</v>
      </c>
      <c r="B6805" s="20" t="str">
        <f>HYPERLINK("https://twitter.com/EpsllonRedCross","@EpsllonRedCross")</f>
        <v>@EpsllonRedCross</v>
      </c>
      <c r="C6805" s="21" t="s">
        <v>15242</v>
      </c>
      <c r="D6805" s="21" t="s">
        <v>2369</v>
      </c>
      <c r="E6805" s="22" t="str">
        <f>HYPERLINK("https://twitter.com/EpsllonRedCross/status/922526993933111297","922526993933111297")</f>
        <v>922526993933111297</v>
      </c>
      <c r="F6805" s="23" t="s">
        <v>33</v>
      </c>
      <c r="G6805" s="24">
        <v>37.0</v>
      </c>
      <c r="H6805" s="24">
        <v>1009.0</v>
      </c>
      <c r="I6805" s="24">
        <v>23.0</v>
      </c>
      <c r="J6805" s="24">
        <v>0.0</v>
      </c>
      <c r="K6805" s="23" t="s">
        <v>34</v>
      </c>
      <c r="L6805" s="25">
        <v>41742.91402777778</v>
      </c>
      <c r="M6805" s="26" t="s">
        <v>15243</v>
      </c>
      <c r="N6805" s="26" t="s">
        <v>15244</v>
      </c>
      <c r="O6805" s="22" t="str">
        <f>HYPERLINK("https://pbs.twimg.com/profile_images/749769552494530561/0sOe8U3k_normal.jpg","View")</f>
        <v>View</v>
      </c>
      <c r="P6805" s="27"/>
    </row>
    <row r="6806">
      <c r="A6806" s="14">
        <v>43031.469375</v>
      </c>
      <c r="B6806" s="20" t="str">
        <f>HYPERLINK("https://twitter.com/PMunozLorite","@PMunozLorite")</f>
        <v>@PMunozLorite</v>
      </c>
      <c r="C6806" s="21" t="s">
        <v>3088</v>
      </c>
      <c r="D6806" s="21" t="s">
        <v>15245</v>
      </c>
      <c r="E6806" s="22" t="str">
        <f>HYPERLINK("https://twitter.com/PMunozLorite/status/922527015034552320","922527015034552320")</f>
        <v>922527015034552320</v>
      </c>
      <c r="F6806" s="23" t="s">
        <v>427</v>
      </c>
      <c r="G6806" s="24">
        <v>2683.0</v>
      </c>
      <c r="H6806" s="24">
        <v>4949.0</v>
      </c>
      <c r="I6806" s="24">
        <v>0.0</v>
      </c>
      <c r="J6806" s="24">
        <v>0.0</v>
      </c>
      <c r="K6806" s="23" t="s">
        <v>34</v>
      </c>
      <c r="L6806" s="25">
        <v>39769.58929398148</v>
      </c>
      <c r="M6806" s="26" t="s">
        <v>3090</v>
      </c>
      <c r="N6806" s="26" t="s">
        <v>3091</v>
      </c>
      <c r="O6806" s="22" t="str">
        <f>HYPERLINK("https://pbs.twimg.com/profile_images/574247662901403648/LzeOfYmt_normal.jpeg","View")</f>
        <v>View</v>
      </c>
      <c r="P6806" s="27"/>
    </row>
    <row r="6807">
      <c r="A6807" s="14">
        <v>43031.469409722224</v>
      </c>
      <c r="B6807" s="20" t="str">
        <f>HYPERLINK("https://twitter.com/NathanMamata","@NathanMamata")</f>
        <v>@NathanMamata</v>
      </c>
      <c r="C6807" s="21" t="s">
        <v>15246</v>
      </c>
      <c r="D6807" s="21" t="s">
        <v>42</v>
      </c>
      <c r="E6807" s="22" t="str">
        <f>HYPERLINK("https://twitter.com/NathanMamata/status/922527028032585729","922527028032585729")</f>
        <v>922527028032585729</v>
      </c>
      <c r="F6807" s="23" t="s">
        <v>33</v>
      </c>
      <c r="G6807" s="24">
        <v>2.0</v>
      </c>
      <c r="H6807" s="24">
        <v>140.0</v>
      </c>
      <c r="I6807" s="24">
        <v>8501.0</v>
      </c>
      <c r="J6807" s="24">
        <v>0.0</v>
      </c>
      <c r="K6807" s="23" t="s">
        <v>34</v>
      </c>
      <c r="L6807" s="25">
        <v>43031.45688657407</v>
      </c>
      <c r="M6807" s="28"/>
      <c r="N6807" s="28"/>
      <c r="O6807" s="22" t="str">
        <f>HYPERLINK("https://pbs.twimg.com/profile_images/922526120595005440/FWOtNHwh_normal.jpg","View")</f>
        <v>View</v>
      </c>
      <c r="P6807" s="27"/>
    </row>
    <row r="6808">
      <c r="A6808" s="14">
        <v>43031.46952546296</v>
      </c>
      <c r="B6808" s="20" t="str">
        <f>HYPERLINK("https://twitter.com/thefxcoach","@thefxcoach")</f>
        <v>@thefxcoach</v>
      </c>
      <c r="C6808" s="21" t="s">
        <v>5378</v>
      </c>
      <c r="D6808" s="21" t="s">
        <v>15247</v>
      </c>
      <c r="E6808" s="22" t="str">
        <f>HYPERLINK("https://twitter.com/thefxcoach/status/922527068365180929","922527068365180929")</f>
        <v>922527068365180929</v>
      </c>
      <c r="F6808" s="23" t="s">
        <v>187</v>
      </c>
      <c r="G6808" s="24">
        <v>1142.0</v>
      </c>
      <c r="H6808" s="24">
        <v>934.0</v>
      </c>
      <c r="I6808" s="24">
        <v>0.0</v>
      </c>
      <c r="J6808" s="24">
        <v>0.0</v>
      </c>
      <c r="K6808" s="23" t="s">
        <v>34</v>
      </c>
      <c r="L6808" s="25">
        <v>42564.973761574074</v>
      </c>
      <c r="M6808" s="26" t="s">
        <v>68</v>
      </c>
      <c r="N6808" s="26" t="s">
        <v>5380</v>
      </c>
      <c r="O6808" s="22" t="str">
        <f>HYPERLINK("https://pbs.twimg.com/profile_images/812201323114340356/NDAtTyhV_normal.jpg","View")</f>
        <v>View</v>
      </c>
      <c r="P6808" s="27"/>
    </row>
    <row r="6809">
      <c r="A6809" s="14">
        <v>43031.4696412037</v>
      </c>
      <c r="B6809" s="20" t="str">
        <f>HYPERLINK("https://twitter.com/PFajkiel","@PFajkiel")</f>
        <v>@PFajkiel</v>
      </c>
      <c r="C6809" s="21" t="s">
        <v>15248</v>
      </c>
      <c r="D6809" s="21" t="s">
        <v>10614</v>
      </c>
      <c r="E6809" s="22" t="str">
        <f>HYPERLINK("https://twitter.com/PFajkiel/status/922527108894621696","922527108894621696")</f>
        <v>922527108894621696</v>
      </c>
      <c r="F6809" s="23" t="s">
        <v>230</v>
      </c>
      <c r="G6809" s="24">
        <v>77.0</v>
      </c>
      <c r="H6809" s="24">
        <v>52.0</v>
      </c>
      <c r="I6809" s="24">
        <v>159.0</v>
      </c>
      <c r="J6809" s="24">
        <v>0.0</v>
      </c>
      <c r="K6809" s="23" t="s">
        <v>34</v>
      </c>
      <c r="L6809" s="25">
        <v>41695.25775462963</v>
      </c>
      <c r="M6809" s="28"/>
      <c r="N6809" s="28"/>
      <c r="O6809" s="22" t="str">
        <f>HYPERLINK("https://abs.twimg.com/sticky/default_profile_images/default_profile_normal.png","View")</f>
        <v>View</v>
      </c>
      <c r="P6809" s="27"/>
    </row>
    <row r="6810">
      <c r="A6810" s="14">
        <v>43031.4697337963</v>
      </c>
      <c r="B6810" s="20" t="str">
        <f>HYPERLINK("https://twitter.com/dhanusat","@dhanusat")</f>
        <v>@dhanusat</v>
      </c>
      <c r="C6810" s="21" t="s">
        <v>15249</v>
      </c>
      <c r="D6810" s="21" t="s">
        <v>42</v>
      </c>
      <c r="E6810" s="22" t="str">
        <f>HYPERLINK("https://twitter.com/dhanusat/status/922527143648567296","922527143648567296")</f>
        <v>922527143648567296</v>
      </c>
      <c r="F6810" s="23" t="s">
        <v>33</v>
      </c>
      <c r="G6810" s="24">
        <v>90.0</v>
      </c>
      <c r="H6810" s="24">
        <v>428.0</v>
      </c>
      <c r="I6810" s="24">
        <v>8501.0</v>
      </c>
      <c r="J6810" s="24">
        <v>0.0</v>
      </c>
      <c r="K6810" s="23" t="s">
        <v>34</v>
      </c>
      <c r="L6810" s="25">
        <v>42455.07743055555</v>
      </c>
      <c r="M6810" s="28"/>
      <c r="N6810" s="28"/>
      <c r="O6810" s="22" t="str">
        <f>HYPERLINK("https://pbs.twimg.com/profile_images/867442470954688513/mVIMLJsR_normal.jpg","View")</f>
        <v>View</v>
      </c>
      <c r="P6810" s="27"/>
    </row>
    <row r="6811">
      <c r="A6811" s="14">
        <v>43031.46986111111</v>
      </c>
      <c r="B6811" s="20" t="str">
        <f>HYPERLINK("https://twitter.com/Superscapeland","@Superscapeland")</f>
        <v>@Superscapeland</v>
      </c>
      <c r="C6811" s="21" t="s">
        <v>15250</v>
      </c>
      <c r="D6811" s="21" t="s">
        <v>15251</v>
      </c>
      <c r="E6811" s="22" t="str">
        <f>HYPERLINK("https://twitter.com/Superscapeland/status/922527190591434758","922527190591434758")</f>
        <v>922527190591434758</v>
      </c>
      <c r="F6811" s="23" t="s">
        <v>33</v>
      </c>
      <c r="G6811" s="24">
        <v>157.0</v>
      </c>
      <c r="H6811" s="24">
        <v>305.0</v>
      </c>
      <c r="I6811" s="24">
        <v>0.0</v>
      </c>
      <c r="J6811" s="24">
        <v>0.0</v>
      </c>
      <c r="K6811" s="23" t="s">
        <v>34</v>
      </c>
      <c r="L6811" s="25">
        <v>40233.44915509259</v>
      </c>
      <c r="M6811" s="26" t="s">
        <v>15252</v>
      </c>
      <c r="N6811" s="28"/>
      <c r="O6811" s="22" t="str">
        <f>HYPERLINK("https://pbs.twimg.com/profile_images/864178615671439361/UzeicrwP_normal.jpg","View")</f>
        <v>View</v>
      </c>
      <c r="P6811" s="27"/>
    </row>
    <row r="6812">
      <c r="A6812" s="14">
        <v>43031.470243055555</v>
      </c>
      <c r="B6812" s="20" t="str">
        <f>HYPERLINK("https://twitter.com/ksyadavadvocate","@ksyadavadvocate")</f>
        <v>@ksyadavadvocate</v>
      </c>
      <c r="C6812" s="21" t="s">
        <v>15253</v>
      </c>
      <c r="D6812" s="21" t="s">
        <v>42</v>
      </c>
      <c r="E6812" s="22" t="str">
        <f>HYPERLINK("https://twitter.com/ksyadavadvocate/status/922527326667075585","922527326667075585")</f>
        <v>922527326667075585</v>
      </c>
      <c r="F6812" s="23" t="s">
        <v>33</v>
      </c>
      <c r="G6812" s="24">
        <v>176.0</v>
      </c>
      <c r="H6812" s="24">
        <v>412.0</v>
      </c>
      <c r="I6812" s="24">
        <v>8501.0</v>
      </c>
      <c r="J6812" s="24">
        <v>0.0</v>
      </c>
      <c r="K6812" s="23" t="s">
        <v>34</v>
      </c>
      <c r="L6812" s="25">
        <v>40974.793437500004</v>
      </c>
      <c r="M6812" s="26" t="s">
        <v>6559</v>
      </c>
      <c r="N6812" s="26" t="s">
        <v>15254</v>
      </c>
      <c r="O6812" s="22" t="str">
        <f>HYPERLINK("https://pbs.twimg.com/profile_images/869889822776754176/b731koRE_normal.jpg","View")</f>
        <v>View</v>
      </c>
      <c r="P6812" s="27"/>
    </row>
    <row r="6813">
      <c r="A6813" s="14">
        <v>43031.470300925925</v>
      </c>
      <c r="B6813" s="20" t="str">
        <f>HYPERLINK("https://twitter.com/farpavillians","@farpavillians")</f>
        <v>@farpavillians</v>
      </c>
      <c r="C6813" s="21" t="s">
        <v>15255</v>
      </c>
      <c r="D6813" s="21" t="s">
        <v>15256</v>
      </c>
      <c r="E6813" s="22" t="str">
        <f>HYPERLINK("https://twitter.com/farpavillians/status/922527350700630016","922527350700630016")</f>
        <v>922527350700630016</v>
      </c>
      <c r="F6813" s="23" t="s">
        <v>55</v>
      </c>
      <c r="G6813" s="24">
        <v>271.0</v>
      </c>
      <c r="H6813" s="24">
        <v>1153.0</v>
      </c>
      <c r="I6813" s="24">
        <v>0.0</v>
      </c>
      <c r="J6813" s="24">
        <v>0.0</v>
      </c>
      <c r="K6813" s="23" t="s">
        <v>34</v>
      </c>
      <c r="L6813" s="25">
        <v>39935.42959490741</v>
      </c>
      <c r="M6813" s="26" t="s">
        <v>5961</v>
      </c>
      <c r="N6813" s="26" t="s">
        <v>15257</v>
      </c>
      <c r="O6813" s="22" t="str">
        <f>HYPERLINK("https://pbs.twimg.com/profile_images/3572663278/1ac686328e3c62f50183e7c4428f9b62_normal.jpeg","View")</f>
        <v>View</v>
      </c>
      <c r="P6813" s="27"/>
    </row>
    <row r="6814">
      <c r="A6814" s="14">
        <v>43031.470405092594</v>
      </c>
      <c r="B6814" s="20" t="str">
        <f>HYPERLINK("https://twitter.com/kotomi1124","@kotomi1124")</f>
        <v>@kotomi1124</v>
      </c>
      <c r="C6814" s="21" t="s">
        <v>15258</v>
      </c>
      <c r="D6814" s="21" t="s">
        <v>10614</v>
      </c>
      <c r="E6814" s="22" t="str">
        <f>HYPERLINK("https://twitter.com/kotomi1124/status/922527386905624577","922527386905624577")</f>
        <v>922527386905624577</v>
      </c>
      <c r="F6814" s="23" t="s">
        <v>33</v>
      </c>
      <c r="G6814" s="24">
        <v>469.0</v>
      </c>
      <c r="H6814" s="24">
        <v>705.0</v>
      </c>
      <c r="I6814" s="24">
        <v>159.0</v>
      </c>
      <c r="J6814" s="24">
        <v>0.0</v>
      </c>
      <c r="K6814" s="23" t="s">
        <v>34</v>
      </c>
      <c r="L6814" s="25">
        <v>40189.246840277774</v>
      </c>
      <c r="M6814" s="26" t="s">
        <v>10001</v>
      </c>
      <c r="N6814" s="28"/>
      <c r="O6814" s="22" t="str">
        <f>HYPERLINK("https://pbs.twimg.com/profile_images/721140815460900864/CKqSU3NB_normal.jpg","View")</f>
        <v>View</v>
      </c>
      <c r="P6814" s="27"/>
    </row>
    <row r="6815">
      <c r="A6815" s="14">
        <v>43031.47050925926</v>
      </c>
      <c r="B6815" s="20" t="str">
        <f>HYPERLINK("https://twitter.com/adamsarhan","@adamsarhan")</f>
        <v>@adamsarhan</v>
      </c>
      <c r="C6815" s="21" t="s">
        <v>15259</v>
      </c>
      <c r="D6815" s="21" t="s">
        <v>2555</v>
      </c>
      <c r="E6815" s="22" t="str">
        <f>HYPERLINK("https://twitter.com/adamsarhan/status/922527423819927552","922527423819927552")</f>
        <v>922527423819927552</v>
      </c>
      <c r="F6815" s="23" t="s">
        <v>39</v>
      </c>
      <c r="G6815" s="24">
        <v>34690.0</v>
      </c>
      <c r="H6815" s="24">
        <v>4716.0</v>
      </c>
      <c r="I6815" s="24">
        <v>58.0</v>
      </c>
      <c r="J6815" s="24">
        <v>0.0</v>
      </c>
      <c r="K6815" s="23" t="s">
        <v>34</v>
      </c>
      <c r="L6815" s="25">
        <v>40057.497037037036</v>
      </c>
      <c r="M6815" s="26" t="s">
        <v>68</v>
      </c>
      <c r="N6815" s="26" t="s">
        <v>15260</v>
      </c>
      <c r="O6815" s="22" t="str">
        <f>HYPERLINK("https://pbs.twimg.com/profile_images/865297565981581313/I88T-z3T_normal.jpg","View")</f>
        <v>View</v>
      </c>
      <c r="P6815" s="27"/>
    </row>
    <row r="6816">
      <c r="A6816" s="14">
        <v>43031.471296296295</v>
      </c>
      <c r="B6816" s="20" t="str">
        <f>HYPERLINK("https://twitter.com/AMillionaireNow","@AMillionaireNow")</f>
        <v>@AMillionaireNow</v>
      </c>
      <c r="C6816" s="21" t="s">
        <v>15261</v>
      </c>
      <c r="D6816" s="21" t="s">
        <v>15262</v>
      </c>
      <c r="E6816" s="22" t="str">
        <f>HYPERLINK("https://twitter.com/AMillionaireNow/status/922527709317750784","922527709317750784")</f>
        <v>922527709317750784</v>
      </c>
      <c r="F6816" s="23" t="s">
        <v>48</v>
      </c>
      <c r="G6816" s="24">
        <v>1504.0</v>
      </c>
      <c r="H6816" s="24">
        <v>1235.0</v>
      </c>
      <c r="I6816" s="24">
        <v>0.0</v>
      </c>
      <c r="J6816" s="24">
        <v>0.0</v>
      </c>
      <c r="K6816" s="23" t="s">
        <v>34</v>
      </c>
      <c r="L6816" s="25">
        <v>40790.51938657407</v>
      </c>
      <c r="M6816" s="26" t="s">
        <v>15263</v>
      </c>
      <c r="N6816" s="28"/>
      <c r="O6816" s="22" t="str">
        <f>HYPERLINK("https://pbs.twimg.com/profile_images/1528683714/41581_144316328915514_8986_s_normal.jpg","View")</f>
        <v>View</v>
      </c>
      <c r="P6816" s="27"/>
    </row>
    <row r="6817">
      <c r="A6817" s="14">
        <v>43031.47148148148</v>
      </c>
      <c r="B6817" s="20" t="str">
        <f>HYPERLINK("https://twitter.com/MADEINJAPAN47","@MADEINJAPAN47")</f>
        <v>@MADEINJAPAN47</v>
      </c>
      <c r="C6817" s="21" t="s">
        <v>15264</v>
      </c>
      <c r="D6817" s="21" t="s">
        <v>42</v>
      </c>
      <c r="E6817" s="22" t="str">
        <f>HYPERLINK("https://twitter.com/MADEINJAPAN47/status/922527776552267776","922527776552267776")</f>
        <v>922527776552267776</v>
      </c>
      <c r="F6817" s="23" t="s">
        <v>39</v>
      </c>
      <c r="G6817" s="24">
        <v>404.0</v>
      </c>
      <c r="H6817" s="24">
        <v>392.0</v>
      </c>
      <c r="I6817" s="24">
        <v>8501.0</v>
      </c>
      <c r="J6817" s="24">
        <v>0.0</v>
      </c>
      <c r="K6817" s="23" t="s">
        <v>34</v>
      </c>
      <c r="L6817" s="25">
        <v>42072.867627314816</v>
      </c>
      <c r="M6817" s="26" t="s">
        <v>15265</v>
      </c>
      <c r="N6817" s="26" t="s">
        <v>15266</v>
      </c>
      <c r="O6817" s="22" t="str">
        <f>HYPERLINK("https://pbs.twimg.com/profile_images/655638708809437184/MCjS081b_normal.jpg","View")</f>
        <v>View</v>
      </c>
      <c r="P6817" s="27"/>
    </row>
    <row r="6818">
      <c r="A6818" s="14">
        <v>43031.4715162037</v>
      </c>
      <c r="B6818" s="20" t="str">
        <f>HYPERLINK("https://twitter.com/Mumbaihurricane","@Mumbaihurricane")</f>
        <v>@Mumbaihurricane</v>
      </c>
      <c r="C6818" s="21" t="s">
        <v>15267</v>
      </c>
      <c r="D6818" s="21" t="s">
        <v>42</v>
      </c>
      <c r="E6818" s="22" t="str">
        <f>HYPERLINK("https://twitter.com/Mumbaihurricane/status/922527787931418626","922527787931418626")</f>
        <v>922527787931418626</v>
      </c>
      <c r="F6818" s="23" t="s">
        <v>33</v>
      </c>
      <c r="G6818" s="24">
        <v>91.0</v>
      </c>
      <c r="H6818" s="24">
        <v>199.0</v>
      </c>
      <c r="I6818" s="24">
        <v>8501.0</v>
      </c>
      <c r="J6818" s="24">
        <v>0.0</v>
      </c>
      <c r="K6818" s="23" t="s">
        <v>34</v>
      </c>
      <c r="L6818" s="25">
        <v>40077.94256944444</v>
      </c>
      <c r="M6818" s="28"/>
      <c r="N6818" s="28"/>
      <c r="O6818" s="22" t="str">
        <f>HYPERLINK("https://pbs.twimg.com/profile_images/2209354651/MeandAmitJi_normal.jpg","View")</f>
        <v>View</v>
      </c>
      <c r="P6818" s="27"/>
    </row>
    <row r="6819">
      <c r="A6819" s="14">
        <v>43031.47173611111</v>
      </c>
      <c r="B6819" s="20" t="str">
        <f>HYPERLINK("https://twitter.com/JayswalUmang13","@JayswalUmang13")</f>
        <v>@JayswalUmang13</v>
      </c>
      <c r="C6819" s="21" t="s">
        <v>15268</v>
      </c>
      <c r="D6819" s="21" t="s">
        <v>42</v>
      </c>
      <c r="E6819" s="22" t="str">
        <f>HYPERLINK("https://twitter.com/JayswalUmang13/status/922527869657649153","922527869657649153")</f>
        <v>922527869657649153</v>
      </c>
      <c r="F6819" s="23" t="s">
        <v>33</v>
      </c>
      <c r="G6819" s="24">
        <v>125.0</v>
      </c>
      <c r="H6819" s="24">
        <v>898.0</v>
      </c>
      <c r="I6819" s="24">
        <v>8501.0</v>
      </c>
      <c r="J6819" s="24">
        <v>0.0</v>
      </c>
      <c r="K6819" s="23" t="s">
        <v>34</v>
      </c>
      <c r="L6819" s="25">
        <v>42754.09612268519</v>
      </c>
      <c r="M6819" s="26" t="s">
        <v>11689</v>
      </c>
      <c r="N6819" s="26" t="s">
        <v>15269</v>
      </c>
      <c r="O6819" s="22" t="str">
        <f>HYPERLINK("https://pbs.twimg.com/profile_images/874872598064222208/5N1QgsHU_normal.jpg","View")</f>
        <v>View</v>
      </c>
      <c r="P6819" s="27"/>
    </row>
    <row r="6820">
      <c r="A6820" s="14">
        <v>43031.471932870365</v>
      </c>
      <c r="B6820" s="20" t="str">
        <f>HYPERLINK("https://twitter.com/headphoneson","@headphoneson")</f>
        <v>@headphoneson</v>
      </c>
      <c r="C6820" s="21" t="s">
        <v>15270</v>
      </c>
      <c r="D6820" s="21" t="s">
        <v>15271</v>
      </c>
      <c r="E6820" s="22" t="str">
        <f>HYPERLINK("https://twitter.com/headphoneson/status/922527939446452224","922527939446452224")</f>
        <v>922527939446452224</v>
      </c>
      <c r="F6820" s="23" t="s">
        <v>55</v>
      </c>
      <c r="G6820" s="24">
        <v>303.0</v>
      </c>
      <c r="H6820" s="24">
        <v>1675.0</v>
      </c>
      <c r="I6820" s="24">
        <v>0.0</v>
      </c>
      <c r="J6820" s="24">
        <v>0.0</v>
      </c>
      <c r="K6820" s="23" t="s">
        <v>34</v>
      </c>
      <c r="L6820" s="25">
        <v>40582.43935185185</v>
      </c>
      <c r="M6820" s="28"/>
      <c r="N6820" s="26" t="s">
        <v>15272</v>
      </c>
      <c r="O6820" s="22" t="str">
        <f>HYPERLINK("https://pbs.twimg.com/profile_images/888265260720734208/Hj4snrWY_normal.jpg","View")</f>
        <v>View</v>
      </c>
      <c r="P6820" s="27"/>
    </row>
    <row r="6821">
      <c r="A6821" s="14">
        <v>43031.472025462965</v>
      </c>
      <c r="B6821" s="20" t="str">
        <f>HYPERLINK("https://twitter.com/noonecareT","@noonecareT")</f>
        <v>@noonecareT</v>
      </c>
      <c r="C6821" s="21" t="s">
        <v>11515</v>
      </c>
      <c r="D6821" s="21" t="s">
        <v>42</v>
      </c>
      <c r="E6821" s="22" t="str">
        <f>HYPERLINK("https://twitter.com/noonecareT/status/922527974255222784","922527974255222784")</f>
        <v>922527974255222784</v>
      </c>
      <c r="F6821" s="23" t="s">
        <v>33</v>
      </c>
      <c r="G6821" s="24">
        <v>27.0</v>
      </c>
      <c r="H6821" s="24">
        <v>577.0</v>
      </c>
      <c r="I6821" s="24">
        <v>8501.0</v>
      </c>
      <c r="J6821" s="24">
        <v>0.0</v>
      </c>
      <c r="K6821" s="23" t="s">
        <v>34</v>
      </c>
      <c r="L6821" s="25">
        <v>42962.17649305555</v>
      </c>
      <c r="M6821" s="26" t="s">
        <v>15273</v>
      </c>
      <c r="N6821" s="26" t="s">
        <v>15274</v>
      </c>
      <c r="O6821" s="22" t="str">
        <f>HYPERLINK("https://pbs.twimg.com/profile_images/922778890845683713/rXks1ht8_normal.jpg","View")</f>
        <v>View</v>
      </c>
      <c r="P6821" s="27"/>
    </row>
    <row r="6822">
      <c r="A6822" s="14">
        <v>43031.472083333334</v>
      </c>
      <c r="B6822" s="20" t="str">
        <f>HYPERLINK("https://twitter.com/sonorasurabaya","@sonorasurabaya")</f>
        <v>@sonorasurabaya</v>
      </c>
      <c r="C6822" s="21" t="s">
        <v>15275</v>
      </c>
      <c r="D6822" s="21" t="s">
        <v>3985</v>
      </c>
      <c r="E6822" s="22" t="str">
        <f>HYPERLINK("https://twitter.com/sonorasurabaya/status/922527993917988864","922527993917988864")</f>
        <v>922527993917988864</v>
      </c>
      <c r="F6822" s="23" t="s">
        <v>39</v>
      </c>
      <c r="G6822" s="24">
        <v>4003.0</v>
      </c>
      <c r="H6822" s="24">
        <v>1614.0</v>
      </c>
      <c r="I6822" s="24">
        <v>3.0</v>
      </c>
      <c r="J6822" s="24">
        <v>0.0</v>
      </c>
      <c r="K6822" s="23" t="s">
        <v>34</v>
      </c>
      <c r="L6822" s="25">
        <v>40181.68460648148</v>
      </c>
      <c r="M6822" s="26" t="s">
        <v>15276</v>
      </c>
      <c r="N6822" s="26" t="s">
        <v>15277</v>
      </c>
      <c r="O6822" s="22" t="str">
        <f>HYPERLINK("https://pbs.twimg.com/profile_images/910059418154262528/ThgOXKHS_normal.jpg","View")</f>
        <v>View</v>
      </c>
      <c r="P6822" s="27"/>
    </row>
    <row r="6823">
      <c r="A6823" s="14">
        <v>43031.47243055556</v>
      </c>
      <c r="B6823" s="20" t="str">
        <f>HYPERLINK("https://twitter.com/GabbyOgbechie1","@GabbyOgbechie1")</f>
        <v>@GabbyOgbechie1</v>
      </c>
      <c r="C6823" s="21" t="s">
        <v>14478</v>
      </c>
      <c r="D6823" s="21" t="s">
        <v>15278</v>
      </c>
      <c r="E6823" s="22" t="str">
        <f>HYPERLINK("https://twitter.com/GabbyOgbechie1/status/922528119797534725","922528119797534725")</f>
        <v>922528119797534725</v>
      </c>
      <c r="F6823" s="30" t="s">
        <v>191</v>
      </c>
      <c r="G6823" s="24">
        <v>5066.0</v>
      </c>
      <c r="H6823" s="24">
        <v>5452.0</v>
      </c>
      <c r="I6823" s="24">
        <v>0.0</v>
      </c>
      <c r="J6823" s="24">
        <v>0.0</v>
      </c>
      <c r="K6823" s="23" t="s">
        <v>34</v>
      </c>
      <c r="L6823" s="25">
        <v>41416.53494212963</v>
      </c>
      <c r="M6823" s="26" t="s">
        <v>14480</v>
      </c>
      <c r="N6823" s="26" t="s">
        <v>14481</v>
      </c>
      <c r="O6823" s="22" t="str">
        <f>HYPERLINK("https://pbs.twimg.com/profile_images/475710173135122433/g6d6rAYp_normal.jpeg","View")</f>
        <v>View</v>
      </c>
      <c r="P6823" s="27"/>
    </row>
    <row r="6824">
      <c r="A6824" s="14">
        <v>43031.47244212963</v>
      </c>
      <c r="B6824" s="20" t="str">
        <f>HYPERLINK("https://twitter.com/TPGazette","@TPGazette")</f>
        <v>@TPGazette</v>
      </c>
      <c r="C6824" s="21" t="s">
        <v>15279</v>
      </c>
      <c r="D6824" s="21" t="s">
        <v>15280</v>
      </c>
      <c r="E6824" s="22" t="str">
        <f>HYPERLINK("https://twitter.com/TPGazette/status/922528127192043523","922528127192043523")</f>
        <v>922528127192043523</v>
      </c>
      <c r="F6824" s="30" t="s">
        <v>191</v>
      </c>
      <c r="G6824" s="24">
        <v>1782.0</v>
      </c>
      <c r="H6824" s="24">
        <v>3082.0</v>
      </c>
      <c r="I6824" s="24">
        <v>0.0</v>
      </c>
      <c r="J6824" s="24">
        <v>0.0</v>
      </c>
      <c r="K6824" s="23" t="s">
        <v>34</v>
      </c>
      <c r="L6824" s="25">
        <v>41810.667708333334</v>
      </c>
      <c r="M6824" s="26" t="s">
        <v>3331</v>
      </c>
      <c r="N6824" s="28"/>
      <c r="O6824" s="22" t="str">
        <f>HYPERLINK("https://pbs.twimg.com/profile_images/480127633238155264/J6JkunUi_normal.jpeg","View")</f>
        <v>View</v>
      </c>
      <c r="P6824" s="27"/>
    </row>
    <row r="6825">
      <c r="A6825" s="14">
        <v>43031.47251157407</v>
      </c>
      <c r="B6825" s="20" t="str">
        <f>HYPERLINK("https://twitter.com/RaiRaghvendra","@RaiRaghvendra")</f>
        <v>@RaiRaghvendra</v>
      </c>
      <c r="C6825" s="21" t="s">
        <v>15281</v>
      </c>
      <c r="D6825" s="21" t="s">
        <v>42</v>
      </c>
      <c r="E6825" s="22" t="str">
        <f>HYPERLINK("https://twitter.com/RaiRaghvendra/status/922528151502143488","922528151502143488")</f>
        <v>922528151502143488</v>
      </c>
      <c r="F6825" s="23" t="s">
        <v>43</v>
      </c>
      <c r="G6825" s="24">
        <v>18.0</v>
      </c>
      <c r="H6825" s="24">
        <v>30.0</v>
      </c>
      <c r="I6825" s="24">
        <v>8501.0</v>
      </c>
      <c r="J6825" s="24">
        <v>0.0</v>
      </c>
      <c r="K6825" s="23" t="s">
        <v>34</v>
      </c>
      <c r="L6825" s="25">
        <v>40957.16751157407</v>
      </c>
      <c r="M6825" s="26" t="s">
        <v>15282</v>
      </c>
      <c r="N6825" s="26" t="s">
        <v>15283</v>
      </c>
      <c r="O6825" s="22" t="str">
        <f>HYPERLINK("https://pbs.twimg.com/profile_images/888638293776125953/XX1rpxSm_normal.jpg","View")</f>
        <v>View</v>
      </c>
      <c r="P6825" s="27"/>
    </row>
    <row r="6826">
      <c r="A6826" s="14">
        <v>43031.472546296296</v>
      </c>
      <c r="B6826" s="20" t="str">
        <f>HYPERLINK("https://twitter.com/IndusSpirit","@IndusSpirit")</f>
        <v>@IndusSpirit</v>
      </c>
      <c r="C6826" s="21" t="s">
        <v>15284</v>
      </c>
      <c r="D6826" s="21" t="s">
        <v>42</v>
      </c>
      <c r="E6826" s="22" t="str">
        <f>HYPERLINK("https://twitter.com/IndusSpirit/status/922528164420534273","922528164420534273")</f>
        <v>922528164420534273</v>
      </c>
      <c r="F6826" s="23" t="s">
        <v>55</v>
      </c>
      <c r="G6826" s="24">
        <v>6297.0</v>
      </c>
      <c r="H6826" s="24">
        <v>1165.0</v>
      </c>
      <c r="I6826" s="24">
        <v>8501.0</v>
      </c>
      <c r="J6826" s="24">
        <v>0.0</v>
      </c>
      <c r="K6826" s="23" t="s">
        <v>34</v>
      </c>
      <c r="L6826" s="25">
        <v>41021.82194444444</v>
      </c>
      <c r="M6826" s="26" t="s">
        <v>15285</v>
      </c>
      <c r="N6826" s="26" t="s">
        <v>15286</v>
      </c>
      <c r="O6826" s="22" t="str">
        <f>HYPERLINK("https://pbs.twimg.com/profile_images/914483585641463808/xKfctqw4_normal.jpg","View")</f>
        <v>View</v>
      </c>
      <c r="P6826" s="27"/>
    </row>
    <row r="6827">
      <c r="A6827" s="14">
        <v>43031.473078703704</v>
      </c>
      <c r="B6827" s="20" t="str">
        <f>HYPERLINK("https://twitter.com/DilipCh86813318","@DilipCh86813318")</f>
        <v>@DilipCh86813318</v>
      </c>
      <c r="C6827" s="21" t="s">
        <v>15287</v>
      </c>
      <c r="D6827" s="21" t="s">
        <v>42</v>
      </c>
      <c r="E6827" s="22" t="str">
        <f>HYPERLINK("https://twitter.com/DilipCh86813318/status/922528354221178881","922528354221178881")</f>
        <v>922528354221178881</v>
      </c>
      <c r="F6827" s="23" t="s">
        <v>33</v>
      </c>
      <c r="G6827" s="24">
        <v>1.0</v>
      </c>
      <c r="H6827" s="24">
        <v>150.0</v>
      </c>
      <c r="I6827" s="24">
        <v>8501.0</v>
      </c>
      <c r="J6827" s="24">
        <v>0.0</v>
      </c>
      <c r="K6827" s="23" t="s">
        <v>34</v>
      </c>
      <c r="L6827" s="25">
        <v>43031.45609953704</v>
      </c>
      <c r="M6827" s="26" t="s">
        <v>3566</v>
      </c>
      <c r="N6827" s="28"/>
      <c r="O6827" s="22" t="str">
        <f>HYPERLINK("https://pbs.twimg.com/profile_images/922524527317303296/tjtJ8AwD_normal.jpg","View")</f>
        <v>View</v>
      </c>
      <c r="P6827" s="27"/>
    </row>
    <row r="6828">
      <c r="A6828" s="14">
        <v>43031.473541666666</v>
      </c>
      <c r="B6828" s="20" t="str">
        <f>HYPERLINK("https://twitter.com/krameshmenon","@krameshmenon")</f>
        <v>@krameshmenon</v>
      </c>
      <c r="C6828" s="21" t="s">
        <v>15288</v>
      </c>
      <c r="D6828" s="21" t="s">
        <v>42</v>
      </c>
      <c r="E6828" s="22" t="str">
        <f>HYPERLINK("https://twitter.com/krameshmenon/status/922528524795133952","922528524795133952")</f>
        <v>922528524795133952</v>
      </c>
      <c r="F6828" s="23" t="s">
        <v>33</v>
      </c>
      <c r="G6828" s="24">
        <v>3501.0</v>
      </c>
      <c r="H6828" s="24">
        <v>1872.0</v>
      </c>
      <c r="I6828" s="24">
        <v>8501.0</v>
      </c>
      <c r="J6828" s="24">
        <v>0.0</v>
      </c>
      <c r="K6828" s="23" t="s">
        <v>34</v>
      </c>
      <c r="L6828" s="25">
        <v>39944.100381944445</v>
      </c>
      <c r="M6828" s="26" t="s">
        <v>15289</v>
      </c>
      <c r="N6828" s="26" t="s">
        <v>15290</v>
      </c>
      <c r="O6828" s="22" t="str">
        <f>HYPERLINK("https://pbs.twimg.com/profile_images/867748301805948928/BockkG0U_normal.jpg","View")</f>
        <v>View</v>
      </c>
      <c r="P6828" s="27"/>
    </row>
    <row r="6829">
      <c r="A6829" s="14">
        <v>43031.47388888889</v>
      </c>
      <c r="B6829" s="20" t="str">
        <f>HYPERLINK("https://twitter.com/paulgo71","@paulgo71")</f>
        <v>@paulgo71</v>
      </c>
      <c r="C6829" s="21" t="s">
        <v>15291</v>
      </c>
      <c r="D6829" s="21" t="s">
        <v>42</v>
      </c>
      <c r="E6829" s="22" t="str">
        <f>HYPERLINK("https://twitter.com/paulgo71/status/922528648665513984","922528648665513984")</f>
        <v>922528648665513984</v>
      </c>
      <c r="F6829" s="23" t="s">
        <v>39</v>
      </c>
      <c r="G6829" s="24">
        <v>7.0</v>
      </c>
      <c r="H6829" s="24">
        <v>9.0</v>
      </c>
      <c r="I6829" s="24">
        <v>8501.0</v>
      </c>
      <c r="J6829" s="24">
        <v>0.0</v>
      </c>
      <c r="K6829" s="23" t="s">
        <v>34</v>
      </c>
      <c r="L6829" s="25">
        <v>40304.309953703705</v>
      </c>
      <c r="M6829" s="26" t="s">
        <v>15292</v>
      </c>
      <c r="N6829" s="26" t="s">
        <v>15293</v>
      </c>
      <c r="O6829" s="22" t="str">
        <f>HYPERLINK("https://pbs.twimg.com/profile_images/1631636500/Gopal_normal.jpg","View")</f>
        <v>View</v>
      </c>
      <c r="P6829" s="27"/>
    </row>
    <row r="6830">
      <c r="A6830" s="14">
        <v>43031.474016203705</v>
      </c>
      <c r="B6830" s="20" t="str">
        <f>HYPERLINK("https://twitter.com/PMoallemian","@PMoallemian")</f>
        <v>@PMoallemian</v>
      </c>
      <c r="C6830" s="21" t="s">
        <v>1959</v>
      </c>
      <c r="D6830" s="21" t="s">
        <v>15294</v>
      </c>
      <c r="E6830" s="22" t="str">
        <f>HYPERLINK("https://twitter.com/PMoallemian/status/922528695721627652","922528695721627652")</f>
        <v>922528695721627652</v>
      </c>
      <c r="F6830" s="23" t="s">
        <v>187</v>
      </c>
      <c r="G6830" s="24">
        <v>5102.0</v>
      </c>
      <c r="H6830" s="24">
        <v>90.0</v>
      </c>
      <c r="I6830" s="24">
        <v>0.0</v>
      </c>
      <c r="J6830" s="24">
        <v>0.0</v>
      </c>
      <c r="K6830" s="23" t="s">
        <v>34</v>
      </c>
      <c r="L6830" s="25">
        <v>39556.68920138889</v>
      </c>
      <c r="M6830" s="26" t="s">
        <v>1961</v>
      </c>
      <c r="N6830" s="26" t="s">
        <v>1962</v>
      </c>
      <c r="O6830" s="22" t="str">
        <f>HYPERLINK("https://pbs.twimg.com/profile_images/2383496814/8p8tjkit7a1nmjrarib6_normal.jpeg","View")</f>
        <v>View</v>
      </c>
      <c r="P6830" s="27"/>
    </row>
    <row r="6831">
      <c r="A6831" s="14">
        <v>43031.474386574075</v>
      </c>
      <c r="B6831" s="20" t="str">
        <f>HYPERLINK("https://twitter.com/Timesolizer","@Timesolizer")</f>
        <v>@Timesolizer</v>
      </c>
      <c r="C6831" s="21" t="s">
        <v>11569</v>
      </c>
      <c r="D6831" s="21" t="s">
        <v>15295</v>
      </c>
      <c r="E6831" s="22" t="str">
        <f>HYPERLINK("https://twitter.com/Timesolizer/status/922528828181893120","922528828181893120")</f>
        <v>922528828181893120</v>
      </c>
      <c r="F6831" s="23" t="s">
        <v>11571</v>
      </c>
      <c r="G6831" s="24">
        <v>1798.0</v>
      </c>
      <c r="H6831" s="24">
        <v>361.0</v>
      </c>
      <c r="I6831" s="24">
        <v>0.0</v>
      </c>
      <c r="J6831" s="24">
        <v>0.0</v>
      </c>
      <c r="K6831" s="23" t="s">
        <v>34</v>
      </c>
      <c r="L6831" s="25">
        <v>42027.10524305556</v>
      </c>
      <c r="M6831" s="26" t="s">
        <v>92</v>
      </c>
      <c r="N6831" s="26" t="s">
        <v>11572</v>
      </c>
      <c r="O6831" s="22" t="str">
        <f>HYPERLINK("https://pbs.twimg.com/profile_images/558573226423353344/Xjj7p4qe_normal.jpeg","View")</f>
        <v>View</v>
      </c>
      <c r="P6831" s="27"/>
    </row>
    <row r="6832">
      <c r="A6832" s="14">
        <v>43031.4744212963</v>
      </c>
      <c r="B6832" s="20" t="str">
        <f>HYPERLINK("https://twitter.com/manisheye","@manisheye")</f>
        <v>@manisheye</v>
      </c>
      <c r="C6832" s="21" t="s">
        <v>15296</v>
      </c>
      <c r="D6832" s="21" t="s">
        <v>42</v>
      </c>
      <c r="E6832" s="22" t="str">
        <f>HYPERLINK("https://twitter.com/manisheye/status/922528843352522754","922528843352522754")</f>
        <v>922528843352522754</v>
      </c>
      <c r="F6832" s="23" t="s">
        <v>33</v>
      </c>
      <c r="G6832" s="24">
        <v>162.0</v>
      </c>
      <c r="H6832" s="24">
        <v>144.0</v>
      </c>
      <c r="I6832" s="24">
        <v>8501.0</v>
      </c>
      <c r="J6832" s="24">
        <v>0.0</v>
      </c>
      <c r="K6832" s="23" t="s">
        <v>34</v>
      </c>
      <c r="L6832" s="25">
        <v>40078.27528935185</v>
      </c>
      <c r="M6832" s="26" t="s">
        <v>246</v>
      </c>
      <c r="N6832" s="26" t="s">
        <v>15297</v>
      </c>
      <c r="O6832" s="22" t="str">
        <f>HYPERLINK("https://pbs.twimg.com/profile_images/922910382334754816/dzsTBLTq_normal.jpg","View")</f>
        <v>View</v>
      </c>
      <c r="P6832" s="27"/>
    </row>
    <row r="6833">
      <c r="A6833" s="14">
        <v>43031.47453703704</v>
      </c>
      <c r="B6833" s="20" t="str">
        <f>HYPERLINK("https://twitter.com/MumbaiAmchi","@MumbaiAmchi")</f>
        <v>@MumbaiAmchi</v>
      </c>
      <c r="C6833" s="21" t="s">
        <v>15298</v>
      </c>
      <c r="D6833" s="21" t="s">
        <v>42</v>
      </c>
      <c r="E6833" s="22" t="str">
        <f>HYPERLINK("https://twitter.com/MumbaiAmchi/status/922528884826017792","922528884826017792")</f>
        <v>922528884826017792</v>
      </c>
      <c r="F6833" s="23" t="s">
        <v>33</v>
      </c>
      <c r="G6833" s="24">
        <v>266.0</v>
      </c>
      <c r="H6833" s="24">
        <v>780.0</v>
      </c>
      <c r="I6833" s="24">
        <v>8501.0</v>
      </c>
      <c r="J6833" s="24">
        <v>0.0</v>
      </c>
      <c r="K6833" s="23" t="s">
        <v>34</v>
      </c>
      <c r="L6833" s="25">
        <v>42497.44537037037</v>
      </c>
      <c r="M6833" s="26" t="s">
        <v>204</v>
      </c>
      <c r="N6833" s="26" t="s">
        <v>15299</v>
      </c>
      <c r="O6833" s="22" t="str">
        <f>HYPERLINK("https://abs.twimg.com/sticky/default_profile_images/default_profile_normal.png","View")</f>
        <v>View</v>
      </c>
      <c r="P6833" s="27"/>
    </row>
    <row r="6834">
      <c r="A6834" s="14">
        <v>43031.47466435185</v>
      </c>
      <c r="B6834" s="20" t="str">
        <f>HYPERLINK("https://twitter.com/mrglenferris","@mrglenferris")</f>
        <v>@mrglenferris</v>
      </c>
      <c r="C6834" s="21" t="s">
        <v>15300</v>
      </c>
      <c r="D6834" s="21" t="s">
        <v>15301</v>
      </c>
      <c r="E6834" s="22" t="str">
        <f>HYPERLINK("https://twitter.com/mrglenferris/status/922528932246753282","922528932246753282")</f>
        <v>922528932246753282</v>
      </c>
      <c r="F6834" s="23" t="s">
        <v>33</v>
      </c>
      <c r="G6834" s="24">
        <v>154.0</v>
      </c>
      <c r="H6834" s="24">
        <v>40.0</v>
      </c>
      <c r="I6834" s="24">
        <v>1.0</v>
      </c>
      <c r="J6834" s="24">
        <v>0.0</v>
      </c>
      <c r="K6834" s="23" t="s">
        <v>34</v>
      </c>
      <c r="L6834" s="25">
        <v>41264.73829861111</v>
      </c>
      <c r="M6834" s="26" t="s">
        <v>15302</v>
      </c>
      <c r="N6834" s="26" t="s">
        <v>15303</v>
      </c>
      <c r="O6834" s="22" t="str">
        <f>HYPERLINK("https://pbs.twimg.com/profile_images/841715131457376258/0fdxZQI2_normal.jpg","View")</f>
        <v>View</v>
      </c>
      <c r="P6834" s="27"/>
    </row>
    <row r="6835">
      <c r="A6835" s="14">
        <v>43031.474907407406</v>
      </c>
      <c r="B6835" s="20" t="str">
        <f>HYPERLINK("https://twitter.com/Flights4Brexit","@Flights4Brexit")</f>
        <v>@Flights4Brexit</v>
      </c>
      <c r="C6835" s="21" t="s">
        <v>15304</v>
      </c>
      <c r="D6835" s="21" t="s">
        <v>12974</v>
      </c>
      <c r="E6835" s="22" t="str">
        <f>HYPERLINK("https://twitter.com/Flights4Brexit/status/922529018079047680","922529018079047680")</f>
        <v>922529018079047680</v>
      </c>
      <c r="F6835" s="23" t="s">
        <v>33</v>
      </c>
      <c r="G6835" s="24">
        <v>1072.0</v>
      </c>
      <c r="H6835" s="24">
        <v>1267.0</v>
      </c>
      <c r="I6835" s="24">
        <v>110.0</v>
      </c>
      <c r="J6835" s="24">
        <v>0.0</v>
      </c>
      <c r="K6835" s="23" t="s">
        <v>34</v>
      </c>
      <c r="L6835" s="25">
        <v>39914.43493055555</v>
      </c>
      <c r="M6835" s="26" t="s">
        <v>15305</v>
      </c>
      <c r="N6835" s="26" t="s">
        <v>15306</v>
      </c>
      <c r="O6835" s="22" t="str">
        <f>HYPERLINK("https://pbs.twimg.com/profile_images/920610410553888774/o8qnR9X8_normal.jpg","View")</f>
        <v>View</v>
      </c>
      <c r="P6835" s="27"/>
    </row>
    <row r="6836">
      <c r="A6836" s="14">
        <v>43031.47503472222</v>
      </c>
      <c r="B6836" s="20" t="str">
        <f>HYPERLINK("https://twitter.com/AsiaPacificFdn","@AsiaPacificFdn")</f>
        <v>@AsiaPacificFdn</v>
      </c>
      <c r="C6836" s="21" t="s">
        <v>15307</v>
      </c>
      <c r="D6836" s="21" t="s">
        <v>11750</v>
      </c>
      <c r="E6836" s="22" t="str">
        <f>HYPERLINK("https://twitter.com/AsiaPacificFdn/status/922529063327055872","922529063327055872")</f>
        <v>922529063327055872</v>
      </c>
      <c r="F6836" s="23" t="s">
        <v>55</v>
      </c>
      <c r="G6836" s="24">
        <v>4155.0</v>
      </c>
      <c r="H6836" s="24">
        <v>1165.0</v>
      </c>
      <c r="I6836" s="24">
        <v>35.0</v>
      </c>
      <c r="J6836" s="24">
        <v>0.0</v>
      </c>
      <c r="K6836" s="23" t="s">
        <v>34</v>
      </c>
      <c r="L6836" s="25">
        <v>39940.457708333335</v>
      </c>
      <c r="M6836" s="26" t="s">
        <v>15308</v>
      </c>
      <c r="N6836" s="26" t="s">
        <v>15309</v>
      </c>
      <c r="O6836" s="22" t="str">
        <f>HYPERLINK("https://pbs.twimg.com/profile_images/550019363000950784/gRaBYFSY_normal.png","View")</f>
        <v>View</v>
      </c>
      <c r="P6836" s="27"/>
    </row>
    <row r="6837">
      <c r="A6837" s="14">
        <v>43031.475324074076</v>
      </c>
      <c r="B6837" s="20" t="str">
        <f>HYPERLINK("https://twitter.com/KetanVora4","@KetanVora4")</f>
        <v>@KetanVora4</v>
      </c>
      <c r="C6837" s="21" t="s">
        <v>15310</v>
      </c>
      <c r="D6837" s="21" t="s">
        <v>2555</v>
      </c>
      <c r="E6837" s="22" t="str">
        <f>HYPERLINK("https://twitter.com/KetanVora4/status/922529170328051713","922529170328051713")</f>
        <v>922529170328051713</v>
      </c>
      <c r="F6837" s="23" t="s">
        <v>33</v>
      </c>
      <c r="G6837" s="24">
        <v>976.0</v>
      </c>
      <c r="H6837" s="24">
        <v>4574.0</v>
      </c>
      <c r="I6837" s="24">
        <v>58.0</v>
      </c>
      <c r="J6837" s="24">
        <v>0.0</v>
      </c>
      <c r="K6837" s="23" t="s">
        <v>34</v>
      </c>
      <c r="L6837" s="25">
        <v>41526.39268518519</v>
      </c>
      <c r="M6837" s="28"/>
      <c r="N6837" s="26" t="s">
        <v>15311</v>
      </c>
      <c r="O6837" s="22" t="str">
        <f>HYPERLINK("https://pbs.twimg.com/profile_images/378800000514823185/9456d7565570ed80ad77a2fdfd488145_normal.jpeg","View")</f>
        <v>View</v>
      </c>
      <c r="P6837" s="27"/>
    </row>
    <row r="6838">
      <c r="A6838" s="14">
        <v>43031.47535879629</v>
      </c>
      <c r="B6838" s="20" t="str">
        <f>HYPERLINK("https://twitter.com/RajeshK00589186","@RajeshK00589186")</f>
        <v>@RajeshK00589186</v>
      </c>
      <c r="C6838" s="21" t="s">
        <v>15312</v>
      </c>
      <c r="D6838" s="21" t="s">
        <v>42</v>
      </c>
      <c r="E6838" s="22" t="str">
        <f>HYPERLINK("https://twitter.com/RajeshK00589186/status/922529182801805312","922529182801805312")</f>
        <v>922529182801805312</v>
      </c>
      <c r="F6838" s="23" t="s">
        <v>33</v>
      </c>
      <c r="G6838" s="24">
        <v>0.0</v>
      </c>
      <c r="H6838" s="24">
        <v>22.0</v>
      </c>
      <c r="I6838" s="24">
        <v>8501.0</v>
      </c>
      <c r="J6838" s="24">
        <v>0.0</v>
      </c>
      <c r="K6838" s="23" t="s">
        <v>34</v>
      </c>
      <c r="L6838" s="25">
        <v>42833.2593287037</v>
      </c>
      <c r="M6838" s="28"/>
      <c r="N6838" s="28"/>
      <c r="O6838" s="22" t="str">
        <f t="shared" ref="O6838:O6839" si="117">HYPERLINK("https://abs.twimg.com/sticky/default_profile_images/default_profile_normal.png","View")</f>
        <v>View</v>
      </c>
      <c r="P6838" s="27"/>
    </row>
    <row r="6839">
      <c r="A6839" s="14">
        <v>43031.47535879629</v>
      </c>
      <c r="B6839" s="20" t="str">
        <f>HYPERLINK("https://twitter.com/_mr_ashutosh","@_mr_ashutosh")</f>
        <v>@_mr_ashutosh</v>
      </c>
      <c r="C6839" s="21" t="s">
        <v>15313</v>
      </c>
      <c r="D6839" s="21" t="s">
        <v>42</v>
      </c>
      <c r="E6839" s="22" t="str">
        <f>HYPERLINK("https://twitter.com/_mr_ashutosh/status/922529183493890048","922529183493890048")</f>
        <v>922529183493890048</v>
      </c>
      <c r="F6839" s="23" t="s">
        <v>33</v>
      </c>
      <c r="G6839" s="24">
        <v>2.0</v>
      </c>
      <c r="H6839" s="24">
        <v>7.0</v>
      </c>
      <c r="I6839" s="24">
        <v>8501.0</v>
      </c>
      <c r="J6839" s="24">
        <v>0.0</v>
      </c>
      <c r="K6839" s="23" t="s">
        <v>34</v>
      </c>
      <c r="L6839" s="25">
        <v>42460.49729166667</v>
      </c>
      <c r="M6839" s="28"/>
      <c r="N6839" s="28"/>
      <c r="O6839" s="22" t="str">
        <f t="shared" si="117"/>
        <v>View</v>
      </c>
      <c r="P6839" s="27"/>
    </row>
    <row r="6840">
      <c r="A6840" s="14">
        <v>43031.475393518514</v>
      </c>
      <c r="B6840" s="20" t="str">
        <f>HYPERLINK("https://twitter.com/PouniRMM","@PouniRMM")</f>
        <v>@PouniRMM</v>
      </c>
      <c r="C6840" s="21" t="s">
        <v>15314</v>
      </c>
      <c r="D6840" s="21" t="s">
        <v>15315</v>
      </c>
      <c r="E6840" s="22" t="str">
        <f>HYPERLINK("https://twitter.com/PouniRMM/status/922529196550901760","922529196550901760")</f>
        <v>922529196550901760</v>
      </c>
      <c r="F6840" s="23" t="s">
        <v>1570</v>
      </c>
      <c r="G6840" s="24">
        <v>406.0</v>
      </c>
      <c r="H6840" s="24">
        <v>1953.0</v>
      </c>
      <c r="I6840" s="24">
        <v>0.0</v>
      </c>
      <c r="J6840" s="24">
        <v>0.0</v>
      </c>
      <c r="K6840" s="23" t="s">
        <v>34</v>
      </c>
      <c r="L6840" s="25">
        <v>39984.7218287037</v>
      </c>
      <c r="M6840" s="26" t="s">
        <v>1869</v>
      </c>
      <c r="N6840" s="26" t="s">
        <v>15316</v>
      </c>
      <c r="O6840" s="22" t="str">
        <f>HYPERLINK("https://pbs.twimg.com/profile_images/668152258438307841/EKbQ09HP_normal.jpg","View")</f>
        <v>View</v>
      </c>
      <c r="P6840" s="27"/>
    </row>
    <row r="6841">
      <c r="A6841" s="14">
        <v>43031.47540509259</v>
      </c>
      <c r="B6841" s="20" t="str">
        <f>HYPERLINK("https://twitter.com/pankajt1983","@pankajt1983")</f>
        <v>@pankajt1983</v>
      </c>
      <c r="C6841" s="21" t="s">
        <v>15317</v>
      </c>
      <c r="D6841" s="21" t="s">
        <v>42</v>
      </c>
      <c r="E6841" s="22" t="str">
        <f>HYPERLINK("https://twitter.com/pankajt1983/status/922529200161951744","922529200161951744")</f>
        <v>922529200161951744</v>
      </c>
      <c r="F6841" s="23" t="s">
        <v>55</v>
      </c>
      <c r="G6841" s="24">
        <v>13.0</v>
      </c>
      <c r="H6841" s="24">
        <v>138.0</v>
      </c>
      <c r="I6841" s="24">
        <v>8501.0</v>
      </c>
      <c r="J6841" s="24">
        <v>0.0</v>
      </c>
      <c r="K6841" s="23" t="s">
        <v>34</v>
      </c>
      <c r="L6841" s="25">
        <v>41276.4571875</v>
      </c>
      <c r="M6841" s="28"/>
      <c r="N6841" s="28"/>
      <c r="O6841" s="22" t="str">
        <f>HYPERLINK("https://abs.twimg.com/sticky/default_profile_images/default_profile_normal.png","View")</f>
        <v>View</v>
      </c>
      <c r="P6841" s="27"/>
    </row>
    <row r="6842">
      <c r="A6842" s="14">
        <v>43031.47586805555</v>
      </c>
      <c r="B6842" s="20" t="str">
        <f>HYPERLINK("https://twitter.com/ggnewsus","@ggnewsus")</f>
        <v>@ggnewsus</v>
      </c>
      <c r="C6842" s="21" t="s">
        <v>13409</v>
      </c>
      <c r="D6842" s="21" t="s">
        <v>15318</v>
      </c>
      <c r="E6842" s="22" t="str">
        <f>HYPERLINK("https://twitter.com/ggnewsus/status/922529368131428352","922529368131428352")</f>
        <v>922529368131428352</v>
      </c>
      <c r="F6842" s="23" t="s">
        <v>187</v>
      </c>
      <c r="G6842" s="24">
        <v>862.0</v>
      </c>
      <c r="H6842" s="24">
        <v>143.0</v>
      </c>
      <c r="I6842" s="24">
        <v>0.0</v>
      </c>
      <c r="J6842" s="24">
        <v>0.0</v>
      </c>
      <c r="K6842" s="23" t="s">
        <v>34</v>
      </c>
      <c r="L6842" s="25">
        <v>41679.77077546297</v>
      </c>
      <c r="M6842" s="26" t="s">
        <v>13411</v>
      </c>
      <c r="N6842" s="26" t="s">
        <v>874</v>
      </c>
      <c r="O6842" s="22" t="str">
        <f>HYPERLINK("https://pbs.twimg.com/profile_images/432706003285450752/IHK6C475_normal.png","View")</f>
        <v>View</v>
      </c>
      <c r="P6842" s="27"/>
    </row>
    <row r="6843">
      <c r="A6843" s="14">
        <v>43031.47591435185</v>
      </c>
      <c r="B6843" s="20" t="str">
        <f>HYPERLINK("https://twitter.com/mrigank3561","@mrigank3561")</f>
        <v>@mrigank3561</v>
      </c>
      <c r="C6843" s="21" t="s">
        <v>15319</v>
      </c>
      <c r="D6843" s="21" t="s">
        <v>42</v>
      </c>
      <c r="E6843" s="22" t="str">
        <f>HYPERLINK("https://twitter.com/mrigank3561/status/922529382479970304","922529382479970304")</f>
        <v>922529382479970304</v>
      </c>
      <c r="F6843" s="23" t="s">
        <v>33</v>
      </c>
      <c r="G6843" s="24">
        <v>268.0</v>
      </c>
      <c r="H6843" s="24">
        <v>1611.0</v>
      </c>
      <c r="I6843" s="24">
        <v>8501.0</v>
      </c>
      <c r="J6843" s="24">
        <v>0.0</v>
      </c>
      <c r="K6843" s="23" t="s">
        <v>34</v>
      </c>
      <c r="L6843" s="25">
        <v>40678.25641203704</v>
      </c>
      <c r="M6843" s="26" t="s">
        <v>15320</v>
      </c>
      <c r="N6843" s="26" t="s">
        <v>15321</v>
      </c>
      <c r="O6843" s="22" t="str">
        <f>HYPERLINK("https://pbs.twimg.com/profile_images/2199250077/Finaly...ZINGERR_20BURGER_normal.jpg","View")</f>
        <v>View</v>
      </c>
      <c r="P6843" s="27"/>
    </row>
    <row r="6844">
      <c r="A6844" s="14">
        <v>43031.47605324074</v>
      </c>
      <c r="B6844" s="20" t="str">
        <f>HYPERLINK("https://twitter.com/shank111991","@shank111991")</f>
        <v>@shank111991</v>
      </c>
      <c r="C6844" s="21" t="s">
        <v>15322</v>
      </c>
      <c r="D6844" s="21" t="s">
        <v>42</v>
      </c>
      <c r="E6844" s="22" t="str">
        <f>HYPERLINK("https://twitter.com/shank111991/status/922529433080053760","922529433080053760")</f>
        <v>922529433080053760</v>
      </c>
      <c r="F6844" s="23" t="s">
        <v>33</v>
      </c>
      <c r="G6844" s="24">
        <v>49.0</v>
      </c>
      <c r="H6844" s="24">
        <v>209.0</v>
      </c>
      <c r="I6844" s="24">
        <v>8501.0</v>
      </c>
      <c r="J6844" s="24">
        <v>0.0</v>
      </c>
      <c r="K6844" s="23" t="s">
        <v>34</v>
      </c>
      <c r="L6844" s="25">
        <v>42351.23998842592</v>
      </c>
      <c r="M6844" s="28"/>
      <c r="N6844" s="28"/>
      <c r="O6844" s="22" t="str">
        <f>HYPERLINK("https://pbs.twimg.com/profile_images/676036518322896896/wfZqBdHq_normal.jpg","View")</f>
        <v>View</v>
      </c>
      <c r="P6844" s="27"/>
    </row>
    <row r="6845">
      <c r="A6845" s="14">
        <v>43031.47618055556</v>
      </c>
      <c r="B6845" s="20" t="str">
        <f>HYPERLINK("https://twitter.com/darshaksolanki1","@darshaksolanki1")</f>
        <v>@darshaksolanki1</v>
      </c>
      <c r="C6845" s="21" t="s">
        <v>15323</v>
      </c>
      <c r="D6845" s="21" t="s">
        <v>42</v>
      </c>
      <c r="E6845" s="22" t="str">
        <f>HYPERLINK("https://twitter.com/darshaksolanki1/status/922529479192322048","922529479192322048")</f>
        <v>922529479192322048</v>
      </c>
      <c r="F6845" s="23" t="s">
        <v>33</v>
      </c>
      <c r="G6845" s="24">
        <v>431.0</v>
      </c>
      <c r="H6845" s="24">
        <v>214.0</v>
      </c>
      <c r="I6845" s="24">
        <v>8501.0</v>
      </c>
      <c r="J6845" s="24">
        <v>0.0</v>
      </c>
      <c r="K6845" s="23" t="s">
        <v>34</v>
      </c>
      <c r="L6845" s="25">
        <v>41207.42175925926</v>
      </c>
      <c r="M6845" s="26" t="s">
        <v>10458</v>
      </c>
      <c r="N6845" s="26" t="s">
        <v>15324</v>
      </c>
      <c r="O6845" s="22" t="str">
        <f>HYPERLINK("https://pbs.twimg.com/profile_images/802605587083231233/bobEN1XV_normal.jpg","View")</f>
        <v>View</v>
      </c>
      <c r="P6845" s="27"/>
    </row>
    <row r="6846">
      <c r="A6846" s="14">
        <v>43031.47625</v>
      </c>
      <c r="B6846" s="20" t="str">
        <f>HYPERLINK("https://twitter.com/Akshugurjar010","@Akshugurjar010")</f>
        <v>@Akshugurjar010</v>
      </c>
      <c r="C6846" s="21" t="s">
        <v>15325</v>
      </c>
      <c r="D6846" s="21" t="s">
        <v>42</v>
      </c>
      <c r="E6846" s="22" t="str">
        <f>HYPERLINK("https://twitter.com/Akshugurjar010/status/922529503884206080","922529503884206080")</f>
        <v>922529503884206080</v>
      </c>
      <c r="F6846" s="23" t="s">
        <v>33</v>
      </c>
      <c r="G6846" s="24">
        <v>5.0</v>
      </c>
      <c r="H6846" s="24">
        <v>92.0</v>
      </c>
      <c r="I6846" s="24">
        <v>8501.0</v>
      </c>
      <c r="J6846" s="24">
        <v>0.0</v>
      </c>
      <c r="K6846" s="23" t="s">
        <v>34</v>
      </c>
      <c r="L6846" s="25">
        <v>43019.899456018524</v>
      </c>
      <c r="M6846" s="26" t="s">
        <v>15326</v>
      </c>
      <c r="N6846" s="26" t="s">
        <v>15327</v>
      </c>
      <c r="O6846" s="22" t="str">
        <f>HYPERLINK("https://pbs.twimg.com/profile_images/918336394522529792/dskJj_E5_normal.jpg","View")</f>
        <v>View</v>
      </c>
      <c r="P6846" s="27"/>
    </row>
    <row r="6847">
      <c r="A6847" s="14">
        <v>43031.4762962963</v>
      </c>
      <c r="B6847" s="20" t="str">
        <f>HYPERLINK("https://twitter.com/_art_of_glass","@_art_of_glass")</f>
        <v>@_art_of_glass</v>
      </c>
      <c r="C6847" s="21" t="s">
        <v>15328</v>
      </c>
      <c r="D6847" s="21" t="s">
        <v>12974</v>
      </c>
      <c r="E6847" s="22" t="str">
        <f>HYPERLINK("https://twitter.com/_art_of_glass/status/922529522922213379","922529522922213379")</f>
        <v>922529522922213379</v>
      </c>
      <c r="F6847" s="23" t="s">
        <v>39</v>
      </c>
      <c r="G6847" s="24">
        <v>118.0</v>
      </c>
      <c r="H6847" s="24">
        <v>392.0</v>
      </c>
      <c r="I6847" s="24">
        <v>110.0</v>
      </c>
      <c r="J6847" s="24">
        <v>0.0</v>
      </c>
      <c r="K6847" s="23" t="s">
        <v>34</v>
      </c>
      <c r="L6847" s="25">
        <v>42077.1487037037</v>
      </c>
      <c r="M6847" s="26" t="s">
        <v>15329</v>
      </c>
      <c r="N6847" s="26" t="s">
        <v>15330</v>
      </c>
      <c r="O6847" s="22" t="str">
        <f>HYPERLINK("https://pbs.twimg.com/profile_images/576694411981135872/69kpEZJl_normal.jpeg","View")</f>
        <v>View</v>
      </c>
      <c r="P6847" s="27"/>
    </row>
    <row r="6848">
      <c r="A6848" s="14">
        <v>43031.476481481484</v>
      </c>
      <c r="B6848" s="20" t="str">
        <f>HYPERLINK("https://twitter.com/soul_hunterr","@soul_hunterr")</f>
        <v>@soul_hunterr</v>
      </c>
      <c r="C6848" s="21" t="s">
        <v>15331</v>
      </c>
      <c r="D6848" s="21" t="s">
        <v>42</v>
      </c>
      <c r="E6848" s="22" t="str">
        <f>HYPERLINK("https://twitter.com/soul_hunterr/status/922529587912785925","922529587912785925")</f>
        <v>922529587912785925</v>
      </c>
      <c r="F6848" s="23" t="s">
        <v>55</v>
      </c>
      <c r="G6848" s="24">
        <v>179.0</v>
      </c>
      <c r="H6848" s="24">
        <v>153.0</v>
      </c>
      <c r="I6848" s="24">
        <v>8501.0</v>
      </c>
      <c r="J6848" s="24">
        <v>0.0</v>
      </c>
      <c r="K6848" s="23" t="s">
        <v>34</v>
      </c>
      <c r="L6848" s="25">
        <v>40368.27858796297</v>
      </c>
      <c r="M6848" s="26" t="s">
        <v>2837</v>
      </c>
      <c r="N6848" s="26" t="s">
        <v>15332</v>
      </c>
      <c r="O6848" s="22" t="str">
        <f>HYPERLINK("https://pbs.twimg.com/profile_images/858022870043250688/16Hm3EbG_normal.jpg","View")</f>
        <v>View</v>
      </c>
      <c r="P6848" s="27"/>
    </row>
    <row r="6849">
      <c r="A6849" s="14">
        <v>43031.476689814815</v>
      </c>
      <c r="B6849" s="20" t="str">
        <f>HYPERLINK("https://twitter.com/lalla_sharma","@lalla_sharma")</f>
        <v>@lalla_sharma</v>
      </c>
      <c r="C6849" s="21" t="s">
        <v>15333</v>
      </c>
      <c r="D6849" s="21" t="s">
        <v>42</v>
      </c>
      <c r="E6849" s="22" t="str">
        <f>HYPERLINK("https://twitter.com/lalla_sharma/status/922529663959711744","922529663959711744")</f>
        <v>922529663959711744</v>
      </c>
      <c r="F6849" s="23" t="s">
        <v>33</v>
      </c>
      <c r="G6849" s="24">
        <v>1618.0</v>
      </c>
      <c r="H6849" s="24">
        <v>141.0</v>
      </c>
      <c r="I6849" s="24">
        <v>8501.0</v>
      </c>
      <c r="J6849" s="24">
        <v>0.0</v>
      </c>
      <c r="K6849" s="23" t="s">
        <v>34</v>
      </c>
      <c r="L6849" s="25">
        <v>42485.4405324074</v>
      </c>
      <c r="M6849" s="26" t="s">
        <v>15334</v>
      </c>
      <c r="N6849" s="26" t="s">
        <v>15335</v>
      </c>
      <c r="O6849" s="22" t="str">
        <f>HYPERLINK("https://pbs.twimg.com/profile_images/861171116869636096/0yMNm0sI_normal.jpg","View")</f>
        <v>View</v>
      </c>
      <c r="P6849" s="27"/>
    </row>
    <row r="6850">
      <c r="A6850" s="14">
        <v>43031.47684027778</v>
      </c>
      <c r="B6850" s="20" t="str">
        <f>HYPERLINK("https://twitter.com/charbone1","@charbone1")</f>
        <v>@charbone1</v>
      </c>
      <c r="C6850" s="21" t="s">
        <v>15336</v>
      </c>
      <c r="D6850" s="21" t="s">
        <v>11750</v>
      </c>
      <c r="E6850" s="22" t="str">
        <f>HYPERLINK("https://twitter.com/charbone1/status/922529717198012416","922529717198012416")</f>
        <v>922529717198012416</v>
      </c>
      <c r="F6850" s="23" t="s">
        <v>39</v>
      </c>
      <c r="G6850" s="24">
        <v>175.0</v>
      </c>
      <c r="H6850" s="24">
        <v>129.0</v>
      </c>
      <c r="I6850" s="24">
        <v>35.0</v>
      </c>
      <c r="J6850" s="24">
        <v>0.0</v>
      </c>
      <c r="K6850" s="23" t="s">
        <v>34</v>
      </c>
      <c r="L6850" s="25">
        <v>42828.500925925924</v>
      </c>
      <c r="M6850" s="26" t="s">
        <v>15337</v>
      </c>
      <c r="N6850" s="26" t="s">
        <v>15338</v>
      </c>
      <c r="O6850" s="22" t="str">
        <f>HYPERLINK("https://pbs.twimg.com/profile_images/900090007125348353/tVGBIcEp_normal.jpg","View")</f>
        <v>View</v>
      </c>
      <c r="P6850" s="27"/>
    </row>
    <row r="6851">
      <c r="A6851" s="14">
        <v>43031.47686342592</v>
      </c>
      <c r="B6851" s="20" t="str">
        <f>HYPERLINK("https://twitter.com/gooner40","@gooner40")</f>
        <v>@gooner40</v>
      </c>
      <c r="C6851" s="21" t="s">
        <v>15339</v>
      </c>
      <c r="D6851" s="21" t="s">
        <v>12974</v>
      </c>
      <c r="E6851" s="22" t="str">
        <f>HYPERLINK("https://twitter.com/gooner40/status/922529727314907136","922529727314907136")</f>
        <v>922529727314907136</v>
      </c>
      <c r="F6851" s="23" t="s">
        <v>33</v>
      </c>
      <c r="G6851" s="24">
        <v>232.0</v>
      </c>
      <c r="H6851" s="24">
        <v>538.0</v>
      </c>
      <c r="I6851" s="24">
        <v>110.0</v>
      </c>
      <c r="J6851" s="24">
        <v>0.0</v>
      </c>
      <c r="K6851" s="23" t="s">
        <v>34</v>
      </c>
      <c r="L6851" s="25">
        <v>39924.61326388889</v>
      </c>
      <c r="M6851" s="26" t="s">
        <v>15340</v>
      </c>
      <c r="N6851" s="26" t="s">
        <v>15341</v>
      </c>
      <c r="O6851" s="22" t="str">
        <f>HYPERLINK("https://pbs.twimg.com/profile_images/909004649373585410/k0XdPp4d_normal.jpg","View")</f>
        <v>View</v>
      </c>
      <c r="P6851" s="27"/>
    </row>
    <row r="6852">
      <c r="A6852" s="14">
        <v>43031.47732638889</v>
      </c>
      <c r="B6852" s="20" t="str">
        <f>HYPERLINK("https://twitter.com/mehtaakshay84","@mehtaakshay84")</f>
        <v>@mehtaakshay84</v>
      </c>
      <c r="C6852" s="21" t="s">
        <v>15342</v>
      </c>
      <c r="D6852" s="21" t="s">
        <v>42</v>
      </c>
      <c r="E6852" s="22" t="str">
        <f>HYPERLINK("https://twitter.com/mehtaakshay84/status/922529895594344448","922529895594344448")</f>
        <v>922529895594344448</v>
      </c>
      <c r="F6852" s="23" t="s">
        <v>33</v>
      </c>
      <c r="G6852" s="24">
        <v>149.0</v>
      </c>
      <c r="H6852" s="24">
        <v>1134.0</v>
      </c>
      <c r="I6852" s="24">
        <v>8501.0</v>
      </c>
      <c r="J6852" s="24">
        <v>0.0</v>
      </c>
      <c r="K6852" s="23" t="s">
        <v>34</v>
      </c>
      <c r="L6852" s="25">
        <v>40439.606782407405</v>
      </c>
      <c r="M6852" s="26" t="s">
        <v>15343</v>
      </c>
      <c r="N6852" s="28"/>
      <c r="O6852" s="22" t="str">
        <f>HYPERLINK("https://pbs.twimg.com/profile_images/428950811129815041/fjdknw9j_normal.jpeg","View")</f>
        <v>View</v>
      </c>
      <c r="P6852" s="27"/>
    </row>
    <row r="6853">
      <c r="A6853" s="14">
        <v>43031.47732638889</v>
      </c>
      <c r="B6853" s="20" t="str">
        <f>HYPERLINK("https://twitter.com/IndianEmbassyUS","@IndianEmbassyUS")</f>
        <v>@IndianEmbassyUS</v>
      </c>
      <c r="C6853" s="21" t="s">
        <v>15344</v>
      </c>
      <c r="D6853" s="21" t="s">
        <v>42</v>
      </c>
      <c r="E6853" s="22" t="str">
        <f>HYPERLINK("https://twitter.com/IndianEmbassyUS/status/922529895913263104","922529895913263104")</f>
        <v>922529895913263104</v>
      </c>
      <c r="F6853" s="23" t="s">
        <v>39</v>
      </c>
      <c r="G6853" s="24">
        <v>62646.0</v>
      </c>
      <c r="H6853" s="24">
        <v>1083.0</v>
      </c>
      <c r="I6853" s="24">
        <v>8501.0</v>
      </c>
      <c r="J6853" s="24">
        <v>0.0</v>
      </c>
      <c r="K6853" s="23" t="s">
        <v>34</v>
      </c>
      <c r="L6853" s="25">
        <v>41135.36104166666</v>
      </c>
      <c r="M6853" s="28"/>
      <c r="N6853" s="26" t="s">
        <v>15345</v>
      </c>
      <c r="O6853" s="22" t="str">
        <f>HYPERLINK("https://pbs.twimg.com/profile_images/895683127569522688/UBwArJrK_normal.jpg","View")</f>
        <v>View</v>
      </c>
      <c r="P6853" s="27"/>
    </row>
    <row r="6854">
      <c r="A6854" s="14">
        <v>43031.47733796296</v>
      </c>
      <c r="B6854" s="20" t="str">
        <f>HYPERLINK("https://twitter.com/RaghuvansiVijay","@RaghuvansiVijay")</f>
        <v>@RaghuvansiVijay</v>
      </c>
      <c r="C6854" s="21" t="s">
        <v>15346</v>
      </c>
      <c r="D6854" s="21" t="s">
        <v>42</v>
      </c>
      <c r="E6854" s="22" t="str">
        <f>HYPERLINK("https://twitter.com/RaghuvansiVijay/status/922529898236751872","922529898236751872")</f>
        <v>922529898236751872</v>
      </c>
      <c r="F6854" s="23" t="s">
        <v>33</v>
      </c>
      <c r="G6854" s="24">
        <v>664.0</v>
      </c>
      <c r="H6854" s="24">
        <v>449.0</v>
      </c>
      <c r="I6854" s="24">
        <v>8501.0</v>
      </c>
      <c r="J6854" s="24">
        <v>0.0</v>
      </c>
      <c r="K6854" s="23" t="s">
        <v>34</v>
      </c>
      <c r="L6854" s="25">
        <v>41136.025868055556</v>
      </c>
      <c r="M6854" s="26" t="s">
        <v>15347</v>
      </c>
      <c r="N6854" s="26" t="s">
        <v>15348</v>
      </c>
      <c r="O6854" s="22" t="str">
        <f>HYPERLINK("https://pbs.twimg.com/profile_images/542063609426112512/HyswXRrz_normal.jpeg","View")</f>
        <v>View</v>
      </c>
      <c r="P6854" s="27"/>
    </row>
    <row r="6855">
      <c r="A6855" s="14">
        <v>43031.477361111116</v>
      </c>
      <c r="B6855" s="20" t="str">
        <f>HYPERLINK("https://twitter.com/OptionsTip","@OptionsTip")</f>
        <v>@OptionsTip</v>
      </c>
      <c r="C6855" s="21" t="s">
        <v>8346</v>
      </c>
      <c r="D6855" s="21" t="s">
        <v>15349</v>
      </c>
      <c r="E6855" s="22" t="str">
        <f>HYPERLINK("https://twitter.com/OptionsTip/status/922529909779652608","922529909779652608")</f>
        <v>922529909779652608</v>
      </c>
      <c r="F6855" s="23" t="s">
        <v>8348</v>
      </c>
      <c r="G6855" s="24">
        <v>679.0</v>
      </c>
      <c r="H6855" s="24">
        <v>956.0</v>
      </c>
      <c r="I6855" s="24">
        <v>0.0</v>
      </c>
      <c r="J6855" s="24">
        <v>0.0</v>
      </c>
      <c r="K6855" s="23" t="s">
        <v>34</v>
      </c>
      <c r="L6855" s="25">
        <v>40034.77528935185</v>
      </c>
      <c r="M6855" s="26" t="s">
        <v>204</v>
      </c>
      <c r="N6855" s="28"/>
      <c r="O6855" s="22" t="str">
        <f>HYPERLINK("https://pbs.twimg.com/profile_images/3698484594/e5ae6371e9d39a2561f3815c47b6b5db_normal.jpeg","View")</f>
        <v>View</v>
      </c>
      <c r="P6855" s="27"/>
    </row>
    <row r="6856">
      <c r="A6856" s="14">
        <v>43031.477534722224</v>
      </c>
      <c r="B6856" s="20" t="str">
        <f>HYPERLINK("https://twitter.com/PorterJLeaman","@PorterJLeaman")</f>
        <v>@PorterJLeaman</v>
      </c>
      <c r="C6856" s="21" t="s">
        <v>15350</v>
      </c>
      <c r="D6856" s="21" t="s">
        <v>15351</v>
      </c>
      <c r="E6856" s="22" t="str">
        <f>HYPERLINK("https://twitter.com/PorterJLeaman/status/922529971872194560","922529971872194560")</f>
        <v>922529971872194560</v>
      </c>
      <c r="F6856" s="23" t="s">
        <v>55</v>
      </c>
      <c r="G6856" s="24">
        <v>855.0</v>
      </c>
      <c r="H6856" s="24">
        <v>1506.0</v>
      </c>
      <c r="I6856" s="24">
        <v>0.0</v>
      </c>
      <c r="J6856" s="24">
        <v>1.0</v>
      </c>
      <c r="K6856" s="23" t="s">
        <v>34</v>
      </c>
      <c r="L6856" s="25">
        <v>41167.55465277778</v>
      </c>
      <c r="M6856" s="26" t="s">
        <v>15352</v>
      </c>
      <c r="N6856" s="28"/>
      <c r="O6856" s="22" t="str">
        <f>HYPERLINK("https://pbs.twimg.com/profile_images/577841064767201280/rc2wvWxK_normal.jpeg","View")</f>
        <v>View</v>
      </c>
      <c r="P6856" s="27"/>
    </row>
    <row r="6857">
      <c r="A6857" s="14">
        <v>43031.477581018524</v>
      </c>
      <c r="B6857" s="20" t="str">
        <f>HYPERLINK("https://twitter.com/bkchaudhary","@bkchaudhary")</f>
        <v>@bkchaudhary</v>
      </c>
      <c r="C6857" s="21" t="s">
        <v>15353</v>
      </c>
      <c r="D6857" s="21" t="s">
        <v>42</v>
      </c>
      <c r="E6857" s="22" t="str">
        <f>HYPERLINK("https://twitter.com/bkchaudhary/status/922529987638390784","922529987638390784")</f>
        <v>922529987638390784</v>
      </c>
      <c r="F6857" s="23" t="s">
        <v>33</v>
      </c>
      <c r="G6857" s="24">
        <v>1230.0</v>
      </c>
      <c r="H6857" s="24">
        <v>2289.0</v>
      </c>
      <c r="I6857" s="24">
        <v>8501.0</v>
      </c>
      <c r="J6857" s="24">
        <v>0.0</v>
      </c>
      <c r="K6857" s="23" t="s">
        <v>34</v>
      </c>
      <c r="L6857" s="25">
        <v>40098.13883101852</v>
      </c>
      <c r="M6857" s="26" t="s">
        <v>575</v>
      </c>
      <c r="N6857" s="26" t="s">
        <v>15354</v>
      </c>
      <c r="O6857" s="22" t="str">
        <f>HYPERLINK("https://pbs.twimg.com/profile_images/824255605930131456/ShpKU8pj_normal.jpg","View")</f>
        <v>View</v>
      </c>
      <c r="P6857" s="27"/>
    </row>
    <row r="6858">
      <c r="A6858" s="14">
        <v>43031.47767361111</v>
      </c>
      <c r="B6858" s="20" t="str">
        <f>HYPERLINK("https://twitter.com/d_jamesaust","@d_jamesaust")</f>
        <v>@d_jamesaust</v>
      </c>
      <c r="C6858" s="21" t="s">
        <v>15355</v>
      </c>
      <c r="D6858" s="21" t="s">
        <v>2173</v>
      </c>
      <c r="E6858" s="22" t="str">
        <f>HYPERLINK("https://twitter.com/d_jamesaust/status/922530019951263744","922530019951263744")</f>
        <v>922530019951263744</v>
      </c>
      <c r="F6858" s="23" t="s">
        <v>39</v>
      </c>
      <c r="G6858" s="24">
        <v>45.0</v>
      </c>
      <c r="H6858" s="24">
        <v>142.0</v>
      </c>
      <c r="I6858" s="24">
        <v>3.0</v>
      </c>
      <c r="J6858" s="24">
        <v>0.0</v>
      </c>
      <c r="K6858" s="23" t="s">
        <v>34</v>
      </c>
      <c r="L6858" s="25">
        <v>40972.46109953704</v>
      </c>
      <c r="M6858" s="26" t="s">
        <v>5783</v>
      </c>
      <c r="N6858" s="26" t="s">
        <v>15356</v>
      </c>
      <c r="O6858" s="22" t="str">
        <f>HYPERLINK("https://pbs.twimg.com/profile_images/1872880608/4_normal.jpg","View")</f>
        <v>View</v>
      </c>
      <c r="P6858" s="27"/>
    </row>
    <row r="6859">
      <c r="A6859" s="14">
        <v>43031.47769675926</v>
      </c>
      <c r="B6859" s="20" t="str">
        <f>HYPERLINK("https://twitter.com/shamikindian","@shamikindian")</f>
        <v>@shamikindian</v>
      </c>
      <c r="C6859" s="21" t="s">
        <v>15357</v>
      </c>
      <c r="D6859" s="21" t="s">
        <v>163</v>
      </c>
      <c r="E6859" s="22" t="str">
        <f>HYPERLINK("https://twitter.com/shamikindian/status/922530031208775682","922530031208775682")</f>
        <v>922530031208775682</v>
      </c>
      <c r="F6859" s="23" t="s">
        <v>33</v>
      </c>
      <c r="G6859" s="24">
        <v>75.0</v>
      </c>
      <c r="H6859" s="24">
        <v>189.0</v>
      </c>
      <c r="I6859" s="24">
        <v>1005.0</v>
      </c>
      <c r="J6859" s="24">
        <v>0.0</v>
      </c>
      <c r="K6859" s="23" t="s">
        <v>34</v>
      </c>
      <c r="L6859" s="25">
        <v>42438.326307870375</v>
      </c>
      <c r="M6859" s="28"/>
      <c r="N6859" s="28"/>
      <c r="O6859" s="22" t="str">
        <f t="shared" ref="O6859:O6860" si="118">HYPERLINK("https://abs.twimg.com/sticky/default_profile_images/default_profile_normal.png","View")</f>
        <v>View</v>
      </c>
      <c r="P6859" s="27"/>
    </row>
    <row r="6860">
      <c r="A6860" s="14">
        <v>43031.47778935185</v>
      </c>
      <c r="B6860" s="20" t="str">
        <f>HYPERLINK("https://twitter.com/makgalegwangwa","@makgalegwangwa")</f>
        <v>@makgalegwangwa</v>
      </c>
      <c r="C6860" s="21" t="s">
        <v>15358</v>
      </c>
      <c r="D6860" s="21" t="s">
        <v>15359</v>
      </c>
      <c r="E6860" s="22" t="str">
        <f>HYPERLINK("https://twitter.com/makgalegwangwa/status/922530065044459521","922530065044459521")</f>
        <v>922530065044459521</v>
      </c>
      <c r="F6860" s="23" t="s">
        <v>1570</v>
      </c>
      <c r="G6860" s="24">
        <v>10.0</v>
      </c>
      <c r="H6860" s="24">
        <v>246.0</v>
      </c>
      <c r="I6860" s="24">
        <v>0.0</v>
      </c>
      <c r="J6860" s="24">
        <v>0.0</v>
      </c>
      <c r="K6860" s="23" t="s">
        <v>34</v>
      </c>
      <c r="L6860" s="25">
        <v>41506.33652777778</v>
      </c>
      <c r="M6860" s="28"/>
      <c r="N6860" s="28"/>
      <c r="O6860" s="22" t="str">
        <f t="shared" si="118"/>
        <v>View</v>
      </c>
      <c r="P6860" s="27"/>
    </row>
    <row r="6861">
      <c r="A6861" s="14">
        <v>43031.47796296296</v>
      </c>
      <c r="B6861" s="20" t="str">
        <f>HYPERLINK("https://twitter.com/quinn_letty","@quinn_letty")</f>
        <v>@quinn_letty</v>
      </c>
      <c r="C6861" s="21" t="s">
        <v>15360</v>
      </c>
      <c r="D6861" s="21" t="s">
        <v>105</v>
      </c>
      <c r="E6861" s="22" t="str">
        <f>HYPERLINK("https://twitter.com/quinn_letty/status/922530126843101184","922530126843101184")</f>
        <v>922530126843101184</v>
      </c>
      <c r="F6861" s="23" t="s">
        <v>39</v>
      </c>
      <c r="G6861" s="24">
        <v>52.0</v>
      </c>
      <c r="H6861" s="24">
        <v>61.0</v>
      </c>
      <c r="I6861" s="24">
        <v>69.0</v>
      </c>
      <c r="J6861" s="24">
        <v>0.0</v>
      </c>
      <c r="K6861" s="23" t="s">
        <v>34</v>
      </c>
      <c r="L6861" s="25">
        <v>42381.52311342592</v>
      </c>
      <c r="M6861" s="28"/>
      <c r="N6861" s="28"/>
      <c r="O6861" s="22" t="str">
        <f>HYPERLINK("https://pbs.twimg.com/profile_images/790388636403441664/NpjqTLW8_normal.jpg","View")</f>
        <v>View</v>
      </c>
      <c r="P6861" s="27"/>
    </row>
    <row r="6862">
      <c r="A6862" s="14">
        <v>43031.47804398148</v>
      </c>
      <c r="B6862" s="20" t="str">
        <f>HYPERLINK("https://twitter.com/UCD_Japan","@UCD_Japan")</f>
        <v>@UCD_Japan</v>
      </c>
      <c r="C6862" s="21" t="s">
        <v>241</v>
      </c>
      <c r="D6862" s="21" t="s">
        <v>5779</v>
      </c>
      <c r="E6862" s="22" t="str">
        <f>HYPERLINK("https://twitter.com/UCD_Japan/status/922530153879752705","922530153879752705")</f>
        <v>922530153879752705</v>
      </c>
      <c r="F6862" s="23" t="s">
        <v>55</v>
      </c>
      <c r="G6862" s="24">
        <v>168.0</v>
      </c>
      <c r="H6862" s="24">
        <v>107.0</v>
      </c>
      <c r="I6862" s="24">
        <v>3927.0</v>
      </c>
      <c r="J6862" s="24">
        <v>0.0</v>
      </c>
      <c r="K6862" s="23" t="s">
        <v>34</v>
      </c>
      <c r="L6862" s="25">
        <v>42782.48895833333</v>
      </c>
      <c r="M6862" s="26" t="s">
        <v>243</v>
      </c>
      <c r="N6862" s="26" t="s">
        <v>244</v>
      </c>
      <c r="O6862" s="22" t="str">
        <f>HYPERLINK("https://pbs.twimg.com/profile_images/911266336768184320/OvhnwjSy_normal.jpg","View")</f>
        <v>View</v>
      </c>
      <c r="P6862" s="27"/>
    </row>
    <row r="6863">
      <c r="A6863" s="14">
        <v>43031.47804398148</v>
      </c>
      <c r="B6863" s="20" t="str">
        <f>HYPERLINK("https://twitter.com/aditya5bahl","@aditya5bahl")</f>
        <v>@aditya5bahl</v>
      </c>
      <c r="C6863" s="21" t="s">
        <v>15361</v>
      </c>
      <c r="D6863" s="21" t="s">
        <v>42</v>
      </c>
      <c r="E6863" s="22" t="str">
        <f>HYPERLINK("https://twitter.com/aditya5bahl/status/922530156521996288","922530156521996288")</f>
        <v>922530156521996288</v>
      </c>
      <c r="F6863" s="23" t="s">
        <v>33</v>
      </c>
      <c r="G6863" s="24">
        <v>942.0</v>
      </c>
      <c r="H6863" s="24">
        <v>2062.0</v>
      </c>
      <c r="I6863" s="24">
        <v>8501.0</v>
      </c>
      <c r="J6863" s="24">
        <v>0.0</v>
      </c>
      <c r="K6863" s="23" t="s">
        <v>34</v>
      </c>
      <c r="L6863" s="25">
        <v>40669.45626157407</v>
      </c>
      <c r="M6863" s="26" t="s">
        <v>3600</v>
      </c>
      <c r="N6863" s="26" t="s">
        <v>15362</v>
      </c>
      <c r="O6863" s="22" t="str">
        <f>HYPERLINK("https://pbs.twimg.com/profile_images/567576624074215425/N4fsbc_p_normal.jpeg","View")</f>
        <v>View</v>
      </c>
      <c r="P6863" s="27"/>
    </row>
    <row r="6864">
      <c r="A6864" s="14">
        <v>43031.47825231482</v>
      </c>
      <c r="B6864" s="20" t="str">
        <f>HYPERLINK("https://twitter.com/11spdubey","@11spdubey")</f>
        <v>@11spdubey</v>
      </c>
      <c r="C6864" s="21" t="s">
        <v>1139</v>
      </c>
      <c r="D6864" s="21" t="s">
        <v>42</v>
      </c>
      <c r="E6864" s="22" t="str">
        <f>HYPERLINK("https://twitter.com/11spdubey/status/922530232690552832","922530232690552832")</f>
        <v>922530232690552832</v>
      </c>
      <c r="F6864" s="23" t="s">
        <v>780</v>
      </c>
      <c r="G6864" s="24">
        <v>259.0</v>
      </c>
      <c r="H6864" s="24">
        <v>218.0</v>
      </c>
      <c r="I6864" s="24">
        <v>8501.0</v>
      </c>
      <c r="J6864" s="24">
        <v>0.0</v>
      </c>
      <c r="K6864" s="23" t="s">
        <v>34</v>
      </c>
      <c r="L6864" s="25">
        <v>41965.08679398148</v>
      </c>
      <c r="M6864" s="26" t="s">
        <v>195</v>
      </c>
      <c r="N6864" s="26">
        <v>8.896969651E9</v>
      </c>
      <c r="O6864" s="22" t="str">
        <f>HYPERLINK("https://pbs.twimg.com/profile_images/892876490416693253/vjaOK5i9_normal.jpg","View")</f>
        <v>View</v>
      </c>
      <c r="P6864" s="27"/>
    </row>
    <row r="6865">
      <c r="A6865" s="14">
        <v>43031.478310185186</v>
      </c>
      <c r="B6865" s="20" t="str">
        <f>HYPERLINK("https://twitter.com/Himanshu_kashi","@Himanshu_kashi")</f>
        <v>@Himanshu_kashi</v>
      </c>
      <c r="C6865" s="21" t="s">
        <v>15363</v>
      </c>
      <c r="D6865" s="21" t="s">
        <v>6403</v>
      </c>
      <c r="E6865" s="22" t="str">
        <f>HYPERLINK("https://twitter.com/Himanshu_kashi/status/922530250755424256","922530250755424256")</f>
        <v>922530250755424256</v>
      </c>
      <c r="F6865" s="23" t="s">
        <v>33</v>
      </c>
      <c r="G6865" s="24">
        <v>36.0</v>
      </c>
      <c r="H6865" s="24">
        <v>154.0</v>
      </c>
      <c r="I6865" s="24">
        <v>97.0</v>
      </c>
      <c r="J6865" s="24">
        <v>0.0</v>
      </c>
      <c r="K6865" s="23" t="s">
        <v>34</v>
      </c>
      <c r="L6865" s="25">
        <v>42984.68736111111</v>
      </c>
      <c r="M6865" s="26" t="s">
        <v>2020</v>
      </c>
      <c r="N6865" s="26" t="s">
        <v>15364</v>
      </c>
      <c r="O6865" s="22" t="str">
        <f>HYPERLINK("https://pbs.twimg.com/profile_images/907139458738163712/ItRMHUKP_normal.jpg","View")</f>
        <v>View</v>
      </c>
      <c r="P6865" s="27"/>
    </row>
    <row r="6866">
      <c r="A6866" s="14">
        <v>43031.47844907407</v>
      </c>
      <c r="B6866" s="20" t="str">
        <f>HYPERLINK("https://twitter.com/PawanDande","@PawanDande")</f>
        <v>@PawanDande</v>
      </c>
      <c r="C6866" s="21" t="s">
        <v>15365</v>
      </c>
      <c r="D6866" s="21" t="s">
        <v>42</v>
      </c>
      <c r="E6866" s="22" t="str">
        <f>HYPERLINK("https://twitter.com/PawanDande/status/922530303578488832","922530303578488832")</f>
        <v>922530303578488832</v>
      </c>
      <c r="F6866" s="23" t="s">
        <v>33</v>
      </c>
      <c r="G6866" s="24">
        <v>97.0</v>
      </c>
      <c r="H6866" s="24">
        <v>353.0</v>
      </c>
      <c r="I6866" s="24">
        <v>8501.0</v>
      </c>
      <c r="J6866" s="24">
        <v>0.0</v>
      </c>
      <c r="K6866" s="23" t="s">
        <v>34</v>
      </c>
      <c r="L6866" s="25">
        <v>40177.07202546296</v>
      </c>
      <c r="M6866" s="26" t="s">
        <v>207</v>
      </c>
      <c r="N6866" s="26" t="s">
        <v>15366</v>
      </c>
      <c r="O6866" s="22" t="str">
        <f>HYPERLINK("https://pbs.twimg.com/profile_images/610881909661503488/W2QPgPde_normal.jpg","View")</f>
        <v>View</v>
      </c>
      <c r="P6866" s="27"/>
    </row>
    <row r="6867">
      <c r="A6867" s="14">
        <v>43031.47888888889</v>
      </c>
      <c r="B6867" s="20" t="str">
        <f>HYPERLINK("https://twitter.com/CanadaNevada","@CanadaNevada")</f>
        <v>@CanadaNevada</v>
      </c>
      <c r="C6867" s="21" t="s">
        <v>15367</v>
      </c>
      <c r="D6867" s="21" t="s">
        <v>11750</v>
      </c>
      <c r="E6867" s="22" t="str">
        <f>HYPERLINK("https://twitter.com/CanadaNevada/status/922530462488084480","922530462488084480")</f>
        <v>922530462488084480</v>
      </c>
      <c r="F6867" s="23" t="s">
        <v>33</v>
      </c>
      <c r="G6867" s="24">
        <v>25.0</v>
      </c>
      <c r="H6867" s="24">
        <v>241.0</v>
      </c>
      <c r="I6867" s="24">
        <v>35.0</v>
      </c>
      <c r="J6867" s="24">
        <v>0.0</v>
      </c>
      <c r="K6867" s="23" t="s">
        <v>34</v>
      </c>
      <c r="L6867" s="25">
        <v>42471.659780092596</v>
      </c>
      <c r="M6867" s="26" t="s">
        <v>15368</v>
      </c>
      <c r="N6867" s="28"/>
      <c r="O6867" s="22" t="str">
        <f>HYPERLINK("https://pbs.twimg.com/profile_images/719733680202076161/vPTCSC_m_normal.jpg","View")</f>
        <v>View</v>
      </c>
      <c r="P6867" s="27"/>
    </row>
    <row r="6868">
      <c r="A6868" s="14">
        <v>43031.47893518519</v>
      </c>
      <c r="B6868" s="20" t="str">
        <f>HYPERLINK("https://twitter.com/samachaar","@samachaar")</f>
        <v>@samachaar</v>
      </c>
      <c r="C6868" s="21" t="s">
        <v>15369</v>
      </c>
      <c r="D6868" s="21" t="s">
        <v>15370</v>
      </c>
      <c r="E6868" s="22" t="str">
        <f>HYPERLINK("https://twitter.com/samachaar/status/922530477923123201","922530477923123201")</f>
        <v>922530477923123201</v>
      </c>
      <c r="F6868" s="30" t="s">
        <v>411</v>
      </c>
      <c r="G6868" s="24">
        <v>813.0</v>
      </c>
      <c r="H6868" s="24">
        <v>0.0</v>
      </c>
      <c r="I6868" s="24">
        <v>0.0</v>
      </c>
      <c r="J6868" s="24">
        <v>0.0</v>
      </c>
      <c r="K6868" s="23" t="s">
        <v>34</v>
      </c>
      <c r="L6868" s="25">
        <v>39937.01011574074</v>
      </c>
      <c r="M6868" s="26" t="s">
        <v>204</v>
      </c>
      <c r="N6868" s="26" t="s">
        <v>15371</v>
      </c>
      <c r="O6868" s="22" t="str">
        <f>HYPERLINK("https://pbs.twimg.com/profile_images/740231702/Internet-news-reader_normal.png","View")</f>
        <v>View</v>
      </c>
      <c r="P6868" s="27"/>
    </row>
    <row r="6869">
      <c r="A6869" s="14">
        <v>43031.47903935185</v>
      </c>
      <c r="B6869" s="20" t="str">
        <f>HYPERLINK("https://twitter.com/Oonattu","@Oonattu")</f>
        <v>@Oonattu</v>
      </c>
      <c r="C6869" s="21" t="s">
        <v>15372</v>
      </c>
      <c r="D6869" s="21" t="s">
        <v>42</v>
      </c>
      <c r="E6869" s="22" t="str">
        <f>HYPERLINK("https://twitter.com/Oonattu/status/922530515873353728","922530515873353728")</f>
        <v>922530515873353728</v>
      </c>
      <c r="F6869" s="23" t="s">
        <v>39</v>
      </c>
      <c r="G6869" s="24">
        <v>229.0</v>
      </c>
      <c r="H6869" s="24">
        <v>195.0</v>
      </c>
      <c r="I6869" s="24">
        <v>8501.0</v>
      </c>
      <c r="J6869" s="24">
        <v>0.0</v>
      </c>
      <c r="K6869" s="23" t="s">
        <v>34</v>
      </c>
      <c r="L6869" s="25">
        <v>40202.29170138889</v>
      </c>
      <c r="M6869" s="26" t="s">
        <v>389</v>
      </c>
      <c r="N6869" s="26" t="s">
        <v>15373</v>
      </c>
      <c r="O6869" s="22" t="str">
        <f>HYPERLINK("https://pbs.twimg.com/profile_images/511519080281821184/6hYlpoOQ_normal.jpeg","View")</f>
        <v>View</v>
      </c>
      <c r="P6869" s="27"/>
    </row>
    <row r="6870">
      <c r="A6870" s="14">
        <v>43031.4790625</v>
      </c>
      <c r="B6870" s="20" t="str">
        <f>HYPERLINK("https://twitter.com/B_H_T_Rice","@B_H_T_Rice")</f>
        <v>@B_H_T_Rice</v>
      </c>
      <c r="C6870" s="21" t="s">
        <v>15374</v>
      </c>
      <c r="D6870" s="21" t="s">
        <v>10653</v>
      </c>
      <c r="E6870" s="22" t="str">
        <f>HYPERLINK("https://twitter.com/B_H_T_Rice/status/922530525171957760","922530525171957760")</f>
        <v>922530525171957760</v>
      </c>
      <c r="F6870" s="23" t="s">
        <v>55</v>
      </c>
      <c r="G6870" s="24">
        <v>659.0</v>
      </c>
      <c r="H6870" s="24">
        <v>379.0</v>
      </c>
      <c r="I6870" s="24">
        <v>9.0</v>
      </c>
      <c r="J6870" s="24">
        <v>0.0</v>
      </c>
      <c r="K6870" s="23" t="s">
        <v>34</v>
      </c>
      <c r="L6870" s="25">
        <v>40756.90207175926</v>
      </c>
      <c r="M6870" s="28"/>
      <c r="N6870" s="26" t="s">
        <v>15375</v>
      </c>
      <c r="O6870" s="22" t="str">
        <f>HYPERLINK("https://pbs.twimg.com/profile_images/773127412569616384/6ZeauGOX_normal.jpg","View")</f>
        <v>View</v>
      </c>
      <c r="P6870" s="27"/>
    </row>
    <row r="6871">
      <c r="A6871" s="14">
        <v>43031.47915509259</v>
      </c>
      <c r="B6871" s="20" t="str">
        <f>HYPERLINK("https://twitter.com/Rkrajasthan","@Rkrajasthan")</f>
        <v>@Rkrajasthan</v>
      </c>
      <c r="C6871" s="21" t="s">
        <v>15376</v>
      </c>
      <c r="D6871" s="21" t="s">
        <v>42</v>
      </c>
      <c r="E6871" s="22" t="str">
        <f>HYPERLINK("https://twitter.com/Rkrajasthan/status/922530559246471168","922530559246471168")</f>
        <v>922530559246471168</v>
      </c>
      <c r="F6871" s="23" t="s">
        <v>33</v>
      </c>
      <c r="G6871" s="24">
        <v>192.0</v>
      </c>
      <c r="H6871" s="24">
        <v>361.0</v>
      </c>
      <c r="I6871" s="24">
        <v>8501.0</v>
      </c>
      <c r="J6871" s="24">
        <v>0.0</v>
      </c>
      <c r="K6871" s="23" t="s">
        <v>34</v>
      </c>
      <c r="L6871" s="25">
        <v>41231.95416666666</v>
      </c>
      <c r="M6871" s="26" t="s">
        <v>15377</v>
      </c>
      <c r="N6871" s="26" t="s">
        <v>15378</v>
      </c>
      <c r="O6871" s="22" t="str">
        <f>HYPERLINK("https://pbs.twimg.com/profile_images/749861160049049601/cFxczmBH_normal.jpg","View")</f>
        <v>View</v>
      </c>
      <c r="P6871" s="27"/>
    </row>
    <row r="6872">
      <c r="A6872" s="14">
        <v>43031.47927083333</v>
      </c>
      <c r="B6872" s="20" t="str">
        <f>HYPERLINK("https://twitter.com/jjj882045","@jjj882045")</f>
        <v>@jjj882045</v>
      </c>
      <c r="C6872" s="21" t="s">
        <v>15379</v>
      </c>
      <c r="D6872" s="21" t="s">
        <v>10614</v>
      </c>
      <c r="E6872" s="22" t="str">
        <f>HYPERLINK("https://twitter.com/jjj882045/status/922530600736653314","922530600736653314")</f>
        <v>922530600736653314</v>
      </c>
      <c r="F6872" s="23" t="s">
        <v>33</v>
      </c>
      <c r="G6872" s="24">
        <v>454.0</v>
      </c>
      <c r="H6872" s="24">
        <v>753.0</v>
      </c>
      <c r="I6872" s="24">
        <v>159.0</v>
      </c>
      <c r="J6872" s="24">
        <v>0.0</v>
      </c>
      <c r="K6872" s="23" t="s">
        <v>34</v>
      </c>
      <c r="L6872" s="25">
        <v>42683.13552083333</v>
      </c>
      <c r="M6872" s="28"/>
      <c r="N6872" s="28"/>
      <c r="O6872" s="22" t="str">
        <f>HYPERLINK("https://pbs.twimg.com/profile_images/892037727138582533/GE-1unaU_normal.jpg","View")</f>
        <v>View</v>
      </c>
      <c r="P6872" s="27"/>
    </row>
    <row r="6873">
      <c r="A6873" s="14">
        <v>43031.479351851856</v>
      </c>
      <c r="B6873" s="20" t="str">
        <f>HYPERLINK("https://twitter.com/omondi_edwin","@omondi_edwin")</f>
        <v>@omondi_edwin</v>
      </c>
      <c r="C6873" s="21" t="s">
        <v>15380</v>
      </c>
      <c r="D6873" s="21" t="s">
        <v>32</v>
      </c>
      <c r="E6873" s="22" t="str">
        <f>HYPERLINK("https://twitter.com/omondi_edwin/status/922530629694181377","922530629694181377")</f>
        <v>922530629694181377</v>
      </c>
      <c r="F6873" s="23" t="s">
        <v>33</v>
      </c>
      <c r="G6873" s="24">
        <v>4096.0</v>
      </c>
      <c r="H6873" s="24">
        <v>3650.0</v>
      </c>
      <c r="I6873" s="24">
        <v>471.0</v>
      </c>
      <c r="J6873" s="24">
        <v>0.0</v>
      </c>
      <c r="K6873" s="23" t="s">
        <v>34</v>
      </c>
      <c r="L6873" s="25">
        <v>40614.16517361111</v>
      </c>
      <c r="M6873" s="26" t="s">
        <v>282</v>
      </c>
      <c r="N6873" s="26" t="s">
        <v>15381</v>
      </c>
      <c r="O6873" s="22" t="str">
        <f>HYPERLINK("https://pbs.twimg.com/profile_images/882348303748186112/7bfEjWlz_normal.jpg","View")</f>
        <v>View</v>
      </c>
      <c r="P6873" s="27"/>
    </row>
    <row r="6874">
      <c r="A6874" s="14">
        <v>43031.47938657408</v>
      </c>
      <c r="B6874" s="20" t="str">
        <f>HYPERLINK("https://twitter.com/VinayRadhakrisn","@VinayRadhakrisn")</f>
        <v>@VinayRadhakrisn</v>
      </c>
      <c r="C6874" s="21" t="s">
        <v>15382</v>
      </c>
      <c r="D6874" s="21" t="s">
        <v>42</v>
      </c>
      <c r="E6874" s="22" t="str">
        <f>HYPERLINK("https://twitter.com/VinayRadhakrisn/status/922530641287069700","922530641287069700")</f>
        <v>922530641287069700</v>
      </c>
      <c r="F6874" s="23" t="s">
        <v>39</v>
      </c>
      <c r="G6874" s="24">
        <v>5.0</v>
      </c>
      <c r="H6874" s="24">
        <v>12.0</v>
      </c>
      <c r="I6874" s="24">
        <v>8501.0</v>
      </c>
      <c r="J6874" s="24">
        <v>0.0</v>
      </c>
      <c r="K6874" s="23" t="s">
        <v>34</v>
      </c>
      <c r="L6874" s="25">
        <v>43002.9669212963</v>
      </c>
      <c r="M6874" s="26" t="s">
        <v>56</v>
      </c>
      <c r="N6874" s="26" t="s">
        <v>15383</v>
      </c>
      <c r="O6874" s="22" t="str">
        <f>HYPERLINK("https://pbs.twimg.com/profile_images/912198567086891008/iGDS6sga_normal.jpg","View")</f>
        <v>View</v>
      </c>
      <c r="P6874" s="27"/>
    </row>
    <row r="6875">
      <c r="A6875" s="14">
        <v>43031.47945601852</v>
      </c>
      <c r="B6875" s="20" t="str">
        <f>HYPERLINK("https://twitter.com/jjj882045","@jjj882045")</f>
        <v>@jjj882045</v>
      </c>
      <c r="C6875" s="21" t="s">
        <v>15379</v>
      </c>
      <c r="D6875" s="21" t="s">
        <v>11750</v>
      </c>
      <c r="E6875" s="22" t="str">
        <f>HYPERLINK("https://twitter.com/jjj882045/status/922530668210458624","922530668210458624")</f>
        <v>922530668210458624</v>
      </c>
      <c r="F6875" s="23" t="s">
        <v>33</v>
      </c>
      <c r="G6875" s="24">
        <v>454.0</v>
      </c>
      <c r="H6875" s="24">
        <v>753.0</v>
      </c>
      <c r="I6875" s="24">
        <v>35.0</v>
      </c>
      <c r="J6875" s="24">
        <v>0.0</v>
      </c>
      <c r="K6875" s="23" t="s">
        <v>34</v>
      </c>
      <c r="L6875" s="25">
        <v>42683.13552083333</v>
      </c>
      <c r="M6875" s="28"/>
      <c r="N6875" s="28"/>
      <c r="O6875" s="22" t="str">
        <f>HYPERLINK("https://pbs.twimg.com/profile_images/892037727138582533/GE-1unaU_normal.jpg","View")</f>
        <v>View</v>
      </c>
      <c r="P6875" s="27"/>
    </row>
    <row r="6876">
      <c r="A6876" s="14">
        <v>43031.479479166665</v>
      </c>
      <c r="B6876" s="20" t="str">
        <f>HYPERLINK("https://twitter.com/inews2day","@inews2day")</f>
        <v>@inews2day</v>
      </c>
      <c r="C6876" s="21" t="s">
        <v>539</v>
      </c>
      <c r="D6876" s="21" t="s">
        <v>15384</v>
      </c>
      <c r="E6876" s="22" t="str">
        <f>HYPERLINK("https://twitter.com/inews2day/status/922530674690740229","922530674690740229")</f>
        <v>922530674690740229</v>
      </c>
      <c r="F6876" s="23" t="s">
        <v>187</v>
      </c>
      <c r="G6876" s="24">
        <v>487.0</v>
      </c>
      <c r="H6876" s="24">
        <v>0.0</v>
      </c>
      <c r="I6876" s="24">
        <v>0.0</v>
      </c>
      <c r="J6876" s="24">
        <v>0.0</v>
      </c>
      <c r="K6876" s="23" t="s">
        <v>34</v>
      </c>
      <c r="L6876" s="25">
        <v>42055.11097222222</v>
      </c>
      <c r="M6876" s="26" t="s">
        <v>541</v>
      </c>
      <c r="N6876" s="26" t="s">
        <v>542</v>
      </c>
      <c r="O6876" s="22" t="str">
        <f>HYPERLINK("https://pbs.twimg.com/profile_images/568731081323466752/-oyEQpj9_normal.jpeg","View")</f>
        <v>View</v>
      </c>
      <c r="P6876" s="27"/>
    </row>
    <row r="6877">
      <c r="A6877" s="14">
        <v>43031.47951388889</v>
      </c>
      <c r="B6877" s="20" t="str">
        <f>HYPERLINK("https://twitter.com/kotomi1124","@kotomi1124")</f>
        <v>@kotomi1124</v>
      </c>
      <c r="C6877" s="21" t="s">
        <v>15258</v>
      </c>
      <c r="D6877" s="21" t="s">
        <v>12974</v>
      </c>
      <c r="E6877" s="22" t="str">
        <f>HYPERLINK("https://twitter.com/kotomi1124/status/922530686879154176","922530686879154176")</f>
        <v>922530686879154176</v>
      </c>
      <c r="F6877" s="23" t="s">
        <v>33</v>
      </c>
      <c r="G6877" s="24">
        <v>469.0</v>
      </c>
      <c r="H6877" s="24">
        <v>705.0</v>
      </c>
      <c r="I6877" s="24">
        <v>110.0</v>
      </c>
      <c r="J6877" s="24">
        <v>0.0</v>
      </c>
      <c r="K6877" s="23" t="s">
        <v>34</v>
      </c>
      <c r="L6877" s="25">
        <v>40189.246840277774</v>
      </c>
      <c r="M6877" s="26" t="s">
        <v>10001</v>
      </c>
      <c r="N6877" s="28"/>
      <c r="O6877" s="22" t="str">
        <f>HYPERLINK("https://pbs.twimg.com/profile_images/721140815460900864/CKqSU3NB_normal.jpg","View")</f>
        <v>View</v>
      </c>
      <c r="P6877" s="27"/>
    </row>
    <row r="6878">
      <c r="A6878" s="14">
        <v>43031.47980324074</v>
      </c>
      <c r="B6878" s="20" t="str">
        <f>HYPERLINK("https://twitter.com/vappcc","@vappcc")</f>
        <v>@vappcc</v>
      </c>
      <c r="C6878" s="21" t="s">
        <v>3569</v>
      </c>
      <c r="D6878" s="21" t="s">
        <v>163</v>
      </c>
      <c r="E6878" s="22" t="str">
        <f>HYPERLINK("https://twitter.com/vappcc/status/922530792097681409","922530792097681409")</f>
        <v>922530792097681409</v>
      </c>
      <c r="F6878" s="23" t="s">
        <v>39</v>
      </c>
      <c r="G6878" s="24">
        <v>215.0</v>
      </c>
      <c r="H6878" s="24">
        <v>656.0</v>
      </c>
      <c r="I6878" s="24">
        <v>1005.0</v>
      </c>
      <c r="J6878" s="24">
        <v>0.0</v>
      </c>
      <c r="K6878" s="23" t="s">
        <v>34</v>
      </c>
      <c r="L6878" s="25">
        <v>41037.94019675926</v>
      </c>
      <c r="M6878" s="28"/>
      <c r="N6878" s="26" t="s">
        <v>15385</v>
      </c>
      <c r="O6878" s="22" t="str">
        <f>HYPERLINK("https://pbs.twimg.com/profile_images/781593844064346113/vRl3X8wl_normal.jpg","View")</f>
        <v>View</v>
      </c>
      <c r="P6878" s="27"/>
    </row>
    <row r="6879">
      <c r="A6879" s="14">
        <v>43031.47982638889</v>
      </c>
      <c r="B6879" s="20" t="str">
        <f>HYPERLINK("https://twitter.com/CollinsAluso","@CollinsAluso")</f>
        <v>@CollinsAluso</v>
      </c>
      <c r="C6879" s="21" t="s">
        <v>15386</v>
      </c>
      <c r="D6879" s="21" t="s">
        <v>32</v>
      </c>
      <c r="E6879" s="22" t="str">
        <f>HYPERLINK("https://twitter.com/CollinsAluso/status/922530799341019136","922530799341019136")</f>
        <v>922530799341019136</v>
      </c>
      <c r="F6879" s="23" t="s">
        <v>33</v>
      </c>
      <c r="G6879" s="24">
        <v>288.0</v>
      </c>
      <c r="H6879" s="24">
        <v>1244.0</v>
      </c>
      <c r="I6879" s="24">
        <v>471.0</v>
      </c>
      <c r="J6879" s="24">
        <v>0.0</v>
      </c>
      <c r="K6879" s="23" t="s">
        <v>34</v>
      </c>
      <c r="L6879" s="25">
        <v>41126.462858796294</v>
      </c>
      <c r="M6879" s="26" t="s">
        <v>843</v>
      </c>
      <c r="N6879" s="26" t="s">
        <v>15387</v>
      </c>
      <c r="O6879" s="22" t="str">
        <f>HYPERLINK("https://pbs.twimg.com/profile_images/909334463410315269/9SB00k9V_normal.jpg","View")</f>
        <v>View</v>
      </c>
      <c r="P6879" s="27"/>
    </row>
    <row r="6880">
      <c r="A6880" s="14">
        <v>43031.47988425926</v>
      </c>
      <c r="B6880" s="20" t="str">
        <f>HYPERLINK("https://twitter.com/Aurora_News_US","@Aurora_News_US")</f>
        <v>@Aurora_News_US</v>
      </c>
      <c r="C6880" s="21" t="s">
        <v>15388</v>
      </c>
      <c r="D6880" s="21" t="s">
        <v>15389</v>
      </c>
      <c r="E6880" s="22" t="str">
        <f>HYPERLINK("https://twitter.com/Aurora_News_US/status/922530823198380033","922530823198380033")</f>
        <v>922530823198380033</v>
      </c>
      <c r="F6880" s="23" t="s">
        <v>1020</v>
      </c>
      <c r="G6880" s="24">
        <v>159.0</v>
      </c>
      <c r="H6880" s="24">
        <v>293.0</v>
      </c>
      <c r="I6880" s="24">
        <v>0.0</v>
      </c>
      <c r="J6880" s="24">
        <v>0.0</v>
      </c>
      <c r="K6880" s="23" t="s">
        <v>34</v>
      </c>
      <c r="L6880" s="25">
        <v>41970.11060185185</v>
      </c>
      <c r="M6880" s="28"/>
      <c r="N6880" s="26" t="s">
        <v>15390</v>
      </c>
      <c r="O6880" s="22" t="str">
        <f>HYPERLINK("https://pbs.twimg.com/profile_images/537918795323826177/THIVdjjJ_normal.png","View")</f>
        <v>View</v>
      </c>
      <c r="P6880" s="27"/>
    </row>
    <row r="6881">
      <c r="A6881" s="14">
        <v>43031.47990740741</v>
      </c>
      <c r="B6881" s="20" t="str">
        <f>HYPERLINK("https://twitter.com/mk2851","@mk2851")</f>
        <v>@mk2851</v>
      </c>
      <c r="C6881" s="21" t="s">
        <v>15391</v>
      </c>
      <c r="D6881" s="21" t="s">
        <v>42</v>
      </c>
      <c r="E6881" s="22" t="str">
        <f>HYPERLINK("https://twitter.com/mk2851/status/922530829636485127","922530829636485127")</f>
        <v>922530829636485127</v>
      </c>
      <c r="F6881" s="23" t="s">
        <v>33</v>
      </c>
      <c r="G6881" s="24">
        <v>91.0</v>
      </c>
      <c r="H6881" s="24">
        <v>307.0</v>
      </c>
      <c r="I6881" s="24">
        <v>8501.0</v>
      </c>
      <c r="J6881" s="24">
        <v>0.0</v>
      </c>
      <c r="K6881" s="23" t="s">
        <v>34</v>
      </c>
      <c r="L6881" s="25">
        <v>40041.94184027778</v>
      </c>
      <c r="M6881" s="26" t="s">
        <v>2461</v>
      </c>
      <c r="N6881" s="28"/>
      <c r="O6881" s="22" t="str">
        <f>HYPERLINK("https://pbs.twimg.com/profile_images/378800000605106839/b7aed7a3be8ea8991295a13a42ce5fc5_normal.jpeg","View")</f>
        <v>View</v>
      </c>
      <c r="P6881" s="27"/>
    </row>
    <row r="6882">
      <c r="A6882" s="14">
        <v>43031.480416666665</v>
      </c>
      <c r="B6882" s="20" t="str">
        <f>HYPERLINK("https://twitter.com/nav_shinde_BJP","@nav_shinde_BJP")</f>
        <v>@nav_shinde_BJP</v>
      </c>
      <c r="C6882" s="21" t="s">
        <v>15392</v>
      </c>
      <c r="D6882" s="21" t="s">
        <v>42</v>
      </c>
      <c r="E6882" s="22" t="str">
        <f>HYPERLINK("https://twitter.com/nav_shinde_BJP/status/922531016308178946","922531016308178946")</f>
        <v>922531016308178946</v>
      </c>
      <c r="F6882" s="23" t="s">
        <v>33</v>
      </c>
      <c r="G6882" s="24">
        <v>79.0</v>
      </c>
      <c r="H6882" s="24">
        <v>1091.0</v>
      </c>
      <c r="I6882" s="24">
        <v>8501.0</v>
      </c>
      <c r="J6882" s="24">
        <v>0.0</v>
      </c>
      <c r="K6882" s="23" t="s">
        <v>34</v>
      </c>
      <c r="L6882" s="25">
        <v>41831.1190162037</v>
      </c>
      <c r="M6882" s="26" t="s">
        <v>531</v>
      </c>
      <c r="N6882" s="26" t="s">
        <v>15393</v>
      </c>
      <c r="O6882" s="22" t="str">
        <f>HYPERLINK("https://pbs.twimg.com/profile_images/806387116955549696/RVpcLROA_normal.jpg","View")</f>
        <v>View</v>
      </c>
      <c r="P6882" s="27"/>
    </row>
    <row r="6883">
      <c r="A6883" s="14">
        <v>43031.480474537035</v>
      </c>
      <c r="B6883" s="20" t="str">
        <f>HYPERLINK("https://twitter.com/GauravSDRP","@GauravSDRP")</f>
        <v>@GauravSDRP</v>
      </c>
      <c r="C6883" s="21" t="s">
        <v>15394</v>
      </c>
      <c r="D6883" s="21" t="s">
        <v>42</v>
      </c>
      <c r="E6883" s="22" t="str">
        <f>HYPERLINK("https://twitter.com/GauravSDRP/status/922531038160592897","922531038160592897")</f>
        <v>922531038160592897</v>
      </c>
      <c r="F6883" s="23" t="s">
        <v>33</v>
      </c>
      <c r="G6883" s="24">
        <v>129.0</v>
      </c>
      <c r="H6883" s="24">
        <v>283.0</v>
      </c>
      <c r="I6883" s="24">
        <v>8501.0</v>
      </c>
      <c r="J6883" s="24">
        <v>0.0</v>
      </c>
      <c r="K6883" s="23" t="s">
        <v>34</v>
      </c>
      <c r="L6883" s="25">
        <v>42747.16037037037</v>
      </c>
      <c r="M6883" s="28"/>
      <c r="N6883" s="28"/>
      <c r="O6883" s="22" t="str">
        <f>HYPERLINK("https://pbs.twimg.com/profile_images/881926102255579137/KIxsNSR__normal.jpg","View")</f>
        <v>View</v>
      </c>
      <c r="P6883" s="27"/>
    </row>
    <row r="6884">
      <c r="A6884" s="14">
        <v>43031.48050925926</v>
      </c>
      <c r="B6884" s="20" t="str">
        <f>HYPERLINK("https://twitter.com/walkileaks","@walkileaks")</f>
        <v>@walkileaks</v>
      </c>
      <c r="C6884" s="21" t="s">
        <v>3306</v>
      </c>
      <c r="D6884" s="21" t="s">
        <v>15395</v>
      </c>
      <c r="E6884" s="22" t="str">
        <f>HYPERLINK("https://twitter.com/walkileaks/status/922531049653129218","922531049653129218")</f>
        <v>922531049653129218</v>
      </c>
      <c r="F6884" s="30" t="s">
        <v>191</v>
      </c>
      <c r="G6884" s="24">
        <v>530.0</v>
      </c>
      <c r="H6884" s="24">
        <v>739.0</v>
      </c>
      <c r="I6884" s="24">
        <v>0.0</v>
      </c>
      <c r="J6884" s="24">
        <v>0.0</v>
      </c>
      <c r="K6884" s="23" t="s">
        <v>34</v>
      </c>
      <c r="L6884" s="25">
        <v>41239.39423611111</v>
      </c>
      <c r="M6884" s="26" t="s">
        <v>68</v>
      </c>
      <c r="N6884" s="26" t="s">
        <v>3308</v>
      </c>
      <c r="O6884" s="22" t="str">
        <f>HYPERLINK("https://pbs.twimg.com/profile_images/782945569501286401/BOfnIaHw_normal.jpg","View")</f>
        <v>View</v>
      </c>
      <c r="P6884" s="27"/>
    </row>
    <row r="6885">
      <c r="A6885" s="14">
        <v>43031.48079861111</v>
      </c>
      <c r="B6885" s="20" t="str">
        <f>HYPERLINK("https://twitter.com/ii_newsdesk","@ii_newsdesk")</f>
        <v>@ii_newsdesk</v>
      </c>
      <c r="C6885" s="21" t="s">
        <v>15396</v>
      </c>
      <c r="D6885" s="21" t="s">
        <v>15397</v>
      </c>
      <c r="E6885" s="22" t="str">
        <f>HYPERLINK("https://twitter.com/ii_newsdesk/status/922531153818587136","922531153818587136")</f>
        <v>922531153818587136</v>
      </c>
      <c r="F6885" s="23" t="s">
        <v>15398</v>
      </c>
      <c r="G6885" s="24">
        <v>263.0</v>
      </c>
      <c r="H6885" s="24">
        <v>1164.0</v>
      </c>
      <c r="I6885" s="24">
        <v>0.0</v>
      </c>
      <c r="J6885" s="24">
        <v>0.0</v>
      </c>
      <c r="K6885" s="23" t="s">
        <v>34</v>
      </c>
      <c r="L6885" s="25">
        <v>41985.98832175926</v>
      </c>
      <c r="M6885" s="26" t="s">
        <v>1991</v>
      </c>
      <c r="N6885" s="26" t="s">
        <v>15399</v>
      </c>
      <c r="O6885" s="22" t="str">
        <f>HYPERLINK("https://pbs.twimg.com/profile_images/758222941884600322/_aCW99lO_normal.jpg","View")</f>
        <v>View</v>
      </c>
      <c r="P6885" s="27"/>
    </row>
    <row r="6886">
      <c r="A6886" s="14">
        <v>43031.480844907404</v>
      </c>
      <c r="B6886" s="20" t="str">
        <f>HYPERLINK("https://twitter.com/naveena83106065","@naveena83106065")</f>
        <v>@naveena83106065</v>
      </c>
      <c r="C6886" s="21" t="s">
        <v>15400</v>
      </c>
      <c r="D6886" s="21" t="s">
        <v>42</v>
      </c>
      <c r="E6886" s="22" t="str">
        <f>HYPERLINK("https://twitter.com/naveena83106065/status/922531169756786688","922531169756786688")</f>
        <v>922531169756786688</v>
      </c>
      <c r="F6886" s="23" t="s">
        <v>33</v>
      </c>
      <c r="G6886" s="24">
        <v>2606.0</v>
      </c>
      <c r="H6886" s="24">
        <v>2938.0</v>
      </c>
      <c r="I6886" s="24">
        <v>8501.0</v>
      </c>
      <c r="J6886" s="24">
        <v>0.0</v>
      </c>
      <c r="K6886" s="23" t="s">
        <v>34</v>
      </c>
      <c r="L6886" s="25">
        <v>42110.332604166666</v>
      </c>
      <c r="M6886" s="28"/>
      <c r="N6886" s="26" t="s">
        <v>15401</v>
      </c>
      <c r="O6886" s="22" t="str">
        <f>HYPERLINK("https://pbs.twimg.com/profile_images/872893225790472192/g14ICB04_normal.jpg","View")</f>
        <v>View</v>
      </c>
      <c r="P6886" s="27"/>
    </row>
    <row r="6887">
      <c r="A6887" s="14">
        <v>43031.48100694444</v>
      </c>
      <c r="B6887" s="20" t="str">
        <f>HYPERLINK("https://twitter.com/MathkariVikas","@MathkariVikas")</f>
        <v>@MathkariVikas</v>
      </c>
      <c r="C6887" s="21" t="s">
        <v>15402</v>
      </c>
      <c r="D6887" s="21" t="s">
        <v>42</v>
      </c>
      <c r="E6887" s="22" t="str">
        <f>HYPERLINK("https://twitter.com/MathkariVikas/status/922531228011638784","922531228011638784")</f>
        <v>922531228011638784</v>
      </c>
      <c r="F6887" s="23" t="s">
        <v>39</v>
      </c>
      <c r="G6887" s="24">
        <v>4014.0</v>
      </c>
      <c r="H6887" s="24">
        <v>2385.0</v>
      </c>
      <c r="I6887" s="24">
        <v>8501.0</v>
      </c>
      <c r="J6887" s="24">
        <v>0.0</v>
      </c>
      <c r="K6887" s="23" t="s">
        <v>34</v>
      </c>
      <c r="L6887" s="25">
        <v>40431.30297453704</v>
      </c>
      <c r="M6887" s="26" t="s">
        <v>15403</v>
      </c>
      <c r="N6887" s="26" t="s">
        <v>15404</v>
      </c>
      <c r="O6887" s="22" t="str">
        <f>HYPERLINK("https://pbs.twimg.com/profile_images/607771336065228800/nB9Unzu7_normal.jpg","View")</f>
        <v>View</v>
      </c>
      <c r="P6887" s="27"/>
    </row>
    <row r="6888">
      <c r="A6888" s="14">
        <v>43031.48106481481</v>
      </c>
      <c r="B6888" s="20" t="str">
        <f>HYPERLINK("https://twitter.com/breaking_news_4","@breaking_news_4")</f>
        <v>@breaking_news_4</v>
      </c>
      <c r="C6888" s="21" t="s">
        <v>5830</v>
      </c>
      <c r="D6888" s="21" t="s">
        <v>15405</v>
      </c>
      <c r="E6888" s="22" t="str">
        <f>HYPERLINK("https://twitter.com/breaking_news_4/status/922531249515884544","922531249515884544")</f>
        <v>922531249515884544</v>
      </c>
      <c r="F6888" s="23" t="s">
        <v>187</v>
      </c>
      <c r="G6888" s="24">
        <v>1564.0</v>
      </c>
      <c r="H6888" s="24">
        <v>168.0</v>
      </c>
      <c r="I6888" s="24">
        <v>0.0</v>
      </c>
      <c r="J6888" s="24">
        <v>0.0</v>
      </c>
      <c r="K6888" s="23" t="s">
        <v>34</v>
      </c>
      <c r="L6888" s="25">
        <v>41323.59861111111</v>
      </c>
      <c r="M6888" s="28"/>
      <c r="N6888" s="28"/>
      <c r="O6888" s="22" t="str">
        <f>HYPERLINK("https://pbs.twimg.com/profile_images/3506234829/a38e573d69ee71fcc25830b97d00c179_normal.png","View")</f>
        <v>View</v>
      </c>
      <c r="P6888" s="27"/>
    </row>
    <row r="6889">
      <c r="A6889" s="14">
        <v>43031.48125</v>
      </c>
      <c r="B6889" s="20" t="str">
        <f>HYPERLINK("https://twitter.com/taypopsin","@taypopsin")</f>
        <v>@taypopsin</v>
      </c>
      <c r="C6889" s="21" t="s">
        <v>15406</v>
      </c>
      <c r="D6889" s="21" t="s">
        <v>15407</v>
      </c>
      <c r="E6889" s="22" t="str">
        <f>HYPERLINK("https://twitter.com/taypopsin/status/922531316805132292","922531316805132292")</f>
        <v>922531316805132292</v>
      </c>
      <c r="F6889" s="23" t="s">
        <v>48</v>
      </c>
      <c r="G6889" s="24">
        <v>455.0</v>
      </c>
      <c r="H6889" s="24">
        <v>1894.0</v>
      </c>
      <c r="I6889" s="24">
        <v>0.0</v>
      </c>
      <c r="J6889" s="24">
        <v>0.0</v>
      </c>
      <c r="K6889" s="23" t="s">
        <v>34</v>
      </c>
      <c r="L6889" s="25">
        <v>41058.61221064815</v>
      </c>
      <c r="M6889" s="28"/>
      <c r="N6889" s="26" t="s">
        <v>15408</v>
      </c>
      <c r="O6889" s="22" t="str">
        <f>HYPERLINK("https://pbs.twimg.com/profile_images/2297575788/tt9a07r893lwny1jss7c_normal.jpeg","View")</f>
        <v>View</v>
      </c>
      <c r="P6889" s="27"/>
    </row>
    <row r="6890">
      <c r="A6890" s="14">
        <v>43031.481307870374</v>
      </c>
      <c r="B6890" s="20" t="str">
        <f>HYPERLINK("https://twitter.com/DeenuGupta3","@DeenuGupta3")</f>
        <v>@DeenuGupta3</v>
      </c>
      <c r="C6890" s="21" t="s">
        <v>15409</v>
      </c>
      <c r="D6890" s="21" t="s">
        <v>42</v>
      </c>
      <c r="E6890" s="22" t="str">
        <f>HYPERLINK("https://twitter.com/DeenuGupta3/status/922531337948381185","922531337948381185")</f>
        <v>922531337948381185</v>
      </c>
      <c r="F6890" s="23" t="s">
        <v>33</v>
      </c>
      <c r="G6890" s="24">
        <v>621.0</v>
      </c>
      <c r="H6890" s="24">
        <v>873.0</v>
      </c>
      <c r="I6890" s="24">
        <v>8501.0</v>
      </c>
      <c r="J6890" s="24">
        <v>0.0</v>
      </c>
      <c r="K6890" s="23" t="s">
        <v>34</v>
      </c>
      <c r="L6890" s="25">
        <v>42450.478483796294</v>
      </c>
      <c r="M6890" s="26" t="s">
        <v>15410</v>
      </c>
      <c r="N6890" s="26" t="s">
        <v>15411</v>
      </c>
      <c r="O6890" s="22" t="str">
        <f>HYPERLINK("https://pbs.twimg.com/profile_images/916033235175464960/AnK-bcW3_normal.jpg","View")</f>
        <v>View</v>
      </c>
      <c r="P6890" s="27"/>
    </row>
    <row r="6891">
      <c r="A6891" s="14">
        <v>43031.481412037036</v>
      </c>
      <c r="B6891" s="20" t="str">
        <f>HYPERLINK("https://twitter.com/krunox123","@krunox123")</f>
        <v>@krunox123</v>
      </c>
      <c r="C6891" s="21" t="s">
        <v>1750</v>
      </c>
      <c r="D6891" s="21" t="s">
        <v>15412</v>
      </c>
      <c r="E6891" s="22" t="str">
        <f>HYPERLINK("https://twitter.com/krunox123/status/922531377790189569","922531377790189569")</f>
        <v>922531377790189569</v>
      </c>
      <c r="F6891" s="23" t="s">
        <v>187</v>
      </c>
      <c r="G6891" s="24">
        <v>10220.0</v>
      </c>
      <c r="H6891" s="24">
        <v>2.0</v>
      </c>
      <c r="I6891" s="24">
        <v>0.0</v>
      </c>
      <c r="J6891" s="24">
        <v>0.0</v>
      </c>
      <c r="K6891" s="23" t="s">
        <v>34</v>
      </c>
      <c r="L6891" s="25">
        <v>40938.22789351852</v>
      </c>
      <c r="M6891" s="26" t="s">
        <v>1752</v>
      </c>
      <c r="N6891" s="26" t="s">
        <v>1753</v>
      </c>
      <c r="O6891" s="22" t="str">
        <f>HYPERLINK("https://pbs.twimg.com/profile_images/824952382618349568/2SFIkM2x_normal.jpg","View")</f>
        <v>View</v>
      </c>
      <c r="P6891" s="27"/>
    </row>
    <row r="6892">
      <c r="A6892" s="14">
        <v>43031.48159722222</v>
      </c>
      <c r="B6892" s="20" t="str">
        <f>HYPERLINK("https://twitter.com/maniarbhavik","@maniarbhavik")</f>
        <v>@maniarbhavik</v>
      </c>
      <c r="C6892" s="21" t="s">
        <v>15413</v>
      </c>
      <c r="D6892" s="21" t="s">
        <v>42</v>
      </c>
      <c r="E6892" s="22" t="str">
        <f>HYPERLINK("https://twitter.com/maniarbhavik/status/922531445155024897","922531445155024897")</f>
        <v>922531445155024897</v>
      </c>
      <c r="F6892" s="23" t="s">
        <v>33</v>
      </c>
      <c r="G6892" s="24">
        <v>352.0</v>
      </c>
      <c r="H6892" s="24">
        <v>108.0</v>
      </c>
      <c r="I6892" s="24">
        <v>8501.0</v>
      </c>
      <c r="J6892" s="24">
        <v>0.0</v>
      </c>
      <c r="K6892" s="23" t="s">
        <v>34</v>
      </c>
      <c r="L6892" s="25">
        <v>40444.94604166667</v>
      </c>
      <c r="M6892" s="26" t="s">
        <v>15414</v>
      </c>
      <c r="N6892" s="26" t="s">
        <v>15415</v>
      </c>
      <c r="O6892" s="22" t="str">
        <f>HYPERLINK("https://pbs.twimg.com/profile_images/904780583364026368/elUeA8YH_normal.jpg","View")</f>
        <v>View</v>
      </c>
      <c r="P6892" s="27"/>
    </row>
    <row r="6893">
      <c r="A6893" s="14">
        <v>43031.48231481481</v>
      </c>
      <c r="B6893" s="20" t="str">
        <f>HYPERLINK("https://twitter.com/tyler057","@tyler057")</f>
        <v>@tyler057</v>
      </c>
      <c r="C6893" s="21" t="s">
        <v>15416</v>
      </c>
      <c r="D6893" s="21" t="s">
        <v>15417</v>
      </c>
      <c r="E6893" s="22" t="str">
        <f>HYPERLINK("https://twitter.com/tyler057/status/922531701691006978","922531701691006978")</f>
        <v>922531701691006978</v>
      </c>
      <c r="F6893" s="23" t="s">
        <v>33</v>
      </c>
      <c r="G6893" s="24">
        <v>180.0</v>
      </c>
      <c r="H6893" s="24">
        <v>679.0</v>
      </c>
      <c r="I6893" s="24">
        <v>0.0</v>
      </c>
      <c r="J6893" s="24">
        <v>0.0</v>
      </c>
      <c r="K6893" s="23" t="s">
        <v>34</v>
      </c>
      <c r="L6893" s="25">
        <v>39746.5381712963</v>
      </c>
      <c r="M6893" s="28"/>
      <c r="N6893" s="26" t="s">
        <v>15418</v>
      </c>
      <c r="O6893" s="22" t="str">
        <f>HYPERLINK("https://pbs.twimg.com/profile_images/898222851538288640/ZyvmbC67_normal.jpg","View")</f>
        <v>View</v>
      </c>
      <c r="P6893" s="27"/>
    </row>
    <row r="6894">
      <c r="A6894" s="14">
        <v>43031.482511574075</v>
      </c>
      <c r="B6894" s="20" t="str">
        <f>HYPERLINK("https://twitter.com/kotomi1124","@kotomi1124")</f>
        <v>@kotomi1124</v>
      </c>
      <c r="C6894" s="21" t="s">
        <v>15258</v>
      </c>
      <c r="D6894" s="21" t="s">
        <v>6975</v>
      </c>
      <c r="E6894" s="22" t="str">
        <f>HYPERLINK("https://twitter.com/kotomi1124/status/922531774206377984","922531774206377984")</f>
        <v>922531774206377984</v>
      </c>
      <c r="F6894" s="23" t="s">
        <v>33</v>
      </c>
      <c r="G6894" s="24">
        <v>469.0</v>
      </c>
      <c r="H6894" s="24">
        <v>705.0</v>
      </c>
      <c r="I6894" s="24">
        <v>6.0</v>
      </c>
      <c r="J6894" s="24">
        <v>0.0</v>
      </c>
      <c r="K6894" s="23" t="s">
        <v>34</v>
      </c>
      <c r="L6894" s="25">
        <v>40189.246840277774</v>
      </c>
      <c r="M6894" s="26" t="s">
        <v>10001</v>
      </c>
      <c r="N6894" s="28"/>
      <c r="O6894" s="22" t="str">
        <f>HYPERLINK("https://pbs.twimg.com/profile_images/721140815460900864/CKqSU3NB_normal.jpg","View")</f>
        <v>View</v>
      </c>
      <c r="P6894" s="27"/>
    </row>
    <row r="6895">
      <c r="A6895" s="14">
        <v>43031.48265046296</v>
      </c>
      <c r="B6895" s="20" t="str">
        <f>HYPERLINK("https://twitter.com/veronikafff","@veronikafff")</f>
        <v>@veronikafff</v>
      </c>
      <c r="C6895" s="21" t="s">
        <v>15419</v>
      </c>
      <c r="D6895" s="21" t="s">
        <v>14748</v>
      </c>
      <c r="E6895" s="22" t="str">
        <f>HYPERLINK("https://twitter.com/veronikafff/status/922531825913942026","922531825913942026")</f>
        <v>922531825913942026</v>
      </c>
      <c r="F6895" s="23" t="s">
        <v>39</v>
      </c>
      <c r="G6895" s="24">
        <v>61.0</v>
      </c>
      <c r="H6895" s="24">
        <v>308.0</v>
      </c>
      <c r="I6895" s="24">
        <v>46.0</v>
      </c>
      <c r="J6895" s="24">
        <v>0.0</v>
      </c>
      <c r="K6895" s="23" t="s">
        <v>34</v>
      </c>
      <c r="L6895" s="25">
        <v>42130.56861111111</v>
      </c>
      <c r="M6895" s="26" t="s">
        <v>15420</v>
      </c>
      <c r="N6895" s="28"/>
      <c r="O6895" s="22" t="str">
        <f>HYPERLINK("https://pbs.twimg.com/profile_images/790668454600830976/AUU_O0gJ_normal.jpg","View")</f>
        <v>View</v>
      </c>
      <c r="P6895" s="27"/>
    </row>
    <row r="6896">
      <c r="A6896" s="14">
        <v>43031.48274305556</v>
      </c>
      <c r="B6896" s="20" t="str">
        <f>HYPERLINK("https://twitter.com/im_Tkrishna007","@im_Tkrishna007")</f>
        <v>@im_Tkrishna007</v>
      </c>
      <c r="C6896" s="21" t="s">
        <v>15421</v>
      </c>
      <c r="D6896" s="21" t="s">
        <v>42</v>
      </c>
      <c r="E6896" s="22" t="str">
        <f>HYPERLINK("https://twitter.com/im_Tkrishna007/status/922531859623329792","922531859623329792")</f>
        <v>922531859623329792</v>
      </c>
      <c r="F6896" s="23" t="s">
        <v>39</v>
      </c>
      <c r="G6896" s="24">
        <v>20.0</v>
      </c>
      <c r="H6896" s="24">
        <v>110.0</v>
      </c>
      <c r="I6896" s="24">
        <v>8501.0</v>
      </c>
      <c r="J6896" s="24">
        <v>0.0</v>
      </c>
      <c r="K6896" s="23" t="s">
        <v>34</v>
      </c>
      <c r="L6896" s="25">
        <v>43021.34232638888</v>
      </c>
      <c r="M6896" s="28"/>
      <c r="N6896" s="28"/>
      <c r="O6896" s="22" t="str">
        <f>HYPERLINK("https://abs.twimg.com/sticky/default_profile_images/default_profile_normal.png","View")</f>
        <v>View</v>
      </c>
      <c r="P6896" s="27"/>
    </row>
    <row r="6897">
      <c r="A6897" s="14">
        <v>43031.48299768519</v>
      </c>
      <c r="B6897" s="20" t="str">
        <f>HYPERLINK("https://twitter.com/moreira_enzo","@moreira_enzo")</f>
        <v>@moreira_enzo</v>
      </c>
      <c r="C6897" s="21" t="s">
        <v>15422</v>
      </c>
      <c r="D6897" s="21" t="s">
        <v>15423</v>
      </c>
      <c r="E6897" s="22" t="str">
        <f>HYPERLINK("https://twitter.com/moreira_enzo/status/922531950291714049","922531950291714049")</f>
        <v>922531950291714049</v>
      </c>
      <c r="F6897" s="23" t="s">
        <v>55</v>
      </c>
      <c r="G6897" s="24">
        <v>343.0</v>
      </c>
      <c r="H6897" s="24">
        <v>192.0</v>
      </c>
      <c r="I6897" s="24">
        <v>0.0</v>
      </c>
      <c r="J6897" s="24">
        <v>0.0</v>
      </c>
      <c r="K6897" s="23" t="s">
        <v>34</v>
      </c>
      <c r="L6897" s="25">
        <v>41006.31086805556</v>
      </c>
      <c r="M6897" s="26" t="s">
        <v>15424</v>
      </c>
      <c r="N6897" s="26" t="s">
        <v>15425</v>
      </c>
      <c r="O6897" s="22" t="str">
        <f>HYPERLINK("https://pbs.twimg.com/profile_images/917271790153543681/Lr55KG_o_normal.jpg","View")</f>
        <v>View</v>
      </c>
      <c r="P6897" s="27"/>
    </row>
    <row r="6898">
      <c r="A6898" s="14">
        <v>43031.483460648145</v>
      </c>
      <c r="B6898" s="20" t="str">
        <f>HYPERLINK("https://twitter.com/_nicoladoyle","@_nicoladoyle")</f>
        <v>@_nicoladoyle</v>
      </c>
      <c r="C6898" s="21" t="s">
        <v>15426</v>
      </c>
      <c r="D6898" s="21" t="s">
        <v>14748</v>
      </c>
      <c r="E6898" s="22" t="str">
        <f>HYPERLINK("https://twitter.com/_nicoladoyle/status/922532118764445696","922532118764445696")</f>
        <v>922532118764445696</v>
      </c>
      <c r="F6898" s="23" t="s">
        <v>39</v>
      </c>
      <c r="G6898" s="24">
        <v>167.0</v>
      </c>
      <c r="H6898" s="24">
        <v>559.0</v>
      </c>
      <c r="I6898" s="24">
        <v>46.0</v>
      </c>
      <c r="J6898" s="24">
        <v>0.0</v>
      </c>
      <c r="K6898" s="23" t="s">
        <v>34</v>
      </c>
      <c r="L6898" s="25">
        <v>41247.11902777778</v>
      </c>
      <c r="M6898" s="26" t="s">
        <v>15427</v>
      </c>
      <c r="N6898" s="26" t="s">
        <v>15428</v>
      </c>
      <c r="O6898" s="22" t="str">
        <f>HYPERLINK("https://pbs.twimg.com/profile_images/876531756320555009/9v3GI_GE_normal.jpg","View")</f>
        <v>View</v>
      </c>
      <c r="P6898" s="27"/>
    </row>
    <row r="6899">
      <c r="A6899" s="14">
        <v>43031.4834837963</v>
      </c>
      <c r="B6899" s="20" t="str">
        <f>HYPERLINK("https://twitter.com/murti_nv","@murti_nv")</f>
        <v>@murti_nv</v>
      </c>
      <c r="C6899" s="21" t="s">
        <v>15429</v>
      </c>
      <c r="D6899" s="21" t="s">
        <v>42</v>
      </c>
      <c r="E6899" s="22" t="str">
        <f>HYPERLINK("https://twitter.com/murti_nv/status/922532127509430272","922532127509430272")</f>
        <v>922532127509430272</v>
      </c>
      <c r="F6899" s="23" t="s">
        <v>33</v>
      </c>
      <c r="G6899" s="24">
        <v>110.0</v>
      </c>
      <c r="H6899" s="24">
        <v>197.0</v>
      </c>
      <c r="I6899" s="24">
        <v>8501.0</v>
      </c>
      <c r="J6899" s="24">
        <v>0.0</v>
      </c>
      <c r="K6899" s="23" t="s">
        <v>34</v>
      </c>
      <c r="L6899" s="25">
        <v>42305.178495370375</v>
      </c>
      <c r="M6899" s="26" t="s">
        <v>603</v>
      </c>
      <c r="N6899" s="26" t="s">
        <v>15430</v>
      </c>
      <c r="O6899" s="22" t="str">
        <f>HYPERLINK("https://pbs.twimg.com/profile_images/705762393448513536/i67JL8uJ_normal.jpg","View")</f>
        <v>View</v>
      </c>
      <c r="P6899" s="27"/>
    </row>
    <row r="6900">
      <c r="A6900" s="14">
        <v>43031.48349537037</v>
      </c>
      <c r="B6900" s="20" t="str">
        <f>HYPERLINK("https://twitter.com/AndrewJNell","@AndrewJNell")</f>
        <v>@AndrewJNell</v>
      </c>
      <c r="C6900" s="21" t="s">
        <v>12731</v>
      </c>
      <c r="D6900" s="21" t="s">
        <v>15431</v>
      </c>
      <c r="E6900" s="22" t="str">
        <f>HYPERLINK("https://twitter.com/AndrewJNell/status/922532131112353793","922532131112353793")</f>
        <v>922532131112353793</v>
      </c>
      <c r="F6900" s="23" t="s">
        <v>48</v>
      </c>
      <c r="G6900" s="24">
        <v>160.0</v>
      </c>
      <c r="H6900" s="24">
        <v>113.0</v>
      </c>
      <c r="I6900" s="24">
        <v>0.0</v>
      </c>
      <c r="J6900" s="24">
        <v>0.0</v>
      </c>
      <c r="K6900" s="23" t="s">
        <v>34</v>
      </c>
      <c r="L6900" s="25">
        <v>41891.879953703705</v>
      </c>
      <c r="M6900" s="28"/>
      <c r="N6900" s="26" t="s">
        <v>12733</v>
      </c>
      <c r="O6900" s="22" t="str">
        <f>HYPERLINK("https://pbs.twimg.com/profile_images/825566933353390080/1AtpmVNi_normal.jpg","View")</f>
        <v>View</v>
      </c>
      <c r="P6900" s="27"/>
    </row>
    <row r="6901">
      <c r="A6901" s="14">
        <v>43031.483506944445</v>
      </c>
      <c r="B6901" s="20" t="str">
        <f>HYPERLINK("https://twitter.com/truesourcemedia","@truesourcemedia")</f>
        <v>@truesourcemedia</v>
      </c>
      <c r="C6901" s="21" t="s">
        <v>15432</v>
      </c>
      <c r="D6901" s="21" t="s">
        <v>15433</v>
      </c>
      <c r="E6901" s="22" t="str">
        <f>HYPERLINK("https://twitter.com/truesourcemedia/status/922532133582675968","922532133582675968")</f>
        <v>922532133582675968</v>
      </c>
      <c r="F6901" s="23" t="s">
        <v>55</v>
      </c>
      <c r="G6901" s="24">
        <v>77.0</v>
      </c>
      <c r="H6901" s="24">
        <v>1598.0</v>
      </c>
      <c r="I6901" s="24">
        <v>2.0</v>
      </c>
      <c r="J6901" s="24">
        <v>2.0</v>
      </c>
      <c r="K6901" s="23" t="s">
        <v>34</v>
      </c>
      <c r="L6901" s="25">
        <v>42983.38605324074</v>
      </c>
      <c r="M6901" s="26" t="s">
        <v>1545</v>
      </c>
      <c r="N6901" s="26" t="s">
        <v>15434</v>
      </c>
      <c r="O6901" s="22" t="str">
        <f>HYPERLINK("https://pbs.twimg.com/profile_images/905105133763125248/_xIVLXJ7_normal.jpg","View")</f>
        <v>View</v>
      </c>
      <c r="P6901" s="27"/>
    </row>
    <row r="6902">
      <c r="A6902" s="14">
        <v>43031.48358796297</v>
      </c>
      <c r="B6902" s="20" t="str">
        <f>HYPERLINK("https://twitter.com/Apocrifos","@Apocrifos")</f>
        <v>@Apocrifos</v>
      </c>
      <c r="C6902" s="21" t="s">
        <v>3684</v>
      </c>
      <c r="D6902" s="21" t="s">
        <v>15435</v>
      </c>
      <c r="E6902" s="22" t="str">
        <f>HYPERLINK("https://twitter.com/Apocrifos/status/922532165954523141","922532165954523141")</f>
        <v>922532165954523141</v>
      </c>
      <c r="F6902" s="23" t="s">
        <v>187</v>
      </c>
      <c r="G6902" s="24">
        <v>760.0</v>
      </c>
      <c r="H6902" s="24">
        <v>508.0</v>
      </c>
      <c r="I6902" s="24">
        <v>0.0</v>
      </c>
      <c r="J6902" s="24">
        <v>0.0</v>
      </c>
      <c r="K6902" s="23" t="s">
        <v>34</v>
      </c>
      <c r="L6902" s="25">
        <v>39961.426828703705</v>
      </c>
      <c r="M6902" s="26" t="s">
        <v>3685</v>
      </c>
      <c r="N6902" s="26" t="s">
        <v>3686</v>
      </c>
      <c r="O6902" s="22" t="str">
        <f>HYPERLINK("https://pbs.twimg.com/profile_images/3672960453/ea0d6104e1c4773a26d48d5437e962d8_normal.jpeg","View")</f>
        <v>View</v>
      </c>
      <c r="P6902" s="27"/>
    </row>
    <row r="6903">
      <c r="A6903" s="14">
        <v>43031.48364583333</v>
      </c>
      <c r="B6903" s="20" t="str">
        <f>HYPERLINK("https://twitter.com/auntiejul","@auntiejul")</f>
        <v>@auntiejul</v>
      </c>
      <c r="C6903" s="21" t="s">
        <v>15436</v>
      </c>
      <c r="D6903" s="21" t="s">
        <v>6670</v>
      </c>
      <c r="E6903" s="22" t="str">
        <f>HYPERLINK("https://twitter.com/auntiejul/status/922532187227992066","922532187227992066")</f>
        <v>922532187227992066</v>
      </c>
      <c r="F6903" s="23" t="s">
        <v>55</v>
      </c>
      <c r="G6903" s="24">
        <v>4608.0</v>
      </c>
      <c r="H6903" s="24">
        <v>5047.0</v>
      </c>
      <c r="I6903" s="24">
        <v>18.0</v>
      </c>
      <c r="J6903" s="24">
        <v>0.0</v>
      </c>
      <c r="K6903" s="23" t="s">
        <v>34</v>
      </c>
      <c r="L6903" s="25">
        <v>39974.35796296296</v>
      </c>
      <c r="M6903" s="26" t="s">
        <v>15437</v>
      </c>
      <c r="N6903" s="26" t="s">
        <v>15438</v>
      </c>
      <c r="O6903" s="22" t="str">
        <f>HYPERLINK("https://pbs.twimg.com/profile_images/850808725229027328/Fb4dtUnB_normal.jpg","View")</f>
        <v>View</v>
      </c>
      <c r="P6903" s="27"/>
    </row>
    <row r="6904">
      <c r="A6904" s="14">
        <v>43031.48376157407</v>
      </c>
      <c r="B6904" s="20" t="str">
        <f>HYPERLINK("https://twitter.com/ryuta23","@ryuta23")</f>
        <v>@ryuta23</v>
      </c>
      <c r="C6904" s="21" t="s">
        <v>15439</v>
      </c>
      <c r="D6904" s="21" t="s">
        <v>15216</v>
      </c>
      <c r="E6904" s="22" t="str">
        <f>HYPERLINK("https://twitter.com/ryuta23/status/922532227300212739","922532227300212739")</f>
        <v>922532227300212739</v>
      </c>
      <c r="F6904" s="23" t="s">
        <v>39</v>
      </c>
      <c r="G6904" s="24">
        <v>524.0</v>
      </c>
      <c r="H6904" s="24">
        <v>532.0</v>
      </c>
      <c r="I6904" s="24">
        <v>8.0</v>
      </c>
      <c r="J6904" s="24">
        <v>0.0</v>
      </c>
      <c r="K6904" s="23" t="s">
        <v>34</v>
      </c>
      <c r="L6904" s="25">
        <v>39914.28611111111</v>
      </c>
      <c r="M6904" s="26" t="s">
        <v>853</v>
      </c>
      <c r="N6904" s="26" t="s">
        <v>15440</v>
      </c>
      <c r="O6904" s="22" t="str">
        <f>HYPERLINK("https://pbs.twimg.com/profile_images/133292835/DSCN1395_normal.JPG","View")</f>
        <v>View</v>
      </c>
      <c r="P6904" s="27"/>
    </row>
    <row r="6905">
      <c r="A6905" s="14">
        <v>43031.48400462963</v>
      </c>
      <c r="B6905" s="20" t="str">
        <f>HYPERLINK("https://twitter.com/rahim_raam","@rahim_raam")</f>
        <v>@rahim_raam</v>
      </c>
      <c r="C6905" s="21" t="s">
        <v>15441</v>
      </c>
      <c r="D6905" s="21" t="s">
        <v>42</v>
      </c>
      <c r="E6905" s="22" t="str">
        <f>HYPERLINK("https://twitter.com/rahim_raam/status/922532317100310528","922532317100310528")</f>
        <v>922532317100310528</v>
      </c>
      <c r="F6905" s="23" t="s">
        <v>33</v>
      </c>
      <c r="G6905" s="24">
        <v>173.0</v>
      </c>
      <c r="H6905" s="24">
        <v>196.0</v>
      </c>
      <c r="I6905" s="24">
        <v>8501.0</v>
      </c>
      <c r="J6905" s="24">
        <v>0.0</v>
      </c>
      <c r="K6905" s="23" t="s">
        <v>34</v>
      </c>
      <c r="L6905" s="25">
        <v>42885.06982638889</v>
      </c>
      <c r="M6905" s="26" t="s">
        <v>531</v>
      </c>
      <c r="N6905" s="26" t="s">
        <v>15442</v>
      </c>
      <c r="O6905" s="22" t="str">
        <f>HYPERLINK("https://pbs.twimg.com/profile_images/877243527549341698/aGD1T7-Z_normal.jpg","View")</f>
        <v>View</v>
      </c>
      <c r="P6905" s="27"/>
    </row>
    <row r="6906">
      <c r="A6906" s="14">
        <v>43031.48405092592</v>
      </c>
      <c r="B6906" s="20" t="str">
        <f>HYPERLINK("https://twitter.com/rkapoor1969","@rkapoor1969")</f>
        <v>@rkapoor1969</v>
      </c>
      <c r="C6906" s="21" t="s">
        <v>15443</v>
      </c>
      <c r="D6906" s="21" t="s">
        <v>15444</v>
      </c>
      <c r="E6906" s="22" t="str">
        <f>HYPERLINK("https://twitter.com/rkapoor1969/status/922532333219180544","922532333219180544")</f>
        <v>922532333219180544</v>
      </c>
      <c r="F6906" s="23" t="s">
        <v>33</v>
      </c>
      <c r="G6906" s="24">
        <v>197.0</v>
      </c>
      <c r="H6906" s="24">
        <v>203.0</v>
      </c>
      <c r="I6906" s="24">
        <v>1.0</v>
      </c>
      <c r="J6906" s="24">
        <v>0.0</v>
      </c>
      <c r="K6906" s="23" t="s">
        <v>34</v>
      </c>
      <c r="L6906" s="25">
        <v>40144.046006944445</v>
      </c>
      <c r="M6906" s="26" t="s">
        <v>15445</v>
      </c>
      <c r="N6906" s="26" t="s">
        <v>15446</v>
      </c>
      <c r="O6906" s="22" t="str">
        <f>HYPERLINK("https://pbs.twimg.com/profile_images/1213877731/ADULTSIM_normal.JPG","View")</f>
        <v>View</v>
      </c>
      <c r="P6906" s="27"/>
    </row>
    <row r="6907">
      <c r="A6907" s="14">
        <v>43031.48407407408</v>
      </c>
      <c r="B6907" s="20" t="str">
        <f>HYPERLINK("https://twitter.com/I_YogiVerma","@I_YogiVerma")</f>
        <v>@I_YogiVerma</v>
      </c>
      <c r="C6907" s="21" t="s">
        <v>15447</v>
      </c>
      <c r="D6907" s="21" t="s">
        <v>42</v>
      </c>
      <c r="E6907" s="22" t="str">
        <f>HYPERLINK("https://twitter.com/I_YogiVerma/status/922532342043787266","922532342043787266")</f>
        <v>922532342043787266</v>
      </c>
      <c r="F6907" s="23" t="s">
        <v>39</v>
      </c>
      <c r="G6907" s="24">
        <v>6131.0</v>
      </c>
      <c r="H6907" s="24">
        <v>178.0</v>
      </c>
      <c r="I6907" s="24">
        <v>8501.0</v>
      </c>
      <c r="J6907" s="24">
        <v>0.0</v>
      </c>
      <c r="K6907" s="23" t="s">
        <v>34</v>
      </c>
      <c r="L6907" s="25">
        <v>41374.23873842593</v>
      </c>
      <c r="M6907" s="28"/>
      <c r="N6907" s="26" t="s">
        <v>15448</v>
      </c>
      <c r="O6907" s="22" t="str">
        <f>HYPERLINK("https://pbs.twimg.com/profile_images/918002199157805056/IdHwRBsP_normal.jpg","View")</f>
        <v>View</v>
      </c>
      <c r="P6907" s="27"/>
    </row>
    <row r="6908">
      <c r="A6908" s="14">
        <v>43031.48434027778</v>
      </c>
      <c r="B6908" s="20" t="str">
        <f>HYPERLINK("https://twitter.com/youth4bjp","@youth4bjp")</f>
        <v>@youth4bjp</v>
      </c>
      <c r="C6908" s="21" t="s">
        <v>15449</v>
      </c>
      <c r="D6908" s="21" t="s">
        <v>463</v>
      </c>
      <c r="E6908" s="22" t="str">
        <f>HYPERLINK("https://twitter.com/youth4bjp/status/922532438567297024","922532438567297024")</f>
        <v>922532438567297024</v>
      </c>
      <c r="F6908" s="23" t="s">
        <v>43</v>
      </c>
      <c r="G6908" s="24">
        <v>7293.0</v>
      </c>
      <c r="H6908" s="24">
        <v>743.0</v>
      </c>
      <c r="I6908" s="24">
        <v>4.0</v>
      </c>
      <c r="J6908" s="24">
        <v>0.0</v>
      </c>
      <c r="K6908" s="23" t="s">
        <v>34</v>
      </c>
      <c r="L6908" s="25">
        <v>40321.8690625</v>
      </c>
      <c r="M6908" s="26" t="s">
        <v>164</v>
      </c>
      <c r="N6908" s="26" t="s">
        <v>15450</v>
      </c>
      <c r="O6908" s="22" t="str">
        <f>HYPERLINK("https://pbs.twimg.com/profile_images/494343074764427265/QDAwi0_D_normal.jpeg","View")</f>
        <v>View</v>
      </c>
      <c r="P6908" s="27"/>
    </row>
    <row r="6909">
      <c r="A6909" s="14">
        <v>43031.484444444446</v>
      </c>
      <c r="B6909" s="20" t="str">
        <f>HYPERLINK("https://twitter.com/PaginaNuova","@PaginaNuova")</f>
        <v>@PaginaNuova</v>
      </c>
      <c r="C6909" s="21" t="s">
        <v>1802</v>
      </c>
      <c r="D6909" s="21" t="s">
        <v>15451</v>
      </c>
      <c r="E6909" s="22" t="str">
        <f>HYPERLINK("https://twitter.com/PaginaNuova/status/922532475246727169","922532475246727169")</f>
        <v>922532475246727169</v>
      </c>
      <c r="F6909" s="23" t="s">
        <v>187</v>
      </c>
      <c r="G6909" s="24">
        <v>1153.0</v>
      </c>
      <c r="H6909" s="24">
        <v>503.0</v>
      </c>
      <c r="I6909" s="24">
        <v>0.0</v>
      </c>
      <c r="J6909" s="24">
        <v>0.0</v>
      </c>
      <c r="K6909" s="23" t="s">
        <v>34</v>
      </c>
      <c r="L6909" s="25">
        <v>39795.738541666666</v>
      </c>
      <c r="M6909" s="26" t="s">
        <v>1804</v>
      </c>
      <c r="N6909" s="26" t="s">
        <v>1805</v>
      </c>
      <c r="O6909" s="22" t="str">
        <f>HYPERLINK("https://pbs.twimg.com/profile_images/733085909457993728/CNCcL-S7_normal.jpg","View")</f>
        <v>View</v>
      </c>
      <c r="P6909" s="27"/>
    </row>
    <row r="6910">
      <c r="A6910" s="14">
        <v>43031.48451388889</v>
      </c>
      <c r="B6910" s="20" t="str">
        <f>HYPERLINK("https://twitter.com/kotomi1124","@kotomi1124")</f>
        <v>@kotomi1124</v>
      </c>
      <c r="C6910" s="21" t="s">
        <v>15258</v>
      </c>
      <c r="D6910" s="21" t="s">
        <v>15452</v>
      </c>
      <c r="E6910" s="22" t="str">
        <f>HYPERLINK("https://twitter.com/kotomi1124/status/922532500345257984","922532500345257984")</f>
        <v>922532500345257984</v>
      </c>
      <c r="F6910" s="23" t="s">
        <v>33</v>
      </c>
      <c r="G6910" s="24">
        <v>469.0</v>
      </c>
      <c r="H6910" s="24">
        <v>705.0</v>
      </c>
      <c r="I6910" s="24">
        <v>4.0</v>
      </c>
      <c r="J6910" s="24">
        <v>0.0</v>
      </c>
      <c r="K6910" s="23" t="s">
        <v>34</v>
      </c>
      <c r="L6910" s="25">
        <v>40189.246840277774</v>
      </c>
      <c r="M6910" s="26" t="s">
        <v>10001</v>
      </c>
      <c r="N6910" s="28"/>
      <c r="O6910" s="22" t="str">
        <f>HYPERLINK("https://pbs.twimg.com/profile_images/721140815460900864/CKqSU3NB_normal.jpg","View")</f>
        <v>View</v>
      </c>
      <c r="P6910" s="27"/>
    </row>
    <row r="6911">
      <c r="A6911" s="14">
        <v>43031.48462962963</v>
      </c>
      <c r="B6911" s="20" t="str">
        <f>HYPERLINK("https://twitter.com/narendermodiPMO","@narendermodiPMO")</f>
        <v>@narendermodiPMO</v>
      </c>
      <c r="C6911" s="21" t="s">
        <v>15453</v>
      </c>
      <c r="D6911" s="21" t="s">
        <v>42</v>
      </c>
      <c r="E6911" s="22" t="str">
        <f>HYPERLINK("https://twitter.com/narendermodiPMO/status/922532541159981057","922532541159981057")</f>
        <v>922532541159981057</v>
      </c>
      <c r="F6911" s="23" t="s">
        <v>33</v>
      </c>
      <c r="G6911" s="24">
        <v>2.0</v>
      </c>
      <c r="H6911" s="24">
        <v>1.0</v>
      </c>
      <c r="I6911" s="24">
        <v>8501.0</v>
      </c>
      <c r="J6911" s="24">
        <v>0.0</v>
      </c>
      <c r="K6911" s="23" t="s">
        <v>34</v>
      </c>
      <c r="L6911" s="25">
        <v>43031.47113425926</v>
      </c>
      <c r="M6911" s="28"/>
      <c r="N6911" s="26" t="s">
        <v>15454</v>
      </c>
      <c r="O6911" s="22" t="str">
        <f>HYPERLINK("https://pbs.twimg.com/profile_images/922531632262742017/SOp5yflU_normal.jpg","View")</f>
        <v>View</v>
      </c>
      <c r="P6911" s="27"/>
    </row>
    <row r="6912">
      <c r="A6912" s="14">
        <v>43031.48486111111</v>
      </c>
      <c r="B6912" s="20" t="str">
        <f>HYPERLINK("https://twitter.com/Anon_Eu","@Anon_Eu")</f>
        <v>@Anon_Eu</v>
      </c>
      <c r="C6912" s="21" t="s">
        <v>3473</v>
      </c>
      <c r="D6912" s="21" t="s">
        <v>15455</v>
      </c>
      <c r="E6912" s="22" t="str">
        <f>HYPERLINK("https://twitter.com/Anon_Eu/status/922532624836345858","922532624836345858")</f>
        <v>922532624836345858</v>
      </c>
      <c r="F6912" s="30" t="s">
        <v>411</v>
      </c>
      <c r="G6912" s="24">
        <v>13134.0</v>
      </c>
      <c r="H6912" s="24">
        <v>6958.0</v>
      </c>
      <c r="I6912" s="24">
        <v>0.0</v>
      </c>
      <c r="J6912" s="24">
        <v>0.0</v>
      </c>
      <c r="K6912" s="23" t="s">
        <v>34</v>
      </c>
      <c r="L6912" s="25">
        <v>41161.59104166667</v>
      </c>
      <c r="M6912" s="26" t="s">
        <v>3475</v>
      </c>
      <c r="N6912" s="26" t="s">
        <v>3476</v>
      </c>
      <c r="O6912" s="22" t="str">
        <f>HYPERLINK("https://pbs.twimg.com/profile_images/839870179282669570/K5jLYmlF_normal.jpg","View")</f>
        <v>View</v>
      </c>
      <c r="P6912" s="27"/>
    </row>
    <row r="6913">
      <c r="A6913" s="14">
        <v>43031.485127314816</v>
      </c>
      <c r="B6913" s="20" t="str">
        <f>HYPERLINK("https://twitter.com/newsly","@newsly")</f>
        <v>@newsly</v>
      </c>
      <c r="C6913" s="21" t="s">
        <v>3559</v>
      </c>
      <c r="D6913" s="21" t="s">
        <v>15456</v>
      </c>
      <c r="E6913" s="22" t="str">
        <f>HYPERLINK("https://twitter.com/newsly/status/922532722375118850","922532722375118850")</f>
        <v>922532722375118850</v>
      </c>
      <c r="F6913" s="23" t="s">
        <v>187</v>
      </c>
      <c r="G6913" s="24">
        <v>307.0</v>
      </c>
      <c r="H6913" s="24">
        <v>2.0</v>
      </c>
      <c r="I6913" s="24">
        <v>0.0</v>
      </c>
      <c r="J6913" s="24">
        <v>0.0</v>
      </c>
      <c r="K6913" s="23" t="s">
        <v>34</v>
      </c>
      <c r="L6913" s="25">
        <v>42393.464224537034</v>
      </c>
      <c r="M6913" s="26" t="s">
        <v>708</v>
      </c>
      <c r="N6913" s="26" t="s">
        <v>3561</v>
      </c>
      <c r="O6913" s="22" t="str">
        <f>HYPERLINK("https://pbs.twimg.com/profile_images/776195317549105152/HsppNplW_normal.jpg","View")</f>
        <v>View</v>
      </c>
      <c r="P6913" s="27"/>
    </row>
    <row r="6914">
      <c r="A6914" s="14">
        <v>43031.48513888889</v>
      </c>
      <c r="B6914" s="20" t="str">
        <f>HYPERLINK("https://twitter.com/imdharmic","@imdharmic")</f>
        <v>@imdharmic</v>
      </c>
      <c r="C6914" s="21" t="s">
        <v>15457</v>
      </c>
      <c r="D6914" s="21" t="s">
        <v>42</v>
      </c>
      <c r="E6914" s="22" t="str">
        <f>HYPERLINK("https://twitter.com/imdharmic/status/922532726086836224","922532726086836224")</f>
        <v>922532726086836224</v>
      </c>
      <c r="F6914" s="23" t="s">
        <v>33</v>
      </c>
      <c r="G6914" s="24">
        <v>1095.0</v>
      </c>
      <c r="H6914" s="24">
        <v>1392.0</v>
      </c>
      <c r="I6914" s="24">
        <v>8501.0</v>
      </c>
      <c r="J6914" s="24">
        <v>0.0</v>
      </c>
      <c r="K6914" s="23" t="s">
        <v>34</v>
      </c>
      <c r="L6914" s="25">
        <v>40888.99979166667</v>
      </c>
      <c r="M6914" s="28"/>
      <c r="N6914" s="26" t="s">
        <v>15458</v>
      </c>
      <c r="O6914" s="22" t="str">
        <f>HYPERLINK("https://pbs.twimg.com/profile_images/875257135847809025/az2Zl79R_normal.jpg","View")</f>
        <v>View</v>
      </c>
      <c r="P6914" s="27"/>
    </row>
    <row r="6915">
      <c r="A6915" s="14">
        <v>43031.48540509259</v>
      </c>
      <c r="B6915" s="20" t="str">
        <f>HYPERLINK("https://twitter.com/Ash399W","@Ash399W")</f>
        <v>@Ash399W</v>
      </c>
      <c r="C6915" s="21" t="s">
        <v>4489</v>
      </c>
      <c r="D6915" s="21" t="s">
        <v>8493</v>
      </c>
      <c r="E6915" s="22" t="str">
        <f>HYPERLINK("https://twitter.com/Ash399W/status/922532824787296256","922532824787296256")</f>
        <v>922532824787296256</v>
      </c>
      <c r="F6915" s="23" t="s">
        <v>33</v>
      </c>
      <c r="G6915" s="24">
        <v>279.0</v>
      </c>
      <c r="H6915" s="24">
        <v>3018.0</v>
      </c>
      <c r="I6915" s="24">
        <v>10.0</v>
      </c>
      <c r="J6915" s="24">
        <v>0.0</v>
      </c>
      <c r="K6915" s="23" t="s">
        <v>34</v>
      </c>
      <c r="L6915" s="25">
        <v>41899.537615740745</v>
      </c>
      <c r="M6915" s="26" t="s">
        <v>531</v>
      </c>
      <c r="N6915" s="26" t="s">
        <v>2671</v>
      </c>
      <c r="O6915" s="22" t="str">
        <f>HYPERLINK("https://pbs.twimg.com/profile_images/888052020720001027/71lI34I7_normal.jpg","View")</f>
        <v>View</v>
      </c>
      <c r="P6915" s="27"/>
    </row>
    <row r="6916">
      <c r="A6916" s="14">
        <v>43031.485613425924</v>
      </c>
      <c r="B6916" s="20" t="str">
        <f>HYPERLINK("https://twitter.com/IhsatNetbar","@IhsatNetbar")</f>
        <v>@IhsatNetbar</v>
      </c>
      <c r="C6916" s="21" t="s">
        <v>15459</v>
      </c>
      <c r="D6916" s="21" t="s">
        <v>11135</v>
      </c>
      <c r="E6916" s="22" t="str">
        <f>HYPERLINK("https://twitter.com/IhsatNetbar/status/922532897629851654","922532897629851654")</f>
        <v>922532897629851654</v>
      </c>
      <c r="F6916" s="23" t="s">
        <v>39</v>
      </c>
      <c r="G6916" s="24">
        <v>150.0</v>
      </c>
      <c r="H6916" s="24">
        <v>744.0</v>
      </c>
      <c r="I6916" s="24">
        <v>4.0</v>
      </c>
      <c r="J6916" s="24">
        <v>0.0</v>
      </c>
      <c r="K6916" s="23" t="s">
        <v>34</v>
      </c>
      <c r="L6916" s="25">
        <v>42983.77783564814</v>
      </c>
      <c r="M6916" s="26" t="s">
        <v>15460</v>
      </c>
      <c r="N6916" s="26" t="s">
        <v>15461</v>
      </c>
      <c r="O6916" s="22" t="str">
        <f>HYPERLINK("https://pbs.twimg.com/profile_images/905332730191372288/_aTs2T-8_normal.jpg","View")</f>
        <v>View</v>
      </c>
      <c r="P6916" s="27"/>
    </row>
    <row r="6917">
      <c r="A6917" s="14">
        <v>43031.48563657407</v>
      </c>
      <c r="B6917" s="20" t="str">
        <f>HYPERLINK("https://twitter.com/bharityatweeter","@bharityatweeter")</f>
        <v>@bharityatweeter</v>
      </c>
      <c r="C6917" s="21" t="s">
        <v>15462</v>
      </c>
      <c r="D6917" s="21" t="s">
        <v>42</v>
      </c>
      <c r="E6917" s="22" t="str">
        <f>HYPERLINK("https://twitter.com/bharityatweeter/status/922532904940453888","922532904940453888")</f>
        <v>922532904940453888</v>
      </c>
      <c r="F6917" s="23" t="s">
        <v>39</v>
      </c>
      <c r="G6917" s="24">
        <v>170.0</v>
      </c>
      <c r="H6917" s="24">
        <v>851.0</v>
      </c>
      <c r="I6917" s="24">
        <v>8501.0</v>
      </c>
      <c r="J6917" s="24">
        <v>0.0</v>
      </c>
      <c r="K6917" s="23" t="s">
        <v>34</v>
      </c>
      <c r="L6917" s="25">
        <v>42103.589849537035</v>
      </c>
      <c r="M6917" s="28"/>
      <c r="N6917" s="28"/>
      <c r="O6917" s="22" t="str">
        <f>HYPERLINK("https://pbs.twimg.com/profile_images/683960219399946240/01su2WSu_normal.png","View")</f>
        <v>View</v>
      </c>
      <c r="P6917" s="27"/>
    </row>
    <row r="6918">
      <c r="A6918" s="14">
        <v>43031.485659722224</v>
      </c>
      <c r="B6918" s="20" t="str">
        <f>HYPERLINK("https://twitter.com/Ash399W","@Ash399W")</f>
        <v>@Ash399W</v>
      </c>
      <c r="C6918" s="21" t="s">
        <v>4489</v>
      </c>
      <c r="D6918" s="21" t="s">
        <v>7198</v>
      </c>
      <c r="E6918" s="22" t="str">
        <f>HYPERLINK("https://twitter.com/Ash399W/status/922532914704695297","922532914704695297")</f>
        <v>922532914704695297</v>
      </c>
      <c r="F6918" s="23" t="s">
        <v>33</v>
      </c>
      <c r="G6918" s="24">
        <v>279.0</v>
      </c>
      <c r="H6918" s="24">
        <v>3018.0</v>
      </c>
      <c r="I6918" s="24">
        <v>11.0</v>
      </c>
      <c r="J6918" s="24">
        <v>0.0</v>
      </c>
      <c r="K6918" s="23" t="s">
        <v>34</v>
      </c>
      <c r="L6918" s="25">
        <v>41899.537615740745</v>
      </c>
      <c r="M6918" s="26" t="s">
        <v>531</v>
      </c>
      <c r="N6918" s="26" t="s">
        <v>2671</v>
      </c>
      <c r="O6918" s="22" t="str">
        <f>HYPERLINK("https://pbs.twimg.com/profile_images/888052020720001027/71lI34I7_normal.jpg","View")</f>
        <v>View</v>
      </c>
      <c r="P6918" s="27"/>
    </row>
    <row r="6919">
      <c r="A6919" s="14">
        <v>43031.485914351855</v>
      </c>
      <c r="B6919" s="20" t="str">
        <f>HYPERLINK("https://twitter.com/wealocity","@wealocity")</f>
        <v>@wealocity</v>
      </c>
      <c r="C6919" s="21" t="s">
        <v>15463</v>
      </c>
      <c r="D6919" s="21" t="s">
        <v>1240</v>
      </c>
      <c r="E6919" s="22" t="str">
        <f>HYPERLINK("https://twitter.com/wealocity/status/922533008606773251","922533008606773251")</f>
        <v>922533008606773251</v>
      </c>
      <c r="F6919" s="23" t="s">
        <v>39</v>
      </c>
      <c r="G6919" s="24">
        <v>57.0</v>
      </c>
      <c r="H6919" s="24">
        <v>44.0</v>
      </c>
      <c r="I6919" s="24">
        <v>13.0</v>
      </c>
      <c r="J6919" s="24">
        <v>0.0</v>
      </c>
      <c r="K6919" s="23" t="s">
        <v>34</v>
      </c>
      <c r="L6919" s="25">
        <v>42371.09622685185</v>
      </c>
      <c r="M6919" s="26" t="s">
        <v>167</v>
      </c>
      <c r="N6919" s="26" t="s">
        <v>15464</v>
      </c>
      <c r="O6919" s="22" t="str">
        <f>HYPERLINK("https://pbs.twimg.com/profile_images/694455487593603072/hU5_cis8_normal.jpg","View")</f>
        <v>View</v>
      </c>
      <c r="P6919" s="27"/>
    </row>
    <row r="6920">
      <c r="A6920" s="14">
        <v>43031.48599537037</v>
      </c>
      <c r="B6920" s="20" t="str">
        <f>HYPERLINK("https://twitter.com/Yogeshbanarasi","@Yogeshbanarasi")</f>
        <v>@Yogeshbanarasi</v>
      </c>
      <c r="C6920" s="21" t="s">
        <v>3880</v>
      </c>
      <c r="D6920" s="21" t="s">
        <v>42</v>
      </c>
      <c r="E6920" s="22" t="str">
        <f>HYPERLINK("https://twitter.com/Yogeshbanarasi/status/922533035790057472","922533035790057472")</f>
        <v>922533035790057472</v>
      </c>
      <c r="F6920" s="23" t="s">
        <v>33</v>
      </c>
      <c r="G6920" s="24">
        <v>6238.0</v>
      </c>
      <c r="H6920" s="24">
        <v>3296.0</v>
      </c>
      <c r="I6920" s="24">
        <v>8501.0</v>
      </c>
      <c r="J6920" s="24">
        <v>0.0</v>
      </c>
      <c r="K6920" s="23" t="s">
        <v>34</v>
      </c>
      <c r="L6920" s="25">
        <v>42357.3647800926</v>
      </c>
      <c r="M6920" s="26" t="s">
        <v>227</v>
      </c>
      <c r="N6920" s="28"/>
      <c r="O6920" s="22" t="str">
        <f>HYPERLINK("https://pbs.twimg.com/profile_images/855476021130219520/QFkgnEfW_normal.jpg","View")</f>
        <v>View</v>
      </c>
      <c r="P6920" s="27"/>
    </row>
    <row r="6921">
      <c r="A6921" s="14">
        <v>43031.48637731481</v>
      </c>
      <c r="B6921" s="20" t="str">
        <f>HYPERLINK("https://twitter.com/Shivang_Joshi","@Shivang_Joshi")</f>
        <v>@Shivang_Joshi</v>
      </c>
      <c r="C6921" s="21" t="s">
        <v>15465</v>
      </c>
      <c r="D6921" s="21" t="s">
        <v>42</v>
      </c>
      <c r="E6921" s="22" t="str">
        <f>HYPERLINK("https://twitter.com/Shivang_Joshi/status/922533173447286791","922533173447286791")</f>
        <v>922533173447286791</v>
      </c>
      <c r="F6921" s="23" t="s">
        <v>33</v>
      </c>
      <c r="G6921" s="24">
        <v>352.0</v>
      </c>
      <c r="H6921" s="24">
        <v>2358.0</v>
      </c>
      <c r="I6921" s="24">
        <v>8501.0</v>
      </c>
      <c r="J6921" s="24">
        <v>0.0</v>
      </c>
      <c r="K6921" s="23" t="s">
        <v>34</v>
      </c>
      <c r="L6921" s="25">
        <v>40182.266180555554</v>
      </c>
      <c r="M6921" s="26" t="s">
        <v>2310</v>
      </c>
      <c r="N6921" s="26" t="s">
        <v>15466</v>
      </c>
      <c r="O6921" s="22" t="str">
        <f>HYPERLINK("https://pbs.twimg.com/profile_images/766313769416822785/DlwHH9Hr_normal.jpg","View")</f>
        <v>View</v>
      </c>
      <c r="P6921" s="27"/>
    </row>
    <row r="6922">
      <c r="A6922" s="14">
        <v>43031.48642361111</v>
      </c>
      <c r="B6922" s="20" t="str">
        <f>HYPERLINK("https://twitter.com/Terrahbytte","@Terrahbytte")</f>
        <v>@Terrahbytte</v>
      </c>
      <c r="C6922" s="21" t="s">
        <v>15467</v>
      </c>
      <c r="D6922" s="21" t="s">
        <v>32</v>
      </c>
      <c r="E6922" s="22" t="str">
        <f>HYPERLINK("https://twitter.com/Terrahbytte/status/922533191109529601","922533191109529601")</f>
        <v>922533191109529601</v>
      </c>
      <c r="F6922" s="23" t="s">
        <v>33</v>
      </c>
      <c r="G6922" s="24">
        <v>1078.0</v>
      </c>
      <c r="H6922" s="24">
        <v>4851.0</v>
      </c>
      <c r="I6922" s="24">
        <v>471.0</v>
      </c>
      <c r="J6922" s="24">
        <v>0.0</v>
      </c>
      <c r="K6922" s="23" t="s">
        <v>34</v>
      </c>
      <c r="L6922" s="25">
        <v>40787.21136574074</v>
      </c>
      <c r="M6922" s="26" t="s">
        <v>15468</v>
      </c>
      <c r="N6922" s="26" t="s">
        <v>15469</v>
      </c>
      <c r="O6922" s="22" t="str">
        <f>HYPERLINK("https://pbs.twimg.com/profile_images/750914663018328064/AaPoD5iH_normal.jpg","View")</f>
        <v>View</v>
      </c>
      <c r="P6922" s="27"/>
    </row>
    <row r="6923">
      <c r="A6923" s="14">
        <v>43031.486446759256</v>
      </c>
      <c r="B6923" s="20" t="str">
        <f>HYPERLINK("https://twitter.com/Rajput07090808","@Rajput07090808")</f>
        <v>@Rajput07090808</v>
      </c>
      <c r="C6923" s="21" t="s">
        <v>15470</v>
      </c>
      <c r="D6923" s="21" t="s">
        <v>42</v>
      </c>
      <c r="E6923" s="22" t="str">
        <f>HYPERLINK("https://twitter.com/Rajput07090808/status/922533201947459584","922533201947459584")</f>
        <v>922533201947459584</v>
      </c>
      <c r="F6923" s="23" t="s">
        <v>33</v>
      </c>
      <c r="G6923" s="24">
        <v>193.0</v>
      </c>
      <c r="H6923" s="24">
        <v>247.0</v>
      </c>
      <c r="I6923" s="24">
        <v>8501.0</v>
      </c>
      <c r="J6923" s="24">
        <v>0.0</v>
      </c>
      <c r="K6923" s="23" t="s">
        <v>34</v>
      </c>
      <c r="L6923" s="25">
        <v>42879.14952546296</v>
      </c>
      <c r="M6923" s="26" t="s">
        <v>1354</v>
      </c>
      <c r="N6923" s="26" t="s">
        <v>15471</v>
      </c>
      <c r="O6923" s="22" t="str">
        <f>HYPERLINK("https://pbs.twimg.com/profile_images/917096142055157760/PvvQGN46_normal.jpg","View")</f>
        <v>View</v>
      </c>
      <c r="P6923" s="27"/>
    </row>
    <row r="6924">
      <c r="A6924" s="14">
        <v>43031.486666666664</v>
      </c>
      <c r="B6924" s="20" t="str">
        <f>HYPERLINK("https://twitter.com/Ash399W","@Ash399W")</f>
        <v>@Ash399W</v>
      </c>
      <c r="C6924" s="21" t="s">
        <v>4489</v>
      </c>
      <c r="D6924" s="21" t="s">
        <v>5723</v>
      </c>
      <c r="E6924" s="22" t="str">
        <f>HYPERLINK("https://twitter.com/Ash399W/status/922533281035202560","922533281035202560")</f>
        <v>922533281035202560</v>
      </c>
      <c r="F6924" s="23" t="s">
        <v>33</v>
      </c>
      <c r="G6924" s="24">
        <v>279.0</v>
      </c>
      <c r="H6924" s="24">
        <v>3018.0</v>
      </c>
      <c r="I6924" s="24">
        <v>14.0</v>
      </c>
      <c r="J6924" s="24">
        <v>0.0</v>
      </c>
      <c r="K6924" s="23" t="s">
        <v>34</v>
      </c>
      <c r="L6924" s="25">
        <v>41899.537615740745</v>
      </c>
      <c r="M6924" s="26" t="s">
        <v>531</v>
      </c>
      <c r="N6924" s="26" t="s">
        <v>2671</v>
      </c>
      <c r="O6924" s="22" t="str">
        <f>HYPERLINK("https://pbs.twimg.com/profile_images/888052020720001027/71lI34I7_normal.jpg","View")</f>
        <v>View</v>
      </c>
      <c r="P6924" s="27"/>
    </row>
    <row r="6925">
      <c r="A6925" s="14">
        <v>43031.48703703703</v>
      </c>
      <c r="B6925" s="20" t="str">
        <f>HYPERLINK("https://twitter.com/ShivThakue","@ShivThakue")</f>
        <v>@ShivThakue</v>
      </c>
      <c r="C6925" s="21" t="s">
        <v>15472</v>
      </c>
      <c r="D6925" s="21" t="s">
        <v>42</v>
      </c>
      <c r="E6925" s="22" t="str">
        <f>HYPERLINK("https://twitter.com/ShivThakue/status/922533412526637056","922533412526637056")</f>
        <v>922533412526637056</v>
      </c>
      <c r="F6925" s="23" t="s">
        <v>33</v>
      </c>
      <c r="G6925" s="24">
        <v>6.0</v>
      </c>
      <c r="H6925" s="24">
        <v>110.0</v>
      </c>
      <c r="I6925" s="24">
        <v>8501.0</v>
      </c>
      <c r="J6925" s="24">
        <v>0.0</v>
      </c>
      <c r="K6925" s="23" t="s">
        <v>34</v>
      </c>
      <c r="L6925" s="25">
        <v>42102.02755787037</v>
      </c>
      <c r="M6925" s="28"/>
      <c r="N6925" s="28"/>
      <c r="O6925" s="22" t="str">
        <f>HYPERLINK("https://abs.twimg.com/sticky/default_profile_images/default_profile_normal.png","View")</f>
        <v>View</v>
      </c>
      <c r="P6925" s="27"/>
    </row>
    <row r="6926">
      <c r="A6926" s="14">
        <v>43031.487175925926</v>
      </c>
      <c r="B6926" s="20" t="str">
        <f>HYPERLINK("https://twitter.com/JangWerSZK","@JangWerSZK")</f>
        <v>@JangWerSZK</v>
      </c>
      <c r="C6926" s="21" t="s">
        <v>15473</v>
      </c>
      <c r="D6926" s="21" t="s">
        <v>42</v>
      </c>
      <c r="E6926" s="22" t="str">
        <f>HYPERLINK("https://twitter.com/JangWerSZK/status/922533463399350274","922533463399350274")</f>
        <v>922533463399350274</v>
      </c>
      <c r="F6926" s="23" t="s">
        <v>39</v>
      </c>
      <c r="G6926" s="24">
        <v>102.0</v>
      </c>
      <c r="H6926" s="24">
        <v>235.0</v>
      </c>
      <c r="I6926" s="24">
        <v>8501.0</v>
      </c>
      <c r="J6926" s="24">
        <v>0.0</v>
      </c>
      <c r="K6926" s="23" t="s">
        <v>34</v>
      </c>
      <c r="L6926" s="25">
        <v>40966.16643518519</v>
      </c>
      <c r="M6926" s="28"/>
      <c r="N6926" s="26" t="s">
        <v>15474</v>
      </c>
      <c r="O6926" s="22" t="str">
        <f>HYPERLINK("https://pbs.twimg.com/profile_images/900376603590406144/2BVXwPST_normal.jpg","View")</f>
        <v>View</v>
      </c>
      <c r="P6926" s="27"/>
    </row>
    <row r="6927">
      <c r="A6927" s="14">
        <v>43031.48773148148</v>
      </c>
      <c r="B6927" s="20" t="str">
        <f>HYPERLINK("https://twitter.com/Independent","@Independent")</f>
        <v>@Independent</v>
      </c>
      <c r="C6927" s="21" t="s">
        <v>4370</v>
      </c>
      <c r="D6927" s="21" t="s">
        <v>15475</v>
      </c>
      <c r="E6927" s="22" t="str">
        <f>HYPERLINK("https://twitter.com/Independent/status/922533666164789248","922533666164789248")</f>
        <v>922533666164789248</v>
      </c>
      <c r="F6927" s="23" t="s">
        <v>769</v>
      </c>
      <c r="G6927" s="24">
        <v>2391382.0</v>
      </c>
      <c r="H6927" s="24">
        <v>1104.0</v>
      </c>
      <c r="I6927" s="24">
        <v>12.0</v>
      </c>
      <c r="J6927" s="24">
        <v>10.0</v>
      </c>
      <c r="K6927" s="23" t="s">
        <v>34</v>
      </c>
      <c r="L6927" s="25">
        <v>39746.70866898148</v>
      </c>
      <c r="M6927" s="26" t="s">
        <v>334</v>
      </c>
      <c r="N6927" s="26" t="s">
        <v>4372</v>
      </c>
      <c r="O6927" s="22" t="str">
        <f>HYPERLINK("https://pbs.twimg.com/profile_images/583628771972018176/ztJn926g_normal.png","View")</f>
        <v>View</v>
      </c>
      <c r="P6927" s="27"/>
    </row>
    <row r="6928">
      <c r="A6928" s="14">
        <v>43031.4877662037</v>
      </c>
      <c r="B6928" s="20" t="str">
        <f>HYPERLINK("https://twitter.com/3X04N0N","@3X04N0N")</f>
        <v>@3X04N0N</v>
      </c>
      <c r="C6928" s="21" t="s">
        <v>3927</v>
      </c>
      <c r="D6928" s="21" t="s">
        <v>15476</v>
      </c>
      <c r="E6928" s="22" t="str">
        <f>HYPERLINK("https://twitter.com/3X04N0N/status/922533677543944192","922533677543944192")</f>
        <v>922533677543944192</v>
      </c>
      <c r="F6928" s="23" t="s">
        <v>187</v>
      </c>
      <c r="G6928" s="24">
        <v>915.0</v>
      </c>
      <c r="H6928" s="24">
        <v>295.0</v>
      </c>
      <c r="I6928" s="24">
        <v>0.0</v>
      </c>
      <c r="J6928" s="24">
        <v>0.0</v>
      </c>
      <c r="K6928" s="23" t="s">
        <v>34</v>
      </c>
      <c r="L6928" s="25">
        <v>42066.56685185185</v>
      </c>
      <c r="M6928" s="28"/>
      <c r="N6928" s="26" t="s">
        <v>3929</v>
      </c>
      <c r="O6928" s="22" t="str">
        <f>HYPERLINK("https://pbs.twimg.com/profile_images/793550507205914625/qBVxzsrU_normal.jpg","View")</f>
        <v>View</v>
      </c>
      <c r="P6928" s="27"/>
    </row>
    <row r="6929">
      <c r="A6929" s="14">
        <v>43031.487916666665</v>
      </c>
      <c r="B6929" s="20" t="str">
        <f>HYPERLINK("https://twitter.com/AlsinaJuana","@AlsinaJuana")</f>
        <v>@AlsinaJuana</v>
      </c>
      <c r="C6929" s="21" t="s">
        <v>15477</v>
      </c>
      <c r="D6929" s="21" t="s">
        <v>15478</v>
      </c>
      <c r="E6929" s="22" t="str">
        <f>HYPERLINK("https://twitter.com/AlsinaJuana/status/922533735052009474","922533735052009474")</f>
        <v>922533735052009474</v>
      </c>
      <c r="F6929" s="23" t="s">
        <v>55</v>
      </c>
      <c r="G6929" s="24">
        <v>591.0</v>
      </c>
      <c r="H6929" s="24">
        <v>111.0</v>
      </c>
      <c r="I6929" s="24">
        <v>12.0</v>
      </c>
      <c r="J6929" s="24">
        <v>0.0</v>
      </c>
      <c r="K6929" s="23" t="s">
        <v>34</v>
      </c>
      <c r="L6929" s="25">
        <v>40800.770636574074</v>
      </c>
      <c r="M6929" s="28"/>
      <c r="N6929" s="28"/>
      <c r="O6929" s="22" t="str">
        <f>HYPERLINK("https://pbs.twimg.com/profile_images/922895285885571075/PyOSFahk_normal.jpg","View")</f>
        <v>View</v>
      </c>
      <c r="P6929" s="27"/>
    </row>
    <row r="6930">
      <c r="A6930" s="14">
        <v>43031.48792824074</v>
      </c>
      <c r="B6930" s="20" t="str">
        <f>HYPERLINK("https://twitter.com/AnjaniK49217896","@AnjaniK49217896")</f>
        <v>@AnjaniK49217896</v>
      </c>
      <c r="C6930" s="21" t="s">
        <v>7797</v>
      </c>
      <c r="D6930" s="21" t="s">
        <v>42</v>
      </c>
      <c r="E6930" s="22" t="str">
        <f>HYPERLINK("https://twitter.com/AnjaniK49217896/status/922533736838656000","922533736838656000")</f>
        <v>922533736838656000</v>
      </c>
      <c r="F6930" s="23" t="s">
        <v>39</v>
      </c>
      <c r="G6930" s="24">
        <v>41.0</v>
      </c>
      <c r="H6930" s="24">
        <v>267.0</v>
      </c>
      <c r="I6930" s="24">
        <v>8501.0</v>
      </c>
      <c r="J6930" s="24">
        <v>0.0</v>
      </c>
      <c r="K6930" s="23" t="s">
        <v>34</v>
      </c>
      <c r="L6930" s="25">
        <v>42999.32922453704</v>
      </c>
      <c r="M6930" s="26" t="s">
        <v>531</v>
      </c>
      <c r="N6930" s="28"/>
      <c r="O6930" s="22" t="str">
        <f>HYPERLINK("https://pbs.twimg.com/profile_images/910882383309574144/A-BXAyjU_normal.jpg","View")</f>
        <v>View</v>
      </c>
      <c r="P6930" s="27"/>
    </row>
    <row r="6931">
      <c r="A6931" s="14">
        <v>43031.48815972223</v>
      </c>
      <c r="B6931" s="20" t="str">
        <f>HYPERLINK("https://twitter.com/GaingBas","@GaingBas")</f>
        <v>@GaingBas</v>
      </c>
      <c r="C6931" s="21" t="s">
        <v>13104</v>
      </c>
      <c r="D6931" s="21" t="s">
        <v>15479</v>
      </c>
      <c r="E6931" s="22" t="str">
        <f>HYPERLINK("https://twitter.com/GaingBas/status/922533822796677122","922533822796677122")</f>
        <v>922533822796677122</v>
      </c>
      <c r="F6931" s="23" t="s">
        <v>4619</v>
      </c>
      <c r="G6931" s="24">
        <v>1202.0</v>
      </c>
      <c r="H6931" s="24">
        <v>4868.0</v>
      </c>
      <c r="I6931" s="24">
        <v>0.0</v>
      </c>
      <c r="J6931" s="24">
        <v>0.0</v>
      </c>
      <c r="K6931" s="23" t="s">
        <v>34</v>
      </c>
      <c r="L6931" s="25">
        <v>40114.169583333336</v>
      </c>
      <c r="M6931" s="26" t="s">
        <v>13105</v>
      </c>
      <c r="N6931" s="26" t="s">
        <v>13106</v>
      </c>
      <c r="O6931" s="22" t="str">
        <f>HYPERLINK("https://pbs.twimg.com/profile_images/582714694676267008/peqHe6hm_normal.jpg","View")</f>
        <v>View</v>
      </c>
      <c r="P6931" s="27"/>
    </row>
    <row r="6932">
      <c r="A6932" s="14">
        <v>43031.48831018519</v>
      </c>
      <c r="B6932" s="20" t="str">
        <f>HYPERLINK("https://twitter.com/_imparikshit","@_imparikshit")</f>
        <v>@_imparikshit</v>
      </c>
      <c r="C6932" s="21" t="s">
        <v>15480</v>
      </c>
      <c r="D6932" s="21" t="s">
        <v>42</v>
      </c>
      <c r="E6932" s="22" t="str">
        <f>HYPERLINK("https://twitter.com/_imparikshit/status/922533877465235457","922533877465235457")</f>
        <v>922533877465235457</v>
      </c>
      <c r="F6932" s="23" t="s">
        <v>33</v>
      </c>
      <c r="G6932" s="24">
        <v>143.0</v>
      </c>
      <c r="H6932" s="24">
        <v>1009.0</v>
      </c>
      <c r="I6932" s="24">
        <v>8501.0</v>
      </c>
      <c r="J6932" s="24">
        <v>0.0</v>
      </c>
      <c r="K6932" s="23" t="s">
        <v>34</v>
      </c>
      <c r="L6932" s="25">
        <v>41443.918171296296</v>
      </c>
      <c r="M6932" s="26" t="s">
        <v>246</v>
      </c>
      <c r="N6932" s="26" t="s">
        <v>15481</v>
      </c>
      <c r="O6932" s="22" t="str">
        <f>HYPERLINK("https://pbs.twimg.com/profile_images/909739111325433857/zYhRNuzA_normal.jpg","View")</f>
        <v>View</v>
      </c>
      <c r="P6932" s="27"/>
    </row>
    <row r="6933">
      <c r="A6933" s="14">
        <v>43031.48834490741</v>
      </c>
      <c r="B6933" s="20" t="str">
        <f>HYPERLINK("https://twitter.com/digital_journo","@digital_journo")</f>
        <v>@digital_journo</v>
      </c>
      <c r="C6933" s="21" t="s">
        <v>15482</v>
      </c>
      <c r="D6933" s="21" t="s">
        <v>15478</v>
      </c>
      <c r="E6933" s="22" t="str">
        <f>HYPERLINK("https://twitter.com/digital_journo/status/922533887296892930","922533887296892930")</f>
        <v>922533887296892930</v>
      </c>
      <c r="F6933" s="23" t="s">
        <v>769</v>
      </c>
      <c r="G6933" s="24">
        <v>52.0</v>
      </c>
      <c r="H6933" s="24">
        <v>852.0</v>
      </c>
      <c r="I6933" s="24">
        <v>12.0</v>
      </c>
      <c r="J6933" s="24">
        <v>0.0</v>
      </c>
      <c r="K6933" s="23" t="s">
        <v>34</v>
      </c>
      <c r="L6933" s="25">
        <v>42241.350740740745</v>
      </c>
      <c r="M6933" s="28"/>
      <c r="N6933" s="26" t="s">
        <v>15483</v>
      </c>
      <c r="O6933" s="22" t="str">
        <f>HYPERLINK("https://pbs.twimg.com/profile_images/915149971380428800/LgzqfeWj_normal.jpg","View")</f>
        <v>View</v>
      </c>
      <c r="P6933" s="27"/>
    </row>
    <row r="6934">
      <c r="A6934" s="14">
        <v>43031.48851851852</v>
      </c>
      <c r="B6934" s="20" t="str">
        <f>HYPERLINK("https://twitter.com/swalz07","@swalz07")</f>
        <v>@swalz07</v>
      </c>
      <c r="C6934" s="21" t="s">
        <v>15484</v>
      </c>
      <c r="D6934" s="21" t="s">
        <v>32</v>
      </c>
      <c r="E6934" s="22" t="str">
        <f>HYPERLINK("https://twitter.com/swalz07/status/922533951113256961","922533951113256961")</f>
        <v>922533951113256961</v>
      </c>
      <c r="F6934" s="23" t="s">
        <v>33</v>
      </c>
      <c r="G6934" s="24">
        <v>1889.0</v>
      </c>
      <c r="H6934" s="24">
        <v>1490.0</v>
      </c>
      <c r="I6934" s="24">
        <v>471.0</v>
      </c>
      <c r="J6934" s="24">
        <v>0.0</v>
      </c>
      <c r="K6934" s="23" t="s">
        <v>34</v>
      </c>
      <c r="L6934" s="25">
        <v>39993.390231481484</v>
      </c>
      <c r="M6934" s="26" t="s">
        <v>282</v>
      </c>
      <c r="N6934" s="26" t="s">
        <v>15485</v>
      </c>
      <c r="O6934" s="22" t="str">
        <f>HYPERLINK("https://pbs.twimg.com/profile_images/909104880350060545/YHeds2X2_normal.jpg","View")</f>
        <v>View</v>
      </c>
      <c r="P6934" s="27"/>
    </row>
    <row r="6935">
      <c r="A6935" s="14">
        <v>43031.48855324074</v>
      </c>
      <c r="B6935" s="20" t="str">
        <f>HYPERLINK("https://twitter.com/RobinM329","@RobinM329")</f>
        <v>@RobinM329</v>
      </c>
      <c r="C6935" s="21" t="s">
        <v>15486</v>
      </c>
      <c r="D6935" s="21" t="s">
        <v>760</v>
      </c>
      <c r="E6935" s="22" t="str">
        <f>HYPERLINK("https://twitter.com/RobinM329/status/922533962421063680","922533962421063680")</f>
        <v>922533962421063680</v>
      </c>
      <c r="F6935" s="23" t="s">
        <v>33</v>
      </c>
      <c r="G6935" s="24">
        <v>1277.0</v>
      </c>
      <c r="H6935" s="24">
        <v>2052.0</v>
      </c>
      <c r="I6935" s="24">
        <v>62.0</v>
      </c>
      <c r="J6935" s="24">
        <v>0.0</v>
      </c>
      <c r="K6935" s="23" t="s">
        <v>34</v>
      </c>
      <c r="L6935" s="25">
        <v>41870.4262962963</v>
      </c>
      <c r="M6935" s="28"/>
      <c r="N6935" s="26" t="s">
        <v>15487</v>
      </c>
      <c r="O6935" s="22" t="str">
        <f>HYPERLINK("https://pbs.twimg.com/profile_images/624003488373207042/xpaI8Q8A_normal.jpg","View")</f>
        <v>View</v>
      </c>
      <c r="P6935" s="27"/>
    </row>
    <row r="6936">
      <c r="A6936" s="14">
        <v>43031.48878472223</v>
      </c>
      <c r="B6936" s="20" t="str">
        <f>HYPERLINK("https://twitter.com/AliwaOkello","@AliwaOkello")</f>
        <v>@AliwaOkello</v>
      </c>
      <c r="C6936" s="21" t="s">
        <v>956</v>
      </c>
      <c r="D6936" s="21" t="s">
        <v>15488</v>
      </c>
      <c r="E6936" s="22" t="str">
        <f>HYPERLINK("https://twitter.com/AliwaOkello/status/922534048605638656","922534048605638656")</f>
        <v>922534048605638656</v>
      </c>
      <c r="F6936" s="30" t="s">
        <v>191</v>
      </c>
      <c r="G6936" s="24">
        <v>197.0</v>
      </c>
      <c r="H6936" s="24">
        <v>30.0</v>
      </c>
      <c r="I6936" s="24">
        <v>0.0</v>
      </c>
      <c r="J6936" s="24">
        <v>0.0</v>
      </c>
      <c r="K6936" s="23" t="s">
        <v>34</v>
      </c>
      <c r="L6936" s="25">
        <v>41411.1703587963</v>
      </c>
      <c r="M6936" s="26" t="s">
        <v>114</v>
      </c>
      <c r="N6936" s="26" t="s">
        <v>958</v>
      </c>
      <c r="O6936" s="22" t="str">
        <f>HYPERLINK("https://pbs.twimg.com/profile_images/796582872782094337/y1nb7iEB_normal.jpg","View")</f>
        <v>View</v>
      </c>
      <c r="P6936" s="27"/>
    </row>
    <row r="6937">
      <c r="A6937" s="14">
        <v>43031.488854166666</v>
      </c>
      <c r="B6937" s="20" t="str">
        <f>HYPERLINK("https://twitter.com/burattino14","@burattino14")</f>
        <v>@burattino14</v>
      </c>
      <c r="C6937" s="21" t="s">
        <v>15489</v>
      </c>
      <c r="D6937" s="21" t="s">
        <v>15478</v>
      </c>
      <c r="E6937" s="22" t="str">
        <f>HYPERLINK("https://twitter.com/burattino14/status/922534072672452608","922534072672452608")</f>
        <v>922534072672452608</v>
      </c>
      <c r="F6937" s="23" t="s">
        <v>55</v>
      </c>
      <c r="G6937" s="24">
        <v>1641.0</v>
      </c>
      <c r="H6937" s="24">
        <v>1820.0</v>
      </c>
      <c r="I6937" s="24">
        <v>12.0</v>
      </c>
      <c r="J6937" s="24">
        <v>0.0</v>
      </c>
      <c r="K6937" s="23" t="s">
        <v>34</v>
      </c>
      <c r="L6937" s="25">
        <v>41681.44611111111</v>
      </c>
      <c r="M6937" s="26" t="s">
        <v>15490</v>
      </c>
      <c r="N6937" s="26" t="s">
        <v>15491</v>
      </c>
      <c r="O6937" s="22" t="str">
        <f>HYPERLINK("https://pbs.twimg.com/profile_images/640443880731750400/otMc4e8T_normal.jpg","View")</f>
        <v>View</v>
      </c>
      <c r="P6937" s="27"/>
    </row>
    <row r="6938">
      <c r="A6938" s="14">
        <v>43031.4891087963</v>
      </c>
      <c r="B6938" s="20" t="str">
        <f>HYPERLINK("https://twitter.com/bhargavshah215","@bhargavshah215")</f>
        <v>@bhargavshah215</v>
      </c>
      <c r="C6938" s="21" t="s">
        <v>15492</v>
      </c>
      <c r="D6938" s="21" t="s">
        <v>2861</v>
      </c>
      <c r="E6938" s="22" t="str">
        <f>HYPERLINK("https://twitter.com/bhargavshah215/status/922534166427664384","922534166427664384")</f>
        <v>922534166427664384</v>
      </c>
      <c r="F6938" s="23" t="s">
        <v>33</v>
      </c>
      <c r="G6938" s="24">
        <v>310.0</v>
      </c>
      <c r="H6938" s="24">
        <v>1060.0</v>
      </c>
      <c r="I6938" s="24">
        <v>40.0</v>
      </c>
      <c r="J6938" s="24">
        <v>0.0</v>
      </c>
      <c r="K6938" s="23" t="s">
        <v>34</v>
      </c>
      <c r="L6938" s="25">
        <v>41677.87001157407</v>
      </c>
      <c r="M6938" s="26" t="s">
        <v>15493</v>
      </c>
      <c r="N6938" s="26" t="s">
        <v>15494</v>
      </c>
      <c r="O6938" s="22" t="str">
        <f>HYPERLINK("https://pbs.twimg.com/profile_images/916716944060932096/auJRuZcq_normal.jpg","View")</f>
        <v>View</v>
      </c>
      <c r="P6938" s="27"/>
    </row>
    <row r="6939">
      <c r="A6939" s="14">
        <v>43031.48931712963</v>
      </c>
      <c r="B6939" s="20" t="str">
        <f>HYPERLINK("https://twitter.com/AjayKumarDubey","@AjayKumarDubey")</f>
        <v>@AjayKumarDubey</v>
      </c>
      <c r="C6939" s="21" t="s">
        <v>15495</v>
      </c>
      <c r="D6939" s="21" t="s">
        <v>42</v>
      </c>
      <c r="E6939" s="22" t="str">
        <f>HYPERLINK("https://twitter.com/AjayKumarDubey/status/922534241946054656","922534241946054656")</f>
        <v>922534241946054656</v>
      </c>
      <c r="F6939" s="23" t="s">
        <v>33</v>
      </c>
      <c r="G6939" s="24">
        <v>1551.0</v>
      </c>
      <c r="H6939" s="24">
        <v>448.0</v>
      </c>
      <c r="I6939" s="24">
        <v>8501.0</v>
      </c>
      <c r="J6939" s="24">
        <v>0.0</v>
      </c>
      <c r="K6939" s="23" t="s">
        <v>34</v>
      </c>
      <c r="L6939" s="25">
        <v>40216.052083333336</v>
      </c>
      <c r="M6939" s="26" t="s">
        <v>15496</v>
      </c>
      <c r="N6939" s="26" t="s">
        <v>15497</v>
      </c>
      <c r="O6939" s="22" t="str">
        <f>HYPERLINK("https://pbs.twimg.com/profile_images/791343050865807360/fQaJ4X7u_normal.jpg","View")</f>
        <v>View</v>
      </c>
      <c r="P6939" s="27"/>
    </row>
    <row r="6940">
      <c r="A6940" s="14">
        <v>43031.48936342592</v>
      </c>
      <c r="B6940" s="20" t="str">
        <f>HYPERLINK("https://twitter.com/gervais_amollo","@gervais_amollo")</f>
        <v>@gervais_amollo</v>
      </c>
      <c r="C6940" s="21" t="s">
        <v>15498</v>
      </c>
      <c r="D6940" s="21" t="s">
        <v>32</v>
      </c>
      <c r="E6940" s="22" t="str">
        <f>HYPERLINK("https://twitter.com/gervais_amollo/status/922534259209981953","922534259209981953")</f>
        <v>922534259209981953</v>
      </c>
      <c r="F6940" s="23" t="s">
        <v>39</v>
      </c>
      <c r="G6940" s="24">
        <v>2467.0</v>
      </c>
      <c r="H6940" s="24">
        <v>2845.0</v>
      </c>
      <c r="I6940" s="24">
        <v>471.0</v>
      </c>
      <c r="J6940" s="24">
        <v>0.0</v>
      </c>
      <c r="K6940" s="23" t="s">
        <v>34</v>
      </c>
      <c r="L6940" s="25">
        <v>40481.92275462963</v>
      </c>
      <c r="M6940" s="26" t="s">
        <v>114</v>
      </c>
      <c r="N6940" s="28"/>
      <c r="O6940" s="22" t="str">
        <f>HYPERLINK("https://pbs.twimg.com/profile_images/913397010140680193/nucMk3ym_normal.jpg","View")</f>
        <v>View</v>
      </c>
      <c r="P6940" s="27"/>
    </row>
    <row r="6941">
      <c r="A6941" s="14">
        <v>43031.48945601852</v>
      </c>
      <c r="B6941" s="20" t="str">
        <f>HYPERLINK("https://twitter.com/vegavnc","@vegavnc")</f>
        <v>@vegavnc</v>
      </c>
      <c r="C6941" s="21" t="s">
        <v>15499</v>
      </c>
      <c r="D6941" s="21" t="s">
        <v>4507</v>
      </c>
      <c r="E6941" s="22" t="str">
        <f>HYPERLINK("https://twitter.com/vegavnc/status/922534290629435392","922534290629435392")</f>
        <v>922534290629435392</v>
      </c>
      <c r="F6941" s="23" t="s">
        <v>33</v>
      </c>
      <c r="G6941" s="24">
        <v>353.0</v>
      </c>
      <c r="H6941" s="24">
        <v>205.0</v>
      </c>
      <c r="I6941" s="24">
        <v>139.0</v>
      </c>
      <c r="J6941" s="24">
        <v>0.0</v>
      </c>
      <c r="K6941" s="23" t="s">
        <v>34</v>
      </c>
      <c r="L6941" s="25">
        <v>41292.38466435185</v>
      </c>
      <c r="M6941" s="26" t="s">
        <v>11941</v>
      </c>
      <c r="N6941" s="26" t="s">
        <v>15500</v>
      </c>
      <c r="O6941" s="22" t="str">
        <f>HYPERLINK("https://pbs.twimg.com/profile_images/620307658730397696/Iw2h71j0_normal.jpg","View")</f>
        <v>View</v>
      </c>
      <c r="P6941" s="27"/>
    </row>
    <row r="6942">
      <c r="A6942" s="14">
        <v>43031.4897337963</v>
      </c>
      <c r="B6942" s="20" t="str">
        <f>HYPERLINK("https://twitter.com/feyzabasar","@feyzabasar")</f>
        <v>@feyzabasar</v>
      </c>
      <c r="C6942" s="21" t="s">
        <v>15501</v>
      </c>
      <c r="D6942" s="21" t="s">
        <v>15502</v>
      </c>
      <c r="E6942" s="22" t="str">
        <f>HYPERLINK("https://twitter.com/feyzabasar/status/922534392098164741","922534392098164741")</f>
        <v>922534392098164741</v>
      </c>
      <c r="F6942" s="23" t="s">
        <v>39</v>
      </c>
      <c r="G6942" s="24">
        <v>273.0</v>
      </c>
      <c r="H6942" s="24">
        <v>503.0</v>
      </c>
      <c r="I6942" s="24">
        <v>0.0</v>
      </c>
      <c r="J6942" s="24">
        <v>0.0</v>
      </c>
      <c r="K6942" s="23" t="s">
        <v>34</v>
      </c>
      <c r="L6942" s="25">
        <v>40494.2299537037</v>
      </c>
      <c r="M6942" s="26" t="s">
        <v>15503</v>
      </c>
      <c r="N6942" s="26" t="s">
        <v>15504</v>
      </c>
      <c r="O6942" s="22" t="str">
        <f>HYPERLINK("https://pbs.twimg.com/profile_images/1165699182/18044_290528168463_584058463_3324745_233321_n_normal.jpg","View")</f>
        <v>View</v>
      </c>
      <c r="P6942" s="27"/>
    </row>
    <row r="6943">
      <c r="A6943" s="14">
        <v>43031.49016203704</v>
      </c>
      <c r="B6943" s="20" t="str">
        <f>HYPERLINK("https://twitter.com/RepealtheACA","@RepealtheACA")</f>
        <v>@RepealtheACA</v>
      </c>
      <c r="C6943" s="21" t="s">
        <v>15505</v>
      </c>
      <c r="D6943" s="21" t="s">
        <v>14855</v>
      </c>
      <c r="E6943" s="22" t="str">
        <f>HYPERLINK("https://twitter.com/RepealtheACA/status/922534544925974531","922534544925974531")</f>
        <v>922534544925974531</v>
      </c>
      <c r="F6943" s="23" t="s">
        <v>55</v>
      </c>
      <c r="G6943" s="24">
        <v>1018.0</v>
      </c>
      <c r="H6943" s="24">
        <v>1750.0</v>
      </c>
      <c r="I6943" s="24">
        <v>36.0</v>
      </c>
      <c r="J6943" s="24">
        <v>0.0</v>
      </c>
      <c r="K6943" s="23" t="s">
        <v>34</v>
      </c>
      <c r="L6943" s="25">
        <v>42790.91291666667</v>
      </c>
      <c r="M6943" s="26" t="s">
        <v>15506</v>
      </c>
      <c r="N6943" s="26" t="s">
        <v>15507</v>
      </c>
      <c r="O6943" s="22" t="str">
        <f>HYPERLINK("https://pbs.twimg.com/profile_images/839827737112084480/ZJykSItC_normal.jpg","View")</f>
        <v>View</v>
      </c>
      <c r="P6943" s="27"/>
    </row>
    <row r="6944">
      <c r="A6944" s="14">
        <v>43031.490266203706</v>
      </c>
      <c r="B6944" s="20" t="str">
        <f>HYPERLINK("https://twitter.com/Rosamexican01","@Rosamexican01")</f>
        <v>@Rosamexican01</v>
      </c>
      <c r="C6944" s="21" t="s">
        <v>15508</v>
      </c>
      <c r="D6944" s="21" t="s">
        <v>15509</v>
      </c>
      <c r="E6944" s="22" t="str">
        <f>HYPERLINK("https://twitter.com/Rosamexican01/status/922534585367498752","922534585367498752")</f>
        <v>922534585367498752</v>
      </c>
      <c r="F6944" s="23" t="s">
        <v>55</v>
      </c>
      <c r="G6944" s="24">
        <v>3293.0</v>
      </c>
      <c r="H6944" s="24">
        <v>2352.0</v>
      </c>
      <c r="I6944" s="24">
        <v>0.0</v>
      </c>
      <c r="J6944" s="24">
        <v>0.0</v>
      </c>
      <c r="K6944" s="23" t="s">
        <v>34</v>
      </c>
      <c r="L6944" s="25">
        <v>40305.516863425924</v>
      </c>
      <c r="M6944" s="26" t="s">
        <v>15510</v>
      </c>
      <c r="N6944" s="26" t="s">
        <v>15511</v>
      </c>
      <c r="O6944" s="22" t="str">
        <f>HYPERLINK("https://pbs.twimg.com/profile_images/881508681/Juergen100-4_normal.jpg","View")</f>
        <v>View</v>
      </c>
      <c r="P6944" s="27"/>
    </row>
    <row r="6945">
      <c r="A6945" s="14">
        <v>43031.49050925926</v>
      </c>
      <c r="B6945" s="20" t="str">
        <f>HYPERLINK("https://twitter.com/BlackRobbtoo","@BlackRobbtoo")</f>
        <v>@BlackRobbtoo</v>
      </c>
      <c r="C6945" s="21" t="s">
        <v>15512</v>
      </c>
      <c r="D6945" s="21" t="s">
        <v>14748</v>
      </c>
      <c r="E6945" s="22" t="str">
        <f>HYPERLINK("https://twitter.com/BlackRobbtoo/status/922534671816318976","922534671816318976")</f>
        <v>922534671816318976</v>
      </c>
      <c r="F6945" s="23" t="s">
        <v>230</v>
      </c>
      <c r="G6945" s="24">
        <v>413.0</v>
      </c>
      <c r="H6945" s="24">
        <v>4979.0</v>
      </c>
      <c r="I6945" s="24">
        <v>46.0</v>
      </c>
      <c r="J6945" s="24">
        <v>0.0</v>
      </c>
      <c r="K6945" s="23" t="s">
        <v>34</v>
      </c>
      <c r="L6945" s="25">
        <v>40939.765694444446</v>
      </c>
      <c r="M6945" s="28"/>
      <c r="N6945" s="28"/>
      <c r="O6945" s="22" t="str">
        <f>HYPERLINK("https://abs.twimg.com/sticky/default_profile_images/default_profile_normal.png","View")</f>
        <v>View</v>
      </c>
      <c r="P6945" s="27"/>
    </row>
    <row r="6946">
      <c r="A6946" s="14">
        <v>43031.49097222222</v>
      </c>
      <c r="B6946" s="20" t="str">
        <f>HYPERLINK("https://twitter.com/hey_pradeep4","@hey_pradeep4")</f>
        <v>@hey_pradeep4</v>
      </c>
      <c r="C6946" s="21" t="s">
        <v>10337</v>
      </c>
      <c r="D6946" s="21" t="s">
        <v>42</v>
      </c>
      <c r="E6946" s="22" t="str">
        <f>HYPERLINK("https://twitter.com/hey_pradeep4/status/922534838405599232","922534838405599232")</f>
        <v>922534838405599232</v>
      </c>
      <c r="F6946" s="23" t="s">
        <v>33</v>
      </c>
      <c r="G6946" s="24">
        <v>13.0</v>
      </c>
      <c r="H6946" s="24">
        <v>61.0</v>
      </c>
      <c r="I6946" s="24">
        <v>8501.0</v>
      </c>
      <c r="J6946" s="24">
        <v>0.0</v>
      </c>
      <c r="K6946" s="23" t="s">
        <v>34</v>
      </c>
      <c r="L6946" s="25">
        <v>42678.555925925924</v>
      </c>
      <c r="M6946" s="26" t="s">
        <v>3955</v>
      </c>
      <c r="N6946" s="26" t="s">
        <v>15513</v>
      </c>
      <c r="O6946" s="22" t="str">
        <f>HYPERLINK("https://pbs.twimg.com/profile_images/918557644708757504/H8AFFnGq_normal.jpg","View")</f>
        <v>View</v>
      </c>
      <c r="P6946" s="27"/>
    </row>
    <row r="6947">
      <c r="A6947" s="14">
        <v>43031.49108796296</v>
      </c>
      <c r="B6947" s="20" t="str">
        <f>HYPERLINK("https://twitter.com/MrsMwiti","@MrsMwiti")</f>
        <v>@MrsMwiti</v>
      </c>
      <c r="C6947" s="21" t="s">
        <v>15514</v>
      </c>
      <c r="D6947" s="21" t="s">
        <v>32</v>
      </c>
      <c r="E6947" s="22" t="str">
        <f>HYPERLINK("https://twitter.com/MrsMwiti/status/922534880906530816","922534880906530816")</f>
        <v>922534880906530816</v>
      </c>
      <c r="F6947" s="23" t="s">
        <v>39</v>
      </c>
      <c r="G6947" s="24">
        <v>3665.0</v>
      </c>
      <c r="H6947" s="24">
        <v>1325.0</v>
      </c>
      <c r="I6947" s="24">
        <v>471.0</v>
      </c>
      <c r="J6947" s="24">
        <v>0.0</v>
      </c>
      <c r="K6947" s="23" t="s">
        <v>34</v>
      </c>
      <c r="L6947" s="25">
        <v>40211.21732638889</v>
      </c>
      <c r="M6947" s="26" t="s">
        <v>114</v>
      </c>
      <c r="N6947" s="26" t="s">
        <v>15515</v>
      </c>
      <c r="O6947" s="22" t="str">
        <f>HYPERLINK("https://pbs.twimg.com/profile_images/921027171438809090/JCXT3rw5_normal.jpg","View")</f>
        <v>View</v>
      </c>
      <c r="P6947" s="27"/>
    </row>
    <row r="6948">
      <c r="A6948" s="14">
        <v>43031.49155092593</v>
      </c>
      <c r="B6948" s="20" t="str">
        <f>HYPERLINK("https://twitter.com/Wanjala","@Wanjala")</f>
        <v>@Wanjala</v>
      </c>
      <c r="C6948" s="21" t="s">
        <v>15516</v>
      </c>
      <c r="D6948" s="21" t="s">
        <v>32</v>
      </c>
      <c r="E6948" s="22" t="str">
        <f>HYPERLINK("https://twitter.com/Wanjala/status/922535051690217475","922535051690217475")</f>
        <v>922535051690217475</v>
      </c>
      <c r="F6948" s="23" t="s">
        <v>33</v>
      </c>
      <c r="G6948" s="24">
        <v>1802.0</v>
      </c>
      <c r="H6948" s="24">
        <v>673.0</v>
      </c>
      <c r="I6948" s="24">
        <v>471.0</v>
      </c>
      <c r="J6948" s="24">
        <v>0.0</v>
      </c>
      <c r="K6948" s="23" t="s">
        <v>34</v>
      </c>
      <c r="L6948" s="25">
        <v>39909.29900462963</v>
      </c>
      <c r="M6948" s="26" t="s">
        <v>114</v>
      </c>
      <c r="N6948" s="26" t="s">
        <v>15517</v>
      </c>
      <c r="O6948" s="22" t="str">
        <f>HYPERLINK("https://pbs.twimg.com/profile_images/599264940143288320/6n0fcbJD_normal.jpg","View")</f>
        <v>View</v>
      </c>
      <c r="P6948" s="27"/>
    </row>
    <row r="6949">
      <c r="A6949" s="14">
        <v>43031.491736111115</v>
      </c>
      <c r="B6949" s="20" t="str">
        <f>HYPERLINK("https://twitter.com/sambapanthangi","@sambapanthangi")</f>
        <v>@sambapanthangi</v>
      </c>
      <c r="C6949" s="21" t="s">
        <v>15518</v>
      </c>
      <c r="D6949" s="21" t="s">
        <v>163</v>
      </c>
      <c r="E6949" s="22" t="str">
        <f>HYPERLINK("https://twitter.com/sambapanthangi/status/922535117930643456","922535117930643456")</f>
        <v>922535117930643456</v>
      </c>
      <c r="F6949" s="23" t="s">
        <v>33</v>
      </c>
      <c r="G6949" s="24">
        <v>283.0</v>
      </c>
      <c r="H6949" s="24">
        <v>121.0</v>
      </c>
      <c r="I6949" s="24">
        <v>1005.0</v>
      </c>
      <c r="J6949" s="24">
        <v>0.0</v>
      </c>
      <c r="K6949" s="23" t="s">
        <v>34</v>
      </c>
      <c r="L6949" s="25">
        <v>40306.3368287037</v>
      </c>
      <c r="M6949" s="26" t="s">
        <v>15519</v>
      </c>
      <c r="N6949" s="26" t="s">
        <v>15520</v>
      </c>
      <c r="O6949" s="22" t="str">
        <f>HYPERLINK("https://pbs.twimg.com/profile_images/887740656256401409/z1S5OK18_normal.jpg","View")</f>
        <v>View</v>
      </c>
      <c r="P6949" s="27"/>
    </row>
    <row r="6950">
      <c r="A6950" s="14">
        <v>43031.49208333333</v>
      </c>
      <c r="B6950" s="20" t="str">
        <f>HYPERLINK("https://twitter.com/GaingBas","@GaingBas")</f>
        <v>@GaingBas</v>
      </c>
      <c r="C6950" s="21" t="s">
        <v>13104</v>
      </c>
      <c r="D6950" s="21" t="s">
        <v>15521</v>
      </c>
      <c r="E6950" s="22" t="str">
        <f>HYPERLINK("https://twitter.com/GaingBas/status/922535244015767554","922535244015767554")</f>
        <v>922535244015767554</v>
      </c>
      <c r="F6950" s="23" t="s">
        <v>4619</v>
      </c>
      <c r="G6950" s="24">
        <v>1202.0</v>
      </c>
      <c r="H6950" s="24">
        <v>4868.0</v>
      </c>
      <c r="I6950" s="24">
        <v>0.0</v>
      </c>
      <c r="J6950" s="24">
        <v>0.0</v>
      </c>
      <c r="K6950" s="23" t="s">
        <v>34</v>
      </c>
      <c r="L6950" s="25">
        <v>40114.169583333336</v>
      </c>
      <c r="M6950" s="26" t="s">
        <v>13105</v>
      </c>
      <c r="N6950" s="26" t="s">
        <v>13106</v>
      </c>
      <c r="O6950" s="22" t="str">
        <f>HYPERLINK("https://pbs.twimg.com/profile_images/582714694676267008/peqHe6hm_normal.jpg","View")</f>
        <v>View</v>
      </c>
      <c r="P6950" s="27"/>
    </row>
    <row r="6951">
      <c r="A6951" s="14">
        <v>43031.49230324074</v>
      </c>
      <c r="B6951" s="20" t="str">
        <f>HYPERLINK("https://twitter.com/TheLastRefuge2","@TheLastRefuge2")</f>
        <v>@TheLastRefuge2</v>
      </c>
      <c r="C6951" s="21" t="s">
        <v>15522</v>
      </c>
      <c r="D6951" s="21" t="s">
        <v>14855</v>
      </c>
      <c r="E6951" s="22" t="str">
        <f>HYPERLINK("https://twitter.com/TheLastRefuge2/status/922535321258033152","922535321258033152")</f>
        <v>922535321258033152</v>
      </c>
      <c r="F6951" s="23" t="s">
        <v>55</v>
      </c>
      <c r="G6951" s="24">
        <v>37181.0</v>
      </c>
      <c r="H6951" s="24">
        <v>1140.0</v>
      </c>
      <c r="I6951" s="24">
        <v>36.0</v>
      </c>
      <c r="J6951" s="24">
        <v>0.0</v>
      </c>
      <c r="K6951" s="23" t="s">
        <v>34</v>
      </c>
      <c r="L6951" s="25">
        <v>41059.482210648144</v>
      </c>
      <c r="M6951" s="26" t="s">
        <v>68</v>
      </c>
      <c r="N6951" s="26" t="s">
        <v>15523</v>
      </c>
      <c r="O6951" s="22" t="str">
        <f>HYPERLINK("https://pbs.twimg.com/profile_images/2264686404/uq1gubtgx0i78lis0msg_normal.jpeg","View")</f>
        <v>View</v>
      </c>
      <c r="P6951" s="27"/>
    </row>
    <row r="6952">
      <c r="A6952" s="14">
        <v>43031.49234953704</v>
      </c>
      <c r="B6952" s="20" t="str">
        <f>HYPERLINK("https://twitter.com/CTurnerFCO","@CTurnerFCO")</f>
        <v>@CTurnerFCO</v>
      </c>
      <c r="C6952" s="21" t="s">
        <v>15524</v>
      </c>
      <c r="D6952" s="21" t="s">
        <v>6403</v>
      </c>
      <c r="E6952" s="22" t="str">
        <f>HYPERLINK("https://twitter.com/CTurnerFCO/status/922535338282835968","922535338282835968")</f>
        <v>922535338282835968</v>
      </c>
      <c r="F6952" s="23" t="s">
        <v>39</v>
      </c>
      <c r="G6952" s="24">
        <v>86240.0</v>
      </c>
      <c r="H6952" s="24">
        <v>282.0</v>
      </c>
      <c r="I6952" s="24">
        <v>97.0</v>
      </c>
      <c r="J6952" s="24">
        <v>0.0</v>
      </c>
      <c r="K6952" s="23" t="s">
        <v>34</v>
      </c>
      <c r="L6952" s="25">
        <v>40921.589270833334</v>
      </c>
      <c r="M6952" s="26" t="s">
        <v>708</v>
      </c>
      <c r="N6952" s="26" t="s">
        <v>15525</v>
      </c>
      <c r="O6952" s="22" t="str">
        <f>HYPERLINK("https://pbs.twimg.com/profile_images/664512322275250176/5RaK4IlW_normal.jpg","View")</f>
        <v>View</v>
      </c>
      <c r="P6952" s="27"/>
    </row>
    <row r="6953">
      <c r="A6953" s="14">
        <v>43031.492476851854</v>
      </c>
      <c r="B6953" s="20" t="str">
        <f>HYPERLINK("https://twitter.com/JkbComic","@JkbComic")</f>
        <v>@JkbComic</v>
      </c>
      <c r="C6953" s="21" t="s">
        <v>14772</v>
      </c>
      <c r="D6953" s="21" t="s">
        <v>14855</v>
      </c>
      <c r="E6953" s="22" t="str">
        <f>HYPERLINK("https://twitter.com/JkbComic/status/922535387792334849","922535387792334849")</f>
        <v>922535387792334849</v>
      </c>
      <c r="F6953" s="23" t="s">
        <v>55</v>
      </c>
      <c r="G6953" s="24">
        <v>1590.0</v>
      </c>
      <c r="H6953" s="24">
        <v>1123.0</v>
      </c>
      <c r="I6953" s="24">
        <v>36.0</v>
      </c>
      <c r="J6953" s="24">
        <v>0.0</v>
      </c>
      <c r="K6953" s="23" t="s">
        <v>34</v>
      </c>
      <c r="L6953" s="25">
        <v>42608.863807870366</v>
      </c>
      <c r="M6953" s="26" t="s">
        <v>941</v>
      </c>
      <c r="N6953" s="26" t="s">
        <v>15526</v>
      </c>
      <c r="O6953" s="22" t="str">
        <f>HYPERLINK("https://pbs.twimg.com/profile_images/886272864533360640/_UX25Kvl_normal.jpg","View")</f>
        <v>View</v>
      </c>
      <c r="P6953" s="27"/>
    </row>
    <row r="6954">
      <c r="A6954" s="14">
        <v>43031.492939814816</v>
      </c>
      <c r="B6954" s="20" t="str">
        <f>HYPERLINK("https://twitter.com/rafaelangel0812","@rafaelangel0812")</f>
        <v>@rafaelangel0812</v>
      </c>
      <c r="C6954" s="21" t="s">
        <v>4470</v>
      </c>
      <c r="D6954" s="21" t="s">
        <v>15527</v>
      </c>
      <c r="E6954" s="22" t="str">
        <f>HYPERLINK("https://twitter.com/rafaelangel0812/status/922535552284594182","922535552284594182")</f>
        <v>922535552284594182</v>
      </c>
      <c r="F6954" s="23" t="s">
        <v>187</v>
      </c>
      <c r="G6954" s="24">
        <v>266.0</v>
      </c>
      <c r="H6954" s="24">
        <v>285.0</v>
      </c>
      <c r="I6954" s="24">
        <v>0.0</v>
      </c>
      <c r="J6954" s="24">
        <v>0.0</v>
      </c>
      <c r="K6954" s="23" t="s">
        <v>34</v>
      </c>
      <c r="L6954" s="25">
        <v>42695.84065972222</v>
      </c>
      <c r="M6954" s="26" t="s">
        <v>4472</v>
      </c>
      <c r="N6954" s="26" t="s">
        <v>4473</v>
      </c>
      <c r="O6954" s="22" t="str">
        <f>HYPERLINK("https://pbs.twimg.com/profile_images/844730128311705601/dbv74UTC_normal.jpg","View")</f>
        <v>View</v>
      </c>
      <c r="P6954" s="27"/>
    </row>
    <row r="6955">
      <c r="A6955" s="14">
        <v>43031.492986111116</v>
      </c>
      <c r="B6955" s="20" t="str">
        <f>HYPERLINK("https://twitter.com/BobbiDalton13","@BobbiDalton13")</f>
        <v>@BobbiDalton13</v>
      </c>
      <c r="C6955" s="21" t="s">
        <v>15528</v>
      </c>
      <c r="D6955" s="21" t="s">
        <v>14855</v>
      </c>
      <c r="E6955" s="22" t="str">
        <f>HYPERLINK("https://twitter.com/BobbiDalton13/status/922535568486961152","922535568486961152")</f>
        <v>922535568486961152</v>
      </c>
      <c r="F6955" s="23" t="s">
        <v>39</v>
      </c>
      <c r="G6955" s="24">
        <v>1278.0</v>
      </c>
      <c r="H6955" s="24">
        <v>99.0</v>
      </c>
      <c r="I6955" s="24">
        <v>36.0</v>
      </c>
      <c r="J6955" s="24">
        <v>0.0</v>
      </c>
      <c r="K6955" s="23" t="s">
        <v>34</v>
      </c>
      <c r="L6955" s="25">
        <v>42285.12934027778</v>
      </c>
      <c r="M6955" s="26" t="s">
        <v>15529</v>
      </c>
      <c r="N6955" s="26" t="s">
        <v>15530</v>
      </c>
      <c r="O6955" s="22" t="str">
        <f>HYPERLINK("https://pbs.twimg.com/profile_images/767421170186457088/vPY_mrEH_normal.jpg","View")</f>
        <v>View</v>
      </c>
      <c r="P6955" s="27"/>
    </row>
    <row r="6956">
      <c r="A6956" s="14">
        <v>43031.49303240741</v>
      </c>
      <c r="B6956" s="20" t="str">
        <f>HYPERLINK("https://twitter.com/Momneenstime","@Momneenstime")</f>
        <v>@Momneenstime</v>
      </c>
      <c r="C6956" s="21" t="s">
        <v>15531</v>
      </c>
      <c r="D6956" s="21" t="s">
        <v>10614</v>
      </c>
      <c r="E6956" s="22" t="str">
        <f>HYPERLINK("https://twitter.com/Momneenstime/status/922535588481429505","922535588481429505")</f>
        <v>922535588481429505</v>
      </c>
      <c r="F6956" s="23" t="s">
        <v>33</v>
      </c>
      <c r="G6956" s="24">
        <v>325.0</v>
      </c>
      <c r="H6956" s="24">
        <v>718.0</v>
      </c>
      <c r="I6956" s="24">
        <v>159.0</v>
      </c>
      <c r="J6956" s="24">
        <v>0.0</v>
      </c>
      <c r="K6956" s="23" t="s">
        <v>34</v>
      </c>
      <c r="L6956" s="25">
        <v>41738.2634837963</v>
      </c>
      <c r="M6956" s="26" t="s">
        <v>15532</v>
      </c>
      <c r="N6956" s="26" t="s">
        <v>15533</v>
      </c>
      <c r="O6956" s="22" t="str">
        <f>HYPERLINK("https://pbs.twimg.com/profile_images/921119022464294916/ujhXtJhk_normal.jpg","View")</f>
        <v>View</v>
      </c>
      <c r="P6956" s="27"/>
    </row>
    <row r="6957">
      <c r="A6957" s="14">
        <v>43031.493113425924</v>
      </c>
      <c r="B6957" s="20" t="str">
        <f>HYPERLINK("https://twitter.com/IndiaMaria2020","@IndiaMaria2020")</f>
        <v>@IndiaMaria2020</v>
      </c>
      <c r="C6957" s="21" t="s">
        <v>15534</v>
      </c>
      <c r="D6957" s="21" t="s">
        <v>14855</v>
      </c>
      <c r="E6957" s="22" t="str">
        <f>HYPERLINK("https://twitter.com/IndiaMaria2020/status/922535614766923776","922535614766923776")</f>
        <v>922535614766923776</v>
      </c>
      <c r="F6957" s="23" t="s">
        <v>55</v>
      </c>
      <c r="G6957" s="24">
        <v>272.0</v>
      </c>
      <c r="H6957" s="24">
        <v>17.0</v>
      </c>
      <c r="I6957" s="24">
        <v>36.0</v>
      </c>
      <c r="J6957" s="24">
        <v>0.0</v>
      </c>
      <c r="K6957" s="23" t="s">
        <v>34</v>
      </c>
      <c r="L6957" s="25">
        <v>42701.655439814815</v>
      </c>
      <c r="M6957" s="28"/>
      <c r="N6957" s="26" t="s">
        <v>15535</v>
      </c>
      <c r="O6957" s="22" t="str">
        <f>HYPERLINK("https://pbs.twimg.com/profile_images/803034437218811904/oU2K0ad2_normal.jpg","View")</f>
        <v>View</v>
      </c>
      <c r="P6957" s="27"/>
    </row>
    <row r="6958">
      <c r="A6958" s="14">
        <v>43031.49318287037</v>
      </c>
      <c r="B6958" s="20" t="str">
        <f>HYPERLINK("https://twitter.com/RealClintone","@RealClintone")</f>
        <v>@RealClintone</v>
      </c>
      <c r="C6958" s="21" t="s">
        <v>15536</v>
      </c>
      <c r="D6958" s="21" t="s">
        <v>32</v>
      </c>
      <c r="E6958" s="22" t="str">
        <f>HYPERLINK("https://twitter.com/RealClintone/status/922535641229025280","922535641229025280")</f>
        <v>922535641229025280</v>
      </c>
      <c r="F6958" s="23" t="s">
        <v>33</v>
      </c>
      <c r="G6958" s="24">
        <v>1653.0</v>
      </c>
      <c r="H6958" s="24">
        <v>1457.0</v>
      </c>
      <c r="I6958" s="24">
        <v>471.0</v>
      </c>
      <c r="J6958" s="24">
        <v>0.0</v>
      </c>
      <c r="K6958" s="23" t="s">
        <v>34</v>
      </c>
      <c r="L6958" s="25">
        <v>41714.51175925926</v>
      </c>
      <c r="M6958" s="26" t="s">
        <v>114</v>
      </c>
      <c r="N6958" s="26" t="s">
        <v>15537</v>
      </c>
      <c r="O6958" s="22" t="str">
        <f>HYPERLINK("https://pbs.twimg.com/profile_images/875240406790922241/Mtjbw3eS_normal.jpg","View")</f>
        <v>View</v>
      </c>
      <c r="P6958" s="27"/>
    </row>
    <row r="6959">
      <c r="A6959" s="14">
        <v>43031.493634259255</v>
      </c>
      <c r="B6959" s="20" t="str">
        <f>HYPERLINK("https://twitter.com/abechanjuicy","@abechanjuicy")</f>
        <v>@abechanjuicy</v>
      </c>
      <c r="C6959" s="21" t="s">
        <v>15538</v>
      </c>
      <c r="D6959" s="21" t="s">
        <v>12974</v>
      </c>
      <c r="E6959" s="22" t="str">
        <f>HYPERLINK("https://twitter.com/abechanjuicy/status/922535804764798976","922535804764798976")</f>
        <v>922535804764798976</v>
      </c>
      <c r="F6959" s="23" t="s">
        <v>33</v>
      </c>
      <c r="G6959" s="24">
        <v>953.0</v>
      </c>
      <c r="H6959" s="24">
        <v>536.0</v>
      </c>
      <c r="I6959" s="24">
        <v>110.0</v>
      </c>
      <c r="J6959" s="24">
        <v>0.0</v>
      </c>
      <c r="K6959" s="23" t="s">
        <v>34</v>
      </c>
      <c r="L6959" s="25">
        <v>42386.11759259259</v>
      </c>
      <c r="M6959" s="28"/>
      <c r="N6959" s="26" t="s">
        <v>15539</v>
      </c>
      <c r="O6959" s="22" t="str">
        <f>HYPERLINK("https://pbs.twimg.com/profile_images/705481969442795520/pMagjVZ__normal.jpg","View")</f>
        <v>View</v>
      </c>
      <c r="P6959" s="27"/>
    </row>
    <row r="6960">
      <c r="A6960" s="14">
        <v>43031.49394675926</v>
      </c>
      <c r="B6960" s="20" t="str">
        <f>HYPERLINK("https://twitter.com/PrasadkKrishna","@PrasadkKrishna")</f>
        <v>@PrasadkKrishna</v>
      </c>
      <c r="C6960" s="21" t="s">
        <v>15540</v>
      </c>
      <c r="D6960" s="21" t="s">
        <v>42</v>
      </c>
      <c r="E6960" s="22" t="str">
        <f>HYPERLINK("https://twitter.com/PrasadkKrishna/status/922535920036917254","922535920036917254")</f>
        <v>922535920036917254</v>
      </c>
      <c r="F6960" s="23" t="s">
        <v>39</v>
      </c>
      <c r="G6960" s="24">
        <v>167.0</v>
      </c>
      <c r="H6960" s="24">
        <v>56.0</v>
      </c>
      <c r="I6960" s="24">
        <v>8501.0</v>
      </c>
      <c r="J6960" s="24">
        <v>0.0</v>
      </c>
      <c r="K6960" s="23" t="s">
        <v>34</v>
      </c>
      <c r="L6960" s="25">
        <v>41152.450590277775</v>
      </c>
      <c r="M6960" s="28"/>
      <c r="N6960" s="28"/>
      <c r="O6960" s="22" t="str">
        <f>HYPERLINK("https://pbs.twimg.com/profile_images/878172473954623488/QW8WCnQx_normal.jpg","View")</f>
        <v>View</v>
      </c>
      <c r="P6960" s="27"/>
    </row>
    <row r="6961">
      <c r="A6961" s="14">
        <v>43031.4940162037</v>
      </c>
      <c r="B6961" s="20" t="str">
        <f>HYPERLINK("https://twitter.com/androzipa","@androzipa")</f>
        <v>@androzipa</v>
      </c>
      <c r="C6961" s="21" t="s">
        <v>15541</v>
      </c>
      <c r="D6961" s="21" t="s">
        <v>32</v>
      </c>
      <c r="E6961" s="22" t="str">
        <f>HYPERLINK("https://twitter.com/androzipa/status/922535944892190720","922535944892190720")</f>
        <v>922535944892190720</v>
      </c>
      <c r="F6961" s="23" t="s">
        <v>33</v>
      </c>
      <c r="G6961" s="24">
        <v>1979.0</v>
      </c>
      <c r="H6961" s="24">
        <v>3022.0</v>
      </c>
      <c r="I6961" s="24">
        <v>471.0</v>
      </c>
      <c r="J6961" s="24">
        <v>0.0</v>
      </c>
      <c r="K6961" s="23" t="s">
        <v>34</v>
      </c>
      <c r="L6961" s="25">
        <v>41785.18178240741</v>
      </c>
      <c r="M6961" s="26" t="s">
        <v>843</v>
      </c>
      <c r="N6961" s="26" t="s">
        <v>15542</v>
      </c>
      <c r="O6961" s="22" t="str">
        <f>HYPERLINK("https://pbs.twimg.com/profile_images/876534044330209280/uquDlTbC_normal.jpg","View")</f>
        <v>View</v>
      </c>
      <c r="P6961" s="27"/>
    </row>
    <row r="6962">
      <c r="A6962" s="14">
        <v>43031.4940625</v>
      </c>
      <c r="B6962" s="20" t="str">
        <f>HYPERLINK("https://twitter.com/pandeyarun67","@pandeyarun67")</f>
        <v>@pandeyarun67</v>
      </c>
      <c r="C6962" s="21" t="s">
        <v>15543</v>
      </c>
      <c r="D6962" s="21" t="s">
        <v>42</v>
      </c>
      <c r="E6962" s="22" t="str">
        <f>HYPERLINK("https://twitter.com/pandeyarun67/status/922535959815581696","922535959815581696")</f>
        <v>922535959815581696</v>
      </c>
      <c r="F6962" s="23" t="s">
        <v>33</v>
      </c>
      <c r="G6962" s="24">
        <v>1997.0</v>
      </c>
      <c r="H6962" s="24">
        <v>1592.0</v>
      </c>
      <c r="I6962" s="24">
        <v>8501.0</v>
      </c>
      <c r="J6962" s="24">
        <v>0.0</v>
      </c>
      <c r="K6962" s="23" t="s">
        <v>34</v>
      </c>
      <c r="L6962" s="25">
        <v>40783.60716435185</v>
      </c>
      <c r="M6962" s="26" t="s">
        <v>15544</v>
      </c>
      <c r="N6962" s="26" t="s">
        <v>15545</v>
      </c>
      <c r="O6962" s="22" t="str">
        <f>HYPERLINK("https://pbs.twimg.com/profile_images/652322167699341312/js0NqnUa_normal.jpg","View")</f>
        <v>View</v>
      </c>
      <c r="P6962" s="27"/>
    </row>
    <row r="6963">
      <c r="A6963" s="14">
        <v>43031.494201388894</v>
      </c>
      <c r="B6963" s="20" t="str">
        <f>HYPERLINK("https://twitter.com/NiteshRajak","@NiteshRajak")</f>
        <v>@NiteshRajak</v>
      </c>
      <c r="C6963" s="21" t="s">
        <v>15546</v>
      </c>
      <c r="D6963" s="21" t="s">
        <v>42</v>
      </c>
      <c r="E6963" s="22" t="str">
        <f>HYPERLINK("https://twitter.com/NiteshRajak/status/922536009404837888","922536009404837888")</f>
        <v>922536009404837888</v>
      </c>
      <c r="F6963" s="23" t="s">
        <v>33</v>
      </c>
      <c r="G6963" s="24">
        <v>307.0</v>
      </c>
      <c r="H6963" s="24">
        <v>40.0</v>
      </c>
      <c r="I6963" s="24">
        <v>8501.0</v>
      </c>
      <c r="J6963" s="24">
        <v>0.0</v>
      </c>
      <c r="K6963" s="23" t="s">
        <v>34</v>
      </c>
      <c r="L6963" s="25">
        <v>40860.15204861111</v>
      </c>
      <c r="M6963" s="26" t="s">
        <v>15547</v>
      </c>
      <c r="N6963" s="26" t="s">
        <v>15548</v>
      </c>
      <c r="O6963" s="22" t="str">
        <f>HYPERLINK("https://pbs.twimg.com/profile_images/920962537373310976/jI95Sx5b_normal.jpg","View")</f>
        <v>View</v>
      </c>
      <c r="P6963" s="27"/>
    </row>
    <row r="6964">
      <c r="A6964" s="14">
        <v>43031.494421296295</v>
      </c>
      <c r="B6964" s="20" t="str">
        <f>HYPERLINK("https://twitter.com/IndiaNewsGoogle","@IndiaNewsGoogle")</f>
        <v>@IndiaNewsGoogle</v>
      </c>
      <c r="C6964" s="21" t="s">
        <v>2102</v>
      </c>
      <c r="D6964" s="21" t="s">
        <v>15549</v>
      </c>
      <c r="E6964" s="22" t="str">
        <f>HYPERLINK("https://twitter.com/IndiaNewsGoogle/status/922536090283728897","922536090283728897")</f>
        <v>922536090283728897</v>
      </c>
      <c r="F6964" s="23" t="s">
        <v>91</v>
      </c>
      <c r="G6964" s="24">
        <v>118.0</v>
      </c>
      <c r="H6964" s="24">
        <v>1.0</v>
      </c>
      <c r="I6964" s="24">
        <v>0.0</v>
      </c>
      <c r="J6964" s="24">
        <v>0.0</v>
      </c>
      <c r="K6964" s="23" t="s">
        <v>34</v>
      </c>
      <c r="L6964" s="25">
        <v>41213.90635416667</v>
      </c>
      <c r="M6964" s="26" t="s">
        <v>204</v>
      </c>
      <c r="N6964" s="26" t="s">
        <v>2104</v>
      </c>
      <c r="O6964" s="22" t="str">
        <f>HYPERLINK("https://pbs.twimg.com/profile_images/821581869087006721/Dk_gaY0A_normal.jpg","View")</f>
        <v>View</v>
      </c>
      <c r="P6964" s="27"/>
    </row>
    <row r="6965">
      <c r="A6965" s="14">
        <v>43031.49454861111</v>
      </c>
      <c r="B6965" s="20" t="str">
        <f>HYPERLINK("https://twitter.com/iamJadePA","@iamJadePA")</f>
        <v>@iamJadePA</v>
      </c>
      <c r="C6965" s="21" t="s">
        <v>15550</v>
      </c>
      <c r="D6965" s="21" t="s">
        <v>14855</v>
      </c>
      <c r="E6965" s="22" t="str">
        <f>HYPERLINK("https://twitter.com/iamJadePA/status/922536137629028352","922536137629028352")</f>
        <v>922536137629028352</v>
      </c>
      <c r="F6965" s="23" t="s">
        <v>55</v>
      </c>
      <c r="G6965" s="24">
        <v>290.0</v>
      </c>
      <c r="H6965" s="24">
        <v>649.0</v>
      </c>
      <c r="I6965" s="24">
        <v>36.0</v>
      </c>
      <c r="J6965" s="24">
        <v>0.0</v>
      </c>
      <c r="K6965" s="23" t="s">
        <v>34</v>
      </c>
      <c r="L6965" s="25">
        <v>42866.87819444445</v>
      </c>
      <c r="M6965" s="26" t="s">
        <v>11513</v>
      </c>
      <c r="N6965" s="28"/>
      <c r="O6965" s="22" t="str">
        <f>HYPERLINK("https://pbs.twimg.com/profile_images/864372737921495042/b7cap6lK_normal.jpg","View")</f>
        <v>View</v>
      </c>
      <c r="P6965" s="27"/>
    </row>
    <row r="6966">
      <c r="A6966" s="14">
        <v>43031.49484953703</v>
      </c>
      <c r="B6966" s="20" t="str">
        <f>HYPERLINK("https://twitter.com/Nirdoshss","@Nirdoshss")</f>
        <v>@Nirdoshss</v>
      </c>
      <c r="C6966" s="21" t="s">
        <v>15551</v>
      </c>
      <c r="D6966" s="21" t="s">
        <v>42</v>
      </c>
      <c r="E6966" s="22" t="str">
        <f>HYPERLINK("https://twitter.com/Nirdoshss/status/922536246995574786","922536246995574786")</f>
        <v>922536246995574786</v>
      </c>
      <c r="F6966" s="23" t="s">
        <v>33</v>
      </c>
      <c r="G6966" s="24">
        <v>351.0</v>
      </c>
      <c r="H6966" s="24">
        <v>236.0</v>
      </c>
      <c r="I6966" s="24">
        <v>8501.0</v>
      </c>
      <c r="J6966" s="24">
        <v>0.0</v>
      </c>
      <c r="K6966" s="23" t="s">
        <v>34</v>
      </c>
      <c r="L6966" s="25">
        <v>41012.52313657408</v>
      </c>
      <c r="M6966" s="26" t="s">
        <v>15552</v>
      </c>
      <c r="N6966" s="26" t="s">
        <v>15553</v>
      </c>
      <c r="O6966" s="22" t="str">
        <f>HYPERLINK("https://pbs.twimg.com/profile_images/864084001748905984/QxEWHcAv_normal.jpg","View")</f>
        <v>View</v>
      </c>
      <c r="P6966" s="27"/>
    </row>
    <row r="6967">
      <c r="A6967" s="14">
        <v>43031.4949537037</v>
      </c>
      <c r="B6967" s="20" t="str">
        <f>HYPERLINK("https://twitter.com/MegfromCT","@MegfromCT")</f>
        <v>@MegfromCT</v>
      </c>
      <c r="C6967" s="21" t="s">
        <v>15554</v>
      </c>
      <c r="D6967" s="21" t="s">
        <v>14855</v>
      </c>
      <c r="E6967" s="22" t="str">
        <f>HYPERLINK("https://twitter.com/MegfromCT/status/922536282550661120","922536282550661120")</f>
        <v>922536282550661120</v>
      </c>
      <c r="F6967" s="23" t="s">
        <v>33</v>
      </c>
      <c r="G6967" s="24">
        <v>3368.0</v>
      </c>
      <c r="H6967" s="24">
        <v>2658.0</v>
      </c>
      <c r="I6967" s="24">
        <v>36.0</v>
      </c>
      <c r="J6967" s="24">
        <v>0.0</v>
      </c>
      <c r="K6967" s="23" t="s">
        <v>34</v>
      </c>
      <c r="L6967" s="25">
        <v>39892.66894675926</v>
      </c>
      <c r="M6967" s="26" t="s">
        <v>15555</v>
      </c>
      <c r="N6967" s="26" t="s">
        <v>15556</v>
      </c>
      <c r="O6967" s="22" t="str">
        <f>HYPERLINK("https://pbs.twimg.com/profile_images/105167030/February_2008_normal.JPG","View")</f>
        <v>View</v>
      </c>
      <c r="P6967" s="27"/>
    </row>
    <row r="6968">
      <c r="A6968" s="14">
        <v>43031.49512731482</v>
      </c>
      <c r="B6968" s="20" t="str">
        <f>HYPERLINK("https://twitter.com/Nicktweets2017","@Nicktweets2017")</f>
        <v>@Nicktweets2017</v>
      </c>
      <c r="C6968" s="21" t="s">
        <v>15557</v>
      </c>
      <c r="D6968" s="21" t="s">
        <v>32</v>
      </c>
      <c r="E6968" s="22" t="str">
        <f>HYPERLINK("https://twitter.com/Nicktweets2017/status/922536346782191616","922536346782191616")</f>
        <v>922536346782191616</v>
      </c>
      <c r="F6968" s="23" t="s">
        <v>33</v>
      </c>
      <c r="G6968" s="24">
        <v>1770.0</v>
      </c>
      <c r="H6968" s="24">
        <v>990.0</v>
      </c>
      <c r="I6968" s="24">
        <v>471.0</v>
      </c>
      <c r="J6968" s="24">
        <v>0.0</v>
      </c>
      <c r="K6968" s="23" t="s">
        <v>34</v>
      </c>
      <c r="L6968" s="25">
        <v>40157.24465277778</v>
      </c>
      <c r="M6968" s="26" t="s">
        <v>4756</v>
      </c>
      <c r="N6968" s="26" t="s">
        <v>15558</v>
      </c>
      <c r="O6968" s="22" t="str">
        <f>HYPERLINK("https://pbs.twimg.com/profile_images/848618855664668672/tyrN7HaS_normal.jpg","View")</f>
        <v>View</v>
      </c>
      <c r="P6968" s="27"/>
    </row>
    <row r="6969">
      <c r="A6969" s="14">
        <v>43031.495196759264</v>
      </c>
      <c r="B6969" s="20" t="str">
        <f>HYPERLINK("https://twitter.com/ishwaracdas","@ishwaracdas")</f>
        <v>@ishwaracdas</v>
      </c>
      <c r="C6969" s="21" t="s">
        <v>15559</v>
      </c>
      <c r="D6969" s="21" t="s">
        <v>15560</v>
      </c>
      <c r="E6969" s="22" t="str">
        <f>HYPERLINK("https://twitter.com/ishwaracdas/status/922536370983247872","922536370983247872")</f>
        <v>922536370983247872</v>
      </c>
      <c r="F6969" s="23" t="s">
        <v>230</v>
      </c>
      <c r="G6969" s="24">
        <v>340.0</v>
      </c>
      <c r="H6969" s="24">
        <v>150.0</v>
      </c>
      <c r="I6969" s="24">
        <v>0.0</v>
      </c>
      <c r="J6969" s="24">
        <v>0.0</v>
      </c>
      <c r="K6969" s="23" t="s">
        <v>34</v>
      </c>
      <c r="L6969" s="25">
        <v>41400.29325231482</v>
      </c>
      <c r="M6969" s="26" t="s">
        <v>15561</v>
      </c>
      <c r="N6969" s="28"/>
      <c r="O6969" s="22" t="str">
        <f>HYPERLINK("https://pbs.twimg.com/profile_images/897148192915156993/8Cozerqc_normal.jpg","View")</f>
        <v>View</v>
      </c>
      <c r="P6969" s="27"/>
    </row>
    <row r="6970">
      <c r="A6970" s="14">
        <v>43031.495208333334</v>
      </c>
      <c r="B6970" s="20" t="str">
        <f>HYPERLINK("https://twitter.com/IamshivamG","@IamshivamG")</f>
        <v>@IamshivamG</v>
      </c>
      <c r="C6970" s="21" t="s">
        <v>15562</v>
      </c>
      <c r="D6970" s="21" t="s">
        <v>15563</v>
      </c>
      <c r="E6970" s="22" t="str">
        <f>HYPERLINK("https://twitter.com/IamshivamG/status/922536374195994624","922536374195994624")</f>
        <v>922536374195994624</v>
      </c>
      <c r="F6970" s="30" t="s">
        <v>411</v>
      </c>
      <c r="G6970" s="24">
        <v>4432.0</v>
      </c>
      <c r="H6970" s="24">
        <v>4729.0</v>
      </c>
      <c r="I6970" s="24">
        <v>0.0</v>
      </c>
      <c r="J6970" s="24">
        <v>0.0</v>
      </c>
      <c r="K6970" s="23" t="s">
        <v>34</v>
      </c>
      <c r="L6970" s="25">
        <v>41397.39622685185</v>
      </c>
      <c r="M6970" s="26" t="s">
        <v>8314</v>
      </c>
      <c r="N6970" s="26" t="s">
        <v>15564</v>
      </c>
      <c r="O6970" s="22" t="str">
        <f>HYPERLINK("https://pbs.twimg.com/profile_images/619805694443687937/ReqWRpPh_normal.jpg","View")</f>
        <v>View</v>
      </c>
      <c r="P6970" s="27"/>
    </row>
    <row r="6971">
      <c r="A6971" s="14">
        <v>43031.49528935185</v>
      </c>
      <c r="B6971" s="20" t="str">
        <f t="shared" ref="B6971:B6972" si="119">HYPERLINK("https://twitter.com/PoliticalGaffe","@PoliticalGaffe")</f>
        <v>@PoliticalGaffe</v>
      </c>
      <c r="C6971" s="21" t="s">
        <v>15565</v>
      </c>
      <c r="D6971" s="21" t="s">
        <v>108</v>
      </c>
      <c r="E6971" s="22" t="str">
        <f>HYPERLINK("https://twitter.com/PoliticalGaffe/status/922536405326184451","922536405326184451")</f>
        <v>922536405326184451</v>
      </c>
      <c r="F6971" s="23" t="s">
        <v>39</v>
      </c>
      <c r="G6971" s="24">
        <v>2385.0</v>
      </c>
      <c r="H6971" s="24">
        <v>2054.0</v>
      </c>
      <c r="I6971" s="24">
        <v>88.0</v>
      </c>
      <c r="J6971" s="24">
        <v>0.0</v>
      </c>
      <c r="K6971" s="23" t="s">
        <v>34</v>
      </c>
      <c r="L6971" s="25">
        <v>41157.009363425925</v>
      </c>
      <c r="M6971" s="26" t="s">
        <v>15566</v>
      </c>
      <c r="N6971" s="26" t="s">
        <v>15567</v>
      </c>
      <c r="O6971" s="22" t="str">
        <f t="shared" ref="O6971:O6972" si="120">HYPERLINK("https://pbs.twimg.com/profile_images/746871801192427520/h5m5PMy4_normal.jpg","View")</f>
        <v>View</v>
      </c>
      <c r="P6971" s="27"/>
    </row>
    <row r="6972">
      <c r="A6972" s="14">
        <v>43031.495370370365</v>
      </c>
      <c r="B6972" s="20" t="str">
        <f t="shared" si="119"/>
        <v>@PoliticalGaffe</v>
      </c>
      <c r="C6972" s="21" t="s">
        <v>15565</v>
      </c>
      <c r="D6972" s="21" t="s">
        <v>760</v>
      </c>
      <c r="E6972" s="22" t="str">
        <f>HYPERLINK("https://twitter.com/PoliticalGaffe/status/922536435227299840","922536435227299840")</f>
        <v>922536435227299840</v>
      </c>
      <c r="F6972" s="23" t="s">
        <v>39</v>
      </c>
      <c r="G6972" s="24">
        <v>2385.0</v>
      </c>
      <c r="H6972" s="24">
        <v>2054.0</v>
      </c>
      <c r="I6972" s="24">
        <v>62.0</v>
      </c>
      <c r="J6972" s="24">
        <v>0.0</v>
      </c>
      <c r="K6972" s="23" t="s">
        <v>34</v>
      </c>
      <c r="L6972" s="25">
        <v>41157.009363425925</v>
      </c>
      <c r="M6972" s="26" t="s">
        <v>15566</v>
      </c>
      <c r="N6972" s="26" t="s">
        <v>15567</v>
      </c>
      <c r="O6972" s="22" t="str">
        <f t="shared" si="120"/>
        <v>View</v>
      </c>
      <c r="P6972" s="27"/>
    </row>
    <row r="6973">
      <c r="A6973" s="14">
        <v>43031.49569444444</v>
      </c>
      <c r="B6973" s="20" t="str">
        <f>HYPERLINK("https://twitter.com/MukeshD78529315","@MukeshD78529315")</f>
        <v>@MukeshD78529315</v>
      </c>
      <c r="C6973" s="21" t="s">
        <v>15568</v>
      </c>
      <c r="D6973" s="21" t="s">
        <v>42</v>
      </c>
      <c r="E6973" s="22" t="str">
        <f>HYPERLINK("https://twitter.com/MukeshD78529315/status/922536552437235712","922536552437235712")</f>
        <v>922536552437235712</v>
      </c>
      <c r="F6973" s="23" t="s">
        <v>33</v>
      </c>
      <c r="G6973" s="24">
        <v>10.0</v>
      </c>
      <c r="H6973" s="24">
        <v>34.0</v>
      </c>
      <c r="I6973" s="24">
        <v>8501.0</v>
      </c>
      <c r="J6973" s="24">
        <v>0.0</v>
      </c>
      <c r="K6973" s="23" t="s">
        <v>34</v>
      </c>
      <c r="L6973" s="25">
        <v>43031.32642361111</v>
      </c>
      <c r="M6973" s="28"/>
      <c r="N6973" s="28"/>
      <c r="O6973" s="22" t="str">
        <f>HYPERLINK("https://pbs.twimg.com/profile_images/922873625010520065/gzQw8Knx_normal.jpg","View")</f>
        <v>View</v>
      </c>
      <c r="P6973" s="27"/>
    </row>
    <row r="6974">
      <c r="A6974" s="14">
        <v>43031.49581018518</v>
      </c>
      <c r="B6974" s="20" t="str">
        <f>HYPERLINK("https://twitter.com/nishantd_","@nishantd_")</f>
        <v>@nishantd_</v>
      </c>
      <c r="C6974" s="21" t="s">
        <v>15569</v>
      </c>
      <c r="D6974" s="21" t="s">
        <v>42</v>
      </c>
      <c r="E6974" s="22" t="str">
        <f>HYPERLINK("https://twitter.com/nishantd_/status/922536591628931073","922536591628931073")</f>
        <v>922536591628931073</v>
      </c>
      <c r="F6974" s="23" t="s">
        <v>39</v>
      </c>
      <c r="G6974" s="24">
        <v>128.0</v>
      </c>
      <c r="H6974" s="24">
        <v>344.0</v>
      </c>
      <c r="I6974" s="24">
        <v>8501.0</v>
      </c>
      <c r="J6974" s="24">
        <v>0.0</v>
      </c>
      <c r="K6974" s="23" t="s">
        <v>34</v>
      </c>
      <c r="L6974" s="25">
        <v>40300.805625</v>
      </c>
      <c r="M6974" s="28"/>
      <c r="N6974" s="26" t="s">
        <v>15570</v>
      </c>
      <c r="O6974" s="22" t="str">
        <f>HYPERLINK("https://pbs.twimg.com/profile_images/707362586350764032/C-Yzo5OA_normal.jpg","View")</f>
        <v>View</v>
      </c>
      <c r="P6974" s="27"/>
    </row>
    <row r="6975">
      <c r="A6975" s="14">
        <v>43031.495983796296</v>
      </c>
      <c r="B6975" s="20" t="str">
        <f>HYPERLINK("https://twitter.com/johndavidreece6","@johndavidreece6")</f>
        <v>@johndavidreece6</v>
      </c>
      <c r="C6975" s="21" t="s">
        <v>15571</v>
      </c>
      <c r="D6975" s="21" t="s">
        <v>15572</v>
      </c>
      <c r="E6975" s="22" t="str">
        <f>HYPERLINK("https://twitter.com/johndavidreece6/status/922536658561531905","922536658561531905")</f>
        <v>922536658561531905</v>
      </c>
      <c r="F6975" s="23" t="s">
        <v>55</v>
      </c>
      <c r="G6975" s="24">
        <v>3116.0</v>
      </c>
      <c r="H6975" s="24">
        <v>2324.0</v>
      </c>
      <c r="I6975" s="24">
        <v>1.0</v>
      </c>
      <c r="J6975" s="24">
        <v>0.0</v>
      </c>
      <c r="K6975" s="23" t="s">
        <v>34</v>
      </c>
      <c r="L6975" s="25">
        <v>42102.383877314816</v>
      </c>
      <c r="M6975" s="26" t="s">
        <v>15573</v>
      </c>
      <c r="N6975" s="26" t="s">
        <v>15574</v>
      </c>
      <c r="O6975" s="22" t="str">
        <f>HYPERLINK("https://pbs.twimg.com/profile_images/909466537974800384/PzLsz2iE_normal.jpg","View")</f>
        <v>View</v>
      </c>
      <c r="P6975" s="27"/>
    </row>
    <row r="6976">
      <c r="A6976" s="14">
        <v>43031.49623842593</v>
      </c>
      <c r="B6976" s="20" t="str">
        <f>HYPERLINK("https://twitter.com/emilyctamkin","@emilyctamkin")</f>
        <v>@emilyctamkin</v>
      </c>
      <c r="C6976" s="21" t="s">
        <v>15575</v>
      </c>
      <c r="D6976" s="21" t="s">
        <v>15576</v>
      </c>
      <c r="E6976" s="22" t="str">
        <f>HYPERLINK("https://twitter.com/emilyctamkin/status/922536746885230594","922536746885230594")</f>
        <v>922536746885230594</v>
      </c>
      <c r="F6976" s="23" t="s">
        <v>55</v>
      </c>
      <c r="G6976" s="24">
        <v>4934.0</v>
      </c>
      <c r="H6976" s="24">
        <v>2090.0</v>
      </c>
      <c r="I6976" s="24">
        <v>9.0</v>
      </c>
      <c r="J6976" s="24">
        <v>12.0</v>
      </c>
      <c r="K6976" s="23" t="s">
        <v>34</v>
      </c>
      <c r="L6976" s="25">
        <v>40892.84340277778</v>
      </c>
      <c r="M6976" s="28"/>
      <c r="N6976" s="26" t="s">
        <v>15577</v>
      </c>
      <c r="O6976" s="22" t="str">
        <f>HYPERLINK("https://pbs.twimg.com/profile_images/829444099837157377/F2zCvUGu_normal.jpg","View")</f>
        <v>View</v>
      </c>
      <c r="P6976" s="27"/>
    </row>
    <row r="6977">
      <c r="A6977" s="14">
        <v>43031.496342592596</v>
      </c>
      <c r="B6977" s="20" t="str">
        <f>HYPERLINK("https://twitter.com/PositiveInt","@PositiveInt")</f>
        <v>@PositiveInt</v>
      </c>
      <c r="C6977" s="21" t="s">
        <v>15578</v>
      </c>
      <c r="D6977" s="21" t="s">
        <v>14855</v>
      </c>
      <c r="E6977" s="22" t="str">
        <f>HYPERLINK("https://twitter.com/PositiveInt/status/922536784764030977","922536784764030977")</f>
        <v>922536784764030977</v>
      </c>
      <c r="F6977" s="23" t="s">
        <v>55</v>
      </c>
      <c r="G6977" s="24">
        <v>1327.0</v>
      </c>
      <c r="H6977" s="24">
        <v>1979.0</v>
      </c>
      <c r="I6977" s="24">
        <v>36.0</v>
      </c>
      <c r="J6977" s="24">
        <v>0.0</v>
      </c>
      <c r="K6977" s="23" t="s">
        <v>34</v>
      </c>
      <c r="L6977" s="25">
        <v>40809.43394675926</v>
      </c>
      <c r="M6977" s="26" t="s">
        <v>6241</v>
      </c>
      <c r="N6977" s="26" t="s">
        <v>15579</v>
      </c>
      <c r="O6977" s="22" t="str">
        <f>HYPERLINK("https://pbs.twimg.com/profile_images/922256341942571009/h0of_VNs_normal.jpg","View")</f>
        <v>View</v>
      </c>
      <c r="P6977" s="27"/>
    </row>
    <row r="6978">
      <c r="A6978" s="14">
        <v>43031.49641203704</v>
      </c>
      <c r="B6978" s="20" t="str">
        <f>HYPERLINK("https://twitter.com/xyz_100","@xyz_100")</f>
        <v>@xyz_100</v>
      </c>
      <c r="C6978" s="21" t="s">
        <v>15580</v>
      </c>
      <c r="D6978" s="21" t="s">
        <v>42</v>
      </c>
      <c r="E6978" s="22" t="str">
        <f>HYPERLINK("https://twitter.com/xyz_100/status/922536811779330048","922536811779330048")</f>
        <v>922536811779330048</v>
      </c>
      <c r="F6978" s="23" t="s">
        <v>33</v>
      </c>
      <c r="G6978" s="24">
        <v>136.0</v>
      </c>
      <c r="H6978" s="24">
        <v>277.0</v>
      </c>
      <c r="I6978" s="24">
        <v>8501.0</v>
      </c>
      <c r="J6978" s="24">
        <v>0.0</v>
      </c>
      <c r="K6978" s="23" t="s">
        <v>34</v>
      </c>
      <c r="L6978" s="25">
        <v>40807.44241898148</v>
      </c>
      <c r="M6978" s="28"/>
      <c r="N6978" s="28"/>
      <c r="O6978" s="22" t="str">
        <f>HYPERLINK("https://pbs.twimg.com/profile_images/879428003897327617/Ft8eYP8h_normal.jpg","View")</f>
        <v>View</v>
      </c>
      <c r="P6978" s="27"/>
    </row>
    <row r="6979">
      <c r="A6979" s="14">
        <v>43031.49643518518</v>
      </c>
      <c r="B6979" s="20" t="str">
        <f>HYPERLINK("https://twitter.com/ashutoshrawal","@ashutoshrawal")</f>
        <v>@ashutoshrawal</v>
      </c>
      <c r="C6979" s="21" t="s">
        <v>15581</v>
      </c>
      <c r="D6979" s="21" t="s">
        <v>42</v>
      </c>
      <c r="E6979" s="22" t="str">
        <f>HYPERLINK("https://twitter.com/ashutoshrawal/status/922536819996184577","922536819996184577")</f>
        <v>922536819996184577</v>
      </c>
      <c r="F6979" s="23" t="s">
        <v>33</v>
      </c>
      <c r="G6979" s="24">
        <v>150.0</v>
      </c>
      <c r="H6979" s="24">
        <v>222.0</v>
      </c>
      <c r="I6979" s="24">
        <v>8501.0</v>
      </c>
      <c r="J6979" s="24">
        <v>0.0</v>
      </c>
      <c r="K6979" s="23" t="s">
        <v>34</v>
      </c>
      <c r="L6979" s="25">
        <v>40275.39469907407</v>
      </c>
      <c r="M6979" s="28"/>
      <c r="N6979" s="26" t="s">
        <v>15582</v>
      </c>
      <c r="O6979" s="22" t="str">
        <f>HYPERLINK("https://pbs.twimg.com/profile_images/684237185227165702/yfT2dwoQ_normal.png","View")</f>
        <v>View</v>
      </c>
      <c r="P6979" s="27"/>
    </row>
    <row r="6980">
      <c r="A6980" s="14">
        <v>43031.49648148148</v>
      </c>
      <c r="B6980" s="20" t="str">
        <f>HYPERLINK("https://twitter.com/ForeignPolicy","@ForeignPolicy")</f>
        <v>@ForeignPolicy</v>
      </c>
      <c r="C6980" s="21" t="s">
        <v>15583</v>
      </c>
      <c r="D6980" s="21" t="s">
        <v>15584</v>
      </c>
      <c r="E6980" s="22" t="str">
        <f>HYPERLINK("https://twitter.com/ForeignPolicy/status/922536835422801921","922536835422801921")</f>
        <v>922536835422801921</v>
      </c>
      <c r="F6980" s="23" t="s">
        <v>769</v>
      </c>
      <c r="G6980" s="24">
        <v>970981.0</v>
      </c>
      <c r="H6980" s="24">
        <v>495.0</v>
      </c>
      <c r="I6980" s="24">
        <v>9.0</v>
      </c>
      <c r="J6980" s="24">
        <v>0.0</v>
      </c>
      <c r="K6980" s="23" t="s">
        <v>34</v>
      </c>
      <c r="L6980" s="25">
        <v>39898.41459490741</v>
      </c>
      <c r="M6980" s="28"/>
      <c r="N6980" s="26" t="s">
        <v>15585</v>
      </c>
      <c r="O6980" s="22" t="str">
        <f>HYPERLINK("https://pbs.twimg.com/profile_images/560557786350637057/GXv25iue_normal.png","View")</f>
        <v>View</v>
      </c>
      <c r="P6980" s="27"/>
    </row>
    <row r="6981">
      <c r="A6981" s="14">
        <v>43031.49715277778</v>
      </c>
      <c r="B6981" s="20" t="str">
        <f>HYPERLINK("https://twitter.com/Muninchedda","@Muninchedda")</f>
        <v>@Muninchedda</v>
      </c>
      <c r="C6981" s="21" t="s">
        <v>15586</v>
      </c>
      <c r="D6981" s="21" t="s">
        <v>15478</v>
      </c>
      <c r="E6981" s="22" t="str">
        <f>HYPERLINK("https://twitter.com/Muninchedda/status/922537079204208640","922537079204208640")</f>
        <v>922537079204208640</v>
      </c>
      <c r="F6981" s="23" t="s">
        <v>39</v>
      </c>
      <c r="G6981" s="24">
        <v>666.0</v>
      </c>
      <c r="H6981" s="24">
        <v>772.0</v>
      </c>
      <c r="I6981" s="24">
        <v>12.0</v>
      </c>
      <c r="J6981" s="24">
        <v>0.0</v>
      </c>
      <c r="K6981" s="23" t="s">
        <v>34</v>
      </c>
      <c r="L6981" s="25">
        <v>41154.370567129634</v>
      </c>
      <c r="M6981" s="26" t="s">
        <v>860</v>
      </c>
      <c r="N6981" s="26" t="s">
        <v>15587</v>
      </c>
      <c r="O6981" s="22" t="str">
        <f>HYPERLINK("https://pbs.twimg.com/profile_images/880557219519049728/LqMUvuMm_normal.jpg","View")</f>
        <v>View</v>
      </c>
      <c r="P6981" s="27"/>
    </row>
    <row r="6982">
      <c r="A6982" s="14">
        <v>43031.49716435185</v>
      </c>
      <c r="B6982" s="20" t="str">
        <f>HYPERLINK("https://twitter.com/jayant9711","@jayant9711")</f>
        <v>@jayant9711</v>
      </c>
      <c r="C6982" s="21" t="s">
        <v>15588</v>
      </c>
      <c r="D6982" s="21" t="s">
        <v>42</v>
      </c>
      <c r="E6982" s="22" t="str">
        <f>HYPERLINK("https://twitter.com/jayant9711/status/922537083939454977","922537083939454977")</f>
        <v>922537083939454977</v>
      </c>
      <c r="F6982" s="23" t="s">
        <v>39</v>
      </c>
      <c r="G6982" s="24">
        <v>134.0</v>
      </c>
      <c r="H6982" s="24">
        <v>497.0</v>
      </c>
      <c r="I6982" s="24">
        <v>8501.0</v>
      </c>
      <c r="J6982" s="24">
        <v>0.0</v>
      </c>
      <c r="K6982" s="23" t="s">
        <v>34</v>
      </c>
      <c r="L6982" s="25">
        <v>41972.408900462964</v>
      </c>
      <c r="M6982" s="26" t="s">
        <v>8637</v>
      </c>
      <c r="N6982" s="26" t="s">
        <v>15589</v>
      </c>
      <c r="O6982" s="22" t="str">
        <f>HYPERLINK("https://pbs.twimg.com/profile_images/895179729229283329/BWKygnSH_normal.jpg","View")</f>
        <v>View</v>
      </c>
      <c r="P6982" s="27"/>
    </row>
    <row r="6983">
      <c r="A6983" s="14">
        <v>43031.49740740741</v>
      </c>
      <c r="B6983" s="20" t="str">
        <f>HYPERLINK("https://twitter.com/modi_yug_sewak","@modi_yug_sewak")</f>
        <v>@modi_yug_sewak</v>
      </c>
      <c r="C6983" s="21" t="s">
        <v>15590</v>
      </c>
      <c r="D6983" s="21" t="s">
        <v>42</v>
      </c>
      <c r="E6983" s="22" t="str">
        <f>HYPERLINK("https://twitter.com/modi_yug_sewak/status/922537171935887362","922537171935887362")</f>
        <v>922537171935887362</v>
      </c>
      <c r="F6983" s="23" t="s">
        <v>33</v>
      </c>
      <c r="G6983" s="24">
        <v>172.0</v>
      </c>
      <c r="H6983" s="24">
        <v>202.0</v>
      </c>
      <c r="I6983" s="24">
        <v>8501.0</v>
      </c>
      <c r="J6983" s="24">
        <v>0.0</v>
      </c>
      <c r="K6983" s="23" t="s">
        <v>34</v>
      </c>
      <c r="L6983" s="25">
        <v>39915.274872685186</v>
      </c>
      <c r="M6983" s="26" t="s">
        <v>204</v>
      </c>
      <c r="N6983" s="26" t="s">
        <v>15591</v>
      </c>
      <c r="O6983" s="22" t="str">
        <f>HYPERLINK("https://pbs.twimg.com/profile_images/913689489221992448/Zh3tDCjS_normal.jpg","View")</f>
        <v>View</v>
      </c>
      <c r="P6983" s="27"/>
    </row>
    <row r="6984">
      <c r="A6984" s="14">
        <v>43031.49747685185</v>
      </c>
      <c r="B6984" s="20" t="str">
        <f>HYPERLINK("https://twitter.com/Worldnews_top","@Worldnews_top")</f>
        <v>@Worldnews_top</v>
      </c>
      <c r="C6984" s="21" t="s">
        <v>12096</v>
      </c>
      <c r="D6984" s="21" t="s">
        <v>15592</v>
      </c>
      <c r="E6984" s="22" t="str">
        <f>HYPERLINK("https://twitter.com/Worldnews_top/status/922537197621993472","922537197621993472")</f>
        <v>922537197621993472</v>
      </c>
      <c r="F6984" s="23" t="s">
        <v>187</v>
      </c>
      <c r="G6984" s="24">
        <v>1276.0</v>
      </c>
      <c r="H6984" s="24">
        <v>0.0</v>
      </c>
      <c r="I6984" s="24">
        <v>0.0</v>
      </c>
      <c r="J6984" s="24">
        <v>0.0</v>
      </c>
      <c r="K6984" s="23" t="s">
        <v>34</v>
      </c>
      <c r="L6984" s="25">
        <v>41708.28859953704</v>
      </c>
      <c r="M6984" s="26" t="s">
        <v>6022</v>
      </c>
      <c r="N6984" s="26" t="s">
        <v>12098</v>
      </c>
      <c r="O6984" s="22" t="str">
        <f>HYPERLINK("https://pbs.twimg.com/profile_images/443033125124198400/I3u-9cWC_normal.jpeg","View")</f>
        <v>View</v>
      </c>
      <c r="P6984" s="27"/>
    </row>
    <row r="6985">
      <c r="A6985" s="14">
        <v>43031.49747685185</v>
      </c>
      <c r="B6985" s="20" t="str">
        <f>HYPERLINK("https://twitter.com/Anon_Eu","@Anon_Eu")</f>
        <v>@Anon_Eu</v>
      </c>
      <c r="C6985" s="21" t="s">
        <v>3473</v>
      </c>
      <c r="D6985" s="21" t="s">
        <v>15593</v>
      </c>
      <c r="E6985" s="22" t="str">
        <f>HYPERLINK("https://twitter.com/Anon_Eu/status/922537198779490304","922537198779490304")</f>
        <v>922537198779490304</v>
      </c>
      <c r="F6985" s="30" t="s">
        <v>411</v>
      </c>
      <c r="G6985" s="24">
        <v>13134.0</v>
      </c>
      <c r="H6985" s="24">
        <v>6958.0</v>
      </c>
      <c r="I6985" s="24">
        <v>0.0</v>
      </c>
      <c r="J6985" s="24">
        <v>0.0</v>
      </c>
      <c r="K6985" s="23" t="s">
        <v>34</v>
      </c>
      <c r="L6985" s="25">
        <v>41161.59104166667</v>
      </c>
      <c r="M6985" s="26" t="s">
        <v>3475</v>
      </c>
      <c r="N6985" s="26" t="s">
        <v>3476</v>
      </c>
      <c r="O6985" s="22" t="str">
        <f>HYPERLINK("https://pbs.twimg.com/profile_images/839870179282669570/K5jLYmlF_normal.jpg","View")</f>
        <v>View</v>
      </c>
      <c r="P6985" s="27"/>
    </row>
    <row r="6986">
      <c r="A6986" s="14">
        <v>43031.49748842593</v>
      </c>
      <c r="B6986" s="20" t="str">
        <f>HYPERLINK("https://twitter.com/sr99news","@sr99news")</f>
        <v>@sr99news</v>
      </c>
      <c r="C6986" s="21" t="s">
        <v>15594</v>
      </c>
      <c r="D6986" s="21" t="s">
        <v>15595</v>
      </c>
      <c r="E6986" s="22" t="str">
        <f>HYPERLINK("https://twitter.com/sr99news/status/922537203523231744","922537203523231744")</f>
        <v>922537203523231744</v>
      </c>
      <c r="F6986" s="30" t="s">
        <v>411</v>
      </c>
      <c r="G6986" s="24">
        <v>573.0</v>
      </c>
      <c r="H6986" s="24">
        <v>952.0</v>
      </c>
      <c r="I6986" s="24">
        <v>0.0</v>
      </c>
      <c r="J6986" s="24">
        <v>0.0</v>
      </c>
      <c r="K6986" s="23" t="s">
        <v>34</v>
      </c>
      <c r="L6986" s="25">
        <v>41100.049166666664</v>
      </c>
      <c r="M6986" s="28"/>
      <c r="N6986" s="26" t="s">
        <v>15596</v>
      </c>
      <c r="O6986" s="22" t="str">
        <f>HYPERLINK("https://pbs.twimg.com/profile_images/2384492336/167468_453137031381197_1173533582_n_normal.jpg","View")</f>
        <v>View</v>
      </c>
      <c r="P6986" s="27"/>
    </row>
    <row r="6987">
      <c r="A6987" s="14">
        <v>43031.49748842593</v>
      </c>
      <c r="B6987" s="20" t="str">
        <f>HYPERLINK("https://twitter.com/bilalmansoor51","@bilalmansoor51")</f>
        <v>@bilalmansoor51</v>
      </c>
      <c r="C6987" s="21" t="s">
        <v>15597</v>
      </c>
      <c r="D6987" s="21" t="s">
        <v>15478</v>
      </c>
      <c r="E6987" s="22" t="str">
        <f>HYPERLINK("https://twitter.com/bilalmansoor51/status/922537203741462530","922537203741462530")</f>
        <v>922537203741462530</v>
      </c>
      <c r="F6987" s="23" t="s">
        <v>33</v>
      </c>
      <c r="G6987" s="24">
        <v>416.0</v>
      </c>
      <c r="H6987" s="24">
        <v>833.0</v>
      </c>
      <c r="I6987" s="24">
        <v>12.0</v>
      </c>
      <c r="J6987" s="24">
        <v>0.0</v>
      </c>
      <c r="K6987" s="23" t="s">
        <v>34</v>
      </c>
      <c r="L6987" s="25">
        <v>39864.57679398148</v>
      </c>
      <c r="M6987" s="26" t="s">
        <v>4111</v>
      </c>
      <c r="N6987" s="26" t="s">
        <v>15598</v>
      </c>
      <c r="O6987" s="22" t="str">
        <f>HYPERLINK("https://pbs.twimg.com/profile_images/877261193764679680/NRIAqhH0_normal.jpg","View")</f>
        <v>View</v>
      </c>
      <c r="P6987" s="27"/>
    </row>
    <row r="6988">
      <c r="A6988" s="14">
        <v>43031.497511574074</v>
      </c>
      <c r="B6988" s="20" t="str">
        <f>HYPERLINK("https://twitter.com/TheUrbanNewz","@TheUrbanNewz")</f>
        <v>@TheUrbanNewz</v>
      </c>
      <c r="C6988" s="21" t="s">
        <v>12237</v>
      </c>
      <c r="D6988" s="21" t="s">
        <v>15599</v>
      </c>
      <c r="E6988" s="22" t="str">
        <f>HYPERLINK("https://twitter.com/TheUrbanNewz/status/922537209760116736","922537209760116736")</f>
        <v>922537209760116736</v>
      </c>
      <c r="F6988" s="30" t="s">
        <v>411</v>
      </c>
      <c r="G6988" s="24">
        <v>445.0</v>
      </c>
      <c r="H6988" s="24">
        <v>251.0</v>
      </c>
      <c r="I6988" s="24">
        <v>0.0</v>
      </c>
      <c r="J6988" s="24">
        <v>0.0</v>
      </c>
      <c r="K6988" s="23" t="s">
        <v>34</v>
      </c>
      <c r="L6988" s="25">
        <v>42453.784212962964</v>
      </c>
      <c r="M6988" s="26" t="s">
        <v>6320</v>
      </c>
      <c r="N6988" s="26" t="s">
        <v>12239</v>
      </c>
      <c r="O6988" s="22" t="str">
        <f>HYPERLINK("https://pbs.twimg.com/profile_images/800960956184612865/G93myvRL_normal.jpg","View")</f>
        <v>View</v>
      </c>
      <c r="P6988" s="27"/>
    </row>
    <row r="6989">
      <c r="A6989" s="14">
        <v>43031.49752314815</v>
      </c>
      <c r="B6989" s="20" t="str">
        <f>HYPERLINK("https://twitter.com/catcp729","@catcp729")</f>
        <v>@catcp729</v>
      </c>
      <c r="C6989" s="21" t="s">
        <v>15600</v>
      </c>
      <c r="D6989" s="21" t="s">
        <v>14855</v>
      </c>
      <c r="E6989" s="22" t="str">
        <f>HYPERLINK("https://twitter.com/catcp729/status/922537212457177088","922537212457177088")</f>
        <v>922537212457177088</v>
      </c>
      <c r="F6989" s="23" t="s">
        <v>33</v>
      </c>
      <c r="G6989" s="24">
        <v>550.0</v>
      </c>
      <c r="H6989" s="24">
        <v>510.0</v>
      </c>
      <c r="I6989" s="24">
        <v>36.0</v>
      </c>
      <c r="J6989" s="24">
        <v>0.0</v>
      </c>
      <c r="K6989" s="23" t="s">
        <v>34</v>
      </c>
      <c r="L6989" s="25">
        <v>42396.33081018519</v>
      </c>
      <c r="M6989" s="28"/>
      <c r="N6989" s="26" t="s">
        <v>15601</v>
      </c>
      <c r="O6989" s="22" t="str">
        <f>HYPERLINK("https://pbs.twimg.com/profile_images/817041227816300547/9LliigJ0_normal.jpg","View")</f>
        <v>View</v>
      </c>
      <c r="P6989" s="27"/>
    </row>
    <row r="6990">
      <c r="A6990" s="14">
        <v>43031.49837962963</v>
      </c>
      <c r="B6990" s="20" t="str">
        <f>HYPERLINK("https://twitter.com/_Pragnik","@_Pragnik")</f>
        <v>@_Pragnik</v>
      </c>
      <c r="C6990" s="21" t="s">
        <v>15602</v>
      </c>
      <c r="D6990" s="21" t="s">
        <v>163</v>
      </c>
      <c r="E6990" s="22" t="str">
        <f>HYPERLINK("https://twitter.com/_Pragnik/status/922537525670899712","922537525670899712")</f>
        <v>922537525670899712</v>
      </c>
      <c r="F6990" s="23" t="s">
        <v>33</v>
      </c>
      <c r="G6990" s="24">
        <v>781.0</v>
      </c>
      <c r="H6990" s="24">
        <v>7.0</v>
      </c>
      <c r="I6990" s="24">
        <v>1005.0</v>
      </c>
      <c r="J6990" s="24">
        <v>0.0</v>
      </c>
      <c r="K6990" s="23" t="s">
        <v>34</v>
      </c>
      <c r="L6990" s="25">
        <v>42457.741747685184</v>
      </c>
      <c r="M6990" s="28"/>
      <c r="N6990" s="26" t="s">
        <v>15603</v>
      </c>
      <c r="O6990" s="22" t="str">
        <f>HYPERLINK("https://pbs.twimg.com/profile_images/865438481576624129/3rMR7Ldg_normal.jpg","View")</f>
        <v>View</v>
      </c>
      <c r="P6990" s="27"/>
    </row>
    <row r="6991">
      <c r="A6991" s="14">
        <v>43031.49840277778</v>
      </c>
      <c r="B6991" s="20" t="str">
        <f>HYPERLINK("https://twitter.com/benjaminhaddad","@benjaminhaddad")</f>
        <v>@benjaminhaddad</v>
      </c>
      <c r="C6991" s="21" t="s">
        <v>15604</v>
      </c>
      <c r="D6991" s="21" t="s">
        <v>15584</v>
      </c>
      <c r="E6991" s="22" t="str">
        <f>HYPERLINK("https://twitter.com/benjaminhaddad/status/922537535179542530","922537535179542530")</f>
        <v>922537535179542530</v>
      </c>
      <c r="F6991" s="23" t="s">
        <v>39</v>
      </c>
      <c r="G6991" s="24">
        <v>7152.0</v>
      </c>
      <c r="H6991" s="24">
        <v>1729.0</v>
      </c>
      <c r="I6991" s="24">
        <v>9.0</v>
      </c>
      <c r="J6991" s="24">
        <v>0.0</v>
      </c>
      <c r="K6991" s="23" t="s">
        <v>34</v>
      </c>
      <c r="L6991" s="25">
        <v>40231.06880787037</v>
      </c>
      <c r="M6991" s="26" t="s">
        <v>15605</v>
      </c>
      <c r="N6991" s="26" t="s">
        <v>15606</v>
      </c>
      <c r="O6991" s="22" t="str">
        <f>HYPERLINK("https://pbs.twimg.com/profile_images/920800446222127104/asXyQ5BT_normal.jpg","View")</f>
        <v>View</v>
      </c>
      <c r="P6991" s="27"/>
    </row>
    <row r="6992">
      <c r="A6992" s="14">
        <v>43031.49841435185</v>
      </c>
      <c r="B6992" s="20" t="str">
        <f>HYPERLINK("https://twitter.com/Anuraj90","@Anuraj90")</f>
        <v>@Anuraj90</v>
      </c>
      <c r="C6992" s="21" t="s">
        <v>15607</v>
      </c>
      <c r="D6992" s="21" t="s">
        <v>42</v>
      </c>
      <c r="E6992" s="22" t="str">
        <f>HYPERLINK("https://twitter.com/Anuraj90/status/922537535682748416","922537535682748416")</f>
        <v>922537535682748416</v>
      </c>
      <c r="F6992" s="23" t="s">
        <v>33</v>
      </c>
      <c r="G6992" s="24">
        <v>169.0</v>
      </c>
      <c r="H6992" s="24">
        <v>1830.0</v>
      </c>
      <c r="I6992" s="24">
        <v>8501.0</v>
      </c>
      <c r="J6992" s="24">
        <v>0.0</v>
      </c>
      <c r="K6992" s="23" t="s">
        <v>34</v>
      </c>
      <c r="L6992" s="25">
        <v>41239.876655092594</v>
      </c>
      <c r="M6992" s="26" t="s">
        <v>15608</v>
      </c>
      <c r="N6992" s="26" t="s">
        <v>15609</v>
      </c>
      <c r="O6992" s="22" t="str">
        <f>HYPERLINK("https://pbs.twimg.com/profile_images/922513548705591296/rrBhQc0-_normal.jpg","View")</f>
        <v>View</v>
      </c>
      <c r="P6992" s="27"/>
    </row>
    <row r="6993">
      <c r="A6993" s="14">
        <v>43031.498460648145</v>
      </c>
      <c r="B6993" s="20" t="str">
        <f>HYPERLINK("https://twitter.com/vikram_bugasara","@vikram_bugasara")</f>
        <v>@vikram_bugasara</v>
      </c>
      <c r="C6993" s="21" t="s">
        <v>15610</v>
      </c>
      <c r="D6993" s="21" t="s">
        <v>42</v>
      </c>
      <c r="E6993" s="22" t="str">
        <f>HYPERLINK("https://twitter.com/vikram_bugasara/status/922537554062094336","922537554062094336")</f>
        <v>922537554062094336</v>
      </c>
      <c r="F6993" s="23" t="s">
        <v>33</v>
      </c>
      <c r="G6993" s="24">
        <v>818.0</v>
      </c>
      <c r="H6993" s="24">
        <v>271.0</v>
      </c>
      <c r="I6993" s="24">
        <v>8501.0</v>
      </c>
      <c r="J6993" s="24">
        <v>0.0</v>
      </c>
      <c r="K6993" s="23" t="s">
        <v>34</v>
      </c>
      <c r="L6993" s="25">
        <v>41613.39130787037</v>
      </c>
      <c r="M6993" s="26" t="s">
        <v>15611</v>
      </c>
      <c r="N6993" s="26" t="s">
        <v>15612</v>
      </c>
      <c r="O6993" s="22" t="str">
        <f>HYPERLINK("https://pbs.twimg.com/profile_images/913229150558707712/rNansC4W_normal.jpg","View")</f>
        <v>View</v>
      </c>
      <c r="P6993" s="27"/>
    </row>
    <row r="6994">
      <c r="A6994" s="14">
        <v>43031.4984837963</v>
      </c>
      <c r="B6994" s="20" t="str">
        <f>HYPERLINK("https://twitter.com/3X04N0N","@3X04N0N")</f>
        <v>@3X04N0N</v>
      </c>
      <c r="C6994" s="21" t="s">
        <v>3927</v>
      </c>
      <c r="D6994" s="21" t="s">
        <v>15613</v>
      </c>
      <c r="E6994" s="22" t="str">
        <f>HYPERLINK("https://twitter.com/3X04N0N/status/922537562358648834","922537562358648834")</f>
        <v>922537562358648834</v>
      </c>
      <c r="F6994" s="23" t="s">
        <v>187</v>
      </c>
      <c r="G6994" s="24">
        <v>915.0</v>
      </c>
      <c r="H6994" s="24">
        <v>295.0</v>
      </c>
      <c r="I6994" s="24">
        <v>0.0</v>
      </c>
      <c r="J6994" s="24">
        <v>0.0</v>
      </c>
      <c r="K6994" s="23" t="s">
        <v>34</v>
      </c>
      <c r="L6994" s="25">
        <v>42066.56685185185</v>
      </c>
      <c r="M6994" s="28"/>
      <c r="N6994" s="26" t="s">
        <v>3929</v>
      </c>
      <c r="O6994" s="22" t="str">
        <f>HYPERLINK("https://pbs.twimg.com/profile_images/793550507205914625/qBVxzsrU_normal.jpg","View")</f>
        <v>View</v>
      </c>
      <c r="P6994" s="27"/>
    </row>
    <row r="6995">
      <c r="A6995" s="14">
        <v>43031.49849537037</v>
      </c>
      <c r="B6995" s="20" t="str">
        <f>HYPERLINK("https://twitter.com/davidalagarat","@davidalagarat")</f>
        <v>@davidalagarat</v>
      </c>
      <c r="C6995" s="21" t="s">
        <v>15614</v>
      </c>
      <c r="D6995" s="21" t="s">
        <v>12974</v>
      </c>
      <c r="E6995" s="22" t="str">
        <f>HYPERLINK("https://twitter.com/davidalagarat/status/922537568109039616","922537568109039616")</f>
        <v>922537568109039616</v>
      </c>
      <c r="F6995" s="23" t="s">
        <v>39</v>
      </c>
      <c r="G6995" s="24">
        <v>5.0</v>
      </c>
      <c r="H6995" s="24">
        <v>107.0</v>
      </c>
      <c r="I6995" s="24">
        <v>110.0</v>
      </c>
      <c r="J6995" s="24">
        <v>0.0</v>
      </c>
      <c r="K6995" s="23" t="s">
        <v>34</v>
      </c>
      <c r="L6995" s="25">
        <v>42591.01378472222</v>
      </c>
      <c r="M6995" s="26" t="s">
        <v>708</v>
      </c>
      <c r="N6995" s="28"/>
      <c r="O6995" s="22" t="str">
        <f>HYPERLINK("https://abs.twimg.com/sticky/default_profile_images/default_profile_normal.png","View")</f>
        <v>View</v>
      </c>
      <c r="P6995" s="27"/>
    </row>
    <row r="6996">
      <c r="A6996" s="14">
        <v>43031.498715277776</v>
      </c>
      <c r="B6996" s="20" t="str">
        <f>HYPERLINK("https://twitter.com/manojtiwari7070","@manojtiwari7070")</f>
        <v>@manojtiwari7070</v>
      </c>
      <c r="C6996" s="21" t="s">
        <v>15615</v>
      </c>
      <c r="D6996" s="21" t="s">
        <v>42</v>
      </c>
      <c r="E6996" s="22" t="str">
        <f>HYPERLINK("https://twitter.com/manojtiwari7070/status/922537648425545728","922537648425545728")</f>
        <v>922537648425545728</v>
      </c>
      <c r="F6996" s="23" t="s">
        <v>33</v>
      </c>
      <c r="G6996" s="24">
        <v>106.0</v>
      </c>
      <c r="H6996" s="24">
        <v>50.0</v>
      </c>
      <c r="I6996" s="24">
        <v>8501.0</v>
      </c>
      <c r="J6996" s="24">
        <v>0.0</v>
      </c>
      <c r="K6996" s="23" t="s">
        <v>34</v>
      </c>
      <c r="L6996" s="25">
        <v>42007.13214120371</v>
      </c>
      <c r="M6996" s="26" t="s">
        <v>15616</v>
      </c>
      <c r="N6996" s="26" t="s">
        <v>15617</v>
      </c>
      <c r="O6996" s="22" t="str">
        <f>HYPERLINK("https://pbs.twimg.com/profile_images/916377555443236865/sK-WR_bn_normal.jpg","View")</f>
        <v>View</v>
      </c>
      <c r="P6996" s="27"/>
    </row>
    <row r="6997">
      <c r="A6997" s="14">
        <v>43031.49875</v>
      </c>
      <c r="B6997" s="20" t="str">
        <f>HYPERLINK("https://twitter.com/Valuescreener","@Valuescreener")</f>
        <v>@Valuescreener</v>
      </c>
      <c r="C6997" s="21" t="s">
        <v>15618</v>
      </c>
      <c r="D6997" s="21" t="s">
        <v>15619</v>
      </c>
      <c r="E6997" s="22" t="str">
        <f>HYPERLINK("https://twitter.com/Valuescreener/status/922537657103724546","922537657103724546")</f>
        <v>922537657103724546</v>
      </c>
      <c r="F6997" s="23" t="s">
        <v>33</v>
      </c>
      <c r="G6997" s="24">
        <v>102.0</v>
      </c>
      <c r="H6997" s="24">
        <v>145.0</v>
      </c>
      <c r="I6997" s="24">
        <v>1.0</v>
      </c>
      <c r="J6997" s="24">
        <v>0.0</v>
      </c>
      <c r="K6997" s="23" t="s">
        <v>34</v>
      </c>
      <c r="L6997" s="25">
        <v>42688.418807870374</v>
      </c>
      <c r="M6997" s="26" t="s">
        <v>1250</v>
      </c>
      <c r="N6997" s="26" t="s">
        <v>15620</v>
      </c>
      <c r="O6997" s="22" t="str">
        <f>HYPERLINK("https://pbs.twimg.com/profile_images/798229101521866752/JRQkRjo9_normal.jpg","View")</f>
        <v>View</v>
      </c>
      <c r="P6997" s="27"/>
    </row>
    <row r="6998">
      <c r="A6998" s="14">
        <v>43031.49891203704</v>
      </c>
      <c r="B6998" s="20" t="str">
        <f>HYPERLINK("https://twitter.com/bcos_tv","@bcos_tv")</f>
        <v>@bcos_tv</v>
      </c>
      <c r="C6998" s="21" t="s">
        <v>15621</v>
      </c>
      <c r="D6998" s="21" t="s">
        <v>15622</v>
      </c>
      <c r="E6998" s="22" t="str">
        <f>HYPERLINK("https://twitter.com/bcos_tv/status/922537719800258561","922537719800258561")</f>
        <v>922537719800258561</v>
      </c>
      <c r="F6998" s="23" t="s">
        <v>15623</v>
      </c>
      <c r="G6998" s="24">
        <v>109.0</v>
      </c>
      <c r="H6998" s="24">
        <v>21.0</v>
      </c>
      <c r="I6998" s="24">
        <v>0.0</v>
      </c>
      <c r="J6998" s="24">
        <v>0.0</v>
      </c>
      <c r="K6998" s="23" t="s">
        <v>34</v>
      </c>
      <c r="L6998" s="25">
        <v>42885.50556712963</v>
      </c>
      <c r="M6998" s="28"/>
      <c r="N6998" s="28"/>
      <c r="O6998" s="22" t="str">
        <f>HYPERLINK("https://pbs.twimg.com/profile_images/875422066585022464/I3WXxvym_normal.jpg","View")</f>
        <v>View</v>
      </c>
      <c r="P6998" s="27"/>
    </row>
    <row r="6999">
      <c r="A6999" s="14">
        <v>43031.499189814815</v>
      </c>
      <c r="B6999" s="20" t="str">
        <f>HYPERLINK("https://twitter.com/kotomi1124","@kotomi1124")</f>
        <v>@kotomi1124</v>
      </c>
      <c r="C6999" s="21" t="s">
        <v>15258</v>
      </c>
      <c r="D6999" s="21" t="s">
        <v>42</v>
      </c>
      <c r="E6999" s="22" t="str">
        <f>HYPERLINK("https://twitter.com/kotomi1124/status/922537819393814528","922537819393814528")</f>
        <v>922537819393814528</v>
      </c>
      <c r="F6999" s="23" t="s">
        <v>33</v>
      </c>
      <c r="G6999" s="24">
        <v>469.0</v>
      </c>
      <c r="H6999" s="24">
        <v>705.0</v>
      </c>
      <c r="I6999" s="24">
        <v>8501.0</v>
      </c>
      <c r="J6999" s="24">
        <v>0.0</v>
      </c>
      <c r="K6999" s="23" t="s">
        <v>34</v>
      </c>
      <c r="L6999" s="25">
        <v>40189.246840277774</v>
      </c>
      <c r="M6999" s="26" t="s">
        <v>10001</v>
      </c>
      <c r="N6999" s="28"/>
      <c r="O6999" s="22" t="str">
        <f>HYPERLINK("https://pbs.twimg.com/profile_images/721140815460900864/CKqSU3NB_normal.jpg","View")</f>
        <v>View</v>
      </c>
      <c r="P6999" s="27"/>
    </row>
    <row r="7000">
      <c r="A7000" s="14">
        <v>43031.49923611111</v>
      </c>
      <c r="B7000" s="20" t="str">
        <f>HYPERLINK("https://twitter.com/watsupeurope","@watsupeurope")</f>
        <v>@watsupeurope</v>
      </c>
      <c r="C7000" s="21" t="s">
        <v>15624</v>
      </c>
      <c r="D7000" s="21" t="s">
        <v>15625</v>
      </c>
      <c r="E7000" s="22" t="str">
        <f>HYPERLINK("https://twitter.com/watsupeurope/status/922537836032745472","922537836032745472")</f>
        <v>922537836032745472</v>
      </c>
      <c r="F7000" s="23" t="s">
        <v>15626</v>
      </c>
      <c r="G7000" s="24">
        <v>4220.0</v>
      </c>
      <c r="H7000" s="24">
        <v>3116.0</v>
      </c>
      <c r="I7000" s="24">
        <v>0.0</v>
      </c>
      <c r="J7000" s="24">
        <v>0.0</v>
      </c>
      <c r="K7000" s="23" t="s">
        <v>34</v>
      </c>
      <c r="L7000" s="25">
        <v>42178.40994212963</v>
      </c>
      <c r="M7000" s="26" t="s">
        <v>860</v>
      </c>
      <c r="N7000" s="26" t="s">
        <v>15627</v>
      </c>
      <c r="O7000" s="22" t="str">
        <f>HYPERLINK("https://pbs.twimg.com/profile_images/613389327758815233/tfFM56SD_normal.jpg","View")</f>
        <v>View</v>
      </c>
      <c r="P7000" s="27"/>
    </row>
    <row r="7001">
      <c r="A7001" s="14">
        <v>43031.499293981484</v>
      </c>
      <c r="B7001" s="20" t="str">
        <f>HYPERLINK("https://twitter.com/Luketoconnell","@Luketoconnell")</f>
        <v>@Luketoconnell</v>
      </c>
      <c r="C7001" s="21" t="s">
        <v>15628</v>
      </c>
      <c r="D7001" s="21" t="s">
        <v>15584</v>
      </c>
      <c r="E7001" s="22" t="str">
        <f>HYPERLINK("https://twitter.com/Luketoconnell/status/922537858052886528","922537858052886528")</f>
        <v>922537858052886528</v>
      </c>
      <c r="F7001" s="23" t="s">
        <v>39</v>
      </c>
      <c r="G7001" s="24">
        <v>171.0</v>
      </c>
      <c r="H7001" s="24">
        <v>381.0</v>
      </c>
      <c r="I7001" s="24">
        <v>9.0</v>
      </c>
      <c r="J7001" s="24">
        <v>0.0</v>
      </c>
      <c r="K7001" s="23" t="s">
        <v>34</v>
      </c>
      <c r="L7001" s="25">
        <v>42761.48490740741</v>
      </c>
      <c r="M7001" s="26" t="s">
        <v>1250</v>
      </c>
      <c r="N7001" s="26" t="s">
        <v>15629</v>
      </c>
      <c r="O7001" s="22" t="str">
        <f>HYPERLINK("https://pbs.twimg.com/profile_images/885974384728576007/ABPG4Mtv_normal.jpg","View")</f>
        <v>View</v>
      </c>
      <c r="P7001" s="27"/>
    </row>
    <row r="7002">
      <c r="A7002" s="14">
        <v>43031.499710648146</v>
      </c>
      <c r="B7002" s="20" t="str">
        <f>HYPERLINK("https://twitter.com/market4justice","@market4justice")</f>
        <v>@market4justice</v>
      </c>
      <c r="C7002" s="21" t="s">
        <v>15630</v>
      </c>
      <c r="D7002" s="21" t="s">
        <v>15631</v>
      </c>
      <c r="E7002" s="22" t="str">
        <f>HYPERLINK("https://twitter.com/market4justice/status/922538006728314883","922538006728314883")</f>
        <v>922538006728314883</v>
      </c>
      <c r="F7002" s="23" t="s">
        <v>187</v>
      </c>
      <c r="G7002" s="24">
        <v>436.0</v>
      </c>
      <c r="H7002" s="24">
        <v>137.0</v>
      </c>
      <c r="I7002" s="24">
        <v>0.0</v>
      </c>
      <c r="J7002" s="24">
        <v>0.0</v>
      </c>
      <c r="K7002" s="23" t="s">
        <v>34</v>
      </c>
      <c r="L7002" s="25">
        <v>42184.44244212963</v>
      </c>
      <c r="M7002" s="26" t="s">
        <v>1961</v>
      </c>
      <c r="N7002" s="26" t="s">
        <v>15632</v>
      </c>
      <c r="O7002" s="22" t="str">
        <f>HYPERLINK("https://pbs.twimg.com/profile_images/615577051399983104/1B-CM5fS_normal.jpg","View")</f>
        <v>View</v>
      </c>
      <c r="P7002" s="27"/>
    </row>
    <row r="7003">
      <c r="A7003" s="14">
        <v>43031.49989583333</v>
      </c>
      <c r="B7003" s="20" t="str">
        <f>HYPERLINK("https://twitter.com/imax111","@imax111")</f>
        <v>@imax111</v>
      </c>
      <c r="C7003" s="21" t="s">
        <v>15633</v>
      </c>
      <c r="D7003" s="21" t="s">
        <v>15634</v>
      </c>
      <c r="E7003" s="22" t="str">
        <f>HYPERLINK("https://twitter.com/imax111/status/922538074055290881","922538074055290881")</f>
        <v>922538074055290881</v>
      </c>
      <c r="F7003" s="23" t="s">
        <v>187</v>
      </c>
      <c r="G7003" s="24">
        <v>911.0</v>
      </c>
      <c r="H7003" s="24">
        <v>0.0</v>
      </c>
      <c r="I7003" s="24">
        <v>0.0</v>
      </c>
      <c r="J7003" s="24">
        <v>0.0</v>
      </c>
      <c r="K7003" s="23" t="s">
        <v>34</v>
      </c>
      <c r="L7003" s="25">
        <v>39908.738958333335</v>
      </c>
      <c r="M7003" s="26" t="s">
        <v>8540</v>
      </c>
      <c r="N7003" s="26" t="s">
        <v>15635</v>
      </c>
      <c r="O7003" s="22" t="str">
        <f>HYPERLINK("https://pbs.twimg.com/profile_images/763262084264161280/P0rX_ZUd_normal.jpg","View")</f>
        <v>View</v>
      </c>
      <c r="P7003" s="27"/>
    </row>
    <row r="7004">
      <c r="A7004" s="14">
        <v>43031.5</v>
      </c>
      <c r="B7004" s="20" t="str">
        <f>HYPERLINK("https://twitter.com/cnnphilippines","@cnnphilippines")</f>
        <v>@cnnphilippines</v>
      </c>
      <c r="C7004" s="21" t="s">
        <v>15636</v>
      </c>
      <c r="D7004" s="21" t="s">
        <v>15637</v>
      </c>
      <c r="E7004" s="22" t="str">
        <f>HYPERLINK("https://twitter.com/cnnphilippines/status/922538113796206594","922538113796206594")</f>
        <v>922538113796206594</v>
      </c>
      <c r="F7004" s="23" t="s">
        <v>769</v>
      </c>
      <c r="G7004" s="24">
        <v>295052.0</v>
      </c>
      <c r="H7004" s="24">
        <v>334.0</v>
      </c>
      <c r="I7004" s="24">
        <v>2.0</v>
      </c>
      <c r="J7004" s="24">
        <v>13.0</v>
      </c>
      <c r="K7004" s="23" t="s">
        <v>34</v>
      </c>
      <c r="L7004" s="25">
        <v>41897.39402777778</v>
      </c>
      <c r="M7004" s="28"/>
      <c r="N7004" s="26" t="s">
        <v>15638</v>
      </c>
      <c r="O7004" s="22" t="str">
        <f>HYPERLINK("https://pbs.twimg.com/profile_images/897002013191397376/g8lh8ADZ_normal.jpg","View")</f>
        <v>View</v>
      </c>
      <c r="P7004" s="27"/>
    </row>
    <row r="7005">
      <c r="A7005" s="14">
        <v>43031.500497685185</v>
      </c>
      <c r="B7005" s="20" t="str">
        <f>HYPERLINK("https://twitter.com/shashikantk4","@shashikantk4")</f>
        <v>@shashikantk4</v>
      </c>
      <c r="C7005" s="21" t="s">
        <v>15639</v>
      </c>
      <c r="D7005" s="21" t="s">
        <v>163</v>
      </c>
      <c r="E7005" s="22" t="str">
        <f>HYPERLINK("https://twitter.com/shashikantk4/status/922538292779692032","922538292779692032")</f>
        <v>922538292779692032</v>
      </c>
      <c r="F7005" s="23" t="s">
        <v>33</v>
      </c>
      <c r="G7005" s="24">
        <v>1124.0</v>
      </c>
      <c r="H7005" s="24">
        <v>1725.0</v>
      </c>
      <c r="I7005" s="24">
        <v>1005.0</v>
      </c>
      <c r="J7005" s="24">
        <v>0.0</v>
      </c>
      <c r="K7005" s="23" t="s">
        <v>34</v>
      </c>
      <c r="L7005" s="25">
        <v>40092.33037037037</v>
      </c>
      <c r="M7005" s="28"/>
      <c r="N7005" s="26" t="s">
        <v>15640</v>
      </c>
      <c r="O7005" s="22" t="str">
        <f>HYPERLINK("https://pbs.twimg.com/profile_images/897130688784224256/jXrCa27H_normal.jpg","View")</f>
        <v>View</v>
      </c>
      <c r="P7005" s="27"/>
    </row>
    <row r="7006">
      <c r="A7006" s="14">
        <v>43031.50052083333</v>
      </c>
      <c r="B7006" s="20" t="str">
        <f>HYPERLINK("https://twitter.com/IordwoIf","@IordwoIf")</f>
        <v>@IordwoIf</v>
      </c>
      <c r="C7006" s="21" t="s">
        <v>10073</v>
      </c>
      <c r="D7006" s="21" t="s">
        <v>42</v>
      </c>
      <c r="E7006" s="22" t="str">
        <f>HYPERLINK("https://twitter.com/IordwoIf/status/922538301898346496","922538301898346496")</f>
        <v>922538301898346496</v>
      </c>
      <c r="F7006" s="23" t="s">
        <v>33</v>
      </c>
      <c r="G7006" s="24">
        <v>1.0</v>
      </c>
      <c r="H7006" s="24">
        <v>60.0</v>
      </c>
      <c r="I7006" s="24">
        <v>8501.0</v>
      </c>
      <c r="J7006" s="24">
        <v>0.0</v>
      </c>
      <c r="K7006" s="23" t="s">
        <v>34</v>
      </c>
      <c r="L7006" s="25">
        <v>43031.498564814814</v>
      </c>
      <c r="M7006" s="28"/>
      <c r="N7006" s="26" t="s">
        <v>15641</v>
      </c>
      <c r="O7006" s="22" t="str">
        <f>HYPERLINK("https://pbs.twimg.com/profile_images/922538220004564992/fbDrWWI8_normal.jpg","View")</f>
        <v>View</v>
      </c>
      <c r="P7006" s="27"/>
    </row>
    <row r="7007">
      <c r="A7007" s="14">
        <v>43031.500555555554</v>
      </c>
      <c r="B7007" s="20" t="str">
        <f>HYPERLINK("https://twitter.com/punjabimodern1","@punjabimodern1")</f>
        <v>@punjabimodern1</v>
      </c>
      <c r="C7007" s="21" t="s">
        <v>10048</v>
      </c>
      <c r="D7007" s="21" t="s">
        <v>15478</v>
      </c>
      <c r="E7007" s="22" t="str">
        <f>HYPERLINK("https://twitter.com/punjabimodern1/status/922538315408175104","922538315408175104")</f>
        <v>922538315408175104</v>
      </c>
      <c r="F7007" s="23" t="s">
        <v>55</v>
      </c>
      <c r="G7007" s="24">
        <v>1244.0</v>
      </c>
      <c r="H7007" s="24">
        <v>1442.0</v>
      </c>
      <c r="I7007" s="24">
        <v>12.0</v>
      </c>
      <c r="J7007" s="24">
        <v>0.0</v>
      </c>
      <c r="K7007" s="23" t="s">
        <v>34</v>
      </c>
      <c r="L7007" s="25">
        <v>41656.53048611111</v>
      </c>
      <c r="M7007" s="28"/>
      <c r="N7007" s="28"/>
      <c r="O7007" s="22" t="str">
        <f>HYPERLINK("https://pbs.twimg.com/profile_images/912014863718903813/qPjp9kdx_normal.jpg","View")</f>
        <v>View</v>
      </c>
      <c r="P7007" s="27"/>
    </row>
    <row r="7008">
      <c r="A7008" s="14">
        <v>43031.50057870371</v>
      </c>
      <c r="B7008" s="20" t="str">
        <f>HYPERLINK("https://twitter.com/RielRiderPh","@RielRiderPh")</f>
        <v>@RielRiderPh</v>
      </c>
      <c r="C7008" s="21" t="s">
        <v>3078</v>
      </c>
      <c r="D7008" s="21" t="s">
        <v>15642</v>
      </c>
      <c r="E7008" s="22" t="str">
        <f>HYPERLINK("https://twitter.com/RielRiderPh/status/922538320462336000","922538320462336000")</f>
        <v>922538320462336000</v>
      </c>
      <c r="F7008" s="23" t="s">
        <v>187</v>
      </c>
      <c r="G7008" s="24">
        <v>14.0</v>
      </c>
      <c r="H7008" s="24">
        <v>30.0</v>
      </c>
      <c r="I7008" s="24">
        <v>0.0</v>
      </c>
      <c r="J7008" s="24">
        <v>0.0</v>
      </c>
      <c r="K7008" s="23" t="s">
        <v>34</v>
      </c>
      <c r="L7008" s="25">
        <v>42744.010150462964</v>
      </c>
      <c r="M7008" s="28"/>
      <c r="N7008" s="28"/>
      <c r="O7008" s="22" t="str">
        <f>HYPERLINK("https://abs.twimg.com/sticky/default_profile_images/default_profile_normal.png","View")</f>
        <v>View</v>
      </c>
      <c r="P7008" s="27"/>
    </row>
    <row r="7009">
      <c r="A7009" s="14">
        <v>43031.50069444445</v>
      </c>
      <c r="B7009" s="20" t="str">
        <f>HYPERLINK("https://twitter.com/jaykrishna324","@jaykrishna324")</f>
        <v>@jaykrishna324</v>
      </c>
      <c r="C7009" s="21" t="s">
        <v>15643</v>
      </c>
      <c r="D7009" s="21" t="s">
        <v>42</v>
      </c>
      <c r="E7009" s="22" t="str">
        <f>HYPERLINK("https://twitter.com/jaykrishna324/status/922538365534085121","922538365534085121")</f>
        <v>922538365534085121</v>
      </c>
      <c r="F7009" s="23" t="s">
        <v>33</v>
      </c>
      <c r="G7009" s="24">
        <v>370.0</v>
      </c>
      <c r="H7009" s="24">
        <v>62.0</v>
      </c>
      <c r="I7009" s="24">
        <v>8501.0</v>
      </c>
      <c r="J7009" s="24">
        <v>0.0</v>
      </c>
      <c r="K7009" s="23" t="s">
        <v>34</v>
      </c>
      <c r="L7009" s="25">
        <v>42522.096608796295</v>
      </c>
      <c r="M7009" s="26" t="s">
        <v>15644</v>
      </c>
      <c r="N7009" s="26" t="s">
        <v>15645</v>
      </c>
      <c r="O7009" s="22" t="str">
        <f>HYPERLINK("https://pbs.twimg.com/profile_images/906726670220058625/OD6QriES_normal.jpg","View")</f>
        <v>View</v>
      </c>
      <c r="P7009" s="27"/>
    </row>
    <row r="7010">
      <c r="A7010" s="14">
        <v>43031.50071759259</v>
      </c>
      <c r="B7010" s="20" t="str">
        <f>HYPERLINK("https://twitter.com/SRiyer41","@SRiyer41")</f>
        <v>@SRiyer41</v>
      </c>
      <c r="C7010" s="21" t="s">
        <v>15646</v>
      </c>
      <c r="D7010" s="21" t="s">
        <v>42</v>
      </c>
      <c r="E7010" s="22" t="str">
        <f>HYPERLINK("https://twitter.com/SRiyer41/status/922538370886258689","922538370886258689")</f>
        <v>922538370886258689</v>
      </c>
      <c r="F7010" s="23" t="s">
        <v>39</v>
      </c>
      <c r="G7010" s="24">
        <v>6.0</v>
      </c>
      <c r="H7010" s="24">
        <v>67.0</v>
      </c>
      <c r="I7010" s="24">
        <v>8501.0</v>
      </c>
      <c r="J7010" s="24">
        <v>0.0</v>
      </c>
      <c r="K7010" s="23" t="s">
        <v>34</v>
      </c>
      <c r="L7010" s="25">
        <v>42869.83405092593</v>
      </c>
      <c r="M7010" s="28"/>
      <c r="N7010" s="28"/>
      <c r="O7010" s="22" t="str">
        <f>HYPERLINK("https://abs.twimg.com/sticky/default_profile_images/default_profile_normal.png","View")</f>
        <v>View</v>
      </c>
      <c r="P7010" s="27"/>
    </row>
    <row r="7011">
      <c r="A7011" s="14">
        <v>43031.50108796296</v>
      </c>
      <c r="B7011" s="20" t="str">
        <f>HYPERLINK("https://twitter.com/renegadestyle","@renegadestyle")</f>
        <v>@renegadestyle</v>
      </c>
      <c r="C7011" s="21" t="s">
        <v>15647</v>
      </c>
      <c r="D7011" s="21" t="s">
        <v>10614</v>
      </c>
      <c r="E7011" s="22" t="str">
        <f>HYPERLINK("https://twitter.com/renegadestyle/status/922538504940384257","922538504940384257")</f>
        <v>922538504940384257</v>
      </c>
      <c r="F7011" s="23" t="s">
        <v>55</v>
      </c>
      <c r="G7011" s="24">
        <v>11079.0</v>
      </c>
      <c r="H7011" s="24">
        <v>8383.0</v>
      </c>
      <c r="I7011" s="24">
        <v>159.0</v>
      </c>
      <c r="J7011" s="24">
        <v>0.0</v>
      </c>
      <c r="K7011" s="23" t="s">
        <v>34</v>
      </c>
      <c r="L7011" s="25">
        <v>40011.55012731481</v>
      </c>
      <c r="M7011" s="26" t="s">
        <v>15648</v>
      </c>
      <c r="N7011" s="26" t="s">
        <v>15649</v>
      </c>
      <c r="O7011" s="22" t="str">
        <f>HYPERLINK("https://pbs.twimg.com/profile_images/543466501903101952/ugOzSwzq_normal.jpeg","View")</f>
        <v>View</v>
      </c>
      <c r="P7011" s="27"/>
    </row>
    <row r="7012">
      <c r="A7012" s="14">
        <v>43031.501168981486</v>
      </c>
      <c r="B7012" s="20" t="str">
        <f>HYPERLINK("https://twitter.com/ChadIssac_","@ChadIssac_")</f>
        <v>@ChadIssac_</v>
      </c>
      <c r="C7012" s="21" t="s">
        <v>15650</v>
      </c>
      <c r="D7012" s="21" t="s">
        <v>6403</v>
      </c>
      <c r="E7012" s="22" t="str">
        <f>HYPERLINK("https://twitter.com/ChadIssac_/status/922538535315558400","922538535315558400")</f>
        <v>922538535315558400</v>
      </c>
      <c r="F7012" s="23" t="s">
        <v>39</v>
      </c>
      <c r="G7012" s="24">
        <v>646.0</v>
      </c>
      <c r="H7012" s="24">
        <v>51.0</v>
      </c>
      <c r="I7012" s="24">
        <v>97.0</v>
      </c>
      <c r="J7012" s="24">
        <v>0.0</v>
      </c>
      <c r="K7012" s="23" t="s">
        <v>34</v>
      </c>
      <c r="L7012" s="25">
        <v>42835.586006944446</v>
      </c>
      <c r="M7012" s="26" t="s">
        <v>15651</v>
      </c>
      <c r="N7012" s="28"/>
      <c r="O7012" s="22" t="str">
        <f>HYPERLINK("https://pbs.twimg.com/profile_images/918877773938200577/KrwhHcEO_normal.jpg","View")</f>
        <v>View</v>
      </c>
      <c r="P7012" s="27"/>
    </row>
    <row r="7013">
      <c r="A7013" s="14">
        <v>43031.50145833333</v>
      </c>
      <c r="B7013" s="20" t="str">
        <f>HYPERLINK("https://twitter.com/AndrewJPelling","@AndrewJPelling")</f>
        <v>@AndrewJPelling</v>
      </c>
      <c r="C7013" s="21" t="s">
        <v>15652</v>
      </c>
      <c r="D7013" s="21" t="s">
        <v>15653</v>
      </c>
      <c r="E7013" s="22" t="str">
        <f>HYPERLINK("https://twitter.com/AndrewJPelling/status/922538638646366208","922538638646366208")</f>
        <v>922538638646366208</v>
      </c>
      <c r="F7013" s="23" t="s">
        <v>55</v>
      </c>
      <c r="G7013" s="24">
        <v>2104.0</v>
      </c>
      <c r="H7013" s="24">
        <v>2537.0</v>
      </c>
      <c r="I7013" s="24">
        <v>0.0</v>
      </c>
      <c r="J7013" s="24">
        <v>1.0</v>
      </c>
      <c r="K7013" s="23" t="s">
        <v>34</v>
      </c>
      <c r="L7013" s="25">
        <v>40671.21371527778</v>
      </c>
      <c r="M7013" s="26" t="s">
        <v>15654</v>
      </c>
      <c r="N7013" s="28"/>
      <c r="O7013" s="22" t="str">
        <f>HYPERLINK("https://pbs.twimg.com/profile_images/1351813378/Pelling_pic_normal.jpg","View")</f>
        <v>View</v>
      </c>
      <c r="P7013" s="27"/>
    </row>
    <row r="7014">
      <c r="A7014" s="14">
        <v>43031.50148148148</v>
      </c>
      <c r="B7014" s="20" t="str">
        <f>HYPERLINK("https://twitter.com/will_ekisa","@will_ekisa")</f>
        <v>@will_ekisa</v>
      </c>
      <c r="C7014" s="21" t="s">
        <v>15655</v>
      </c>
      <c r="D7014" s="21" t="s">
        <v>32</v>
      </c>
      <c r="E7014" s="22" t="str">
        <f>HYPERLINK("https://twitter.com/will_ekisa/status/922538648771481600","922538648771481600")</f>
        <v>922538648771481600</v>
      </c>
      <c r="F7014" s="23" t="s">
        <v>33</v>
      </c>
      <c r="G7014" s="24">
        <v>157.0</v>
      </c>
      <c r="H7014" s="24">
        <v>122.0</v>
      </c>
      <c r="I7014" s="24">
        <v>471.0</v>
      </c>
      <c r="J7014" s="24">
        <v>0.0</v>
      </c>
      <c r="K7014" s="23" t="s">
        <v>34</v>
      </c>
      <c r="L7014" s="25">
        <v>41226.205405092594</v>
      </c>
      <c r="M7014" s="26" t="s">
        <v>282</v>
      </c>
      <c r="N7014" s="26" t="s">
        <v>15656</v>
      </c>
      <c r="O7014" s="22" t="str">
        <f>HYPERLINK("https://pbs.twimg.com/profile_images/563818830582284289/_pISBIJL_normal.jpeg","View")</f>
        <v>View</v>
      </c>
      <c r="P7014" s="27"/>
    </row>
    <row r="7015">
      <c r="A7015" s="14">
        <v>43031.50194444445</v>
      </c>
      <c r="B7015" s="20" t="str">
        <f>HYPERLINK("https://twitter.com/narupanya","@narupanya")</f>
        <v>@narupanya</v>
      </c>
      <c r="C7015" s="21" t="s">
        <v>15657</v>
      </c>
      <c r="D7015" s="21" t="s">
        <v>42</v>
      </c>
      <c r="E7015" s="22" t="str">
        <f>HYPERLINK("https://twitter.com/narupanya/status/922538815629099008","922538815629099008")</f>
        <v>922538815629099008</v>
      </c>
      <c r="F7015" s="23" t="s">
        <v>55</v>
      </c>
      <c r="G7015" s="24">
        <v>110.0</v>
      </c>
      <c r="H7015" s="24">
        <v>188.0</v>
      </c>
      <c r="I7015" s="24">
        <v>8501.0</v>
      </c>
      <c r="J7015" s="24">
        <v>0.0</v>
      </c>
      <c r="K7015" s="23" t="s">
        <v>34</v>
      </c>
      <c r="L7015" s="25">
        <v>41839.34649305556</v>
      </c>
      <c r="M7015" s="26" t="s">
        <v>15658</v>
      </c>
      <c r="N7015" s="26" t="s">
        <v>15659</v>
      </c>
      <c r="O7015" s="22" t="str">
        <f>HYPERLINK("https://pbs.twimg.com/profile_images/791293535286730752/GNnE5kLm_normal.jpg","View")</f>
        <v>View</v>
      </c>
      <c r="P7015" s="27"/>
    </row>
    <row r="7016">
      <c r="A7016" s="14">
        <v>43031.502013888894</v>
      </c>
      <c r="B7016" s="20" t="str">
        <f>HYPERLINK("https://twitter.com/PMoallemian","@PMoallemian")</f>
        <v>@PMoallemian</v>
      </c>
      <c r="C7016" s="21" t="s">
        <v>1959</v>
      </c>
      <c r="D7016" s="21" t="s">
        <v>15660</v>
      </c>
      <c r="E7016" s="22" t="str">
        <f>HYPERLINK("https://twitter.com/PMoallemian/status/922538841910726656","922538841910726656")</f>
        <v>922538841910726656</v>
      </c>
      <c r="F7016" s="23" t="s">
        <v>187</v>
      </c>
      <c r="G7016" s="24">
        <v>5102.0</v>
      </c>
      <c r="H7016" s="24">
        <v>90.0</v>
      </c>
      <c r="I7016" s="24">
        <v>0.0</v>
      </c>
      <c r="J7016" s="24">
        <v>0.0</v>
      </c>
      <c r="K7016" s="23" t="s">
        <v>34</v>
      </c>
      <c r="L7016" s="25">
        <v>39556.68920138889</v>
      </c>
      <c r="M7016" s="26" t="s">
        <v>1961</v>
      </c>
      <c r="N7016" s="26" t="s">
        <v>1962</v>
      </c>
      <c r="O7016" s="22" t="str">
        <f>HYPERLINK("https://pbs.twimg.com/profile_images/2383496814/8p8tjkit7a1nmjrarib6_normal.jpeg","View")</f>
        <v>View</v>
      </c>
      <c r="P7016" s="27"/>
    </row>
    <row r="7017">
      <c r="A7017" s="14">
        <v>43031.502187499995</v>
      </c>
      <c r="B7017" s="20" t="str">
        <f>HYPERLINK("https://twitter.com/Zeromen0","@Zeromen0")</f>
        <v>@Zeromen0</v>
      </c>
      <c r="C7017" s="21" t="s">
        <v>15661</v>
      </c>
      <c r="D7017" s="21" t="s">
        <v>15584</v>
      </c>
      <c r="E7017" s="22" t="str">
        <f>HYPERLINK("https://twitter.com/Zeromen0/status/922538905903271937","922538905903271937")</f>
        <v>922538905903271937</v>
      </c>
      <c r="F7017" s="23" t="s">
        <v>43</v>
      </c>
      <c r="G7017" s="24">
        <v>608.0</v>
      </c>
      <c r="H7017" s="24">
        <v>2338.0</v>
      </c>
      <c r="I7017" s="24">
        <v>9.0</v>
      </c>
      <c r="J7017" s="24">
        <v>0.0</v>
      </c>
      <c r="K7017" s="23" t="s">
        <v>34</v>
      </c>
      <c r="L7017" s="25">
        <v>42583.5412037037</v>
      </c>
      <c r="M7017" s="26" t="s">
        <v>15662</v>
      </c>
      <c r="N7017" s="26" t="s">
        <v>15663</v>
      </c>
      <c r="O7017" s="22" t="str">
        <f>HYPERLINK("https://pbs.twimg.com/profile_images/760217261831557124/ET8Fu9MQ_normal.jpg","View")</f>
        <v>View</v>
      </c>
      <c r="P7017" s="27"/>
    </row>
    <row r="7018">
      <c r="A7018" s="14">
        <v>43031.5025</v>
      </c>
      <c r="B7018" s="20" t="str">
        <f>HYPERLINK("https://twitter.com/vivek08shukla","@vivek08shukla")</f>
        <v>@vivek08shukla</v>
      </c>
      <c r="C7018" s="21" t="s">
        <v>15664</v>
      </c>
      <c r="D7018" s="21" t="s">
        <v>42</v>
      </c>
      <c r="E7018" s="22" t="str">
        <f>HYPERLINK("https://twitter.com/vivek08shukla/status/922539016251166720","922539016251166720")</f>
        <v>922539016251166720</v>
      </c>
      <c r="F7018" s="23" t="s">
        <v>33</v>
      </c>
      <c r="G7018" s="24">
        <v>666.0</v>
      </c>
      <c r="H7018" s="24">
        <v>564.0</v>
      </c>
      <c r="I7018" s="24">
        <v>8501.0</v>
      </c>
      <c r="J7018" s="24">
        <v>0.0</v>
      </c>
      <c r="K7018" s="23" t="s">
        <v>34</v>
      </c>
      <c r="L7018" s="25">
        <v>40956.81045138889</v>
      </c>
      <c r="M7018" s="26" t="s">
        <v>15665</v>
      </c>
      <c r="N7018" s="26" t="s">
        <v>15666</v>
      </c>
      <c r="O7018" s="22" t="str">
        <f>HYPERLINK("https://pbs.twimg.com/profile_images/922191399746801664/_YSV9ysL_normal.jpg","View")</f>
        <v>View</v>
      </c>
      <c r="P7018" s="27"/>
    </row>
    <row r="7019">
      <c r="A7019" s="14">
        <v>43031.50251157407</v>
      </c>
      <c r="B7019" s="20" t="str">
        <f>HYPERLINK("https://twitter.com/i__Global","@i__Global")</f>
        <v>@i__Global</v>
      </c>
      <c r="C7019" s="21" t="s">
        <v>9685</v>
      </c>
      <c r="D7019" s="21" t="s">
        <v>9686</v>
      </c>
      <c r="E7019" s="22" t="str">
        <f>HYPERLINK("https://twitter.com/i__Global/status/922539023746392064","922539023746392064")</f>
        <v>922539023746392064</v>
      </c>
      <c r="F7019" s="23" t="s">
        <v>187</v>
      </c>
      <c r="G7019" s="24">
        <v>320.0</v>
      </c>
      <c r="H7019" s="24">
        <v>541.0</v>
      </c>
      <c r="I7019" s="24">
        <v>0.0</v>
      </c>
      <c r="J7019" s="24">
        <v>0.0</v>
      </c>
      <c r="K7019" s="23" t="s">
        <v>34</v>
      </c>
      <c r="L7019" s="25">
        <v>41975.42964120371</v>
      </c>
      <c r="M7019" s="26" t="s">
        <v>2068</v>
      </c>
      <c r="N7019" s="28"/>
      <c r="O7019" s="22" t="str">
        <f>HYPERLINK("https://pbs.twimg.com/profile_images/539846499421532160/RQ0XgLb__normal.png","View")</f>
        <v>View</v>
      </c>
      <c r="P7019" s="27"/>
    </row>
    <row r="7020">
      <c r="A7020" s="14">
        <v>43031.50259259259</v>
      </c>
      <c r="B7020" s="20" t="str">
        <f>HYPERLINK("https://twitter.com/Lou_Dar","@Lou_Dar")</f>
        <v>@Lou_Dar</v>
      </c>
      <c r="C7020" s="21" t="s">
        <v>15667</v>
      </c>
      <c r="D7020" s="21" t="s">
        <v>32</v>
      </c>
      <c r="E7020" s="22" t="str">
        <f>HYPERLINK("https://twitter.com/Lou_Dar/status/922539050426425345","922539050426425345")</f>
        <v>922539050426425345</v>
      </c>
      <c r="F7020" s="23" t="s">
        <v>33</v>
      </c>
      <c r="G7020" s="24">
        <v>1784.0</v>
      </c>
      <c r="H7020" s="24">
        <v>741.0</v>
      </c>
      <c r="I7020" s="24">
        <v>471.0</v>
      </c>
      <c r="J7020" s="24">
        <v>0.0</v>
      </c>
      <c r="K7020" s="23" t="s">
        <v>34</v>
      </c>
      <c r="L7020" s="25">
        <v>40550.20712962963</v>
      </c>
      <c r="M7020" s="26" t="s">
        <v>15668</v>
      </c>
      <c r="N7020" s="26" t="s">
        <v>15669</v>
      </c>
      <c r="O7020" s="22" t="str">
        <f>HYPERLINK("https://pbs.twimg.com/profile_images/918137733008179200/PR2sTdYC_normal.jpg","View")</f>
        <v>View</v>
      </c>
      <c r="P7020" s="27"/>
    </row>
    <row r="7021">
      <c r="A7021" s="14">
        <v>43031.50267361111</v>
      </c>
      <c r="B7021" s="20" t="str">
        <f>HYPERLINK("https://twitter.com/autobloglobal","@autobloglobal")</f>
        <v>@autobloglobal</v>
      </c>
      <c r="C7021" s="21" t="s">
        <v>15670</v>
      </c>
      <c r="D7021" s="21" t="s">
        <v>15671</v>
      </c>
      <c r="E7021" s="22" t="str">
        <f>HYPERLINK("https://twitter.com/autobloglobal/status/922539082315718657","922539082315718657")</f>
        <v>922539082315718657</v>
      </c>
      <c r="F7021" s="23" t="s">
        <v>187</v>
      </c>
      <c r="G7021" s="24">
        <v>65.0</v>
      </c>
      <c r="H7021" s="24">
        <v>41.0</v>
      </c>
      <c r="I7021" s="24">
        <v>0.0</v>
      </c>
      <c r="J7021" s="24">
        <v>0.0</v>
      </c>
      <c r="K7021" s="23" t="s">
        <v>34</v>
      </c>
      <c r="L7021" s="25">
        <v>42211.19038194444</v>
      </c>
      <c r="M7021" s="28"/>
      <c r="N7021" s="28"/>
      <c r="O7021" s="22" t="str">
        <f>HYPERLINK("https://pbs.twimg.com/profile_images/625467864703746048/8OnaTy3L_normal.png","View")</f>
        <v>View</v>
      </c>
      <c r="P7021" s="27"/>
    </row>
    <row r="7022">
      <c r="A7022" s="14">
        <v>43031.50270833333</v>
      </c>
      <c r="B7022" s="20" t="str">
        <f>HYPERLINK("https://twitter.com/KoreaCenterHQ","@KoreaCenterHQ")</f>
        <v>@KoreaCenterHQ</v>
      </c>
      <c r="C7022" s="21" t="s">
        <v>3956</v>
      </c>
      <c r="D7022" s="21" t="s">
        <v>15672</v>
      </c>
      <c r="E7022" s="22" t="str">
        <f>HYPERLINK("https://twitter.com/KoreaCenterHQ/status/922539094974042112","922539094974042112")</f>
        <v>922539094974042112</v>
      </c>
      <c r="F7022" s="23" t="s">
        <v>187</v>
      </c>
      <c r="G7022" s="24">
        <v>71.0</v>
      </c>
      <c r="H7022" s="24">
        <v>5.0</v>
      </c>
      <c r="I7022" s="24">
        <v>0.0</v>
      </c>
      <c r="J7022" s="24">
        <v>0.0</v>
      </c>
      <c r="K7022" s="23" t="s">
        <v>34</v>
      </c>
      <c r="L7022" s="25">
        <v>42259.78550925926</v>
      </c>
      <c r="M7022" s="26" t="s">
        <v>3958</v>
      </c>
      <c r="N7022" s="26" t="s">
        <v>3959</v>
      </c>
      <c r="O7022" s="22" t="str">
        <f>HYPERLINK("https://pbs.twimg.com/profile_images/902288054987182080/2Zsh6ms3_normal.jpg","View")</f>
        <v>View</v>
      </c>
      <c r="P7022" s="27"/>
    </row>
    <row r="7023">
      <c r="A7023" s="14">
        <v>43031.502858796295</v>
      </c>
      <c r="B7023" s="20" t="str">
        <f>HYPERLINK("https://twitter.com/XanderNerdski","@XanderNerdski")</f>
        <v>@XanderNerdski</v>
      </c>
      <c r="C7023" s="21" t="s">
        <v>15673</v>
      </c>
      <c r="D7023" s="21" t="s">
        <v>15478</v>
      </c>
      <c r="E7023" s="22" t="str">
        <f>HYPERLINK("https://twitter.com/XanderNerdski/status/922539150032678912","922539150032678912")</f>
        <v>922539150032678912</v>
      </c>
      <c r="F7023" s="23" t="s">
        <v>55</v>
      </c>
      <c r="G7023" s="24">
        <v>245.0</v>
      </c>
      <c r="H7023" s="24">
        <v>676.0</v>
      </c>
      <c r="I7023" s="24">
        <v>12.0</v>
      </c>
      <c r="J7023" s="24">
        <v>0.0</v>
      </c>
      <c r="K7023" s="23" t="s">
        <v>34</v>
      </c>
      <c r="L7023" s="25">
        <v>40736.63344907407</v>
      </c>
      <c r="M7023" s="26" t="s">
        <v>15674</v>
      </c>
      <c r="N7023" s="26" t="s">
        <v>15675</v>
      </c>
      <c r="O7023" s="22" t="str">
        <f>HYPERLINK("https://pbs.twimg.com/profile_images/1499231337/HeadCropped3_normal.jpg","View")</f>
        <v>View</v>
      </c>
      <c r="P7023" s="27"/>
    </row>
    <row r="7024">
      <c r="A7024" s="14">
        <v>43031.50297453704</v>
      </c>
      <c r="B7024" s="20" t="str">
        <f>HYPERLINK("https://twitter.com/itallo_023","@itallo_023")</f>
        <v>@itallo_023</v>
      </c>
      <c r="C7024" s="21" t="s">
        <v>15676</v>
      </c>
      <c r="D7024" s="21" t="s">
        <v>15677</v>
      </c>
      <c r="E7024" s="22" t="str">
        <f>HYPERLINK("https://twitter.com/itallo_023/status/922539192055418880","922539192055418880")</f>
        <v>922539192055418880</v>
      </c>
      <c r="F7024" s="23" t="s">
        <v>33</v>
      </c>
      <c r="G7024" s="24">
        <v>340.0</v>
      </c>
      <c r="H7024" s="24">
        <v>303.0</v>
      </c>
      <c r="I7024" s="24">
        <v>2.0</v>
      </c>
      <c r="J7024" s="24">
        <v>0.0</v>
      </c>
      <c r="K7024" s="23" t="s">
        <v>34</v>
      </c>
      <c r="L7024" s="25">
        <v>41061.11512731481</v>
      </c>
      <c r="M7024" s="28"/>
      <c r="N7024" s="26" t="s">
        <v>15678</v>
      </c>
      <c r="O7024" s="22" t="str">
        <f>HYPERLINK("https://pbs.twimg.com/profile_images/881115162144641024/EPkZAq_x_normal.jpg","View")</f>
        <v>View</v>
      </c>
      <c r="P7024" s="27"/>
    </row>
    <row r="7025">
      <c r="A7025" s="14">
        <v>43031.503287037034</v>
      </c>
      <c r="B7025" s="20" t="str">
        <f>HYPERLINK("https://twitter.com/dfutoryan","@dfutoryan")</f>
        <v>@dfutoryan</v>
      </c>
      <c r="C7025" s="21" t="s">
        <v>15679</v>
      </c>
      <c r="D7025" s="21" t="s">
        <v>15680</v>
      </c>
      <c r="E7025" s="22" t="str">
        <f>HYPERLINK("https://twitter.com/dfutoryan/status/922539302243983361","922539302243983361")</f>
        <v>922539302243983361</v>
      </c>
      <c r="F7025" s="23" t="s">
        <v>48</v>
      </c>
      <c r="G7025" s="24">
        <v>460.0</v>
      </c>
      <c r="H7025" s="24">
        <v>996.0</v>
      </c>
      <c r="I7025" s="24">
        <v>0.0</v>
      </c>
      <c r="J7025" s="24">
        <v>0.0</v>
      </c>
      <c r="K7025" s="23" t="s">
        <v>34</v>
      </c>
      <c r="L7025" s="25">
        <v>39650.752071759256</v>
      </c>
      <c r="M7025" s="26" t="s">
        <v>389</v>
      </c>
      <c r="N7025" s="26" t="s">
        <v>15681</v>
      </c>
      <c r="O7025" s="22" t="str">
        <f>HYPERLINK("https://pbs.twimg.com/profile_images/538820424680079361/kh3x5wv9_normal.jpeg","View")</f>
        <v>View</v>
      </c>
      <c r="P7025" s="27"/>
    </row>
    <row r="7026">
      <c r="A7026" s="14">
        <v>43031.50362268518</v>
      </c>
      <c r="B7026" s="20" t="str">
        <f>HYPERLINK("https://twitter.com/satrajit99","@satrajit99")</f>
        <v>@satrajit99</v>
      </c>
      <c r="C7026" s="21" t="s">
        <v>15682</v>
      </c>
      <c r="D7026" s="21" t="s">
        <v>42</v>
      </c>
      <c r="E7026" s="22" t="str">
        <f>HYPERLINK("https://twitter.com/satrajit99/status/922539423413047296","922539423413047296")</f>
        <v>922539423413047296</v>
      </c>
      <c r="F7026" s="23" t="s">
        <v>33</v>
      </c>
      <c r="G7026" s="24">
        <v>119.0</v>
      </c>
      <c r="H7026" s="24">
        <v>86.0</v>
      </c>
      <c r="I7026" s="24">
        <v>8501.0</v>
      </c>
      <c r="J7026" s="24">
        <v>0.0</v>
      </c>
      <c r="K7026" s="23" t="s">
        <v>34</v>
      </c>
      <c r="L7026" s="25">
        <v>42760.88327546296</v>
      </c>
      <c r="M7026" s="26" t="s">
        <v>1137</v>
      </c>
      <c r="N7026" s="26" t="s">
        <v>15683</v>
      </c>
      <c r="O7026" s="22" t="str">
        <f>HYPERLINK("https://abs.twimg.com/sticky/default_profile_images/default_profile_normal.png","View")</f>
        <v>View</v>
      </c>
      <c r="P7026" s="27"/>
    </row>
    <row r="7027">
      <c r="A7027" s="14">
        <v>43031.50388888889</v>
      </c>
      <c r="B7027" s="20" t="str">
        <f>HYPERLINK("https://twitter.com/rajyaguru_tejas","@rajyaguru_tejas")</f>
        <v>@rajyaguru_tejas</v>
      </c>
      <c r="C7027" s="21" t="s">
        <v>15684</v>
      </c>
      <c r="D7027" s="21" t="s">
        <v>42</v>
      </c>
      <c r="E7027" s="22" t="str">
        <f>HYPERLINK("https://twitter.com/rajyaguru_tejas/status/922539520377024514","922539520377024514")</f>
        <v>922539520377024514</v>
      </c>
      <c r="F7027" s="23" t="s">
        <v>33</v>
      </c>
      <c r="G7027" s="24">
        <v>79.0</v>
      </c>
      <c r="H7027" s="24">
        <v>285.0</v>
      </c>
      <c r="I7027" s="24">
        <v>8501.0</v>
      </c>
      <c r="J7027" s="24">
        <v>0.0</v>
      </c>
      <c r="K7027" s="23" t="s">
        <v>34</v>
      </c>
      <c r="L7027" s="25">
        <v>42253.98920138889</v>
      </c>
      <c r="M7027" s="26" t="s">
        <v>3904</v>
      </c>
      <c r="N7027" s="28"/>
      <c r="O7027" s="22" t="str">
        <f>HYPERLINK("https://pbs.twimg.com/profile_images/898816754448613377/owpBXea0_normal.jpg","View")</f>
        <v>View</v>
      </c>
      <c r="P7027" s="27"/>
    </row>
    <row r="7028">
      <c r="A7028" s="14">
        <v>43031.503912037035</v>
      </c>
      <c r="B7028" s="20" t="str">
        <f>HYPERLINK("https://twitter.com/piwimundo","@piwimundo")</f>
        <v>@piwimundo</v>
      </c>
      <c r="C7028" s="21" t="s">
        <v>15685</v>
      </c>
      <c r="D7028" s="21" t="s">
        <v>15584</v>
      </c>
      <c r="E7028" s="22" t="str">
        <f>HYPERLINK("https://twitter.com/piwimundo/status/922539531123019777","922539531123019777")</f>
        <v>922539531123019777</v>
      </c>
      <c r="F7028" s="23" t="s">
        <v>39</v>
      </c>
      <c r="G7028" s="24">
        <v>105.0</v>
      </c>
      <c r="H7028" s="24">
        <v>294.0</v>
      </c>
      <c r="I7028" s="24">
        <v>9.0</v>
      </c>
      <c r="J7028" s="24">
        <v>0.0</v>
      </c>
      <c r="K7028" s="23" t="s">
        <v>34</v>
      </c>
      <c r="L7028" s="25">
        <v>41062.19484953704</v>
      </c>
      <c r="M7028" s="28"/>
      <c r="N7028" s="28"/>
      <c r="O7028" s="22" t="str">
        <f>HYPERLINK("https://pbs.twimg.com/profile_images/425247462119309312/VyRiiGCw_normal.jpeg","View")</f>
        <v>View</v>
      </c>
      <c r="P7028" s="27"/>
    </row>
    <row r="7029">
      <c r="A7029" s="14">
        <v>43031.503958333335</v>
      </c>
      <c r="B7029" s="20" t="str">
        <f>HYPERLINK("https://twitter.com/raidargist","@raidargist")</f>
        <v>@raidargist</v>
      </c>
      <c r="C7029" s="21" t="s">
        <v>15686</v>
      </c>
      <c r="D7029" s="21" t="s">
        <v>15687</v>
      </c>
      <c r="E7029" s="22" t="str">
        <f>HYPERLINK("https://twitter.com/raidargist/status/922539547510104064","922539547510104064")</f>
        <v>922539547510104064</v>
      </c>
      <c r="F7029" s="23" t="s">
        <v>15688</v>
      </c>
      <c r="G7029" s="24">
        <v>186.0</v>
      </c>
      <c r="H7029" s="24">
        <v>259.0</v>
      </c>
      <c r="I7029" s="24">
        <v>0.0</v>
      </c>
      <c r="J7029" s="24">
        <v>0.0</v>
      </c>
      <c r="K7029" s="23" t="s">
        <v>34</v>
      </c>
      <c r="L7029" s="25">
        <v>43027.334652777776</v>
      </c>
      <c r="M7029" s="28"/>
      <c r="N7029" s="26" t="s">
        <v>15689</v>
      </c>
      <c r="O7029" s="22" t="str">
        <f>HYPERLINK("https://pbs.twimg.com/profile_images/922834506536701952/1t9qAL3g_normal.jpg","View")</f>
        <v>View</v>
      </c>
      <c r="P7029" s="27"/>
    </row>
    <row r="7030">
      <c r="A7030" s="14">
        <v>43031.50398148148</v>
      </c>
      <c r="B7030" s="20" t="str">
        <f>HYPERLINK("https://twitter.com/agranpapilot3","@agranpapilot3")</f>
        <v>@agranpapilot3</v>
      </c>
      <c r="C7030" s="21" t="s">
        <v>15690</v>
      </c>
      <c r="D7030" s="21" t="s">
        <v>42</v>
      </c>
      <c r="E7030" s="22" t="str">
        <f>HYPERLINK("https://twitter.com/agranpapilot3/status/922539555122692096","922539555122692096")</f>
        <v>922539555122692096</v>
      </c>
      <c r="F7030" s="23" t="s">
        <v>230</v>
      </c>
      <c r="G7030" s="24">
        <v>329.0</v>
      </c>
      <c r="H7030" s="24">
        <v>1081.0</v>
      </c>
      <c r="I7030" s="24">
        <v>8501.0</v>
      </c>
      <c r="J7030" s="24">
        <v>0.0</v>
      </c>
      <c r="K7030" s="23" t="s">
        <v>34</v>
      </c>
      <c r="L7030" s="25">
        <v>42319.33387731481</v>
      </c>
      <c r="M7030" s="28"/>
      <c r="N7030" s="28"/>
      <c r="O7030" s="22" t="str">
        <f>HYPERLINK("https://pbs.twimg.com/profile_images/686385962545364994/D7f4xyMY_normal.jpg","View")</f>
        <v>View</v>
      </c>
      <c r="P7030" s="27"/>
    </row>
    <row r="7031">
      <c r="A7031" s="14">
        <v>43031.50424768518</v>
      </c>
      <c r="B7031" s="20" t="str">
        <f>HYPERLINK("https://twitter.com/sazamaru","@sazamaru")</f>
        <v>@sazamaru</v>
      </c>
      <c r="C7031" s="21" t="s">
        <v>15691</v>
      </c>
      <c r="D7031" s="21" t="s">
        <v>15478</v>
      </c>
      <c r="E7031" s="22" t="str">
        <f>HYPERLINK("https://twitter.com/sazamaru/status/922539650865958912","922539650865958912")</f>
        <v>922539650865958912</v>
      </c>
      <c r="F7031" s="23" t="s">
        <v>33</v>
      </c>
      <c r="G7031" s="24">
        <v>3034.0</v>
      </c>
      <c r="H7031" s="24">
        <v>2638.0</v>
      </c>
      <c r="I7031" s="24">
        <v>12.0</v>
      </c>
      <c r="J7031" s="24">
        <v>0.0</v>
      </c>
      <c r="K7031" s="23" t="s">
        <v>34</v>
      </c>
      <c r="L7031" s="25">
        <v>40625.784583333334</v>
      </c>
      <c r="M7031" s="28"/>
      <c r="N7031" s="26" t="s">
        <v>15692</v>
      </c>
      <c r="O7031" s="22" t="str">
        <f>HYPERLINK("https://pbs.twimg.com/profile_images/2216393949/tw_14403618_1336955451_normal.jpg","View")</f>
        <v>View</v>
      </c>
      <c r="P7031" s="27"/>
    </row>
    <row r="7032">
      <c r="A7032" s="14">
        <v>43031.50429398148</v>
      </c>
      <c r="B7032" s="20" t="str">
        <f>HYPERLINK("https://twitter.com/sadhuvaad","@sadhuvaad")</f>
        <v>@sadhuvaad</v>
      </c>
      <c r="C7032" s="21" t="s">
        <v>15693</v>
      </c>
      <c r="D7032" s="21" t="s">
        <v>163</v>
      </c>
      <c r="E7032" s="22" t="str">
        <f>HYPERLINK("https://twitter.com/sadhuvaad/status/922539669836853248","922539669836853248")</f>
        <v>922539669836853248</v>
      </c>
      <c r="F7032" s="23" t="s">
        <v>33</v>
      </c>
      <c r="G7032" s="24">
        <v>12502.0</v>
      </c>
      <c r="H7032" s="24">
        <v>650.0</v>
      </c>
      <c r="I7032" s="24">
        <v>1005.0</v>
      </c>
      <c r="J7032" s="24">
        <v>0.0</v>
      </c>
      <c r="K7032" s="23" t="s">
        <v>34</v>
      </c>
      <c r="L7032" s="25">
        <v>40865.24858796296</v>
      </c>
      <c r="M7032" s="28"/>
      <c r="N7032" s="26" t="s">
        <v>15694</v>
      </c>
      <c r="O7032" s="22" t="str">
        <f>HYPERLINK("https://pbs.twimg.com/profile_images/922155957311832065/uIeU972f_normal.jpg","View")</f>
        <v>View</v>
      </c>
      <c r="P7032" s="27"/>
    </row>
    <row r="7033">
      <c r="A7033" s="14">
        <v>43031.50454861111</v>
      </c>
      <c r="B7033" s="20" t="str">
        <f>HYPERLINK("https://twitter.com/ShiffrinJoyce","@ShiffrinJoyce")</f>
        <v>@ShiffrinJoyce</v>
      </c>
      <c r="C7033" s="21" t="s">
        <v>15695</v>
      </c>
      <c r="D7033" s="21" t="s">
        <v>15696</v>
      </c>
      <c r="E7033" s="22" t="str">
        <f>HYPERLINK("https://twitter.com/ShiffrinJoyce/status/922539758743642112","922539758743642112")</f>
        <v>922539758743642112</v>
      </c>
      <c r="F7033" s="23" t="s">
        <v>55</v>
      </c>
      <c r="G7033" s="24">
        <v>81.0</v>
      </c>
      <c r="H7033" s="24">
        <v>1290.0</v>
      </c>
      <c r="I7033" s="24">
        <v>0.0</v>
      </c>
      <c r="J7033" s="24">
        <v>0.0</v>
      </c>
      <c r="K7033" s="23" t="s">
        <v>34</v>
      </c>
      <c r="L7033" s="25">
        <v>42271.34462962963</v>
      </c>
      <c r="M7033" s="26" t="s">
        <v>7142</v>
      </c>
      <c r="N7033" s="28"/>
      <c r="O7033" s="22" t="str">
        <f>HYPERLINK("https://abs.twimg.com/sticky/default_profile_images/default_profile_normal.png","View")</f>
        <v>View</v>
      </c>
      <c r="P7033" s="27"/>
    </row>
    <row r="7034">
      <c r="A7034" s="14">
        <v>43031.50475694444</v>
      </c>
      <c r="B7034" s="20" t="str">
        <f>HYPERLINK("https://twitter.com/pramodkr21","@pramodkr21")</f>
        <v>@pramodkr21</v>
      </c>
      <c r="C7034" s="21" t="s">
        <v>15697</v>
      </c>
      <c r="D7034" s="21" t="s">
        <v>42</v>
      </c>
      <c r="E7034" s="22" t="str">
        <f>HYPERLINK("https://twitter.com/pramodkr21/status/922539836820430848","922539836820430848")</f>
        <v>922539836820430848</v>
      </c>
      <c r="F7034" s="23" t="s">
        <v>39</v>
      </c>
      <c r="G7034" s="24">
        <v>39.0</v>
      </c>
      <c r="H7034" s="24">
        <v>71.0</v>
      </c>
      <c r="I7034" s="24">
        <v>8501.0</v>
      </c>
      <c r="J7034" s="24">
        <v>0.0</v>
      </c>
      <c r="K7034" s="23" t="s">
        <v>34</v>
      </c>
      <c r="L7034" s="25">
        <v>42271.47634259259</v>
      </c>
      <c r="M7034" s="28"/>
      <c r="N7034" s="28"/>
      <c r="O7034" s="22" t="str">
        <f>HYPERLINK("https://pbs.twimg.com/profile_images/864195226075766784/QDvapV1O_normal.jpg","View")</f>
        <v>View</v>
      </c>
      <c r="P7034" s="27"/>
    </row>
    <row r="7035">
      <c r="A7035" s="14">
        <v>43031.50561342592</v>
      </c>
      <c r="B7035" s="20" t="str">
        <f>HYPERLINK("https://twitter.com/TAGabhishek","@TAGabhishek")</f>
        <v>@TAGabhishek</v>
      </c>
      <c r="C7035" s="21" t="s">
        <v>15698</v>
      </c>
      <c r="D7035" s="21" t="s">
        <v>42</v>
      </c>
      <c r="E7035" s="22" t="str">
        <f>HYPERLINK("https://twitter.com/TAGabhishek/status/922540146737610752","922540146737610752")</f>
        <v>922540146737610752</v>
      </c>
      <c r="F7035" s="23" t="s">
        <v>33</v>
      </c>
      <c r="G7035" s="24">
        <v>647.0</v>
      </c>
      <c r="H7035" s="24">
        <v>127.0</v>
      </c>
      <c r="I7035" s="24">
        <v>8501.0</v>
      </c>
      <c r="J7035" s="24">
        <v>0.0</v>
      </c>
      <c r="K7035" s="23" t="s">
        <v>34</v>
      </c>
      <c r="L7035" s="25">
        <v>42088.4990162037</v>
      </c>
      <c r="M7035" s="26" t="s">
        <v>15699</v>
      </c>
      <c r="N7035" s="26" t="s">
        <v>15700</v>
      </c>
      <c r="O7035" s="22" t="str">
        <f>HYPERLINK("https://pbs.twimg.com/profile_images/886084500509339652/tmXAHLW3_normal.jpg","View")</f>
        <v>View</v>
      </c>
      <c r="P7035" s="27"/>
    </row>
    <row r="7036">
      <c r="A7036" s="14">
        <v>43031.505694444444</v>
      </c>
      <c r="B7036" s="20" t="str">
        <f>HYPERLINK("https://twitter.com/djaehnig","@djaehnig")</f>
        <v>@djaehnig</v>
      </c>
      <c r="C7036" s="21" t="s">
        <v>15701</v>
      </c>
      <c r="D7036" s="21" t="s">
        <v>15702</v>
      </c>
      <c r="E7036" s="22" t="str">
        <f>HYPERLINK("https://twitter.com/djaehnig/status/922540176177618945","922540176177618945")</f>
        <v>922540176177618945</v>
      </c>
      <c r="F7036" s="23" t="s">
        <v>39</v>
      </c>
      <c r="G7036" s="24">
        <v>203.0</v>
      </c>
      <c r="H7036" s="24">
        <v>83.0</v>
      </c>
      <c r="I7036" s="24">
        <v>0.0</v>
      </c>
      <c r="J7036" s="24">
        <v>0.0</v>
      </c>
      <c r="K7036" s="23" t="s">
        <v>34</v>
      </c>
      <c r="L7036" s="25">
        <v>39580.367013888885</v>
      </c>
      <c r="M7036" s="26" t="s">
        <v>4239</v>
      </c>
      <c r="N7036" s="26" t="s">
        <v>15703</v>
      </c>
      <c r="O7036" s="22" t="str">
        <f>HYPERLINK("https://pbs.twimg.com/profile_images/893892052580257792/fOeundA-_normal.jpg","View")</f>
        <v>View</v>
      </c>
      <c r="P7036" s="27"/>
    </row>
    <row r="7037">
      <c r="A7037" s="14">
        <v>43031.50583333333</v>
      </c>
      <c r="B7037" s="20" t="str">
        <f>HYPERLINK("https://twitter.com/Jaimuni1967","@Jaimuni1967")</f>
        <v>@Jaimuni1967</v>
      </c>
      <c r="C7037" s="21" t="s">
        <v>15704</v>
      </c>
      <c r="D7037" s="21" t="s">
        <v>42</v>
      </c>
      <c r="E7037" s="22" t="str">
        <f>HYPERLINK("https://twitter.com/Jaimuni1967/status/922540226110615552","922540226110615552")</f>
        <v>922540226110615552</v>
      </c>
      <c r="F7037" s="23" t="s">
        <v>33</v>
      </c>
      <c r="G7037" s="24">
        <v>52.0</v>
      </c>
      <c r="H7037" s="24">
        <v>331.0</v>
      </c>
      <c r="I7037" s="24">
        <v>8501.0</v>
      </c>
      <c r="J7037" s="24">
        <v>0.0</v>
      </c>
      <c r="K7037" s="23" t="s">
        <v>34</v>
      </c>
      <c r="L7037" s="25">
        <v>42406.323958333334</v>
      </c>
      <c r="M7037" s="26" t="s">
        <v>8395</v>
      </c>
      <c r="N7037" s="26" t="s">
        <v>15705</v>
      </c>
      <c r="O7037" s="22" t="str">
        <f>HYPERLINK("https://pbs.twimg.com/profile_images/908300339681542145/_WGQ8XaD_normal.jpg","View")</f>
        <v>View</v>
      </c>
      <c r="P7037" s="27"/>
    </row>
    <row r="7038">
      <c r="A7038" s="14">
        <v>43031.50616898148</v>
      </c>
      <c r="B7038" s="20" t="str">
        <f>HYPERLINK("https://twitter.com/transopac","@transopac")</f>
        <v>@transopac</v>
      </c>
      <c r="C7038" s="21" t="s">
        <v>15706</v>
      </c>
      <c r="D7038" s="21" t="s">
        <v>15584</v>
      </c>
      <c r="E7038" s="22" t="str">
        <f>HYPERLINK("https://twitter.com/transopac/status/922540346088751104","922540346088751104")</f>
        <v>922540346088751104</v>
      </c>
      <c r="F7038" s="23" t="s">
        <v>33</v>
      </c>
      <c r="G7038" s="24">
        <v>207.0</v>
      </c>
      <c r="H7038" s="24">
        <v>763.0</v>
      </c>
      <c r="I7038" s="24">
        <v>9.0</v>
      </c>
      <c r="J7038" s="24">
        <v>0.0</v>
      </c>
      <c r="K7038" s="23" t="s">
        <v>34</v>
      </c>
      <c r="L7038" s="25">
        <v>39943.42511574074</v>
      </c>
      <c r="M7038" s="26" t="s">
        <v>531</v>
      </c>
      <c r="N7038" s="26" t="s">
        <v>15707</v>
      </c>
      <c r="O7038" s="22" t="str">
        <f>HYPERLINK("https://pbs.twimg.com/profile_images/1318417712/random1_normal.png","View")</f>
        <v>View</v>
      </c>
      <c r="P7038" s="27"/>
    </row>
    <row r="7039">
      <c r="A7039" s="14">
        <v>43031.50621527778</v>
      </c>
      <c r="B7039" s="20" t="str">
        <f>HYPERLINK("https://twitter.com/varun18vijay","@varun18vijay")</f>
        <v>@varun18vijay</v>
      </c>
      <c r="C7039" s="21" t="s">
        <v>15708</v>
      </c>
      <c r="D7039" s="21" t="s">
        <v>42</v>
      </c>
      <c r="E7039" s="22" t="str">
        <f>HYPERLINK("https://twitter.com/varun18vijay/status/922540364308791297","922540364308791297")</f>
        <v>922540364308791297</v>
      </c>
      <c r="F7039" s="23" t="s">
        <v>2289</v>
      </c>
      <c r="G7039" s="24">
        <v>7938.0</v>
      </c>
      <c r="H7039" s="24">
        <v>3182.0</v>
      </c>
      <c r="I7039" s="24">
        <v>8501.0</v>
      </c>
      <c r="J7039" s="24">
        <v>0.0</v>
      </c>
      <c r="K7039" s="23" t="s">
        <v>34</v>
      </c>
      <c r="L7039" s="25">
        <v>40384.07797453704</v>
      </c>
      <c r="M7039" s="26" t="s">
        <v>1189</v>
      </c>
      <c r="N7039" s="26" t="s">
        <v>15709</v>
      </c>
      <c r="O7039" s="22" t="str">
        <f>HYPERLINK("https://pbs.twimg.com/profile_images/523822389956579328/0uculmR1_normal.jpeg","View")</f>
        <v>View</v>
      </c>
      <c r="P7039" s="27"/>
    </row>
    <row r="7040">
      <c r="A7040" s="14">
        <v>43031.50644675926</v>
      </c>
      <c r="B7040" s="20" t="str">
        <f>HYPERLINK("https://twitter.com/grandted212","@grandted212")</f>
        <v>@grandted212</v>
      </c>
      <c r="C7040" s="21" t="s">
        <v>15710</v>
      </c>
      <c r="D7040" s="21" t="s">
        <v>15711</v>
      </c>
      <c r="E7040" s="22" t="str">
        <f>HYPERLINK("https://twitter.com/grandted212/status/922540448715083778","922540448715083778")</f>
        <v>922540448715083778</v>
      </c>
      <c r="F7040" s="23" t="s">
        <v>33</v>
      </c>
      <c r="G7040" s="24">
        <v>2726.0</v>
      </c>
      <c r="H7040" s="24">
        <v>2453.0</v>
      </c>
      <c r="I7040" s="24">
        <v>0.0</v>
      </c>
      <c r="J7040" s="24">
        <v>0.0</v>
      </c>
      <c r="K7040" s="23" t="s">
        <v>34</v>
      </c>
      <c r="L7040" s="25">
        <v>41140.314108796294</v>
      </c>
      <c r="M7040" s="28"/>
      <c r="N7040" s="26" t="s">
        <v>15712</v>
      </c>
      <c r="O7040" s="22" t="str">
        <f>HYPERLINK("https://pbs.twimg.com/profile_images/785451800497364992/FbFOmUqm_normal.jpg","View")</f>
        <v>View</v>
      </c>
      <c r="P7040" s="27"/>
    </row>
    <row r="7041">
      <c r="A7041" s="14">
        <v>43031.50646990741</v>
      </c>
      <c r="B7041" s="20" t="str">
        <f>HYPERLINK("https://twitter.com/roxx254","@roxx254")</f>
        <v>@roxx254</v>
      </c>
      <c r="C7041" s="21" t="s">
        <v>15713</v>
      </c>
      <c r="D7041" s="21" t="s">
        <v>32</v>
      </c>
      <c r="E7041" s="22" t="str">
        <f>HYPERLINK("https://twitter.com/roxx254/status/922540458571681794","922540458571681794")</f>
        <v>922540458571681794</v>
      </c>
      <c r="F7041" s="23" t="s">
        <v>33</v>
      </c>
      <c r="G7041" s="24">
        <v>193.0</v>
      </c>
      <c r="H7041" s="24">
        <v>353.0</v>
      </c>
      <c r="I7041" s="24">
        <v>471.0</v>
      </c>
      <c r="J7041" s="24">
        <v>0.0</v>
      </c>
      <c r="K7041" s="23" t="s">
        <v>34</v>
      </c>
      <c r="L7041" s="25">
        <v>40105.39372685185</v>
      </c>
      <c r="M7041" s="33" t="s">
        <v>5192</v>
      </c>
      <c r="N7041" s="26" t="s">
        <v>15714</v>
      </c>
      <c r="O7041" s="22" t="str">
        <f>HYPERLINK("https://pbs.twimg.com/profile_images/745677652325961728/-juLXkO1_normal.jpg","View")</f>
        <v>View</v>
      </c>
      <c r="P7041" s="27"/>
    </row>
    <row r="7042">
      <c r="A7042" s="14">
        <v>43031.50666666667</v>
      </c>
      <c r="B7042" s="20" t="str">
        <f>HYPERLINK("https://twitter.com/InsdataInter","@InsdataInter")</f>
        <v>@InsdataInter</v>
      </c>
      <c r="C7042" s="21" t="s">
        <v>5482</v>
      </c>
      <c r="D7042" s="21" t="s">
        <v>12974</v>
      </c>
      <c r="E7042" s="22" t="str">
        <f>HYPERLINK("https://twitter.com/InsdataInter/status/922540529295994881","922540529295994881")</f>
        <v>922540529295994881</v>
      </c>
      <c r="F7042" s="23" t="s">
        <v>39</v>
      </c>
      <c r="G7042" s="24">
        <v>1725.0</v>
      </c>
      <c r="H7042" s="24">
        <v>2942.0</v>
      </c>
      <c r="I7042" s="24">
        <v>110.0</v>
      </c>
      <c r="J7042" s="24">
        <v>0.0</v>
      </c>
      <c r="K7042" s="23" t="s">
        <v>34</v>
      </c>
      <c r="L7042" s="25">
        <v>41533.38997685185</v>
      </c>
      <c r="M7042" s="26" t="s">
        <v>5483</v>
      </c>
      <c r="N7042" s="28"/>
      <c r="O7042" s="22" t="str">
        <f>HYPERLINK("https://pbs.twimg.com/profile_images/378800000501893520/b4582cd3ce52a7c47133d606b639176e_normal.jpeg","View")</f>
        <v>View</v>
      </c>
      <c r="P7042" s="27"/>
    </row>
    <row r="7043">
      <c r="A7043" s="14">
        <v>43031.50666666667</v>
      </c>
      <c r="B7043" s="20" t="str">
        <f>HYPERLINK("https://twitter.com/44ELtuWyeXLA9by","@44ELtuWyeXLA9by")</f>
        <v>@44ELtuWyeXLA9by</v>
      </c>
      <c r="C7043" s="21">
        <v>724098.0</v>
      </c>
      <c r="D7043" s="21" t="s">
        <v>15715</v>
      </c>
      <c r="E7043" s="22" t="str">
        <f>HYPERLINK("https://twitter.com/44ELtuWyeXLA9by/status/922540529899859968","922540529899859968")</f>
        <v>922540529899859968</v>
      </c>
      <c r="F7043" s="23" t="s">
        <v>55</v>
      </c>
      <c r="G7043" s="24">
        <v>6.0</v>
      </c>
      <c r="H7043" s="24">
        <v>10.0</v>
      </c>
      <c r="I7043" s="24">
        <v>0.0</v>
      </c>
      <c r="J7043" s="24">
        <v>0.0</v>
      </c>
      <c r="K7043" s="23" t="s">
        <v>34</v>
      </c>
      <c r="L7043" s="25">
        <v>42587.925358796296</v>
      </c>
      <c r="M7043" s="28"/>
      <c r="N7043" s="28"/>
      <c r="O7043" s="22" t="str">
        <f>HYPERLINK("https://pbs.twimg.com/profile_images/852880968943718401/cViGvyJ2_normal.jpg","View")</f>
        <v>View</v>
      </c>
      <c r="P7043" s="27"/>
    </row>
    <row r="7044">
      <c r="A7044" s="14">
        <v>43031.507106481484</v>
      </c>
      <c r="B7044" s="20" t="str">
        <f>HYPERLINK("https://twitter.com/BOYWONDERELROY","@BOYWONDERELROY")</f>
        <v>@BOYWONDERELROY</v>
      </c>
      <c r="C7044" s="21" t="s">
        <v>15716</v>
      </c>
      <c r="D7044" s="21" t="s">
        <v>12163</v>
      </c>
      <c r="E7044" s="22" t="str">
        <f>HYPERLINK("https://twitter.com/BOYWONDERELROY/status/922540689153503233","922540689153503233")</f>
        <v>922540689153503233</v>
      </c>
      <c r="F7044" s="23" t="s">
        <v>33</v>
      </c>
      <c r="G7044" s="24">
        <v>2662.0</v>
      </c>
      <c r="H7044" s="24">
        <v>5000.0</v>
      </c>
      <c r="I7044" s="24">
        <v>5.0</v>
      </c>
      <c r="J7044" s="24">
        <v>0.0</v>
      </c>
      <c r="K7044" s="23" t="s">
        <v>34</v>
      </c>
      <c r="L7044" s="25">
        <v>42767.29046296296</v>
      </c>
      <c r="M7044" s="26" t="s">
        <v>3604</v>
      </c>
      <c r="N7044" s="26" t="s">
        <v>15717</v>
      </c>
      <c r="O7044" s="22" t="str">
        <f>HYPERLINK("https://pbs.twimg.com/profile_images/920434598068281344/xEC48lTz_normal.jpg","View")</f>
        <v>View</v>
      </c>
      <c r="P7044" s="27"/>
    </row>
    <row r="7045">
      <c r="A7045" s="14">
        <v>43031.507361111115</v>
      </c>
      <c r="B7045" s="20" t="str">
        <f>HYPERLINK("https://twitter.com/NTKNet","@NTKNet")</f>
        <v>@NTKNet</v>
      </c>
      <c r="C7045" s="21" t="s">
        <v>15718</v>
      </c>
      <c r="D7045" s="21" t="s">
        <v>15719</v>
      </c>
      <c r="E7045" s="22" t="str">
        <f>HYPERLINK("https://twitter.com/NTKNet/status/922540778567725060","922540778567725060")</f>
        <v>922540778567725060</v>
      </c>
      <c r="F7045" s="23" t="s">
        <v>10415</v>
      </c>
      <c r="G7045" s="24">
        <v>12651.0</v>
      </c>
      <c r="H7045" s="24">
        <v>1177.0</v>
      </c>
      <c r="I7045" s="24">
        <v>1.0</v>
      </c>
      <c r="J7045" s="24">
        <v>5.0</v>
      </c>
      <c r="K7045" s="23" t="s">
        <v>34</v>
      </c>
      <c r="L7045" s="25">
        <v>42482.44162037037</v>
      </c>
      <c r="M7045" s="28"/>
      <c r="N7045" s="26" t="s">
        <v>15720</v>
      </c>
      <c r="O7045" s="22" t="str">
        <f>HYPERLINK("https://pbs.twimg.com/profile_images/875787148385026050/IwXE1SM9_normal.jpg","View")</f>
        <v>View</v>
      </c>
      <c r="P7045" s="27"/>
    </row>
    <row r="7046">
      <c r="A7046" s="14">
        <v>43031.50739583334</v>
      </c>
      <c r="B7046" s="20" t="str">
        <f>HYPERLINK("https://twitter.com/rrana69","@rrana69")</f>
        <v>@rrana69</v>
      </c>
      <c r="C7046" s="21" t="s">
        <v>15721</v>
      </c>
      <c r="D7046" s="21" t="s">
        <v>42</v>
      </c>
      <c r="E7046" s="22" t="str">
        <f>HYPERLINK("https://twitter.com/rrana69/status/922540790886293505","922540790886293505")</f>
        <v>922540790886293505</v>
      </c>
      <c r="F7046" s="23" t="s">
        <v>39</v>
      </c>
      <c r="G7046" s="24">
        <v>246.0</v>
      </c>
      <c r="H7046" s="24">
        <v>51.0</v>
      </c>
      <c r="I7046" s="24">
        <v>8501.0</v>
      </c>
      <c r="J7046" s="24">
        <v>0.0</v>
      </c>
      <c r="K7046" s="23" t="s">
        <v>34</v>
      </c>
      <c r="L7046" s="25">
        <v>41808.23622685185</v>
      </c>
      <c r="M7046" s="28"/>
      <c r="N7046" s="28"/>
      <c r="O7046" s="22" t="str">
        <f>HYPERLINK("https://pbs.twimg.com/profile_images/479243306354749440/EuebRQpl_normal.jpeg","View")</f>
        <v>View</v>
      </c>
      <c r="P7046" s="27"/>
    </row>
    <row r="7047">
      <c r="A7047" s="14">
        <v>43031.50747685185</v>
      </c>
      <c r="B7047" s="20" t="str">
        <f>HYPERLINK("https://twitter.com/compro_tax","@compro_tax")</f>
        <v>@compro_tax</v>
      </c>
      <c r="C7047" s="21" t="s">
        <v>15722</v>
      </c>
      <c r="D7047" s="21" t="s">
        <v>15723</v>
      </c>
      <c r="E7047" s="22" t="str">
        <f>HYPERLINK("https://twitter.com/compro_tax/status/922540820410044423","922540820410044423")</f>
        <v>922540820410044423</v>
      </c>
      <c r="F7047" s="23" t="s">
        <v>55</v>
      </c>
      <c r="G7047" s="24">
        <v>3799.0</v>
      </c>
      <c r="H7047" s="24">
        <v>3838.0</v>
      </c>
      <c r="I7047" s="24">
        <v>0.0</v>
      </c>
      <c r="J7047" s="24">
        <v>0.0</v>
      </c>
      <c r="K7047" s="23" t="s">
        <v>34</v>
      </c>
      <c r="L7047" s="25">
        <v>42223.43310185186</v>
      </c>
      <c r="M7047" s="26" t="s">
        <v>15724</v>
      </c>
      <c r="N7047" s="26" t="s">
        <v>15725</v>
      </c>
      <c r="O7047" s="22" t="str">
        <f>HYPERLINK("https://pbs.twimg.com/profile_images/662421146768281600/Rzbh82rn_normal.jpg","View")</f>
        <v>View</v>
      </c>
      <c r="P7047" s="27"/>
    </row>
    <row r="7048">
      <c r="A7048" s="14">
        <v>43031.50842592593</v>
      </c>
      <c r="B7048" s="20" t="str">
        <f>HYPERLINK("https://twitter.com/NewsBossIndia","@NewsBossIndia")</f>
        <v>@NewsBossIndia</v>
      </c>
      <c r="C7048" s="29" t="s">
        <v>148</v>
      </c>
      <c r="D7048" s="21" t="s">
        <v>15726</v>
      </c>
      <c r="E7048" s="22" t="str">
        <f>HYPERLINK("https://twitter.com/NewsBossIndia/status/922541163856347136","922541163856347136")</f>
        <v>922541163856347136</v>
      </c>
      <c r="F7048" s="30" t="s">
        <v>148</v>
      </c>
      <c r="G7048" s="24">
        <v>991.0</v>
      </c>
      <c r="H7048" s="24">
        <v>1.0</v>
      </c>
      <c r="I7048" s="24">
        <v>0.0</v>
      </c>
      <c r="J7048" s="24">
        <v>0.0</v>
      </c>
      <c r="K7048" s="23" t="s">
        <v>34</v>
      </c>
      <c r="L7048" s="25">
        <v>42564.38061342592</v>
      </c>
      <c r="M7048" s="28"/>
      <c r="N7048" s="26" t="s">
        <v>150</v>
      </c>
      <c r="O7048" s="22" t="str">
        <f>HYPERLINK("https://pbs.twimg.com/profile_images/753260679692333057/AS4Xiw4q_normal.jpg","View")</f>
        <v>View</v>
      </c>
      <c r="P7048" s="27"/>
    </row>
    <row r="7049">
      <c r="A7049" s="14">
        <v>43031.50844907407</v>
      </c>
      <c r="B7049" s="20" t="str">
        <f>HYPERLINK("https://twitter.com/JaneMenloPark","@JaneMenloPark")</f>
        <v>@JaneMenloPark</v>
      </c>
      <c r="C7049" s="21" t="s">
        <v>15727</v>
      </c>
      <c r="D7049" s="21" t="s">
        <v>10614</v>
      </c>
      <c r="E7049" s="22" t="str">
        <f>HYPERLINK("https://twitter.com/JaneMenloPark/status/922541173230542848","922541173230542848")</f>
        <v>922541173230542848</v>
      </c>
      <c r="F7049" s="23" t="s">
        <v>39</v>
      </c>
      <c r="G7049" s="24">
        <v>2352.0</v>
      </c>
      <c r="H7049" s="24">
        <v>3055.0</v>
      </c>
      <c r="I7049" s="24">
        <v>159.0</v>
      </c>
      <c r="J7049" s="24">
        <v>0.0</v>
      </c>
      <c r="K7049" s="23" t="s">
        <v>34</v>
      </c>
      <c r="L7049" s="25">
        <v>40571.496886574074</v>
      </c>
      <c r="M7049" s="26" t="s">
        <v>1024</v>
      </c>
      <c r="N7049" s="28"/>
      <c r="O7049" s="22" t="str">
        <f>HYPERLINK("https://pbs.twimg.com/profile_images/898645118881681408/7I6r4CKv_normal.jpg","View")</f>
        <v>View</v>
      </c>
      <c r="P7049" s="27"/>
    </row>
    <row r="7050">
      <c r="A7050" s="14">
        <v>43031.50846064815</v>
      </c>
      <c r="B7050" s="20" t="str">
        <f>HYPERLINK("https://twitter.com/NewsBossIndia","@NewsBossIndia")</f>
        <v>@NewsBossIndia</v>
      </c>
      <c r="C7050" s="29" t="s">
        <v>148</v>
      </c>
      <c r="D7050" s="21" t="s">
        <v>15728</v>
      </c>
      <c r="E7050" s="22" t="str">
        <f>HYPERLINK("https://twitter.com/NewsBossIndia/status/922541176053383168","922541176053383168")</f>
        <v>922541176053383168</v>
      </c>
      <c r="F7050" s="30" t="s">
        <v>148</v>
      </c>
      <c r="G7050" s="24">
        <v>991.0</v>
      </c>
      <c r="H7050" s="24">
        <v>1.0</v>
      </c>
      <c r="I7050" s="24">
        <v>0.0</v>
      </c>
      <c r="J7050" s="24">
        <v>0.0</v>
      </c>
      <c r="K7050" s="23" t="s">
        <v>34</v>
      </c>
      <c r="L7050" s="25">
        <v>42564.38061342592</v>
      </c>
      <c r="M7050" s="28"/>
      <c r="N7050" s="26" t="s">
        <v>150</v>
      </c>
      <c r="O7050" s="22" t="str">
        <f>HYPERLINK("https://pbs.twimg.com/profile_images/753260679692333057/AS4Xiw4q_normal.jpg","View")</f>
        <v>View</v>
      </c>
      <c r="P7050" s="27"/>
    </row>
    <row r="7051">
      <c r="A7051" s="14">
        <v>43031.5087037037</v>
      </c>
      <c r="B7051" s="20" t="str">
        <f>HYPERLINK("https://twitter.com/jugyo","@jugyo")</f>
        <v>@jugyo</v>
      </c>
      <c r="C7051" s="21" t="s">
        <v>15729</v>
      </c>
      <c r="D7051" s="21" t="s">
        <v>1642</v>
      </c>
      <c r="E7051" s="22" t="str">
        <f>HYPERLINK("https://twitter.com/jugyo/status/922541267598430208","922541267598430208")</f>
        <v>922541267598430208</v>
      </c>
      <c r="F7051" s="23" t="s">
        <v>55</v>
      </c>
      <c r="G7051" s="24">
        <v>3253.0</v>
      </c>
      <c r="H7051" s="24">
        <v>2016.0</v>
      </c>
      <c r="I7051" s="24">
        <v>199.0</v>
      </c>
      <c r="J7051" s="24">
        <v>0.0</v>
      </c>
      <c r="K7051" s="23" t="s">
        <v>34</v>
      </c>
      <c r="L7051" s="25">
        <v>39179.76081018519</v>
      </c>
      <c r="M7051" s="26" t="s">
        <v>15730</v>
      </c>
      <c r="N7051" s="26" t="s">
        <v>15731</v>
      </c>
      <c r="O7051" s="22" t="str">
        <f>HYPERLINK("https://pbs.twimg.com/profile_images/875924601225838593/edPcGYAd_normal.jpg","View")</f>
        <v>View</v>
      </c>
      <c r="P7051" s="27"/>
    </row>
    <row r="7052">
      <c r="A7052" s="14">
        <v>43031.50914351852</v>
      </c>
      <c r="B7052" s="20" t="str">
        <f>HYPERLINK("https://twitter.com/globalissuesweb","@globalissuesweb")</f>
        <v>@globalissuesweb</v>
      </c>
      <c r="C7052" s="21" t="s">
        <v>12271</v>
      </c>
      <c r="D7052" s="21" t="s">
        <v>15732</v>
      </c>
      <c r="E7052" s="22" t="str">
        <f>HYPERLINK("https://twitter.com/globalissuesweb/status/922541423618031618","922541423618031618")</f>
        <v>922541423618031618</v>
      </c>
      <c r="F7052" s="30" t="s">
        <v>3839</v>
      </c>
      <c r="G7052" s="24">
        <v>159507.0</v>
      </c>
      <c r="H7052" s="24">
        <v>2431.0</v>
      </c>
      <c r="I7052" s="24">
        <v>2.0</v>
      </c>
      <c r="J7052" s="24">
        <v>2.0</v>
      </c>
      <c r="K7052" s="23" t="s">
        <v>34</v>
      </c>
      <c r="L7052" s="25">
        <v>40037.46341435185</v>
      </c>
      <c r="M7052" s="26" t="s">
        <v>12273</v>
      </c>
      <c r="N7052" s="26" t="s">
        <v>12274</v>
      </c>
      <c r="O7052" s="22" t="str">
        <f>HYPERLINK("https://pbs.twimg.com/profile_images/2634696934/fbbd02b9e0ac76801b12e7fdecdf68be_normal.jpeg","View")</f>
        <v>View</v>
      </c>
      <c r="P7052" s="27"/>
    </row>
    <row r="7053">
      <c r="A7053" s="14">
        <v>43031.50931712963</v>
      </c>
      <c r="B7053" s="20" t="str">
        <f>HYPERLINK("https://twitter.com/NTKRNow","@NTKRNow")</f>
        <v>@NTKRNow</v>
      </c>
      <c r="C7053" s="21" t="s">
        <v>14875</v>
      </c>
      <c r="D7053" s="21" t="s">
        <v>15733</v>
      </c>
      <c r="E7053" s="22" t="str">
        <f>HYPERLINK("https://twitter.com/NTKRNow/status/922541489447735296","922541489447735296")</f>
        <v>922541489447735296</v>
      </c>
      <c r="F7053" s="23" t="s">
        <v>187</v>
      </c>
      <c r="G7053" s="24">
        <v>605.0</v>
      </c>
      <c r="H7053" s="24">
        <v>4.0</v>
      </c>
      <c r="I7053" s="24">
        <v>0.0</v>
      </c>
      <c r="J7053" s="24">
        <v>0.0</v>
      </c>
      <c r="K7053" s="23" t="s">
        <v>34</v>
      </c>
      <c r="L7053" s="25">
        <v>42402.810625</v>
      </c>
      <c r="M7053" s="28"/>
      <c r="N7053" s="28"/>
      <c r="O7053" s="22" t="str">
        <f>HYPERLINK("https://abs.twimg.com/sticky/default_profile_images/default_profile_normal.png","View")</f>
        <v>View</v>
      </c>
      <c r="P7053" s="27"/>
    </row>
    <row r="7054">
      <c r="A7054" s="14">
        <v>43031.509629629625</v>
      </c>
      <c r="B7054" s="20" t="str">
        <f>HYPERLINK("https://twitter.com/_James_Clark_93","@_James_Clark_93")</f>
        <v>@_James_Clark_93</v>
      </c>
      <c r="C7054" s="21" t="s">
        <v>14772</v>
      </c>
      <c r="D7054" s="21" t="s">
        <v>14748</v>
      </c>
      <c r="E7054" s="22" t="str">
        <f>HYPERLINK("https://twitter.com/_James_Clark_93/status/922541600189894658","922541600189894658")</f>
        <v>922541600189894658</v>
      </c>
      <c r="F7054" s="23" t="s">
        <v>33</v>
      </c>
      <c r="G7054" s="24">
        <v>115.0</v>
      </c>
      <c r="H7054" s="24">
        <v>158.0</v>
      </c>
      <c r="I7054" s="24">
        <v>46.0</v>
      </c>
      <c r="J7054" s="24">
        <v>0.0</v>
      </c>
      <c r="K7054" s="23" t="s">
        <v>34</v>
      </c>
      <c r="L7054" s="25">
        <v>41353.749189814815</v>
      </c>
      <c r="M7054" s="26" t="s">
        <v>40</v>
      </c>
      <c r="N7054" s="26" t="s">
        <v>15734</v>
      </c>
      <c r="O7054" s="22" t="str">
        <f>HYPERLINK("https://pbs.twimg.com/profile_images/814121704905654272/6yxewOe3_normal.jpg","View")</f>
        <v>View</v>
      </c>
      <c r="P7054" s="27"/>
    </row>
    <row r="7055">
      <c r="A7055" s="14">
        <v>43031.509722222225</v>
      </c>
      <c r="B7055" s="20" t="str">
        <f>HYPERLINK("https://twitter.com/vaibhavkirti","@vaibhavkirti")</f>
        <v>@vaibhavkirti</v>
      </c>
      <c r="C7055" s="21" t="s">
        <v>15735</v>
      </c>
      <c r="D7055" s="21" t="s">
        <v>42</v>
      </c>
      <c r="E7055" s="22" t="str">
        <f>HYPERLINK("https://twitter.com/vaibhavkirti/status/922541634293657600","922541634293657600")</f>
        <v>922541634293657600</v>
      </c>
      <c r="F7055" s="23" t="s">
        <v>39</v>
      </c>
      <c r="G7055" s="24">
        <v>7495.0</v>
      </c>
      <c r="H7055" s="24">
        <v>108.0</v>
      </c>
      <c r="I7055" s="24">
        <v>8501.0</v>
      </c>
      <c r="J7055" s="24">
        <v>0.0</v>
      </c>
      <c r="K7055" s="23" t="s">
        <v>34</v>
      </c>
      <c r="L7055" s="25">
        <v>40250.06219907408</v>
      </c>
      <c r="M7055" s="26" t="s">
        <v>575</v>
      </c>
      <c r="N7055" s="26" t="s">
        <v>15736</v>
      </c>
      <c r="O7055" s="22" t="str">
        <f>HYPERLINK("https://pbs.twimg.com/profile_images/743733962271404032/VtqMEl5v_normal.jpg","View")</f>
        <v>View</v>
      </c>
      <c r="P7055" s="27"/>
    </row>
    <row r="7056">
      <c r="A7056" s="14">
        <v>43031.509976851856</v>
      </c>
      <c r="B7056" s="20" t="str">
        <f>HYPERLINK("https://twitter.com/blossom624","@blossom624")</f>
        <v>@blossom624</v>
      </c>
      <c r="C7056" s="21" t="s">
        <v>15737</v>
      </c>
      <c r="D7056" s="21" t="s">
        <v>42</v>
      </c>
      <c r="E7056" s="22" t="str">
        <f>HYPERLINK("https://twitter.com/blossom624/status/922541727876972544","922541727876972544")</f>
        <v>922541727876972544</v>
      </c>
      <c r="F7056" s="23" t="s">
        <v>55</v>
      </c>
      <c r="G7056" s="24">
        <v>15.0</v>
      </c>
      <c r="H7056" s="24">
        <v>155.0</v>
      </c>
      <c r="I7056" s="24">
        <v>8501.0</v>
      </c>
      <c r="J7056" s="24">
        <v>0.0</v>
      </c>
      <c r="K7056" s="23" t="s">
        <v>34</v>
      </c>
      <c r="L7056" s="25">
        <v>43028.176527777774</v>
      </c>
      <c r="M7056" s="28"/>
      <c r="N7056" s="28"/>
      <c r="O7056" s="22" t="str">
        <f>HYPERLINK("https://pbs.twimg.com/profile_images/921364882607325184/6yE8K-6D_normal.jpg","View")</f>
        <v>View</v>
      </c>
      <c r="P7056" s="27"/>
    </row>
    <row r="7057">
      <c r="A7057" s="14">
        <v>43031.51016203704</v>
      </c>
      <c r="B7057" s="20" t="str">
        <f>HYPERLINK("https://twitter.com/ichigobatakekak","@ichigobatakekak")</f>
        <v>@ichigobatakekak</v>
      </c>
      <c r="C7057" s="21" t="s">
        <v>15738</v>
      </c>
      <c r="D7057" s="21" t="s">
        <v>4108</v>
      </c>
      <c r="E7057" s="22" t="str">
        <f>HYPERLINK("https://twitter.com/ichigobatakekak/status/922541793534558208","922541793534558208")</f>
        <v>922541793534558208</v>
      </c>
      <c r="F7057" s="23" t="s">
        <v>55</v>
      </c>
      <c r="G7057" s="24">
        <v>120.0</v>
      </c>
      <c r="H7057" s="24">
        <v>33.0</v>
      </c>
      <c r="I7057" s="24">
        <v>39.0</v>
      </c>
      <c r="J7057" s="24">
        <v>0.0</v>
      </c>
      <c r="K7057" s="23" t="s">
        <v>34</v>
      </c>
      <c r="L7057" s="25">
        <v>40552.69559027778</v>
      </c>
      <c r="M7057" s="26" t="s">
        <v>15739</v>
      </c>
      <c r="N7057" s="26" t="s">
        <v>15740</v>
      </c>
      <c r="O7057" s="22" t="str">
        <f>HYPERLINK("https://pbs.twimg.com/profile_images/1218703385/ribon_normal.jpg","View")</f>
        <v>View</v>
      </c>
      <c r="P7057" s="27"/>
    </row>
    <row r="7058">
      <c r="A7058" s="14">
        <v>43031.51020833333</v>
      </c>
      <c r="B7058" s="20" t="str">
        <f>HYPERLINK("https://twitter.com/manishv19","@manishv19")</f>
        <v>@manishv19</v>
      </c>
      <c r="C7058" s="21" t="s">
        <v>15741</v>
      </c>
      <c r="D7058" s="21" t="s">
        <v>42</v>
      </c>
      <c r="E7058" s="22" t="str">
        <f>HYPERLINK("https://twitter.com/manishv19/status/922541812635406336","922541812635406336")</f>
        <v>922541812635406336</v>
      </c>
      <c r="F7058" s="23" t="s">
        <v>39</v>
      </c>
      <c r="G7058" s="24">
        <v>30.0</v>
      </c>
      <c r="H7058" s="24">
        <v>244.0</v>
      </c>
      <c r="I7058" s="24">
        <v>8501.0</v>
      </c>
      <c r="J7058" s="24">
        <v>0.0</v>
      </c>
      <c r="K7058" s="23" t="s">
        <v>34</v>
      </c>
      <c r="L7058" s="25">
        <v>40300.28655092593</v>
      </c>
      <c r="M7058" s="26" t="s">
        <v>7013</v>
      </c>
      <c r="N7058" s="26" t="s">
        <v>15742</v>
      </c>
      <c r="O7058" s="22" t="str">
        <f>HYPERLINK("https://pbs.twimg.com/profile_images/805424008506195969/TtI7W5WR_normal.jpg","View")</f>
        <v>View</v>
      </c>
      <c r="P7058" s="27"/>
    </row>
    <row r="7059">
      <c r="A7059" s="14">
        <v>43031.511087962965</v>
      </c>
      <c r="B7059" s="20" t="str">
        <f>HYPERLINK("https://twitter.com/IndiainChicago","@IndiainChicago")</f>
        <v>@IndiainChicago</v>
      </c>
      <c r="C7059" s="21" t="s">
        <v>15743</v>
      </c>
      <c r="D7059" s="21" t="s">
        <v>42</v>
      </c>
      <c r="E7059" s="22" t="str">
        <f>HYPERLINK("https://twitter.com/IndiainChicago/status/922542129511124992","922542129511124992")</f>
        <v>922542129511124992</v>
      </c>
      <c r="F7059" s="23" t="s">
        <v>55</v>
      </c>
      <c r="G7059" s="24">
        <v>7623.0</v>
      </c>
      <c r="H7059" s="24">
        <v>74.0</v>
      </c>
      <c r="I7059" s="24">
        <v>8501.0</v>
      </c>
      <c r="J7059" s="24">
        <v>0.0</v>
      </c>
      <c r="K7059" s="23" t="s">
        <v>34</v>
      </c>
      <c r="L7059" s="25">
        <v>41160.40760416667</v>
      </c>
      <c r="M7059" s="26" t="s">
        <v>3604</v>
      </c>
      <c r="N7059" s="26" t="s">
        <v>15744</v>
      </c>
      <c r="O7059" s="22" t="str">
        <f>HYPERLINK("https://pbs.twimg.com/profile_images/696746390005788673/EI669kGC_normal.jpg","View")</f>
        <v>View</v>
      </c>
      <c r="P7059" s="27"/>
    </row>
    <row r="7060">
      <c r="A7060" s="14">
        <v>43031.51112268519</v>
      </c>
      <c r="B7060" s="20" t="str">
        <f>HYPERLINK("https://twitter.com/rickrick888","@rickrick888")</f>
        <v>@rickrick888</v>
      </c>
      <c r="C7060" s="21" t="s">
        <v>15745</v>
      </c>
      <c r="D7060" s="21" t="s">
        <v>15746</v>
      </c>
      <c r="E7060" s="22" t="str">
        <f>HYPERLINK("https://twitter.com/rickrick888/status/922542141657833473","922542141657833473")</f>
        <v>922542141657833473</v>
      </c>
      <c r="F7060" s="23" t="s">
        <v>187</v>
      </c>
      <c r="G7060" s="24">
        <v>1895.0</v>
      </c>
      <c r="H7060" s="24">
        <v>415.0</v>
      </c>
      <c r="I7060" s="24">
        <v>0.0</v>
      </c>
      <c r="J7060" s="24">
        <v>0.0</v>
      </c>
      <c r="K7060" s="23" t="s">
        <v>34</v>
      </c>
      <c r="L7060" s="25">
        <v>39895.2696875</v>
      </c>
      <c r="M7060" s="28"/>
      <c r="N7060" s="26" t="s">
        <v>15747</v>
      </c>
      <c r="O7060" s="22" t="str">
        <f>HYPERLINK("https://pbs.twimg.com/profile_images/113042143/SymbolicMeaningofLion_normal.jpg","View")</f>
        <v>View</v>
      </c>
      <c r="P7060" s="27"/>
    </row>
    <row r="7061">
      <c r="A7061" s="14">
        <v>43031.511666666665</v>
      </c>
      <c r="B7061" s="20" t="str">
        <f>HYPERLINK("https://twitter.com/JordanPTrimble","@JordanPTrimble")</f>
        <v>@JordanPTrimble</v>
      </c>
      <c r="C7061" s="21" t="s">
        <v>15748</v>
      </c>
      <c r="D7061" s="21" t="s">
        <v>9874</v>
      </c>
      <c r="E7061" s="22" t="str">
        <f>HYPERLINK("https://twitter.com/JordanPTrimble/status/922542339922391040","922542339922391040")</f>
        <v>922542339922391040</v>
      </c>
      <c r="F7061" s="23" t="s">
        <v>39</v>
      </c>
      <c r="G7061" s="24">
        <v>334.0</v>
      </c>
      <c r="H7061" s="24">
        <v>172.0</v>
      </c>
      <c r="I7061" s="24">
        <v>20.0</v>
      </c>
      <c r="J7061" s="24">
        <v>0.0</v>
      </c>
      <c r="K7061" s="23" t="s">
        <v>34</v>
      </c>
      <c r="L7061" s="25">
        <v>41584.38565972222</v>
      </c>
      <c r="M7061" s="26" t="s">
        <v>8150</v>
      </c>
      <c r="N7061" s="26" t="s">
        <v>15749</v>
      </c>
      <c r="O7061" s="22" t="str">
        <f>HYPERLINK("https://pbs.twimg.com/profile_images/552867767020294144/zWRBInvX_normal.jpeg","View")</f>
        <v>View</v>
      </c>
      <c r="P7061" s="27"/>
    </row>
    <row r="7062">
      <c r="A7062" s="14">
        <v>43031.51240740741</v>
      </c>
      <c r="B7062" s="20" t="str">
        <f>HYPERLINK("https://twitter.com/pootan_viking","@pootan_viking")</f>
        <v>@pootan_viking</v>
      </c>
      <c r="C7062" s="21" t="s">
        <v>15750</v>
      </c>
      <c r="D7062" s="21" t="s">
        <v>15751</v>
      </c>
      <c r="E7062" s="22" t="str">
        <f>HYPERLINK("https://twitter.com/pootan_viking/status/922542609972600832","922542609972600832")</f>
        <v>922542609972600832</v>
      </c>
      <c r="F7062" s="23" t="s">
        <v>55</v>
      </c>
      <c r="G7062" s="24">
        <v>1423.0</v>
      </c>
      <c r="H7062" s="24">
        <v>1839.0</v>
      </c>
      <c r="I7062" s="24">
        <v>0.0</v>
      </c>
      <c r="J7062" s="24">
        <v>0.0</v>
      </c>
      <c r="K7062" s="23" t="s">
        <v>34</v>
      </c>
      <c r="L7062" s="25">
        <v>40629.06784722222</v>
      </c>
      <c r="M7062" s="26" t="s">
        <v>15752</v>
      </c>
      <c r="N7062" s="26" t="s">
        <v>15753</v>
      </c>
      <c r="O7062" s="22" t="str">
        <f>HYPERLINK("https://pbs.twimg.com/profile_images/863172685030805504/fMxWd-p7_normal.jpg","View")</f>
        <v>View</v>
      </c>
      <c r="P7062" s="27"/>
    </row>
    <row r="7063">
      <c r="A7063" s="14">
        <v>43031.51258101852</v>
      </c>
      <c r="B7063" s="20" t="str">
        <f>HYPERLINK("https://twitter.com/sujitk1981","@sujitk1981")</f>
        <v>@sujitk1981</v>
      </c>
      <c r="C7063" s="21" t="s">
        <v>15754</v>
      </c>
      <c r="D7063" s="21" t="s">
        <v>42</v>
      </c>
      <c r="E7063" s="22" t="str">
        <f>HYPERLINK("https://twitter.com/sujitk1981/status/922542670483898368","922542670483898368")</f>
        <v>922542670483898368</v>
      </c>
      <c r="F7063" s="23" t="s">
        <v>33</v>
      </c>
      <c r="G7063" s="24">
        <v>220.0</v>
      </c>
      <c r="H7063" s="24">
        <v>1458.0</v>
      </c>
      <c r="I7063" s="24">
        <v>8501.0</v>
      </c>
      <c r="J7063" s="24">
        <v>0.0</v>
      </c>
      <c r="K7063" s="23" t="s">
        <v>34</v>
      </c>
      <c r="L7063" s="25">
        <v>40123.94283564815</v>
      </c>
      <c r="M7063" s="26" t="s">
        <v>1162</v>
      </c>
      <c r="N7063" s="26" t="s">
        <v>15755</v>
      </c>
      <c r="O7063" s="22" t="str">
        <f>HYPERLINK("https://pbs.twimg.com/profile_images/794078349274578944/nKBw_NIW_normal.jpg","View")</f>
        <v>View</v>
      </c>
      <c r="P7063" s="27"/>
    </row>
    <row r="7064">
      <c r="A7064" s="14">
        <v>43031.51258101852</v>
      </c>
      <c r="B7064" s="20" t="str">
        <f>HYPERLINK("https://twitter.com/BoycottHegemony","@BoycottHegemony")</f>
        <v>@BoycottHegemony</v>
      </c>
      <c r="C7064" s="21" t="s">
        <v>12545</v>
      </c>
      <c r="D7064" s="21" t="s">
        <v>15756</v>
      </c>
      <c r="E7064" s="22" t="str">
        <f>HYPERLINK("https://twitter.com/BoycottHegemony/status/922542671406575616","922542671406575616")</f>
        <v>922542671406575616</v>
      </c>
      <c r="F7064" s="23" t="s">
        <v>55</v>
      </c>
      <c r="G7064" s="24">
        <v>51.0</v>
      </c>
      <c r="H7064" s="24">
        <v>200.0</v>
      </c>
      <c r="I7064" s="24">
        <v>2.0</v>
      </c>
      <c r="J7064" s="24">
        <v>0.0</v>
      </c>
      <c r="K7064" s="23" t="s">
        <v>34</v>
      </c>
      <c r="L7064" s="25">
        <v>43012.15828703703</v>
      </c>
      <c r="M7064" s="26" t="s">
        <v>3327</v>
      </c>
      <c r="N7064" s="26" t="s">
        <v>12546</v>
      </c>
      <c r="O7064" s="22" t="str">
        <f>HYPERLINK("https://pbs.twimg.com/profile_images/918486538916306950/blXEamFD_normal.jpg","View")</f>
        <v>View</v>
      </c>
      <c r="P7064" s="27"/>
    </row>
    <row r="7065">
      <c r="A7065" s="14">
        <v>43031.51293981481</v>
      </c>
      <c r="B7065" s="20" t="str">
        <f>HYPERLINK("https://twitter.com/urwish14","@urwish14")</f>
        <v>@urwish14</v>
      </c>
      <c r="C7065" s="21" t="s">
        <v>15757</v>
      </c>
      <c r="D7065" s="21" t="s">
        <v>42</v>
      </c>
      <c r="E7065" s="22" t="str">
        <f>HYPERLINK("https://twitter.com/urwish14/status/922542802575163394","922542802575163394")</f>
        <v>922542802575163394</v>
      </c>
      <c r="F7065" s="23" t="s">
        <v>33</v>
      </c>
      <c r="G7065" s="24">
        <v>17.0</v>
      </c>
      <c r="H7065" s="24">
        <v>47.0</v>
      </c>
      <c r="I7065" s="24">
        <v>8501.0</v>
      </c>
      <c r="J7065" s="24">
        <v>0.0</v>
      </c>
      <c r="K7065" s="23" t="s">
        <v>34</v>
      </c>
      <c r="L7065" s="25">
        <v>40926.93219907407</v>
      </c>
      <c r="M7065" s="28"/>
      <c r="N7065" s="26" t="s">
        <v>15758</v>
      </c>
      <c r="O7065" s="22" t="str">
        <f>HYPERLINK("https://pbs.twimg.com/profile_images/889517146316840960/eaVDdoSA_normal.jpg","View")</f>
        <v>View</v>
      </c>
      <c r="P7065" s="27"/>
    </row>
    <row r="7066">
      <c r="A7066" s="14">
        <v>43031.513125</v>
      </c>
      <c r="B7066" s="20" t="str">
        <f>HYPERLINK("https://twitter.com/linieav","@linieav")</f>
        <v>@linieav</v>
      </c>
      <c r="C7066" s="21" t="s">
        <v>15759</v>
      </c>
      <c r="D7066" s="21" t="s">
        <v>15756</v>
      </c>
      <c r="E7066" s="22" t="str">
        <f>HYPERLINK("https://twitter.com/linieav/status/922542869138870272","922542869138870272")</f>
        <v>922542869138870272</v>
      </c>
      <c r="F7066" s="23" t="s">
        <v>55</v>
      </c>
      <c r="G7066" s="24">
        <v>18.0</v>
      </c>
      <c r="H7066" s="24">
        <v>700.0</v>
      </c>
      <c r="I7066" s="24">
        <v>2.0</v>
      </c>
      <c r="J7066" s="24">
        <v>0.0</v>
      </c>
      <c r="K7066" s="23" t="s">
        <v>34</v>
      </c>
      <c r="L7066" s="25">
        <v>41802.69292824074</v>
      </c>
      <c r="M7066" s="26" t="s">
        <v>15760</v>
      </c>
      <c r="N7066" s="26" t="s">
        <v>15761</v>
      </c>
      <c r="O7066" s="22" t="str">
        <f>HYPERLINK("https://pbs.twimg.com/profile_images/697003300453888000/cA6XTDT4_normal.jpg","View")</f>
        <v>View</v>
      </c>
      <c r="P7066" s="27"/>
    </row>
    <row r="7067">
      <c r="A7067" s="14">
        <v>43031.51391203704</v>
      </c>
      <c r="B7067" s="20" t="str">
        <f>HYPERLINK("https://twitter.com/ForeignPolicy","@ForeignPolicy")</f>
        <v>@ForeignPolicy</v>
      </c>
      <c r="C7067" s="21" t="s">
        <v>15583</v>
      </c>
      <c r="D7067" s="21" t="s">
        <v>15762</v>
      </c>
      <c r="E7067" s="22" t="str">
        <f>HYPERLINK("https://twitter.com/ForeignPolicy/status/922543152745107456","922543152745107456")</f>
        <v>922543152745107456</v>
      </c>
      <c r="F7067" s="23" t="s">
        <v>4619</v>
      </c>
      <c r="G7067" s="24">
        <v>970981.0</v>
      </c>
      <c r="H7067" s="24">
        <v>495.0</v>
      </c>
      <c r="I7067" s="24">
        <v>14.0</v>
      </c>
      <c r="J7067" s="24">
        <v>9.0</v>
      </c>
      <c r="K7067" s="23" t="s">
        <v>34</v>
      </c>
      <c r="L7067" s="25">
        <v>39898.41459490741</v>
      </c>
      <c r="M7067" s="28"/>
      <c r="N7067" s="26" t="s">
        <v>15585</v>
      </c>
      <c r="O7067" s="22" t="str">
        <f>HYPERLINK("https://pbs.twimg.com/profile_images/560557786350637057/GXv25iue_normal.png","View")</f>
        <v>View</v>
      </c>
      <c r="P7067" s="27"/>
    </row>
    <row r="7068">
      <c r="A7068" s="14">
        <v>43031.51414351852</v>
      </c>
      <c r="B7068" s="20" t="str">
        <f>HYPERLINK("https://twitter.com/CanadianHand","@CanadianHand")</f>
        <v>@CanadianHand</v>
      </c>
      <c r="C7068" s="21" t="s">
        <v>15763</v>
      </c>
      <c r="D7068" s="21" t="s">
        <v>10614</v>
      </c>
      <c r="E7068" s="22" t="str">
        <f>HYPERLINK("https://twitter.com/CanadianHand/status/922543238099202048","922543238099202048")</f>
        <v>922543238099202048</v>
      </c>
      <c r="F7068" s="23" t="s">
        <v>55</v>
      </c>
      <c r="G7068" s="24">
        <v>8078.0</v>
      </c>
      <c r="H7068" s="24">
        <v>8106.0</v>
      </c>
      <c r="I7068" s="24">
        <v>159.0</v>
      </c>
      <c r="J7068" s="24">
        <v>0.0</v>
      </c>
      <c r="K7068" s="23" t="s">
        <v>34</v>
      </c>
      <c r="L7068" s="25">
        <v>40684.98414351852</v>
      </c>
      <c r="M7068" s="26" t="s">
        <v>6575</v>
      </c>
      <c r="N7068" s="26" t="s">
        <v>15764</v>
      </c>
      <c r="O7068" s="22" t="str">
        <f>HYPERLINK("https://pbs.twimg.com/profile_images/446826186098741249/tcivM1dL_normal.jpeg","View")</f>
        <v>View</v>
      </c>
      <c r="P7068" s="27"/>
    </row>
    <row r="7069">
      <c r="A7069" s="14">
        <v>43031.51416666667</v>
      </c>
      <c r="B7069" s="20" t="str">
        <f>HYPERLINK("https://twitter.com/Tiosfer_TOP","@Tiosfer_TOP")</f>
        <v>@Tiosfer_TOP</v>
      </c>
      <c r="C7069" s="21" t="s">
        <v>15765</v>
      </c>
      <c r="D7069" s="21" t="s">
        <v>15766</v>
      </c>
      <c r="E7069" s="22" t="str">
        <f>HYPERLINK("https://twitter.com/Tiosfer_TOP/status/922543244558221312","922543244558221312")</f>
        <v>922543244558221312</v>
      </c>
      <c r="F7069" s="23" t="s">
        <v>39</v>
      </c>
      <c r="G7069" s="24">
        <v>4239.0</v>
      </c>
      <c r="H7069" s="24">
        <v>309.0</v>
      </c>
      <c r="I7069" s="24">
        <v>14.0</v>
      </c>
      <c r="J7069" s="24">
        <v>0.0</v>
      </c>
      <c r="K7069" s="23" t="s">
        <v>34</v>
      </c>
      <c r="L7069" s="25">
        <v>40068.26422453704</v>
      </c>
      <c r="M7069" s="26" t="s">
        <v>15767</v>
      </c>
      <c r="N7069" s="26" t="s">
        <v>15768</v>
      </c>
      <c r="O7069" s="22" t="str">
        <f>HYPERLINK("https://pbs.twimg.com/profile_images/907283792611622912/bgpMtwzt_normal.jpg","View")</f>
        <v>View</v>
      </c>
      <c r="P7069" s="27"/>
    </row>
    <row r="7070">
      <c r="A7070" s="14">
        <v>43031.51420138888</v>
      </c>
      <c r="B7070" s="20" t="str">
        <f>HYPERLINK("https://twitter.com/sifebook_invest","@sifebook_invest")</f>
        <v>@sifebook_invest</v>
      </c>
      <c r="C7070" s="21" t="s">
        <v>15769</v>
      </c>
      <c r="D7070" s="21" t="s">
        <v>14855</v>
      </c>
      <c r="E7070" s="22" t="str">
        <f>HYPERLINK("https://twitter.com/sifebook_invest/status/922543259930562563","922543259930562563")</f>
        <v>922543259930562563</v>
      </c>
      <c r="F7070" s="23" t="s">
        <v>43</v>
      </c>
      <c r="G7070" s="24">
        <v>521.0</v>
      </c>
      <c r="H7070" s="24">
        <v>4988.0</v>
      </c>
      <c r="I7070" s="24">
        <v>36.0</v>
      </c>
      <c r="J7070" s="24">
        <v>0.0</v>
      </c>
      <c r="K7070" s="23" t="s">
        <v>34</v>
      </c>
      <c r="L7070" s="25">
        <v>42742.842951388884</v>
      </c>
      <c r="M7070" s="28"/>
      <c r="N7070" s="26" t="s">
        <v>15770</v>
      </c>
      <c r="O7070" s="22" t="str">
        <f>HYPERLINK("https://pbs.twimg.com/profile_images/822718833748230144/pGcxcStd_normal.jpg","View")</f>
        <v>View</v>
      </c>
      <c r="P7070" s="27"/>
    </row>
    <row r="7071">
      <c r="A7071" s="14">
        <v>43031.51435185185</v>
      </c>
      <c r="B7071" s="20" t="str">
        <f>HYPERLINK("https://twitter.com/JigerPatel","@JigerPatel")</f>
        <v>@JigerPatel</v>
      </c>
      <c r="C7071" s="21" t="s">
        <v>15771</v>
      </c>
      <c r="D7071" s="21" t="s">
        <v>42</v>
      </c>
      <c r="E7071" s="22" t="str">
        <f>HYPERLINK("https://twitter.com/JigerPatel/status/922543313022062593","922543313022062593")</f>
        <v>922543313022062593</v>
      </c>
      <c r="F7071" s="23" t="s">
        <v>39</v>
      </c>
      <c r="G7071" s="24">
        <v>201.0</v>
      </c>
      <c r="H7071" s="24">
        <v>274.0</v>
      </c>
      <c r="I7071" s="24">
        <v>8501.0</v>
      </c>
      <c r="J7071" s="24">
        <v>0.0</v>
      </c>
      <c r="K7071" s="23" t="s">
        <v>34</v>
      </c>
      <c r="L7071" s="25">
        <v>39908.842685185184</v>
      </c>
      <c r="M7071" s="28"/>
      <c r="N7071" s="26" t="s">
        <v>15772</v>
      </c>
      <c r="O7071" s="22" t="str">
        <f>HYPERLINK("https://pbs.twimg.com/profile_images/883523148066562048/v1HJW9FG_normal.jpg","View")</f>
        <v>View</v>
      </c>
      <c r="P7071" s="27"/>
    </row>
    <row r="7072">
      <c r="A7072" s="14">
        <v>43031.514652777776</v>
      </c>
      <c r="B7072" s="20" t="str">
        <f>HYPERLINK("https://twitter.com/PhilipGMerry","@PhilipGMerry")</f>
        <v>@PhilipGMerry</v>
      </c>
      <c r="C7072" s="21" t="s">
        <v>15773</v>
      </c>
      <c r="D7072" s="21" t="s">
        <v>12974</v>
      </c>
      <c r="E7072" s="22" t="str">
        <f>HYPERLINK("https://twitter.com/PhilipGMerry/status/922543424104030210","922543424104030210")</f>
        <v>922543424104030210</v>
      </c>
      <c r="F7072" s="23" t="s">
        <v>39</v>
      </c>
      <c r="G7072" s="24">
        <v>2096.0</v>
      </c>
      <c r="H7072" s="24">
        <v>1725.0</v>
      </c>
      <c r="I7072" s="24">
        <v>110.0</v>
      </c>
      <c r="J7072" s="24">
        <v>0.0</v>
      </c>
      <c r="K7072" s="23" t="s">
        <v>34</v>
      </c>
      <c r="L7072" s="25">
        <v>40108.6222337963</v>
      </c>
      <c r="M7072" s="26" t="s">
        <v>15774</v>
      </c>
      <c r="N7072" s="26" t="s">
        <v>15775</v>
      </c>
      <c r="O7072" s="22" t="str">
        <f>HYPERLINK("https://pbs.twimg.com/profile_images/846773026989453312/XKFOPKJM_normal.jpg","View")</f>
        <v>View</v>
      </c>
      <c r="P7072" s="27"/>
    </row>
    <row r="7073">
      <c r="A7073" s="14">
        <v>43031.51466435185</v>
      </c>
      <c r="B7073" s="20" t="str">
        <f>HYPERLINK("https://twitter.com/bel_shiga","@bel_shiga")</f>
        <v>@bel_shiga</v>
      </c>
      <c r="C7073" s="21" t="s">
        <v>15776</v>
      </c>
      <c r="D7073" s="21" t="s">
        <v>15478</v>
      </c>
      <c r="E7073" s="22" t="str">
        <f>HYPERLINK("https://twitter.com/bel_shiga/status/922543428180762624","922543428180762624")</f>
        <v>922543428180762624</v>
      </c>
      <c r="F7073" s="23" t="s">
        <v>55</v>
      </c>
      <c r="G7073" s="24">
        <v>2579.0</v>
      </c>
      <c r="H7073" s="24">
        <v>2615.0</v>
      </c>
      <c r="I7073" s="24">
        <v>12.0</v>
      </c>
      <c r="J7073" s="24">
        <v>0.0</v>
      </c>
      <c r="K7073" s="23" t="s">
        <v>34</v>
      </c>
      <c r="L7073" s="25">
        <v>40314.91790509259</v>
      </c>
      <c r="M7073" s="28"/>
      <c r="N7073" s="26" t="s">
        <v>15777</v>
      </c>
      <c r="O7073" s="22" t="str">
        <f>HYPERLINK("https://pbs.twimg.com/profile_images/818454344819351552/-b1hwHV5_normal.jpg","View")</f>
        <v>View</v>
      </c>
      <c r="P7073" s="27"/>
    </row>
    <row r="7074">
      <c r="A7074" s="14">
        <v>43031.5146875</v>
      </c>
      <c r="B7074" s="20" t="str">
        <f>HYPERLINK("https://twitter.com/MisUmesh","@MisUmesh")</f>
        <v>@MisUmesh</v>
      </c>
      <c r="C7074" s="21" t="s">
        <v>15778</v>
      </c>
      <c r="D7074" s="21" t="s">
        <v>42</v>
      </c>
      <c r="E7074" s="22" t="str">
        <f>HYPERLINK("https://twitter.com/MisUmesh/status/922543436250542081","922543436250542081")</f>
        <v>922543436250542081</v>
      </c>
      <c r="F7074" s="23" t="s">
        <v>33</v>
      </c>
      <c r="G7074" s="24">
        <v>215.0</v>
      </c>
      <c r="H7074" s="24">
        <v>589.0</v>
      </c>
      <c r="I7074" s="24">
        <v>8501.0</v>
      </c>
      <c r="J7074" s="24">
        <v>0.0</v>
      </c>
      <c r="K7074" s="23" t="s">
        <v>34</v>
      </c>
      <c r="L7074" s="25">
        <v>41519.47628472222</v>
      </c>
      <c r="M7074" s="26" t="s">
        <v>2020</v>
      </c>
      <c r="N7074" s="26" t="s">
        <v>15779</v>
      </c>
      <c r="O7074" s="22" t="str">
        <f>HYPERLINK("https://pbs.twimg.com/profile_images/799523456236851200/7-IEkZRS_normal.jpg","View")</f>
        <v>View</v>
      </c>
      <c r="P7074" s="27"/>
    </row>
    <row r="7075">
      <c r="A7075" s="14">
        <v>43031.51525462963</v>
      </c>
      <c r="B7075" s="20" t="str">
        <f>HYPERLINK("https://twitter.com/king_michael_ca","@king_michael_ca")</f>
        <v>@king_michael_ca</v>
      </c>
      <c r="C7075" s="21" t="s">
        <v>15780</v>
      </c>
      <c r="D7075" s="21" t="s">
        <v>11750</v>
      </c>
      <c r="E7075" s="22" t="str">
        <f>HYPERLINK("https://twitter.com/king_michael_ca/status/922543640244781059","922543640244781059")</f>
        <v>922543640244781059</v>
      </c>
      <c r="F7075" s="23" t="s">
        <v>55</v>
      </c>
      <c r="G7075" s="24">
        <v>63.0</v>
      </c>
      <c r="H7075" s="24">
        <v>404.0</v>
      </c>
      <c r="I7075" s="24">
        <v>35.0</v>
      </c>
      <c r="J7075" s="24">
        <v>0.0</v>
      </c>
      <c r="K7075" s="23" t="s">
        <v>34</v>
      </c>
      <c r="L7075" s="25">
        <v>40459.490648148145</v>
      </c>
      <c r="M7075" s="26" t="s">
        <v>920</v>
      </c>
      <c r="N7075" s="26" t="s">
        <v>15781</v>
      </c>
      <c r="O7075" s="22" t="str">
        <f>HYPERLINK("https://pbs.twimg.com/profile_images/576713585943957505/xHZpkLvx_normal.png","View")</f>
        <v>View</v>
      </c>
      <c r="P7075" s="27"/>
    </row>
    <row r="7076">
      <c r="A7076" s="14">
        <v>43031.51540509259</v>
      </c>
      <c r="B7076" s="20" t="str">
        <f>HYPERLINK("https://twitter.com/MauroOrru94","@MauroOrru94")</f>
        <v>@MauroOrru94</v>
      </c>
      <c r="C7076" s="21" t="s">
        <v>15782</v>
      </c>
      <c r="D7076" s="21" t="s">
        <v>15766</v>
      </c>
      <c r="E7076" s="22" t="str">
        <f>HYPERLINK("https://twitter.com/MauroOrru94/status/922543693458010112","922543693458010112")</f>
        <v>922543693458010112</v>
      </c>
      <c r="F7076" s="23" t="s">
        <v>55</v>
      </c>
      <c r="G7076" s="24">
        <v>144.0</v>
      </c>
      <c r="H7076" s="24">
        <v>1001.0</v>
      </c>
      <c r="I7076" s="24">
        <v>14.0</v>
      </c>
      <c r="J7076" s="24">
        <v>0.0</v>
      </c>
      <c r="K7076" s="23" t="s">
        <v>34</v>
      </c>
      <c r="L7076" s="25">
        <v>41543.12181712963</v>
      </c>
      <c r="M7076" s="26" t="s">
        <v>40</v>
      </c>
      <c r="N7076" s="26" t="s">
        <v>15783</v>
      </c>
      <c r="O7076" s="22" t="str">
        <f>HYPERLINK("https://pbs.twimg.com/profile_images/703299848813019136/pQa_rQ9I_normal.jpg","View")</f>
        <v>View</v>
      </c>
      <c r="P7076" s="27"/>
    </row>
    <row r="7077">
      <c r="A7077" s="14">
        <v>43031.51541666666</v>
      </c>
      <c r="B7077" s="20" t="str">
        <f>HYPERLINK("https://twitter.com/PRASHANTDAUNDKA","@PRASHANTDAUNDKA")</f>
        <v>@PRASHANTDAUNDKA</v>
      </c>
      <c r="C7077" s="21" t="s">
        <v>15784</v>
      </c>
      <c r="D7077" s="21" t="s">
        <v>42</v>
      </c>
      <c r="E7077" s="22" t="str">
        <f>HYPERLINK("https://twitter.com/PRASHANTDAUNDKA/status/922543698272907265","922543698272907265")</f>
        <v>922543698272907265</v>
      </c>
      <c r="F7077" s="23" t="s">
        <v>33</v>
      </c>
      <c r="G7077" s="24">
        <v>140.0</v>
      </c>
      <c r="H7077" s="24">
        <v>856.0</v>
      </c>
      <c r="I7077" s="24">
        <v>8501.0</v>
      </c>
      <c r="J7077" s="24">
        <v>0.0</v>
      </c>
      <c r="K7077" s="23" t="s">
        <v>34</v>
      </c>
      <c r="L7077" s="25">
        <v>41143.20631944444</v>
      </c>
      <c r="M7077" s="26" t="s">
        <v>15785</v>
      </c>
      <c r="N7077" s="26" t="s">
        <v>2208</v>
      </c>
      <c r="O7077" s="22" t="str">
        <f>HYPERLINK("https://pbs.twimg.com/profile_images/911121213153357824/NhCY0mZS_normal.jpg","View")</f>
        <v>View</v>
      </c>
      <c r="P7077" s="27"/>
    </row>
    <row r="7078">
      <c r="A7078" s="14">
        <v>43031.515497685185</v>
      </c>
      <c r="B7078" s="20" t="str">
        <f>HYPERLINK("https://twitter.com/JohnDParnell","@JohnDParnell")</f>
        <v>@JohnDParnell</v>
      </c>
      <c r="C7078" s="21" t="s">
        <v>15786</v>
      </c>
      <c r="D7078" s="21" t="s">
        <v>12974</v>
      </c>
      <c r="E7078" s="22" t="str">
        <f>HYPERLINK("https://twitter.com/JohnDParnell/status/922543728803360768","922543728803360768")</f>
        <v>922543728803360768</v>
      </c>
      <c r="F7078" s="23" t="s">
        <v>33</v>
      </c>
      <c r="G7078" s="24">
        <v>222.0</v>
      </c>
      <c r="H7078" s="24">
        <v>3295.0</v>
      </c>
      <c r="I7078" s="24">
        <v>110.0</v>
      </c>
      <c r="J7078" s="24">
        <v>0.0</v>
      </c>
      <c r="K7078" s="23" t="s">
        <v>34</v>
      </c>
      <c r="L7078" s="25">
        <v>40846.561203703706</v>
      </c>
      <c r="M7078" s="26" t="s">
        <v>4900</v>
      </c>
      <c r="N7078" s="26" t="s">
        <v>15787</v>
      </c>
      <c r="O7078" s="22" t="str">
        <f>HYPERLINK("https://pbs.twimg.com/profile_images/892471364204068864/PmzbQ0zB_normal.jpg","View")</f>
        <v>View</v>
      </c>
      <c r="P7078" s="27"/>
    </row>
    <row r="7079">
      <c r="A7079" s="14">
        <v>43031.51553240741</v>
      </c>
      <c r="B7079" s="20" t="str">
        <f>HYPERLINK("https://twitter.com/the_policywonk","@the_policywonk")</f>
        <v>@the_policywonk</v>
      </c>
      <c r="C7079" s="21" t="s">
        <v>15788</v>
      </c>
      <c r="D7079" s="21" t="s">
        <v>163</v>
      </c>
      <c r="E7079" s="22" t="str">
        <f>HYPERLINK("https://twitter.com/the_policywonk/status/922543739226091523","922543739226091523")</f>
        <v>922543739226091523</v>
      </c>
      <c r="F7079" s="23" t="s">
        <v>33</v>
      </c>
      <c r="G7079" s="24">
        <v>72.0</v>
      </c>
      <c r="H7079" s="24">
        <v>654.0</v>
      </c>
      <c r="I7079" s="24">
        <v>1005.0</v>
      </c>
      <c r="J7079" s="24">
        <v>0.0</v>
      </c>
      <c r="K7079" s="23" t="s">
        <v>34</v>
      </c>
      <c r="L7079" s="25">
        <v>42380.25314814815</v>
      </c>
      <c r="M7079" s="26" t="s">
        <v>15789</v>
      </c>
      <c r="N7079" s="26" t="s">
        <v>15790</v>
      </c>
      <c r="O7079" s="22" t="str">
        <f>HYPERLINK("https://pbs.twimg.com/profile_images/896665999788744705/Vv0IJDyn_normal.jpg","View")</f>
        <v>View</v>
      </c>
      <c r="P7079" s="27"/>
    </row>
    <row r="7080">
      <c r="A7080" s="14">
        <v>43031.51574074074</v>
      </c>
      <c r="B7080" s="20" t="str">
        <f>HYPERLINK("https://twitter.com/drizzylowe","@drizzylowe")</f>
        <v>@drizzylowe</v>
      </c>
      <c r="C7080" s="21" t="s">
        <v>15791</v>
      </c>
      <c r="D7080" s="21" t="s">
        <v>32</v>
      </c>
      <c r="E7080" s="22" t="str">
        <f>HYPERLINK("https://twitter.com/drizzylowe/status/922543818066538496","922543818066538496")</f>
        <v>922543818066538496</v>
      </c>
      <c r="F7080" s="23" t="s">
        <v>33</v>
      </c>
      <c r="G7080" s="24">
        <v>1629.0</v>
      </c>
      <c r="H7080" s="24">
        <v>1482.0</v>
      </c>
      <c r="I7080" s="24">
        <v>471.0</v>
      </c>
      <c r="J7080" s="24">
        <v>0.0</v>
      </c>
      <c r="K7080" s="23" t="s">
        <v>34</v>
      </c>
      <c r="L7080" s="25">
        <v>40900.429293981484</v>
      </c>
      <c r="M7080" s="26" t="s">
        <v>15792</v>
      </c>
      <c r="N7080" s="26" t="s">
        <v>15793</v>
      </c>
      <c r="O7080" s="22" t="str">
        <f>HYPERLINK("https://pbs.twimg.com/profile_images/796351068011724800/jYctsekK_normal.jpg","View")</f>
        <v>View</v>
      </c>
      <c r="P7080" s="27"/>
    </row>
    <row r="7081">
      <c r="A7081" s="14">
        <v>43031.51585648148</v>
      </c>
      <c r="B7081" s="20" t="str">
        <f>HYPERLINK("https://twitter.com/Devraya_dynasty","@Devraya_dynasty")</f>
        <v>@Devraya_dynasty</v>
      </c>
      <c r="C7081" s="21" t="s">
        <v>15794</v>
      </c>
      <c r="D7081" s="21" t="s">
        <v>42</v>
      </c>
      <c r="E7081" s="22" t="str">
        <f>HYPERLINK("https://twitter.com/Devraya_dynasty/status/922543860013830145","922543860013830145")</f>
        <v>922543860013830145</v>
      </c>
      <c r="F7081" s="23" t="s">
        <v>39</v>
      </c>
      <c r="G7081" s="24">
        <v>61.0</v>
      </c>
      <c r="H7081" s="24">
        <v>366.0</v>
      </c>
      <c r="I7081" s="24">
        <v>8501.0</v>
      </c>
      <c r="J7081" s="24">
        <v>0.0</v>
      </c>
      <c r="K7081" s="23" t="s">
        <v>34</v>
      </c>
      <c r="L7081" s="25">
        <v>41474.150625</v>
      </c>
      <c r="M7081" s="26" t="s">
        <v>15795</v>
      </c>
      <c r="N7081" s="26" t="s">
        <v>15796</v>
      </c>
      <c r="O7081" s="22" t="str">
        <f>HYPERLINK("https://pbs.twimg.com/profile_images/917967562444505088/D3rG-pp2_normal.jpg","View")</f>
        <v>View</v>
      </c>
      <c r="P7081" s="27"/>
    </row>
    <row r="7082">
      <c r="A7082" s="14">
        <v>43031.51592592592</v>
      </c>
      <c r="B7082" s="20" t="str">
        <f>HYPERLINK("https://twitter.com/SarahBrownUK","@SarahBrownUK")</f>
        <v>@SarahBrownUK</v>
      </c>
      <c r="C7082" s="21" t="s">
        <v>15797</v>
      </c>
      <c r="D7082" s="21" t="s">
        <v>14466</v>
      </c>
      <c r="E7082" s="22" t="str">
        <f>HYPERLINK("https://twitter.com/SarahBrownUK/status/922543885368340488","922543885368340488")</f>
        <v>922543885368340488</v>
      </c>
      <c r="F7082" s="23" t="s">
        <v>39</v>
      </c>
      <c r="G7082" s="24">
        <v>1214989.0</v>
      </c>
      <c r="H7082" s="24">
        <v>15056.0</v>
      </c>
      <c r="I7082" s="24">
        <v>4.0</v>
      </c>
      <c r="J7082" s="24">
        <v>0.0</v>
      </c>
      <c r="K7082" s="23" t="s">
        <v>34</v>
      </c>
      <c r="L7082" s="25">
        <v>39893.09324074074</v>
      </c>
      <c r="M7082" s="26" t="s">
        <v>708</v>
      </c>
      <c r="N7082" s="26" t="s">
        <v>15798</v>
      </c>
      <c r="O7082" s="22" t="str">
        <f>HYPERLINK("https://pbs.twimg.com/profile_images/912715250172092417/pF-nVWnQ_normal.jpg","View")</f>
        <v>View</v>
      </c>
      <c r="P7082" s="27"/>
    </row>
    <row r="7083">
      <c r="A7083" s="14">
        <v>43031.51601851852</v>
      </c>
      <c r="B7083" s="20" t="str">
        <f>HYPERLINK("https://twitter.com/LGund71","@LGund71")</f>
        <v>@LGund71</v>
      </c>
      <c r="C7083" s="21" t="s">
        <v>15799</v>
      </c>
      <c r="D7083" s="21" t="s">
        <v>15766</v>
      </c>
      <c r="E7083" s="22" t="str">
        <f>HYPERLINK("https://twitter.com/LGund71/status/922543918062948352","922543918062948352")</f>
        <v>922543918062948352</v>
      </c>
      <c r="F7083" s="23" t="s">
        <v>43</v>
      </c>
      <c r="G7083" s="24">
        <v>989.0</v>
      </c>
      <c r="H7083" s="24">
        <v>1192.0</v>
      </c>
      <c r="I7083" s="24">
        <v>14.0</v>
      </c>
      <c r="J7083" s="24">
        <v>0.0</v>
      </c>
      <c r="K7083" s="23" t="s">
        <v>34</v>
      </c>
      <c r="L7083" s="25">
        <v>39833.75523148148</v>
      </c>
      <c r="M7083" s="26" t="s">
        <v>4411</v>
      </c>
      <c r="N7083" s="26" t="s">
        <v>15800</v>
      </c>
      <c r="O7083" s="22" t="str">
        <f>HYPERLINK("https://pbs.twimg.com/profile_images/834062520239353857/iJvnJ-A7_normal.jpg","View")</f>
        <v>View</v>
      </c>
      <c r="P7083" s="27"/>
    </row>
    <row r="7084">
      <c r="A7084" s="14">
        <v>43031.51657407408</v>
      </c>
      <c r="B7084" s="20" t="str">
        <f>HYPERLINK("https://twitter.com/baldwin141","@baldwin141")</f>
        <v>@baldwin141</v>
      </c>
      <c r="C7084" s="21" t="s">
        <v>15801</v>
      </c>
      <c r="D7084" s="21" t="s">
        <v>12974</v>
      </c>
      <c r="E7084" s="22" t="str">
        <f>HYPERLINK("https://twitter.com/baldwin141/status/922544119943188481","922544119943188481")</f>
        <v>922544119943188481</v>
      </c>
      <c r="F7084" s="23" t="s">
        <v>39</v>
      </c>
      <c r="G7084" s="24">
        <v>194.0</v>
      </c>
      <c r="H7084" s="24">
        <v>1103.0</v>
      </c>
      <c r="I7084" s="24">
        <v>110.0</v>
      </c>
      <c r="J7084" s="24">
        <v>0.0</v>
      </c>
      <c r="K7084" s="23" t="s">
        <v>34</v>
      </c>
      <c r="L7084" s="25">
        <v>41364.47461805555</v>
      </c>
      <c r="M7084" s="26" t="s">
        <v>15802</v>
      </c>
      <c r="N7084" s="26" t="s">
        <v>15803</v>
      </c>
      <c r="O7084" s="22" t="str">
        <f>HYPERLINK("https://pbs.twimg.com/profile_images/872971953698734080/IDf13MTl_normal.jpg","View")</f>
        <v>View</v>
      </c>
      <c r="P7084" s="27"/>
    </row>
    <row r="7085">
      <c r="A7085" s="14">
        <v>43031.51684027778</v>
      </c>
      <c r="B7085" s="20" t="str">
        <f>HYPERLINK("https://twitter.com/SBLewisSB","@SBLewisSB")</f>
        <v>@SBLewisSB</v>
      </c>
      <c r="C7085" s="21" t="s">
        <v>15804</v>
      </c>
      <c r="D7085" s="21" t="s">
        <v>15805</v>
      </c>
      <c r="E7085" s="22" t="str">
        <f>HYPERLINK("https://twitter.com/SBLewisSB/status/922544215980158976","922544215980158976")</f>
        <v>922544215980158976</v>
      </c>
      <c r="F7085" s="23" t="s">
        <v>230</v>
      </c>
      <c r="G7085" s="24">
        <v>499.0</v>
      </c>
      <c r="H7085" s="24">
        <v>4998.0</v>
      </c>
      <c r="I7085" s="24">
        <v>1.0</v>
      </c>
      <c r="J7085" s="24">
        <v>0.0</v>
      </c>
      <c r="K7085" s="23" t="s">
        <v>34</v>
      </c>
      <c r="L7085" s="25">
        <v>42041.34644675926</v>
      </c>
      <c r="M7085" s="26" t="s">
        <v>15806</v>
      </c>
      <c r="N7085" s="26" t="s">
        <v>15807</v>
      </c>
      <c r="O7085" s="22" t="str">
        <f>HYPERLINK("https://pbs.twimg.com/profile_images/804731529251454976/gdK-bv7p_normal.jpg","View")</f>
        <v>View</v>
      </c>
      <c r="P7085" s="27"/>
    </row>
    <row r="7086">
      <c r="A7086" s="14">
        <v>43031.51704861112</v>
      </c>
      <c r="B7086" s="20" t="str">
        <f>HYPERLINK("https://twitter.com/drmbshah01","@drmbshah01")</f>
        <v>@drmbshah01</v>
      </c>
      <c r="C7086" s="21" t="s">
        <v>15808</v>
      </c>
      <c r="D7086" s="21" t="s">
        <v>42</v>
      </c>
      <c r="E7086" s="22" t="str">
        <f>HYPERLINK("https://twitter.com/drmbshah01/status/922544291469078528","922544291469078528")</f>
        <v>922544291469078528</v>
      </c>
      <c r="F7086" s="23" t="s">
        <v>33</v>
      </c>
      <c r="G7086" s="24">
        <v>227.0</v>
      </c>
      <c r="H7086" s="24">
        <v>1438.0</v>
      </c>
      <c r="I7086" s="24">
        <v>8501.0</v>
      </c>
      <c r="J7086" s="24">
        <v>0.0</v>
      </c>
      <c r="K7086" s="23" t="s">
        <v>34</v>
      </c>
      <c r="L7086" s="25">
        <v>41215.17172453704</v>
      </c>
      <c r="M7086" s="26" t="s">
        <v>246</v>
      </c>
      <c r="N7086" s="26" t="s">
        <v>15809</v>
      </c>
      <c r="O7086" s="22" t="str">
        <f>HYPERLINK("https://pbs.twimg.com/profile_images/777592936838094848/4sHDVc2k_normal.jpg","View")</f>
        <v>View</v>
      </c>
      <c r="P7086" s="27"/>
    </row>
    <row r="7087">
      <c r="A7087" s="14">
        <v>43031.51722222222</v>
      </c>
      <c r="B7087" s="20" t="str">
        <f>HYPERLINK("https://twitter.com/pratikraj847211","@pratikraj847211")</f>
        <v>@pratikraj847211</v>
      </c>
      <c r="C7087" s="21" t="s">
        <v>15810</v>
      </c>
      <c r="D7087" s="21" t="s">
        <v>42</v>
      </c>
      <c r="E7087" s="22" t="str">
        <f>HYPERLINK("https://twitter.com/pratikraj847211/status/922544353305804800","922544353305804800")</f>
        <v>922544353305804800</v>
      </c>
      <c r="F7087" s="23" t="s">
        <v>33</v>
      </c>
      <c r="G7087" s="24">
        <v>58.0</v>
      </c>
      <c r="H7087" s="24">
        <v>153.0</v>
      </c>
      <c r="I7087" s="24">
        <v>8501.0</v>
      </c>
      <c r="J7087" s="24">
        <v>0.0</v>
      </c>
      <c r="K7087" s="23" t="s">
        <v>34</v>
      </c>
      <c r="L7087" s="25">
        <v>42786.383888888886</v>
      </c>
      <c r="M7087" s="26" t="s">
        <v>4605</v>
      </c>
      <c r="N7087" s="26" t="s">
        <v>15811</v>
      </c>
      <c r="O7087" s="22" t="str">
        <f>HYPERLINK("https://pbs.twimg.com/profile_images/866539194750980098/-x-1zj5b_normal.jpg","View")</f>
        <v>View</v>
      </c>
      <c r="P7087" s="27"/>
    </row>
    <row r="7088">
      <c r="A7088" s="14">
        <v>43031.51729166666</v>
      </c>
      <c r="B7088" s="20" t="str">
        <f>HYPERLINK("https://twitter.com/Nadex","@Nadex")</f>
        <v>@Nadex</v>
      </c>
      <c r="C7088" s="21" t="s">
        <v>15812</v>
      </c>
      <c r="D7088" s="21" t="s">
        <v>15813</v>
      </c>
      <c r="E7088" s="22" t="str">
        <f>HYPERLINK("https://twitter.com/Nadex/status/922544379771998208","922544379771998208")</f>
        <v>922544379771998208</v>
      </c>
      <c r="F7088" s="23" t="s">
        <v>4619</v>
      </c>
      <c r="G7088" s="24">
        <v>4891.0</v>
      </c>
      <c r="H7088" s="24">
        <v>918.0</v>
      </c>
      <c r="I7088" s="24">
        <v>1.0</v>
      </c>
      <c r="J7088" s="24">
        <v>1.0</v>
      </c>
      <c r="K7088" s="23" t="s">
        <v>34</v>
      </c>
      <c r="L7088" s="25">
        <v>40708.34142361111</v>
      </c>
      <c r="M7088" s="26" t="s">
        <v>15814</v>
      </c>
      <c r="N7088" s="26" t="s">
        <v>15815</v>
      </c>
      <c r="O7088" s="22" t="str">
        <f>HYPERLINK("https://pbs.twimg.com/profile_images/897222527185039360/ChFlvxxx_normal.jpg","View")</f>
        <v>View</v>
      </c>
      <c r="P7088" s="27"/>
    </row>
    <row r="7089">
      <c r="A7089" s="14">
        <v>43031.5175</v>
      </c>
      <c r="B7089" s="20" t="str">
        <f>HYPERLINK("https://twitter.com/akoronakis","@akoronakis")</f>
        <v>@akoronakis</v>
      </c>
      <c r="C7089" s="21" t="s">
        <v>15816</v>
      </c>
      <c r="D7089" s="21" t="s">
        <v>15817</v>
      </c>
      <c r="E7089" s="22" t="str">
        <f>HYPERLINK("https://twitter.com/akoronakis/status/922544453730033664","922544453730033664")</f>
        <v>922544453730033664</v>
      </c>
      <c r="F7089" s="30" t="s">
        <v>411</v>
      </c>
      <c r="G7089" s="24">
        <v>8577.0</v>
      </c>
      <c r="H7089" s="24">
        <v>5881.0</v>
      </c>
      <c r="I7089" s="24">
        <v>1.0</v>
      </c>
      <c r="J7089" s="24">
        <v>0.0</v>
      </c>
      <c r="K7089" s="23" t="s">
        <v>34</v>
      </c>
      <c r="L7089" s="25">
        <v>39783.10501157407</v>
      </c>
      <c r="M7089" s="26" t="s">
        <v>2660</v>
      </c>
      <c r="N7089" s="26" t="s">
        <v>15818</v>
      </c>
      <c r="O7089" s="22" t="str">
        <f>HYPERLINK("https://pbs.twimg.com/profile_images/768584072394334208/bhkKXwHu_normal.jpg","View")</f>
        <v>View</v>
      </c>
      <c r="P7089" s="27"/>
    </row>
    <row r="7090">
      <c r="A7090" s="14">
        <v>43031.517534722225</v>
      </c>
      <c r="B7090" s="20" t="str">
        <f>HYPERLINK("https://twitter.com/MartinTwigs68","@MartinTwigs68")</f>
        <v>@MartinTwigs68</v>
      </c>
      <c r="C7090" s="21" t="s">
        <v>15819</v>
      </c>
      <c r="D7090" s="21" t="s">
        <v>12974</v>
      </c>
      <c r="E7090" s="22" t="str">
        <f>HYPERLINK("https://twitter.com/MartinTwigs68/status/922544466745069568","922544466745069568")</f>
        <v>922544466745069568</v>
      </c>
      <c r="F7090" s="23" t="s">
        <v>33</v>
      </c>
      <c r="G7090" s="24">
        <v>420.0</v>
      </c>
      <c r="H7090" s="24">
        <v>360.0</v>
      </c>
      <c r="I7090" s="24">
        <v>110.0</v>
      </c>
      <c r="J7090" s="24">
        <v>0.0</v>
      </c>
      <c r="K7090" s="23" t="s">
        <v>34</v>
      </c>
      <c r="L7090" s="25">
        <v>41611.01314814815</v>
      </c>
      <c r="M7090" s="26" t="s">
        <v>15820</v>
      </c>
      <c r="N7090" s="26" t="s">
        <v>15821</v>
      </c>
      <c r="O7090" s="22" t="str">
        <f>HYPERLINK("https://pbs.twimg.com/profile_images/916647365456646144/-43gJhHR_normal.jpg","View")</f>
        <v>View</v>
      </c>
      <c r="P7090" s="27"/>
    </row>
    <row r="7091">
      <c r="A7091" s="14">
        <v>43031.51758101852</v>
      </c>
      <c r="B7091" s="20" t="str">
        <f>HYPERLINK("https://twitter.com/latticeworkwlth","@latticeworkwlth")</f>
        <v>@latticeworkwlth</v>
      </c>
      <c r="C7091" s="21" t="s">
        <v>15822</v>
      </c>
      <c r="D7091" s="21" t="s">
        <v>15823</v>
      </c>
      <c r="E7091" s="22" t="str">
        <f>HYPERLINK("https://twitter.com/latticeworkwlth/status/922544483140620288","922544483140620288")</f>
        <v>922544483140620288</v>
      </c>
      <c r="F7091" s="23" t="s">
        <v>39</v>
      </c>
      <c r="G7091" s="24">
        <v>415.0</v>
      </c>
      <c r="H7091" s="24">
        <v>370.0</v>
      </c>
      <c r="I7091" s="24">
        <v>0.0</v>
      </c>
      <c r="J7091" s="24">
        <v>0.0</v>
      </c>
      <c r="K7091" s="23" t="s">
        <v>34</v>
      </c>
      <c r="L7091" s="25">
        <v>41467.52011574074</v>
      </c>
      <c r="M7091" s="26" t="s">
        <v>15824</v>
      </c>
      <c r="N7091" s="26" t="s">
        <v>15825</v>
      </c>
      <c r="O7091" s="22" t="str">
        <f>HYPERLINK("https://pbs.twimg.com/profile_images/428198941847330816/eSsaa1Si_normal.jpeg","View")</f>
        <v>View</v>
      </c>
      <c r="P7091" s="27"/>
    </row>
    <row r="7092">
      <c r="A7092" s="14">
        <v>43031.5177662037</v>
      </c>
      <c r="B7092" s="20" t="str">
        <f>HYPERLINK("https://twitter.com/ADRIANSYSNET","@ADRIANSYSNET")</f>
        <v>@ADRIANSYSNET</v>
      </c>
      <c r="C7092" s="21" t="s">
        <v>15826</v>
      </c>
      <c r="D7092" s="21" t="s">
        <v>13119</v>
      </c>
      <c r="E7092" s="22" t="str">
        <f>HYPERLINK("https://twitter.com/ADRIANSYSNET/status/922544548370251776","922544548370251776")</f>
        <v>922544548370251776</v>
      </c>
      <c r="F7092" s="23" t="s">
        <v>33</v>
      </c>
      <c r="G7092" s="24">
        <v>1189.0</v>
      </c>
      <c r="H7092" s="24">
        <v>5001.0</v>
      </c>
      <c r="I7092" s="24">
        <v>6.0</v>
      </c>
      <c r="J7092" s="24">
        <v>0.0</v>
      </c>
      <c r="K7092" s="23" t="s">
        <v>34</v>
      </c>
      <c r="L7092" s="25">
        <v>42043.43763888889</v>
      </c>
      <c r="M7092" s="28"/>
      <c r="N7092" s="28"/>
      <c r="O7092" s="22" t="str">
        <f>HYPERLINK("https://pbs.twimg.com/profile_images/871323616582877185/4s1ES9Vx_normal.jpg","View")</f>
        <v>View</v>
      </c>
      <c r="P7092" s="27"/>
    </row>
    <row r="7093">
      <c r="A7093" s="14">
        <v>43031.51833333333</v>
      </c>
      <c r="B7093" s="20" t="str">
        <f>HYPERLINK("https://twitter.com/Amb0306","@Amb0306")</f>
        <v>@Amb0306</v>
      </c>
      <c r="C7093" s="21" t="s">
        <v>15827</v>
      </c>
      <c r="D7093" s="21" t="s">
        <v>15766</v>
      </c>
      <c r="E7093" s="22" t="str">
        <f>HYPERLINK("https://twitter.com/Amb0306/status/922544754218471424","922544754218471424")</f>
        <v>922544754218471424</v>
      </c>
      <c r="F7093" s="23" t="s">
        <v>230</v>
      </c>
      <c r="G7093" s="24">
        <v>468.0</v>
      </c>
      <c r="H7093" s="24">
        <v>909.0</v>
      </c>
      <c r="I7093" s="24">
        <v>14.0</v>
      </c>
      <c r="J7093" s="24">
        <v>0.0</v>
      </c>
      <c r="K7093" s="23" t="s">
        <v>34</v>
      </c>
      <c r="L7093" s="25">
        <v>42546.49641203704</v>
      </c>
      <c r="M7093" s="28"/>
      <c r="N7093" s="26" t="s">
        <v>15828</v>
      </c>
      <c r="O7093" s="22" t="str">
        <f>HYPERLINK("https://abs.twimg.com/sticky/default_profile_images/default_profile_normal.png","View")</f>
        <v>View</v>
      </c>
      <c r="P7093" s="27"/>
    </row>
    <row r="7094">
      <c r="A7094" s="14">
        <v>43031.518483796295</v>
      </c>
      <c r="B7094" s="20" t="str">
        <f>HYPERLINK("https://twitter.com/Siddhartha5750","@Siddhartha5750")</f>
        <v>@Siddhartha5750</v>
      </c>
      <c r="C7094" s="21" t="s">
        <v>15829</v>
      </c>
      <c r="D7094" s="21" t="s">
        <v>42</v>
      </c>
      <c r="E7094" s="22" t="str">
        <f>HYPERLINK("https://twitter.com/Siddhartha5750/status/922544808593256448","922544808593256448")</f>
        <v>922544808593256448</v>
      </c>
      <c r="F7094" s="23" t="s">
        <v>33</v>
      </c>
      <c r="G7094" s="24">
        <v>132.0</v>
      </c>
      <c r="H7094" s="24">
        <v>419.0</v>
      </c>
      <c r="I7094" s="24">
        <v>8501.0</v>
      </c>
      <c r="J7094" s="24">
        <v>0.0</v>
      </c>
      <c r="K7094" s="23" t="s">
        <v>34</v>
      </c>
      <c r="L7094" s="25">
        <v>41690.49030092593</v>
      </c>
      <c r="M7094" s="26" t="s">
        <v>3955</v>
      </c>
      <c r="N7094" s="26" t="s">
        <v>15830</v>
      </c>
      <c r="O7094" s="22" t="str">
        <f>HYPERLINK("https://pbs.twimg.com/profile_images/824655608972537857/H07uPCfP_normal.jpg","View")</f>
        <v>View</v>
      </c>
      <c r="P7094" s="27"/>
    </row>
    <row r="7095">
      <c r="A7095" s="14">
        <v>43031.51851851852</v>
      </c>
      <c r="B7095" s="20" t="str">
        <f>HYPERLINK("https://twitter.com/1_newsnet","@1_newsnet")</f>
        <v>@1_newsnet</v>
      </c>
      <c r="C7095" s="21" t="s">
        <v>15831</v>
      </c>
      <c r="D7095" s="21" t="s">
        <v>15832</v>
      </c>
      <c r="E7095" s="22" t="str">
        <f>HYPERLINK("https://twitter.com/1_newsnet/status/922544824993091584","922544824993091584")</f>
        <v>922544824993091584</v>
      </c>
      <c r="F7095" s="23" t="s">
        <v>15833</v>
      </c>
      <c r="G7095" s="24">
        <v>16164.0</v>
      </c>
      <c r="H7095" s="24">
        <v>147.0</v>
      </c>
      <c r="I7095" s="24">
        <v>0.0</v>
      </c>
      <c r="J7095" s="24">
        <v>0.0</v>
      </c>
      <c r="K7095" s="23" t="s">
        <v>34</v>
      </c>
      <c r="L7095" s="25">
        <v>41726.30076388889</v>
      </c>
      <c r="M7095" s="28"/>
      <c r="N7095" s="26" t="s">
        <v>15834</v>
      </c>
      <c r="O7095" s="22" t="str">
        <f>HYPERLINK("https://pbs.twimg.com/profile_images/475296454257291264/Uj3aJ-3r_normal.jpeg","View")</f>
        <v>View</v>
      </c>
      <c r="P7095" s="27"/>
    </row>
    <row r="7096">
      <c r="A7096" s="14">
        <v>43031.518645833334</v>
      </c>
      <c r="B7096" s="20" t="str">
        <f>HYPERLINK("https://twitter.com/mandargv","@mandargv")</f>
        <v>@mandargv</v>
      </c>
      <c r="C7096" s="21" t="s">
        <v>15835</v>
      </c>
      <c r="D7096" s="21" t="s">
        <v>163</v>
      </c>
      <c r="E7096" s="22" t="str">
        <f>HYPERLINK("https://twitter.com/mandargv/status/922544871168233472","922544871168233472")</f>
        <v>922544871168233472</v>
      </c>
      <c r="F7096" s="23" t="s">
        <v>33</v>
      </c>
      <c r="G7096" s="24">
        <v>128.0</v>
      </c>
      <c r="H7096" s="24">
        <v>381.0</v>
      </c>
      <c r="I7096" s="24">
        <v>1005.0</v>
      </c>
      <c r="J7096" s="24">
        <v>0.0</v>
      </c>
      <c r="K7096" s="23" t="s">
        <v>34</v>
      </c>
      <c r="L7096" s="25">
        <v>40164.24724537037</v>
      </c>
      <c r="M7096" s="26" t="s">
        <v>68</v>
      </c>
      <c r="N7096" s="26" t="s">
        <v>15836</v>
      </c>
      <c r="O7096" s="22" t="str">
        <f>HYPERLINK("https://pbs.twimg.com/profile_images/703593018025181184/h0Lf5rXq_normal.jpg","View")</f>
        <v>View</v>
      </c>
      <c r="P7096" s="27"/>
    </row>
    <row r="7097">
      <c r="A7097" s="14">
        <v>43031.51872685185</v>
      </c>
      <c r="B7097" s="20" t="str">
        <f>HYPERLINK("https://twitter.com/bobbysharma","@bobbysharma")</f>
        <v>@bobbysharma</v>
      </c>
      <c r="C7097" s="21" t="s">
        <v>15837</v>
      </c>
      <c r="D7097" s="21" t="s">
        <v>15766</v>
      </c>
      <c r="E7097" s="22" t="str">
        <f>HYPERLINK("https://twitter.com/bobbysharma/status/922544896673710080","922544896673710080")</f>
        <v>922544896673710080</v>
      </c>
      <c r="F7097" s="23" t="s">
        <v>39</v>
      </c>
      <c r="G7097" s="24">
        <v>34305.0</v>
      </c>
      <c r="H7097" s="24">
        <v>2595.0</v>
      </c>
      <c r="I7097" s="24">
        <v>14.0</v>
      </c>
      <c r="J7097" s="24">
        <v>0.0</v>
      </c>
      <c r="K7097" s="23" t="s">
        <v>34</v>
      </c>
      <c r="L7097" s="25">
        <v>39867.68618055555</v>
      </c>
      <c r="M7097" s="26" t="s">
        <v>120</v>
      </c>
      <c r="N7097" s="26" t="s">
        <v>15838</v>
      </c>
      <c r="O7097" s="22" t="str">
        <f>HYPERLINK("https://pbs.twimg.com/profile_images/915329576116645889/ozxOyugt_normal.jpg","View")</f>
        <v>View</v>
      </c>
      <c r="P7097" s="27"/>
    </row>
    <row r="7098">
      <c r="A7098" s="14">
        <v>43031.51936342593</v>
      </c>
      <c r="B7098" s="20" t="str">
        <f>HYPERLINK("https://twitter.com/suyashyebud","@suyashyebud")</f>
        <v>@suyashyebud</v>
      </c>
      <c r="C7098" s="21" t="s">
        <v>15839</v>
      </c>
      <c r="D7098" s="21" t="s">
        <v>42</v>
      </c>
      <c r="E7098" s="22" t="str">
        <f>HYPERLINK("https://twitter.com/suyashyebud/status/922545130908794880","922545130908794880")</f>
        <v>922545130908794880</v>
      </c>
      <c r="F7098" s="23" t="s">
        <v>33</v>
      </c>
      <c r="G7098" s="24">
        <v>1920.0</v>
      </c>
      <c r="H7098" s="24">
        <v>354.0</v>
      </c>
      <c r="I7098" s="24">
        <v>8501.0</v>
      </c>
      <c r="J7098" s="24">
        <v>0.0</v>
      </c>
      <c r="K7098" s="23" t="s">
        <v>34</v>
      </c>
      <c r="L7098" s="25">
        <v>40445.27746527777</v>
      </c>
      <c r="M7098" s="26" t="s">
        <v>575</v>
      </c>
      <c r="N7098" s="26" t="s">
        <v>15840</v>
      </c>
      <c r="O7098" s="22" t="str">
        <f>HYPERLINK("https://pbs.twimg.com/profile_images/840972141382234113/cVTMzsAt_normal.jpg","View")</f>
        <v>View</v>
      </c>
      <c r="P7098" s="27"/>
    </row>
    <row r="7099">
      <c r="A7099" s="14">
        <v>43031.51976851852</v>
      </c>
      <c r="B7099" s="20" t="str">
        <f>HYPERLINK("https://twitter.com/i__Global","@i__Global")</f>
        <v>@i__Global</v>
      </c>
      <c r="C7099" s="21" t="s">
        <v>9685</v>
      </c>
      <c r="D7099" s="21" t="s">
        <v>15841</v>
      </c>
      <c r="E7099" s="22" t="str">
        <f>HYPERLINK("https://twitter.com/i__Global/status/922545274387664899","922545274387664899")</f>
        <v>922545274387664899</v>
      </c>
      <c r="F7099" s="23" t="s">
        <v>187</v>
      </c>
      <c r="G7099" s="24">
        <v>320.0</v>
      </c>
      <c r="H7099" s="24">
        <v>541.0</v>
      </c>
      <c r="I7099" s="24">
        <v>0.0</v>
      </c>
      <c r="J7099" s="24">
        <v>0.0</v>
      </c>
      <c r="K7099" s="23" t="s">
        <v>34</v>
      </c>
      <c r="L7099" s="25">
        <v>41975.42964120371</v>
      </c>
      <c r="M7099" s="26" t="s">
        <v>2068</v>
      </c>
      <c r="N7099" s="28"/>
      <c r="O7099" s="22" t="str">
        <f>HYPERLINK("https://pbs.twimg.com/profile_images/539846499421532160/RQ0XgLb__normal.png","View")</f>
        <v>View</v>
      </c>
      <c r="P7099" s="27"/>
    </row>
    <row r="7100">
      <c r="A7100" s="14">
        <v>43031.51976851852</v>
      </c>
      <c r="B7100" s="20" t="str">
        <f>HYPERLINK("https://twitter.com/thecpshah","@thecpshah")</f>
        <v>@thecpshah</v>
      </c>
      <c r="C7100" s="21" t="s">
        <v>15842</v>
      </c>
      <c r="D7100" s="21" t="s">
        <v>15584</v>
      </c>
      <c r="E7100" s="22" t="str">
        <f>HYPERLINK("https://twitter.com/thecpshah/status/922545275784351744","922545275784351744")</f>
        <v>922545275784351744</v>
      </c>
      <c r="F7100" s="23" t="s">
        <v>39</v>
      </c>
      <c r="G7100" s="24">
        <v>340.0</v>
      </c>
      <c r="H7100" s="24">
        <v>216.0</v>
      </c>
      <c r="I7100" s="24">
        <v>9.0</v>
      </c>
      <c r="J7100" s="24">
        <v>0.0</v>
      </c>
      <c r="K7100" s="23" t="s">
        <v>34</v>
      </c>
      <c r="L7100" s="25">
        <v>40292.11170138889</v>
      </c>
      <c r="M7100" s="26" t="s">
        <v>40</v>
      </c>
      <c r="N7100" s="26" t="s">
        <v>15843</v>
      </c>
      <c r="O7100" s="22" t="str">
        <f>HYPERLINK("https://pbs.twimg.com/profile_images/922173249638846464/kqVaYcUU_normal.jpg","View")</f>
        <v>View</v>
      </c>
      <c r="P7100" s="27"/>
    </row>
    <row r="7101">
      <c r="A7101" s="14">
        <v>43031.519907407404</v>
      </c>
      <c r="B7101" s="20" t="str">
        <f>HYPERLINK("https://twitter.com/jdilipjain","@jdilipjain")</f>
        <v>@jdilipjain</v>
      </c>
      <c r="C7101" s="21" t="s">
        <v>6307</v>
      </c>
      <c r="D7101" s="21" t="s">
        <v>163</v>
      </c>
      <c r="E7101" s="22" t="str">
        <f>HYPERLINK("https://twitter.com/jdilipjain/status/922545325105016832","922545325105016832")</f>
        <v>922545325105016832</v>
      </c>
      <c r="F7101" s="23" t="s">
        <v>33</v>
      </c>
      <c r="G7101" s="24">
        <v>1214.0</v>
      </c>
      <c r="H7101" s="24">
        <v>1313.0</v>
      </c>
      <c r="I7101" s="24">
        <v>1005.0</v>
      </c>
      <c r="J7101" s="24">
        <v>0.0</v>
      </c>
      <c r="K7101" s="23" t="s">
        <v>34</v>
      </c>
      <c r="L7101" s="25">
        <v>41562.87600694445</v>
      </c>
      <c r="M7101" s="26" t="s">
        <v>1991</v>
      </c>
      <c r="N7101" s="28"/>
      <c r="O7101" s="22" t="str">
        <f>HYPERLINK("https://pbs.twimg.com/profile_images/637139985263558656/wWhZDnAq_normal.jpg","View")</f>
        <v>View</v>
      </c>
      <c r="P7101" s="27"/>
    </row>
    <row r="7102">
      <c r="A7102" s="14">
        <v>43031.52001157407</v>
      </c>
      <c r="B7102" s="20" t="str">
        <f>HYPERLINK("https://twitter.com/HonestWordsOnly","@HonestWordsOnly")</f>
        <v>@HonestWordsOnly</v>
      </c>
      <c r="C7102" s="21" t="s">
        <v>15844</v>
      </c>
      <c r="D7102" s="21" t="s">
        <v>163</v>
      </c>
      <c r="E7102" s="22" t="str">
        <f>HYPERLINK("https://twitter.com/HonestWordsOnly/status/922545365676564480","922545365676564480")</f>
        <v>922545365676564480</v>
      </c>
      <c r="F7102" s="23" t="s">
        <v>33</v>
      </c>
      <c r="G7102" s="24">
        <v>681.0</v>
      </c>
      <c r="H7102" s="24">
        <v>396.0</v>
      </c>
      <c r="I7102" s="24">
        <v>1005.0</v>
      </c>
      <c r="J7102" s="24">
        <v>0.0</v>
      </c>
      <c r="K7102" s="23" t="s">
        <v>34</v>
      </c>
      <c r="L7102" s="25">
        <v>40295.11508101852</v>
      </c>
      <c r="M7102" s="26" t="s">
        <v>5280</v>
      </c>
      <c r="N7102" s="26" t="s">
        <v>15845</v>
      </c>
      <c r="O7102" s="22" t="str">
        <f>HYPERLINK("https://pbs.twimg.com/profile_images/814093301649391618/yQRZJkLo_normal.jpg","View")</f>
        <v>View</v>
      </c>
      <c r="P7102" s="27"/>
    </row>
    <row r="7103">
      <c r="A7103" s="14">
        <v>43031.520104166666</v>
      </c>
      <c r="B7103" s="20" t="str">
        <f>HYPERLINK("https://twitter.com/DeepakBhunje","@DeepakBhunje")</f>
        <v>@DeepakBhunje</v>
      </c>
      <c r="C7103" s="21" t="s">
        <v>15846</v>
      </c>
      <c r="D7103" s="21" t="s">
        <v>42</v>
      </c>
      <c r="E7103" s="22" t="str">
        <f>HYPERLINK("https://twitter.com/DeepakBhunje/status/922545395867172864","922545395867172864")</f>
        <v>922545395867172864</v>
      </c>
      <c r="F7103" s="23" t="s">
        <v>43</v>
      </c>
      <c r="G7103" s="24">
        <v>116.0</v>
      </c>
      <c r="H7103" s="24">
        <v>130.0</v>
      </c>
      <c r="I7103" s="24">
        <v>8501.0</v>
      </c>
      <c r="J7103" s="24">
        <v>0.0</v>
      </c>
      <c r="K7103" s="23" t="s">
        <v>34</v>
      </c>
      <c r="L7103" s="25">
        <v>40215.57981481482</v>
      </c>
      <c r="M7103" s="26" t="s">
        <v>15847</v>
      </c>
      <c r="N7103" s="26" t="s">
        <v>15848</v>
      </c>
      <c r="O7103" s="22" t="str">
        <f>HYPERLINK("https://pbs.twimg.com/profile_images/824694196380561409/PRWjiJj0_normal.jpg","View")</f>
        <v>View</v>
      </c>
      <c r="P7103" s="27"/>
    </row>
    <row r="7104">
      <c r="A7104" s="14">
        <v>43031.520104166666</v>
      </c>
      <c r="B7104" s="20" t="str">
        <f>HYPERLINK("https://twitter.com/BJPSARDARNAGAR","@BJPSARDARNAGAR")</f>
        <v>@BJPSARDARNAGAR</v>
      </c>
      <c r="C7104" s="21" t="s">
        <v>15849</v>
      </c>
      <c r="D7104" s="21" t="s">
        <v>42</v>
      </c>
      <c r="E7104" s="22" t="str">
        <f>HYPERLINK("https://twitter.com/BJPSARDARNAGAR/status/922545396458561541","922545396458561541")</f>
        <v>922545396458561541</v>
      </c>
      <c r="F7104" s="23" t="s">
        <v>55</v>
      </c>
      <c r="G7104" s="24">
        <v>3838.0</v>
      </c>
      <c r="H7104" s="24">
        <v>263.0</v>
      </c>
      <c r="I7104" s="24">
        <v>8501.0</v>
      </c>
      <c r="J7104" s="24">
        <v>0.0</v>
      </c>
      <c r="K7104" s="23" t="s">
        <v>34</v>
      </c>
      <c r="L7104" s="25">
        <v>41057.9015162037</v>
      </c>
      <c r="M7104" s="26" t="s">
        <v>2087</v>
      </c>
      <c r="N7104" s="26" t="s">
        <v>15850</v>
      </c>
      <c r="O7104" s="22" t="str">
        <f>HYPERLINK("https://pbs.twimg.com/profile_images/717581469850308609/sW0zCb1P_normal.jpg","View")</f>
        <v>View</v>
      </c>
      <c r="P7104" s="27"/>
    </row>
    <row r="7105">
      <c r="A7105" s="14">
        <v>43031.521099537036</v>
      </c>
      <c r="B7105" s="20" t="str">
        <f>HYPERLINK("https://twitter.com/voastudentu","@voastudentu")</f>
        <v>@voastudentu</v>
      </c>
      <c r="C7105" s="21" t="s">
        <v>14569</v>
      </c>
      <c r="D7105" s="21" t="s">
        <v>15851</v>
      </c>
      <c r="E7105" s="22" t="str">
        <f>HYPERLINK("https://twitter.com/voastudentu/status/922545759840604160","922545759840604160")</f>
        <v>922545759840604160</v>
      </c>
      <c r="F7105" s="23" t="s">
        <v>427</v>
      </c>
      <c r="G7105" s="24">
        <v>3517.0</v>
      </c>
      <c r="H7105" s="24">
        <v>846.0</v>
      </c>
      <c r="I7105" s="24">
        <v>0.0</v>
      </c>
      <c r="J7105" s="24">
        <v>0.0</v>
      </c>
      <c r="K7105" s="23" t="s">
        <v>34</v>
      </c>
      <c r="L7105" s="25">
        <v>40451.277141203704</v>
      </c>
      <c r="M7105" s="26" t="s">
        <v>4239</v>
      </c>
      <c r="N7105" s="26" t="s">
        <v>14571</v>
      </c>
      <c r="O7105" s="22" t="str">
        <f>HYPERLINK("https://pbs.twimg.com/profile_images/768926188928720898/3QrDhafa_normal.jpg","View")</f>
        <v>View</v>
      </c>
      <c r="P7105" s="27"/>
    </row>
    <row r="7106">
      <c r="A7106" s="14">
        <v>43031.52122685185</v>
      </c>
      <c r="B7106" s="20" t="str">
        <f>HYPERLINK("https://twitter.com/ryankuncik","@ryankuncik")</f>
        <v>@ryankuncik</v>
      </c>
      <c r="C7106" s="21" t="s">
        <v>15852</v>
      </c>
      <c r="D7106" s="21" t="s">
        <v>15584</v>
      </c>
      <c r="E7106" s="22" t="str">
        <f>HYPERLINK("https://twitter.com/ryankuncik/status/922545802827853824","922545802827853824")</f>
        <v>922545802827853824</v>
      </c>
      <c r="F7106" s="23" t="s">
        <v>33</v>
      </c>
      <c r="G7106" s="24">
        <v>61.0</v>
      </c>
      <c r="H7106" s="24">
        <v>180.0</v>
      </c>
      <c r="I7106" s="24">
        <v>9.0</v>
      </c>
      <c r="J7106" s="24">
        <v>0.0</v>
      </c>
      <c r="K7106" s="23" t="s">
        <v>34</v>
      </c>
      <c r="L7106" s="25">
        <v>42151.66138888889</v>
      </c>
      <c r="M7106" s="28"/>
      <c r="N7106" s="28"/>
      <c r="O7106" s="22" t="str">
        <f>HYPERLINK("https://pbs.twimg.com/profile_images/837323027415101442/HCQQm1PM_normal.jpg","View")</f>
        <v>View</v>
      </c>
      <c r="P7106" s="27"/>
    </row>
    <row r="7107">
      <c r="A7107" s="14">
        <v>43031.521423611106</v>
      </c>
      <c r="B7107" s="20" t="str">
        <f>HYPERLINK("https://twitter.com/inews2day","@inews2day")</f>
        <v>@inews2day</v>
      </c>
      <c r="C7107" s="21" t="s">
        <v>539</v>
      </c>
      <c r="D7107" s="21" t="s">
        <v>15853</v>
      </c>
      <c r="E7107" s="22" t="str">
        <f>HYPERLINK("https://twitter.com/inews2day/status/922545877427900416","922545877427900416")</f>
        <v>922545877427900416</v>
      </c>
      <c r="F7107" s="23" t="s">
        <v>187</v>
      </c>
      <c r="G7107" s="24">
        <v>487.0</v>
      </c>
      <c r="H7107" s="24">
        <v>0.0</v>
      </c>
      <c r="I7107" s="24">
        <v>0.0</v>
      </c>
      <c r="J7107" s="24">
        <v>0.0</v>
      </c>
      <c r="K7107" s="23" t="s">
        <v>34</v>
      </c>
      <c r="L7107" s="25">
        <v>42055.11097222222</v>
      </c>
      <c r="M7107" s="26" t="s">
        <v>541</v>
      </c>
      <c r="N7107" s="26" t="s">
        <v>542</v>
      </c>
      <c r="O7107" s="22" t="str">
        <f>HYPERLINK("https://pbs.twimg.com/profile_images/568731081323466752/-oyEQpj9_normal.jpeg","View")</f>
        <v>View</v>
      </c>
      <c r="P7107" s="27"/>
    </row>
    <row r="7108">
      <c r="A7108" s="14">
        <v>43031.521527777775</v>
      </c>
      <c r="B7108" s="20" t="str">
        <f>HYPERLINK("https://twitter.com/theirworld","@theirworld")</f>
        <v>@theirworld</v>
      </c>
      <c r="C7108" s="21" t="s">
        <v>14219</v>
      </c>
      <c r="D7108" s="21" t="s">
        <v>15854</v>
      </c>
      <c r="E7108" s="22" t="str">
        <f>HYPERLINK("https://twitter.com/theirworld/status/922545913435844608","922545913435844608")</f>
        <v>922545913435844608</v>
      </c>
      <c r="F7108" s="23" t="s">
        <v>769</v>
      </c>
      <c r="G7108" s="24">
        <v>5432.0</v>
      </c>
      <c r="H7108" s="24">
        <v>1274.0</v>
      </c>
      <c r="I7108" s="24">
        <v>0.0</v>
      </c>
      <c r="J7108" s="24">
        <v>3.0</v>
      </c>
      <c r="K7108" s="23" t="s">
        <v>34</v>
      </c>
      <c r="L7108" s="25">
        <v>39912.11318287037</v>
      </c>
      <c r="M7108" s="26" t="s">
        <v>14221</v>
      </c>
      <c r="N7108" s="26" t="s">
        <v>14222</v>
      </c>
      <c r="O7108" s="22" t="str">
        <f>HYPERLINK("https://pbs.twimg.com/profile_images/378800000833479836/bc7776bfb324b4558732055cf66affed_normal.jpeg","View")</f>
        <v>View</v>
      </c>
      <c r="P7108" s="27"/>
    </row>
    <row r="7109">
      <c r="A7109" s="14">
        <v>43031.52153935185</v>
      </c>
      <c r="B7109" s="20" t="str">
        <f>HYPERLINK("https://twitter.com/theirnews","@theirnews")</f>
        <v>@theirnews</v>
      </c>
      <c r="C7109" s="21" t="s">
        <v>14216</v>
      </c>
      <c r="D7109" s="21" t="s">
        <v>15855</v>
      </c>
      <c r="E7109" s="22" t="str">
        <f>HYPERLINK("https://twitter.com/theirnews/status/922545917613486081","922545917613486081")</f>
        <v>922545917613486081</v>
      </c>
      <c r="F7109" s="23" t="s">
        <v>769</v>
      </c>
      <c r="G7109" s="24">
        <v>53222.0</v>
      </c>
      <c r="H7109" s="24">
        <v>1523.0</v>
      </c>
      <c r="I7109" s="24">
        <v>0.0</v>
      </c>
      <c r="J7109" s="24">
        <v>1.0</v>
      </c>
      <c r="K7109" s="23" t="s">
        <v>34</v>
      </c>
      <c r="L7109" s="25">
        <v>41318.68096064815</v>
      </c>
      <c r="M7109" s="28"/>
      <c r="N7109" s="26" t="s">
        <v>14218</v>
      </c>
      <c r="O7109" s="22" t="str">
        <f>HYPERLINK("https://pbs.twimg.com/profile_images/877158723793412096/rYeMlb6c_normal.jpg","View")</f>
        <v>View</v>
      </c>
      <c r="P7109" s="27"/>
    </row>
    <row r="7110">
      <c r="A7110" s="14">
        <v>43031.5215625</v>
      </c>
      <c r="B7110" s="20" t="str">
        <f>HYPERLINK("https://twitter.com/WorldNewsNgayon","@WorldNewsNgayon")</f>
        <v>@WorldNewsNgayon</v>
      </c>
      <c r="C7110" s="21" t="s">
        <v>4889</v>
      </c>
      <c r="D7110" s="21" t="s">
        <v>15856</v>
      </c>
      <c r="E7110" s="22" t="str">
        <f>HYPERLINK("https://twitter.com/WorldNewsNgayon/status/922545926077648896","922545926077648896")</f>
        <v>922545926077648896</v>
      </c>
      <c r="F7110" s="23" t="s">
        <v>187</v>
      </c>
      <c r="G7110" s="24">
        <v>1177.0</v>
      </c>
      <c r="H7110" s="24">
        <v>9.0</v>
      </c>
      <c r="I7110" s="24">
        <v>0.0</v>
      </c>
      <c r="J7110" s="24">
        <v>0.0</v>
      </c>
      <c r="K7110" s="23" t="s">
        <v>34</v>
      </c>
      <c r="L7110" s="25">
        <v>41174.847233796296</v>
      </c>
      <c r="M7110" s="26" t="s">
        <v>3507</v>
      </c>
      <c r="N7110" s="26" t="s">
        <v>4891</v>
      </c>
      <c r="O7110" s="22" t="str">
        <f>HYPERLINK("https://pbs.twimg.com/profile_images/425420772534784000/_u4Vu6V1_normal.jpeg","View")</f>
        <v>View</v>
      </c>
      <c r="P7110" s="27"/>
    </row>
    <row r="7111">
      <c r="A7111" s="14">
        <v>43031.52172453704</v>
      </c>
      <c r="B7111" s="20" t="str">
        <f>HYPERLINK("https://twitter.com/IliyanYurukov","@IliyanYurukov")</f>
        <v>@IliyanYurukov</v>
      </c>
      <c r="C7111" s="21" t="s">
        <v>15857</v>
      </c>
      <c r="D7111" s="21" t="s">
        <v>6403</v>
      </c>
      <c r="E7111" s="22" t="str">
        <f>HYPERLINK("https://twitter.com/IliyanYurukov/status/922545986387488768","922545986387488768")</f>
        <v>922545986387488768</v>
      </c>
      <c r="F7111" s="23" t="s">
        <v>55</v>
      </c>
      <c r="G7111" s="24">
        <v>2814.0</v>
      </c>
      <c r="H7111" s="24">
        <v>5000.0</v>
      </c>
      <c r="I7111" s="24">
        <v>97.0</v>
      </c>
      <c r="J7111" s="24">
        <v>0.0</v>
      </c>
      <c r="K7111" s="23" t="s">
        <v>34</v>
      </c>
      <c r="L7111" s="25">
        <v>40898.87525462963</v>
      </c>
      <c r="M7111" s="26" t="s">
        <v>829</v>
      </c>
      <c r="N7111" s="26" t="s">
        <v>15858</v>
      </c>
      <c r="O7111" s="22" t="str">
        <f>HYPERLINK("https://pbs.twimg.com/profile_images/378800000711840050/4a8bb7c1a8eb41d161a3d2212dd115d5_normal.jpeg","View")</f>
        <v>View</v>
      </c>
      <c r="P7111" s="27"/>
    </row>
    <row r="7112">
      <c r="A7112" s="14">
        <v>43031.52174768518</v>
      </c>
      <c r="B7112" s="20" t="str">
        <f>HYPERLINK("https://twitter.com/BeingHinDuzZ2","@BeingHinDuzZ2")</f>
        <v>@BeingHinDuzZ2</v>
      </c>
      <c r="C7112" s="21" t="s">
        <v>15859</v>
      </c>
      <c r="D7112" s="21" t="s">
        <v>42</v>
      </c>
      <c r="E7112" s="22" t="str">
        <f>HYPERLINK("https://twitter.com/BeingHinDuzZ2/status/922545991210766336","922545991210766336")</f>
        <v>922545991210766336</v>
      </c>
      <c r="F7112" s="23" t="s">
        <v>33</v>
      </c>
      <c r="G7112" s="24">
        <v>643.0</v>
      </c>
      <c r="H7112" s="24">
        <v>372.0</v>
      </c>
      <c r="I7112" s="24">
        <v>8501.0</v>
      </c>
      <c r="J7112" s="24">
        <v>0.0</v>
      </c>
      <c r="K7112" s="23" t="s">
        <v>34</v>
      </c>
      <c r="L7112" s="25">
        <v>42445.88394675926</v>
      </c>
      <c r="M7112" s="26" t="s">
        <v>15860</v>
      </c>
      <c r="N7112" s="26" t="s">
        <v>15861</v>
      </c>
      <c r="O7112" s="22" t="str">
        <f>HYPERLINK("https://pbs.twimg.com/profile_images/836809725899653121/D4AXc9ab_normal.jpg","View")</f>
        <v>View</v>
      </c>
      <c r="P7112" s="27"/>
    </row>
    <row r="7113">
      <c r="A7113" s="14">
        <v>43031.52174768518</v>
      </c>
      <c r="B7113" s="20" t="str">
        <f>HYPERLINK("https://twitter.com/kabarberita","@kabarberita")</f>
        <v>@kabarberita</v>
      </c>
      <c r="C7113" s="21" t="s">
        <v>15862</v>
      </c>
      <c r="D7113" s="21" t="s">
        <v>15863</v>
      </c>
      <c r="E7113" s="22" t="str">
        <f>HYPERLINK("https://twitter.com/kabarberita/status/922545994138636289","922545994138636289")</f>
        <v>922545994138636289</v>
      </c>
      <c r="F7113" s="23" t="s">
        <v>91</v>
      </c>
      <c r="G7113" s="24">
        <v>2729.0</v>
      </c>
      <c r="H7113" s="24">
        <v>111.0</v>
      </c>
      <c r="I7113" s="24">
        <v>0.0</v>
      </c>
      <c r="J7113" s="24">
        <v>0.0</v>
      </c>
      <c r="K7113" s="23" t="s">
        <v>34</v>
      </c>
      <c r="L7113" s="25">
        <v>40259.24925925926</v>
      </c>
      <c r="M7113" s="26" t="s">
        <v>15864</v>
      </c>
      <c r="N7113" s="26" t="s">
        <v>15865</v>
      </c>
      <c r="O7113" s="22" t="str">
        <f>HYPERLINK("https://pbs.twimg.com/profile_images/1496838853/download_normal.jpg","View")</f>
        <v>View</v>
      </c>
      <c r="P7113" s="27"/>
    </row>
    <row r="7114">
      <c r="A7114" s="14">
        <v>43031.52209490741</v>
      </c>
      <c r="B7114" s="20" t="str">
        <f>HYPERLINK("https://twitter.com/ManojThapliyal","@ManojThapliyal")</f>
        <v>@ManojThapliyal</v>
      </c>
      <c r="C7114" s="21" t="s">
        <v>15866</v>
      </c>
      <c r="D7114" s="21" t="s">
        <v>42</v>
      </c>
      <c r="E7114" s="22" t="str">
        <f>HYPERLINK("https://twitter.com/ManojThapliyal/status/922546120399650818","922546120399650818")</f>
        <v>922546120399650818</v>
      </c>
      <c r="F7114" s="23" t="s">
        <v>55</v>
      </c>
      <c r="G7114" s="24">
        <v>197.0</v>
      </c>
      <c r="H7114" s="24">
        <v>235.0</v>
      </c>
      <c r="I7114" s="24">
        <v>8501.0</v>
      </c>
      <c r="J7114" s="24">
        <v>0.0</v>
      </c>
      <c r="K7114" s="23" t="s">
        <v>34</v>
      </c>
      <c r="L7114" s="25">
        <v>40177.075324074074</v>
      </c>
      <c r="M7114" s="26" t="s">
        <v>15867</v>
      </c>
      <c r="N7114" s="26" t="s">
        <v>15868</v>
      </c>
      <c r="O7114" s="22" t="str">
        <f>HYPERLINK("https://pbs.twimg.com/profile_images/1844927389/image_normal.jpg","View")</f>
        <v>View</v>
      </c>
      <c r="P7114" s="27"/>
    </row>
    <row r="7115">
      <c r="A7115" s="14">
        <v>43031.52222222222</v>
      </c>
      <c r="B7115" s="20" t="str">
        <f>HYPERLINK("https://twitter.com/kyodo_english","@kyodo_english")</f>
        <v>@kyodo_english</v>
      </c>
      <c r="C7115" s="21" t="s">
        <v>12586</v>
      </c>
      <c r="D7115" s="21" t="s">
        <v>15869</v>
      </c>
      <c r="E7115" s="22" t="str">
        <f>HYPERLINK("https://twitter.com/kyodo_english/status/922546165047902208","922546165047902208")</f>
        <v>922546165047902208</v>
      </c>
      <c r="F7115" s="23" t="s">
        <v>769</v>
      </c>
      <c r="G7115" s="24">
        <v>3237.0</v>
      </c>
      <c r="H7115" s="24">
        <v>29.0</v>
      </c>
      <c r="I7115" s="24">
        <v>0.0</v>
      </c>
      <c r="J7115" s="24">
        <v>0.0</v>
      </c>
      <c r="K7115" s="23" t="s">
        <v>34</v>
      </c>
      <c r="L7115" s="25">
        <v>40441.57237268519</v>
      </c>
      <c r="M7115" s="26" t="s">
        <v>853</v>
      </c>
      <c r="N7115" s="26" t="s">
        <v>12588</v>
      </c>
      <c r="O7115" s="22" t="str">
        <f>HYPERLINK("https://pbs.twimg.com/profile_images/845114681027018754/60xUfFXu_normal.jpg","View")</f>
        <v>View</v>
      </c>
      <c r="P7115" s="27"/>
    </row>
    <row r="7116">
      <c r="A7116" s="14">
        <v>43031.522268518514</v>
      </c>
      <c r="B7116" s="20" t="str">
        <f>HYPERLINK("https://twitter.com/emilyctamkin","@emilyctamkin")</f>
        <v>@emilyctamkin</v>
      </c>
      <c r="C7116" s="21" t="s">
        <v>15575</v>
      </c>
      <c r="D7116" s="21" t="s">
        <v>15766</v>
      </c>
      <c r="E7116" s="22" t="str">
        <f>HYPERLINK("https://twitter.com/emilyctamkin/status/922546180671918082","922546180671918082")</f>
        <v>922546180671918082</v>
      </c>
      <c r="F7116" s="23" t="s">
        <v>39</v>
      </c>
      <c r="G7116" s="24">
        <v>4934.0</v>
      </c>
      <c r="H7116" s="24">
        <v>2090.0</v>
      </c>
      <c r="I7116" s="24">
        <v>14.0</v>
      </c>
      <c r="J7116" s="24">
        <v>0.0</v>
      </c>
      <c r="K7116" s="23" t="s">
        <v>34</v>
      </c>
      <c r="L7116" s="25">
        <v>40892.84340277778</v>
      </c>
      <c r="M7116" s="28"/>
      <c r="N7116" s="26" t="s">
        <v>15577</v>
      </c>
      <c r="O7116" s="22" t="str">
        <f>HYPERLINK("https://pbs.twimg.com/profile_images/829444099837157377/F2zCvUGu_normal.jpg","View")</f>
        <v>View</v>
      </c>
      <c r="P7116" s="27"/>
    </row>
    <row r="7117">
      <c r="A7117" s="14">
        <v>43031.522361111114</v>
      </c>
      <c r="B7117" s="20" t="str">
        <f>HYPERLINK("https://twitter.com/breaking_news_4","@breaking_news_4")</f>
        <v>@breaking_news_4</v>
      </c>
      <c r="C7117" s="21" t="s">
        <v>5830</v>
      </c>
      <c r="D7117" s="21" t="s">
        <v>15870</v>
      </c>
      <c r="E7117" s="22" t="str">
        <f>HYPERLINK("https://twitter.com/breaking_news_4/status/922546216470220807","922546216470220807")</f>
        <v>922546216470220807</v>
      </c>
      <c r="F7117" s="23" t="s">
        <v>187</v>
      </c>
      <c r="G7117" s="24">
        <v>1564.0</v>
      </c>
      <c r="H7117" s="24">
        <v>168.0</v>
      </c>
      <c r="I7117" s="24">
        <v>0.0</v>
      </c>
      <c r="J7117" s="24">
        <v>0.0</v>
      </c>
      <c r="K7117" s="23" t="s">
        <v>34</v>
      </c>
      <c r="L7117" s="25">
        <v>41323.59861111111</v>
      </c>
      <c r="M7117" s="28"/>
      <c r="N7117" s="28"/>
      <c r="O7117" s="22" t="str">
        <f>HYPERLINK("https://pbs.twimg.com/profile_images/3506234829/a38e573d69ee71fcc25830b97d00c179_normal.png","View")</f>
        <v>View</v>
      </c>
      <c r="P7117" s="27"/>
    </row>
    <row r="7118">
      <c r="A7118" s="14">
        <v>43031.52311342592</v>
      </c>
      <c r="B7118" s="20" t="str">
        <f>HYPERLINK("https://twitter.com/chetansharma365","@chetansharma365")</f>
        <v>@chetansharma365</v>
      </c>
      <c r="C7118" s="21" t="s">
        <v>15871</v>
      </c>
      <c r="D7118" s="21" t="s">
        <v>42</v>
      </c>
      <c r="E7118" s="22" t="str">
        <f>HYPERLINK("https://twitter.com/chetansharma365/status/922546488407769088","922546488407769088")</f>
        <v>922546488407769088</v>
      </c>
      <c r="F7118" s="23" t="s">
        <v>39</v>
      </c>
      <c r="G7118" s="24">
        <v>585.0</v>
      </c>
      <c r="H7118" s="24">
        <v>1598.0</v>
      </c>
      <c r="I7118" s="24">
        <v>8501.0</v>
      </c>
      <c r="J7118" s="24">
        <v>0.0</v>
      </c>
      <c r="K7118" s="23" t="s">
        <v>34</v>
      </c>
      <c r="L7118" s="25">
        <v>40091.39392361111</v>
      </c>
      <c r="M7118" s="26" t="s">
        <v>204</v>
      </c>
      <c r="N7118" s="26" t="s">
        <v>15872</v>
      </c>
      <c r="O7118" s="22" t="str">
        <f>HYPERLINK("https://pbs.twimg.com/profile_images/884788600642121730/z2rxJGCg_normal.jpg","View")</f>
        <v>View</v>
      </c>
      <c r="P7118" s="27"/>
    </row>
    <row r="7119">
      <c r="A7119" s="14">
        <v>43031.52321759259</v>
      </c>
      <c r="B7119" s="20" t="str">
        <f>HYPERLINK("https://twitter.com/crestgist","@crestgist")</f>
        <v>@crestgist</v>
      </c>
      <c r="C7119" s="21" t="s">
        <v>15873</v>
      </c>
      <c r="D7119" s="21" t="s">
        <v>15874</v>
      </c>
      <c r="E7119" s="22" t="str">
        <f>HYPERLINK("https://twitter.com/crestgist/status/922546526601310208","922546526601310208")</f>
        <v>922546526601310208</v>
      </c>
      <c r="F7119" s="30" t="s">
        <v>191</v>
      </c>
      <c r="G7119" s="24">
        <v>19925.0</v>
      </c>
      <c r="H7119" s="24">
        <v>13746.0</v>
      </c>
      <c r="I7119" s="24">
        <v>0.0</v>
      </c>
      <c r="J7119" s="24">
        <v>0.0</v>
      </c>
      <c r="K7119" s="23" t="s">
        <v>34</v>
      </c>
      <c r="L7119" s="25">
        <v>42140.535266203704</v>
      </c>
      <c r="M7119" s="26" t="s">
        <v>3331</v>
      </c>
      <c r="N7119" s="26" t="s">
        <v>15875</v>
      </c>
      <c r="O7119" s="22" t="str">
        <f>HYPERLINK("https://pbs.twimg.com/profile_images/603924739808198656/lJwW8QWe_normal.png","View")</f>
        <v>View</v>
      </c>
      <c r="P7119" s="27"/>
    </row>
    <row r="7120">
      <c r="A7120" s="14">
        <v>43031.52322916666</v>
      </c>
      <c r="B7120" s="20" t="str">
        <f>HYPERLINK("https://twitter.com/KpmediaNetwork","@KpmediaNetwork")</f>
        <v>@KpmediaNetwork</v>
      </c>
      <c r="C7120" s="21" t="s">
        <v>15876</v>
      </c>
      <c r="D7120" s="21" t="s">
        <v>15877</v>
      </c>
      <c r="E7120" s="22" t="str">
        <f>HYPERLINK("https://twitter.com/KpmediaNetwork/status/922546531173093381","922546531173093381")</f>
        <v>922546531173093381</v>
      </c>
      <c r="F7120" s="30" t="s">
        <v>191</v>
      </c>
      <c r="G7120" s="24">
        <v>2311.0</v>
      </c>
      <c r="H7120" s="24">
        <v>2040.0</v>
      </c>
      <c r="I7120" s="24">
        <v>0.0</v>
      </c>
      <c r="J7120" s="24">
        <v>0.0</v>
      </c>
      <c r="K7120" s="23" t="s">
        <v>34</v>
      </c>
      <c r="L7120" s="25">
        <v>42054.313310185185</v>
      </c>
      <c r="M7120" s="26" t="s">
        <v>4424</v>
      </c>
      <c r="N7120" s="26" t="s">
        <v>15878</v>
      </c>
      <c r="O7120" s="22" t="str">
        <f>HYPERLINK("https://pbs.twimg.com/profile_images/568433777739714560/scipIaQd_normal.jpeg","View")</f>
        <v>View</v>
      </c>
      <c r="P7120" s="27"/>
    </row>
    <row r="7121">
      <c r="A7121" s="14">
        <v>43031.523310185185</v>
      </c>
      <c r="B7121" s="20" t="str">
        <f>HYPERLINK("https://twitter.com/NewsTweetsWorld","@NewsTweetsWorld")</f>
        <v>@NewsTweetsWorld</v>
      </c>
      <c r="C7121" s="21" t="s">
        <v>2115</v>
      </c>
      <c r="D7121" s="21" t="s">
        <v>15879</v>
      </c>
      <c r="E7121" s="22" t="str">
        <f>HYPERLINK("https://twitter.com/NewsTweetsWorld/status/922546560961056768","922546560961056768")</f>
        <v>922546560961056768</v>
      </c>
      <c r="F7121" s="23" t="s">
        <v>187</v>
      </c>
      <c r="G7121" s="24">
        <v>103.0</v>
      </c>
      <c r="H7121" s="24">
        <v>1.0</v>
      </c>
      <c r="I7121" s="24">
        <v>0.0</v>
      </c>
      <c r="J7121" s="24">
        <v>0.0</v>
      </c>
      <c r="K7121" s="23" t="s">
        <v>34</v>
      </c>
      <c r="L7121" s="25">
        <v>41532.008935185186</v>
      </c>
      <c r="M7121" s="26" t="s">
        <v>204</v>
      </c>
      <c r="N7121" s="26" t="s">
        <v>2117</v>
      </c>
      <c r="O7121" s="22" t="str">
        <f>HYPERLINK("https://pbs.twimg.com/profile_images/843820599508066304/J82aiBad_normal.jpg","View")</f>
        <v>View</v>
      </c>
      <c r="P7121" s="27"/>
    </row>
    <row r="7122">
      <c r="A7122" s="14">
        <v>43031.52339120371</v>
      </c>
      <c r="B7122" s="20" t="str">
        <f>HYPERLINK("https://twitter.com/kpopson1","@kpopson1")</f>
        <v>@kpopson1</v>
      </c>
      <c r="C7122" s="21" t="s">
        <v>15880</v>
      </c>
      <c r="D7122" s="21" t="s">
        <v>15881</v>
      </c>
      <c r="E7122" s="22" t="str">
        <f>HYPERLINK("https://twitter.com/kpopson1/status/922546589725548545","922546589725548545")</f>
        <v>922546589725548545</v>
      </c>
      <c r="F7122" s="30" t="s">
        <v>191</v>
      </c>
      <c r="G7122" s="24">
        <v>1627.0</v>
      </c>
      <c r="H7122" s="24">
        <v>1354.0</v>
      </c>
      <c r="I7122" s="24">
        <v>0.0</v>
      </c>
      <c r="J7122" s="24">
        <v>0.0</v>
      </c>
      <c r="K7122" s="23" t="s">
        <v>34</v>
      </c>
      <c r="L7122" s="25">
        <v>40164.83787037037</v>
      </c>
      <c r="M7122" s="26" t="s">
        <v>14480</v>
      </c>
      <c r="N7122" s="26" t="s">
        <v>15882</v>
      </c>
      <c r="O7122" s="22" t="str">
        <f>HYPERLINK("https://pbs.twimg.com/profile_images/780493204831477760/Zjx3rXaK_normal.jpg","View")</f>
        <v>View</v>
      </c>
      <c r="P7122" s="27"/>
    </row>
    <row r="7123">
      <c r="A7123" s="14">
        <v>43031.5234375</v>
      </c>
      <c r="B7123" s="20" t="str">
        <f>HYPERLINK("https://twitter.com/Chi312Chi","@Chi312Chi")</f>
        <v>@Chi312Chi</v>
      </c>
      <c r="C7123" s="21" t="s">
        <v>478</v>
      </c>
      <c r="D7123" s="21" t="s">
        <v>15766</v>
      </c>
      <c r="E7123" s="22" t="str">
        <f>HYPERLINK("https://twitter.com/Chi312Chi/status/922546605533880323","922546605533880323")</f>
        <v>922546605533880323</v>
      </c>
      <c r="F7123" s="23" t="s">
        <v>3031</v>
      </c>
      <c r="G7123" s="24">
        <v>541.0</v>
      </c>
      <c r="H7123" s="24">
        <v>2430.0</v>
      </c>
      <c r="I7123" s="24">
        <v>14.0</v>
      </c>
      <c r="J7123" s="24">
        <v>0.0</v>
      </c>
      <c r="K7123" s="23" t="s">
        <v>34</v>
      </c>
      <c r="L7123" s="25">
        <v>41645.81662037037</v>
      </c>
      <c r="M7123" s="28"/>
      <c r="N7123" s="28"/>
      <c r="O7123" s="22" t="str">
        <f>HYPERLINK("https://pbs.twimg.com/profile_images/918940173085413376/0qeHPlF8_normal.jpg","View")</f>
        <v>View</v>
      </c>
      <c r="P7123" s="27"/>
    </row>
    <row r="7124">
      <c r="A7124" s="14">
        <v>43031.523611111115</v>
      </c>
      <c r="B7124" s="20" t="str">
        <f>HYPERLINK("https://twitter.com/SpreadHedger","@SpreadHedger")</f>
        <v>@SpreadHedger</v>
      </c>
      <c r="C7124" s="21" t="s">
        <v>15883</v>
      </c>
      <c r="D7124" s="21" t="s">
        <v>9940</v>
      </c>
      <c r="E7124" s="22" t="str">
        <f>HYPERLINK("https://twitter.com/SpreadHedger/status/922546667039150080","922546667039150080")</f>
        <v>922546667039150080</v>
      </c>
      <c r="F7124" s="23" t="s">
        <v>15884</v>
      </c>
      <c r="G7124" s="24">
        <v>1048.0</v>
      </c>
      <c r="H7124" s="24">
        <v>1350.0</v>
      </c>
      <c r="I7124" s="24">
        <v>27.0</v>
      </c>
      <c r="J7124" s="24">
        <v>0.0</v>
      </c>
      <c r="K7124" s="23" t="s">
        <v>34</v>
      </c>
      <c r="L7124" s="25">
        <v>42313.88548611111</v>
      </c>
      <c r="M7124" s="26">
        <v>1735.0</v>
      </c>
      <c r="N7124" s="28"/>
      <c r="O7124" s="22" t="str">
        <f>HYPERLINK("https://pbs.twimg.com/profile_images/892270656225759232/w2bC2x6o_normal.jpg","View")</f>
        <v>View</v>
      </c>
      <c r="P7124" s="27"/>
    </row>
    <row r="7125">
      <c r="A7125" s="14">
        <v>43031.52453703704</v>
      </c>
      <c r="B7125" s="20" t="str">
        <f>HYPERLINK("https://twitter.com/MukireEdward","@MukireEdward")</f>
        <v>@MukireEdward</v>
      </c>
      <c r="C7125" s="21" t="s">
        <v>15885</v>
      </c>
      <c r="D7125" s="21" t="s">
        <v>32</v>
      </c>
      <c r="E7125" s="22" t="str">
        <f>HYPERLINK("https://twitter.com/MukireEdward/status/922547005485920257","922547005485920257")</f>
        <v>922547005485920257</v>
      </c>
      <c r="F7125" s="23" t="s">
        <v>33</v>
      </c>
      <c r="G7125" s="24">
        <v>244.0</v>
      </c>
      <c r="H7125" s="24">
        <v>1134.0</v>
      </c>
      <c r="I7125" s="24">
        <v>471.0</v>
      </c>
      <c r="J7125" s="24">
        <v>0.0</v>
      </c>
      <c r="K7125" s="23" t="s">
        <v>34</v>
      </c>
      <c r="L7125" s="25">
        <v>41772.222604166665</v>
      </c>
      <c r="M7125" s="28"/>
      <c r="N7125" s="26" t="s">
        <v>15886</v>
      </c>
      <c r="O7125" s="22" t="str">
        <f>HYPERLINK("https://pbs.twimg.com/profile_images/842988684311838720/OI4jjoVB_normal.jpg","View")</f>
        <v>View</v>
      </c>
      <c r="P7125" s="27"/>
    </row>
    <row r="7126">
      <c r="A7126" s="14">
        <v>43031.52454861111</v>
      </c>
      <c r="B7126" s="20" t="str">
        <f>HYPERLINK("https://twitter.com/pawantiwariBJP","@pawantiwariBJP")</f>
        <v>@pawantiwariBJP</v>
      </c>
      <c r="C7126" s="21" t="s">
        <v>15887</v>
      </c>
      <c r="D7126" s="21" t="s">
        <v>42</v>
      </c>
      <c r="E7126" s="22" t="str">
        <f>HYPERLINK("https://twitter.com/pawantiwariBJP/status/922547006215806978","922547006215806978")</f>
        <v>922547006215806978</v>
      </c>
      <c r="F7126" s="23" t="s">
        <v>33</v>
      </c>
      <c r="G7126" s="24">
        <v>280.0</v>
      </c>
      <c r="H7126" s="24">
        <v>253.0</v>
      </c>
      <c r="I7126" s="24">
        <v>8501.0</v>
      </c>
      <c r="J7126" s="24">
        <v>0.0</v>
      </c>
      <c r="K7126" s="23" t="s">
        <v>34</v>
      </c>
      <c r="L7126" s="25">
        <v>41193.4828125</v>
      </c>
      <c r="M7126" s="26" t="s">
        <v>15888</v>
      </c>
      <c r="N7126" s="26" t="s">
        <v>15889</v>
      </c>
      <c r="O7126" s="22" t="str">
        <f>HYPERLINK("https://pbs.twimg.com/profile_images/842275336402407424/2TLKW2y7_normal.jpg","View")</f>
        <v>View</v>
      </c>
      <c r="P7126" s="27"/>
    </row>
    <row r="7127">
      <c r="A7127" s="14">
        <v>43031.5249537037</v>
      </c>
      <c r="B7127" s="20" t="str">
        <f>HYPERLINK("https://twitter.com/cottonwood100","@cottonwood100")</f>
        <v>@cottonwood100</v>
      </c>
      <c r="C7127" s="21" t="s">
        <v>15890</v>
      </c>
      <c r="D7127" s="21" t="s">
        <v>15891</v>
      </c>
      <c r="E7127" s="22" t="str">
        <f>HYPERLINK("https://twitter.com/cottonwood100/status/922547155541397504","922547155541397504")</f>
        <v>922547155541397504</v>
      </c>
      <c r="F7127" s="23" t="s">
        <v>55</v>
      </c>
      <c r="G7127" s="24">
        <v>245.0</v>
      </c>
      <c r="H7127" s="24">
        <v>883.0</v>
      </c>
      <c r="I7127" s="24">
        <v>0.0</v>
      </c>
      <c r="J7127" s="24">
        <v>0.0</v>
      </c>
      <c r="K7127" s="23" t="s">
        <v>34</v>
      </c>
      <c r="L7127" s="25">
        <v>41957.53934027778</v>
      </c>
      <c r="M7127" s="26" t="s">
        <v>478</v>
      </c>
      <c r="N7127" s="26" t="s">
        <v>15892</v>
      </c>
      <c r="O7127" s="22" t="str">
        <f>HYPERLINK("https://pbs.twimg.com/profile_images/533372299202666497/QYiaptKd_normal.jpeg","View")</f>
        <v>View</v>
      </c>
      <c r="P7127" s="27"/>
    </row>
    <row r="7128">
      <c r="A7128" s="14">
        <v>43031.52502314815</v>
      </c>
      <c r="B7128" s="20" t="str">
        <f>HYPERLINK("https://twitter.com/5dChessBS","@5dChessBS")</f>
        <v>@5dChessBS</v>
      </c>
      <c r="C7128" s="21" t="s">
        <v>15893</v>
      </c>
      <c r="D7128" s="21" t="s">
        <v>42</v>
      </c>
      <c r="E7128" s="22" t="str">
        <f>HYPERLINK("https://twitter.com/5dChessBS/status/922547178853228544","922547178853228544")</f>
        <v>922547178853228544</v>
      </c>
      <c r="F7128" s="23" t="s">
        <v>39</v>
      </c>
      <c r="G7128" s="24">
        <v>286.0</v>
      </c>
      <c r="H7128" s="24">
        <v>173.0</v>
      </c>
      <c r="I7128" s="24">
        <v>8501.0</v>
      </c>
      <c r="J7128" s="24">
        <v>0.0</v>
      </c>
      <c r="K7128" s="23" t="s">
        <v>34</v>
      </c>
      <c r="L7128" s="25">
        <v>42909.59334490741</v>
      </c>
      <c r="M7128" s="26" t="s">
        <v>15894</v>
      </c>
      <c r="N7128" s="26" t="s">
        <v>15895</v>
      </c>
      <c r="O7128" s="22" t="str">
        <f>HYPERLINK("https://pbs.twimg.com/profile_images/920647695345229825/NBMCn48x_normal.jpg","View")</f>
        <v>View</v>
      </c>
      <c r="P7128" s="27"/>
    </row>
    <row r="7129">
      <c r="A7129" s="14">
        <v>43031.52527777778</v>
      </c>
      <c r="B7129" s="20" t="str">
        <f>HYPERLINK("https://twitter.com/guiltycommie","@guiltycommie")</f>
        <v>@guiltycommie</v>
      </c>
      <c r="C7129" s="21" t="s">
        <v>15896</v>
      </c>
      <c r="D7129" s="21" t="s">
        <v>42</v>
      </c>
      <c r="E7129" s="22" t="str">
        <f>HYPERLINK("https://twitter.com/guiltycommie/status/922547274219077632","922547274219077632")</f>
        <v>922547274219077632</v>
      </c>
      <c r="F7129" s="23" t="s">
        <v>33</v>
      </c>
      <c r="G7129" s="24">
        <v>171.0</v>
      </c>
      <c r="H7129" s="24">
        <v>623.0</v>
      </c>
      <c r="I7129" s="24">
        <v>8501.0</v>
      </c>
      <c r="J7129" s="24">
        <v>0.0</v>
      </c>
      <c r="K7129" s="23" t="s">
        <v>34</v>
      </c>
      <c r="L7129" s="25">
        <v>41817.29251157407</v>
      </c>
      <c r="M7129" s="26" t="s">
        <v>246</v>
      </c>
      <c r="N7129" s="26" t="s">
        <v>15897</v>
      </c>
      <c r="O7129" s="22" t="str">
        <f>HYPERLINK("https://pbs.twimg.com/profile_images/734079589454995456/Q7_fgmgH_normal.jpg","View")</f>
        <v>View</v>
      </c>
      <c r="P7129" s="27"/>
    </row>
    <row r="7130">
      <c r="A7130" s="14">
        <v>43031.52538194445</v>
      </c>
      <c r="B7130" s="20" t="str">
        <f>HYPERLINK("https://twitter.com/8080195566","@8080195566")</f>
        <v>@8080195566</v>
      </c>
      <c r="C7130" s="21" t="s">
        <v>15898</v>
      </c>
      <c r="D7130" s="21" t="s">
        <v>42</v>
      </c>
      <c r="E7130" s="22" t="str">
        <f>HYPERLINK("https://twitter.com/8080195566/status/922547311758077957","922547311758077957")</f>
        <v>922547311758077957</v>
      </c>
      <c r="F7130" s="23" t="s">
        <v>33</v>
      </c>
      <c r="G7130" s="24">
        <v>136.0</v>
      </c>
      <c r="H7130" s="24">
        <v>144.0</v>
      </c>
      <c r="I7130" s="24">
        <v>8501.0</v>
      </c>
      <c r="J7130" s="24">
        <v>0.0</v>
      </c>
      <c r="K7130" s="23" t="s">
        <v>34</v>
      </c>
      <c r="L7130" s="25">
        <v>41705.443877314814</v>
      </c>
      <c r="M7130" s="26" t="s">
        <v>15899</v>
      </c>
      <c r="N7130" s="26" t="s">
        <v>15900</v>
      </c>
      <c r="O7130" s="22" t="str">
        <f>HYPERLINK("https://pbs.twimg.com/profile_images/884789233398931457/5-mQdMEV_normal.jpg","View")</f>
        <v>View</v>
      </c>
      <c r="P7130" s="27"/>
    </row>
    <row r="7131">
      <c r="A7131" s="14">
        <v>43031.52585648149</v>
      </c>
      <c r="B7131" s="20" t="str">
        <f>HYPERLINK("https://twitter.com/sanju8767","@sanju8767")</f>
        <v>@sanju8767</v>
      </c>
      <c r="C7131" s="21" t="s">
        <v>15901</v>
      </c>
      <c r="D7131" s="21" t="s">
        <v>42</v>
      </c>
      <c r="E7131" s="22" t="str">
        <f>HYPERLINK("https://twitter.com/sanju8767/status/922547483674210304","922547483674210304")</f>
        <v>922547483674210304</v>
      </c>
      <c r="F7131" s="23" t="s">
        <v>33</v>
      </c>
      <c r="G7131" s="24">
        <v>188.0</v>
      </c>
      <c r="H7131" s="24">
        <v>260.0</v>
      </c>
      <c r="I7131" s="24">
        <v>8501.0</v>
      </c>
      <c r="J7131" s="24">
        <v>0.0</v>
      </c>
      <c r="K7131" s="23" t="s">
        <v>34</v>
      </c>
      <c r="L7131" s="25">
        <v>42601.16012731481</v>
      </c>
      <c r="M7131" s="26" t="s">
        <v>3588</v>
      </c>
      <c r="N7131" s="28"/>
      <c r="O7131" s="22" t="str">
        <f>HYPERLINK("https://pbs.twimg.com/profile_images/845689606624325633/QgS_WLWs_normal.jpg","View")</f>
        <v>View</v>
      </c>
      <c r="P7131" s="27"/>
    </row>
    <row r="7132">
      <c r="A7132" s="14">
        <v>43031.52599537037</v>
      </c>
      <c r="B7132" s="20" t="str">
        <f>HYPERLINK("https://twitter.com/pankaj3470","@pankaj3470")</f>
        <v>@pankaj3470</v>
      </c>
      <c r="C7132" s="21" t="s">
        <v>15902</v>
      </c>
      <c r="D7132" s="21" t="s">
        <v>42</v>
      </c>
      <c r="E7132" s="22" t="str">
        <f>HYPERLINK("https://twitter.com/pankaj3470/status/922547534458798080","922547534458798080")</f>
        <v>922547534458798080</v>
      </c>
      <c r="F7132" s="23" t="s">
        <v>33</v>
      </c>
      <c r="G7132" s="24">
        <v>118.0</v>
      </c>
      <c r="H7132" s="24">
        <v>369.0</v>
      </c>
      <c r="I7132" s="24">
        <v>8501.0</v>
      </c>
      <c r="J7132" s="24">
        <v>0.0</v>
      </c>
      <c r="K7132" s="23" t="s">
        <v>34</v>
      </c>
      <c r="L7132" s="25">
        <v>40380.93263888889</v>
      </c>
      <c r="M7132" s="28"/>
      <c r="N7132" s="26" t="s">
        <v>15903</v>
      </c>
      <c r="O7132" s="22" t="str">
        <f>HYPERLINK("https://pbs.twimg.com/profile_images/807568483856699392/5AixKt4a_normal.jpg","View")</f>
        <v>View</v>
      </c>
      <c r="P7132" s="27"/>
    </row>
    <row r="7133">
      <c r="A7133" s="14">
        <v>43031.52649305556</v>
      </c>
      <c r="B7133" s="20" t="str">
        <f>HYPERLINK("https://twitter.com/london_peter","@london_peter")</f>
        <v>@london_peter</v>
      </c>
      <c r="C7133" s="21" t="s">
        <v>15904</v>
      </c>
      <c r="D7133" s="21" t="s">
        <v>737</v>
      </c>
      <c r="E7133" s="22" t="str">
        <f>HYPERLINK("https://twitter.com/london_peter/status/922547713429901312","922547713429901312")</f>
        <v>922547713429901312</v>
      </c>
      <c r="F7133" s="23" t="s">
        <v>39</v>
      </c>
      <c r="G7133" s="24">
        <v>230.0</v>
      </c>
      <c r="H7133" s="24">
        <v>349.0</v>
      </c>
      <c r="I7133" s="24">
        <v>2.0</v>
      </c>
      <c r="J7133" s="24">
        <v>0.0</v>
      </c>
      <c r="K7133" s="23" t="s">
        <v>34</v>
      </c>
      <c r="L7133" s="25">
        <v>40758.32111111111</v>
      </c>
      <c r="M7133" s="26" t="s">
        <v>15905</v>
      </c>
      <c r="N7133" s="26" t="s">
        <v>15906</v>
      </c>
      <c r="O7133" s="22" t="str">
        <f>HYPERLINK("https://pbs.twimg.com/profile_images/731922501526261760/2ZyeM7w1_normal.jpg","View")</f>
        <v>View</v>
      </c>
      <c r="P7133" s="27"/>
    </row>
    <row r="7134">
      <c r="A7134" s="14">
        <v>43031.52668981481</v>
      </c>
      <c r="B7134" s="20" t="str">
        <f>HYPERLINK("https://twitter.com/hamassenger","@hamassenger")</f>
        <v>@hamassenger</v>
      </c>
      <c r="C7134" s="29" t="s">
        <v>13344</v>
      </c>
      <c r="D7134" s="21" t="s">
        <v>15907</v>
      </c>
      <c r="E7134" s="22" t="str">
        <f>HYPERLINK("https://twitter.com/hamassenger/status/922547783646744577","922547783646744577")</f>
        <v>922547783646744577</v>
      </c>
      <c r="F7134" s="30" t="s">
        <v>13344</v>
      </c>
      <c r="G7134" s="24">
        <v>1430.0</v>
      </c>
      <c r="H7134" s="24">
        <v>2019.0</v>
      </c>
      <c r="I7134" s="24">
        <v>0.0</v>
      </c>
      <c r="J7134" s="24">
        <v>0.0</v>
      </c>
      <c r="K7134" s="23" t="s">
        <v>34</v>
      </c>
      <c r="L7134" s="25">
        <v>39872.04739583333</v>
      </c>
      <c r="M7134" s="26" t="s">
        <v>1840</v>
      </c>
      <c r="N7134" s="26" t="s">
        <v>13346</v>
      </c>
      <c r="O7134" s="22" t="str">
        <f>HYPERLINK("https://pbs.twimg.com/profile_images/1057889562/green_5459_green_2196_Picture_3_normal.jpg","View")</f>
        <v>View</v>
      </c>
      <c r="P7134" s="27"/>
    </row>
    <row r="7135">
      <c r="A7135" s="14">
        <v>43031.52675925926</v>
      </c>
      <c r="B7135" s="20" t="str">
        <f>HYPERLINK("https://twitter.com/vprajus","@vprajus")</f>
        <v>@vprajus</v>
      </c>
      <c r="C7135" s="21" t="s">
        <v>15908</v>
      </c>
      <c r="D7135" s="21" t="s">
        <v>42</v>
      </c>
      <c r="E7135" s="22" t="str">
        <f>HYPERLINK("https://twitter.com/vprajus/status/922547810960007168","922547810960007168")</f>
        <v>922547810960007168</v>
      </c>
      <c r="F7135" s="23" t="s">
        <v>33</v>
      </c>
      <c r="G7135" s="24">
        <v>85.0</v>
      </c>
      <c r="H7135" s="24">
        <v>353.0</v>
      </c>
      <c r="I7135" s="24">
        <v>8501.0</v>
      </c>
      <c r="J7135" s="24">
        <v>0.0</v>
      </c>
      <c r="K7135" s="23" t="s">
        <v>34</v>
      </c>
      <c r="L7135" s="25">
        <v>40152.226689814815</v>
      </c>
      <c r="M7135" s="26" t="s">
        <v>3295</v>
      </c>
      <c r="N7135" s="26" t="s">
        <v>15909</v>
      </c>
      <c r="O7135" s="22" t="str">
        <f>HYPERLINK("https://abs.twimg.com/sticky/default_profile_images/default_profile_normal.png","View")</f>
        <v>View</v>
      </c>
      <c r="P7135" s="27"/>
    </row>
    <row r="7136">
      <c r="A7136" s="14">
        <v>43031.52693287037</v>
      </c>
      <c r="B7136" s="20" t="str">
        <f>HYPERLINK("https://twitter.com/sumsat33","@sumsat33")</f>
        <v>@sumsat33</v>
      </c>
      <c r="C7136" s="21" t="s">
        <v>15910</v>
      </c>
      <c r="D7136" s="21" t="s">
        <v>163</v>
      </c>
      <c r="E7136" s="22" t="str">
        <f>HYPERLINK("https://twitter.com/sumsat33/status/922547874046423040","922547874046423040")</f>
        <v>922547874046423040</v>
      </c>
      <c r="F7136" s="23" t="s">
        <v>33</v>
      </c>
      <c r="G7136" s="24">
        <v>189.0</v>
      </c>
      <c r="H7136" s="24">
        <v>39.0</v>
      </c>
      <c r="I7136" s="24">
        <v>1005.0</v>
      </c>
      <c r="J7136" s="24">
        <v>0.0</v>
      </c>
      <c r="K7136" s="23" t="s">
        <v>34</v>
      </c>
      <c r="L7136" s="25">
        <v>41610.82759259259</v>
      </c>
      <c r="M7136" s="28"/>
      <c r="N7136" s="26" t="s">
        <v>15911</v>
      </c>
      <c r="O7136" s="22" t="str">
        <f>HYPERLINK("https://pbs.twimg.com/profile_images/682263166139502592/9TPGp0PY_normal.jpg","View")</f>
        <v>View</v>
      </c>
      <c r="P7136" s="27"/>
    </row>
    <row r="7137">
      <c r="A7137" s="14">
        <v>43031.526979166665</v>
      </c>
      <c r="B7137" s="20" t="str">
        <f>HYPERLINK("https://twitter.com/NadeemK57764928","@NadeemK57764928")</f>
        <v>@NadeemK57764928</v>
      </c>
      <c r="C7137" s="21" t="s">
        <v>15912</v>
      </c>
      <c r="D7137" s="21" t="s">
        <v>42</v>
      </c>
      <c r="E7137" s="22" t="str">
        <f>HYPERLINK("https://twitter.com/NadeemK57764928/status/922547889754210310","922547889754210310")</f>
        <v>922547889754210310</v>
      </c>
      <c r="F7137" s="23" t="s">
        <v>33</v>
      </c>
      <c r="G7137" s="24">
        <v>1.0</v>
      </c>
      <c r="H7137" s="24">
        <v>89.0</v>
      </c>
      <c r="I7137" s="24">
        <v>8501.0</v>
      </c>
      <c r="J7137" s="24">
        <v>0.0</v>
      </c>
      <c r="K7137" s="23" t="s">
        <v>34</v>
      </c>
      <c r="L7137" s="25">
        <v>43031.5219212963</v>
      </c>
      <c r="M7137" s="28"/>
      <c r="N7137" s="28"/>
      <c r="O7137" s="22" t="str">
        <f>HYPERLINK("https://abs.twimg.com/sticky/default_profile_images/default_profile_normal.png","View")</f>
        <v>View</v>
      </c>
      <c r="P7137" s="27"/>
    </row>
    <row r="7138">
      <c r="A7138" s="14">
        <v>43031.52704861111</v>
      </c>
      <c r="B7138" s="20" t="str">
        <f>HYPERLINK("https://twitter.com/jakeadelstein","@jakeadelstein")</f>
        <v>@jakeadelstein</v>
      </c>
      <c r="C7138" s="21" t="s">
        <v>15913</v>
      </c>
      <c r="D7138" s="21" t="s">
        <v>15914</v>
      </c>
      <c r="E7138" s="22" t="str">
        <f>HYPERLINK("https://twitter.com/jakeadelstein/status/922547914139951108","922547914139951108")</f>
        <v>922547914139951108</v>
      </c>
      <c r="F7138" s="23" t="s">
        <v>187</v>
      </c>
      <c r="G7138" s="24">
        <v>20501.0</v>
      </c>
      <c r="H7138" s="24">
        <v>2080.0</v>
      </c>
      <c r="I7138" s="24">
        <v>3.0</v>
      </c>
      <c r="J7138" s="24">
        <v>2.0</v>
      </c>
      <c r="K7138" s="23" t="s">
        <v>34</v>
      </c>
      <c r="L7138" s="25">
        <v>40122.58579861111</v>
      </c>
      <c r="M7138" s="26" t="s">
        <v>15915</v>
      </c>
      <c r="N7138" s="26" t="s">
        <v>15916</v>
      </c>
      <c r="O7138" s="22" t="str">
        <f>HYPERLINK("https://pbs.twimg.com/profile_images/915836862245326848/GjHbBkP2_normal.jpg","View")</f>
        <v>View</v>
      </c>
      <c r="P7138" s="27"/>
    </row>
    <row r="7139">
      <c r="A7139" s="14">
        <v>43031.527094907404</v>
      </c>
      <c r="B7139" s="20" t="str">
        <f>HYPERLINK("https://twitter.com/graduatesfs","@graduatesfs")</f>
        <v>@graduatesfs</v>
      </c>
      <c r="C7139" s="21" t="s">
        <v>15917</v>
      </c>
      <c r="D7139" s="21" t="s">
        <v>15918</v>
      </c>
      <c r="E7139" s="22" t="str">
        <f>HYPERLINK("https://twitter.com/graduatesfs/status/922547932842389504","922547932842389504")</f>
        <v>922547932842389504</v>
      </c>
      <c r="F7139" s="23" t="s">
        <v>55</v>
      </c>
      <c r="G7139" s="24">
        <v>77.0</v>
      </c>
      <c r="H7139" s="24">
        <v>450.0</v>
      </c>
      <c r="I7139" s="24">
        <v>2.0</v>
      </c>
      <c r="J7139" s="24">
        <v>0.0</v>
      </c>
      <c r="K7139" s="23" t="s">
        <v>34</v>
      </c>
      <c r="L7139" s="25">
        <v>43019.457650462966</v>
      </c>
      <c r="M7139" s="26" t="s">
        <v>4239</v>
      </c>
      <c r="N7139" s="26" t="s">
        <v>15919</v>
      </c>
      <c r="O7139" s="22" t="str">
        <f>HYPERLINK("https://pbs.twimg.com/profile_images/920346597585817601/2wfniZ-1_normal.jpg","View")</f>
        <v>View</v>
      </c>
      <c r="P7139" s="27"/>
    </row>
    <row r="7140">
      <c r="A7140" s="14">
        <v>43031.527291666665</v>
      </c>
      <c r="B7140" s="20" t="str">
        <f>HYPERLINK("https://twitter.com/Mike_Bennett","@Mike_Bennett")</f>
        <v>@Mike_Bennett</v>
      </c>
      <c r="C7140" s="21" t="s">
        <v>15920</v>
      </c>
      <c r="D7140" s="21" t="s">
        <v>15921</v>
      </c>
      <c r="E7140" s="22" t="str">
        <f>HYPERLINK("https://twitter.com/Mike_Bennett/status/922548001326985222","922548001326985222")</f>
        <v>922548001326985222</v>
      </c>
      <c r="F7140" s="23" t="s">
        <v>55</v>
      </c>
      <c r="G7140" s="24">
        <v>752.0</v>
      </c>
      <c r="H7140" s="24">
        <v>684.0</v>
      </c>
      <c r="I7140" s="24">
        <v>0.0</v>
      </c>
      <c r="J7140" s="24">
        <v>0.0</v>
      </c>
      <c r="K7140" s="23" t="s">
        <v>34</v>
      </c>
      <c r="L7140" s="25">
        <v>39801.315983796296</v>
      </c>
      <c r="M7140" s="26" t="s">
        <v>15922</v>
      </c>
      <c r="N7140" s="26" t="s">
        <v>15923</v>
      </c>
      <c r="O7140" s="22" t="str">
        <f>HYPERLINK("https://pbs.twimg.com/profile_images/469934816872255488/8bUz71ZP_normal.jpeg","View")</f>
        <v>View</v>
      </c>
      <c r="P7140" s="27"/>
    </row>
    <row r="7141">
      <c r="A7141" s="14">
        <v>43031.52730324074</v>
      </c>
      <c r="B7141" s="20" t="str">
        <f>HYPERLINK("https://twitter.com/INFOCELLNYC","@INFOCELLNYC")</f>
        <v>@INFOCELLNYC</v>
      </c>
      <c r="C7141" s="21" t="s">
        <v>15924</v>
      </c>
      <c r="D7141" s="21" t="s">
        <v>15925</v>
      </c>
      <c r="E7141" s="22" t="str">
        <f>HYPERLINK("https://twitter.com/INFOCELLNYC/status/922548005789732864","922548005789732864")</f>
        <v>922548005789732864</v>
      </c>
      <c r="F7141" s="23" t="s">
        <v>187</v>
      </c>
      <c r="G7141" s="24">
        <v>723.0</v>
      </c>
      <c r="H7141" s="24">
        <v>1503.0</v>
      </c>
      <c r="I7141" s="24">
        <v>0.0</v>
      </c>
      <c r="J7141" s="24">
        <v>0.0</v>
      </c>
      <c r="K7141" s="23" t="s">
        <v>34</v>
      </c>
      <c r="L7141" s="25">
        <v>41346.45207175926</v>
      </c>
      <c r="M7141" s="28"/>
      <c r="N7141" s="26" t="s">
        <v>15926</v>
      </c>
      <c r="O7141" s="22" t="str">
        <f>HYPERLINK("https://pbs.twimg.com/profile_images/3749469858/d3a714151a7b66baaf3741420e3cd9be_normal.jpeg","View")</f>
        <v>View</v>
      </c>
      <c r="P7141" s="27"/>
    </row>
    <row r="7142">
      <c r="A7142" s="14">
        <v>43031.527546296296</v>
      </c>
      <c r="B7142" s="20" t="str">
        <f>HYPERLINK("https://twitter.com/_LaScapigliata","@_LaScapigliata")</f>
        <v>@_LaScapigliata</v>
      </c>
      <c r="C7142" s="21" t="s">
        <v>15927</v>
      </c>
      <c r="D7142" s="21" t="s">
        <v>15928</v>
      </c>
      <c r="E7142" s="22" t="str">
        <f>HYPERLINK("https://twitter.com/_LaScapigliata/status/922548093022851073","922548093022851073")</f>
        <v>922548093022851073</v>
      </c>
      <c r="F7142" s="23" t="s">
        <v>33</v>
      </c>
      <c r="G7142" s="24">
        <v>6331.0</v>
      </c>
      <c r="H7142" s="24">
        <v>2666.0</v>
      </c>
      <c r="I7142" s="24">
        <v>3.0</v>
      </c>
      <c r="J7142" s="24">
        <v>0.0</v>
      </c>
      <c r="K7142" s="23" t="s">
        <v>34</v>
      </c>
      <c r="L7142" s="25">
        <v>39881.48966435185</v>
      </c>
      <c r="M7142" s="26" t="s">
        <v>15929</v>
      </c>
      <c r="N7142" s="26" t="s">
        <v>15930</v>
      </c>
      <c r="O7142" s="22" t="str">
        <f>HYPERLINK("https://pbs.twimg.com/profile_images/856587099599982592/Ixk-OSoy_normal.jpg","View")</f>
        <v>View</v>
      </c>
      <c r="P7142" s="27"/>
    </row>
    <row r="7143">
      <c r="A7143" s="14">
        <v>43031.52758101852</v>
      </c>
      <c r="B7143" s="20" t="str">
        <f>HYPERLINK("https://twitter.com/Emmanuelkusinj2","@Emmanuelkusinj2")</f>
        <v>@Emmanuelkusinj2</v>
      </c>
      <c r="C7143" s="21" t="s">
        <v>15931</v>
      </c>
      <c r="D7143" s="21" t="s">
        <v>32</v>
      </c>
      <c r="E7143" s="22" t="str">
        <f>HYPERLINK("https://twitter.com/Emmanuelkusinj2/status/922548108894011393","922548108894011393")</f>
        <v>922548108894011393</v>
      </c>
      <c r="F7143" s="23" t="s">
        <v>43</v>
      </c>
      <c r="G7143" s="24">
        <v>10.0</v>
      </c>
      <c r="H7143" s="24">
        <v>99.0</v>
      </c>
      <c r="I7143" s="24">
        <v>471.0</v>
      </c>
      <c r="J7143" s="24">
        <v>0.0</v>
      </c>
      <c r="K7143" s="23" t="s">
        <v>34</v>
      </c>
      <c r="L7143" s="25">
        <v>42486.19547453704</v>
      </c>
      <c r="M7143" s="26" t="s">
        <v>79</v>
      </c>
      <c r="N7143" s="28"/>
      <c r="O7143" s="22" t="str">
        <f>HYPERLINK("https://pbs.twimg.com/profile_images/918895172074733568/myGvOba4_normal.jpg","View")</f>
        <v>View</v>
      </c>
      <c r="P7143" s="27"/>
    </row>
    <row r="7144">
      <c r="A7144" s="14">
        <v>43031.52762731482</v>
      </c>
      <c r="B7144" s="20" t="str">
        <f>HYPERLINK("https://twitter.com/AmitMalik_BJP","@AmitMalik_BJP")</f>
        <v>@AmitMalik_BJP</v>
      </c>
      <c r="C7144" s="21" t="s">
        <v>15932</v>
      </c>
      <c r="D7144" s="21" t="s">
        <v>42</v>
      </c>
      <c r="E7144" s="22" t="str">
        <f>HYPERLINK("https://twitter.com/AmitMalik_BJP/status/922548122781229056","922548122781229056")</f>
        <v>922548122781229056</v>
      </c>
      <c r="F7144" s="23" t="s">
        <v>39</v>
      </c>
      <c r="G7144" s="24">
        <v>2727.0</v>
      </c>
      <c r="H7144" s="24">
        <v>2054.0</v>
      </c>
      <c r="I7144" s="24">
        <v>8501.0</v>
      </c>
      <c r="J7144" s="24">
        <v>0.0</v>
      </c>
      <c r="K7144" s="23" t="s">
        <v>34</v>
      </c>
      <c r="L7144" s="25">
        <v>42266.181874999995</v>
      </c>
      <c r="M7144" s="28"/>
      <c r="N7144" s="26" t="s">
        <v>15933</v>
      </c>
      <c r="O7144" s="22" t="str">
        <f>HYPERLINK("https://pbs.twimg.com/profile_images/883438997585797120/Pz9rvRRg_normal.jpg","View")</f>
        <v>View</v>
      </c>
      <c r="P7144" s="27"/>
    </row>
    <row r="7145">
      <c r="A7145" s="14">
        <v>43031.527719907404</v>
      </c>
      <c r="B7145" s="20" t="str">
        <f>HYPERLINK("https://twitter.com/Brida_8","@Brida_8")</f>
        <v>@Brida_8</v>
      </c>
      <c r="C7145" s="21" t="s">
        <v>15934</v>
      </c>
      <c r="D7145" s="21" t="s">
        <v>15766</v>
      </c>
      <c r="E7145" s="22" t="str">
        <f>HYPERLINK("https://twitter.com/Brida_8/status/922548155450871808","922548155450871808")</f>
        <v>922548155450871808</v>
      </c>
      <c r="F7145" s="23" t="s">
        <v>33</v>
      </c>
      <c r="G7145" s="24">
        <v>62.0</v>
      </c>
      <c r="H7145" s="24">
        <v>327.0</v>
      </c>
      <c r="I7145" s="24">
        <v>14.0</v>
      </c>
      <c r="J7145" s="24">
        <v>0.0</v>
      </c>
      <c r="K7145" s="23" t="s">
        <v>34</v>
      </c>
      <c r="L7145" s="25">
        <v>42763.17818287037</v>
      </c>
      <c r="M7145" s="26" t="s">
        <v>15935</v>
      </c>
      <c r="N7145" s="26" t="s">
        <v>15936</v>
      </c>
      <c r="O7145" s="22" t="str">
        <f>HYPERLINK("https://pbs.twimg.com/profile_images/917234835160215552/p9mWsu5o_normal.jpg","View")</f>
        <v>View</v>
      </c>
      <c r="P7145" s="27"/>
    </row>
    <row r="7146">
      <c r="A7146" s="14">
        <v>43031.527719907404</v>
      </c>
      <c r="B7146" s="20" t="str">
        <f>HYPERLINK("https://twitter.com/Bharat12R","@Bharat12R")</f>
        <v>@Bharat12R</v>
      </c>
      <c r="C7146" s="21" t="s">
        <v>15937</v>
      </c>
      <c r="D7146" s="21" t="s">
        <v>42</v>
      </c>
      <c r="E7146" s="22" t="str">
        <f>HYPERLINK("https://twitter.com/Bharat12R/status/922548155652112385","922548155652112385")</f>
        <v>922548155652112385</v>
      </c>
      <c r="F7146" s="23" t="s">
        <v>39</v>
      </c>
      <c r="G7146" s="24">
        <v>63.0</v>
      </c>
      <c r="H7146" s="24">
        <v>19.0</v>
      </c>
      <c r="I7146" s="24">
        <v>8501.0</v>
      </c>
      <c r="J7146" s="24">
        <v>0.0</v>
      </c>
      <c r="K7146" s="23" t="s">
        <v>34</v>
      </c>
      <c r="L7146" s="25">
        <v>40716.14482638889</v>
      </c>
      <c r="M7146" s="26" t="s">
        <v>1633</v>
      </c>
      <c r="N7146" s="26" t="s">
        <v>15938</v>
      </c>
      <c r="O7146" s="22" t="str">
        <f>HYPERLINK("https://pbs.twimg.com/profile_images/776513670402732032/rOGlgK-i_normal.jpg","View")</f>
        <v>View</v>
      </c>
      <c r="P7146" s="27"/>
    </row>
    <row r="7147">
      <c r="A7147" s="14">
        <v>43031.52802083333</v>
      </c>
      <c r="B7147" s="20" t="str">
        <f>HYPERLINK("https://twitter.com/JuanMSolana","@JuanMSolana")</f>
        <v>@JuanMSolana</v>
      </c>
      <c r="C7147" s="21" t="s">
        <v>15939</v>
      </c>
      <c r="D7147" s="21" t="s">
        <v>67</v>
      </c>
      <c r="E7147" s="22" t="str">
        <f>HYPERLINK("https://twitter.com/JuanMSolana/status/922548267166056448","922548267166056448")</f>
        <v>922548267166056448</v>
      </c>
      <c r="F7147" s="23" t="s">
        <v>39</v>
      </c>
      <c r="G7147" s="24">
        <v>560.0</v>
      </c>
      <c r="H7147" s="24">
        <v>792.0</v>
      </c>
      <c r="I7147" s="24">
        <v>169.0</v>
      </c>
      <c r="J7147" s="24">
        <v>0.0</v>
      </c>
      <c r="K7147" s="23" t="s">
        <v>34</v>
      </c>
      <c r="L7147" s="25">
        <v>41801.50613425926</v>
      </c>
      <c r="M7147" s="28"/>
      <c r="N7147" s="26" t="s">
        <v>15940</v>
      </c>
      <c r="O7147" s="22" t="str">
        <f>HYPERLINK("https://pbs.twimg.com/profile_images/806552839761891328/qvYpa6s3_normal.jpg","View")</f>
        <v>View</v>
      </c>
      <c r="P7147" s="27"/>
    </row>
    <row r="7148">
      <c r="A7148" s="14">
        <v>43031.528125</v>
      </c>
      <c r="B7148" s="20" t="str">
        <f>HYPERLINK("https://twitter.com/cyto48","@cyto48")</f>
        <v>@cyto48</v>
      </c>
      <c r="C7148" s="21" t="s">
        <v>102</v>
      </c>
      <c r="D7148" s="21" t="s">
        <v>42</v>
      </c>
      <c r="E7148" s="22" t="str">
        <f>HYPERLINK("https://twitter.com/cyto48/status/922548302444417024","922548302444417024")</f>
        <v>922548302444417024</v>
      </c>
      <c r="F7148" s="23" t="s">
        <v>102</v>
      </c>
      <c r="G7148" s="24">
        <v>387.0</v>
      </c>
      <c r="H7148" s="24">
        <v>2739.0</v>
      </c>
      <c r="I7148" s="24">
        <v>8501.0</v>
      </c>
      <c r="J7148" s="24">
        <v>0.0</v>
      </c>
      <c r="K7148" s="23" t="s">
        <v>34</v>
      </c>
      <c r="L7148" s="25">
        <v>41621.62619212963</v>
      </c>
      <c r="M7148" s="28"/>
      <c r="N7148" s="28"/>
      <c r="O7148" s="22" t="str">
        <f>HYPERLINK("https://pbs.twimg.com/profile_images/914435541906722817/EvmsHZz3_normal.jpg","View")</f>
        <v>View</v>
      </c>
      <c r="P7148" s="27"/>
    </row>
    <row r="7149">
      <c r="A7149" s="14">
        <v>43031.52837962963</v>
      </c>
      <c r="B7149" s="20" t="str">
        <f>HYPERLINK("https://twitter.com/DON_8791482960","@DON_8791482960")</f>
        <v>@DON_8791482960</v>
      </c>
      <c r="C7149" s="21" t="s">
        <v>15941</v>
      </c>
      <c r="D7149" s="21" t="s">
        <v>42</v>
      </c>
      <c r="E7149" s="22" t="str">
        <f>HYPERLINK("https://twitter.com/DON_8791482960/status/922548395876556800","922548395876556800")</f>
        <v>922548395876556800</v>
      </c>
      <c r="F7149" s="23" t="s">
        <v>33</v>
      </c>
      <c r="G7149" s="24">
        <v>45.0</v>
      </c>
      <c r="H7149" s="24">
        <v>1085.0</v>
      </c>
      <c r="I7149" s="24">
        <v>8501.0</v>
      </c>
      <c r="J7149" s="24">
        <v>0.0</v>
      </c>
      <c r="K7149" s="23" t="s">
        <v>34</v>
      </c>
      <c r="L7149" s="25">
        <v>43024.03832175926</v>
      </c>
      <c r="M7149" s="26" t="s">
        <v>9644</v>
      </c>
      <c r="N7149" s="26" t="s">
        <v>15942</v>
      </c>
      <c r="O7149" s="22" t="str">
        <f>HYPERLINK("https://pbs.twimg.com/profile_images/919836571162963968/vdPdSkAV_normal.jpg","View")</f>
        <v>View</v>
      </c>
      <c r="P7149" s="27"/>
    </row>
    <row r="7150">
      <c r="A7150" s="14">
        <v>43031.5287962963</v>
      </c>
      <c r="B7150" s="20" t="str">
        <f>HYPERLINK("https://twitter.com/monduko","@monduko")</f>
        <v>@monduko</v>
      </c>
      <c r="C7150" s="21" t="s">
        <v>15943</v>
      </c>
      <c r="D7150" s="21" t="s">
        <v>32</v>
      </c>
      <c r="E7150" s="22" t="str">
        <f>HYPERLINK("https://twitter.com/monduko/status/922548547031064576","922548547031064576")</f>
        <v>922548547031064576</v>
      </c>
      <c r="F7150" s="23" t="s">
        <v>33</v>
      </c>
      <c r="G7150" s="24">
        <v>492.0</v>
      </c>
      <c r="H7150" s="24">
        <v>1499.0</v>
      </c>
      <c r="I7150" s="24">
        <v>471.0</v>
      </c>
      <c r="J7150" s="24">
        <v>0.0</v>
      </c>
      <c r="K7150" s="23" t="s">
        <v>34</v>
      </c>
      <c r="L7150" s="25">
        <v>40610.23861111111</v>
      </c>
      <c r="M7150" s="26" t="s">
        <v>282</v>
      </c>
      <c r="N7150" s="26" t="s">
        <v>15944</v>
      </c>
      <c r="O7150" s="22" t="str">
        <f>HYPERLINK("https://pbs.twimg.com/profile_images/901788095368003584/zBY5-NIu_normal.jpg","View")</f>
        <v>View</v>
      </c>
      <c r="P7150" s="27"/>
    </row>
    <row r="7151">
      <c r="A7151" s="14">
        <v>43031.529178240744</v>
      </c>
      <c r="B7151" s="20" t="str">
        <f>HYPERLINK("https://twitter.com/Stormtroepen","@Stormtroepen")</f>
        <v>@Stormtroepen</v>
      </c>
      <c r="C7151" s="21" t="s">
        <v>9947</v>
      </c>
      <c r="D7151" s="21" t="s">
        <v>10904</v>
      </c>
      <c r="E7151" s="22" t="str">
        <f>HYPERLINK("https://twitter.com/Stormtroepen/status/922548687292780544","922548687292780544")</f>
        <v>922548687292780544</v>
      </c>
      <c r="F7151" s="23" t="s">
        <v>33</v>
      </c>
      <c r="G7151" s="24">
        <v>2120.0</v>
      </c>
      <c r="H7151" s="24">
        <v>1741.0</v>
      </c>
      <c r="I7151" s="24">
        <v>35.0</v>
      </c>
      <c r="J7151" s="24">
        <v>0.0</v>
      </c>
      <c r="K7151" s="23" t="s">
        <v>34</v>
      </c>
      <c r="L7151" s="25">
        <v>40430.120624999996</v>
      </c>
      <c r="M7151" s="28"/>
      <c r="N7151" s="26" t="s">
        <v>9949</v>
      </c>
      <c r="O7151" s="22" t="str">
        <f>HYPERLINK("https://pbs.twimg.com/profile_images/842292490954772480/IsTQ84ns_normal.jpg","View")</f>
        <v>View</v>
      </c>
      <c r="P7151" s="27"/>
    </row>
    <row r="7152">
      <c r="A7152" s="14">
        <v>43031.52921296297</v>
      </c>
      <c r="B7152" s="20" t="str">
        <f>HYPERLINK("https://twitter.com/Galgalo0","@Galgalo0")</f>
        <v>@Galgalo0</v>
      </c>
      <c r="C7152" s="21" t="s">
        <v>15945</v>
      </c>
      <c r="D7152" s="21" t="s">
        <v>32</v>
      </c>
      <c r="E7152" s="22" t="str">
        <f>HYPERLINK("https://twitter.com/Galgalo0/status/922548696427966464","922548696427966464")</f>
        <v>922548696427966464</v>
      </c>
      <c r="F7152" s="23" t="s">
        <v>39</v>
      </c>
      <c r="G7152" s="24">
        <v>98.0</v>
      </c>
      <c r="H7152" s="24">
        <v>170.0</v>
      </c>
      <c r="I7152" s="24">
        <v>471.0</v>
      </c>
      <c r="J7152" s="24">
        <v>0.0</v>
      </c>
      <c r="K7152" s="23" t="s">
        <v>34</v>
      </c>
      <c r="L7152" s="25">
        <v>42464.42334490741</v>
      </c>
      <c r="M7152" s="26" t="s">
        <v>843</v>
      </c>
      <c r="N7152" s="28"/>
      <c r="O7152" s="22" t="str">
        <f>HYPERLINK("https://pbs.twimg.com/profile_images/912026119611838464/i_AAsNAn_normal.jpg","View")</f>
        <v>View</v>
      </c>
      <c r="P7152" s="27"/>
    </row>
    <row r="7153">
      <c r="A7153" s="14">
        <v>43031.529282407406</v>
      </c>
      <c r="B7153" s="20" t="str">
        <f>HYPERLINK("https://twitter.com/headphoneson","@headphoneson")</f>
        <v>@headphoneson</v>
      </c>
      <c r="C7153" s="21" t="s">
        <v>15270</v>
      </c>
      <c r="D7153" s="21" t="s">
        <v>5309</v>
      </c>
      <c r="E7153" s="22" t="str">
        <f>HYPERLINK("https://twitter.com/headphoneson/status/922548723665661952","922548723665661952")</f>
        <v>922548723665661952</v>
      </c>
      <c r="F7153" s="23" t="s">
        <v>39</v>
      </c>
      <c r="G7153" s="24">
        <v>303.0</v>
      </c>
      <c r="H7153" s="24">
        <v>1675.0</v>
      </c>
      <c r="I7153" s="24">
        <v>22.0</v>
      </c>
      <c r="J7153" s="24">
        <v>0.0</v>
      </c>
      <c r="K7153" s="23" t="s">
        <v>34</v>
      </c>
      <c r="L7153" s="25">
        <v>40582.43935185185</v>
      </c>
      <c r="M7153" s="28"/>
      <c r="N7153" s="26" t="s">
        <v>15272</v>
      </c>
      <c r="O7153" s="22" t="str">
        <f>HYPERLINK("https://pbs.twimg.com/profile_images/888265260720734208/Hj4snrWY_normal.jpg","View")</f>
        <v>View</v>
      </c>
      <c r="P7153" s="27"/>
    </row>
    <row r="7154">
      <c r="A7154" s="14">
        <v>43031.529386574075</v>
      </c>
      <c r="B7154" s="20" t="str">
        <f>HYPERLINK("https://twitter.com/dharmendra1983","@dharmendra1983")</f>
        <v>@dharmendra1983</v>
      </c>
      <c r="C7154" s="21" t="s">
        <v>15946</v>
      </c>
      <c r="D7154" s="21" t="s">
        <v>42</v>
      </c>
      <c r="E7154" s="22" t="str">
        <f>HYPERLINK("https://twitter.com/dharmendra1983/status/922548762005966854","922548762005966854")</f>
        <v>922548762005966854</v>
      </c>
      <c r="F7154" s="23" t="s">
        <v>39</v>
      </c>
      <c r="G7154" s="24">
        <v>96.0</v>
      </c>
      <c r="H7154" s="24">
        <v>158.0</v>
      </c>
      <c r="I7154" s="24">
        <v>8501.0</v>
      </c>
      <c r="J7154" s="24">
        <v>0.0</v>
      </c>
      <c r="K7154" s="23" t="s">
        <v>34</v>
      </c>
      <c r="L7154" s="25">
        <v>40284.401296296295</v>
      </c>
      <c r="M7154" s="28"/>
      <c r="N7154" s="28"/>
      <c r="O7154" s="22" t="str">
        <f>HYPERLINK("https://abs.twimg.com/sticky/default_profile_images/default_profile_normal.png","View")</f>
        <v>View</v>
      </c>
      <c r="P7154" s="27"/>
    </row>
    <row r="7155">
      <c r="A7155" s="14">
        <v>43031.5294212963</v>
      </c>
      <c r="B7155" s="20" t="str">
        <f>HYPERLINK("https://twitter.com/Rajeevrajat","@Rajeevrajat")</f>
        <v>@Rajeevrajat</v>
      </c>
      <c r="C7155" s="21" t="s">
        <v>15947</v>
      </c>
      <c r="D7155" s="21" t="s">
        <v>163</v>
      </c>
      <c r="E7155" s="22" t="str">
        <f>HYPERLINK("https://twitter.com/Rajeevrajat/status/922548774693564417","922548774693564417")</f>
        <v>922548774693564417</v>
      </c>
      <c r="F7155" s="23" t="s">
        <v>33</v>
      </c>
      <c r="G7155" s="24">
        <v>962.0</v>
      </c>
      <c r="H7155" s="24">
        <v>1061.0</v>
      </c>
      <c r="I7155" s="24">
        <v>1005.0</v>
      </c>
      <c r="J7155" s="24">
        <v>0.0</v>
      </c>
      <c r="K7155" s="23" t="s">
        <v>34</v>
      </c>
      <c r="L7155" s="25">
        <v>40936.46800925926</v>
      </c>
      <c r="M7155" s="26" t="s">
        <v>204</v>
      </c>
      <c r="N7155" s="28"/>
      <c r="O7155" s="22" t="str">
        <f>HYPERLINK("https://pbs.twimg.com/profile_images/822716794167300096/zWrdEio6_normal.jpg","View")</f>
        <v>View</v>
      </c>
      <c r="P7155" s="27"/>
    </row>
    <row r="7156">
      <c r="A7156" s="14">
        <v>43031.52958333334</v>
      </c>
      <c r="B7156" s="20" t="str">
        <f>HYPERLINK("https://twitter.com/WorldStatesmen","@WorldStatesmen")</f>
        <v>@WorldStatesmen</v>
      </c>
      <c r="C7156" s="21" t="s">
        <v>15948</v>
      </c>
      <c r="D7156" s="21" t="s">
        <v>6236</v>
      </c>
      <c r="E7156" s="22" t="str">
        <f>HYPERLINK("https://twitter.com/WorldStatesmen/status/922548831018987520","922548831018987520")</f>
        <v>922548831018987520</v>
      </c>
      <c r="F7156" s="23" t="s">
        <v>43</v>
      </c>
      <c r="G7156" s="24">
        <v>196.0</v>
      </c>
      <c r="H7156" s="24">
        <v>32.0</v>
      </c>
      <c r="I7156" s="24">
        <v>26.0</v>
      </c>
      <c r="J7156" s="24">
        <v>0.0</v>
      </c>
      <c r="K7156" s="23" t="s">
        <v>34</v>
      </c>
      <c r="L7156" s="25">
        <v>40631.38564814815</v>
      </c>
      <c r="M7156" s="26" t="s">
        <v>4239</v>
      </c>
      <c r="N7156" s="26" t="s">
        <v>15949</v>
      </c>
      <c r="O7156" s="22" t="str">
        <f>HYPERLINK("https://pbs.twimg.com/profile_images/1291632331/twobgmd_normal.gif","View")</f>
        <v>View</v>
      </c>
      <c r="P7156" s="27"/>
    </row>
    <row r="7157">
      <c r="A7157" s="14">
        <v>43031.52993055555</v>
      </c>
      <c r="B7157" s="20" t="str">
        <f>HYPERLINK("https://twitter.com/mariuskarma","@mariuskarma")</f>
        <v>@mariuskarma</v>
      </c>
      <c r="C7157" s="21" t="s">
        <v>15950</v>
      </c>
      <c r="D7157" s="21" t="s">
        <v>14126</v>
      </c>
      <c r="E7157" s="22" t="str">
        <f>HYPERLINK("https://twitter.com/mariuskarma/status/922548959301730304","922548959301730304")</f>
        <v>922548959301730304</v>
      </c>
      <c r="F7157" s="23" t="s">
        <v>33</v>
      </c>
      <c r="G7157" s="24">
        <v>6386.0</v>
      </c>
      <c r="H7157" s="24">
        <v>6043.0</v>
      </c>
      <c r="I7157" s="24">
        <v>2.0</v>
      </c>
      <c r="J7157" s="24">
        <v>0.0</v>
      </c>
      <c r="K7157" s="23" t="s">
        <v>34</v>
      </c>
      <c r="L7157" s="25">
        <v>41050.6009375</v>
      </c>
      <c r="M7157" s="26" t="s">
        <v>15951</v>
      </c>
      <c r="N7157" s="26" t="s">
        <v>15952</v>
      </c>
      <c r="O7157" s="22" t="str">
        <f>HYPERLINK("https://pbs.twimg.com/profile_images/588820751844843520/wACaBi5Z_normal.jpg","View")</f>
        <v>View</v>
      </c>
      <c r="P7157" s="27"/>
    </row>
    <row r="7158">
      <c r="A7158" s="14">
        <v>43031.530335648145</v>
      </c>
      <c r="B7158" s="20" t="str">
        <f>HYPERLINK("https://twitter.com/mothergooseAZ","@mothergooseAZ")</f>
        <v>@mothergooseAZ</v>
      </c>
      <c r="C7158" s="21" t="s">
        <v>15953</v>
      </c>
      <c r="D7158" s="21" t="s">
        <v>15954</v>
      </c>
      <c r="E7158" s="22" t="str">
        <f>HYPERLINK("https://twitter.com/mothergooseAZ/status/922549104760123392","922549104760123392")</f>
        <v>922549104760123392</v>
      </c>
      <c r="F7158" s="23" t="s">
        <v>33</v>
      </c>
      <c r="G7158" s="24">
        <v>2293.0</v>
      </c>
      <c r="H7158" s="24">
        <v>3872.0</v>
      </c>
      <c r="I7158" s="24">
        <v>0.0</v>
      </c>
      <c r="J7158" s="24">
        <v>0.0</v>
      </c>
      <c r="K7158" s="23" t="s">
        <v>34</v>
      </c>
      <c r="L7158" s="25">
        <v>40825.32418981481</v>
      </c>
      <c r="M7158" s="26" t="s">
        <v>15955</v>
      </c>
      <c r="N7158" s="26" t="s">
        <v>15956</v>
      </c>
      <c r="O7158" s="22" t="str">
        <f>HYPERLINK("https://pbs.twimg.com/profile_images/850472368602464260/tWulhcgY_normal.jpg","View")</f>
        <v>View</v>
      </c>
      <c r="P7158" s="27"/>
    </row>
    <row r="7159">
      <c r="A7159" s="14">
        <v>43031.530451388884</v>
      </c>
      <c r="B7159" s="20" t="str">
        <f>HYPERLINK("https://twitter.com/FTR223_ACHACCO","@FTR223_ACHACCO")</f>
        <v>@FTR223_ACHACCO</v>
      </c>
      <c r="C7159" s="21" t="s">
        <v>15957</v>
      </c>
      <c r="D7159" s="21" t="s">
        <v>4857</v>
      </c>
      <c r="E7159" s="22" t="str">
        <f>HYPERLINK("https://twitter.com/FTR223_ACHACCO/status/922549148443852800","922549148443852800")</f>
        <v>922549148443852800</v>
      </c>
      <c r="F7159" s="23" t="s">
        <v>33</v>
      </c>
      <c r="G7159" s="24">
        <v>1315.0</v>
      </c>
      <c r="H7159" s="24">
        <v>1207.0</v>
      </c>
      <c r="I7159" s="24">
        <v>55.0</v>
      </c>
      <c r="J7159" s="24">
        <v>0.0</v>
      </c>
      <c r="K7159" s="23" t="s">
        <v>34</v>
      </c>
      <c r="L7159" s="25">
        <v>40615.23981481481</v>
      </c>
      <c r="M7159" s="26" t="s">
        <v>15958</v>
      </c>
      <c r="N7159" s="26" t="s">
        <v>15959</v>
      </c>
      <c r="O7159" s="22" t="str">
        <f>HYPERLINK("https://pbs.twimg.com/profile_images/854959494123487232/tOfdLsxq_normal.jpg","View")</f>
        <v>View</v>
      </c>
      <c r="P7159" s="27"/>
    </row>
    <row r="7160">
      <c r="A7160" s="14">
        <v>43031.530694444446</v>
      </c>
      <c r="B7160" s="20" t="str">
        <f>HYPERLINK("https://twitter.com/everiting","@everiting")</f>
        <v>@everiting</v>
      </c>
      <c r="C7160" s="21" t="s">
        <v>13340</v>
      </c>
      <c r="D7160" s="21" t="s">
        <v>15960</v>
      </c>
      <c r="E7160" s="22" t="str">
        <f>HYPERLINK("https://twitter.com/everiting/status/922549237329559558","922549237329559558")</f>
        <v>922549237329559558</v>
      </c>
      <c r="F7160" s="30" t="s">
        <v>1342</v>
      </c>
      <c r="G7160" s="24">
        <v>8441.0</v>
      </c>
      <c r="H7160" s="24">
        <v>9327.0</v>
      </c>
      <c r="I7160" s="24">
        <v>0.0</v>
      </c>
      <c r="J7160" s="24">
        <v>0.0</v>
      </c>
      <c r="K7160" s="23" t="s">
        <v>34</v>
      </c>
      <c r="L7160" s="25">
        <v>40060.52028935185</v>
      </c>
      <c r="M7160" s="26" t="s">
        <v>1124</v>
      </c>
      <c r="N7160" s="26" t="s">
        <v>13342</v>
      </c>
      <c r="O7160" s="22" t="str">
        <f>HYPERLINK("https://pbs.twimg.com/profile_images/1836448667/twitter_normal.png","View")</f>
        <v>View</v>
      </c>
      <c r="P7160" s="27"/>
    </row>
    <row r="7161">
      <c r="A7161" s="14">
        <v>43031.5309375</v>
      </c>
      <c r="B7161" s="20" t="str">
        <f>HYPERLINK("https://twitter.com/thelionheartd__","@thelionheartd__")</f>
        <v>@thelionheartd__</v>
      </c>
      <c r="C7161" s="21" t="s">
        <v>15961</v>
      </c>
      <c r="D7161" s="21" t="s">
        <v>2595</v>
      </c>
      <c r="E7161" s="22" t="str">
        <f>HYPERLINK("https://twitter.com/thelionheartd__/status/922549322280923136","922549322280923136")</f>
        <v>922549322280923136</v>
      </c>
      <c r="F7161" s="23" t="s">
        <v>39</v>
      </c>
      <c r="G7161" s="24">
        <v>1889.0</v>
      </c>
      <c r="H7161" s="24">
        <v>991.0</v>
      </c>
      <c r="I7161" s="24">
        <v>170.0</v>
      </c>
      <c r="J7161" s="24">
        <v>0.0</v>
      </c>
      <c r="K7161" s="23" t="s">
        <v>34</v>
      </c>
      <c r="L7161" s="25">
        <v>40039.46472222223</v>
      </c>
      <c r="M7161" s="26" t="s">
        <v>15962</v>
      </c>
      <c r="N7161" s="26" t="s">
        <v>15963</v>
      </c>
      <c r="O7161" s="22" t="str">
        <f>HYPERLINK("https://pbs.twimg.com/profile_images/889599472765882368/Q5QmZS4x_normal.jpg","View")</f>
        <v>View</v>
      </c>
      <c r="P7161" s="27"/>
    </row>
    <row r="7162">
      <c r="A7162" s="14">
        <v>43031.53097222222</v>
      </c>
      <c r="B7162" s="20" t="str">
        <f>HYPERLINK("https://twitter.com/Redking47175373","@Redking47175373")</f>
        <v>@Redking47175373</v>
      </c>
      <c r="C7162" s="21" t="s">
        <v>15964</v>
      </c>
      <c r="D7162" s="21" t="s">
        <v>15965</v>
      </c>
      <c r="E7162" s="22" t="str">
        <f>HYPERLINK("https://twitter.com/Redking47175373/status/922549334855569408","922549334855569408")</f>
        <v>922549334855569408</v>
      </c>
      <c r="F7162" s="23" t="s">
        <v>55</v>
      </c>
      <c r="G7162" s="24">
        <v>746.0</v>
      </c>
      <c r="H7162" s="24">
        <v>4842.0</v>
      </c>
      <c r="I7162" s="24">
        <v>7.0</v>
      </c>
      <c r="J7162" s="24">
        <v>0.0</v>
      </c>
      <c r="K7162" s="23" t="s">
        <v>34</v>
      </c>
      <c r="L7162" s="25">
        <v>42777.17023148148</v>
      </c>
      <c r="M7162" s="26" t="s">
        <v>7794</v>
      </c>
      <c r="N7162" s="26" t="s">
        <v>15966</v>
      </c>
      <c r="O7162" s="22" t="str">
        <f>HYPERLINK("https://pbs.twimg.com/profile_images/830388069408899072/q_DNMJdR_normal.jpg","View")</f>
        <v>View</v>
      </c>
      <c r="P7162" s="27"/>
    </row>
    <row r="7163">
      <c r="A7163" s="14">
        <v>43031.531377314815</v>
      </c>
      <c r="B7163" s="20" t="str">
        <f>HYPERLINK("https://twitter.com/FortuneMagazine","@FortuneMagazine")</f>
        <v>@FortuneMagazine</v>
      </c>
      <c r="C7163" s="21" t="s">
        <v>15967</v>
      </c>
      <c r="D7163" s="21" t="s">
        <v>15968</v>
      </c>
      <c r="E7163" s="22" t="str">
        <f>HYPERLINK("https://twitter.com/FortuneMagazine/status/922549484529291271","922549484529291271")</f>
        <v>922549484529291271</v>
      </c>
      <c r="F7163" s="23" t="s">
        <v>1103</v>
      </c>
      <c r="G7163" s="24">
        <v>2263988.0</v>
      </c>
      <c r="H7163" s="24">
        <v>452.0</v>
      </c>
      <c r="I7163" s="24">
        <v>7.0</v>
      </c>
      <c r="J7163" s="24">
        <v>9.0</v>
      </c>
      <c r="K7163" s="23" t="s">
        <v>34</v>
      </c>
      <c r="L7163" s="25">
        <v>39890.141597222224</v>
      </c>
      <c r="M7163" s="26" t="s">
        <v>389</v>
      </c>
      <c r="N7163" s="26" t="s">
        <v>15969</v>
      </c>
      <c r="O7163" s="22" t="str">
        <f>HYPERLINK("https://pbs.twimg.com/profile_images/875382047216467972/3119VjuE_normal.jpg","View")</f>
        <v>View</v>
      </c>
      <c r="P7163" s="27"/>
    </row>
    <row r="7164">
      <c r="A7164" s="14">
        <v>43031.5315625</v>
      </c>
      <c r="B7164" s="20" t="str">
        <f>HYPERLINK("https://twitter.com/ggnewsus","@ggnewsus")</f>
        <v>@ggnewsus</v>
      </c>
      <c r="C7164" s="21" t="s">
        <v>13409</v>
      </c>
      <c r="D7164" s="21" t="s">
        <v>15970</v>
      </c>
      <c r="E7164" s="22" t="str">
        <f>HYPERLINK("https://twitter.com/ggnewsus/status/922549548924403712","922549548924403712")</f>
        <v>922549548924403712</v>
      </c>
      <c r="F7164" s="23" t="s">
        <v>187</v>
      </c>
      <c r="G7164" s="24">
        <v>862.0</v>
      </c>
      <c r="H7164" s="24">
        <v>143.0</v>
      </c>
      <c r="I7164" s="24">
        <v>0.0</v>
      </c>
      <c r="J7164" s="24">
        <v>0.0</v>
      </c>
      <c r="K7164" s="23" t="s">
        <v>34</v>
      </c>
      <c r="L7164" s="25">
        <v>41679.77077546297</v>
      </c>
      <c r="M7164" s="26" t="s">
        <v>13411</v>
      </c>
      <c r="N7164" s="26" t="s">
        <v>874</v>
      </c>
      <c r="O7164" s="22" t="str">
        <f>HYPERLINK("https://pbs.twimg.com/profile_images/432706003285450752/IHK6C475_normal.png","View")</f>
        <v>View</v>
      </c>
      <c r="P7164" s="27"/>
    </row>
    <row r="7165">
      <c r="A7165" s="14">
        <v>43031.53162037037</v>
      </c>
      <c r="B7165" s="20" t="str">
        <f>HYPERLINK("https://twitter.com/BSAFunds","@BSAFunds")</f>
        <v>@BSAFunds</v>
      </c>
      <c r="C7165" s="21" t="s">
        <v>1248</v>
      </c>
      <c r="D7165" s="21" t="s">
        <v>15971</v>
      </c>
      <c r="E7165" s="22" t="str">
        <f>HYPERLINK("https://twitter.com/BSAFunds/status/922549570038624256","922549570038624256")</f>
        <v>922549570038624256</v>
      </c>
      <c r="F7165" s="23" t="s">
        <v>187</v>
      </c>
      <c r="G7165" s="24">
        <v>20910.0</v>
      </c>
      <c r="H7165" s="24">
        <v>8929.0</v>
      </c>
      <c r="I7165" s="24">
        <v>0.0</v>
      </c>
      <c r="J7165" s="24">
        <v>0.0</v>
      </c>
      <c r="K7165" s="23" t="s">
        <v>34</v>
      </c>
      <c r="L7165" s="25">
        <v>42601.94818287037</v>
      </c>
      <c r="M7165" s="26" t="s">
        <v>1250</v>
      </c>
      <c r="N7165" s="26" t="s">
        <v>1251</v>
      </c>
      <c r="O7165" s="22" t="str">
        <f>HYPERLINK("https://pbs.twimg.com/profile_images/912769166960033792/N4LAmrTs_normal.jpg","View")</f>
        <v>View</v>
      </c>
      <c r="P7165" s="27"/>
    </row>
    <row r="7166">
      <c r="A7166" s="14">
        <v>43031.53182870371</v>
      </c>
      <c r="B7166" s="20" t="str">
        <f>HYPERLINK("https://twitter.com/worldnewsrelay","@worldnewsrelay")</f>
        <v>@worldnewsrelay</v>
      </c>
      <c r="C7166" s="21" t="s">
        <v>4191</v>
      </c>
      <c r="D7166" s="21" t="s">
        <v>15972</v>
      </c>
      <c r="E7166" s="22" t="str">
        <f>HYPERLINK("https://twitter.com/worldnewsrelay/status/922549648224542720","922549648224542720")</f>
        <v>922549648224542720</v>
      </c>
      <c r="F7166" s="23" t="s">
        <v>39</v>
      </c>
      <c r="G7166" s="24">
        <v>394.0</v>
      </c>
      <c r="H7166" s="24">
        <v>1973.0</v>
      </c>
      <c r="I7166" s="24">
        <v>7.0</v>
      </c>
      <c r="J7166" s="24">
        <v>0.0</v>
      </c>
      <c r="K7166" s="23" t="s">
        <v>34</v>
      </c>
      <c r="L7166" s="25">
        <v>40931.45302083333</v>
      </c>
      <c r="M7166" s="26" t="s">
        <v>15973</v>
      </c>
      <c r="N7166" s="26" t="s">
        <v>15974</v>
      </c>
      <c r="O7166" s="22" t="str">
        <f>HYPERLINK("https://pbs.twimg.com/profile_images/443186196718419969/ajg4Bo3__normal.jpeg","View")</f>
        <v>View</v>
      </c>
      <c r="P7166" s="27"/>
    </row>
    <row r="7167">
      <c r="A7167" s="14">
        <v>43031.53185185185</v>
      </c>
      <c r="B7167" s="20" t="str">
        <f>HYPERLINK("https://twitter.com/navycapital","@navycapital")</f>
        <v>@navycapital</v>
      </c>
      <c r="C7167" s="21" t="s">
        <v>15975</v>
      </c>
      <c r="D7167" s="21" t="s">
        <v>15976</v>
      </c>
      <c r="E7167" s="22" t="str">
        <f>HYPERLINK("https://twitter.com/navycapital/status/922549653119361025","922549653119361025")</f>
        <v>922549653119361025</v>
      </c>
      <c r="F7167" s="23" t="s">
        <v>187</v>
      </c>
      <c r="G7167" s="24">
        <v>2899.0</v>
      </c>
      <c r="H7167" s="24">
        <v>54.0</v>
      </c>
      <c r="I7167" s="24">
        <v>0.0</v>
      </c>
      <c r="J7167" s="24">
        <v>0.0</v>
      </c>
      <c r="K7167" s="23" t="s">
        <v>34</v>
      </c>
      <c r="L7167" s="25">
        <v>42126.86944444444</v>
      </c>
      <c r="M7167" s="28"/>
      <c r="N7167" s="26" t="s">
        <v>15977</v>
      </c>
      <c r="O7167" s="22" t="str">
        <f>HYPERLINK("https://pbs.twimg.com/profile_images/657674778833063936/NAhBN525_normal.png","View")</f>
        <v>View</v>
      </c>
      <c r="P7167" s="27"/>
    </row>
    <row r="7168">
      <c r="A7168" s="14">
        <v>43031.532002314816</v>
      </c>
      <c r="B7168" s="20" t="str">
        <f>HYPERLINK("https://twitter.com/PulseGhana","@PulseGhana")</f>
        <v>@PulseGhana</v>
      </c>
      <c r="C7168" s="21" t="s">
        <v>15978</v>
      </c>
      <c r="D7168" s="21" t="s">
        <v>15979</v>
      </c>
      <c r="E7168" s="22" t="str">
        <f>HYPERLINK("https://twitter.com/PulseGhana/status/922549709117550592","922549709117550592")</f>
        <v>922549709117550592</v>
      </c>
      <c r="F7168" s="23" t="s">
        <v>3086</v>
      </c>
      <c r="G7168" s="24">
        <v>35004.0</v>
      </c>
      <c r="H7168" s="24">
        <v>444.0</v>
      </c>
      <c r="I7168" s="24">
        <v>0.0</v>
      </c>
      <c r="J7168" s="24">
        <v>3.0</v>
      </c>
      <c r="K7168" s="23" t="s">
        <v>34</v>
      </c>
      <c r="L7168" s="25">
        <v>41754.44988425926</v>
      </c>
      <c r="M7168" s="26" t="s">
        <v>15980</v>
      </c>
      <c r="N7168" s="26" t="s">
        <v>15981</v>
      </c>
      <c r="O7168" s="22" t="str">
        <f>HYPERLINK("https://pbs.twimg.com/profile_images/738969206385958912/YJdqJHVK_normal.jpg","View")</f>
        <v>View</v>
      </c>
      <c r="P7168" s="27"/>
    </row>
    <row r="7169">
      <c r="A7169" s="14">
        <v>43031.53224537037</v>
      </c>
      <c r="B7169" s="20" t="str">
        <f>HYPERLINK("https://twitter.com/menaleeciara","@menaleeciara")</f>
        <v>@menaleeciara</v>
      </c>
      <c r="C7169" s="21" t="s">
        <v>15982</v>
      </c>
      <c r="D7169" s="21" t="s">
        <v>15983</v>
      </c>
      <c r="E7169" s="22" t="str">
        <f>HYPERLINK("https://twitter.com/menaleeciara/status/922549797189537793","922549797189537793")</f>
        <v>922549797189537793</v>
      </c>
      <c r="F7169" s="23" t="s">
        <v>187</v>
      </c>
      <c r="G7169" s="24">
        <v>61.0</v>
      </c>
      <c r="H7169" s="24">
        <v>87.0</v>
      </c>
      <c r="I7169" s="24">
        <v>0.0</v>
      </c>
      <c r="J7169" s="24">
        <v>0.0</v>
      </c>
      <c r="K7169" s="23" t="s">
        <v>34</v>
      </c>
      <c r="L7169" s="25">
        <v>42815.6670949074</v>
      </c>
      <c r="M7169" s="26" t="s">
        <v>2483</v>
      </c>
      <c r="N7169" s="26" t="s">
        <v>15984</v>
      </c>
      <c r="O7169" s="22" t="str">
        <f>HYPERLINK("https://pbs.twimg.com/profile_images/862405264473026560/ENa3420v_normal.jpg","View")</f>
        <v>View</v>
      </c>
      <c r="P7169" s="27"/>
    </row>
    <row r="7170">
      <c r="A7170" s="14">
        <v>43031.53228009259</v>
      </c>
      <c r="B7170" s="20" t="str">
        <f>HYPERLINK("https://twitter.com/ResearchVivek","@ResearchVivek")</f>
        <v>@ResearchVivek</v>
      </c>
      <c r="C7170" s="21" t="s">
        <v>15985</v>
      </c>
      <c r="D7170" s="21" t="s">
        <v>15986</v>
      </c>
      <c r="E7170" s="22" t="str">
        <f>HYPERLINK("https://twitter.com/ResearchVivek/status/922549808174264320","922549808174264320")</f>
        <v>922549808174264320</v>
      </c>
      <c r="F7170" s="23" t="s">
        <v>55</v>
      </c>
      <c r="G7170" s="24">
        <v>139.0</v>
      </c>
      <c r="H7170" s="24">
        <v>130.0</v>
      </c>
      <c r="I7170" s="24">
        <v>2.0</v>
      </c>
      <c r="J7170" s="24">
        <v>3.0</v>
      </c>
      <c r="K7170" s="23" t="s">
        <v>34</v>
      </c>
      <c r="L7170" s="25">
        <v>42859.968576388885</v>
      </c>
      <c r="M7170" s="28"/>
      <c r="N7170" s="26" t="s">
        <v>15987</v>
      </c>
      <c r="O7170" s="22" t="str">
        <f>HYPERLINK("https://pbs.twimg.com/profile_images/860383241546588160/rpmO-X6d_normal.jpg","View")</f>
        <v>View</v>
      </c>
      <c r="P7170" s="27"/>
    </row>
    <row r="7171">
      <c r="A7171" s="14">
        <v>43031.53238425926</v>
      </c>
      <c r="B7171" s="20" t="str">
        <f>HYPERLINK("https://twitter.com/PoliticsOfWorld","@PoliticsOfWorld")</f>
        <v>@PoliticsOfWorld</v>
      </c>
      <c r="C7171" s="21" t="s">
        <v>15988</v>
      </c>
      <c r="D7171" s="21" t="s">
        <v>15989</v>
      </c>
      <c r="E7171" s="22" t="str">
        <f>HYPERLINK("https://twitter.com/PoliticsOfWorld/status/922549849484087296","922549849484087296")</f>
        <v>922549849484087296</v>
      </c>
      <c r="F7171" s="23" t="s">
        <v>55</v>
      </c>
      <c r="G7171" s="24">
        <v>365.0</v>
      </c>
      <c r="H7171" s="24">
        <v>439.0</v>
      </c>
      <c r="I7171" s="24">
        <v>0.0</v>
      </c>
      <c r="J7171" s="24">
        <v>0.0</v>
      </c>
      <c r="K7171" s="23" t="s">
        <v>34</v>
      </c>
      <c r="L7171" s="25">
        <v>40491.47662037037</v>
      </c>
      <c r="M7171" s="26" t="s">
        <v>920</v>
      </c>
      <c r="N7171" s="26" t="s">
        <v>15990</v>
      </c>
      <c r="O7171" s="22" t="str">
        <f>HYPERLINK("https://pbs.twimg.com/profile_images/496173463946547200/rSXwtHBs_normal.png","View")</f>
        <v>View</v>
      </c>
      <c r="P7171" s="27"/>
    </row>
    <row r="7172">
      <c r="A7172" s="14">
        <v>43031.53245370371</v>
      </c>
      <c r="B7172" s="20" t="str">
        <f>HYPERLINK("https://twitter.com/born_blazed","@born_blazed")</f>
        <v>@born_blazed</v>
      </c>
      <c r="C7172" s="21" t="s">
        <v>15991</v>
      </c>
      <c r="D7172" s="21" t="s">
        <v>4001</v>
      </c>
      <c r="E7172" s="22" t="str">
        <f>HYPERLINK("https://twitter.com/born_blazed/status/922549871831285763","922549871831285763")</f>
        <v>922549871831285763</v>
      </c>
      <c r="F7172" s="23" t="s">
        <v>55</v>
      </c>
      <c r="G7172" s="24">
        <v>2154.0</v>
      </c>
      <c r="H7172" s="24">
        <v>3247.0</v>
      </c>
      <c r="I7172" s="24">
        <v>58.0</v>
      </c>
      <c r="J7172" s="24">
        <v>0.0</v>
      </c>
      <c r="K7172" s="23" t="s">
        <v>34</v>
      </c>
      <c r="L7172" s="25">
        <v>42788.6187962963</v>
      </c>
      <c r="M7172" s="28"/>
      <c r="N7172" s="26" t="s">
        <v>15992</v>
      </c>
      <c r="O7172" s="22" t="str">
        <f>HYPERLINK("https://pbs.twimg.com/profile_images/881968016728219648/A7hSm5Ci_normal.jpg","View")</f>
        <v>View</v>
      </c>
      <c r="P7172" s="27"/>
    </row>
    <row r="7173">
      <c r="A7173" s="14">
        <v>43031.532696759255</v>
      </c>
      <c r="B7173" s="20" t="str">
        <f>HYPERLINK("https://twitter.com/Nottingham_IAPS","@Nottingham_IAPS")</f>
        <v>@Nottingham_IAPS</v>
      </c>
      <c r="C7173" s="21" t="s">
        <v>2982</v>
      </c>
      <c r="D7173" s="21" t="s">
        <v>15993</v>
      </c>
      <c r="E7173" s="22" t="str">
        <f>HYPERLINK("https://twitter.com/Nottingham_IAPS/status/922549963036471297","922549963036471297")</f>
        <v>922549963036471297</v>
      </c>
      <c r="F7173" s="23" t="s">
        <v>39</v>
      </c>
      <c r="G7173" s="24">
        <v>1052.0</v>
      </c>
      <c r="H7173" s="24">
        <v>928.0</v>
      </c>
      <c r="I7173" s="24">
        <v>6.0</v>
      </c>
      <c r="J7173" s="24">
        <v>3.0</v>
      </c>
      <c r="K7173" s="23" t="s">
        <v>34</v>
      </c>
      <c r="L7173" s="25">
        <v>40962.12094907407</v>
      </c>
      <c r="M7173" s="26" t="s">
        <v>771</v>
      </c>
      <c r="N7173" s="26" t="s">
        <v>2984</v>
      </c>
      <c r="O7173" s="22" t="str">
        <f>HYPERLINK("https://pbs.twimg.com/profile_images/667034844652785664/Iw8DyIlB_normal.jpg","View")</f>
        <v>View</v>
      </c>
      <c r="P7173" s="27"/>
    </row>
    <row r="7174">
      <c r="A7174" s="14">
        <v>43031.53295138889</v>
      </c>
      <c r="B7174" s="20" t="str">
        <f>HYPERLINK("https://twitter.com/RajShallvi","@RajShallvi")</f>
        <v>@RajShallvi</v>
      </c>
      <c r="C7174" s="21" t="s">
        <v>15994</v>
      </c>
      <c r="D7174" s="21" t="s">
        <v>42</v>
      </c>
      <c r="E7174" s="22" t="str">
        <f>HYPERLINK("https://twitter.com/RajShallvi/status/922550052475695105","922550052475695105")</f>
        <v>922550052475695105</v>
      </c>
      <c r="F7174" s="23" t="s">
        <v>33</v>
      </c>
      <c r="G7174" s="24">
        <v>31.0</v>
      </c>
      <c r="H7174" s="24">
        <v>118.0</v>
      </c>
      <c r="I7174" s="24">
        <v>8501.0</v>
      </c>
      <c r="J7174" s="24">
        <v>0.0</v>
      </c>
      <c r="K7174" s="23" t="s">
        <v>34</v>
      </c>
      <c r="L7174" s="25">
        <v>42754.18859953704</v>
      </c>
      <c r="M7174" s="28"/>
      <c r="N7174" s="28"/>
      <c r="O7174" s="22" t="str">
        <f>HYPERLINK("https://pbs.twimg.com/profile_images/822497645730074624/YuKhscP6_normal.jpg","View")</f>
        <v>View</v>
      </c>
      <c r="P7174" s="27"/>
    </row>
    <row r="7175">
      <c r="A7175" s="14">
        <v>43031.53327546296</v>
      </c>
      <c r="B7175" s="20" t="str">
        <f>HYPERLINK("https://twitter.com/UoNCPI","@UoNCPI")</f>
        <v>@UoNCPI</v>
      </c>
      <c r="C7175" s="21" t="s">
        <v>15995</v>
      </c>
      <c r="D7175" s="21" t="s">
        <v>15996</v>
      </c>
      <c r="E7175" s="22" t="str">
        <f>HYPERLINK("https://twitter.com/UoNCPI/status/922550169694031873","922550169694031873")</f>
        <v>922550169694031873</v>
      </c>
      <c r="F7175" s="23" t="s">
        <v>39</v>
      </c>
      <c r="G7175" s="24">
        <v>6941.0</v>
      </c>
      <c r="H7175" s="24">
        <v>1407.0</v>
      </c>
      <c r="I7175" s="24">
        <v>6.0</v>
      </c>
      <c r="J7175" s="24">
        <v>0.0</v>
      </c>
      <c r="K7175" s="23" t="s">
        <v>34</v>
      </c>
      <c r="L7175" s="25">
        <v>40925.30163194444</v>
      </c>
      <c r="M7175" s="26" t="s">
        <v>1246</v>
      </c>
      <c r="N7175" s="26" t="s">
        <v>15997</v>
      </c>
      <c r="O7175" s="22" t="str">
        <f>HYPERLINK("https://pbs.twimg.com/profile_images/905364164662747136/cQ2mvXqA_normal.jpg","View")</f>
        <v>View</v>
      </c>
      <c r="P7175" s="27"/>
    </row>
    <row r="7176">
      <c r="A7176" s="14">
        <v>43031.533321759256</v>
      </c>
      <c r="B7176" s="20" t="str">
        <f>HYPERLINK("https://twitter.com/kochar_pankaj","@kochar_pankaj")</f>
        <v>@kochar_pankaj</v>
      </c>
      <c r="C7176" s="21" t="s">
        <v>15998</v>
      </c>
      <c r="D7176" s="21" t="s">
        <v>42</v>
      </c>
      <c r="E7176" s="22" t="str">
        <f>HYPERLINK("https://twitter.com/kochar_pankaj/status/922550185527406595","922550185527406595")</f>
        <v>922550185527406595</v>
      </c>
      <c r="F7176" s="23" t="s">
        <v>39</v>
      </c>
      <c r="G7176" s="24">
        <v>1170.0</v>
      </c>
      <c r="H7176" s="24">
        <v>1349.0</v>
      </c>
      <c r="I7176" s="24">
        <v>8501.0</v>
      </c>
      <c r="J7176" s="24">
        <v>0.0</v>
      </c>
      <c r="K7176" s="23" t="s">
        <v>34</v>
      </c>
      <c r="L7176" s="25">
        <v>41403.24292824074</v>
      </c>
      <c r="M7176" s="26" t="s">
        <v>15999</v>
      </c>
      <c r="N7176" s="26" t="s">
        <v>16000</v>
      </c>
      <c r="O7176" s="22" t="str">
        <f>HYPERLINK("https://pbs.twimg.com/profile_images/911294634105593856/d635Q5NM_normal.jpg","View")</f>
        <v>View</v>
      </c>
      <c r="P7176" s="27"/>
    </row>
    <row r="7177">
      <c r="A7177" s="14">
        <v>43031.53335648148</v>
      </c>
      <c r="B7177" s="20" t="str">
        <f>HYPERLINK("https://twitter.com/citizen4progres","@citizen4progres")</f>
        <v>@citizen4progres</v>
      </c>
      <c r="C7177" s="21" t="s">
        <v>16001</v>
      </c>
      <c r="D7177" s="21" t="s">
        <v>42</v>
      </c>
      <c r="E7177" s="22" t="str">
        <f>HYPERLINK("https://twitter.com/citizen4progres/status/922550198164799488","922550198164799488")</f>
        <v>922550198164799488</v>
      </c>
      <c r="F7177" s="23" t="s">
        <v>43</v>
      </c>
      <c r="G7177" s="24">
        <v>1485.0</v>
      </c>
      <c r="H7177" s="24">
        <v>3113.0</v>
      </c>
      <c r="I7177" s="24">
        <v>8501.0</v>
      </c>
      <c r="J7177" s="24">
        <v>0.0</v>
      </c>
      <c r="K7177" s="23" t="s">
        <v>34</v>
      </c>
      <c r="L7177" s="25">
        <v>42539.2715625</v>
      </c>
      <c r="M7177" s="26" t="s">
        <v>16002</v>
      </c>
      <c r="N7177" s="26" t="s">
        <v>16003</v>
      </c>
      <c r="O7177" s="22" t="str">
        <f>HYPERLINK("https://pbs.twimg.com/profile_images/878703582089846786/cH_VI2Ge_normal.jpg","View")</f>
        <v>View</v>
      </c>
      <c r="P7177" s="27"/>
    </row>
    <row r="7178">
      <c r="A7178" s="14">
        <v>43031.53337962963</v>
      </c>
      <c r="B7178" s="20" t="str">
        <f>HYPERLINK("https://twitter.com/AsiaPolicy","@AsiaPolicy")</f>
        <v>@AsiaPolicy</v>
      </c>
      <c r="C7178" s="21" t="s">
        <v>11630</v>
      </c>
      <c r="D7178" s="21" t="s">
        <v>16004</v>
      </c>
      <c r="E7178" s="22" t="str">
        <f>HYPERLINK("https://twitter.com/AsiaPolicy/status/922550208248020992","922550208248020992")</f>
        <v>922550208248020992</v>
      </c>
      <c r="F7178" s="23" t="s">
        <v>769</v>
      </c>
      <c r="G7178" s="24">
        <v>3852.0</v>
      </c>
      <c r="H7178" s="24">
        <v>808.0</v>
      </c>
      <c r="I7178" s="24">
        <v>1.0</v>
      </c>
      <c r="J7178" s="24">
        <v>0.0</v>
      </c>
      <c r="K7178" s="23" t="s">
        <v>34</v>
      </c>
      <c r="L7178" s="25">
        <v>41310.6343287037</v>
      </c>
      <c r="M7178" s="26" t="s">
        <v>11632</v>
      </c>
      <c r="N7178" s="26" t="s">
        <v>11633</v>
      </c>
      <c r="O7178" s="22" t="str">
        <f>HYPERLINK("https://pbs.twimg.com/profile_images/606601194434363392/11lpAbki_normal.png","View")</f>
        <v>View</v>
      </c>
      <c r="P7178" s="27"/>
    </row>
    <row r="7179">
      <c r="A7179" s="14">
        <v>43031.533414351856</v>
      </c>
      <c r="B7179" s="20" t="str">
        <f>HYPERLINK("https://twitter.com/RohanKukreja89","@RohanKukreja89")</f>
        <v>@RohanKukreja89</v>
      </c>
      <c r="C7179" s="21" t="s">
        <v>16005</v>
      </c>
      <c r="D7179" s="21" t="s">
        <v>42</v>
      </c>
      <c r="E7179" s="22" t="str">
        <f>HYPERLINK("https://twitter.com/RohanKukreja89/status/922550220784771072","922550220784771072")</f>
        <v>922550220784771072</v>
      </c>
      <c r="F7179" s="23" t="s">
        <v>39</v>
      </c>
      <c r="G7179" s="24">
        <v>216.0</v>
      </c>
      <c r="H7179" s="24">
        <v>472.0</v>
      </c>
      <c r="I7179" s="24">
        <v>8501.0</v>
      </c>
      <c r="J7179" s="24">
        <v>0.0</v>
      </c>
      <c r="K7179" s="23" t="s">
        <v>34</v>
      </c>
      <c r="L7179" s="25">
        <v>42096.09630787037</v>
      </c>
      <c r="M7179" s="26" t="s">
        <v>96</v>
      </c>
      <c r="N7179" s="26" t="s">
        <v>16006</v>
      </c>
      <c r="O7179" s="22" t="str">
        <f>HYPERLINK("https://pbs.twimg.com/profile_images/583561126371143680/dozWfUke_normal.jpg","View")</f>
        <v>View</v>
      </c>
      <c r="P7179" s="27"/>
    </row>
    <row r="7180">
      <c r="A7180" s="14">
        <v>43031.53344907408</v>
      </c>
      <c r="B7180" s="20" t="str">
        <f>HYPERLINK("https://twitter.com/ElaudierLaudier","@ElaudierLaudier")</f>
        <v>@ElaudierLaudier</v>
      </c>
      <c r="C7180" s="21" t="s">
        <v>16007</v>
      </c>
      <c r="D7180" s="21" t="s">
        <v>3867</v>
      </c>
      <c r="E7180" s="22" t="str">
        <f>HYPERLINK("https://twitter.com/ElaudierLaudier/status/922550233434918913","922550233434918913")</f>
        <v>922550233434918913</v>
      </c>
      <c r="F7180" s="23" t="s">
        <v>39</v>
      </c>
      <c r="G7180" s="24">
        <v>709.0</v>
      </c>
      <c r="H7180" s="24">
        <v>380.0</v>
      </c>
      <c r="I7180" s="24">
        <v>23.0</v>
      </c>
      <c r="J7180" s="24">
        <v>0.0</v>
      </c>
      <c r="K7180" s="23" t="s">
        <v>34</v>
      </c>
      <c r="L7180" s="25">
        <v>41926.20930555556</v>
      </c>
      <c r="M7180" s="26" t="s">
        <v>16008</v>
      </c>
      <c r="N7180" s="26" t="s">
        <v>16009</v>
      </c>
      <c r="O7180" s="22" t="str">
        <f>HYPERLINK("https://pbs.twimg.com/profile_images/827431838209671168/3DKbzNMv_normal.jpg","View")</f>
        <v>View</v>
      </c>
      <c r="P7180" s="27"/>
    </row>
    <row r="7181">
      <c r="A7181" s="14">
        <v>43031.53387731481</v>
      </c>
      <c r="B7181" s="20" t="str">
        <f>HYPERLINK("https://twitter.com/kurikazu0904","@kurikazu0904")</f>
        <v>@kurikazu0904</v>
      </c>
      <c r="C7181" s="21" t="s">
        <v>16010</v>
      </c>
      <c r="D7181" s="21" t="s">
        <v>42</v>
      </c>
      <c r="E7181" s="22" t="str">
        <f>HYPERLINK("https://twitter.com/kurikazu0904/status/922550390041796610","922550390041796610")</f>
        <v>922550390041796610</v>
      </c>
      <c r="F7181" s="23" t="s">
        <v>33</v>
      </c>
      <c r="G7181" s="24">
        <v>88.0</v>
      </c>
      <c r="H7181" s="24">
        <v>1306.0</v>
      </c>
      <c r="I7181" s="24">
        <v>8501.0</v>
      </c>
      <c r="J7181" s="24">
        <v>0.0</v>
      </c>
      <c r="K7181" s="23" t="s">
        <v>34</v>
      </c>
      <c r="L7181" s="25">
        <v>43016.67288194444</v>
      </c>
      <c r="M7181" s="26" t="s">
        <v>16011</v>
      </c>
      <c r="N7181" s="26" t="s">
        <v>16012</v>
      </c>
      <c r="O7181" s="22" t="str">
        <f>HYPERLINK("https://pbs.twimg.com/profile_images/921233033235013632/I30FdfuE_normal.jpg","View")</f>
        <v>View</v>
      </c>
      <c r="P7181" s="27"/>
    </row>
    <row r="7182">
      <c r="A7182" s="14">
        <v>43031.53391203703</v>
      </c>
      <c r="B7182" s="20" t="str">
        <f>HYPERLINK("https://twitter.com/Ms_Seleon","@Ms_Seleon")</f>
        <v>@Ms_Seleon</v>
      </c>
      <c r="C7182" s="21" t="s">
        <v>16013</v>
      </c>
      <c r="D7182" s="21" t="s">
        <v>32</v>
      </c>
      <c r="E7182" s="22" t="str">
        <f>HYPERLINK("https://twitter.com/Ms_Seleon/status/922550402163277824","922550402163277824")</f>
        <v>922550402163277824</v>
      </c>
      <c r="F7182" s="23" t="s">
        <v>33</v>
      </c>
      <c r="G7182" s="24">
        <v>501.0</v>
      </c>
      <c r="H7182" s="24">
        <v>994.0</v>
      </c>
      <c r="I7182" s="24">
        <v>471.0</v>
      </c>
      <c r="J7182" s="24">
        <v>0.0</v>
      </c>
      <c r="K7182" s="23" t="s">
        <v>34</v>
      </c>
      <c r="L7182" s="25">
        <v>42257.21172453703</v>
      </c>
      <c r="M7182" s="28"/>
      <c r="N7182" s="26" t="s">
        <v>16014</v>
      </c>
      <c r="O7182" s="22" t="str">
        <f>HYPERLINK("https://pbs.twimg.com/profile_images/922732238344736768/jvy78EoX_normal.jpg","View")</f>
        <v>View</v>
      </c>
      <c r="P7182" s="27"/>
    </row>
    <row r="7183">
      <c r="A7183" s="14">
        <v>43031.53439814815</v>
      </c>
      <c r="B7183" s="20" t="str">
        <f>HYPERLINK("https://twitter.com/bekkiitan93","@bekkiitan93")</f>
        <v>@bekkiitan93</v>
      </c>
      <c r="C7183" s="21" t="s">
        <v>16015</v>
      </c>
      <c r="D7183" s="21" t="s">
        <v>15928</v>
      </c>
      <c r="E7183" s="22" t="str">
        <f>HYPERLINK("https://twitter.com/bekkiitan93/status/922550577808232449","922550577808232449")</f>
        <v>922550577808232449</v>
      </c>
      <c r="F7183" s="23" t="s">
        <v>55</v>
      </c>
      <c r="G7183" s="24">
        <v>901.0</v>
      </c>
      <c r="H7183" s="24">
        <v>570.0</v>
      </c>
      <c r="I7183" s="24">
        <v>3.0</v>
      </c>
      <c r="J7183" s="24">
        <v>0.0</v>
      </c>
      <c r="K7183" s="23" t="s">
        <v>34</v>
      </c>
      <c r="L7183" s="25">
        <v>41088.181550925925</v>
      </c>
      <c r="M7183" s="26" t="s">
        <v>16016</v>
      </c>
      <c r="N7183" s="26" t="s">
        <v>16017</v>
      </c>
      <c r="O7183" s="22" t="str">
        <f>HYPERLINK("https://pbs.twimg.com/profile_images/903417986043613184/q3i1YVU7_normal.jpg","View")</f>
        <v>View</v>
      </c>
      <c r="P7183" s="27"/>
    </row>
    <row r="7184">
      <c r="A7184" s="14">
        <v>43031.53484953704</v>
      </c>
      <c r="B7184" s="20" t="str">
        <f>HYPERLINK("https://twitter.com/EnglistA","@EnglistA")</f>
        <v>@EnglistA</v>
      </c>
      <c r="C7184" s="21" t="s">
        <v>16018</v>
      </c>
      <c r="D7184" s="21" t="s">
        <v>16019</v>
      </c>
      <c r="E7184" s="22" t="str">
        <f>HYPERLINK("https://twitter.com/EnglistA/status/922550740178145280","922550740178145280")</f>
        <v>922550740178145280</v>
      </c>
      <c r="F7184" s="30" t="s">
        <v>3839</v>
      </c>
      <c r="G7184" s="24">
        <v>4653.0</v>
      </c>
      <c r="H7184" s="24">
        <v>1372.0</v>
      </c>
      <c r="I7184" s="24">
        <v>0.0</v>
      </c>
      <c r="J7184" s="24">
        <v>0.0</v>
      </c>
      <c r="K7184" s="23" t="s">
        <v>34</v>
      </c>
      <c r="L7184" s="25">
        <v>42140.160682870366</v>
      </c>
      <c r="M7184" s="26" t="s">
        <v>16020</v>
      </c>
      <c r="N7184" s="26" t="s">
        <v>16021</v>
      </c>
      <c r="O7184" s="22" t="str">
        <f>HYPERLINK("https://pbs.twimg.com/profile_images/614644923309010944/twGifQbb_normal.png","View")</f>
        <v>View</v>
      </c>
      <c r="P7184" s="27"/>
    </row>
    <row r="7185">
      <c r="A7185" s="14">
        <v>43031.535104166665</v>
      </c>
      <c r="B7185" s="20" t="str">
        <f>HYPERLINK("https://twitter.com/okeirussia","@okeirussia")</f>
        <v>@okeirussia</v>
      </c>
      <c r="C7185" s="21" t="s">
        <v>16022</v>
      </c>
      <c r="D7185" s="21" t="s">
        <v>16023</v>
      </c>
      <c r="E7185" s="22" t="str">
        <f>HYPERLINK("https://twitter.com/okeirussia/status/922550831500500992","922550831500500992")</f>
        <v>922550831500500992</v>
      </c>
      <c r="F7185" s="23" t="s">
        <v>39</v>
      </c>
      <c r="G7185" s="24">
        <v>4321.0</v>
      </c>
      <c r="H7185" s="24">
        <v>3940.0</v>
      </c>
      <c r="I7185" s="24">
        <v>0.0</v>
      </c>
      <c r="J7185" s="24">
        <v>0.0</v>
      </c>
      <c r="K7185" s="23" t="s">
        <v>34</v>
      </c>
      <c r="L7185" s="25">
        <v>40279.208645833336</v>
      </c>
      <c r="M7185" s="26" t="s">
        <v>16024</v>
      </c>
      <c r="N7185" s="26" t="s">
        <v>16025</v>
      </c>
      <c r="O7185" s="22" t="str">
        <f>HYPERLINK("https://pbs.twimg.com/profile_images/723848245223383041/uAYbdFKO_normal.jpg","View")</f>
        <v>View</v>
      </c>
      <c r="P7185" s="27"/>
    </row>
    <row r="7186">
      <c r="A7186" s="14">
        <v>43031.535879629635</v>
      </c>
      <c r="B7186" s="20" t="str">
        <f>HYPERLINK("https://twitter.com/abbaleksandr","@abbaleksandr")</f>
        <v>@abbaleksandr</v>
      </c>
      <c r="C7186" s="21" t="s">
        <v>16026</v>
      </c>
      <c r="D7186" s="21" t="s">
        <v>16027</v>
      </c>
      <c r="E7186" s="22" t="str">
        <f>HYPERLINK("https://twitter.com/abbaleksandr/status/922551114708475905","922551114708475905")</f>
        <v>922551114708475905</v>
      </c>
      <c r="F7186" s="23" t="s">
        <v>55</v>
      </c>
      <c r="G7186" s="24">
        <v>540.0</v>
      </c>
      <c r="H7186" s="24">
        <v>1452.0</v>
      </c>
      <c r="I7186" s="24">
        <v>0.0</v>
      </c>
      <c r="J7186" s="24">
        <v>0.0</v>
      </c>
      <c r="K7186" s="23" t="s">
        <v>34</v>
      </c>
      <c r="L7186" s="25">
        <v>40415.1268287037</v>
      </c>
      <c r="M7186" s="26" t="s">
        <v>16028</v>
      </c>
      <c r="N7186" s="26" t="s">
        <v>16029</v>
      </c>
      <c r="O7186" s="22" t="str">
        <f>HYPERLINK("https://pbs.twimg.com/profile_images/915193354543140864/iUI0AgVY_normal.jpg","View")</f>
        <v>View</v>
      </c>
      <c r="P7186" s="27"/>
    </row>
    <row r="7187">
      <c r="A7187" s="14">
        <v>43031.535891203705</v>
      </c>
      <c r="B7187" s="20" t="str">
        <f>HYPERLINK("https://twitter.com/jakebebber","@jakebebber")</f>
        <v>@jakebebber</v>
      </c>
      <c r="C7187" s="21" t="s">
        <v>16030</v>
      </c>
      <c r="D7187" s="21" t="s">
        <v>7927</v>
      </c>
      <c r="E7187" s="22" t="str">
        <f>HYPERLINK("https://twitter.com/jakebebber/status/922551119129300992","922551119129300992")</f>
        <v>922551119129300992</v>
      </c>
      <c r="F7187" s="23" t="s">
        <v>39</v>
      </c>
      <c r="G7187" s="24">
        <v>367.0</v>
      </c>
      <c r="H7187" s="24">
        <v>819.0</v>
      </c>
      <c r="I7187" s="24">
        <v>15.0</v>
      </c>
      <c r="J7187" s="24">
        <v>0.0</v>
      </c>
      <c r="K7187" s="23" t="s">
        <v>34</v>
      </c>
      <c r="L7187" s="25">
        <v>39907.782060185185</v>
      </c>
      <c r="M7187" s="26" t="s">
        <v>16031</v>
      </c>
      <c r="N7187" s="26" t="s">
        <v>16032</v>
      </c>
      <c r="O7187" s="22" t="str">
        <f>HYPERLINK("https://pbs.twimg.com/profile_images/1204728263/100_0176_normal.jpg","View")</f>
        <v>View</v>
      </c>
      <c r="P7187" s="27"/>
    </row>
    <row r="7188">
      <c r="A7188" s="14">
        <v>43031.53591435185</v>
      </c>
      <c r="B7188" s="20" t="str">
        <f>HYPERLINK("https://twitter.com/SoongJohnston","@SoongJohnston")</f>
        <v>@SoongJohnston</v>
      </c>
      <c r="C7188" s="21" t="s">
        <v>16033</v>
      </c>
      <c r="D7188" s="21" t="s">
        <v>16034</v>
      </c>
      <c r="E7188" s="22" t="str">
        <f>HYPERLINK("https://twitter.com/SoongJohnston/status/922551127991836672","922551127991836672")</f>
        <v>922551127991836672</v>
      </c>
      <c r="F7188" s="23" t="s">
        <v>55</v>
      </c>
      <c r="G7188" s="24">
        <v>1494.0</v>
      </c>
      <c r="H7188" s="24">
        <v>875.0</v>
      </c>
      <c r="I7188" s="24">
        <v>2.0</v>
      </c>
      <c r="J7188" s="24">
        <v>0.0</v>
      </c>
      <c r="K7188" s="23" t="s">
        <v>34</v>
      </c>
      <c r="L7188" s="25">
        <v>41995.44417824074</v>
      </c>
      <c r="M7188" s="26" t="s">
        <v>16035</v>
      </c>
      <c r="N7188" s="26" t="s">
        <v>16036</v>
      </c>
      <c r="O7188" s="22" t="str">
        <f>HYPERLINK("https://pbs.twimg.com/profile_images/895367647805788160/ewf15Zm4_normal.jpg","View")</f>
        <v>View</v>
      </c>
      <c r="P7188" s="27"/>
    </row>
    <row r="7189">
      <c r="A7189" s="14">
        <v>43031.53601851852</v>
      </c>
      <c r="B7189" s="20" t="str">
        <f>HYPERLINK("https://twitter.com/rohittr123","@rohittr123")</f>
        <v>@rohittr123</v>
      </c>
      <c r="C7189" s="21" t="s">
        <v>16037</v>
      </c>
      <c r="D7189" s="21" t="s">
        <v>42</v>
      </c>
      <c r="E7189" s="22" t="str">
        <f>HYPERLINK("https://twitter.com/rohittr123/status/922551165828526082","922551165828526082")</f>
        <v>922551165828526082</v>
      </c>
      <c r="F7189" s="23" t="s">
        <v>43</v>
      </c>
      <c r="G7189" s="24">
        <v>1694.0</v>
      </c>
      <c r="H7189" s="24">
        <v>1072.0</v>
      </c>
      <c r="I7189" s="24">
        <v>8501.0</v>
      </c>
      <c r="J7189" s="24">
        <v>0.0</v>
      </c>
      <c r="K7189" s="23" t="s">
        <v>34</v>
      </c>
      <c r="L7189" s="25">
        <v>41631.211180555554</v>
      </c>
      <c r="M7189" s="26" t="s">
        <v>16038</v>
      </c>
      <c r="N7189" s="26" t="s">
        <v>16039</v>
      </c>
      <c r="O7189" s="22" t="str">
        <f>HYPERLINK("https://pbs.twimg.com/profile_images/854752190480531456/wfZ2icYI_normal.jpg","View")</f>
        <v>View</v>
      </c>
      <c r="P7189" s="27"/>
    </row>
    <row r="7190">
      <c r="A7190" s="14">
        <v>43031.53607638889</v>
      </c>
      <c r="B7190" s="20" t="str">
        <f>HYPERLINK("https://twitter.com/magadhsamraat1","@magadhsamraat1")</f>
        <v>@magadhsamraat1</v>
      </c>
      <c r="C7190" s="21" t="s">
        <v>16040</v>
      </c>
      <c r="D7190" s="21" t="s">
        <v>42</v>
      </c>
      <c r="E7190" s="22" t="str">
        <f>HYPERLINK("https://twitter.com/magadhsamraat1/status/922551184195330048","922551184195330048")</f>
        <v>922551184195330048</v>
      </c>
      <c r="F7190" s="23" t="s">
        <v>33</v>
      </c>
      <c r="G7190" s="24">
        <v>469.0</v>
      </c>
      <c r="H7190" s="24">
        <v>616.0</v>
      </c>
      <c r="I7190" s="24">
        <v>8501.0</v>
      </c>
      <c r="J7190" s="24">
        <v>0.0</v>
      </c>
      <c r="K7190" s="23" t="s">
        <v>34</v>
      </c>
      <c r="L7190" s="25">
        <v>42297.180625</v>
      </c>
      <c r="M7190" s="28"/>
      <c r="N7190" s="28"/>
      <c r="O7190" s="22" t="str">
        <f>HYPERLINK("https://pbs.twimg.com/profile_images/759814901137149955/-ClNduhu_normal.jpg","View")</f>
        <v>View</v>
      </c>
      <c r="P7190" s="27"/>
    </row>
    <row r="7191">
      <c r="A7191" s="14">
        <v>43031.53611111111</v>
      </c>
      <c r="B7191" s="20" t="str">
        <f>HYPERLINK("https://twitter.com/abechanjuicy","@abechanjuicy")</f>
        <v>@abechanjuicy</v>
      </c>
      <c r="C7191" s="21" t="s">
        <v>15538</v>
      </c>
      <c r="D7191" s="21" t="s">
        <v>513</v>
      </c>
      <c r="E7191" s="22" t="str">
        <f>HYPERLINK("https://twitter.com/abechanjuicy/status/922551196727963648","922551196727963648")</f>
        <v>922551196727963648</v>
      </c>
      <c r="F7191" s="23" t="s">
        <v>33</v>
      </c>
      <c r="G7191" s="24">
        <v>953.0</v>
      </c>
      <c r="H7191" s="24">
        <v>536.0</v>
      </c>
      <c r="I7191" s="24">
        <v>101.0</v>
      </c>
      <c r="J7191" s="24">
        <v>0.0</v>
      </c>
      <c r="K7191" s="23" t="s">
        <v>34</v>
      </c>
      <c r="L7191" s="25">
        <v>42386.11759259259</v>
      </c>
      <c r="M7191" s="28"/>
      <c r="N7191" s="26" t="s">
        <v>15539</v>
      </c>
      <c r="O7191" s="22" t="str">
        <f>HYPERLINK("https://pbs.twimg.com/profile_images/705481969442795520/pMagjVZ__normal.jpg","View")</f>
        <v>View</v>
      </c>
      <c r="P7191" s="27"/>
    </row>
    <row r="7192">
      <c r="A7192" s="14">
        <v>43031.536527777775</v>
      </c>
      <c r="B7192" s="20" t="str">
        <f>HYPERLINK("https://twitter.com/AileanBeaton","@AileanBeaton")</f>
        <v>@AileanBeaton</v>
      </c>
      <c r="C7192" s="21" t="s">
        <v>16041</v>
      </c>
      <c r="D7192" s="21" t="s">
        <v>67</v>
      </c>
      <c r="E7192" s="22" t="str">
        <f>HYPERLINK("https://twitter.com/AileanBeaton/status/922551350256422912","922551350256422912")</f>
        <v>922551350256422912</v>
      </c>
      <c r="F7192" s="23" t="s">
        <v>39</v>
      </c>
      <c r="G7192" s="24">
        <v>607.0</v>
      </c>
      <c r="H7192" s="24">
        <v>2475.0</v>
      </c>
      <c r="I7192" s="24">
        <v>169.0</v>
      </c>
      <c r="J7192" s="24">
        <v>0.0</v>
      </c>
      <c r="K7192" s="23" t="s">
        <v>34</v>
      </c>
      <c r="L7192" s="25">
        <v>40699.31375</v>
      </c>
      <c r="M7192" s="26" t="s">
        <v>16042</v>
      </c>
      <c r="N7192" s="26" t="s">
        <v>16043</v>
      </c>
      <c r="O7192" s="22" t="str">
        <f>HYPERLINK("https://pbs.twimg.com/profile_images/770043718548201472/1OCU58h5_normal.jpg","View")</f>
        <v>View</v>
      </c>
      <c r="P7192" s="27"/>
    </row>
    <row r="7193">
      <c r="A7193" s="14">
        <v>43031.53783564815</v>
      </c>
      <c r="B7193" s="20" t="str">
        <f>HYPERLINK("https://twitter.com/biogirl09","@biogirl09")</f>
        <v>@biogirl09</v>
      </c>
      <c r="C7193" s="21" t="s">
        <v>16044</v>
      </c>
      <c r="D7193" s="21" t="s">
        <v>10614</v>
      </c>
      <c r="E7193" s="22" t="str">
        <f>HYPERLINK("https://twitter.com/biogirl09/status/922551821629054976","922551821629054976")</f>
        <v>922551821629054976</v>
      </c>
      <c r="F7193" s="23" t="s">
        <v>39</v>
      </c>
      <c r="G7193" s="24">
        <v>497.0</v>
      </c>
      <c r="H7193" s="24">
        <v>2195.0</v>
      </c>
      <c r="I7193" s="24">
        <v>159.0</v>
      </c>
      <c r="J7193" s="24">
        <v>0.0</v>
      </c>
      <c r="K7193" s="23" t="s">
        <v>34</v>
      </c>
      <c r="L7193" s="25">
        <v>39861.37671296296</v>
      </c>
      <c r="M7193" s="26" t="s">
        <v>16045</v>
      </c>
      <c r="N7193" s="26" t="s">
        <v>16046</v>
      </c>
      <c r="O7193" s="22" t="str">
        <f>HYPERLINK("https://pbs.twimg.com/profile_images/745012991/22468_1182243397905_1282804837_30443648_4137110_n_normal.jpg","View")</f>
        <v>View</v>
      </c>
      <c r="P7193" s="27"/>
    </row>
    <row r="7194">
      <c r="A7194" s="14">
        <v>43031.537893518514</v>
      </c>
      <c r="B7194" s="20" t="str">
        <f>HYPERLINK("https://twitter.com/billockovic","@billockovic")</f>
        <v>@billockovic</v>
      </c>
      <c r="C7194" s="21" t="s">
        <v>16047</v>
      </c>
      <c r="D7194" s="21" t="s">
        <v>15972</v>
      </c>
      <c r="E7194" s="22" t="str">
        <f>HYPERLINK("https://twitter.com/billockovic/status/922551843443625984","922551843443625984")</f>
        <v>922551843443625984</v>
      </c>
      <c r="F7194" s="23" t="s">
        <v>33</v>
      </c>
      <c r="G7194" s="24">
        <v>196.0</v>
      </c>
      <c r="H7194" s="24">
        <v>752.0</v>
      </c>
      <c r="I7194" s="24">
        <v>7.0</v>
      </c>
      <c r="J7194" s="24">
        <v>0.0</v>
      </c>
      <c r="K7194" s="23" t="s">
        <v>34</v>
      </c>
      <c r="L7194" s="25">
        <v>40425.00487268518</v>
      </c>
      <c r="M7194" s="26" t="s">
        <v>16048</v>
      </c>
      <c r="N7194" s="26" t="s">
        <v>16049</v>
      </c>
      <c r="O7194" s="22" t="str">
        <f>HYPERLINK("https://pbs.twimg.com/profile_images/1117028812/Bilder_2010_125_normal.JPG","View")</f>
        <v>View</v>
      </c>
      <c r="P7194" s="27"/>
    </row>
    <row r="7195">
      <c r="A7195" s="14">
        <v>43031.538043981476</v>
      </c>
      <c r="B7195" s="20" t="str">
        <f>HYPERLINK("https://twitter.com/AngryDaenjangny","@AngryDaenjangny")</f>
        <v>@AngryDaenjangny</v>
      </c>
      <c r="C7195" s="21" t="s">
        <v>16050</v>
      </c>
      <c r="D7195" s="21" t="s">
        <v>15928</v>
      </c>
      <c r="E7195" s="22" t="str">
        <f>HYPERLINK("https://twitter.com/AngryDaenjangny/status/922551897353007105","922551897353007105")</f>
        <v>922551897353007105</v>
      </c>
      <c r="F7195" s="23" t="s">
        <v>33</v>
      </c>
      <c r="G7195" s="24">
        <v>277.0</v>
      </c>
      <c r="H7195" s="24">
        <v>1631.0</v>
      </c>
      <c r="I7195" s="24">
        <v>3.0</v>
      </c>
      <c r="J7195" s="24">
        <v>0.0</v>
      </c>
      <c r="K7195" s="23" t="s">
        <v>34</v>
      </c>
      <c r="L7195" s="25">
        <v>41758.30590277778</v>
      </c>
      <c r="M7195" s="26" t="s">
        <v>6423</v>
      </c>
      <c r="N7195" s="26" t="s">
        <v>16051</v>
      </c>
      <c r="O7195" s="22" t="str">
        <f>HYPERLINK("https://pbs.twimg.com/profile_images/922525629450522624/ThYwmsFy_normal.jpg","View")</f>
        <v>View</v>
      </c>
      <c r="P7195" s="27"/>
    </row>
    <row r="7196">
      <c r="A7196" s="14">
        <v>43031.53839120371</v>
      </c>
      <c r="B7196" s="20" t="str">
        <f>HYPERLINK("https://twitter.com/courtmanning74","@courtmanning74")</f>
        <v>@courtmanning74</v>
      </c>
      <c r="C7196" s="21" t="s">
        <v>16052</v>
      </c>
      <c r="D7196" s="21" t="s">
        <v>67</v>
      </c>
      <c r="E7196" s="22" t="str">
        <f>HYPERLINK("https://twitter.com/courtmanning74/status/922552024205578240","922552024205578240")</f>
        <v>922552024205578240</v>
      </c>
      <c r="F7196" s="23" t="s">
        <v>55</v>
      </c>
      <c r="G7196" s="24">
        <v>29.0</v>
      </c>
      <c r="H7196" s="24">
        <v>149.0</v>
      </c>
      <c r="I7196" s="24">
        <v>169.0</v>
      </c>
      <c r="J7196" s="24">
        <v>0.0</v>
      </c>
      <c r="K7196" s="23" t="s">
        <v>34</v>
      </c>
      <c r="L7196" s="25">
        <v>43027.48600694444</v>
      </c>
      <c r="M7196" s="26" t="s">
        <v>16042</v>
      </c>
      <c r="N7196" s="26" t="s">
        <v>16053</v>
      </c>
      <c r="O7196" s="22" t="str">
        <f>HYPERLINK("https://pbs.twimg.com/profile_images/921086273497870336/vcObSRgO_normal.jpg","View")</f>
        <v>View</v>
      </c>
      <c r="P7196" s="27"/>
    </row>
    <row r="7197">
      <c r="A7197" s="14">
        <v>43031.53909722222</v>
      </c>
      <c r="B7197" s="20" t="str">
        <f>HYPERLINK("https://twitter.com/IndiaSpeaketh","@IndiaSpeaketh")</f>
        <v>@IndiaSpeaketh</v>
      </c>
      <c r="C7197" s="21" t="s">
        <v>16054</v>
      </c>
      <c r="D7197" s="21" t="s">
        <v>42</v>
      </c>
      <c r="E7197" s="22" t="str">
        <f>HYPERLINK("https://twitter.com/IndiaSpeaketh/status/922552281765117953","922552281765117953")</f>
        <v>922552281765117953</v>
      </c>
      <c r="F7197" s="23" t="s">
        <v>55</v>
      </c>
      <c r="G7197" s="24">
        <v>109.0</v>
      </c>
      <c r="H7197" s="24">
        <v>359.0</v>
      </c>
      <c r="I7197" s="24">
        <v>8501.0</v>
      </c>
      <c r="J7197" s="24">
        <v>0.0</v>
      </c>
      <c r="K7197" s="23" t="s">
        <v>34</v>
      </c>
      <c r="L7197" s="25">
        <v>42051.30606481481</v>
      </c>
      <c r="M7197" s="28"/>
      <c r="N7197" s="28"/>
      <c r="O7197" s="22" t="str">
        <f>HYPERLINK("https://pbs.twimg.com/profile_images/731493133612015616/egZkhCyh_normal.jpg","View")</f>
        <v>View</v>
      </c>
      <c r="P7197" s="27"/>
    </row>
    <row r="7198">
      <c r="A7198" s="14">
        <v>43031.539768518516</v>
      </c>
      <c r="B7198" s="20" t="str">
        <f>HYPERLINK("https://twitter.com/dailyglobalrec","@dailyglobalrec")</f>
        <v>@dailyglobalrec</v>
      </c>
      <c r="C7198" s="21" t="s">
        <v>16055</v>
      </c>
      <c r="D7198" s="21" t="s">
        <v>16056</v>
      </c>
      <c r="E7198" s="22" t="str">
        <f>HYPERLINK("https://twitter.com/dailyglobalrec/status/922552522379755520","922552522379755520")</f>
        <v>922552522379755520</v>
      </c>
      <c r="F7198" s="23" t="s">
        <v>16057</v>
      </c>
      <c r="G7198" s="24">
        <v>9739.0</v>
      </c>
      <c r="H7198" s="24">
        <v>74.0</v>
      </c>
      <c r="I7198" s="24">
        <v>0.0</v>
      </c>
      <c r="J7198" s="24">
        <v>0.0</v>
      </c>
      <c r="K7198" s="23" t="s">
        <v>34</v>
      </c>
      <c r="L7198" s="25">
        <v>42834.604571759264</v>
      </c>
      <c r="M7198" s="26" t="s">
        <v>4239</v>
      </c>
      <c r="N7198" s="26" t="s">
        <v>16058</v>
      </c>
      <c r="O7198" s="22" t="str">
        <f>HYPERLINK("https://pbs.twimg.com/profile_images/874097138090876929/V-aEIR0V_normal.jpg","View")</f>
        <v>View</v>
      </c>
      <c r="P7198" s="27"/>
    </row>
    <row r="7199">
      <c r="A7199" s="14">
        <v>43031.53980324074</v>
      </c>
      <c r="B7199" s="20" t="str">
        <f>HYPERLINK("https://twitter.com/BuffalohVanessa","@BuffalohVanessa")</f>
        <v>@BuffalohVanessa</v>
      </c>
      <c r="C7199" s="21" t="s">
        <v>16059</v>
      </c>
      <c r="D7199" s="21" t="s">
        <v>8291</v>
      </c>
      <c r="E7199" s="22" t="str">
        <f>HYPERLINK("https://twitter.com/BuffalohVanessa/status/922552536225239040","922552536225239040")</f>
        <v>922552536225239040</v>
      </c>
      <c r="F7199" s="23" t="s">
        <v>39</v>
      </c>
      <c r="G7199" s="24">
        <v>488.0</v>
      </c>
      <c r="H7199" s="24">
        <v>2552.0</v>
      </c>
      <c r="I7199" s="24">
        <v>135.0</v>
      </c>
      <c r="J7199" s="24">
        <v>0.0</v>
      </c>
      <c r="K7199" s="23" t="s">
        <v>34</v>
      </c>
      <c r="L7199" s="25">
        <v>42015.83209490741</v>
      </c>
      <c r="M7199" s="26" t="s">
        <v>16060</v>
      </c>
      <c r="N7199" s="26" t="s">
        <v>16061</v>
      </c>
      <c r="O7199" s="22" t="str">
        <f>HYPERLINK("https://pbs.twimg.com/profile_images/554488906276552704/Wx4Gbt6w_normal.jpeg","View")</f>
        <v>View</v>
      </c>
      <c r="P7199" s="27"/>
    </row>
    <row r="7200">
      <c r="A7200" s="14">
        <v>43031.54046296296</v>
      </c>
      <c r="B7200" s="20" t="str">
        <f>HYPERLINK("https://twitter.com/truelysarcastic","@truelysarcastic")</f>
        <v>@truelysarcastic</v>
      </c>
      <c r="C7200" s="21" t="s">
        <v>16062</v>
      </c>
      <c r="D7200" s="21" t="s">
        <v>42</v>
      </c>
      <c r="E7200" s="22" t="str">
        <f>HYPERLINK("https://twitter.com/truelysarcastic/status/922552776768524290","922552776768524290")</f>
        <v>922552776768524290</v>
      </c>
      <c r="F7200" s="23" t="s">
        <v>43</v>
      </c>
      <c r="G7200" s="24">
        <v>4.0</v>
      </c>
      <c r="H7200" s="24">
        <v>10.0</v>
      </c>
      <c r="I7200" s="24">
        <v>8501.0</v>
      </c>
      <c r="J7200" s="24">
        <v>0.0</v>
      </c>
      <c r="K7200" s="23" t="s">
        <v>34</v>
      </c>
      <c r="L7200" s="25">
        <v>42766.42149305556</v>
      </c>
      <c r="M7200" s="28"/>
      <c r="N7200" s="28"/>
      <c r="O7200" s="22" t="str">
        <f>HYPERLINK("https://abs.twimg.com/sticky/default_profile_images/default_profile_normal.png","View")</f>
        <v>View</v>
      </c>
      <c r="P7200" s="27"/>
    </row>
    <row r="7201">
      <c r="A7201" s="14">
        <v>43031.54070601852</v>
      </c>
      <c r="B7201" s="20" t="str">
        <f>HYPERLINK("https://twitter.com/WolffYair","@WolffYair")</f>
        <v>@WolffYair</v>
      </c>
      <c r="C7201" s="21" t="s">
        <v>16063</v>
      </c>
      <c r="D7201" s="21" t="s">
        <v>15972</v>
      </c>
      <c r="E7201" s="22" t="str">
        <f>HYPERLINK("https://twitter.com/WolffYair/status/922552863368327168","922552863368327168")</f>
        <v>922552863368327168</v>
      </c>
      <c r="F7201" s="23" t="s">
        <v>39</v>
      </c>
      <c r="G7201" s="24">
        <v>66.0</v>
      </c>
      <c r="H7201" s="24">
        <v>731.0</v>
      </c>
      <c r="I7201" s="24">
        <v>7.0</v>
      </c>
      <c r="J7201" s="24">
        <v>0.0</v>
      </c>
      <c r="K7201" s="23" t="s">
        <v>34</v>
      </c>
      <c r="L7201" s="25">
        <v>42446.08462962963</v>
      </c>
      <c r="M7201" s="28"/>
      <c r="N7201" s="28"/>
      <c r="O7201" s="22" t="str">
        <f>HYPERLINK("https://pbs.twimg.com/profile_images/722340755168239616/-wgNMQeX_normal.jpg","View")</f>
        <v>View</v>
      </c>
      <c r="P7201" s="27"/>
    </row>
    <row r="7202">
      <c r="A7202" s="14">
        <v>43031.54090277778</v>
      </c>
      <c r="B7202" s="20" t="str">
        <f>HYPERLINK("https://twitter.com/pkramakrishnan","@pkramakrishnan")</f>
        <v>@pkramakrishnan</v>
      </c>
      <c r="C7202" s="21" t="s">
        <v>16064</v>
      </c>
      <c r="D7202" s="21" t="s">
        <v>42</v>
      </c>
      <c r="E7202" s="22" t="str">
        <f>HYPERLINK("https://twitter.com/pkramakrishnan/status/922552935602622465","922552935602622465")</f>
        <v>922552935602622465</v>
      </c>
      <c r="F7202" s="23" t="s">
        <v>39</v>
      </c>
      <c r="G7202" s="24">
        <v>570.0</v>
      </c>
      <c r="H7202" s="24">
        <v>1726.0</v>
      </c>
      <c r="I7202" s="24">
        <v>8501.0</v>
      </c>
      <c r="J7202" s="24">
        <v>0.0</v>
      </c>
      <c r="K7202" s="23" t="s">
        <v>34</v>
      </c>
      <c r="L7202" s="25">
        <v>40468.02511574074</v>
      </c>
      <c r="M7202" s="26" t="s">
        <v>708</v>
      </c>
      <c r="N7202" s="26" t="s">
        <v>16065</v>
      </c>
      <c r="O7202" s="22" t="str">
        <f>HYPERLINK("https://pbs.twimg.com/profile_images/1146547117/PKRA_Profile_normal.jpg","View")</f>
        <v>View</v>
      </c>
      <c r="P7202" s="27"/>
    </row>
    <row r="7203">
      <c r="A7203" s="14">
        <v>43031.54112268519</v>
      </c>
      <c r="B7203" s="20" t="str">
        <f>HYPERLINK("https://twitter.com/PseudoGandhi","@PseudoGandhi")</f>
        <v>@PseudoGandhi</v>
      </c>
      <c r="C7203" s="21" t="s">
        <v>16066</v>
      </c>
      <c r="D7203" s="21" t="s">
        <v>42</v>
      </c>
      <c r="E7203" s="22" t="str">
        <f>HYPERLINK("https://twitter.com/PseudoGandhi/status/922553012672974848","922553012672974848")</f>
        <v>922553012672974848</v>
      </c>
      <c r="F7203" s="23" t="s">
        <v>33</v>
      </c>
      <c r="G7203" s="24">
        <v>60.0</v>
      </c>
      <c r="H7203" s="24">
        <v>127.0</v>
      </c>
      <c r="I7203" s="24">
        <v>8501.0</v>
      </c>
      <c r="J7203" s="24">
        <v>0.0</v>
      </c>
      <c r="K7203" s="23" t="s">
        <v>34</v>
      </c>
      <c r="L7203" s="25">
        <v>40810.14577546297</v>
      </c>
      <c r="M7203" s="26" t="s">
        <v>6118</v>
      </c>
      <c r="N7203" s="26" t="s">
        <v>16067</v>
      </c>
      <c r="O7203" s="22" t="str">
        <f>HYPERLINK("https://pbs.twimg.com/profile_images/647083099348709376/d2LVuigV_normal.jpg","View")</f>
        <v>View</v>
      </c>
      <c r="P7203" s="27"/>
    </row>
    <row r="7204">
      <c r="A7204" s="14">
        <v>43031.541493055556</v>
      </c>
      <c r="B7204" s="20" t="str">
        <f>HYPERLINK("https://twitter.com/mysourcespot","@mysourcespot")</f>
        <v>@mysourcespot</v>
      </c>
      <c r="C7204" s="21" t="s">
        <v>5545</v>
      </c>
      <c r="D7204" s="21" t="s">
        <v>16068</v>
      </c>
      <c r="E7204" s="22" t="str">
        <f>HYPERLINK("https://twitter.com/mysourcespot/status/922553149914865664","922553149914865664")</f>
        <v>922553149914865664</v>
      </c>
      <c r="F7204" s="30" t="s">
        <v>191</v>
      </c>
      <c r="G7204" s="24">
        <v>74.0</v>
      </c>
      <c r="H7204" s="24">
        <v>783.0</v>
      </c>
      <c r="I7204" s="24">
        <v>0.0</v>
      </c>
      <c r="J7204" s="24">
        <v>0.0</v>
      </c>
      <c r="K7204" s="23" t="s">
        <v>34</v>
      </c>
      <c r="L7204" s="25">
        <v>42766.06340277778</v>
      </c>
      <c r="M7204" s="28"/>
      <c r="N7204" s="28"/>
      <c r="O7204" s="22" t="str">
        <f>HYPERLINK("https://pbs.twimg.com/profile_images/826363423927713794/FKQplekc_normal.jpg","View")</f>
        <v>View</v>
      </c>
      <c r="P7204" s="27"/>
    </row>
    <row r="7205">
      <c r="A7205" s="14">
        <v>43031.54158564815</v>
      </c>
      <c r="B7205" s="20" t="str">
        <f>HYPERLINK("https://twitter.com/Prahaar2","@Prahaar2")</f>
        <v>@Prahaar2</v>
      </c>
      <c r="C7205" s="21" t="s">
        <v>16069</v>
      </c>
      <c r="D7205" s="21" t="s">
        <v>42</v>
      </c>
      <c r="E7205" s="22" t="str">
        <f>HYPERLINK("https://twitter.com/Prahaar2/status/922553184031313923","922553184031313923")</f>
        <v>922553184031313923</v>
      </c>
      <c r="F7205" s="23" t="s">
        <v>33</v>
      </c>
      <c r="G7205" s="24">
        <v>532.0</v>
      </c>
      <c r="H7205" s="24">
        <v>371.0</v>
      </c>
      <c r="I7205" s="24">
        <v>8501.0</v>
      </c>
      <c r="J7205" s="24">
        <v>0.0</v>
      </c>
      <c r="K7205" s="23" t="s">
        <v>34</v>
      </c>
      <c r="L7205" s="25">
        <v>41257.94965277778</v>
      </c>
      <c r="M7205" s="28"/>
      <c r="N7205" s="26" t="s">
        <v>16070</v>
      </c>
      <c r="O7205" s="22" t="str">
        <f>HYPERLINK("https://pbs.twimg.com/profile_images/2977471050/5ea346d11069d8d48d1fd69b606e9e80_normal.jpeg","View")</f>
        <v>View</v>
      </c>
      <c r="P7205" s="27"/>
    </row>
    <row r="7206">
      <c r="A7206" s="14">
        <v>43031.54193287037</v>
      </c>
      <c r="B7206" s="20" t="str">
        <f>HYPERLINK("https://twitter.com/RobKovacev","@RobKovacev")</f>
        <v>@RobKovacev</v>
      </c>
      <c r="C7206" s="21" t="s">
        <v>16071</v>
      </c>
      <c r="D7206" s="21" t="s">
        <v>16072</v>
      </c>
      <c r="E7206" s="22" t="str">
        <f>HYPERLINK("https://twitter.com/RobKovacev/status/922553306756640771","922553306756640771")</f>
        <v>922553306756640771</v>
      </c>
      <c r="F7206" s="23" t="s">
        <v>55</v>
      </c>
      <c r="G7206" s="24">
        <v>146.0</v>
      </c>
      <c r="H7206" s="24">
        <v>525.0</v>
      </c>
      <c r="I7206" s="24">
        <v>2.0</v>
      </c>
      <c r="J7206" s="24">
        <v>0.0</v>
      </c>
      <c r="K7206" s="23" t="s">
        <v>34</v>
      </c>
      <c r="L7206" s="25">
        <v>42942.78157407408</v>
      </c>
      <c r="M7206" s="26" t="s">
        <v>4239</v>
      </c>
      <c r="N7206" s="26" t="s">
        <v>16073</v>
      </c>
      <c r="O7206" s="22" t="str">
        <f>HYPERLINK("https://pbs.twimg.com/profile_images/912706799878443008/0EpYJMpj_normal.jpg","View")</f>
        <v>View</v>
      </c>
      <c r="P7206" s="27"/>
    </row>
    <row r="7207">
      <c r="A7207" s="14">
        <v>43031.54232638889</v>
      </c>
      <c r="B7207" s="20" t="str">
        <f>HYPERLINK("https://twitter.com/Hola_Soy_Solde","@Hola_Soy_Solde")</f>
        <v>@Hola_Soy_Solde</v>
      </c>
      <c r="C7207" s="21" t="s">
        <v>16074</v>
      </c>
      <c r="D7207" s="21" t="s">
        <v>12248</v>
      </c>
      <c r="E7207" s="22" t="str">
        <f>HYPERLINK("https://twitter.com/Hola_Soy_Solde/status/922553450264711180","922553450264711180")</f>
        <v>922553450264711180</v>
      </c>
      <c r="F7207" s="23" t="s">
        <v>33</v>
      </c>
      <c r="G7207" s="24">
        <v>26.0</v>
      </c>
      <c r="H7207" s="24">
        <v>637.0</v>
      </c>
      <c r="I7207" s="24">
        <v>25.0</v>
      </c>
      <c r="J7207" s="24">
        <v>0.0</v>
      </c>
      <c r="K7207" s="23" t="s">
        <v>34</v>
      </c>
      <c r="L7207" s="25">
        <v>41819.59951388889</v>
      </c>
      <c r="M7207" s="26" t="s">
        <v>16075</v>
      </c>
      <c r="N7207" s="26" t="s">
        <v>16076</v>
      </c>
      <c r="O7207" s="22" t="str">
        <f>HYPERLINK("https://pbs.twimg.com/profile_images/895494084705624064/AuMrPVZV_normal.jpg","View")</f>
        <v>View</v>
      </c>
      <c r="P7207" s="27"/>
    </row>
    <row r="7208">
      <c r="A7208" s="14">
        <v>43031.54237268519</v>
      </c>
      <c r="B7208" s="20" t="str">
        <f>HYPERLINK("https://twitter.com/9sT5Lkc1h8jVoB8","@9sT5Lkc1h8jVoB8")</f>
        <v>@9sT5Lkc1h8jVoB8</v>
      </c>
      <c r="C7208" s="21" t="s">
        <v>16077</v>
      </c>
      <c r="D7208" s="21" t="s">
        <v>14855</v>
      </c>
      <c r="E7208" s="22" t="str">
        <f>HYPERLINK("https://twitter.com/9sT5Lkc1h8jVoB8/status/922553465712316417","922553465712316417")</f>
        <v>922553465712316417</v>
      </c>
      <c r="F7208" s="23" t="s">
        <v>55</v>
      </c>
      <c r="G7208" s="24">
        <v>14.0</v>
      </c>
      <c r="H7208" s="24">
        <v>128.0</v>
      </c>
      <c r="I7208" s="24">
        <v>36.0</v>
      </c>
      <c r="J7208" s="24">
        <v>0.0</v>
      </c>
      <c r="K7208" s="23" t="s">
        <v>34</v>
      </c>
      <c r="L7208" s="25">
        <v>42882.70836805555</v>
      </c>
      <c r="M7208" s="28"/>
      <c r="N7208" s="28"/>
      <c r="O7208" s="22" t="str">
        <f>HYPERLINK("https://abs.twimg.com/sticky/default_profile_images/default_profile_normal.png","View")</f>
        <v>View</v>
      </c>
      <c r="P7208" s="27"/>
    </row>
    <row r="7209">
      <c r="A7209" s="14">
        <v>43031.54246527777</v>
      </c>
      <c r="B7209" s="20" t="str">
        <f>HYPERLINK("https://twitter.com/Ajithkumarp5","@Ajithkumarp5")</f>
        <v>@Ajithkumarp5</v>
      </c>
      <c r="C7209" s="21" t="s">
        <v>16078</v>
      </c>
      <c r="D7209" s="21" t="s">
        <v>42</v>
      </c>
      <c r="E7209" s="22" t="str">
        <f>HYPERLINK("https://twitter.com/Ajithkumarp5/status/922553500407648258","922553500407648258")</f>
        <v>922553500407648258</v>
      </c>
      <c r="F7209" s="23" t="s">
        <v>39</v>
      </c>
      <c r="G7209" s="24">
        <v>43.0</v>
      </c>
      <c r="H7209" s="24">
        <v>406.0</v>
      </c>
      <c r="I7209" s="24">
        <v>8501.0</v>
      </c>
      <c r="J7209" s="24">
        <v>0.0</v>
      </c>
      <c r="K7209" s="23" t="s">
        <v>34</v>
      </c>
      <c r="L7209" s="25">
        <v>41007.96413194444</v>
      </c>
      <c r="M7209" s="26" t="s">
        <v>16079</v>
      </c>
      <c r="N7209" s="28"/>
      <c r="O7209" s="22" t="str">
        <f>HYPERLINK("https://pbs.twimg.com/profile_images/877364395558535173/Na9duWqy_normal.jpg","View")</f>
        <v>View</v>
      </c>
      <c r="P7209" s="27"/>
    </row>
    <row r="7210">
      <c r="A7210" s="14">
        <v>43031.54262731482</v>
      </c>
      <c r="B7210" s="20" t="str">
        <f>HYPERLINK("https://twitter.com/PuckinMidsummer","@PuckinMidsummer")</f>
        <v>@PuckinMidsummer</v>
      </c>
      <c r="C7210" s="21" t="s">
        <v>16080</v>
      </c>
      <c r="D7210" s="21" t="s">
        <v>12974</v>
      </c>
      <c r="E7210" s="22" t="str">
        <f>HYPERLINK("https://twitter.com/PuckinMidsummer/status/922553561061449728","922553561061449728")</f>
        <v>922553561061449728</v>
      </c>
      <c r="F7210" s="23" t="s">
        <v>39</v>
      </c>
      <c r="G7210" s="24">
        <v>0.0</v>
      </c>
      <c r="H7210" s="24">
        <v>18.0</v>
      </c>
      <c r="I7210" s="24">
        <v>110.0</v>
      </c>
      <c r="J7210" s="24">
        <v>0.0</v>
      </c>
      <c r="K7210" s="23" t="s">
        <v>34</v>
      </c>
      <c r="L7210" s="25">
        <v>43031.4116550926</v>
      </c>
      <c r="M7210" s="26" t="s">
        <v>16081</v>
      </c>
      <c r="N7210" s="26" t="s">
        <v>16082</v>
      </c>
      <c r="O7210" s="22" t="str">
        <f>HYPERLINK("https://pbs.twimg.com/profile_images/922511117418672129/3F19BDKi_normal.jpg","View")</f>
        <v>View</v>
      </c>
      <c r="P7210" s="27"/>
    </row>
    <row r="7211">
      <c r="A7211" s="14">
        <v>43031.54265046296</v>
      </c>
      <c r="B7211" s="20" t="str">
        <f>HYPERLINK("https://twitter.com/RodPDavison","@RodPDavison")</f>
        <v>@RodPDavison</v>
      </c>
      <c r="C7211" s="21" t="s">
        <v>16083</v>
      </c>
      <c r="D7211" s="21" t="s">
        <v>15972</v>
      </c>
      <c r="E7211" s="22" t="str">
        <f>HYPERLINK("https://twitter.com/RodPDavison/status/922553567415799811","922553567415799811")</f>
        <v>922553567415799811</v>
      </c>
      <c r="F7211" s="23" t="s">
        <v>55</v>
      </c>
      <c r="G7211" s="24">
        <v>1686.0</v>
      </c>
      <c r="H7211" s="24">
        <v>4996.0</v>
      </c>
      <c r="I7211" s="24">
        <v>7.0</v>
      </c>
      <c r="J7211" s="24">
        <v>0.0</v>
      </c>
      <c r="K7211" s="23" t="s">
        <v>34</v>
      </c>
      <c r="L7211" s="25">
        <v>40204.528703703705</v>
      </c>
      <c r="M7211" s="26" t="s">
        <v>16084</v>
      </c>
      <c r="N7211" s="26" t="s">
        <v>16085</v>
      </c>
      <c r="O7211" s="22" t="str">
        <f>HYPERLINK("https://pbs.twimg.com/profile_images/828722036348444676/WHdJUqIk_normal.jpg","View")</f>
        <v>View</v>
      </c>
      <c r="P7211" s="27"/>
    </row>
    <row r="7212">
      <c r="A7212" s="14">
        <v>43031.54266203704</v>
      </c>
      <c r="B7212" s="20" t="str">
        <f>HYPERLINK("https://twitter.com/PRACHEEADHIKARI","@PRACHEEADHIKARI")</f>
        <v>@PRACHEEADHIKARI</v>
      </c>
      <c r="C7212" s="21" t="s">
        <v>16086</v>
      </c>
      <c r="D7212" s="21" t="s">
        <v>42</v>
      </c>
      <c r="E7212" s="22" t="str">
        <f>HYPERLINK("https://twitter.com/PRACHEEADHIKARI/status/922553571610185730","922553571610185730")</f>
        <v>922553571610185730</v>
      </c>
      <c r="F7212" s="23" t="s">
        <v>43</v>
      </c>
      <c r="G7212" s="24">
        <v>334.0</v>
      </c>
      <c r="H7212" s="24">
        <v>85.0</v>
      </c>
      <c r="I7212" s="24">
        <v>8501.0</v>
      </c>
      <c r="J7212" s="24">
        <v>0.0</v>
      </c>
      <c r="K7212" s="23" t="s">
        <v>34</v>
      </c>
      <c r="L7212" s="25">
        <v>40359.9928125</v>
      </c>
      <c r="M7212" s="26" t="s">
        <v>16087</v>
      </c>
      <c r="N7212" s="26" t="s">
        <v>16088</v>
      </c>
      <c r="O7212" s="22" t="str">
        <f>HYPERLINK("https://pbs.twimg.com/profile_images/922557263335735296/9mSgb_VJ_normal.jpg","View")</f>
        <v>View</v>
      </c>
      <c r="P7212" s="27"/>
    </row>
    <row r="7213">
      <c r="A7213" s="14">
        <v>43031.54327546296</v>
      </c>
      <c r="B7213" s="20" t="str">
        <f>HYPERLINK("https://twitter.com/TrashFilmGuru","@TrashFilmGuru")</f>
        <v>@TrashFilmGuru</v>
      </c>
      <c r="C7213" s="21" t="s">
        <v>16089</v>
      </c>
      <c r="D7213" s="21" t="s">
        <v>6311</v>
      </c>
      <c r="E7213" s="22" t="str">
        <f>HYPERLINK("https://twitter.com/TrashFilmGuru/status/922553796450013185","922553796450013185")</f>
        <v>922553796450013185</v>
      </c>
      <c r="F7213" s="23" t="s">
        <v>55</v>
      </c>
      <c r="G7213" s="24">
        <v>5656.0</v>
      </c>
      <c r="H7213" s="24">
        <v>5100.0</v>
      </c>
      <c r="I7213" s="24">
        <v>4.0</v>
      </c>
      <c r="J7213" s="24">
        <v>0.0</v>
      </c>
      <c r="K7213" s="23" t="s">
        <v>34</v>
      </c>
      <c r="L7213" s="25">
        <v>40938.407743055555</v>
      </c>
      <c r="M7213" s="26" t="s">
        <v>16090</v>
      </c>
      <c r="N7213" s="26" t="s">
        <v>16091</v>
      </c>
      <c r="O7213" s="22" t="str">
        <f>HYPERLINK("https://pbs.twimg.com/profile_images/899043049623486470/e0_UCDHM_normal.jpg","View")</f>
        <v>View</v>
      </c>
      <c r="P7213" s="27"/>
    </row>
    <row r="7214">
      <c r="A7214" s="14">
        <v>43031.543761574074</v>
      </c>
      <c r="B7214" s="20" t="str">
        <f>HYPERLINK("https://twitter.com/theejoshuatree","@theejoshuatree")</f>
        <v>@theejoshuatree</v>
      </c>
      <c r="C7214" s="21" t="s">
        <v>16092</v>
      </c>
      <c r="D7214" s="21" t="s">
        <v>14855</v>
      </c>
      <c r="E7214" s="22" t="str">
        <f>HYPERLINK("https://twitter.com/theejoshuatree/status/922553972099092480","922553972099092480")</f>
        <v>922553972099092480</v>
      </c>
      <c r="F7214" s="23" t="s">
        <v>43</v>
      </c>
      <c r="G7214" s="24">
        <v>208.0</v>
      </c>
      <c r="H7214" s="24">
        <v>630.0</v>
      </c>
      <c r="I7214" s="24">
        <v>36.0</v>
      </c>
      <c r="J7214" s="24">
        <v>0.0</v>
      </c>
      <c r="K7214" s="23" t="s">
        <v>34</v>
      </c>
      <c r="L7214" s="25">
        <v>41282.94405092593</v>
      </c>
      <c r="M7214" s="28"/>
      <c r="N7214" s="28"/>
      <c r="O7214" s="22" t="str">
        <f>HYPERLINK("https://pbs.twimg.com/profile_images/848239035889860608/wftrbGip_normal.jpg","View")</f>
        <v>View</v>
      </c>
      <c r="P7214" s="27"/>
    </row>
    <row r="7215">
      <c r="A7215" s="14">
        <v>43031.544340277775</v>
      </c>
      <c r="B7215" s="20" t="str">
        <f>HYPERLINK("https://twitter.com/biswajit_padhy","@biswajit_padhy")</f>
        <v>@biswajit_padhy</v>
      </c>
      <c r="C7215" s="21" t="s">
        <v>16093</v>
      </c>
      <c r="D7215" s="21" t="s">
        <v>42</v>
      </c>
      <c r="E7215" s="22" t="str">
        <f>HYPERLINK("https://twitter.com/biswajit_padhy/status/922554180828631041","922554180828631041")</f>
        <v>922554180828631041</v>
      </c>
      <c r="F7215" s="23" t="s">
        <v>55</v>
      </c>
      <c r="G7215" s="24">
        <v>92.0</v>
      </c>
      <c r="H7215" s="24">
        <v>390.0</v>
      </c>
      <c r="I7215" s="24">
        <v>8501.0</v>
      </c>
      <c r="J7215" s="24">
        <v>0.0</v>
      </c>
      <c r="K7215" s="23" t="s">
        <v>34</v>
      </c>
      <c r="L7215" s="25">
        <v>41375.07481481481</v>
      </c>
      <c r="M7215" s="28"/>
      <c r="N7215" s="28"/>
      <c r="O7215" s="22" t="str">
        <f>HYPERLINK("https://abs.twimg.com/sticky/default_profile_images/default_profile_normal.png","View")</f>
        <v>View</v>
      </c>
      <c r="P7215" s="27"/>
    </row>
    <row r="7216">
      <c r="A7216" s="14">
        <v>43031.54525462963</v>
      </c>
      <c r="B7216" s="20" t="str">
        <f>HYPERLINK("https://twitter.com/MRAIDANGWALSH","@MRAIDANGWALSH")</f>
        <v>@MRAIDANGWALSH</v>
      </c>
      <c r="C7216" s="21" t="s">
        <v>16094</v>
      </c>
      <c r="D7216" s="21" t="s">
        <v>16095</v>
      </c>
      <c r="E7216" s="22" t="str">
        <f>HYPERLINK("https://twitter.com/MRAIDANGWALSH/status/922554511645990915","922554511645990915")</f>
        <v>922554511645990915</v>
      </c>
      <c r="F7216" s="23" t="s">
        <v>48</v>
      </c>
      <c r="G7216" s="24">
        <v>1508.0</v>
      </c>
      <c r="H7216" s="24">
        <v>4372.0</v>
      </c>
      <c r="I7216" s="24">
        <v>0.0</v>
      </c>
      <c r="J7216" s="24">
        <v>0.0</v>
      </c>
      <c r="K7216" s="23" t="s">
        <v>34</v>
      </c>
      <c r="L7216" s="25">
        <v>40333.457604166666</v>
      </c>
      <c r="M7216" s="26" t="s">
        <v>16096</v>
      </c>
      <c r="N7216" s="26" t="s">
        <v>16097</v>
      </c>
      <c r="O7216" s="22" t="str">
        <f>HYPERLINK("https://pbs.twimg.com/profile_images/378800000007234563/e6ed374f9cf04d2d2375caecde07ee5e_normal.jpeg","View")</f>
        <v>View</v>
      </c>
      <c r="P7216" s="27"/>
    </row>
    <row r="7217">
      <c r="A7217" s="14">
        <v>43031.54555555555</v>
      </c>
      <c r="B7217" s="20" t="str">
        <f>HYPERLINK("https://twitter.com/Adi_mag","@Adi_mag")</f>
        <v>@Adi_mag</v>
      </c>
      <c r="C7217" s="21" t="s">
        <v>16098</v>
      </c>
      <c r="D7217" s="21" t="s">
        <v>42</v>
      </c>
      <c r="E7217" s="22" t="str">
        <f>HYPERLINK("https://twitter.com/Adi_mag/status/922554621305999361","922554621305999361")</f>
        <v>922554621305999361</v>
      </c>
      <c r="F7217" s="23" t="s">
        <v>33</v>
      </c>
      <c r="G7217" s="24">
        <v>121.0</v>
      </c>
      <c r="H7217" s="24">
        <v>445.0</v>
      </c>
      <c r="I7217" s="24">
        <v>8501.0</v>
      </c>
      <c r="J7217" s="24">
        <v>0.0</v>
      </c>
      <c r="K7217" s="23" t="s">
        <v>34</v>
      </c>
      <c r="L7217" s="25">
        <v>40385.55494212963</v>
      </c>
      <c r="M7217" s="26" t="s">
        <v>16099</v>
      </c>
      <c r="N7217" s="26" t="s">
        <v>16100</v>
      </c>
      <c r="O7217" s="22" t="str">
        <f>HYPERLINK("https://pbs.twimg.com/profile_images/591219618590523395/cPutpdIj_normal.jpg","View")</f>
        <v>View</v>
      </c>
      <c r="P7217" s="27"/>
    </row>
    <row r="7218">
      <c r="A7218" s="14">
        <v>43031.545578703706</v>
      </c>
      <c r="B7218" s="20" t="str">
        <f>HYPERLINK("https://twitter.com/Channel4Radio","@Channel4Radio")</f>
        <v>@Channel4Radio</v>
      </c>
      <c r="C7218" s="21" t="s">
        <v>16101</v>
      </c>
      <c r="D7218" s="21" t="s">
        <v>16102</v>
      </c>
      <c r="E7218" s="22" t="str">
        <f>HYPERLINK("https://twitter.com/Channel4Radio/status/922554628570480641","922554628570480641")</f>
        <v>922554628570480641</v>
      </c>
      <c r="F7218" s="23" t="s">
        <v>55</v>
      </c>
      <c r="G7218" s="24">
        <v>1014.0</v>
      </c>
      <c r="H7218" s="24">
        <v>777.0</v>
      </c>
      <c r="I7218" s="24">
        <v>0.0</v>
      </c>
      <c r="J7218" s="24">
        <v>0.0</v>
      </c>
      <c r="K7218" s="23" t="s">
        <v>34</v>
      </c>
      <c r="L7218" s="25">
        <v>40894.84792824074</v>
      </c>
      <c r="M7218" s="26" t="s">
        <v>16103</v>
      </c>
      <c r="N7218" s="26" t="s">
        <v>16104</v>
      </c>
      <c r="O7218" s="22" t="str">
        <f>HYPERLINK("https://pbs.twimg.com/profile_images/922546274011713536/geWDhyMQ_normal.jpg","View")</f>
        <v>View</v>
      </c>
      <c r="P7218" s="27"/>
    </row>
    <row r="7219">
      <c r="A7219" s="14">
        <v>43031.546076388884</v>
      </c>
      <c r="B7219" s="20" t="str">
        <f>HYPERLINK("https://twitter.com/Babuji9","@Babuji9")</f>
        <v>@Babuji9</v>
      </c>
      <c r="C7219" s="21" t="s">
        <v>6637</v>
      </c>
      <c r="D7219" s="21" t="s">
        <v>163</v>
      </c>
      <c r="E7219" s="22" t="str">
        <f>HYPERLINK("https://twitter.com/Babuji9/status/922554810326503424","922554810326503424")</f>
        <v>922554810326503424</v>
      </c>
      <c r="F7219" s="23" t="s">
        <v>43</v>
      </c>
      <c r="G7219" s="24">
        <v>165.0</v>
      </c>
      <c r="H7219" s="24">
        <v>142.0</v>
      </c>
      <c r="I7219" s="24">
        <v>1005.0</v>
      </c>
      <c r="J7219" s="24">
        <v>0.0</v>
      </c>
      <c r="K7219" s="23" t="s">
        <v>34</v>
      </c>
      <c r="L7219" s="25">
        <v>40771.829930555556</v>
      </c>
      <c r="M7219" s="26" t="s">
        <v>6638</v>
      </c>
      <c r="N7219" s="26" t="s">
        <v>6639</v>
      </c>
      <c r="O7219" s="22" t="str">
        <f>HYPERLINK("https://abs.twimg.com/sticky/default_profile_images/default_profile_normal.png","View")</f>
        <v>View</v>
      </c>
      <c r="P7219" s="27"/>
    </row>
    <row r="7220">
      <c r="A7220" s="14">
        <v>43031.54622685185</v>
      </c>
      <c r="B7220" s="20" t="str">
        <f>HYPERLINK("https://twitter.com/purengom","@purengom")</f>
        <v>@purengom</v>
      </c>
      <c r="C7220" s="21" t="s">
        <v>16105</v>
      </c>
      <c r="D7220" s="21" t="s">
        <v>16106</v>
      </c>
      <c r="E7220" s="22" t="str">
        <f>HYPERLINK("https://twitter.com/purengom/status/922554863770374144","922554863770374144")</f>
        <v>922554863770374144</v>
      </c>
      <c r="F7220" s="30" t="s">
        <v>411</v>
      </c>
      <c r="G7220" s="24">
        <v>2495.0</v>
      </c>
      <c r="H7220" s="24">
        <v>2108.0</v>
      </c>
      <c r="I7220" s="24">
        <v>0.0</v>
      </c>
      <c r="J7220" s="24">
        <v>0.0</v>
      </c>
      <c r="K7220" s="23" t="s">
        <v>34</v>
      </c>
      <c r="L7220" s="25">
        <v>40032.39201388889</v>
      </c>
      <c r="M7220" s="26" t="s">
        <v>16107</v>
      </c>
      <c r="N7220" s="26" t="s">
        <v>16108</v>
      </c>
      <c r="O7220" s="22" t="str">
        <f>HYPERLINK("https://pbs.twimg.com/profile_images/877844139957641216/p_-HFqBn_normal.jpg","View")</f>
        <v>View</v>
      </c>
      <c r="P7220" s="27"/>
    </row>
    <row r="7221">
      <c r="A7221" s="14">
        <v>43031.54627314815</v>
      </c>
      <c r="B7221" s="20" t="str">
        <f>HYPERLINK("https://twitter.com/TownhallReview","@TownhallReview")</f>
        <v>@TownhallReview</v>
      </c>
      <c r="C7221" s="21" t="s">
        <v>16109</v>
      </c>
      <c r="D7221" s="21" t="s">
        <v>16110</v>
      </c>
      <c r="E7221" s="22" t="str">
        <f>HYPERLINK("https://twitter.com/TownhallReview/status/922554879930978306","922554879930978306")</f>
        <v>922554879930978306</v>
      </c>
      <c r="F7221" s="23" t="s">
        <v>16111</v>
      </c>
      <c r="G7221" s="24">
        <v>4449.0</v>
      </c>
      <c r="H7221" s="24">
        <v>4248.0</v>
      </c>
      <c r="I7221" s="24">
        <v>0.0</v>
      </c>
      <c r="J7221" s="24">
        <v>0.0</v>
      </c>
      <c r="K7221" s="23" t="s">
        <v>34</v>
      </c>
      <c r="L7221" s="25">
        <v>41053.567094907405</v>
      </c>
      <c r="M7221" s="28"/>
      <c r="N7221" s="26" t="s">
        <v>16112</v>
      </c>
      <c r="O7221" s="22" t="str">
        <f>HYPERLINK("https://pbs.twimg.com/profile_images/601863408695119872/niyOIDMP_normal.jpg","View")</f>
        <v>View</v>
      </c>
      <c r="P7221" s="27"/>
    </row>
    <row r="7222">
      <c r="A7222" s="14">
        <v>43031.54703703704</v>
      </c>
      <c r="B7222" s="20" t="str">
        <f>HYPERLINK("https://twitter.com/SATISHSHARMA999","@SATISHSHARMA999")</f>
        <v>@SATISHSHARMA999</v>
      </c>
      <c r="C7222" s="21" t="s">
        <v>16113</v>
      </c>
      <c r="D7222" s="21" t="s">
        <v>6236</v>
      </c>
      <c r="E7222" s="22" t="str">
        <f>HYPERLINK("https://twitter.com/SATISHSHARMA999/status/922555159280062464","922555159280062464")</f>
        <v>922555159280062464</v>
      </c>
      <c r="F7222" s="23" t="s">
        <v>55</v>
      </c>
      <c r="G7222" s="24">
        <v>2055.0</v>
      </c>
      <c r="H7222" s="24">
        <v>2944.0</v>
      </c>
      <c r="I7222" s="24">
        <v>26.0</v>
      </c>
      <c r="J7222" s="24">
        <v>0.0</v>
      </c>
      <c r="K7222" s="23" t="s">
        <v>34</v>
      </c>
      <c r="L7222" s="25">
        <v>41430.411898148144</v>
      </c>
      <c r="M7222" s="26" t="s">
        <v>204</v>
      </c>
      <c r="N7222" s="26" t="s">
        <v>16114</v>
      </c>
      <c r="O7222" s="22" t="str">
        <f>HYPERLINK("https://pbs.twimg.com/profile_images/762215548616716288/AdJanql1_normal.jpg","View")</f>
        <v>View</v>
      </c>
      <c r="P7222" s="27"/>
    </row>
    <row r="7223">
      <c r="A7223" s="14">
        <v>43031.5475</v>
      </c>
      <c r="B7223" s="20" t="str">
        <f>HYPERLINK("https://twitter.com/gopalkpuri","@gopalkpuri")</f>
        <v>@gopalkpuri</v>
      </c>
      <c r="C7223" s="21" t="s">
        <v>16115</v>
      </c>
      <c r="D7223" s="21" t="s">
        <v>16116</v>
      </c>
      <c r="E7223" s="22" t="str">
        <f>HYPERLINK("https://twitter.com/gopalkpuri/status/922555325563265024","922555325563265024")</f>
        <v>922555325563265024</v>
      </c>
      <c r="F7223" s="23" t="s">
        <v>55</v>
      </c>
      <c r="G7223" s="24">
        <v>166.0</v>
      </c>
      <c r="H7223" s="24">
        <v>447.0</v>
      </c>
      <c r="I7223" s="24">
        <v>0.0</v>
      </c>
      <c r="J7223" s="24">
        <v>0.0</v>
      </c>
      <c r="K7223" s="23" t="s">
        <v>34</v>
      </c>
      <c r="L7223" s="25">
        <v>41323.665810185186</v>
      </c>
      <c r="M7223" s="28"/>
      <c r="N7223" s="28"/>
      <c r="O7223" s="22" t="str">
        <f>HYPERLINK("https://pbs.twimg.com/profile_images/747515649979736064/8Y2qZvRH_normal.jpg","View")</f>
        <v>View</v>
      </c>
      <c r="P7223" s="27"/>
    </row>
    <row r="7224">
      <c r="A7224" s="14">
        <v>43031.54826388889</v>
      </c>
      <c r="B7224" s="20" t="str">
        <f>HYPERLINK("https://twitter.com/NorthKorea_Newz","@NorthKorea_Newz")</f>
        <v>@NorthKorea_Newz</v>
      </c>
      <c r="C7224" s="21" t="s">
        <v>4287</v>
      </c>
      <c r="D7224" s="21" t="s">
        <v>16117</v>
      </c>
      <c r="E7224" s="22" t="str">
        <f>HYPERLINK("https://twitter.com/NorthKorea_Newz/status/922555603117060096","922555603117060096")</f>
        <v>922555603117060096</v>
      </c>
      <c r="F7224" s="23" t="s">
        <v>3884</v>
      </c>
      <c r="G7224" s="24">
        <v>3678.0</v>
      </c>
      <c r="H7224" s="24">
        <v>1938.0</v>
      </c>
      <c r="I7224" s="24">
        <v>1.0</v>
      </c>
      <c r="J7224" s="24">
        <v>0.0</v>
      </c>
      <c r="K7224" s="23" t="s">
        <v>34</v>
      </c>
      <c r="L7224" s="25">
        <v>42926.26702546296</v>
      </c>
      <c r="M7224" s="26" t="s">
        <v>2068</v>
      </c>
      <c r="N7224" s="26" t="s">
        <v>4289</v>
      </c>
      <c r="O7224" s="22" t="str">
        <f>HYPERLINK("https://pbs.twimg.com/profile_images/884405567611170820/vNHrPIXs_normal.jpg","View")</f>
        <v>View</v>
      </c>
      <c r="P7224" s="27"/>
    </row>
    <row r="7225">
      <c r="A7225" s="14">
        <v>43031.5486574074</v>
      </c>
      <c r="B7225" s="20" t="str">
        <f>HYPERLINK("https://twitter.com/bird1968","@bird1968")</f>
        <v>@bird1968</v>
      </c>
      <c r="C7225" s="21" t="s">
        <v>16118</v>
      </c>
      <c r="D7225" s="21" t="s">
        <v>16119</v>
      </c>
      <c r="E7225" s="22" t="str">
        <f>HYPERLINK("https://twitter.com/bird1968/status/922555743622090752","922555743622090752")</f>
        <v>922555743622090752</v>
      </c>
      <c r="F7225" s="23" t="s">
        <v>16120</v>
      </c>
      <c r="G7225" s="24">
        <v>140.0</v>
      </c>
      <c r="H7225" s="24">
        <v>809.0</v>
      </c>
      <c r="I7225" s="24">
        <v>0.0</v>
      </c>
      <c r="J7225" s="24">
        <v>0.0</v>
      </c>
      <c r="K7225" s="23" t="s">
        <v>34</v>
      </c>
      <c r="L7225" s="25">
        <v>39975.767222222225</v>
      </c>
      <c r="M7225" s="26" t="s">
        <v>5724</v>
      </c>
      <c r="N7225" s="28"/>
      <c r="O7225" s="22" t="str">
        <f>HYPERLINK("https://pbs.twimg.com/profile_images/639507279625240578/CIA96Dax_normal.png","View")</f>
        <v>View</v>
      </c>
      <c r="P7225" s="27"/>
    </row>
    <row r="7226">
      <c r="A7226" s="14">
        <v>43031.5493287037</v>
      </c>
      <c r="B7226" s="20" t="str">
        <f>HYPERLINK("https://twitter.com/JWinGermany","@JWinGermany")</f>
        <v>@JWinGermany</v>
      </c>
      <c r="C7226" s="21" t="s">
        <v>16121</v>
      </c>
      <c r="D7226" s="21" t="s">
        <v>42</v>
      </c>
      <c r="E7226" s="22" t="str">
        <f>HYPERLINK("https://twitter.com/JWinGermany/status/922555988007444480","922555988007444480")</f>
        <v>922555988007444480</v>
      </c>
      <c r="F7226" s="23" t="s">
        <v>55</v>
      </c>
      <c r="G7226" s="24">
        <v>64.0</v>
      </c>
      <c r="H7226" s="24">
        <v>227.0</v>
      </c>
      <c r="I7226" s="24">
        <v>8501.0</v>
      </c>
      <c r="J7226" s="24">
        <v>0.0</v>
      </c>
      <c r="K7226" s="23" t="s">
        <v>34</v>
      </c>
      <c r="L7226" s="25">
        <v>42375.40574074074</v>
      </c>
      <c r="M7226" s="28"/>
      <c r="N7226" s="28"/>
      <c r="O7226" s="22" t="str">
        <f>HYPERLINK("https://pbs.twimg.com/profile_images/696432223235543040/QqJR8Ok4_normal.jpg","View")</f>
        <v>View</v>
      </c>
      <c r="P7226" s="27"/>
    </row>
    <row r="7227">
      <c r="A7227" s="14">
        <v>43031.54939814815</v>
      </c>
      <c r="B7227" s="20" t="str">
        <f>HYPERLINK("https://twitter.com/mrfigglns","@mrfigglns")</f>
        <v>@mrfigglns</v>
      </c>
      <c r="C7227" s="21" t="s">
        <v>16122</v>
      </c>
      <c r="D7227" s="21" t="s">
        <v>15972</v>
      </c>
      <c r="E7227" s="22" t="str">
        <f>HYPERLINK("https://twitter.com/mrfigglns/status/922556014909689856","922556014909689856")</f>
        <v>922556014909689856</v>
      </c>
      <c r="F7227" s="23" t="s">
        <v>33</v>
      </c>
      <c r="G7227" s="24">
        <v>115.0</v>
      </c>
      <c r="H7227" s="24">
        <v>2258.0</v>
      </c>
      <c r="I7227" s="24">
        <v>7.0</v>
      </c>
      <c r="J7227" s="24">
        <v>0.0</v>
      </c>
      <c r="K7227" s="23" t="s">
        <v>34</v>
      </c>
      <c r="L7227" s="25">
        <v>40635.20043981481</v>
      </c>
      <c r="M7227" s="26" t="s">
        <v>478</v>
      </c>
      <c r="N7227" s="26" t="s">
        <v>16123</v>
      </c>
      <c r="O7227" s="22" t="str">
        <f>HYPERLINK("https://pbs.twimg.com/profile_images/764943004935258112/oZrboDfJ_normal.jpg","View")</f>
        <v>View</v>
      </c>
      <c r="P7227" s="27"/>
    </row>
    <row r="7228">
      <c r="A7228" s="14">
        <v>43031.54953703703</v>
      </c>
      <c r="B7228" s="20" t="str">
        <f>HYPERLINK("https://twitter.com/SheilaSmithCFR","@SheilaSmithCFR")</f>
        <v>@SheilaSmithCFR</v>
      </c>
      <c r="C7228" s="21" t="s">
        <v>5595</v>
      </c>
      <c r="D7228" s="21" t="s">
        <v>15996</v>
      </c>
      <c r="E7228" s="22" t="str">
        <f>HYPERLINK("https://twitter.com/SheilaSmithCFR/status/922556065341898755","922556065341898755")</f>
        <v>922556065341898755</v>
      </c>
      <c r="F7228" s="23" t="s">
        <v>39</v>
      </c>
      <c r="G7228" s="24">
        <v>4431.0</v>
      </c>
      <c r="H7228" s="24">
        <v>310.0</v>
      </c>
      <c r="I7228" s="24">
        <v>6.0</v>
      </c>
      <c r="J7228" s="24">
        <v>0.0</v>
      </c>
      <c r="K7228" s="23" t="s">
        <v>34</v>
      </c>
      <c r="L7228" s="25">
        <v>40897.79835648148</v>
      </c>
      <c r="M7228" s="26" t="s">
        <v>4239</v>
      </c>
      <c r="N7228" s="26" t="s">
        <v>5596</v>
      </c>
      <c r="O7228" s="22" t="str">
        <f>HYPERLINK("https://pbs.twimg.com/profile_images/474587797337042945/HOSFbOao_normal.jpeg","View")</f>
        <v>View</v>
      </c>
      <c r="P7228" s="27"/>
    </row>
    <row r="7229">
      <c r="A7229" s="14">
        <v>43031.549988425926</v>
      </c>
      <c r="B7229" s="20" t="str">
        <f>HYPERLINK("https://twitter.com/ThinkAhead2017","@ThinkAhead2017")</f>
        <v>@ThinkAhead2017</v>
      </c>
      <c r="C7229" s="21" t="s">
        <v>16124</v>
      </c>
      <c r="D7229" s="21" t="s">
        <v>16125</v>
      </c>
      <c r="E7229" s="22" t="str">
        <f>HYPERLINK("https://twitter.com/ThinkAhead2017/status/922556226952671237","922556226952671237")</f>
        <v>922556226952671237</v>
      </c>
      <c r="F7229" s="23" t="s">
        <v>39</v>
      </c>
      <c r="G7229" s="24">
        <v>5.0</v>
      </c>
      <c r="H7229" s="24">
        <v>12.0</v>
      </c>
      <c r="I7229" s="24">
        <v>0.0</v>
      </c>
      <c r="J7229" s="24">
        <v>0.0</v>
      </c>
      <c r="K7229" s="23" t="s">
        <v>34</v>
      </c>
      <c r="L7229" s="25">
        <v>40348.93232638889</v>
      </c>
      <c r="M7229" s="28"/>
      <c r="N7229" s="28"/>
      <c r="O7229" s="22" t="str">
        <f>HYPERLINK("https://pbs.twimg.com/profile_images/920659032477593600/jR3PNxHB_normal.jpg","View")</f>
        <v>View</v>
      </c>
      <c r="P7229" s="27"/>
    </row>
    <row r="7230">
      <c r="A7230" s="14">
        <v>43031.55011574074</v>
      </c>
      <c r="B7230" s="20" t="str">
        <f>HYPERLINK("https://twitter.com/whatslot","@whatslot")</f>
        <v>@whatslot</v>
      </c>
      <c r="C7230" s="21" t="s">
        <v>16126</v>
      </c>
      <c r="D7230" s="21" t="s">
        <v>16127</v>
      </c>
      <c r="E7230" s="22" t="str">
        <f>HYPERLINK("https://twitter.com/whatslot/status/922556272095977472","922556272095977472")</f>
        <v>922556272095977472</v>
      </c>
      <c r="F7230" s="23" t="s">
        <v>187</v>
      </c>
      <c r="G7230" s="24">
        <v>259.0</v>
      </c>
      <c r="H7230" s="24">
        <v>64.0</v>
      </c>
      <c r="I7230" s="24">
        <v>0.0</v>
      </c>
      <c r="J7230" s="24">
        <v>0.0</v>
      </c>
      <c r="K7230" s="23" t="s">
        <v>34</v>
      </c>
      <c r="L7230" s="25">
        <v>42087.61325231481</v>
      </c>
      <c r="M7230" s="28"/>
      <c r="N7230" s="26" t="s">
        <v>16128</v>
      </c>
      <c r="O7230" s="22" t="str">
        <f>HYPERLINK("https://pbs.twimg.com/profile_images/663468255298912256/0DKUgjU__normal.png","View")</f>
        <v>View</v>
      </c>
      <c r="P7230" s="27"/>
    </row>
    <row r="7231">
      <c r="A7231" s="14">
        <v>43031.55023148148</v>
      </c>
      <c r="B7231" s="20" t="str">
        <f>HYPERLINK("https://twitter.com/EggmanOrWalrus","@EggmanOrWalrus")</f>
        <v>@EggmanOrWalrus</v>
      </c>
      <c r="C7231" s="21" t="s">
        <v>4917</v>
      </c>
      <c r="D7231" s="21" t="s">
        <v>16129</v>
      </c>
      <c r="E7231" s="22" t="str">
        <f>HYPERLINK("https://twitter.com/EggmanOrWalrus/status/922556313976139777","922556313976139777")</f>
        <v>922556313976139777</v>
      </c>
      <c r="F7231" s="23" t="s">
        <v>4919</v>
      </c>
      <c r="G7231" s="24">
        <v>149.0</v>
      </c>
      <c r="H7231" s="24">
        <v>35.0</v>
      </c>
      <c r="I7231" s="24">
        <v>0.0</v>
      </c>
      <c r="J7231" s="24">
        <v>0.0</v>
      </c>
      <c r="K7231" s="23" t="s">
        <v>34</v>
      </c>
      <c r="L7231" s="25">
        <v>39883.69174768518</v>
      </c>
      <c r="M7231" s="26" t="s">
        <v>4920</v>
      </c>
      <c r="N7231" s="26" t="s">
        <v>4921</v>
      </c>
      <c r="O7231" s="22" t="str">
        <f>HYPERLINK("https://pbs.twimg.com/profile_images/805175433767567360/yLKWytM0_normal.jpg","View")</f>
        <v>View</v>
      </c>
      <c r="P7231" s="27"/>
    </row>
    <row r="7232">
      <c r="A7232" s="14">
        <v>43031.55056712963</v>
      </c>
      <c r="B7232" s="20" t="str">
        <f>HYPERLINK("https://twitter.com/holmgren85","@holmgren85")</f>
        <v>@holmgren85</v>
      </c>
      <c r="C7232" s="21" t="s">
        <v>16130</v>
      </c>
      <c r="D7232" s="21" t="s">
        <v>16131</v>
      </c>
      <c r="E7232" s="22" t="str">
        <f>HYPERLINK("https://twitter.com/holmgren85/status/922556436386865152","922556436386865152")</f>
        <v>922556436386865152</v>
      </c>
      <c r="F7232" s="23" t="s">
        <v>55</v>
      </c>
      <c r="G7232" s="24">
        <v>500.0</v>
      </c>
      <c r="H7232" s="24">
        <v>1417.0</v>
      </c>
      <c r="I7232" s="24">
        <v>0.0</v>
      </c>
      <c r="J7232" s="24">
        <v>0.0</v>
      </c>
      <c r="K7232" s="23" t="s">
        <v>34</v>
      </c>
      <c r="L7232" s="25">
        <v>39864.40045138889</v>
      </c>
      <c r="M7232" s="28"/>
      <c r="N7232" s="28"/>
      <c r="O7232" s="22" t="str">
        <f>HYPERLINK("https://pbs.twimg.com/profile_images/433403172120305664/qy1meeJE_normal.jpeg","View")</f>
        <v>View</v>
      </c>
      <c r="P7232" s="27"/>
    </row>
    <row r="7233">
      <c r="A7233" s="14">
        <v>43031.55061342593</v>
      </c>
      <c r="B7233" s="20" t="str">
        <f>HYPERLINK("https://twitter.com/rishi1021","@rishi1021")</f>
        <v>@rishi1021</v>
      </c>
      <c r="C7233" s="21" t="s">
        <v>16132</v>
      </c>
      <c r="D7233" s="21" t="s">
        <v>42</v>
      </c>
      <c r="E7233" s="22" t="str">
        <f>HYPERLINK("https://twitter.com/rishi1021/status/922556452077752322","922556452077752322")</f>
        <v>922556452077752322</v>
      </c>
      <c r="F7233" s="23" t="s">
        <v>33</v>
      </c>
      <c r="G7233" s="24">
        <v>502.0</v>
      </c>
      <c r="H7233" s="24">
        <v>267.0</v>
      </c>
      <c r="I7233" s="24">
        <v>8501.0</v>
      </c>
      <c r="J7233" s="24">
        <v>0.0</v>
      </c>
      <c r="K7233" s="23" t="s">
        <v>34</v>
      </c>
      <c r="L7233" s="25">
        <v>40715.84261574074</v>
      </c>
      <c r="M7233" s="26" t="s">
        <v>16133</v>
      </c>
      <c r="N7233" s="26" t="s">
        <v>16134</v>
      </c>
      <c r="O7233" s="22" t="str">
        <f>HYPERLINK("https://pbs.twimg.com/profile_images/914325066267074565/m1gXA6uQ_normal.jpg","View")</f>
        <v>View</v>
      </c>
      <c r="P7233" s="27"/>
    </row>
    <row r="7234">
      <c r="A7234" s="14">
        <v>43031.550775462965</v>
      </c>
      <c r="B7234" s="20" t="str">
        <f>HYPERLINK("https://twitter.com/BhangaleGanesh","@BhangaleGanesh")</f>
        <v>@BhangaleGanesh</v>
      </c>
      <c r="C7234" s="21" t="s">
        <v>16135</v>
      </c>
      <c r="D7234" s="21" t="s">
        <v>42</v>
      </c>
      <c r="E7234" s="22" t="str">
        <f>HYPERLINK("https://twitter.com/BhangaleGanesh/status/922556513616646144","922556513616646144")</f>
        <v>922556513616646144</v>
      </c>
      <c r="F7234" s="23" t="s">
        <v>33</v>
      </c>
      <c r="G7234" s="24">
        <v>8.0</v>
      </c>
      <c r="H7234" s="24">
        <v>3.0</v>
      </c>
      <c r="I7234" s="24">
        <v>8501.0</v>
      </c>
      <c r="J7234" s="24">
        <v>0.0</v>
      </c>
      <c r="K7234" s="23" t="s">
        <v>34</v>
      </c>
      <c r="L7234" s="25">
        <v>42011.98606481482</v>
      </c>
      <c r="M7234" s="28"/>
      <c r="N7234" s="28"/>
      <c r="O7234" s="22" t="str">
        <f>HYPERLINK("https://pbs.twimg.com/profile_images/917028415194009600/iY8T_g78_normal.jpg","View")</f>
        <v>View</v>
      </c>
      <c r="P7234" s="27"/>
    </row>
    <row r="7235">
      <c r="A7235" s="14">
        <v>43031.55108796296</v>
      </c>
      <c r="B7235" s="20" t="str">
        <f>HYPERLINK("https://twitter.com/Jagarchefen","@Jagarchefen")</f>
        <v>@Jagarchefen</v>
      </c>
      <c r="C7235" s="21" t="s">
        <v>16136</v>
      </c>
      <c r="D7235" s="34" t="s">
        <v>16137</v>
      </c>
      <c r="E7235" s="22" t="str">
        <f>HYPERLINK("https://twitter.com/Jagarchefen/status/922556625868787715","922556625868787715")</f>
        <v>922556625868787715</v>
      </c>
      <c r="F7235" s="23" t="s">
        <v>39</v>
      </c>
      <c r="G7235" s="24">
        <v>10430.0</v>
      </c>
      <c r="H7235" s="24">
        <v>100.0</v>
      </c>
      <c r="I7235" s="24">
        <v>0.0</v>
      </c>
      <c r="J7235" s="24">
        <v>0.0</v>
      </c>
      <c r="K7235" s="23" t="s">
        <v>34</v>
      </c>
      <c r="L7235" s="25">
        <v>41240.54435185185</v>
      </c>
      <c r="M7235" s="28"/>
      <c r="N7235" s="26" t="s">
        <v>16138</v>
      </c>
      <c r="O7235" s="22" t="str">
        <f>HYPERLINK("https://pbs.twimg.com/profile_images/3577485106/30a191b3cba29e972435589f4dfc4303_normal.jpeg","View")</f>
        <v>View</v>
      </c>
      <c r="P7235" s="27"/>
    </row>
    <row r="7236">
      <c r="A7236" s="14">
        <v>43031.55155092593</v>
      </c>
      <c r="B7236" s="20" t="str">
        <f>HYPERLINK("https://twitter.com/povertyLottery","@povertyLottery")</f>
        <v>@povertyLottery</v>
      </c>
      <c r="C7236" s="21" t="s">
        <v>16139</v>
      </c>
      <c r="D7236" s="21" t="s">
        <v>16140</v>
      </c>
      <c r="E7236" s="22" t="str">
        <f>HYPERLINK("https://twitter.com/povertyLottery/status/922556793242386434","922556793242386434")</f>
        <v>922556793242386434</v>
      </c>
      <c r="F7236" s="23" t="s">
        <v>55</v>
      </c>
      <c r="G7236" s="24">
        <v>71.0</v>
      </c>
      <c r="H7236" s="24">
        <v>52.0</v>
      </c>
      <c r="I7236" s="24">
        <v>0.0</v>
      </c>
      <c r="J7236" s="24">
        <v>0.0</v>
      </c>
      <c r="K7236" s="23" t="s">
        <v>34</v>
      </c>
      <c r="L7236" s="25">
        <v>40153.433067129634</v>
      </c>
      <c r="M7236" s="28"/>
      <c r="N7236" s="26" t="s">
        <v>16141</v>
      </c>
      <c r="O7236" s="22" t="str">
        <f>HYPERLINK("https://pbs.twimg.com/profile_images/746273737964584960/3MrQ6foD_normal.jpg","View")</f>
        <v>View</v>
      </c>
      <c r="P7236" s="27"/>
    </row>
    <row r="7237">
      <c r="A7237" s="14">
        <v>43031.5516087963</v>
      </c>
      <c r="B7237" s="20" t="str">
        <f>HYPERLINK("https://twitter.com/Hindustan170847","@Hindustan170847")</f>
        <v>@Hindustan170847</v>
      </c>
      <c r="C7237" s="21" t="s">
        <v>15462</v>
      </c>
      <c r="D7237" s="21" t="s">
        <v>42</v>
      </c>
      <c r="E7237" s="22" t="str">
        <f>HYPERLINK("https://twitter.com/Hindustan170847/status/922556816453701634","922556816453701634")</f>
        <v>922556816453701634</v>
      </c>
      <c r="F7237" s="23" t="s">
        <v>39</v>
      </c>
      <c r="G7237" s="24">
        <v>310.0</v>
      </c>
      <c r="H7237" s="24">
        <v>1030.0</v>
      </c>
      <c r="I7237" s="24">
        <v>8501.0</v>
      </c>
      <c r="J7237" s="24">
        <v>0.0</v>
      </c>
      <c r="K7237" s="23" t="s">
        <v>34</v>
      </c>
      <c r="L7237" s="25">
        <v>42850.46863425926</v>
      </c>
      <c r="M7237" s="28"/>
      <c r="N7237" s="26" t="s">
        <v>16142</v>
      </c>
      <c r="O7237" s="22" t="str">
        <f>HYPERLINK("https://pbs.twimg.com/profile_images/922002146320625665/hu49ha8q_normal.jpg","View")</f>
        <v>View</v>
      </c>
      <c r="P7237" s="27"/>
    </row>
    <row r="7238">
      <c r="A7238" s="14">
        <v>43031.55199074074</v>
      </c>
      <c r="B7238" s="20" t="str">
        <f>HYPERLINK("https://twitter.com/SATISHSHARMA999","@SATISHSHARMA999")</f>
        <v>@SATISHSHARMA999</v>
      </c>
      <c r="C7238" s="21" t="s">
        <v>16113</v>
      </c>
      <c r="D7238" s="21" t="s">
        <v>513</v>
      </c>
      <c r="E7238" s="22" t="str">
        <f>HYPERLINK("https://twitter.com/SATISHSHARMA999/status/922556952546238464","922556952546238464")</f>
        <v>922556952546238464</v>
      </c>
      <c r="F7238" s="23" t="s">
        <v>55</v>
      </c>
      <c r="G7238" s="24">
        <v>2055.0</v>
      </c>
      <c r="H7238" s="24">
        <v>2944.0</v>
      </c>
      <c r="I7238" s="24">
        <v>101.0</v>
      </c>
      <c r="J7238" s="24">
        <v>0.0</v>
      </c>
      <c r="K7238" s="23" t="s">
        <v>34</v>
      </c>
      <c r="L7238" s="25">
        <v>41430.411898148144</v>
      </c>
      <c r="M7238" s="26" t="s">
        <v>204</v>
      </c>
      <c r="N7238" s="26" t="s">
        <v>16114</v>
      </c>
      <c r="O7238" s="22" t="str">
        <f>HYPERLINK("https://pbs.twimg.com/profile_images/762215548616716288/AdJanql1_normal.jpg","View")</f>
        <v>View</v>
      </c>
      <c r="P7238" s="27"/>
    </row>
    <row r="7239">
      <c r="A7239" s="14">
        <v>43031.552395833336</v>
      </c>
      <c r="B7239" s="20" t="str">
        <f>HYPERLINK("https://twitter.com/AdvocateIndian","@AdvocateIndian")</f>
        <v>@AdvocateIndian</v>
      </c>
      <c r="C7239" s="21" t="s">
        <v>16143</v>
      </c>
      <c r="D7239" s="21" t="s">
        <v>16144</v>
      </c>
      <c r="E7239" s="22" t="str">
        <f>HYPERLINK("https://twitter.com/AdvocateIndian/status/922557101213282304","922557101213282304")</f>
        <v>922557101213282304</v>
      </c>
      <c r="F7239" s="23" t="s">
        <v>55</v>
      </c>
      <c r="G7239" s="24">
        <v>274.0</v>
      </c>
      <c r="H7239" s="24">
        <v>167.0</v>
      </c>
      <c r="I7239" s="24">
        <v>0.0</v>
      </c>
      <c r="J7239" s="24">
        <v>0.0</v>
      </c>
      <c r="K7239" s="23" t="s">
        <v>34</v>
      </c>
      <c r="L7239" s="25">
        <v>42204.25030092592</v>
      </c>
      <c r="M7239" s="28"/>
      <c r="N7239" s="28"/>
      <c r="O7239" s="22" t="str">
        <f>HYPERLINK("https://pbs.twimg.com/profile_images/623531047695683584/V3PmTKo5_normal.jpg","View")</f>
        <v>View</v>
      </c>
      <c r="P7239" s="27"/>
    </row>
    <row r="7240">
      <c r="A7240" s="14">
        <v>43031.55273148148</v>
      </c>
      <c r="B7240" s="20" t="str">
        <f>HYPERLINK("https://twitter.com/kurea_rh","@kurea_rh")</f>
        <v>@kurea_rh</v>
      </c>
      <c r="C7240" s="21" t="s">
        <v>16145</v>
      </c>
      <c r="D7240" s="21" t="s">
        <v>12974</v>
      </c>
      <c r="E7240" s="22" t="str">
        <f>HYPERLINK("https://twitter.com/kurea_rh/status/922557220302155778","922557220302155778")</f>
        <v>922557220302155778</v>
      </c>
      <c r="F7240" s="23" t="s">
        <v>39</v>
      </c>
      <c r="G7240" s="24">
        <v>1456.0</v>
      </c>
      <c r="H7240" s="24">
        <v>1125.0</v>
      </c>
      <c r="I7240" s="24">
        <v>110.0</v>
      </c>
      <c r="J7240" s="24">
        <v>0.0</v>
      </c>
      <c r="K7240" s="23" t="s">
        <v>34</v>
      </c>
      <c r="L7240" s="25">
        <v>40111.06474537037</v>
      </c>
      <c r="M7240" s="26" t="s">
        <v>660</v>
      </c>
      <c r="N7240" s="26" t="s">
        <v>16146</v>
      </c>
      <c r="O7240" s="22" t="str">
        <f>HYPERLINK("https://pbs.twimg.com/profile_images/779695694261030913/9td7x91e_normal.jpg","View")</f>
        <v>View</v>
      </c>
      <c r="P7240" s="27"/>
    </row>
    <row r="7241">
      <c r="A7241" s="14">
        <v>43031.55385416667</v>
      </c>
      <c r="B7241" s="20" t="str">
        <f>HYPERLINK("https://twitter.com/vijayyadav0009","@vijayyadav0009")</f>
        <v>@vijayyadav0009</v>
      </c>
      <c r="C7241" s="21" t="s">
        <v>16147</v>
      </c>
      <c r="D7241" s="21" t="s">
        <v>42</v>
      </c>
      <c r="E7241" s="22" t="str">
        <f>HYPERLINK("https://twitter.com/vijayyadav0009/status/922557627401302022","922557627401302022")</f>
        <v>922557627401302022</v>
      </c>
      <c r="F7241" s="23" t="s">
        <v>769</v>
      </c>
      <c r="G7241" s="24">
        <v>0.0</v>
      </c>
      <c r="H7241" s="24">
        <v>45.0</v>
      </c>
      <c r="I7241" s="24">
        <v>8501.0</v>
      </c>
      <c r="J7241" s="24">
        <v>0.0</v>
      </c>
      <c r="K7241" s="23" t="s">
        <v>34</v>
      </c>
      <c r="L7241" s="25">
        <v>43005.82787037037</v>
      </c>
      <c r="M7241" s="26" t="s">
        <v>472</v>
      </c>
      <c r="N7241" s="28"/>
      <c r="O7241" s="22" t="str">
        <f>HYPERLINK("https://pbs.twimg.com/profile_images/913235663562072065/7W_fqaGr_normal.jpg","View")</f>
        <v>View</v>
      </c>
      <c r="P7241" s="27"/>
    </row>
    <row r="7242">
      <c r="A7242" s="14">
        <v>43031.55385416667</v>
      </c>
      <c r="B7242" s="20" t="str">
        <f>HYPERLINK("https://twitter.com/risesmans","@risesmans")</f>
        <v>@risesmans</v>
      </c>
      <c r="C7242" s="21" t="s">
        <v>16148</v>
      </c>
      <c r="D7242" s="21" t="s">
        <v>42</v>
      </c>
      <c r="E7242" s="22" t="str">
        <f>HYPERLINK("https://twitter.com/risesmans/status/922557627418079234","922557627418079234")</f>
        <v>922557627418079234</v>
      </c>
      <c r="F7242" s="23" t="s">
        <v>769</v>
      </c>
      <c r="G7242" s="24">
        <v>5.0</v>
      </c>
      <c r="H7242" s="24">
        <v>88.0</v>
      </c>
      <c r="I7242" s="24">
        <v>8501.0</v>
      </c>
      <c r="J7242" s="24">
        <v>0.0</v>
      </c>
      <c r="K7242" s="23" t="s">
        <v>34</v>
      </c>
      <c r="L7242" s="25">
        <v>43004.51934027778</v>
      </c>
      <c r="M7242" s="26" t="s">
        <v>204</v>
      </c>
      <c r="N7242" s="28"/>
      <c r="O7242" s="22" t="str">
        <f>HYPERLINK("https://pbs.twimg.com/profile_images/912775379256872961/zytFdRbZ_normal.jpg","View")</f>
        <v>View</v>
      </c>
      <c r="P7242" s="27"/>
    </row>
    <row r="7243">
      <c r="A7243" s="14">
        <v>43031.55385416667</v>
      </c>
      <c r="B7243" s="20" t="str">
        <f>HYPERLINK("https://twitter.com/dheraj888","@dheraj888")</f>
        <v>@dheraj888</v>
      </c>
      <c r="C7243" s="21" t="s">
        <v>16149</v>
      </c>
      <c r="D7243" s="21" t="s">
        <v>42</v>
      </c>
      <c r="E7243" s="22" t="str">
        <f>HYPERLINK("https://twitter.com/dheraj888/status/922557627497791488","922557627497791488")</f>
        <v>922557627497791488</v>
      </c>
      <c r="F7243" s="23" t="s">
        <v>769</v>
      </c>
      <c r="G7243" s="24">
        <v>30.0</v>
      </c>
      <c r="H7243" s="24">
        <v>19.0</v>
      </c>
      <c r="I7243" s="24">
        <v>8501.0</v>
      </c>
      <c r="J7243" s="24">
        <v>0.0</v>
      </c>
      <c r="K7243" s="23" t="s">
        <v>34</v>
      </c>
      <c r="L7243" s="25">
        <v>42842.955462962964</v>
      </c>
      <c r="M7243" s="26" t="s">
        <v>204</v>
      </c>
      <c r="N7243" s="26" t="s">
        <v>16150</v>
      </c>
      <c r="O7243" s="22" t="str">
        <f>HYPERLINK("https://pbs.twimg.com/profile_images/911543361386905602/WKFzyyxj_normal.jpg","View")</f>
        <v>View</v>
      </c>
      <c r="P7243" s="27"/>
    </row>
    <row r="7244">
      <c r="A7244" s="14">
        <v>43031.55385416667</v>
      </c>
      <c r="B7244" s="20" t="str">
        <f>HYPERLINK("https://twitter.com/swarnim_a","@swarnim_a")</f>
        <v>@swarnim_a</v>
      </c>
      <c r="C7244" s="21" t="s">
        <v>16151</v>
      </c>
      <c r="D7244" s="21" t="s">
        <v>42</v>
      </c>
      <c r="E7244" s="22" t="str">
        <f>HYPERLINK("https://twitter.com/swarnim_a/status/922557627501912064","922557627501912064")</f>
        <v>922557627501912064</v>
      </c>
      <c r="F7244" s="23" t="s">
        <v>769</v>
      </c>
      <c r="G7244" s="24">
        <v>38.0</v>
      </c>
      <c r="H7244" s="24">
        <v>84.0</v>
      </c>
      <c r="I7244" s="24">
        <v>8501.0</v>
      </c>
      <c r="J7244" s="24">
        <v>0.0</v>
      </c>
      <c r="K7244" s="23" t="s">
        <v>34</v>
      </c>
      <c r="L7244" s="25">
        <v>42927.262511574074</v>
      </c>
      <c r="M7244" s="26" t="s">
        <v>195</v>
      </c>
      <c r="N7244" s="26" t="s">
        <v>16152</v>
      </c>
      <c r="O7244" s="22" t="str">
        <f>HYPERLINK("https://pbs.twimg.com/profile_images/884773523390177280/ZG_pq21A_normal.jpg","View")</f>
        <v>View</v>
      </c>
      <c r="P7244" s="27"/>
    </row>
    <row r="7245">
      <c r="A7245" s="14">
        <v>43031.55385416667</v>
      </c>
      <c r="B7245" s="20" t="str">
        <f>HYPERLINK("https://twitter.com/PuneetSambyal","@PuneetSambyal")</f>
        <v>@PuneetSambyal</v>
      </c>
      <c r="C7245" s="21" t="s">
        <v>792</v>
      </c>
      <c r="D7245" s="21" t="s">
        <v>42</v>
      </c>
      <c r="E7245" s="22" t="str">
        <f>HYPERLINK("https://twitter.com/PuneetSambyal/status/922557627501965317","922557627501965317")</f>
        <v>922557627501965317</v>
      </c>
      <c r="F7245" s="23" t="s">
        <v>769</v>
      </c>
      <c r="G7245" s="24">
        <v>4.0</v>
      </c>
      <c r="H7245" s="24">
        <v>79.0</v>
      </c>
      <c r="I7245" s="24">
        <v>8501.0</v>
      </c>
      <c r="J7245" s="24">
        <v>0.0</v>
      </c>
      <c r="K7245" s="23" t="s">
        <v>34</v>
      </c>
      <c r="L7245" s="25">
        <v>43004.56793981481</v>
      </c>
      <c r="M7245" s="26" t="s">
        <v>204</v>
      </c>
      <c r="N7245" s="28"/>
      <c r="O7245" s="22" t="str">
        <f>HYPERLINK("https://pbs.twimg.com/profile_images/912778615300907008/eRVY-1rQ_normal.jpg","View")</f>
        <v>View</v>
      </c>
      <c r="P7245" s="27"/>
    </row>
    <row r="7246">
      <c r="A7246" s="14">
        <v>43031.55385416667</v>
      </c>
      <c r="B7246" s="20" t="str">
        <f>HYPERLINK("https://twitter.com/AzeemPate_1","@AzeemPate_1")</f>
        <v>@AzeemPate_1</v>
      </c>
      <c r="C7246" s="21" t="s">
        <v>16153</v>
      </c>
      <c r="D7246" s="21" t="s">
        <v>42</v>
      </c>
      <c r="E7246" s="22" t="str">
        <f>HYPERLINK("https://twitter.com/AzeemPate_1/status/922557627531345920","922557627531345920")</f>
        <v>922557627531345920</v>
      </c>
      <c r="F7246" s="23" t="s">
        <v>769</v>
      </c>
      <c r="G7246" s="24">
        <v>2.0</v>
      </c>
      <c r="H7246" s="24">
        <v>63.0</v>
      </c>
      <c r="I7246" s="24">
        <v>8501.0</v>
      </c>
      <c r="J7246" s="24">
        <v>0.0</v>
      </c>
      <c r="K7246" s="23" t="s">
        <v>34</v>
      </c>
      <c r="L7246" s="25">
        <v>43005.83188657407</v>
      </c>
      <c r="M7246" s="26" t="s">
        <v>8246</v>
      </c>
      <c r="N7246" s="28"/>
      <c r="O7246" s="22" t="str">
        <f>HYPERLINK("https://pbs.twimg.com/profile_images/913237077684232192/3idSROMI_normal.jpg","View")</f>
        <v>View</v>
      </c>
      <c r="P7246" s="27"/>
    </row>
    <row r="7247">
      <c r="A7247" s="14">
        <v>43031.55385416667</v>
      </c>
      <c r="B7247" s="20" t="str">
        <f>HYPERLINK("https://twitter.com/kumar_larensh","@kumar_larensh")</f>
        <v>@kumar_larensh</v>
      </c>
      <c r="C7247" s="21" t="s">
        <v>16154</v>
      </c>
      <c r="D7247" s="21" t="s">
        <v>42</v>
      </c>
      <c r="E7247" s="22" t="str">
        <f>HYPERLINK("https://twitter.com/kumar_larensh/status/922557627556511744","922557627556511744")</f>
        <v>922557627556511744</v>
      </c>
      <c r="F7247" s="23" t="s">
        <v>769</v>
      </c>
      <c r="G7247" s="24">
        <v>0.0</v>
      </c>
      <c r="H7247" s="24">
        <v>105.0</v>
      </c>
      <c r="I7247" s="24">
        <v>8501.0</v>
      </c>
      <c r="J7247" s="24">
        <v>0.0</v>
      </c>
      <c r="K7247" s="23" t="s">
        <v>34</v>
      </c>
      <c r="L7247" s="25">
        <v>43006.54553240741</v>
      </c>
      <c r="M7247" s="26" t="s">
        <v>204</v>
      </c>
      <c r="N7247" s="28"/>
      <c r="O7247" s="22" t="str">
        <f>HYPERLINK("https://pbs.twimg.com/profile_images/913495283371085824/twVq-9JO_normal.jpg","View")</f>
        <v>View</v>
      </c>
      <c r="P7247" s="27"/>
    </row>
    <row r="7248">
      <c r="A7248" s="14">
        <v>43031.55385416667</v>
      </c>
      <c r="B7248" s="20" t="str">
        <f>HYPERLINK("https://twitter.com/piyu_warse","@piyu_warse")</f>
        <v>@piyu_warse</v>
      </c>
      <c r="C7248" s="21" t="s">
        <v>16155</v>
      </c>
      <c r="D7248" s="21" t="s">
        <v>42</v>
      </c>
      <c r="E7248" s="22" t="str">
        <f>HYPERLINK("https://twitter.com/piyu_warse/status/922557627560640512","922557627560640512")</f>
        <v>922557627560640512</v>
      </c>
      <c r="F7248" s="23" t="s">
        <v>769</v>
      </c>
      <c r="G7248" s="24">
        <v>0.0</v>
      </c>
      <c r="H7248" s="24">
        <v>42.0</v>
      </c>
      <c r="I7248" s="24">
        <v>8501.0</v>
      </c>
      <c r="J7248" s="24">
        <v>0.0</v>
      </c>
      <c r="K7248" s="23" t="s">
        <v>34</v>
      </c>
      <c r="L7248" s="25">
        <v>43005.85806712963</v>
      </c>
      <c r="M7248" s="26" t="s">
        <v>3302</v>
      </c>
      <c r="N7248" s="28"/>
      <c r="O7248" s="22" t="str">
        <f>HYPERLINK("https://pbs.twimg.com/profile_images/913246849464647680/yiy59fOM_normal.jpg","View")</f>
        <v>View</v>
      </c>
      <c r="P7248" s="27"/>
    </row>
    <row r="7249">
      <c r="A7249" s="14">
        <v>43031.55385416667</v>
      </c>
      <c r="B7249" s="20" t="str">
        <f>HYPERLINK("https://twitter.com/SriRamK678","@SriRamK678")</f>
        <v>@SriRamK678</v>
      </c>
      <c r="C7249" s="21" t="s">
        <v>16156</v>
      </c>
      <c r="D7249" s="21" t="s">
        <v>42</v>
      </c>
      <c r="E7249" s="22" t="str">
        <f>HYPERLINK("https://twitter.com/SriRamK678/status/922557627560685568","922557627560685568")</f>
        <v>922557627560685568</v>
      </c>
      <c r="F7249" s="23" t="s">
        <v>769</v>
      </c>
      <c r="G7249" s="24">
        <v>4.0</v>
      </c>
      <c r="H7249" s="24">
        <v>71.0</v>
      </c>
      <c r="I7249" s="24">
        <v>8501.0</v>
      </c>
      <c r="J7249" s="24">
        <v>0.0</v>
      </c>
      <c r="K7249" s="23" t="s">
        <v>34</v>
      </c>
      <c r="L7249" s="25">
        <v>43004.58528935185</v>
      </c>
      <c r="M7249" s="26" t="s">
        <v>1707</v>
      </c>
      <c r="N7249" s="26" t="s">
        <v>16157</v>
      </c>
      <c r="O7249" s="22" t="str">
        <f>HYPERLINK("https://pbs.twimg.com/profile_images/912784948238499840/hMwIvoor_normal.jpg","View")</f>
        <v>View</v>
      </c>
      <c r="P7249" s="27"/>
    </row>
    <row r="7250">
      <c r="A7250" s="14">
        <v>43031.55385416667</v>
      </c>
      <c r="B7250" s="20" t="str">
        <f>HYPERLINK("https://twitter.com/HariAwast_hi","@HariAwast_hi")</f>
        <v>@HariAwast_hi</v>
      </c>
      <c r="C7250" s="21" t="s">
        <v>16158</v>
      </c>
      <c r="D7250" s="21" t="s">
        <v>42</v>
      </c>
      <c r="E7250" s="22" t="str">
        <f>HYPERLINK("https://twitter.com/HariAwast_hi/status/922557627560685569","922557627560685569")</f>
        <v>922557627560685569</v>
      </c>
      <c r="F7250" s="23" t="s">
        <v>769</v>
      </c>
      <c r="G7250" s="24">
        <v>9.0</v>
      </c>
      <c r="H7250" s="24">
        <v>72.0</v>
      </c>
      <c r="I7250" s="24">
        <v>8501.0</v>
      </c>
      <c r="J7250" s="24">
        <v>0.0</v>
      </c>
      <c r="K7250" s="23" t="s">
        <v>34</v>
      </c>
      <c r="L7250" s="25">
        <v>42928.34390046296</v>
      </c>
      <c r="M7250" s="26" t="s">
        <v>195</v>
      </c>
      <c r="N7250" s="26" t="s">
        <v>16159</v>
      </c>
      <c r="O7250" s="22" t="str">
        <f>HYPERLINK("https://pbs.twimg.com/profile_images/885156627057397761/nqypQVjv_normal.jpg","View")</f>
        <v>View</v>
      </c>
      <c r="P7250" s="27"/>
    </row>
    <row r="7251">
      <c r="A7251" s="14">
        <v>43031.55385416667</v>
      </c>
      <c r="B7251" s="20" t="str">
        <f>HYPERLINK("https://twitter.com/ratangup_ta","@ratangup_ta")</f>
        <v>@ratangup_ta</v>
      </c>
      <c r="C7251" s="21" t="s">
        <v>16160</v>
      </c>
      <c r="D7251" s="21" t="s">
        <v>42</v>
      </c>
      <c r="E7251" s="22" t="str">
        <f>HYPERLINK("https://twitter.com/ratangup_ta/status/922557627577405440","922557627577405440")</f>
        <v>922557627577405440</v>
      </c>
      <c r="F7251" s="23" t="s">
        <v>769</v>
      </c>
      <c r="G7251" s="24">
        <v>21.0</v>
      </c>
      <c r="H7251" s="24">
        <v>66.0</v>
      </c>
      <c r="I7251" s="24">
        <v>8501.0</v>
      </c>
      <c r="J7251" s="24">
        <v>0.0</v>
      </c>
      <c r="K7251" s="23" t="s">
        <v>34</v>
      </c>
      <c r="L7251" s="25">
        <v>42835.48506944445</v>
      </c>
      <c r="M7251" s="26" t="s">
        <v>575</v>
      </c>
      <c r="N7251" s="26" t="s">
        <v>16161</v>
      </c>
      <c r="O7251" s="22" t="str">
        <f>HYPERLINK("https://pbs.twimg.com/profile_images/851505945251373056/ws_xE6Ks_normal.jpg","View")</f>
        <v>View</v>
      </c>
      <c r="P7251" s="27"/>
    </row>
    <row r="7252">
      <c r="A7252" s="14">
        <v>43031.55385416667</v>
      </c>
      <c r="B7252" s="20" t="str">
        <f>HYPERLINK("https://twitter.com/abhinan062","@abhinan062")</f>
        <v>@abhinan062</v>
      </c>
      <c r="C7252" s="21" t="s">
        <v>16162</v>
      </c>
      <c r="D7252" s="21" t="s">
        <v>42</v>
      </c>
      <c r="E7252" s="22" t="str">
        <f>HYPERLINK("https://twitter.com/abhinan062/status/922557627581657091","922557627581657091")</f>
        <v>922557627581657091</v>
      </c>
      <c r="F7252" s="23" t="s">
        <v>769</v>
      </c>
      <c r="G7252" s="24">
        <v>12.0</v>
      </c>
      <c r="H7252" s="24">
        <v>97.0</v>
      </c>
      <c r="I7252" s="24">
        <v>8501.0</v>
      </c>
      <c r="J7252" s="24">
        <v>0.0</v>
      </c>
      <c r="K7252" s="23" t="s">
        <v>34</v>
      </c>
      <c r="L7252" s="25">
        <v>43001.16842592593</v>
      </c>
      <c r="M7252" s="26" t="s">
        <v>14669</v>
      </c>
      <c r="N7252" s="26" t="s">
        <v>16163</v>
      </c>
      <c r="O7252" s="22" t="str">
        <f>HYPERLINK("https://pbs.twimg.com/profile_images/911547345153572866/wLOh-abD_normal.jpg","View")</f>
        <v>View</v>
      </c>
      <c r="P7252" s="27"/>
    </row>
    <row r="7253">
      <c r="A7253" s="14">
        <v>43031.55385416667</v>
      </c>
      <c r="B7253" s="20" t="str">
        <f>HYPERLINK("https://twitter.com/ankitlive_","@ankitlive_")</f>
        <v>@ankitlive_</v>
      </c>
      <c r="C7253" s="21" t="s">
        <v>16164</v>
      </c>
      <c r="D7253" s="21" t="s">
        <v>42</v>
      </c>
      <c r="E7253" s="22" t="str">
        <f>HYPERLINK("https://twitter.com/ankitlive_/status/922557627581657093","922557627581657093")</f>
        <v>922557627581657093</v>
      </c>
      <c r="F7253" s="23" t="s">
        <v>769</v>
      </c>
      <c r="G7253" s="24">
        <v>107.0</v>
      </c>
      <c r="H7253" s="24">
        <v>75.0</v>
      </c>
      <c r="I7253" s="24">
        <v>8501.0</v>
      </c>
      <c r="J7253" s="24">
        <v>0.0</v>
      </c>
      <c r="K7253" s="23" t="s">
        <v>34</v>
      </c>
      <c r="L7253" s="25">
        <v>42832.983090277776</v>
      </c>
      <c r="M7253" s="26" t="s">
        <v>195</v>
      </c>
      <c r="N7253" s="26" t="s">
        <v>16165</v>
      </c>
      <c r="O7253" s="22" t="str">
        <f>HYPERLINK("https://pbs.twimg.com/profile_images/850608926517334016/aqObt5vZ_normal.jpg","View")</f>
        <v>View</v>
      </c>
      <c r="P7253" s="27"/>
    </row>
    <row r="7254">
      <c r="A7254" s="14">
        <v>43031.55385416667</v>
      </c>
      <c r="B7254" s="20" t="str">
        <f>HYPERLINK("https://twitter.com/AmeerKhan108","@AmeerKhan108")</f>
        <v>@AmeerKhan108</v>
      </c>
      <c r="C7254" s="21" t="s">
        <v>16166</v>
      </c>
      <c r="D7254" s="21" t="s">
        <v>42</v>
      </c>
      <c r="E7254" s="22" t="str">
        <f>HYPERLINK("https://twitter.com/AmeerKhan108/status/922557627585851393","922557627585851393")</f>
        <v>922557627585851393</v>
      </c>
      <c r="F7254" s="23" t="s">
        <v>769</v>
      </c>
      <c r="G7254" s="24">
        <v>1.0</v>
      </c>
      <c r="H7254" s="24">
        <v>86.0</v>
      </c>
      <c r="I7254" s="24">
        <v>8501.0</v>
      </c>
      <c r="J7254" s="24">
        <v>0.0</v>
      </c>
      <c r="K7254" s="23" t="s">
        <v>34</v>
      </c>
      <c r="L7254" s="25">
        <v>43006.548680555556</v>
      </c>
      <c r="M7254" s="26" t="s">
        <v>1707</v>
      </c>
      <c r="N7254" s="28"/>
      <c r="O7254" s="22" t="str">
        <f>HYPERLINK("https://pbs.twimg.com/profile_images/913496480865906688/IAovatKt_normal.jpg","View")</f>
        <v>View</v>
      </c>
      <c r="P7254" s="27"/>
    </row>
    <row r="7255">
      <c r="A7255" s="14">
        <v>43031.55385416667</v>
      </c>
      <c r="B7255" s="20" t="str">
        <f>HYPERLINK("https://twitter.com/Alicia_maat","@Alicia_maat")</f>
        <v>@Alicia_maat</v>
      </c>
      <c r="C7255" s="21" t="s">
        <v>16167</v>
      </c>
      <c r="D7255" s="21" t="s">
        <v>42</v>
      </c>
      <c r="E7255" s="22" t="str">
        <f>HYPERLINK("https://twitter.com/Alicia_maat/status/922557627590045697","922557627590045697")</f>
        <v>922557627590045697</v>
      </c>
      <c r="F7255" s="23" t="s">
        <v>769</v>
      </c>
      <c r="G7255" s="24">
        <v>0.0</v>
      </c>
      <c r="H7255" s="24">
        <v>0.0</v>
      </c>
      <c r="I7255" s="24">
        <v>8501.0</v>
      </c>
      <c r="J7255" s="24">
        <v>0.0</v>
      </c>
      <c r="K7255" s="23" t="s">
        <v>34</v>
      </c>
      <c r="L7255" s="25">
        <v>43006.55086805555</v>
      </c>
      <c r="M7255" s="28"/>
      <c r="N7255" s="26" t="s">
        <v>16168</v>
      </c>
      <c r="O7255" s="22" t="str">
        <f>HYPERLINK("https://pbs.twimg.com/profile_images/913498109598097408/T2poneIg_normal.jpg","View")</f>
        <v>View</v>
      </c>
      <c r="P7255" s="27"/>
    </row>
    <row r="7256">
      <c r="A7256" s="14">
        <v>43031.55385416667</v>
      </c>
      <c r="B7256" s="20" t="str">
        <f>HYPERLINK("https://twitter.com/N_asirkhan","@N_asirkhan")</f>
        <v>@N_asirkhan</v>
      </c>
      <c r="C7256" s="21" t="s">
        <v>16169</v>
      </c>
      <c r="D7256" s="21" t="s">
        <v>42</v>
      </c>
      <c r="E7256" s="22" t="str">
        <f>HYPERLINK("https://twitter.com/N_asirkhan/status/922557627590045698","922557627590045698")</f>
        <v>922557627590045698</v>
      </c>
      <c r="F7256" s="23" t="s">
        <v>769</v>
      </c>
      <c r="G7256" s="24">
        <v>17.0</v>
      </c>
      <c r="H7256" s="24">
        <v>76.0</v>
      </c>
      <c r="I7256" s="24">
        <v>8501.0</v>
      </c>
      <c r="J7256" s="24">
        <v>0.0</v>
      </c>
      <c r="K7256" s="23" t="s">
        <v>34</v>
      </c>
      <c r="L7256" s="25">
        <v>42836.846562499995</v>
      </c>
      <c r="M7256" s="26" t="s">
        <v>575</v>
      </c>
      <c r="N7256" s="26" t="s">
        <v>815</v>
      </c>
      <c r="O7256" s="22" t="str">
        <f>HYPERLINK("https://pbs.twimg.com/profile_images/851998521842683904/Om95Hgzh_normal.jpg","View")</f>
        <v>View</v>
      </c>
      <c r="P7256" s="27"/>
    </row>
    <row r="7257">
      <c r="A7257" s="14">
        <v>43031.55385416667</v>
      </c>
      <c r="B7257" s="20" t="str">
        <f>HYPERLINK("https://twitter.com/Prasanj989","@Prasanj989")</f>
        <v>@Prasanj989</v>
      </c>
      <c r="C7257" s="21" t="s">
        <v>16170</v>
      </c>
      <c r="D7257" s="21" t="s">
        <v>42</v>
      </c>
      <c r="E7257" s="22" t="str">
        <f>HYPERLINK("https://twitter.com/Prasanj989/status/922557627598434304","922557627598434304")</f>
        <v>922557627598434304</v>
      </c>
      <c r="F7257" s="23" t="s">
        <v>769</v>
      </c>
      <c r="G7257" s="24">
        <v>4.0</v>
      </c>
      <c r="H7257" s="24">
        <v>68.0</v>
      </c>
      <c r="I7257" s="24">
        <v>8501.0</v>
      </c>
      <c r="J7257" s="24">
        <v>0.0</v>
      </c>
      <c r="K7257" s="23" t="s">
        <v>34</v>
      </c>
      <c r="L7257" s="25">
        <v>43004.492638888885</v>
      </c>
      <c r="M7257" s="28"/>
      <c r="N7257" s="26" t="s">
        <v>16171</v>
      </c>
      <c r="O7257" s="22" t="str">
        <f>HYPERLINK("https://pbs.twimg.com/profile_images/912751488081944576/_t9BeRRl_normal.jpg","View")</f>
        <v>View</v>
      </c>
      <c r="P7257" s="27"/>
    </row>
    <row r="7258">
      <c r="A7258" s="14">
        <v>43031.55385416667</v>
      </c>
      <c r="B7258" s="20" t="str">
        <f>HYPERLINK("https://twitter.com/NaveK22","@NaveK22")</f>
        <v>@NaveK22</v>
      </c>
      <c r="C7258" s="21" t="s">
        <v>16172</v>
      </c>
      <c r="D7258" s="21" t="s">
        <v>42</v>
      </c>
      <c r="E7258" s="22" t="str">
        <f>HYPERLINK("https://twitter.com/NaveK22/status/922557627598434305","922557627598434305")</f>
        <v>922557627598434305</v>
      </c>
      <c r="F7258" s="23" t="s">
        <v>769</v>
      </c>
      <c r="G7258" s="24">
        <v>1.0</v>
      </c>
      <c r="H7258" s="24">
        <v>0.0</v>
      </c>
      <c r="I7258" s="24">
        <v>8501.0</v>
      </c>
      <c r="J7258" s="24">
        <v>0.0</v>
      </c>
      <c r="K7258" s="23" t="s">
        <v>34</v>
      </c>
      <c r="L7258" s="25">
        <v>43004.502233796295</v>
      </c>
      <c r="M7258" s="28"/>
      <c r="N7258" s="26" t="s">
        <v>16173</v>
      </c>
      <c r="O7258" s="22" t="str">
        <f>HYPERLINK("https://pbs.twimg.com/profile_images/912755141371031552/8m2m-zcl_normal.jpg","View")</f>
        <v>View</v>
      </c>
      <c r="P7258" s="27"/>
    </row>
    <row r="7259">
      <c r="A7259" s="14">
        <v>43031.55385416667</v>
      </c>
      <c r="B7259" s="20" t="str">
        <f>HYPERLINK("https://twitter.com/rahulbab_a","@rahulbab_a")</f>
        <v>@rahulbab_a</v>
      </c>
      <c r="C7259" s="21" t="s">
        <v>16174</v>
      </c>
      <c r="D7259" s="21" t="s">
        <v>42</v>
      </c>
      <c r="E7259" s="22" t="str">
        <f>HYPERLINK("https://twitter.com/rahulbab_a/status/922557627602649088","922557627602649088")</f>
        <v>922557627602649088</v>
      </c>
      <c r="F7259" s="23" t="s">
        <v>769</v>
      </c>
      <c r="G7259" s="24">
        <v>25.0</v>
      </c>
      <c r="H7259" s="24">
        <v>34.0</v>
      </c>
      <c r="I7259" s="24">
        <v>8501.0</v>
      </c>
      <c r="J7259" s="24">
        <v>0.0</v>
      </c>
      <c r="K7259" s="23" t="s">
        <v>34</v>
      </c>
      <c r="L7259" s="25">
        <v>42833.296747685185</v>
      </c>
      <c r="M7259" s="26" t="s">
        <v>16175</v>
      </c>
      <c r="N7259" s="26" t="s">
        <v>16176</v>
      </c>
      <c r="O7259" s="22" t="str">
        <f>HYPERLINK("https://pbs.twimg.com/profile_images/917005820004466688/uINtuwcd_normal.jpg","View")</f>
        <v>View</v>
      </c>
      <c r="P7259" s="27"/>
    </row>
    <row r="7260">
      <c r="A7260" s="14">
        <v>43031.55385416667</v>
      </c>
      <c r="B7260" s="20" t="str">
        <f>HYPERLINK("https://twitter.com/Arpitajee","@Arpitajee")</f>
        <v>@Arpitajee</v>
      </c>
      <c r="C7260" s="21" t="s">
        <v>16177</v>
      </c>
      <c r="D7260" s="21" t="s">
        <v>42</v>
      </c>
      <c r="E7260" s="22" t="str">
        <f>HYPERLINK("https://twitter.com/Arpitajee/status/922557627606822912","922557627606822912")</f>
        <v>922557627606822912</v>
      </c>
      <c r="F7260" s="23" t="s">
        <v>769</v>
      </c>
      <c r="G7260" s="24">
        <v>2.0</v>
      </c>
      <c r="H7260" s="24">
        <v>77.0</v>
      </c>
      <c r="I7260" s="24">
        <v>8501.0</v>
      </c>
      <c r="J7260" s="24">
        <v>0.0</v>
      </c>
      <c r="K7260" s="23" t="s">
        <v>34</v>
      </c>
      <c r="L7260" s="25">
        <v>43004.49679398148</v>
      </c>
      <c r="M7260" s="26" t="s">
        <v>16178</v>
      </c>
      <c r="N7260" s="26" t="s">
        <v>16179</v>
      </c>
      <c r="O7260" s="22" t="str">
        <f>HYPERLINK("https://pbs.twimg.com/profile_images/912753485988245504/-MWgF0w2_normal.jpg","View")</f>
        <v>View</v>
      </c>
      <c r="P7260" s="27"/>
    </row>
    <row r="7261">
      <c r="A7261" s="14">
        <v>43031.55385416667</v>
      </c>
      <c r="B7261" s="20" t="str">
        <f>HYPERLINK("https://twitter.com/viveka_123","@viveka_123")</f>
        <v>@viveka_123</v>
      </c>
      <c r="C7261" s="21" t="s">
        <v>16180</v>
      </c>
      <c r="D7261" s="21" t="s">
        <v>42</v>
      </c>
      <c r="E7261" s="22" t="str">
        <f>HYPERLINK("https://twitter.com/viveka_123/status/922557627627794432","922557627627794432")</f>
        <v>922557627627794432</v>
      </c>
      <c r="F7261" s="23" t="s">
        <v>769</v>
      </c>
      <c r="G7261" s="24">
        <v>38.0</v>
      </c>
      <c r="H7261" s="24">
        <v>55.0</v>
      </c>
      <c r="I7261" s="24">
        <v>8501.0</v>
      </c>
      <c r="J7261" s="24">
        <v>0.0</v>
      </c>
      <c r="K7261" s="23" t="s">
        <v>34</v>
      </c>
      <c r="L7261" s="25">
        <v>42842.97861111111</v>
      </c>
      <c r="M7261" s="26" t="s">
        <v>1707</v>
      </c>
      <c r="N7261" s="26" t="s">
        <v>16181</v>
      </c>
      <c r="O7261" s="22" t="str">
        <f>HYPERLINK("https://pbs.twimg.com/profile_images/859299788164083712/mRQ5KU9L_normal.jpg","View")</f>
        <v>View</v>
      </c>
      <c r="P7261" s="27"/>
    </row>
    <row r="7262">
      <c r="A7262" s="14">
        <v>43031.55385416667</v>
      </c>
      <c r="B7262" s="20" t="str">
        <f>HYPERLINK("https://twitter.com/kritika_Advo","@kritika_Advo")</f>
        <v>@kritika_Advo</v>
      </c>
      <c r="C7262" s="21" t="s">
        <v>16182</v>
      </c>
      <c r="D7262" s="21" t="s">
        <v>42</v>
      </c>
      <c r="E7262" s="22" t="str">
        <f>HYPERLINK("https://twitter.com/kritika_Advo/status/922557627648716800","922557627648716800")</f>
        <v>922557627648716800</v>
      </c>
      <c r="F7262" s="23" t="s">
        <v>769</v>
      </c>
      <c r="G7262" s="24">
        <v>69.0</v>
      </c>
      <c r="H7262" s="24">
        <v>68.0</v>
      </c>
      <c r="I7262" s="24">
        <v>8501.0</v>
      </c>
      <c r="J7262" s="24">
        <v>0.0</v>
      </c>
      <c r="K7262" s="23" t="s">
        <v>34</v>
      </c>
      <c r="L7262" s="25">
        <v>42832.98982638889</v>
      </c>
      <c r="M7262" s="26" t="s">
        <v>575</v>
      </c>
      <c r="N7262" s="26" t="s">
        <v>16183</v>
      </c>
      <c r="O7262" s="22" t="str">
        <f>HYPERLINK("https://pbs.twimg.com/profile_images/891643342244777985/jr-vmvJ3_normal.jpg","View")</f>
        <v>View</v>
      </c>
      <c r="P7262" s="27"/>
    </row>
    <row r="7263">
      <c r="A7263" s="14">
        <v>43031.55385416667</v>
      </c>
      <c r="B7263" s="20" t="str">
        <f>HYPERLINK("https://twitter.com/PrabhakarBhat6","@PrabhakarBhat6")</f>
        <v>@PrabhakarBhat6</v>
      </c>
      <c r="C7263" s="21" t="s">
        <v>16184</v>
      </c>
      <c r="D7263" s="21" t="s">
        <v>42</v>
      </c>
      <c r="E7263" s="22" t="str">
        <f>HYPERLINK("https://twitter.com/PrabhakarBhat6/status/922557627661348865","922557627661348865")</f>
        <v>922557627661348865</v>
      </c>
      <c r="F7263" s="23" t="s">
        <v>769</v>
      </c>
      <c r="G7263" s="24">
        <v>3.0</v>
      </c>
      <c r="H7263" s="24">
        <v>45.0</v>
      </c>
      <c r="I7263" s="24">
        <v>8501.0</v>
      </c>
      <c r="J7263" s="24">
        <v>0.0</v>
      </c>
      <c r="K7263" s="23" t="s">
        <v>34</v>
      </c>
      <c r="L7263" s="25">
        <v>43005.25434027778</v>
      </c>
      <c r="M7263" s="26" t="s">
        <v>204</v>
      </c>
      <c r="N7263" s="28"/>
      <c r="O7263" s="22" t="str">
        <f>HYPERLINK("https://pbs.twimg.com/profile_images/913027664465731584/t59TEgf8_normal.jpg","View")</f>
        <v>View</v>
      </c>
      <c r="P7263" s="27"/>
    </row>
    <row r="7264">
      <c r="A7264" s="14">
        <v>43031.55385416667</v>
      </c>
      <c r="B7264" s="20" t="str">
        <f>HYPERLINK("https://twitter.com/NeelangD","@NeelangD")</f>
        <v>@NeelangD</v>
      </c>
      <c r="C7264" s="21" t="s">
        <v>16185</v>
      </c>
      <c r="D7264" s="21" t="s">
        <v>42</v>
      </c>
      <c r="E7264" s="22" t="str">
        <f>HYPERLINK("https://twitter.com/NeelangD/status/922557627678126085","922557627678126085")</f>
        <v>922557627678126085</v>
      </c>
      <c r="F7264" s="23" t="s">
        <v>769</v>
      </c>
      <c r="G7264" s="24">
        <v>0.0</v>
      </c>
      <c r="H7264" s="24">
        <v>43.0</v>
      </c>
      <c r="I7264" s="24">
        <v>8501.0</v>
      </c>
      <c r="J7264" s="24">
        <v>0.0</v>
      </c>
      <c r="K7264" s="23" t="s">
        <v>34</v>
      </c>
      <c r="L7264" s="25">
        <v>43004.578622685185</v>
      </c>
      <c r="M7264" s="26" t="s">
        <v>1707</v>
      </c>
      <c r="N7264" s="26" t="s">
        <v>16186</v>
      </c>
      <c r="O7264" s="22" t="str">
        <f>HYPERLINK("https://pbs.twimg.com/profile_images/912782438719303680/PEN7cV0X_normal.jpg","View")</f>
        <v>View</v>
      </c>
      <c r="P7264" s="27"/>
    </row>
    <row r="7265">
      <c r="A7265" s="14">
        <v>43031.55385416667</v>
      </c>
      <c r="B7265" s="20" t="str">
        <f>HYPERLINK("https://twitter.com/adil687_mohd","@adil687_mohd")</f>
        <v>@adil687_mohd</v>
      </c>
      <c r="C7265" s="21" t="s">
        <v>9853</v>
      </c>
      <c r="D7265" s="21" t="s">
        <v>42</v>
      </c>
      <c r="E7265" s="22" t="str">
        <f>HYPERLINK("https://twitter.com/adil687_mohd/status/922557627971727362","922557627971727362")</f>
        <v>922557627971727362</v>
      </c>
      <c r="F7265" s="23" t="s">
        <v>769</v>
      </c>
      <c r="G7265" s="24">
        <v>7.0</v>
      </c>
      <c r="H7265" s="24">
        <v>78.0</v>
      </c>
      <c r="I7265" s="24">
        <v>8501.0</v>
      </c>
      <c r="J7265" s="24">
        <v>0.0</v>
      </c>
      <c r="K7265" s="23" t="s">
        <v>34</v>
      </c>
      <c r="L7265" s="25">
        <v>42927.45486111111</v>
      </c>
      <c r="M7265" s="26" t="s">
        <v>1707</v>
      </c>
      <c r="N7265" s="26" t="s">
        <v>16187</v>
      </c>
      <c r="O7265" s="22" t="str">
        <f>HYPERLINK("https://pbs.twimg.com/profile_images/884834744063623170/lILconoL_normal.jpg","View")</f>
        <v>View</v>
      </c>
      <c r="P7265" s="27"/>
    </row>
    <row r="7266">
      <c r="A7266" s="14">
        <v>43031.55400462963</v>
      </c>
      <c r="B7266" s="20" t="str">
        <f>HYPERLINK("https://twitter.com/TimesofNews","@TimesofNews")</f>
        <v>@TimesofNews</v>
      </c>
      <c r="C7266" s="21" t="s">
        <v>4660</v>
      </c>
      <c r="D7266" s="21" t="s">
        <v>16188</v>
      </c>
      <c r="E7266" s="22" t="str">
        <f>HYPERLINK("https://twitter.com/TimesofNews/status/922557683735105538","922557683735105538")</f>
        <v>922557683735105538</v>
      </c>
      <c r="F7266" s="23" t="s">
        <v>8122</v>
      </c>
      <c r="G7266" s="24">
        <v>1139.0</v>
      </c>
      <c r="H7266" s="24">
        <v>129.0</v>
      </c>
      <c r="I7266" s="24">
        <v>0.0</v>
      </c>
      <c r="J7266" s="24">
        <v>0.0</v>
      </c>
      <c r="K7266" s="23" t="s">
        <v>34</v>
      </c>
      <c r="L7266" s="25">
        <v>40978.11828703704</v>
      </c>
      <c r="M7266" s="28"/>
      <c r="N7266" s="26" t="s">
        <v>4663</v>
      </c>
      <c r="O7266" s="22" t="str">
        <f>HYPERLINK("https://pbs.twimg.com/profile_images/458022872024223744/GKx5zsNw_normal.png","View")</f>
        <v>View</v>
      </c>
      <c r="P7266" s="27"/>
    </row>
    <row r="7267">
      <c r="A7267" s="14">
        <v>43031.55471064815</v>
      </c>
      <c r="B7267" s="20" t="str">
        <f>HYPERLINK("https://twitter.com/CorePoliticsTV","@CorePoliticsTV")</f>
        <v>@CorePoliticsTV</v>
      </c>
      <c r="C7267" s="21" t="s">
        <v>2012</v>
      </c>
      <c r="D7267" s="21" t="s">
        <v>16189</v>
      </c>
      <c r="E7267" s="22" t="str">
        <f>HYPERLINK("https://twitter.com/CorePoliticsTV/status/922557939549949952","922557939549949952")</f>
        <v>922557939549949952</v>
      </c>
      <c r="F7267" s="23" t="s">
        <v>2014</v>
      </c>
      <c r="G7267" s="24">
        <v>339.0</v>
      </c>
      <c r="H7267" s="24">
        <v>54.0</v>
      </c>
      <c r="I7267" s="24">
        <v>0.0</v>
      </c>
      <c r="J7267" s="24">
        <v>0.0</v>
      </c>
      <c r="K7267" s="23" t="s">
        <v>34</v>
      </c>
      <c r="L7267" s="25">
        <v>42928.19521990741</v>
      </c>
      <c r="M7267" s="26" t="s">
        <v>40</v>
      </c>
      <c r="N7267" s="26" t="s">
        <v>2015</v>
      </c>
      <c r="O7267" s="22" t="str">
        <f>HYPERLINK("https://pbs.twimg.com/profile_images/885147188258537472/5LLGDLYs_normal.jpg","View")</f>
        <v>View</v>
      </c>
      <c r="P7267" s="27"/>
    </row>
    <row r="7268">
      <c r="A7268" s="14">
        <v>43031.555231481485</v>
      </c>
      <c r="B7268" s="20" t="str">
        <f>HYPERLINK("https://twitter.com/PsGgopalakrish1","@PsGgopalakrish1")</f>
        <v>@PsGgopalakrish1</v>
      </c>
      <c r="C7268" s="21" t="s">
        <v>16190</v>
      </c>
      <c r="D7268" s="21" t="s">
        <v>42</v>
      </c>
      <c r="E7268" s="22" t="str">
        <f>HYPERLINK("https://twitter.com/PsGgopalakrish1/status/922558126397599744","922558126397599744")</f>
        <v>922558126397599744</v>
      </c>
      <c r="F7268" s="23" t="s">
        <v>33</v>
      </c>
      <c r="G7268" s="24">
        <v>6.0</v>
      </c>
      <c r="H7268" s="24">
        <v>88.0</v>
      </c>
      <c r="I7268" s="24">
        <v>8501.0</v>
      </c>
      <c r="J7268" s="24">
        <v>0.0</v>
      </c>
      <c r="K7268" s="23" t="s">
        <v>34</v>
      </c>
      <c r="L7268" s="25">
        <v>43019.07753472222</v>
      </c>
      <c r="M7268" s="28"/>
      <c r="N7268" s="28"/>
      <c r="O7268" s="22" t="str">
        <f>HYPERLINK("https://abs.twimg.com/sticky/default_profile_images/default_profile_normal.png","View")</f>
        <v>View</v>
      </c>
      <c r="P7268" s="27"/>
    </row>
    <row r="7269">
      <c r="A7269" s="14">
        <v>43031.55605324074</v>
      </c>
      <c r="B7269" s="20" t="str">
        <f>HYPERLINK("https://twitter.com/maryverobeach","@maryverobeach")</f>
        <v>@maryverobeach</v>
      </c>
      <c r="C7269" s="21" t="s">
        <v>14604</v>
      </c>
      <c r="D7269" s="21" t="s">
        <v>15584</v>
      </c>
      <c r="E7269" s="22" t="str">
        <f>HYPERLINK("https://twitter.com/maryverobeach/status/922558423811739648","922558423811739648")</f>
        <v>922558423811739648</v>
      </c>
      <c r="F7269" s="23" t="s">
        <v>39</v>
      </c>
      <c r="G7269" s="24">
        <v>402.0</v>
      </c>
      <c r="H7269" s="24">
        <v>409.0</v>
      </c>
      <c r="I7269" s="24">
        <v>9.0</v>
      </c>
      <c r="J7269" s="24">
        <v>0.0</v>
      </c>
      <c r="K7269" s="23" t="s">
        <v>34</v>
      </c>
      <c r="L7269" s="25">
        <v>42617.62702546296</v>
      </c>
      <c r="M7269" s="26" t="s">
        <v>6241</v>
      </c>
      <c r="N7269" s="28"/>
      <c r="O7269" s="22" t="str">
        <f>HYPERLINK("https://pbs.twimg.com/profile_images/772570726394109952/Ir1ncuL4_normal.jpg","View")</f>
        <v>View</v>
      </c>
      <c r="P7269" s="27"/>
    </row>
    <row r="7270">
      <c r="A7270" s="14">
        <v>43031.55637731482</v>
      </c>
      <c r="B7270" s="20" t="str">
        <f>HYPERLINK("https://twitter.com/aparnitam","@aparnitam")</f>
        <v>@aparnitam</v>
      </c>
      <c r="C7270" s="21" t="s">
        <v>16191</v>
      </c>
      <c r="D7270" s="21" t="s">
        <v>42</v>
      </c>
      <c r="E7270" s="22" t="str">
        <f>HYPERLINK("https://twitter.com/aparnitam/status/922558543420588033","922558543420588033")</f>
        <v>922558543420588033</v>
      </c>
      <c r="F7270" s="23" t="s">
        <v>33</v>
      </c>
      <c r="G7270" s="24">
        <v>9640.0</v>
      </c>
      <c r="H7270" s="24">
        <v>186.0</v>
      </c>
      <c r="I7270" s="24">
        <v>8501.0</v>
      </c>
      <c r="J7270" s="24">
        <v>0.0</v>
      </c>
      <c r="K7270" s="23" t="s">
        <v>34</v>
      </c>
      <c r="L7270" s="25">
        <v>40862.89324074074</v>
      </c>
      <c r="M7270" s="35" t="s">
        <v>16192</v>
      </c>
      <c r="N7270" s="26" t="s">
        <v>16193</v>
      </c>
      <c r="O7270" s="22" t="str">
        <f>HYPERLINK("https://pbs.twimg.com/profile_images/899454045395353600/l8yWf7MN_normal.jpg","View")</f>
        <v>View</v>
      </c>
      <c r="P7270" s="27"/>
    </row>
    <row r="7271">
      <c r="A7271" s="14">
        <v>43031.5565162037</v>
      </c>
      <c r="B7271" s="20" t="str">
        <f>HYPERLINK("https://twitter.com/PineBridge","@PineBridge")</f>
        <v>@PineBridge</v>
      </c>
      <c r="C7271" s="21" t="s">
        <v>16194</v>
      </c>
      <c r="D7271" s="21" t="s">
        <v>16195</v>
      </c>
      <c r="E7271" s="22" t="str">
        <f>HYPERLINK("https://twitter.com/PineBridge/status/922558592921800707","922558592921800707")</f>
        <v>922558592921800707</v>
      </c>
      <c r="F7271" s="23" t="s">
        <v>427</v>
      </c>
      <c r="G7271" s="24">
        <v>1228.0</v>
      </c>
      <c r="H7271" s="24">
        <v>221.0</v>
      </c>
      <c r="I7271" s="24">
        <v>0.0</v>
      </c>
      <c r="J7271" s="24">
        <v>0.0</v>
      </c>
      <c r="K7271" s="23" t="s">
        <v>34</v>
      </c>
      <c r="L7271" s="25">
        <v>40081.54032407407</v>
      </c>
      <c r="M7271" s="26" t="s">
        <v>2068</v>
      </c>
      <c r="N7271" s="26" t="s">
        <v>16196</v>
      </c>
      <c r="O7271" s="22" t="str">
        <f>HYPERLINK("https://pbs.twimg.com/profile_images/1224631922/PineBridge-TwitterIcon2_normal.jpg","View")</f>
        <v>View</v>
      </c>
      <c r="P7271" s="27"/>
    </row>
    <row r="7272">
      <c r="A7272" s="14">
        <v>43031.556597222225</v>
      </c>
      <c r="B7272" s="20" t="str">
        <f>HYPERLINK("https://twitter.com/AndreaAquaro","@AndreaAquaro")</f>
        <v>@AndreaAquaro</v>
      </c>
      <c r="C7272" s="21" t="s">
        <v>16197</v>
      </c>
      <c r="D7272" s="21" t="s">
        <v>8505</v>
      </c>
      <c r="E7272" s="22" t="str">
        <f>HYPERLINK("https://twitter.com/AndreaAquaro/status/922558620327469056","922558620327469056")</f>
        <v>922558620327469056</v>
      </c>
      <c r="F7272" s="23" t="s">
        <v>39</v>
      </c>
      <c r="G7272" s="24">
        <v>5962.0</v>
      </c>
      <c r="H7272" s="24">
        <v>596.0</v>
      </c>
      <c r="I7272" s="24">
        <v>22.0</v>
      </c>
      <c r="J7272" s="24">
        <v>0.0</v>
      </c>
      <c r="K7272" s="23" t="s">
        <v>34</v>
      </c>
      <c r="L7272" s="25">
        <v>40550.46497685185</v>
      </c>
      <c r="M7272" s="26" t="s">
        <v>40</v>
      </c>
      <c r="N7272" s="26" t="s">
        <v>16198</v>
      </c>
      <c r="O7272" s="22" t="str">
        <f>HYPERLINK("https://pbs.twimg.com/profile_images/670897079439486976/YLn5EZ5F_normal.jpg","View")</f>
        <v>View</v>
      </c>
      <c r="P7272" s="27"/>
    </row>
    <row r="7273">
      <c r="A7273" s="14">
        <v>43031.55732638889</v>
      </c>
      <c r="B7273" s="20" t="str">
        <f>HYPERLINK("https://twitter.com/g_mccray","@g_mccray")</f>
        <v>@g_mccray</v>
      </c>
      <c r="C7273" s="21" t="s">
        <v>16199</v>
      </c>
      <c r="D7273" s="21" t="s">
        <v>16200</v>
      </c>
      <c r="E7273" s="22" t="str">
        <f>HYPERLINK("https://twitter.com/g_mccray/status/922558886015651847","922558886015651847")</f>
        <v>922558886015651847</v>
      </c>
      <c r="F7273" s="23" t="s">
        <v>39</v>
      </c>
      <c r="G7273" s="24">
        <v>9309.0</v>
      </c>
      <c r="H7273" s="24">
        <v>8116.0</v>
      </c>
      <c r="I7273" s="24">
        <v>0.0</v>
      </c>
      <c r="J7273" s="24">
        <v>0.0</v>
      </c>
      <c r="K7273" s="23" t="s">
        <v>34</v>
      </c>
      <c r="L7273" s="25">
        <v>40328.50923611111</v>
      </c>
      <c r="M7273" s="28"/>
      <c r="N7273" s="26" t="s">
        <v>16201</v>
      </c>
      <c r="O7273" s="22" t="str">
        <f>HYPERLINK("https://pbs.twimg.com/profile_images/677948011905855490/qn5XECYM_normal.png","View")</f>
        <v>View</v>
      </c>
      <c r="P7273" s="27"/>
    </row>
    <row r="7274">
      <c r="A7274" s="14">
        <v>43031.5580787037</v>
      </c>
      <c r="B7274" s="20" t="str">
        <f>HYPERLINK("https://twitter.com/neuro_words","@neuro_words")</f>
        <v>@neuro_words</v>
      </c>
      <c r="C7274" s="21" t="s">
        <v>16202</v>
      </c>
      <c r="D7274" s="21" t="s">
        <v>32</v>
      </c>
      <c r="E7274" s="22" t="str">
        <f>HYPERLINK("https://twitter.com/neuro_words/status/922559158020341761","922559158020341761")</f>
        <v>922559158020341761</v>
      </c>
      <c r="F7274" s="23" t="s">
        <v>33</v>
      </c>
      <c r="G7274" s="24">
        <v>6970.0</v>
      </c>
      <c r="H7274" s="24">
        <v>2879.0</v>
      </c>
      <c r="I7274" s="24">
        <v>471.0</v>
      </c>
      <c r="J7274" s="24">
        <v>0.0</v>
      </c>
      <c r="K7274" s="23" t="s">
        <v>34</v>
      </c>
      <c r="L7274" s="25">
        <v>41688.128171296295</v>
      </c>
      <c r="M7274" s="26" t="s">
        <v>16203</v>
      </c>
      <c r="N7274" s="26" t="s">
        <v>16204</v>
      </c>
      <c r="O7274" s="22" t="str">
        <f>HYPERLINK("https://pbs.twimg.com/profile_images/766321759893192704/McpZpI72_normal.jpg","View")</f>
        <v>View</v>
      </c>
      <c r="P7274" s="27"/>
    </row>
    <row r="7275">
      <c r="A7275" s="14">
        <v>43031.558217592596</v>
      </c>
      <c r="B7275" s="20" t="str">
        <f>HYPERLINK("https://twitter.com/AjayRaj00","@AjayRaj00")</f>
        <v>@AjayRaj00</v>
      </c>
      <c r="C7275" s="21" t="s">
        <v>16205</v>
      </c>
      <c r="D7275" s="21" t="s">
        <v>42</v>
      </c>
      <c r="E7275" s="22" t="str">
        <f>HYPERLINK("https://twitter.com/AjayRaj00/status/922559209069146114","922559209069146114")</f>
        <v>922559209069146114</v>
      </c>
      <c r="F7275" s="23" t="s">
        <v>33</v>
      </c>
      <c r="G7275" s="24">
        <v>261.0</v>
      </c>
      <c r="H7275" s="24">
        <v>715.0</v>
      </c>
      <c r="I7275" s="24">
        <v>8501.0</v>
      </c>
      <c r="J7275" s="24">
        <v>0.0</v>
      </c>
      <c r="K7275" s="23" t="s">
        <v>34</v>
      </c>
      <c r="L7275" s="25">
        <v>41695.24966435185</v>
      </c>
      <c r="M7275" s="28"/>
      <c r="N7275" s="26" t="s">
        <v>16206</v>
      </c>
      <c r="O7275" s="22" t="str">
        <f>HYPERLINK("https://pbs.twimg.com/profile_images/698754441575403520/PKz4cM_P_normal.jpg","View")</f>
        <v>View</v>
      </c>
      <c r="P7275" s="27"/>
    </row>
    <row r="7276">
      <c r="A7276" s="14">
        <v>43031.55825231482</v>
      </c>
      <c r="B7276" s="20" t="str">
        <f>HYPERLINK("https://twitter.com/TheEconomist","@TheEconomist")</f>
        <v>@TheEconomist</v>
      </c>
      <c r="C7276" s="21" t="s">
        <v>14733</v>
      </c>
      <c r="D7276" s="21" t="s">
        <v>16207</v>
      </c>
      <c r="E7276" s="22" t="str">
        <f>HYPERLINK("https://twitter.com/TheEconomist/status/922559221438304256","922559221438304256")</f>
        <v>922559221438304256</v>
      </c>
      <c r="F7276" s="23" t="s">
        <v>1103</v>
      </c>
      <c r="G7276" s="24">
        <v>2.2229464E7</v>
      </c>
      <c r="H7276" s="24">
        <v>157.0</v>
      </c>
      <c r="I7276" s="24">
        <v>41.0</v>
      </c>
      <c r="J7276" s="24">
        <v>82.0</v>
      </c>
      <c r="K7276" s="23" t="s">
        <v>34</v>
      </c>
      <c r="L7276" s="25">
        <v>39214.25335648148</v>
      </c>
      <c r="M7276" s="26" t="s">
        <v>334</v>
      </c>
      <c r="N7276" s="26" t="s">
        <v>14735</v>
      </c>
      <c r="O7276" s="22" t="str">
        <f>HYPERLINK("https://pbs.twimg.com/profile_images/879361767914262528/HdRauDM-_normal.jpg","View")</f>
        <v>View</v>
      </c>
      <c r="P7276" s="27"/>
    </row>
    <row r="7277">
      <c r="A7277" s="14">
        <v>43031.5584375</v>
      </c>
      <c r="B7277" s="20" t="str">
        <f>HYPERLINK("https://twitter.com/deduped_economi","@deduped_economi")</f>
        <v>@deduped_economi</v>
      </c>
      <c r="C7277" s="21" t="s">
        <v>14751</v>
      </c>
      <c r="D7277" s="21" t="s">
        <v>16208</v>
      </c>
      <c r="E7277" s="22" t="str">
        <f>HYPERLINK("https://twitter.com/deduped_economi/status/922559289151053824","922559289151053824")</f>
        <v>922559289151053824</v>
      </c>
      <c r="F7277" s="23" t="s">
        <v>14752</v>
      </c>
      <c r="G7277" s="24">
        <v>166.0</v>
      </c>
      <c r="H7277" s="24">
        <v>0.0</v>
      </c>
      <c r="I7277" s="24">
        <v>41.0</v>
      </c>
      <c r="J7277" s="24">
        <v>0.0</v>
      </c>
      <c r="K7277" s="23" t="s">
        <v>34</v>
      </c>
      <c r="L7277" s="25">
        <v>42228.569247685184</v>
      </c>
      <c r="M7277" s="28"/>
      <c r="N7277" s="28"/>
      <c r="O7277" s="22" t="str">
        <f>HYPERLINK("https://abs.twimg.com/sticky/default_profile_images/default_profile_normal.png","View")</f>
        <v>View</v>
      </c>
      <c r="P7277" s="27"/>
    </row>
    <row r="7278">
      <c r="A7278" s="14">
        <v>43031.558483796296</v>
      </c>
      <c r="B7278" s="20" t="str">
        <f>HYPERLINK("https://twitter.com/Essay_Lords","@Essay_Lords")</f>
        <v>@Essay_Lords</v>
      </c>
      <c r="C7278" s="21" t="s">
        <v>773</v>
      </c>
      <c r="D7278" s="21" t="s">
        <v>16209</v>
      </c>
      <c r="E7278" s="22" t="str">
        <f>HYPERLINK("https://twitter.com/Essay_Lords/status/922559306502983680","922559306502983680")</f>
        <v>922559306502983680</v>
      </c>
      <c r="F7278" s="23" t="s">
        <v>187</v>
      </c>
      <c r="G7278" s="24">
        <v>4311.0</v>
      </c>
      <c r="H7278" s="24">
        <v>3617.0</v>
      </c>
      <c r="I7278" s="24">
        <v>0.0</v>
      </c>
      <c r="J7278" s="24">
        <v>0.0</v>
      </c>
      <c r="K7278" s="23" t="s">
        <v>34</v>
      </c>
      <c r="L7278" s="25">
        <v>41982.42165509259</v>
      </c>
      <c r="M7278" s="26" t="s">
        <v>567</v>
      </c>
      <c r="N7278" s="26" t="s">
        <v>775</v>
      </c>
      <c r="O7278" s="22" t="str">
        <f>HYPERLINK("https://pbs.twimg.com/profile_images/722066414362894336/kHUvL0fA_normal.jpg","View")</f>
        <v>View</v>
      </c>
      <c r="P7278" s="27"/>
    </row>
    <row r="7279">
      <c r="A7279" s="14">
        <v>43031.558692129634</v>
      </c>
      <c r="B7279" s="20" t="str">
        <f>HYPERLINK("https://twitter.com/legend_bird","@legend_bird")</f>
        <v>@legend_bird</v>
      </c>
      <c r="C7279" s="21" t="s">
        <v>16210</v>
      </c>
      <c r="D7279" s="21" t="s">
        <v>2313</v>
      </c>
      <c r="E7279" s="22" t="str">
        <f>HYPERLINK("https://twitter.com/legend_bird/status/922559380976889863","922559380976889863")</f>
        <v>922559380976889863</v>
      </c>
      <c r="F7279" s="23" t="s">
        <v>55</v>
      </c>
      <c r="G7279" s="24">
        <v>133.0</v>
      </c>
      <c r="H7279" s="24">
        <v>1205.0</v>
      </c>
      <c r="I7279" s="24">
        <v>10.0</v>
      </c>
      <c r="J7279" s="24">
        <v>0.0</v>
      </c>
      <c r="K7279" s="23" t="s">
        <v>34</v>
      </c>
      <c r="L7279" s="25">
        <v>41624.05410879629</v>
      </c>
      <c r="M7279" s="26" t="s">
        <v>68</v>
      </c>
      <c r="N7279" s="26" t="s">
        <v>16211</v>
      </c>
      <c r="O7279" s="22" t="str">
        <f>HYPERLINK("https://pbs.twimg.com/profile_images/921128860522917888/Cy3_k3ug_normal.jpg","View")</f>
        <v>View</v>
      </c>
      <c r="P7279" s="27"/>
    </row>
    <row r="7280">
      <c r="A7280" s="14">
        <v>43031.55878472222</v>
      </c>
      <c r="B7280" s="20" t="str">
        <f>HYPERLINK("https://twitter.com/SocialControl","@SocialControl")</f>
        <v>@SocialControl</v>
      </c>
      <c r="C7280" s="21" t="s">
        <v>16212</v>
      </c>
      <c r="D7280" s="21" t="s">
        <v>10049</v>
      </c>
      <c r="E7280" s="22" t="str">
        <f>HYPERLINK("https://twitter.com/SocialControl/status/922559416687194112","922559416687194112")</f>
        <v>922559416687194112</v>
      </c>
      <c r="F7280" s="23" t="s">
        <v>635</v>
      </c>
      <c r="G7280" s="24">
        <v>2681.0</v>
      </c>
      <c r="H7280" s="24">
        <v>4684.0</v>
      </c>
      <c r="I7280" s="24">
        <v>4.0</v>
      </c>
      <c r="J7280" s="24">
        <v>0.0</v>
      </c>
      <c r="K7280" s="23" t="s">
        <v>34</v>
      </c>
      <c r="L7280" s="25">
        <v>39845.34454861111</v>
      </c>
      <c r="M7280" s="26" t="s">
        <v>16213</v>
      </c>
      <c r="N7280" s="26" t="s">
        <v>16214</v>
      </c>
      <c r="O7280" s="22" t="str">
        <f>HYPERLINK("https://pbs.twimg.com/profile_images/829226346022895618/gPMzxDog_normal.jpg","View")</f>
        <v>View</v>
      </c>
      <c r="P7280" s="27"/>
    </row>
    <row r="7281">
      <c r="A7281" s="14">
        <v>43031.55880787037</v>
      </c>
      <c r="B7281" s="20" t="str">
        <f>HYPERLINK("https://twitter.com/nyovest_bishoo","@nyovest_bishoo")</f>
        <v>@nyovest_bishoo</v>
      </c>
      <c r="C7281" s="21" t="s">
        <v>16215</v>
      </c>
      <c r="D7281" s="21" t="s">
        <v>16208</v>
      </c>
      <c r="E7281" s="22" t="str">
        <f>HYPERLINK("https://twitter.com/nyovest_bishoo/status/922559423435829249","922559423435829249")</f>
        <v>922559423435829249</v>
      </c>
      <c r="F7281" s="23" t="s">
        <v>33</v>
      </c>
      <c r="G7281" s="24">
        <v>143.0</v>
      </c>
      <c r="H7281" s="24">
        <v>712.0</v>
      </c>
      <c r="I7281" s="24">
        <v>41.0</v>
      </c>
      <c r="J7281" s="24">
        <v>0.0</v>
      </c>
      <c r="K7281" s="23" t="s">
        <v>34</v>
      </c>
      <c r="L7281" s="25">
        <v>42856.39399305556</v>
      </c>
      <c r="M7281" s="26" t="s">
        <v>16216</v>
      </c>
      <c r="N7281" s="26" t="s">
        <v>16217</v>
      </c>
      <c r="O7281" s="22" t="str">
        <f>HYPERLINK("https://pbs.twimg.com/profile_images/920148358664196096/S3TPQyr-_normal.jpg","View")</f>
        <v>View</v>
      </c>
      <c r="P7281" s="27"/>
    </row>
    <row r="7282">
      <c r="A7282" s="14">
        <v>43031.558842592596</v>
      </c>
      <c r="B7282" s="20" t="str">
        <f>HYPERLINK("https://twitter.com/MuliMench","@MuliMench")</f>
        <v>@MuliMench</v>
      </c>
      <c r="C7282" s="21" t="s">
        <v>16218</v>
      </c>
      <c r="D7282" s="21" t="s">
        <v>32</v>
      </c>
      <c r="E7282" s="22" t="str">
        <f>HYPERLINK("https://twitter.com/MuliMench/status/922559433883791360","922559433883791360")</f>
        <v>922559433883791360</v>
      </c>
      <c r="F7282" s="23" t="s">
        <v>33</v>
      </c>
      <c r="G7282" s="24">
        <v>459.0</v>
      </c>
      <c r="H7282" s="24">
        <v>691.0</v>
      </c>
      <c r="I7282" s="24">
        <v>471.0</v>
      </c>
      <c r="J7282" s="24">
        <v>0.0</v>
      </c>
      <c r="K7282" s="23" t="s">
        <v>34</v>
      </c>
      <c r="L7282" s="25">
        <v>41808.648877314816</v>
      </c>
      <c r="M7282" s="26" t="s">
        <v>6461</v>
      </c>
      <c r="N7282" s="26" t="s">
        <v>16219</v>
      </c>
      <c r="O7282" s="22" t="str">
        <f>HYPERLINK("https://pbs.twimg.com/profile_images/660071373579100160/aneDO-pn_normal.jpg","View")</f>
        <v>View</v>
      </c>
      <c r="P7282" s="27"/>
    </row>
    <row r="7283">
      <c r="A7283" s="14">
        <v>43031.55890046296</v>
      </c>
      <c r="B7283" s="20" t="str">
        <f>HYPERLINK("https://twitter.com/G_Jakubowski","@G_Jakubowski")</f>
        <v>@G_Jakubowski</v>
      </c>
      <c r="C7283" s="21" t="s">
        <v>16220</v>
      </c>
      <c r="D7283" s="21" t="s">
        <v>16208</v>
      </c>
      <c r="E7283" s="22" t="str">
        <f>HYPERLINK("https://twitter.com/G_Jakubowski/status/922559455723696129","922559455723696129")</f>
        <v>922559455723696129</v>
      </c>
      <c r="F7283" s="23" t="s">
        <v>2119</v>
      </c>
      <c r="G7283" s="24">
        <v>3452.0</v>
      </c>
      <c r="H7283" s="24">
        <v>660.0</v>
      </c>
      <c r="I7283" s="24">
        <v>41.0</v>
      </c>
      <c r="J7283" s="24">
        <v>0.0</v>
      </c>
      <c r="K7283" s="23" t="s">
        <v>34</v>
      </c>
      <c r="L7283" s="25">
        <v>41324.75605324074</v>
      </c>
      <c r="M7283" s="26" t="s">
        <v>16221</v>
      </c>
      <c r="N7283" s="26" t="s">
        <v>16222</v>
      </c>
      <c r="O7283" s="22" t="str">
        <f>HYPERLINK("https://pbs.twimg.com/profile_images/902807159385219072/x_9Wg6Ac_normal.jpg","View")</f>
        <v>View</v>
      </c>
      <c r="P7283" s="27"/>
    </row>
    <row r="7284">
      <c r="A7284" s="14">
        <v>43031.5591087963</v>
      </c>
      <c r="B7284" s="20" t="str">
        <f>HYPERLINK("https://twitter.com/InvestingLatest","@InvestingLatest")</f>
        <v>@InvestingLatest</v>
      </c>
      <c r="C7284" s="21" t="s">
        <v>3758</v>
      </c>
      <c r="D7284" s="21" t="s">
        <v>16223</v>
      </c>
      <c r="E7284" s="22" t="str">
        <f>HYPERLINK("https://twitter.com/InvestingLatest/status/922559532156383241","922559532156383241")</f>
        <v>922559532156383241</v>
      </c>
      <c r="F7284" s="23" t="s">
        <v>187</v>
      </c>
      <c r="G7284" s="24">
        <v>1534.0</v>
      </c>
      <c r="H7284" s="24">
        <v>33.0</v>
      </c>
      <c r="I7284" s="24">
        <v>0.0</v>
      </c>
      <c r="J7284" s="24">
        <v>0.0</v>
      </c>
      <c r="K7284" s="23" t="s">
        <v>34</v>
      </c>
      <c r="L7284" s="25">
        <v>41946.3308912037</v>
      </c>
      <c r="M7284" s="28"/>
      <c r="N7284" s="26" t="s">
        <v>3760</v>
      </c>
      <c r="O7284" s="22" t="str">
        <f>HYPERLINK("https://pbs.twimg.com/profile_images/529461684297945089/uscUz0UO_normal.jpeg","View")</f>
        <v>View</v>
      </c>
      <c r="P7284" s="27"/>
    </row>
    <row r="7285">
      <c r="A7285" s="14">
        <v>43031.5591087963</v>
      </c>
      <c r="B7285" s="20" t="str">
        <f>HYPERLINK("https://twitter.com/the__himanish","@the__himanish")</f>
        <v>@the__himanish</v>
      </c>
      <c r="C7285" s="21" t="s">
        <v>2612</v>
      </c>
      <c r="D7285" s="21" t="s">
        <v>16224</v>
      </c>
      <c r="E7285" s="22" t="str">
        <f>HYPERLINK("https://twitter.com/the__himanish/status/922559533829931008","922559533829931008")</f>
        <v>922559533829931008</v>
      </c>
      <c r="F7285" s="23" t="s">
        <v>187</v>
      </c>
      <c r="G7285" s="24">
        <v>1822.0</v>
      </c>
      <c r="H7285" s="24">
        <v>1621.0</v>
      </c>
      <c r="I7285" s="24">
        <v>0.0</v>
      </c>
      <c r="J7285" s="24">
        <v>0.0</v>
      </c>
      <c r="K7285" s="23" t="s">
        <v>34</v>
      </c>
      <c r="L7285" s="25">
        <v>40222.15178240741</v>
      </c>
      <c r="M7285" s="26" t="s">
        <v>96</v>
      </c>
      <c r="N7285" s="26" t="s">
        <v>2614</v>
      </c>
      <c r="O7285" s="22" t="str">
        <f>HYPERLINK("https://pbs.twimg.com/profile_images/914165533918015489/A6iR_gz2_normal.jpg","View")</f>
        <v>View</v>
      </c>
      <c r="P7285" s="27"/>
    </row>
    <row r="7286">
      <c r="A7286" s="14">
        <v>43031.559120370366</v>
      </c>
      <c r="B7286" s="20" t="str">
        <f>HYPERLINK("https://twitter.com/NBRnews","@NBRnews")</f>
        <v>@NBRnews</v>
      </c>
      <c r="C7286" s="21" t="s">
        <v>16225</v>
      </c>
      <c r="D7286" s="21" t="s">
        <v>16226</v>
      </c>
      <c r="E7286" s="22" t="str">
        <f>HYPERLINK("https://twitter.com/NBRnews/status/922559536287961088","922559536287961088")</f>
        <v>922559536287961088</v>
      </c>
      <c r="F7286" s="23" t="s">
        <v>427</v>
      </c>
      <c r="G7286" s="24">
        <v>7995.0</v>
      </c>
      <c r="H7286" s="24">
        <v>5778.0</v>
      </c>
      <c r="I7286" s="24">
        <v>0.0</v>
      </c>
      <c r="J7286" s="24">
        <v>1.0</v>
      </c>
      <c r="K7286" s="23" t="s">
        <v>34</v>
      </c>
      <c r="L7286" s="25">
        <v>40042.588958333334</v>
      </c>
      <c r="M7286" s="26" t="s">
        <v>16227</v>
      </c>
      <c r="N7286" s="26" t="s">
        <v>16228</v>
      </c>
      <c r="O7286" s="22" t="str">
        <f>HYPERLINK("https://pbs.twimg.com/profile_images/505120778442911744/HfY8pf21_normal.jpeg","View")</f>
        <v>View</v>
      </c>
      <c r="P7286" s="27"/>
    </row>
    <row r="7287">
      <c r="A7287" s="14">
        <v>43031.559386574074</v>
      </c>
      <c r="B7287" s="20" t="str">
        <f>HYPERLINK("https://twitter.com/wild__hunt","@wild__hunt")</f>
        <v>@wild__hunt</v>
      </c>
      <c r="C7287" s="21" t="s">
        <v>16229</v>
      </c>
      <c r="D7287" s="21" t="s">
        <v>16208</v>
      </c>
      <c r="E7287" s="22" t="str">
        <f>HYPERLINK("https://twitter.com/wild__hunt/status/922559632257642503","922559632257642503")</f>
        <v>922559632257642503</v>
      </c>
      <c r="F7287" s="23" t="s">
        <v>39</v>
      </c>
      <c r="G7287" s="24">
        <v>318.0</v>
      </c>
      <c r="H7287" s="24">
        <v>89.0</v>
      </c>
      <c r="I7287" s="24">
        <v>41.0</v>
      </c>
      <c r="J7287" s="24">
        <v>0.0</v>
      </c>
      <c r="K7287" s="23" t="s">
        <v>34</v>
      </c>
      <c r="L7287" s="25">
        <v>42883.065775462965</v>
      </c>
      <c r="M7287" s="26" t="s">
        <v>1224</v>
      </c>
      <c r="N7287" s="26" t="s">
        <v>16230</v>
      </c>
      <c r="O7287" s="22" t="str">
        <f>HYPERLINK("https://pbs.twimg.com/profile_images/922719867471511552/lhE-x-6x_normal.jpg","View")</f>
        <v>View</v>
      </c>
      <c r="P7287" s="27"/>
    </row>
    <row r="7288">
      <c r="A7288" s="14">
        <v>43031.559386574074</v>
      </c>
      <c r="B7288" s="20" t="str">
        <f>HYPERLINK("https://twitter.com/kasworld_usa","@kasworld_usa")</f>
        <v>@kasworld_usa</v>
      </c>
      <c r="C7288" s="21" t="s">
        <v>12621</v>
      </c>
      <c r="D7288" s="21" t="s">
        <v>16231</v>
      </c>
      <c r="E7288" s="22" t="str">
        <f>HYPERLINK("https://twitter.com/kasworld_usa/status/922559633893535746","922559633893535746")</f>
        <v>922559633893535746</v>
      </c>
      <c r="F7288" s="23" t="s">
        <v>187</v>
      </c>
      <c r="G7288" s="24">
        <v>5.0</v>
      </c>
      <c r="H7288" s="24">
        <v>0.0</v>
      </c>
      <c r="I7288" s="24">
        <v>0.0</v>
      </c>
      <c r="J7288" s="24">
        <v>0.0</v>
      </c>
      <c r="K7288" s="23" t="s">
        <v>34</v>
      </c>
      <c r="L7288" s="25">
        <v>43001.21859953704</v>
      </c>
      <c r="M7288" s="26" t="s">
        <v>9608</v>
      </c>
      <c r="N7288" s="26" t="s">
        <v>12623</v>
      </c>
      <c r="O7288" s="22" t="str">
        <f>HYPERLINK("https://pbs.twimg.com/profile_images/921365590719074305/DkuJU8qU_normal.jpg","View")</f>
        <v>View</v>
      </c>
      <c r="P7288" s="27"/>
    </row>
    <row r="7289">
      <c r="A7289" s="14">
        <v>43031.559432870374</v>
      </c>
      <c r="B7289" s="20" t="str">
        <f>HYPERLINK("https://twitter.com/Anderson_Mdwayi","@Anderson_Mdwayi")</f>
        <v>@Anderson_Mdwayi</v>
      </c>
      <c r="C7289" s="21" t="s">
        <v>16232</v>
      </c>
      <c r="D7289" s="21" t="s">
        <v>16208</v>
      </c>
      <c r="E7289" s="22" t="str">
        <f>HYPERLINK("https://twitter.com/Anderson_Mdwayi/status/922559648720285697","922559648720285697")</f>
        <v>922559648720285697</v>
      </c>
      <c r="F7289" s="23" t="s">
        <v>33</v>
      </c>
      <c r="G7289" s="24">
        <v>90.0</v>
      </c>
      <c r="H7289" s="24">
        <v>326.0</v>
      </c>
      <c r="I7289" s="24">
        <v>41.0</v>
      </c>
      <c r="J7289" s="24">
        <v>0.0</v>
      </c>
      <c r="K7289" s="23" t="s">
        <v>34</v>
      </c>
      <c r="L7289" s="25">
        <v>42772.109247685185</v>
      </c>
      <c r="M7289" s="26" t="s">
        <v>16233</v>
      </c>
      <c r="N7289" s="26" t="s">
        <v>16234</v>
      </c>
      <c r="O7289" s="22" t="str">
        <f>HYPERLINK("https://pbs.twimg.com/profile_images/843365805026951169/WtCML2c6_normal.jpg","View")</f>
        <v>View</v>
      </c>
      <c r="P7289" s="27"/>
    </row>
    <row r="7290">
      <c r="A7290" s="14">
        <v>43031.559432870374</v>
      </c>
      <c r="B7290" s="20" t="str">
        <f>HYPERLINK("https://twitter.com/CEADE3","@CEADE3")</f>
        <v>@CEADE3</v>
      </c>
      <c r="C7290" s="21" t="s">
        <v>16235</v>
      </c>
      <c r="D7290" s="21" t="s">
        <v>16236</v>
      </c>
      <c r="E7290" s="22" t="str">
        <f>HYPERLINK("https://twitter.com/CEADE3/status/922559650381275136","922559650381275136")</f>
        <v>922559650381275136</v>
      </c>
      <c r="F7290" s="23" t="s">
        <v>1570</v>
      </c>
      <c r="G7290" s="24">
        <v>137.0</v>
      </c>
      <c r="H7290" s="24">
        <v>410.0</v>
      </c>
      <c r="I7290" s="24">
        <v>0.0</v>
      </c>
      <c r="J7290" s="24">
        <v>0.0</v>
      </c>
      <c r="K7290" s="23" t="s">
        <v>34</v>
      </c>
      <c r="L7290" s="25">
        <v>40792.68423611111</v>
      </c>
      <c r="M7290" s="26" t="s">
        <v>16237</v>
      </c>
      <c r="N7290" s="26" t="s">
        <v>16238</v>
      </c>
      <c r="O7290" s="22" t="str">
        <f>HYPERLINK("https://pbs.twimg.com/profile_images/1532123887/Imagen1_normal.gif","View")</f>
        <v>View</v>
      </c>
      <c r="P7290" s="27"/>
    </row>
    <row r="7291">
      <c r="A7291" s="14">
        <v>43031.559490740736</v>
      </c>
      <c r="B7291" s="20" t="str">
        <f>HYPERLINK("https://twitter.com/exhiliaration","@exhiliaration")</f>
        <v>@exhiliaration</v>
      </c>
      <c r="C7291" s="21" t="s">
        <v>16239</v>
      </c>
      <c r="D7291" s="21" t="s">
        <v>42</v>
      </c>
      <c r="E7291" s="22" t="str">
        <f>HYPERLINK("https://twitter.com/exhiliaration/status/922559669754720257","922559669754720257")</f>
        <v>922559669754720257</v>
      </c>
      <c r="F7291" s="23" t="s">
        <v>39</v>
      </c>
      <c r="G7291" s="24">
        <v>30.0</v>
      </c>
      <c r="H7291" s="24">
        <v>204.0</v>
      </c>
      <c r="I7291" s="24">
        <v>8501.0</v>
      </c>
      <c r="J7291" s="24">
        <v>0.0</v>
      </c>
      <c r="K7291" s="23" t="s">
        <v>34</v>
      </c>
      <c r="L7291" s="25">
        <v>42088.123935185184</v>
      </c>
      <c r="M7291" s="28"/>
      <c r="N7291" s="28"/>
      <c r="O7291" s="22" t="str">
        <f>HYPERLINK("https://pbs.twimg.com/profile_images/656732249019121664/_drIckWY_normal.jpg","View")</f>
        <v>View</v>
      </c>
      <c r="P7291" s="27"/>
    </row>
    <row r="7292">
      <c r="A7292" s="14">
        <v>43031.5597337963</v>
      </c>
      <c r="B7292" s="20" t="str">
        <f>HYPERLINK("https://twitter.com/LucaPintavalle","@LucaPintavalle")</f>
        <v>@LucaPintavalle</v>
      </c>
      <c r="C7292" s="21" t="s">
        <v>16240</v>
      </c>
      <c r="D7292" s="21" t="s">
        <v>16208</v>
      </c>
      <c r="E7292" s="22" t="str">
        <f>HYPERLINK("https://twitter.com/LucaPintavalle/status/922559759781261312","922559759781261312")</f>
        <v>922559759781261312</v>
      </c>
      <c r="F7292" s="23" t="s">
        <v>39</v>
      </c>
      <c r="G7292" s="24">
        <v>625.0</v>
      </c>
      <c r="H7292" s="24">
        <v>1244.0</v>
      </c>
      <c r="I7292" s="24">
        <v>41.0</v>
      </c>
      <c r="J7292" s="24">
        <v>0.0</v>
      </c>
      <c r="K7292" s="23" t="s">
        <v>34</v>
      </c>
      <c r="L7292" s="25">
        <v>40508.427870370375</v>
      </c>
      <c r="M7292" s="26" t="s">
        <v>16241</v>
      </c>
      <c r="N7292" s="26" t="s">
        <v>16242</v>
      </c>
      <c r="O7292" s="22" t="str">
        <f>HYPERLINK("https://pbs.twimg.com/profile_images/648860446854934528/-LG0LXIR_normal.jpg","View")</f>
        <v>View</v>
      </c>
      <c r="P7292" s="27"/>
    </row>
    <row r="7293">
      <c r="A7293" s="14">
        <v>43031.55978009259</v>
      </c>
      <c r="B7293" s="20" t="str">
        <f>HYPERLINK("https://twitter.com/Piechocinski","@Piechocinski")</f>
        <v>@Piechocinski</v>
      </c>
      <c r="C7293" s="21" t="s">
        <v>16243</v>
      </c>
      <c r="D7293" s="21" t="s">
        <v>16208</v>
      </c>
      <c r="E7293" s="22" t="str">
        <f>HYPERLINK("https://twitter.com/Piechocinski/status/922559776231444486","922559776231444486")</f>
        <v>922559776231444486</v>
      </c>
      <c r="F7293" s="23" t="s">
        <v>55</v>
      </c>
      <c r="G7293" s="24">
        <v>58149.0</v>
      </c>
      <c r="H7293" s="24">
        <v>656.0</v>
      </c>
      <c r="I7293" s="24">
        <v>41.0</v>
      </c>
      <c r="J7293" s="24">
        <v>0.0</v>
      </c>
      <c r="K7293" s="23" t="s">
        <v>34</v>
      </c>
      <c r="L7293" s="25">
        <v>40718.1955787037</v>
      </c>
      <c r="M7293" s="28"/>
      <c r="N7293" s="26" t="s">
        <v>16244</v>
      </c>
      <c r="O7293" s="22" t="str">
        <f>HYPERLINK("https://pbs.twimg.com/profile_images/873475061700857856/UBow_zRi_normal.jpg","View")</f>
        <v>View</v>
      </c>
      <c r="P7293" s="27"/>
    </row>
    <row r="7294">
      <c r="A7294" s="14">
        <v>43031.55998842593</v>
      </c>
      <c r="B7294" s="20" t="str">
        <f>HYPERLINK("https://twitter.com/yasen_jouhou","@yasen_jouhou")</f>
        <v>@yasen_jouhou</v>
      </c>
      <c r="C7294" s="21" t="s">
        <v>16245</v>
      </c>
      <c r="D7294" s="21" t="s">
        <v>126</v>
      </c>
      <c r="E7294" s="22" t="str">
        <f>HYPERLINK("https://twitter.com/yasen_jouhou/status/922559851179384832","922559851179384832")</f>
        <v>922559851179384832</v>
      </c>
      <c r="F7294" s="23" t="s">
        <v>33</v>
      </c>
      <c r="G7294" s="24">
        <v>110.0</v>
      </c>
      <c r="H7294" s="24">
        <v>117.0</v>
      </c>
      <c r="I7294" s="24">
        <v>62.0</v>
      </c>
      <c r="J7294" s="24">
        <v>0.0</v>
      </c>
      <c r="K7294" s="23" t="s">
        <v>34</v>
      </c>
      <c r="L7294" s="25">
        <v>41879.86707175926</v>
      </c>
      <c r="M7294" s="28"/>
      <c r="N7294" s="28"/>
      <c r="O7294" s="22" t="str">
        <f>HYPERLINK("https://abs.twimg.com/sticky/default_profile_images/default_profile_normal.png","View")</f>
        <v>View</v>
      </c>
      <c r="P7294" s="27"/>
    </row>
    <row r="7295">
      <c r="A7295" s="14">
        <v>43031.56003472222</v>
      </c>
      <c r="B7295" s="20" t="str">
        <f>HYPERLINK("https://twitter.com/rjimenezu","@rjimenezu")</f>
        <v>@rjimenezu</v>
      </c>
      <c r="C7295" s="21" t="s">
        <v>14798</v>
      </c>
      <c r="D7295" s="21" t="s">
        <v>16246</v>
      </c>
      <c r="E7295" s="22" t="str">
        <f>HYPERLINK("https://twitter.com/rjimenezu/status/922559867763806208","922559867763806208")</f>
        <v>922559867763806208</v>
      </c>
      <c r="F7295" s="23" t="s">
        <v>187</v>
      </c>
      <c r="G7295" s="24">
        <v>521.0</v>
      </c>
      <c r="H7295" s="24">
        <v>712.0</v>
      </c>
      <c r="I7295" s="24">
        <v>0.0</v>
      </c>
      <c r="J7295" s="24">
        <v>0.0</v>
      </c>
      <c r="K7295" s="23" t="s">
        <v>34</v>
      </c>
      <c r="L7295" s="25">
        <v>40350.592511574076</v>
      </c>
      <c r="M7295" s="28"/>
      <c r="N7295" s="26" t="s">
        <v>14800</v>
      </c>
      <c r="O7295" s="22" t="str">
        <f>HYPERLINK("https://pbs.twimg.com/profile_images/906645970632417280/gT00Oflk_normal.jpg","View")</f>
        <v>View</v>
      </c>
      <c r="P7295" s="27"/>
    </row>
    <row r="7296">
      <c r="A7296" s="14">
        <v>43031.56039351852</v>
      </c>
      <c r="B7296" s="20" t="str">
        <f>HYPERLINK("https://twitter.com/coreburnflat","@coreburnflat")</f>
        <v>@coreburnflat</v>
      </c>
      <c r="C7296" s="21" t="s">
        <v>13373</v>
      </c>
      <c r="D7296" s="21" t="s">
        <v>16247</v>
      </c>
      <c r="E7296" s="22" t="str">
        <f>HYPERLINK("https://twitter.com/coreburnflat/status/922559997371826176","922559997371826176")</f>
        <v>922559997371826176</v>
      </c>
      <c r="F7296" s="23" t="s">
        <v>91</v>
      </c>
      <c r="G7296" s="24">
        <v>922.0</v>
      </c>
      <c r="H7296" s="24">
        <v>562.0</v>
      </c>
      <c r="I7296" s="24">
        <v>0.0</v>
      </c>
      <c r="J7296" s="24">
        <v>0.0</v>
      </c>
      <c r="K7296" s="23" t="s">
        <v>34</v>
      </c>
      <c r="L7296" s="25">
        <v>40982.479525462964</v>
      </c>
      <c r="M7296" s="28"/>
      <c r="N7296" s="28"/>
      <c r="O7296" s="22" t="str">
        <f>HYPERLINK("https://pbs.twimg.com/profile_images/1898142881/core_normal.jpg","View")</f>
        <v>View</v>
      </c>
      <c r="P7296" s="27"/>
    </row>
    <row r="7297">
      <c r="A7297" s="14">
        <v>43031.56043981481</v>
      </c>
      <c r="B7297" s="20" t="str">
        <f>HYPERLINK("https://twitter.com/jojodiane12345","@jojodiane12345")</f>
        <v>@jojodiane12345</v>
      </c>
      <c r="C7297" s="21" t="s">
        <v>16248</v>
      </c>
      <c r="D7297" s="21" t="s">
        <v>16208</v>
      </c>
      <c r="E7297" s="22" t="str">
        <f>HYPERLINK("https://twitter.com/jojodiane12345/status/922560013347909634","922560013347909634")</f>
        <v>922560013347909634</v>
      </c>
      <c r="F7297" s="23" t="s">
        <v>33</v>
      </c>
      <c r="G7297" s="24">
        <v>323.0</v>
      </c>
      <c r="H7297" s="24">
        <v>872.0</v>
      </c>
      <c r="I7297" s="24">
        <v>41.0</v>
      </c>
      <c r="J7297" s="24">
        <v>0.0</v>
      </c>
      <c r="K7297" s="23" t="s">
        <v>34</v>
      </c>
      <c r="L7297" s="25">
        <v>42730.48708333333</v>
      </c>
      <c r="M7297" s="28"/>
      <c r="N7297" s="28"/>
      <c r="O7297" s="22" t="str">
        <f>HYPERLINK("https://pbs.twimg.com/profile_images/922566435683094528/MNi6nvxQ_normal.jpg","View")</f>
        <v>View</v>
      </c>
      <c r="P7297" s="27"/>
    </row>
    <row r="7298">
      <c r="A7298" s="14">
        <v>43031.560578703706</v>
      </c>
      <c r="B7298" s="20" t="str">
        <f>HYPERLINK("https://twitter.com/AitorLiebana","@AitorLiebana")</f>
        <v>@AitorLiebana</v>
      </c>
      <c r="C7298" s="21" t="s">
        <v>16249</v>
      </c>
      <c r="D7298" s="21" t="s">
        <v>16208</v>
      </c>
      <c r="E7298" s="22" t="str">
        <f>HYPERLINK("https://twitter.com/AitorLiebana/status/922560064455507969","922560064455507969")</f>
        <v>922560064455507969</v>
      </c>
      <c r="F7298" s="23" t="s">
        <v>39</v>
      </c>
      <c r="G7298" s="24">
        <v>33.0</v>
      </c>
      <c r="H7298" s="24">
        <v>152.0</v>
      </c>
      <c r="I7298" s="24">
        <v>41.0</v>
      </c>
      <c r="J7298" s="24">
        <v>0.0</v>
      </c>
      <c r="K7298" s="23" t="s">
        <v>34</v>
      </c>
      <c r="L7298" s="25">
        <v>41189.43392361111</v>
      </c>
      <c r="M7298" s="26" t="s">
        <v>16250</v>
      </c>
      <c r="N7298" s="26" t="s">
        <v>16251</v>
      </c>
      <c r="O7298" s="22" t="str">
        <f>HYPERLINK("https://pbs.twimg.com/profile_images/883758344556744704/D6Aiw99f_normal.jpg","View")</f>
        <v>View</v>
      </c>
      <c r="P7298" s="27"/>
    </row>
    <row r="7299">
      <c r="A7299" s="14">
        <v>43031.560625</v>
      </c>
      <c r="B7299" s="20" t="str">
        <f>HYPERLINK("https://twitter.com/Nataliem125","@Nataliem125")</f>
        <v>@Nataliem125</v>
      </c>
      <c r="C7299" s="21" t="s">
        <v>16252</v>
      </c>
      <c r="D7299" s="21" t="s">
        <v>16208</v>
      </c>
      <c r="E7299" s="22" t="str">
        <f>HYPERLINK("https://twitter.com/Nataliem125/status/922560081832693761","922560081832693761")</f>
        <v>922560081832693761</v>
      </c>
      <c r="F7299" s="23" t="s">
        <v>39</v>
      </c>
      <c r="G7299" s="24">
        <v>269.0</v>
      </c>
      <c r="H7299" s="24">
        <v>306.0</v>
      </c>
      <c r="I7299" s="24">
        <v>41.0</v>
      </c>
      <c r="J7299" s="24">
        <v>0.0</v>
      </c>
      <c r="K7299" s="23" t="s">
        <v>34</v>
      </c>
      <c r="L7299" s="25">
        <v>39907.33525462963</v>
      </c>
      <c r="M7299" s="26" t="s">
        <v>16253</v>
      </c>
      <c r="N7299" s="26" t="s">
        <v>16254</v>
      </c>
      <c r="O7299" s="22" t="str">
        <f>HYPERLINK("https://pbs.twimg.com/profile_images/899315451792158720/ZGbqITgM_normal.jpg","View")</f>
        <v>View</v>
      </c>
      <c r="P7299" s="27"/>
    </row>
    <row r="7300">
      <c r="A7300" s="14">
        <v>43031.56116898148</v>
      </c>
      <c r="B7300" s="20" t="str">
        <f>HYPERLINK("https://twitter.com/mezomefans","@mezomefans")</f>
        <v>@mezomefans</v>
      </c>
      <c r="C7300" s="21" t="s">
        <v>16255</v>
      </c>
      <c r="D7300" s="21" t="s">
        <v>16256</v>
      </c>
      <c r="E7300" s="22" t="str">
        <f>HYPERLINK("https://twitter.com/mezomefans/status/922560277651922945","922560277651922945")</f>
        <v>922560277651922945</v>
      </c>
      <c r="F7300" s="30" t="s">
        <v>411</v>
      </c>
      <c r="G7300" s="24">
        <v>37889.0</v>
      </c>
      <c r="H7300" s="24">
        <v>8.0</v>
      </c>
      <c r="I7300" s="24">
        <v>0.0</v>
      </c>
      <c r="J7300" s="24">
        <v>0.0</v>
      </c>
      <c r="K7300" s="23" t="s">
        <v>34</v>
      </c>
      <c r="L7300" s="25">
        <v>41183.954664351855</v>
      </c>
      <c r="M7300" s="28"/>
      <c r="N7300" s="26" t="s">
        <v>16257</v>
      </c>
      <c r="O7300" s="22" t="str">
        <f>HYPERLINK("https://pbs.twimg.com/profile_images/801788014183809024/VXvD9OBu_normal.jpg","View")</f>
        <v>View</v>
      </c>
      <c r="P7300" s="27"/>
    </row>
    <row r="7301">
      <c r="A7301" s="14">
        <v>43031.56125</v>
      </c>
      <c r="B7301" s="20" t="str">
        <f>HYPERLINK("https://twitter.com/JamesRoy","@JamesRoy")</f>
        <v>@JamesRoy</v>
      </c>
      <c r="C7301" s="21" t="s">
        <v>14836</v>
      </c>
      <c r="D7301" s="21" t="s">
        <v>16258</v>
      </c>
      <c r="E7301" s="22" t="str">
        <f>HYPERLINK("https://twitter.com/JamesRoy/status/922560308404613125","922560308404613125")</f>
        <v>922560308404613125</v>
      </c>
      <c r="F7301" s="23" t="s">
        <v>187</v>
      </c>
      <c r="G7301" s="24">
        <v>14551.0</v>
      </c>
      <c r="H7301" s="24">
        <v>0.0</v>
      </c>
      <c r="I7301" s="24">
        <v>0.0</v>
      </c>
      <c r="J7301" s="24">
        <v>0.0</v>
      </c>
      <c r="K7301" s="23" t="s">
        <v>34</v>
      </c>
      <c r="L7301" s="25">
        <v>39826.25667824074</v>
      </c>
      <c r="M7301" s="26" t="s">
        <v>14838</v>
      </c>
      <c r="N7301" s="26" t="s">
        <v>14839</v>
      </c>
      <c r="O7301" s="22" t="str">
        <f>HYPERLINK("https://pbs.twimg.com/profile_images/638077492847378432/_B521DK6_normal.jpg","View")</f>
        <v>View</v>
      </c>
      <c r="P7301" s="27"/>
    </row>
    <row r="7302">
      <c r="A7302" s="14">
        <v>43031.56129629629</v>
      </c>
      <c r="B7302" s="20" t="str">
        <f>HYPERLINK("https://twitter.com/riju78","@riju78")</f>
        <v>@riju78</v>
      </c>
      <c r="C7302" s="21" t="s">
        <v>16259</v>
      </c>
      <c r="D7302" s="21" t="s">
        <v>42</v>
      </c>
      <c r="E7302" s="22" t="str">
        <f>HYPERLINK("https://twitter.com/riju78/status/922560324531716096","922560324531716096")</f>
        <v>922560324531716096</v>
      </c>
      <c r="F7302" s="23" t="s">
        <v>33</v>
      </c>
      <c r="G7302" s="24">
        <v>257.0</v>
      </c>
      <c r="H7302" s="24">
        <v>623.0</v>
      </c>
      <c r="I7302" s="24">
        <v>8501.0</v>
      </c>
      <c r="J7302" s="24">
        <v>0.0</v>
      </c>
      <c r="K7302" s="23" t="s">
        <v>34</v>
      </c>
      <c r="L7302" s="25">
        <v>40006.38527777778</v>
      </c>
      <c r="M7302" s="26" t="s">
        <v>334</v>
      </c>
      <c r="N7302" s="35" t="s">
        <v>16260</v>
      </c>
      <c r="O7302" s="22" t="str">
        <f>HYPERLINK("https://pbs.twimg.com/profile_images/534735304327196672/gSEw2bhk_normal.jpeg","View")</f>
        <v>View</v>
      </c>
      <c r="P7302" s="27"/>
    </row>
    <row r="7303">
      <c r="A7303" s="14">
        <v>43031.56193287037</v>
      </c>
      <c r="B7303" s="20" t="str">
        <f>HYPERLINK("https://twitter.com/adesaidds","@adesaidds")</f>
        <v>@adesaidds</v>
      </c>
      <c r="C7303" s="21" t="s">
        <v>16261</v>
      </c>
      <c r="D7303" s="21" t="s">
        <v>42</v>
      </c>
      <c r="E7303" s="22" t="str">
        <f>HYPERLINK("https://twitter.com/adesaidds/status/922560554673225728","922560554673225728")</f>
        <v>922560554673225728</v>
      </c>
      <c r="F7303" s="23" t="s">
        <v>39</v>
      </c>
      <c r="G7303" s="24">
        <v>144.0</v>
      </c>
      <c r="H7303" s="24">
        <v>555.0</v>
      </c>
      <c r="I7303" s="24">
        <v>8501.0</v>
      </c>
      <c r="J7303" s="24">
        <v>0.0</v>
      </c>
      <c r="K7303" s="23" t="s">
        <v>34</v>
      </c>
      <c r="L7303" s="25">
        <v>40884.99621527777</v>
      </c>
      <c r="M7303" s="26" t="s">
        <v>16262</v>
      </c>
      <c r="N7303" s="26" t="s">
        <v>16263</v>
      </c>
      <c r="O7303" s="22" t="str">
        <f>HYPERLINK("https://pbs.twimg.com/profile_images/755520594918060032/Y0f3wDor_normal.jpg","View")</f>
        <v>View</v>
      </c>
      <c r="P7303" s="27"/>
    </row>
    <row r="7304">
      <c r="A7304" s="14">
        <v>43031.562002314815</v>
      </c>
      <c r="B7304" s="20" t="str">
        <f>HYPERLINK("https://twitter.com/Sorgitzak","@Sorgitzak")</f>
        <v>@Sorgitzak</v>
      </c>
      <c r="C7304" s="21" t="s">
        <v>1122</v>
      </c>
      <c r="D7304" s="21" t="s">
        <v>16264</v>
      </c>
      <c r="E7304" s="22" t="str">
        <f>HYPERLINK("https://twitter.com/Sorgitzak/status/922560581277597696","922560581277597696")</f>
        <v>922560581277597696</v>
      </c>
      <c r="F7304" s="23" t="s">
        <v>187</v>
      </c>
      <c r="G7304" s="24">
        <v>723.0</v>
      </c>
      <c r="H7304" s="24">
        <v>1309.0</v>
      </c>
      <c r="I7304" s="24">
        <v>0.0</v>
      </c>
      <c r="J7304" s="24">
        <v>0.0</v>
      </c>
      <c r="K7304" s="23" t="s">
        <v>34</v>
      </c>
      <c r="L7304" s="25">
        <v>39990.552152777775</v>
      </c>
      <c r="M7304" s="26" t="s">
        <v>1124</v>
      </c>
      <c r="N7304" s="28"/>
      <c r="O7304" s="22" t="str">
        <f>HYPERLINK("https://pbs.twimg.com/profile_images/284404970/sorgitzak_normal.JPG","View")</f>
        <v>View</v>
      </c>
      <c r="P7304" s="27"/>
    </row>
    <row r="7305">
      <c r="A7305" s="14">
        <v>43031.56201388889</v>
      </c>
      <c r="B7305" s="20" t="str">
        <f>HYPERLINK("https://twitter.com/Trends_Zone","@Trends_Zone")</f>
        <v>@Trends_Zone</v>
      </c>
      <c r="C7305" s="21" t="s">
        <v>16265</v>
      </c>
      <c r="D7305" s="21" t="s">
        <v>16266</v>
      </c>
      <c r="E7305" s="22" t="str">
        <f>HYPERLINK("https://twitter.com/Trends_Zone/status/922560585480335360","922560585480335360")</f>
        <v>922560585480335360</v>
      </c>
      <c r="F7305" s="30" t="s">
        <v>411</v>
      </c>
      <c r="G7305" s="24">
        <v>154.0</v>
      </c>
      <c r="H7305" s="24">
        <v>12.0</v>
      </c>
      <c r="I7305" s="24">
        <v>0.0</v>
      </c>
      <c r="J7305" s="24">
        <v>0.0</v>
      </c>
      <c r="K7305" s="23" t="s">
        <v>34</v>
      </c>
      <c r="L7305" s="25">
        <v>42649.38695601852</v>
      </c>
      <c r="M7305" s="28"/>
      <c r="N7305" s="26" t="s">
        <v>16267</v>
      </c>
      <c r="O7305" s="22" t="str">
        <f>HYPERLINK("https://pbs.twimg.com/profile_images/784068591918481408/OBYAkaTK_normal.jpg","View")</f>
        <v>View</v>
      </c>
      <c r="P7305" s="27"/>
    </row>
    <row r="7306">
      <c r="A7306" s="14">
        <v>43031.56211805556</v>
      </c>
      <c r="B7306" s="20" t="str">
        <f>HYPERLINK("https://twitter.com/NarrendraM","@NarrendraM")</f>
        <v>@NarrendraM</v>
      </c>
      <c r="C7306" s="21" t="s">
        <v>2654</v>
      </c>
      <c r="D7306" s="21" t="s">
        <v>16268</v>
      </c>
      <c r="E7306" s="22" t="str">
        <f>HYPERLINK("https://twitter.com/NarrendraM/status/922560622277152768","922560622277152768")</f>
        <v>922560622277152768</v>
      </c>
      <c r="F7306" s="23" t="s">
        <v>187</v>
      </c>
      <c r="G7306" s="24">
        <v>2003.0</v>
      </c>
      <c r="H7306" s="24">
        <v>252.0</v>
      </c>
      <c r="I7306" s="24">
        <v>0.0</v>
      </c>
      <c r="J7306" s="24">
        <v>0.0</v>
      </c>
      <c r="K7306" s="23" t="s">
        <v>34</v>
      </c>
      <c r="L7306" s="25">
        <v>42471.0737037037</v>
      </c>
      <c r="M7306" s="26" t="s">
        <v>246</v>
      </c>
      <c r="N7306" s="26" t="s">
        <v>2656</v>
      </c>
      <c r="O7306" s="22" t="str">
        <f>HYPERLINK("https://pbs.twimg.com/profile_images/743939643738034176/WkGloI0u_normal.jpg","View")</f>
        <v>View</v>
      </c>
      <c r="P7306" s="27"/>
    </row>
    <row r="7307">
      <c r="A7307" s="14">
        <v>43031.56212962963</v>
      </c>
      <c r="B7307" s="20" t="str">
        <f>HYPERLINK("https://twitter.com/MylesLeroy","@MylesLeroy")</f>
        <v>@MylesLeroy</v>
      </c>
      <c r="C7307" s="21" t="s">
        <v>16269</v>
      </c>
      <c r="D7307" s="21" t="s">
        <v>32</v>
      </c>
      <c r="E7307" s="22" t="str">
        <f>HYPERLINK("https://twitter.com/MylesLeroy/status/922560626903326721","922560626903326721")</f>
        <v>922560626903326721</v>
      </c>
      <c r="F7307" s="23" t="s">
        <v>33</v>
      </c>
      <c r="G7307" s="24">
        <v>1297.0</v>
      </c>
      <c r="H7307" s="24">
        <v>1671.0</v>
      </c>
      <c r="I7307" s="24">
        <v>471.0</v>
      </c>
      <c r="J7307" s="24">
        <v>0.0</v>
      </c>
      <c r="K7307" s="23" t="s">
        <v>34</v>
      </c>
      <c r="L7307" s="25">
        <v>41541.51435185185</v>
      </c>
      <c r="M7307" s="26" t="s">
        <v>16270</v>
      </c>
      <c r="N7307" s="26" t="s">
        <v>16271</v>
      </c>
      <c r="O7307" s="22" t="str">
        <f>HYPERLINK("https://pbs.twimg.com/profile_images/889337018186174465/HPtGbl4r_normal.jpg","View")</f>
        <v>View</v>
      </c>
      <c r="P7307" s="27"/>
    </row>
    <row r="7308">
      <c r="A7308" s="14">
        <v>43031.5621412037</v>
      </c>
      <c r="B7308" s="20" t="str">
        <f>HYPERLINK("https://twitter.com/candangacasique","@candangacasique")</f>
        <v>@candangacasique</v>
      </c>
      <c r="C7308" s="21" t="s">
        <v>14739</v>
      </c>
      <c r="D7308" s="21" t="s">
        <v>16272</v>
      </c>
      <c r="E7308" s="22" t="str">
        <f>HYPERLINK("https://twitter.com/candangacasique/status/922560633274376192","922560633274376192")</f>
        <v>922560633274376192</v>
      </c>
      <c r="F7308" s="23" t="s">
        <v>187</v>
      </c>
      <c r="G7308" s="24">
        <v>4401.0</v>
      </c>
      <c r="H7308" s="24">
        <v>5000.0</v>
      </c>
      <c r="I7308" s="24">
        <v>0.0</v>
      </c>
      <c r="J7308" s="24">
        <v>0.0</v>
      </c>
      <c r="K7308" s="23" t="s">
        <v>34</v>
      </c>
      <c r="L7308" s="25">
        <v>40364.68035879629</v>
      </c>
      <c r="M7308" s="26" t="s">
        <v>14741</v>
      </c>
      <c r="N7308" s="26" t="s">
        <v>14742</v>
      </c>
      <c r="O7308" s="22" t="str">
        <f>HYPERLINK("https://pbs.twimg.com/profile_images/874831349672267776/k2WGcjH1_normal.jpg","View")</f>
        <v>View</v>
      </c>
      <c r="P7308" s="27"/>
    </row>
    <row r="7309">
      <c r="A7309" s="14">
        <v>43031.56233796296</v>
      </c>
      <c r="B7309" s="20" t="str">
        <f>HYPERLINK("https://twitter.com/OttoMansilla","@OttoMansilla")</f>
        <v>@OttoMansilla</v>
      </c>
      <c r="C7309" s="21" t="s">
        <v>16273</v>
      </c>
      <c r="D7309" s="21" t="s">
        <v>16208</v>
      </c>
      <c r="E7309" s="22" t="str">
        <f>HYPERLINK("https://twitter.com/OttoMansilla/status/922560700949585920","922560700949585920")</f>
        <v>922560700949585920</v>
      </c>
      <c r="F7309" s="23" t="s">
        <v>39</v>
      </c>
      <c r="G7309" s="24">
        <v>628.0</v>
      </c>
      <c r="H7309" s="24">
        <v>282.0</v>
      </c>
      <c r="I7309" s="24">
        <v>41.0</v>
      </c>
      <c r="J7309" s="24">
        <v>0.0</v>
      </c>
      <c r="K7309" s="23" t="s">
        <v>34</v>
      </c>
      <c r="L7309" s="25">
        <v>40357.26997685185</v>
      </c>
      <c r="M7309" s="26" t="s">
        <v>16274</v>
      </c>
      <c r="N7309" s="26" t="s">
        <v>16275</v>
      </c>
      <c r="O7309" s="22" t="str">
        <f>HYPERLINK("https://pbs.twimg.com/profile_images/921841712263294977/387rmKDN_normal.jpg","View")</f>
        <v>View</v>
      </c>
      <c r="P7309" s="27"/>
    </row>
    <row r="7310">
      <c r="A7310" s="14">
        <v>43031.56234953704</v>
      </c>
      <c r="B7310" s="20" t="str">
        <f>HYPERLINK("https://twitter.com/ajayguptakanpur","@ajayguptakanpur")</f>
        <v>@ajayguptakanpur</v>
      </c>
      <c r="C7310" s="21" t="s">
        <v>16276</v>
      </c>
      <c r="D7310" s="21" t="s">
        <v>42</v>
      </c>
      <c r="E7310" s="22" t="str">
        <f>HYPERLINK("https://twitter.com/ajayguptakanpur/status/922560705680703489","922560705680703489")</f>
        <v>922560705680703489</v>
      </c>
      <c r="F7310" s="23" t="s">
        <v>33</v>
      </c>
      <c r="G7310" s="24">
        <v>63.0</v>
      </c>
      <c r="H7310" s="24">
        <v>296.0</v>
      </c>
      <c r="I7310" s="24">
        <v>8501.0</v>
      </c>
      <c r="J7310" s="24">
        <v>0.0</v>
      </c>
      <c r="K7310" s="23" t="s">
        <v>34</v>
      </c>
      <c r="L7310" s="25">
        <v>42610.2803587963</v>
      </c>
      <c r="M7310" s="26" t="s">
        <v>16277</v>
      </c>
      <c r="N7310" s="26" t="s">
        <v>16278</v>
      </c>
      <c r="O7310" s="22" t="str">
        <f>HYPERLINK("https://pbs.twimg.com/profile_images/891297753367760896/Mfql9XTc_normal.jpg","View")</f>
        <v>View</v>
      </c>
      <c r="P7310" s="27"/>
    </row>
    <row r="7311">
      <c r="A7311" s="14">
        <v>43031.562418981484</v>
      </c>
      <c r="B7311" s="20" t="str">
        <f>HYPERLINK("https://twitter.com/SaraGomezAranci","@SaraGomezAranci")</f>
        <v>@SaraGomezAranci</v>
      </c>
      <c r="C7311" s="21" t="s">
        <v>14770</v>
      </c>
      <c r="D7311" s="21" t="s">
        <v>16208</v>
      </c>
      <c r="E7311" s="22" t="str">
        <f>HYPERLINK("https://twitter.com/SaraGomezAranci/status/922560731089838082","922560731089838082")</f>
        <v>922560731089838082</v>
      </c>
      <c r="F7311" s="23" t="s">
        <v>39</v>
      </c>
      <c r="G7311" s="24">
        <v>1721.0</v>
      </c>
      <c r="H7311" s="24">
        <v>434.0</v>
      </c>
      <c r="I7311" s="24">
        <v>41.0</v>
      </c>
      <c r="J7311" s="24">
        <v>0.0</v>
      </c>
      <c r="K7311" s="23" t="s">
        <v>34</v>
      </c>
      <c r="L7311" s="25">
        <v>41277.07010416667</v>
      </c>
      <c r="M7311" s="28"/>
      <c r="N7311" s="26" t="s">
        <v>14771</v>
      </c>
      <c r="O7311" s="22" t="str">
        <f>HYPERLINK("https://pbs.twimg.com/profile_images/909880427351068674/WzgGubCv_normal.jpg","View")</f>
        <v>View</v>
      </c>
      <c r="P7311" s="27"/>
    </row>
    <row r="7312">
      <c r="A7312" s="14">
        <v>43031.56252314815</v>
      </c>
      <c r="B7312" s="20" t="str">
        <f>HYPERLINK("https://twitter.com/NewsbeatPortal","@NewsbeatPortal")</f>
        <v>@NewsbeatPortal</v>
      </c>
      <c r="C7312" s="21" t="s">
        <v>11902</v>
      </c>
      <c r="D7312" s="21" t="s">
        <v>16279</v>
      </c>
      <c r="E7312" s="22" t="str">
        <f>HYPERLINK("https://twitter.com/NewsbeatPortal/status/922560771652911104","922560771652911104")</f>
        <v>922560771652911104</v>
      </c>
      <c r="F7312" s="30" t="s">
        <v>411</v>
      </c>
      <c r="G7312" s="24">
        <v>17526.0</v>
      </c>
      <c r="H7312" s="24">
        <v>63.0</v>
      </c>
      <c r="I7312" s="24">
        <v>0.0</v>
      </c>
      <c r="J7312" s="24">
        <v>0.0</v>
      </c>
      <c r="K7312" s="23" t="s">
        <v>34</v>
      </c>
      <c r="L7312" s="25">
        <v>39905.341412037036</v>
      </c>
      <c r="M7312" s="26" t="s">
        <v>11905</v>
      </c>
      <c r="N7312" s="26" t="s">
        <v>11906</v>
      </c>
      <c r="O7312" s="22" t="str">
        <f>HYPERLINK("https://pbs.twimg.com/profile_images/457029492700348416/BYzPbqlO_normal.jpeg","View")</f>
        <v>View</v>
      </c>
      <c r="P7312" s="27"/>
    </row>
    <row r="7313">
      <c r="A7313" s="14">
        <v>43031.56253472222</v>
      </c>
      <c r="B7313" s="20" t="str">
        <f>HYPERLINK("https://twitter.com/AbusidiquBlog","@AbusidiquBlog")</f>
        <v>@AbusidiquBlog</v>
      </c>
      <c r="C7313" s="29" t="s">
        <v>11879</v>
      </c>
      <c r="D7313" s="21" t="s">
        <v>16280</v>
      </c>
      <c r="E7313" s="22" t="str">
        <f>HYPERLINK("https://twitter.com/AbusidiquBlog/status/922560773209047040","922560773209047040")</f>
        <v>922560773209047040</v>
      </c>
      <c r="F7313" s="30" t="s">
        <v>411</v>
      </c>
      <c r="G7313" s="24">
        <v>4659.0</v>
      </c>
      <c r="H7313" s="24">
        <v>14.0</v>
      </c>
      <c r="I7313" s="24">
        <v>0.0</v>
      </c>
      <c r="J7313" s="24">
        <v>0.0</v>
      </c>
      <c r="K7313" s="23" t="s">
        <v>34</v>
      </c>
      <c r="L7313" s="25">
        <v>41309.26256944444</v>
      </c>
      <c r="M7313" s="28"/>
      <c r="N7313" s="26" t="s">
        <v>11882</v>
      </c>
      <c r="O7313" s="22" t="str">
        <f>HYPERLINK("https://pbs.twimg.com/profile_images/825286205034086401/N4tLjSbm_normal.jpg","View")</f>
        <v>View</v>
      </c>
      <c r="P7313" s="27"/>
    </row>
    <row r="7314">
      <c r="A7314" s="14">
        <v>43031.562569444446</v>
      </c>
      <c r="B7314" s="20" t="str">
        <f>HYPERLINK("https://twitter.com/alllibertynews","@alllibertynews")</f>
        <v>@alllibertynews</v>
      </c>
      <c r="C7314" s="21" t="s">
        <v>14766</v>
      </c>
      <c r="D7314" s="21" t="s">
        <v>16208</v>
      </c>
      <c r="E7314" s="22" t="str">
        <f>HYPERLINK("https://twitter.com/alllibertynews/status/922560788367269893","922560788367269893")</f>
        <v>922560788367269893</v>
      </c>
      <c r="F7314" s="23" t="s">
        <v>14767</v>
      </c>
      <c r="G7314" s="24">
        <v>15794.0</v>
      </c>
      <c r="H7314" s="24">
        <v>4312.0</v>
      </c>
      <c r="I7314" s="24">
        <v>41.0</v>
      </c>
      <c r="J7314" s="24">
        <v>0.0</v>
      </c>
      <c r="K7314" s="23" t="s">
        <v>34</v>
      </c>
      <c r="L7314" s="25">
        <v>42355.88988425926</v>
      </c>
      <c r="M7314" s="28"/>
      <c r="N7314" s="28"/>
      <c r="O7314" s="22" t="str">
        <f>HYPERLINK("https://pbs.twimg.com/profile_images/677726486694989824/x5Umx9Jt_normal.png","View")</f>
        <v>View</v>
      </c>
      <c r="P7314" s="27"/>
    </row>
    <row r="7315">
      <c r="A7315" s="14">
        <v>43031.562569444446</v>
      </c>
      <c r="B7315" s="20" t="str">
        <f>HYPERLINK("https://twitter.com/realtruthorg","@realtruthorg")</f>
        <v>@realtruthorg</v>
      </c>
      <c r="C7315" s="21" t="s">
        <v>16281</v>
      </c>
      <c r="D7315" s="21" t="s">
        <v>16282</v>
      </c>
      <c r="E7315" s="22" t="str">
        <f>HYPERLINK("https://twitter.com/realtruthorg/status/922560788551712768","922560788551712768")</f>
        <v>922560788551712768</v>
      </c>
      <c r="F7315" s="23" t="s">
        <v>427</v>
      </c>
      <c r="G7315" s="24">
        <v>288.0</v>
      </c>
      <c r="H7315" s="24">
        <v>0.0</v>
      </c>
      <c r="I7315" s="24">
        <v>0.0</v>
      </c>
      <c r="J7315" s="24">
        <v>0.0</v>
      </c>
      <c r="K7315" s="23" t="s">
        <v>34</v>
      </c>
      <c r="L7315" s="25">
        <v>40353.20072916667</v>
      </c>
      <c r="M7315" s="28"/>
      <c r="N7315" s="28"/>
      <c r="O7315" s="22" t="str">
        <f>HYPERLINK("https://pbs.twimg.com/profile_images/891025475405062145/Prj2mslS_normal.jpg","View")</f>
        <v>View</v>
      </c>
      <c r="P7315" s="27"/>
    </row>
    <row r="7316">
      <c r="A7316" s="14">
        <v>43031.56265046296</v>
      </c>
      <c r="B7316" s="20" t="str">
        <f>HYPERLINK("https://twitter.com/WisdomTreeCAN","@WisdomTreeCAN")</f>
        <v>@WisdomTreeCAN</v>
      </c>
      <c r="C7316" s="21" t="s">
        <v>16283</v>
      </c>
      <c r="D7316" s="21" t="s">
        <v>16284</v>
      </c>
      <c r="E7316" s="22" t="str">
        <f>HYPERLINK("https://twitter.com/WisdomTreeCAN/status/922560813780496386","922560813780496386")</f>
        <v>922560813780496386</v>
      </c>
      <c r="F7316" s="23" t="s">
        <v>427</v>
      </c>
      <c r="G7316" s="24">
        <v>1581.0</v>
      </c>
      <c r="H7316" s="24">
        <v>63.0</v>
      </c>
      <c r="I7316" s="24">
        <v>0.0</v>
      </c>
      <c r="J7316" s="24">
        <v>0.0</v>
      </c>
      <c r="K7316" s="23" t="s">
        <v>34</v>
      </c>
      <c r="L7316" s="25">
        <v>42524.57481481481</v>
      </c>
      <c r="M7316" s="26" t="s">
        <v>920</v>
      </c>
      <c r="N7316" s="26" t="s">
        <v>16285</v>
      </c>
      <c r="O7316" s="22" t="str">
        <f>HYPERLINK("https://pbs.twimg.com/profile_images/856925166785507333/54Pcpa28_normal.jpg","View")</f>
        <v>View</v>
      </c>
      <c r="P7316" s="27"/>
    </row>
    <row r="7317">
      <c r="A7317" s="14">
        <v>43031.56271990741</v>
      </c>
      <c r="B7317" s="20" t="str">
        <f>HYPERLINK("https://twitter.com/LavaKm","@LavaKm")</f>
        <v>@LavaKm</v>
      </c>
      <c r="C7317" s="21" t="s">
        <v>16286</v>
      </c>
      <c r="D7317" s="21" t="s">
        <v>42</v>
      </c>
      <c r="E7317" s="22" t="str">
        <f>HYPERLINK("https://twitter.com/LavaKm/status/922560839558688769","922560839558688769")</f>
        <v>922560839558688769</v>
      </c>
      <c r="F7317" s="23" t="s">
        <v>39</v>
      </c>
      <c r="G7317" s="24">
        <v>17.0</v>
      </c>
      <c r="H7317" s="24">
        <v>117.0</v>
      </c>
      <c r="I7317" s="24">
        <v>8501.0</v>
      </c>
      <c r="J7317" s="24">
        <v>0.0</v>
      </c>
      <c r="K7317" s="23" t="s">
        <v>34</v>
      </c>
      <c r="L7317" s="25">
        <v>41494.13984953704</v>
      </c>
      <c r="M7317" s="28"/>
      <c r="N7317" s="28"/>
      <c r="O7317" s="22" t="str">
        <f>HYPERLINK("https://pbs.twimg.com/profile_images/378800000286036833/8303616add5e01af2279a467d829f157_normal.jpeg","View")</f>
        <v>View</v>
      </c>
      <c r="P7317" s="27"/>
    </row>
    <row r="7318">
      <c r="A7318" s="14">
        <v>43031.56275462963</v>
      </c>
      <c r="B7318" s="20" t="str">
        <f>HYPERLINK("https://twitter.com/Joe__Hybrid","@Joe__Hybrid")</f>
        <v>@Joe__Hybrid</v>
      </c>
      <c r="C7318" s="21" t="s">
        <v>16287</v>
      </c>
      <c r="D7318" s="21" t="s">
        <v>7768</v>
      </c>
      <c r="E7318" s="22" t="str">
        <f>HYPERLINK("https://twitter.com/Joe__Hybrid/status/922560852196282368","922560852196282368")</f>
        <v>922560852196282368</v>
      </c>
      <c r="F7318" s="23" t="s">
        <v>55</v>
      </c>
      <c r="G7318" s="24">
        <v>72.0</v>
      </c>
      <c r="H7318" s="24">
        <v>106.0</v>
      </c>
      <c r="I7318" s="24">
        <v>43.0</v>
      </c>
      <c r="J7318" s="24">
        <v>0.0</v>
      </c>
      <c r="K7318" s="23" t="s">
        <v>34</v>
      </c>
      <c r="L7318" s="25">
        <v>42887.100277777776</v>
      </c>
      <c r="M7318" s="26" t="s">
        <v>6185</v>
      </c>
      <c r="N7318" s="26" t="s">
        <v>16288</v>
      </c>
      <c r="O7318" s="22" t="str">
        <f>HYPERLINK("https://pbs.twimg.com/profile_images/870210907615490048/ze046MfF_normal.jpg","View")</f>
        <v>View</v>
      </c>
      <c r="P7318" s="27"/>
    </row>
    <row r="7319">
      <c r="A7319" s="14">
        <v>43031.562951388885</v>
      </c>
      <c r="B7319" s="20" t="str">
        <f>HYPERLINK("https://twitter.com/MikeZaladonis","@MikeZaladonis")</f>
        <v>@MikeZaladonis</v>
      </c>
      <c r="C7319" s="21" t="s">
        <v>16289</v>
      </c>
      <c r="D7319" s="21" t="s">
        <v>16208</v>
      </c>
      <c r="E7319" s="22" t="str">
        <f>HYPERLINK("https://twitter.com/MikeZaladonis/status/922560923042119680","922560923042119680")</f>
        <v>922560923042119680</v>
      </c>
      <c r="F7319" s="23" t="s">
        <v>16290</v>
      </c>
      <c r="G7319" s="24">
        <v>2345.0</v>
      </c>
      <c r="H7319" s="24">
        <v>1698.0</v>
      </c>
      <c r="I7319" s="24">
        <v>41.0</v>
      </c>
      <c r="J7319" s="24">
        <v>0.0</v>
      </c>
      <c r="K7319" s="23" t="s">
        <v>34</v>
      </c>
      <c r="L7319" s="25">
        <v>41034.22803240741</v>
      </c>
      <c r="M7319" s="26" t="s">
        <v>16291</v>
      </c>
      <c r="N7319" s="26" t="s">
        <v>16292</v>
      </c>
      <c r="O7319" s="22" t="str">
        <f>HYPERLINK("https://pbs.twimg.com/profile_images/815929409114898432/scaj7Ocw_normal.jpg","View")</f>
        <v>View</v>
      </c>
      <c r="P7319" s="27"/>
    </row>
    <row r="7320">
      <c r="A7320" s="14">
        <v>43031.56300925926</v>
      </c>
      <c r="B7320" s="20" t="str">
        <f>HYPERLINK("https://twitter.com/WorldNewsNgayon","@WorldNewsNgayon")</f>
        <v>@WorldNewsNgayon</v>
      </c>
      <c r="C7320" s="21" t="s">
        <v>4889</v>
      </c>
      <c r="D7320" s="21" t="s">
        <v>16293</v>
      </c>
      <c r="E7320" s="22" t="str">
        <f>HYPERLINK("https://twitter.com/WorldNewsNgayon/status/922560945557184513","922560945557184513")</f>
        <v>922560945557184513</v>
      </c>
      <c r="F7320" s="23" t="s">
        <v>187</v>
      </c>
      <c r="G7320" s="24">
        <v>1177.0</v>
      </c>
      <c r="H7320" s="24">
        <v>9.0</v>
      </c>
      <c r="I7320" s="24">
        <v>0.0</v>
      </c>
      <c r="J7320" s="24">
        <v>0.0</v>
      </c>
      <c r="K7320" s="23" t="s">
        <v>34</v>
      </c>
      <c r="L7320" s="25">
        <v>41174.847233796296</v>
      </c>
      <c r="M7320" s="26" t="s">
        <v>3507</v>
      </c>
      <c r="N7320" s="26" t="s">
        <v>4891</v>
      </c>
      <c r="O7320" s="22" t="str">
        <f>HYPERLINK("https://pbs.twimg.com/profile_images/425420772534784000/_u4Vu6V1_normal.jpeg","View")</f>
        <v>View</v>
      </c>
      <c r="P7320" s="27"/>
    </row>
    <row r="7321">
      <c r="A7321" s="14">
        <v>43031.56327546296</v>
      </c>
      <c r="B7321" s="20" t="str">
        <f>HYPERLINK("https://twitter.com/MonikaHoff1","@MonikaHoff1")</f>
        <v>@MonikaHoff1</v>
      </c>
      <c r="C7321" s="21" t="s">
        <v>16294</v>
      </c>
      <c r="D7321" s="21" t="s">
        <v>108</v>
      </c>
      <c r="E7321" s="22" t="str">
        <f>HYPERLINK("https://twitter.com/MonikaHoff1/status/922561042194026497","922561042194026497")</f>
        <v>922561042194026497</v>
      </c>
      <c r="F7321" s="23" t="s">
        <v>33</v>
      </c>
      <c r="G7321" s="24">
        <v>24.0</v>
      </c>
      <c r="H7321" s="24">
        <v>169.0</v>
      </c>
      <c r="I7321" s="24">
        <v>88.0</v>
      </c>
      <c r="J7321" s="24">
        <v>0.0</v>
      </c>
      <c r="K7321" s="23" t="s">
        <v>34</v>
      </c>
      <c r="L7321" s="25">
        <v>41711.298842592594</v>
      </c>
      <c r="M7321" s="26" t="s">
        <v>16295</v>
      </c>
      <c r="N7321" s="26" t="s">
        <v>16296</v>
      </c>
      <c r="O7321" s="22" t="str">
        <f>HYPERLINK("https://pbs.twimg.com/profile_images/829283214493630466/AUg8mBzG_normal.jpg","View")</f>
        <v>View</v>
      </c>
      <c r="P7321" s="27"/>
    </row>
    <row r="7322">
      <c r="A7322" s="14">
        <v>43031.563518518524</v>
      </c>
      <c r="B7322" s="20" t="str">
        <f>HYPERLINK("https://twitter.com/dialogCRM","@dialogCRM")</f>
        <v>@dialogCRM</v>
      </c>
      <c r="C7322" s="21" t="s">
        <v>16297</v>
      </c>
      <c r="D7322" s="21" t="s">
        <v>16298</v>
      </c>
      <c r="E7322" s="22" t="str">
        <f>HYPERLINK("https://twitter.com/dialogCRM/status/922561131327062016","922561131327062016")</f>
        <v>922561131327062016</v>
      </c>
      <c r="F7322" s="23" t="s">
        <v>55</v>
      </c>
      <c r="G7322" s="24">
        <v>2906.0</v>
      </c>
      <c r="H7322" s="24">
        <v>3068.0</v>
      </c>
      <c r="I7322" s="24">
        <v>0.0</v>
      </c>
      <c r="J7322" s="24">
        <v>0.0</v>
      </c>
      <c r="K7322" s="23" t="s">
        <v>34</v>
      </c>
      <c r="L7322" s="25">
        <v>39935.574849537035</v>
      </c>
      <c r="M7322" s="26" t="s">
        <v>16299</v>
      </c>
      <c r="N7322" s="26" t="s">
        <v>16300</v>
      </c>
      <c r="O7322" s="22" t="str">
        <f>HYPERLINK("https://pbs.twimg.com/profile_images/204784887/headshot_normal.jpg","View")</f>
        <v>View</v>
      </c>
      <c r="P7322" s="27"/>
    </row>
    <row r="7323">
      <c r="A7323" s="14">
        <v>43031.563946759255</v>
      </c>
      <c r="B7323" s="20" t="str">
        <f>HYPERLINK("https://twitter.com/JimCarlson16","@JimCarlson16")</f>
        <v>@JimCarlson16</v>
      </c>
      <c r="C7323" s="21" t="s">
        <v>16301</v>
      </c>
      <c r="D7323" s="21" t="s">
        <v>15972</v>
      </c>
      <c r="E7323" s="22" t="str">
        <f>HYPERLINK("https://twitter.com/JimCarlson16/status/922561287296491520","922561287296491520")</f>
        <v>922561287296491520</v>
      </c>
      <c r="F7323" s="23" t="s">
        <v>39</v>
      </c>
      <c r="G7323" s="24">
        <v>467.0</v>
      </c>
      <c r="H7323" s="24">
        <v>188.0</v>
      </c>
      <c r="I7323" s="24">
        <v>7.0</v>
      </c>
      <c r="J7323" s="24">
        <v>0.0</v>
      </c>
      <c r="K7323" s="23" t="s">
        <v>34</v>
      </c>
      <c r="L7323" s="25">
        <v>41565.761770833335</v>
      </c>
      <c r="M7323" s="28"/>
      <c r="N7323" s="28"/>
      <c r="O7323" s="22" t="str">
        <f>HYPERLINK("https://pbs.twimg.com/profile_images/378800000616044742/7fab1c2f49e3ced283a4b48e4a3fea0e_normal.jpeg","View")</f>
        <v>View</v>
      </c>
      <c r="P7323" s="27"/>
    </row>
    <row r="7324">
      <c r="A7324" s="14">
        <v>43031.5640625</v>
      </c>
      <c r="B7324" s="20" t="str">
        <f>HYPERLINK("https://twitter.com/Cookiemuffen","@Cookiemuffen")</f>
        <v>@Cookiemuffen</v>
      </c>
      <c r="C7324" s="21" t="s">
        <v>16302</v>
      </c>
      <c r="D7324" s="21" t="s">
        <v>6670</v>
      </c>
      <c r="E7324" s="22" t="str">
        <f>HYPERLINK("https://twitter.com/Cookiemuffen/status/922561327696027648","922561327696027648")</f>
        <v>922561327696027648</v>
      </c>
      <c r="F7324" s="23" t="s">
        <v>230</v>
      </c>
      <c r="G7324" s="24">
        <v>3189.0</v>
      </c>
      <c r="H7324" s="24">
        <v>3384.0</v>
      </c>
      <c r="I7324" s="24">
        <v>18.0</v>
      </c>
      <c r="J7324" s="24">
        <v>0.0</v>
      </c>
      <c r="K7324" s="23" t="s">
        <v>34</v>
      </c>
      <c r="L7324" s="25">
        <v>40208.50670138889</v>
      </c>
      <c r="M7324" s="26" t="s">
        <v>16303</v>
      </c>
      <c r="N7324" s="26" t="s">
        <v>16304</v>
      </c>
      <c r="O7324" s="22" t="str">
        <f>HYPERLINK("https://pbs.twimg.com/profile_images/875544477070479360/GHK0HYJN_normal.jpg","View")</f>
        <v>View</v>
      </c>
      <c r="P7324" s="27"/>
    </row>
    <row r="7325">
      <c r="A7325" s="14">
        <v>43031.56418981482</v>
      </c>
      <c r="B7325" s="20" t="str">
        <f>HYPERLINK("https://twitter.com/breaking_news_4","@breaking_news_4")</f>
        <v>@breaking_news_4</v>
      </c>
      <c r="C7325" s="21" t="s">
        <v>5830</v>
      </c>
      <c r="D7325" s="21" t="s">
        <v>16305</v>
      </c>
      <c r="E7325" s="22" t="str">
        <f>HYPERLINK("https://twitter.com/breaking_news_4/status/922561374265290752","922561374265290752")</f>
        <v>922561374265290752</v>
      </c>
      <c r="F7325" s="23" t="s">
        <v>187</v>
      </c>
      <c r="G7325" s="24">
        <v>1564.0</v>
      </c>
      <c r="H7325" s="24">
        <v>168.0</v>
      </c>
      <c r="I7325" s="24">
        <v>0.0</v>
      </c>
      <c r="J7325" s="24">
        <v>0.0</v>
      </c>
      <c r="K7325" s="23" t="s">
        <v>34</v>
      </c>
      <c r="L7325" s="25">
        <v>41323.59861111111</v>
      </c>
      <c r="M7325" s="28"/>
      <c r="N7325" s="28"/>
      <c r="O7325" s="22" t="str">
        <f>HYPERLINK("https://pbs.twimg.com/profile_images/3506234829/a38e573d69ee71fcc25830b97d00c179_normal.png","View")</f>
        <v>View</v>
      </c>
      <c r="P7325" s="27"/>
    </row>
    <row r="7326">
      <c r="A7326" s="14">
        <v>43031.56421296296</v>
      </c>
      <c r="B7326" s="20" t="str">
        <f>HYPERLINK("https://twitter.com/Tufeek008","@Tufeek008")</f>
        <v>@Tufeek008</v>
      </c>
      <c r="C7326" s="21" t="s">
        <v>16306</v>
      </c>
      <c r="D7326" s="21" t="s">
        <v>12261</v>
      </c>
      <c r="E7326" s="22" t="str">
        <f>HYPERLINK("https://twitter.com/Tufeek008/status/922561383866146817","922561383866146817")</f>
        <v>922561383866146817</v>
      </c>
      <c r="F7326" s="23" t="s">
        <v>33</v>
      </c>
      <c r="G7326" s="24">
        <v>594.0</v>
      </c>
      <c r="H7326" s="24">
        <v>1607.0</v>
      </c>
      <c r="I7326" s="24">
        <v>5.0</v>
      </c>
      <c r="J7326" s="24">
        <v>0.0</v>
      </c>
      <c r="K7326" s="23" t="s">
        <v>34</v>
      </c>
      <c r="L7326" s="25">
        <v>41207.38158564815</v>
      </c>
      <c r="M7326" s="26" t="s">
        <v>16307</v>
      </c>
      <c r="N7326" s="26" t="s">
        <v>16308</v>
      </c>
      <c r="O7326" s="22" t="str">
        <f>HYPERLINK("https://pbs.twimg.com/profile_images/812410195972423684/qbGG4xad_normal.jpg","View")</f>
        <v>View</v>
      </c>
      <c r="P7326" s="27"/>
    </row>
    <row r="7327">
      <c r="A7327" s="14">
        <v>43031.56443287037</v>
      </c>
      <c r="B7327" s="20" t="str">
        <f>HYPERLINK("https://twitter.com/_Sturmkrahe","@_Sturmkrahe")</f>
        <v>@_Sturmkrahe</v>
      </c>
      <c r="C7327" s="21" t="s">
        <v>16309</v>
      </c>
      <c r="D7327" s="21" t="s">
        <v>16208</v>
      </c>
      <c r="E7327" s="22" t="str">
        <f>HYPERLINK("https://twitter.com/_Sturmkrahe/status/922561462593208321","922561462593208321")</f>
        <v>922561462593208321</v>
      </c>
      <c r="F7327" s="23" t="s">
        <v>33</v>
      </c>
      <c r="G7327" s="24">
        <v>208.0</v>
      </c>
      <c r="H7327" s="24">
        <v>1044.0</v>
      </c>
      <c r="I7327" s="24">
        <v>41.0</v>
      </c>
      <c r="J7327" s="24">
        <v>0.0</v>
      </c>
      <c r="K7327" s="23" t="s">
        <v>34</v>
      </c>
      <c r="L7327" s="25">
        <v>42352.51424768519</v>
      </c>
      <c r="M7327" s="26" t="s">
        <v>16310</v>
      </c>
      <c r="N7327" s="26" t="s">
        <v>16311</v>
      </c>
      <c r="O7327" s="22" t="str">
        <f>HYPERLINK("https://pbs.twimg.com/profile_images/895325699375939584/eKOnLZ4Z_normal.jpg","View")</f>
        <v>View</v>
      </c>
      <c r="P7327" s="27"/>
    </row>
    <row r="7328">
      <c r="A7328" s="14">
        <v>43031.56462962963</v>
      </c>
      <c r="B7328" s="20" t="str">
        <f>HYPERLINK("https://twitter.com/maherro2","@maherro2")</f>
        <v>@maherro2</v>
      </c>
      <c r="C7328" s="21" t="s">
        <v>16312</v>
      </c>
      <c r="D7328" s="21" t="s">
        <v>16208</v>
      </c>
      <c r="E7328" s="22" t="str">
        <f>HYPERLINK("https://twitter.com/maherro2/status/922561534542331904","922561534542331904")</f>
        <v>922561534542331904</v>
      </c>
      <c r="F7328" s="23" t="s">
        <v>39</v>
      </c>
      <c r="G7328" s="24">
        <v>374.0</v>
      </c>
      <c r="H7328" s="24">
        <v>1390.0</v>
      </c>
      <c r="I7328" s="24">
        <v>41.0</v>
      </c>
      <c r="J7328" s="24">
        <v>0.0</v>
      </c>
      <c r="K7328" s="23" t="s">
        <v>34</v>
      </c>
      <c r="L7328" s="25">
        <v>40617.71440972222</v>
      </c>
      <c r="M7328" s="26" t="s">
        <v>16313</v>
      </c>
      <c r="N7328" s="26" t="s">
        <v>16314</v>
      </c>
      <c r="O7328" s="22" t="str">
        <f>HYPERLINK("https://pbs.twimg.com/profile_images/678703233129439233/fdDaacOr_normal.jpg","View")</f>
        <v>View</v>
      </c>
      <c r="P7328" s="27"/>
    </row>
    <row r="7329">
      <c r="A7329" s="14">
        <v>43031.56543981482</v>
      </c>
      <c r="B7329" s="20" t="str">
        <f>HYPERLINK("https://twitter.com/onlinelords","@onlinelords")</f>
        <v>@onlinelords</v>
      </c>
      <c r="C7329" s="21" t="s">
        <v>14850</v>
      </c>
      <c r="D7329" s="21" t="s">
        <v>16315</v>
      </c>
      <c r="E7329" s="22" t="str">
        <f>HYPERLINK("https://twitter.com/onlinelords/status/922561828005199872","922561828005199872")</f>
        <v>922561828005199872</v>
      </c>
      <c r="F7329" s="23" t="s">
        <v>187</v>
      </c>
      <c r="G7329" s="24">
        <v>501.0</v>
      </c>
      <c r="H7329" s="24">
        <v>1815.0</v>
      </c>
      <c r="I7329" s="24">
        <v>0.0</v>
      </c>
      <c r="J7329" s="24">
        <v>0.0</v>
      </c>
      <c r="K7329" s="23" t="s">
        <v>34</v>
      </c>
      <c r="L7329" s="25">
        <v>42910.427141203705</v>
      </c>
      <c r="M7329" s="26" t="s">
        <v>567</v>
      </c>
      <c r="N7329" s="26" t="s">
        <v>14852</v>
      </c>
      <c r="O7329" s="22" t="str">
        <f>HYPERLINK("https://pbs.twimg.com/profile_images/919643248817254400/z8AUB3Qm_normal.jpg","View")</f>
        <v>View</v>
      </c>
      <c r="P7329" s="27"/>
    </row>
    <row r="7330">
      <c r="A7330" s="14">
        <v>43031.56545138889</v>
      </c>
      <c r="B7330" s="20" t="str">
        <f>HYPERLINK("https://twitter.com/edustickyg","@edustickyg")</f>
        <v>@edustickyg</v>
      </c>
      <c r="C7330" s="21" t="s">
        <v>16316</v>
      </c>
      <c r="D7330" s="21" t="s">
        <v>32</v>
      </c>
      <c r="E7330" s="22" t="str">
        <f>HYPERLINK("https://twitter.com/edustickyg/status/922561832325300225","922561832325300225")</f>
        <v>922561832325300225</v>
      </c>
      <c r="F7330" s="23" t="s">
        <v>33</v>
      </c>
      <c r="G7330" s="24">
        <v>11.0</v>
      </c>
      <c r="H7330" s="24">
        <v>28.0</v>
      </c>
      <c r="I7330" s="24">
        <v>471.0</v>
      </c>
      <c r="J7330" s="24">
        <v>0.0</v>
      </c>
      <c r="K7330" s="23" t="s">
        <v>34</v>
      </c>
      <c r="L7330" s="25">
        <v>42436.11462962963</v>
      </c>
      <c r="M7330" s="28"/>
      <c r="N7330" s="28"/>
      <c r="O7330" s="22" t="str">
        <f>HYPERLINK("https://abs.twimg.com/sticky/default_profile_images/default_profile_normal.png","View")</f>
        <v>View</v>
      </c>
      <c r="P7330" s="27"/>
    </row>
    <row r="7331">
      <c r="A7331" s="14">
        <v>43031.565567129626</v>
      </c>
      <c r="B7331" s="20" t="str">
        <f>HYPERLINK("https://twitter.com/jaipeenair","@jaipeenair")</f>
        <v>@jaipeenair</v>
      </c>
      <c r="C7331" s="21" t="s">
        <v>16317</v>
      </c>
      <c r="D7331" s="21" t="s">
        <v>42</v>
      </c>
      <c r="E7331" s="22" t="str">
        <f>HYPERLINK("https://twitter.com/jaipeenair/status/922561871848206336","922561871848206336")</f>
        <v>922561871848206336</v>
      </c>
      <c r="F7331" s="23" t="s">
        <v>33</v>
      </c>
      <c r="G7331" s="24">
        <v>172.0</v>
      </c>
      <c r="H7331" s="24">
        <v>559.0</v>
      </c>
      <c r="I7331" s="24">
        <v>8501.0</v>
      </c>
      <c r="J7331" s="24">
        <v>0.0</v>
      </c>
      <c r="K7331" s="23" t="s">
        <v>34</v>
      </c>
      <c r="L7331" s="25">
        <v>40222.13101851852</v>
      </c>
      <c r="M7331" s="26" t="s">
        <v>16318</v>
      </c>
      <c r="N7331" s="26" t="s">
        <v>16319</v>
      </c>
      <c r="O7331" s="22" t="str">
        <f>HYPERLINK("https://pbs.twimg.com/profile_images/785449431252500481/IGQh_gJt_normal.jpg","View")</f>
        <v>View</v>
      </c>
      <c r="P7331" s="27"/>
    </row>
    <row r="7332">
      <c r="A7332" s="14">
        <v>43031.565625</v>
      </c>
      <c r="B7332" s="20" t="str">
        <f>HYPERLINK("https://twitter.com/JustinJustrive","@JustinJustrive")</f>
        <v>@JustinJustrive</v>
      </c>
      <c r="C7332" s="21" t="s">
        <v>10464</v>
      </c>
      <c r="D7332" s="21" t="s">
        <v>16208</v>
      </c>
      <c r="E7332" s="22" t="str">
        <f>HYPERLINK("https://twitter.com/JustinJustrive/status/922561893415370752","922561893415370752")</f>
        <v>922561893415370752</v>
      </c>
      <c r="F7332" s="23" t="s">
        <v>2119</v>
      </c>
      <c r="G7332" s="24">
        <v>1088.0</v>
      </c>
      <c r="H7332" s="24">
        <v>2223.0</v>
      </c>
      <c r="I7332" s="24">
        <v>41.0</v>
      </c>
      <c r="J7332" s="24">
        <v>0.0</v>
      </c>
      <c r="K7332" s="23" t="s">
        <v>34</v>
      </c>
      <c r="L7332" s="25">
        <v>42163.853113425925</v>
      </c>
      <c r="M7332" s="28"/>
      <c r="N7332" s="26" t="s">
        <v>16320</v>
      </c>
      <c r="O7332" s="22" t="str">
        <f>HYPERLINK("https://pbs.twimg.com/profile_images/777626639148589056/12RNTHE1_normal.jpg","View")</f>
        <v>View</v>
      </c>
      <c r="P7332" s="27"/>
    </row>
    <row r="7333">
      <c r="A7333" s="14">
        <v>43031.56564814815</v>
      </c>
      <c r="B7333" s="20" t="str">
        <f>HYPERLINK("https://twitter.com/9b3OR2qdITMbDcd","@9b3OR2qdITMbDcd")</f>
        <v>@9b3OR2qdITMbDcd</v>
      </c>
      <c r="C7333" s="21" t="s">
        <v>11480</v>
      </c>
      <c r="D7333" s="21" t="s">
        <v>12974</v>
      </c>
      <c r="E7333" s="22" t="str">
        <f>HYPERLINK("https://twitter.com/9b3OR2qdITMbDcd/status/922561902579916800","922561902579916800")</f>
        <v>922561902579916800</v>
      </c>
      <c r="F7333" s="23" t="s">
        <v>230</v>
      </c>
      <c r="G7333" s="24">
        <v>1256382.0</v>
      </c>
      <c r="H7333" s="24">
        <v>2236.0</v>
      </c>
      <c r="I7333" s="24">
        <v>110.0</v>
      </c>
      <c r="J7333" s="24">
        <v>0.0</v>
      </c>
      <c r="K7333" s="23" t="s">
        <v>34</v>
      </c>
      <c r="L7333" s="25">
        <v>42581.3831712963</v>
      </c>
      <c r="M7333" s="26" t="s">
        <v>11481</v>
      </c>
      <c r="N7333" s="26" t="s">
        <v>11482</v>
      </c>
      <c r="O7333" s="22" t="str">
        <f>HYPERLINK("https://pbs.twimg.com/profile_images/759426044512178176/e8MouqvM_normal.jpg","View")</f>
        <v>View</v>
      </c>
      <c r="P7333" s="27"/>
    </row>
    <row r="7334">
      <c r="A7334" s="14">
        <v>43031.56597222222</v>
      </c>
      <c r="B7334" s="20" t="str">
        <f>HYPERLINK("https://twitter.com/krunox123","@krunox123")</f>
        <v>@krunox123</v>
      </c>
      <c r="C7334" s="21" t="s">
        <v>1750</v>
      </c>
      <c r="D7334" s="21" t="s">
        <v>16321</v>
      </c>
      <c r="E7334" s="22" t="str">
        <f>HYPERLINK("https://twitter.com/krunox123/status/922562018522972161","922562018522972161")</f>
        <v>922562018522972161</v>
      </c>
      <c r="F7334" s="23" t="s">
        <v>187</v>
      </c>
      <c r="G7334" s="24">
        <v>10220.0</v>
      </c>
      <c r="H7334" s="24">
        <v>2.0</v>
      </c>
      <c r="I7334" s="24">
        <v>0.0</v>
      </c>
      <c r="J7334" s="24">
        <v>0.0</v>
      </c>
      <c r="K7334" s="23" t="s">
        <v>34</v>
      </c>
      <c r="L7334" s="25">
        <v>40938.22789351852</v>
      </c>
      <c r="M7334" s="26" t="s">
        <v>1752</v>
      </c>
      <c r="N7334" s="26" t="s">
        <v>1753</v>
      </c>
      <c r="O7334" s="22" t="str">
        <f>HYPERLINK("https://pbs.twimg.com/profile_images/824952382618349568/2SFIkM2x_normal.jpg","View")</f>
        <v>View</v>
      </c>
      <c r="P7334" s="27"/>
    </row>
    <row r="7335">
      <c r="A7335" s="14">
        <v>43031.56597222222</v>
      </c>
      <c r="B7335" s="20" t="str">
        <f>HYPERLINK("https://twitter.com/starsandstripes","@starsandstripes")</f>
        <v>@starsandstripes</v>
      </c>
      <c r="C7335" s="21" t="s">
        <v>16322</v>
      </c>
      <c r="D7335" s="21" t="s">
        <v>16323</v>
      </c>
      <c r="E7335" s="22" t="str">
        <f>HYPERLINK("https://twitter.com/starsandstripes/status/922562019688984576","922562019688984576")</f>
        <v>922562019688984576</v>
      </c>
      <c r="F7335" s="23" t="s">
        <v>769</v>
      </c>
      <c r="G7335" s="24">
        <v>185732.0</v>
      </c>
      <c r="H7335" s="24">
        <v>430.0</v>
      </c>
      <c r="I7335" s="24">
        <v>6.0</v>
      </c>
      <c r="J7335" s="24">
        <v>19.0</v>
      </c>
      <c r="K7335" s="23" t="s">
        <v>34</v>
      </c>
      <c r="L7335" s="25">
        <v>39352.54042824074</v>
      </c>
      <c r="M7335" s="26" t="s">
        <v>16324</v>
      </c>
      <c r="N7335" s="26" t="s">
        <v>16325</v>
      </c>
      <c r="O7335" s="22" t="str">
        <f>HYPERLINK("https://pbs.twimg.com/profile_images/912760382686683136/I3B-ipQq_normal.jpg","View")</f>
        <v>View</v>
      </c>
      <c r="P7335" s="27"/>
    </row>
    <row r="7336">
      <c r="A7336" s="14">
        <v>43031.56600694444</v>
      </c>
      <c r="B7336" s="20" t="str">
        <f>HYPERLINK("https://twitter.com/WSJmarkets","@WSJmarkets")</f>
        <v>@WSJmarkets</v>
      </c>
      <c r="C7336" s="21" t="s">
        <v>10591</v>
      </c>
      <c r="D7336" s="21" t="s">
        <v>16326</v>
      </c>
      <c r="E7336" s="22" t="str">
        <f>HYPERLINK("https://twitter.com/WSJmarkets/status/922562032234201089","922562032234201089")</f>
        <v>922562032234201089</v>
      </c>
      <c r="F7336" s="23" t="s">
        <v>1103</v>
      </c>
      <c r="G7336" s="24">
        <v>458849.0</v>
      </c>
      <c r="H7336" s="24">
        <v>402.0</v>
      </c>
      <c r="I7336" s="24">
        <v>1.0</v>
      </c>
      <c r="J7336" s="24">
        <v>1.0</v>
      </c>
      <c r="K7336" s="23" t="s">
        <v>34</v>
      </c>
      <c r="L7336" s="25">
        <v>39904.48908564815</v>
      </c>
      <c r="M7336" s="26" t="s">
        <v>2534</v>
      </c>
      <c r="N7336" s="26" t="s">
        <v>10593</v>
      </c>
      <c r="O7336" s="22" t="str">
        <f>HYPERLINK("https://pbs.twimg.com/profile_images/509786301680205825/1D5ibpnj_normal.jpeg","View")</f>
        <v>View</v>
      </c>
      <c r="P7336" s="27"/>
    </row>
    <row r="7337">
      <c r="A7337" s="14">
        <v>43031.56605324074</v>
      </c>
      <c r="B7337" s="20" t="str">
        <f>HYPERLINK("https://twitter.com/ovnikamishra","@ovnikamishra")</f>
        <v>@ovnikamishra</v>
      </c>
      <c r="C7337" s="21" t="s">
        <v>16327</v>
      </c>
      <c r="D7337" s="21" t="s">
        <v>16328</v>
      </c>
      <c r="E7337" s="22" t="str">
        <f>HYPERLINK("https://twitter.com/ovnikamishra/status/922562049405698049","922562049405698049")</f>
        <v>922562049405698049</v>
      </c>
      <c r="F7337" s="23" t="s">
        <v>55</v>
      </c>
      <c r="G7337" s="24">
        <v>25.0</v>
      </c>
      <c r="H7337" s="24">
        <v>32.0</v>
      </c>
      <c r="I7337" s="24">
        <v>5.0</v>
      </c>
      <c r="J7337" s="24">
        <v>0.0</v>
      </c>
      <c r="K7337" s="23" t="s">
        <v>34</v>
      </c>
      <c r="L7337" s="25">
        <v>42976.40493055555</v>
      </c>
      <c r="M7337" s="26" t="s">
        <v>3136</v>
      </c>
      <c r="N7337" s="26" t="s">
        <v>16329</v>
      </c>
      <c r="O7337" s="22" t="str">
        <f>HYPERLINK("https://pbs.twimg.com/profile_images/902573281114447873/Hxwi6kZ6_normal.jpg","View")</f>
        <v>View</v>
      </c>
      <c r="P7337" s="27"/>
    </row>
    <row r="7338">
      <c r="A7338" s="14">
        <v>43031.56618055556</v>
      </c>
      <c r="B7338" s="20" t="str">
        <f>HYPERLINK("https://twitter.com/Warrior101Abn","@Warrior101Abn")</f>
        <v>@Warrior101Abn</v>
      </c>
      <c r="C7338" s="21" t="s">
        <v>16330</v>
      </c>
      <c r="D7338" s="21" t="s">
        <v>16331</v>
      </c>
      <c r="E7338" s="22" t="str">
        <f>HYPERLINK("https://twitter.com/Warrior101Abn/status/922562096486744065","922562096486744065")</f>
        <v>922562096486744065</v>
      </c>
      <c r="F7338" s="23" t="s">
        <v>39</v>
      </c>
      <c r="G7338" s="24">
        <v>2020.0</v>
      </c>
      <c r="H7338" s="24">
        <v>2102.0</v>
      </c>
      <c r="I7338" s="24">
        <v>6.0</v>
      </c>
      <c r="J7338" s="24">
        <v>0.0</v>
      </c>
      <c r="K7338" s="23" t="s">
        <v>34</v>
      </c>
      <c r="L7338" s="25">
        <v>42584.47679398148</v>
      </c>
      <c r="M7338" s="26" t="s">
        <v>4411</v>
      </c>
      <c r="N7338" s="26" t="s">
        <v>16332</v>
      </c>
      <c r="O7338" s="22" t="str">
        <f>HYPERLINK("https://pbs.twimg.com/profile_images/908656945837559808/3E-f7Qi4_normal.jpg","View")</f>
        <v>View</v>
      </c>
      <c r="P7338" s="27"/>
    </row>
    <row r="7339">
      <c r="A7339" s="14">
        <v>43031.566203703704</v>
      </c>
      <c r="B7339" s="20" t="str">
        <f>HYPERLINK("https://twitter.com/fawad47","@fawad47")</f>
        <v>@fawad47</v>
      </c>
      <c r="C7339" s="21" t="s">
        <v>10594</v>
      </c>
      <c r="D7339" s="21" t="s">
        <v>16333</v>
      </c>
      <c r="E7339" s="22" t="str">
        <f>HYPERLINK("https://twitter.com/fawad47/status/922562103159881728","922562103159881728")</f>
        <v>922562103159881728</v>
      </c>
      <c r="F7339" s="23" t="s">
        <v>187</v>
      </c>
      <c r="G7339" s="24">
        <v>166.0</v>
      </c>
      <c r="H7339" s="24">
        <v>132.0</v>
      </c>
      <c r="I7339" s="24">
        <v>0.0</v>
      </c>
      <c r="J7339" s="24">
        <v>0.0</v>
      </c>
      <c r="K7339" s="23" t="s">
        <v>34</v>
      </c>
      <c r="L7339" s="25">
        <v>40051.697280092594</v>
      </c>
      <c r="M7339" s="26" t="s">
        <v>334</v>
      </c>
      <c r="N7339" s="28"/>
      <c r="O7339" s="22" t="str">
        <f>HYPERLINK("https://pbs.twimg.com/profile_images/615218380149260288/anFXIeUw_normal.jpg","View")</f>
        <v>View</v>
      </c>
      <c r="P7339" s="27"/>
    </row>
    <row r="7340">
      <c r="A7340" s="14">
        <v>43031.566296296296</v>
      </c>
      <c r="B7340" s="20" t="str">
        <f>HYPERLINK("https://twitter.com/ggnewsus","@ggnewsus")</f>
        <v>@ggnewsus</v>
      </c>
      <c r="C7340" s="21" t="s">
        <v>13409</v>
      </c>
      <c r="D7340" s="21" t="s">
        <v>16334</v>
      </c>
      <c r="E7340" s="22" t="str">
        <f>HYPERLINK("https://twitter.com/ggnewsus/status/922562137913835520","922562137913835520")</f>
        <v>922562137913835520</v>
      </c>
      <c r="F7340" s="23" t="s">
        <v>187</v>
      </c>
      <c r="G7340" s="24">
        <v>862.0</v>
      </c>
      <c r="H7340" s="24">
        <v>143.0</v>
      </c>
      <c r="I7340" s="24">
        <v>0.0</v>
      </c>
      <c r="J7340" s="24">
        <v>0.0</v>
      </c>
      <c r="K7340" s="23" t="s">
        <v>34</v>
      </c>
      <c r="L7340" s="25">
        <v>41679.77077546297</v>
      </c>
      <c r="M7340" s="26" t="s">
        <v>13411</v>
      </c>
      <c r="N7340" s="26" t="s">
        <v>874</v>
      </c>
      <c r="O7340" s="22" t="str">
        <f>HYPERLINK("https://pbs.twimg.com/profile_images/432706003285450752/IHK6C475_normal.png","View")</f>
        <v>View</v>
      </c>
      <c r="P7340" s="27"/>
    </row>
    <row r="7341">
      <c r="A7341" s="14">
        <v>43031.566400462965</v>
      </c>
      <c r="B7341" s="20" t="str">
        <f>HYPERLINK("https://twitter.com/YieldKernel","@YieldKernel")</f>
        <v>@YieldKernel</v>
      </c>
      <c r="C7341" s="21" t="s">
        <v>16335</v>
      </c>
      <c r="D7341" s="21" t="s">
        <v>16336</v>
      </c>
      <c r="E7341" s="22" t="str">
        <f>HYPERLINK("https://twitter.com/YieldKernel/status/922562173821263872","922562173821263872")</f>
        <v>922562173821263872</v>
      </c>
      <c r="F7341" s="23" t="s">
        <v>43</v>
      </c>
      <c r="G7341" s="24">
        <v>104.0</v>
      </c>
      <c r="H7341" s="24">
        <v>100.0</v>
      </c>
      <c r="I7341" s="24">
        <v>1.0</v>
      </c>
      <c r="J7341" s="24">
        <v>0.0</v>
      </c>
      <c r="K7341" s="23" t="s">
        <v>34</v>
      </c>
      <c r="L7341" s="25">
        <v>42020.59486111111</v>
      </c>
      <c r="M7341" s="26" t="s">
        <v>68</v>
      </c>
      <c r="N7341" s="26" t="s">
        <v>16337</v>
      </c>
      <c r="O7341" s="22" t="str">
        <f>HYPERLINK("https://pbs.twimg.com/profile_images/847123872335900672/Ck7Poh4Y_normal.jpg","View")</f>
        <v>View</v>
      </c>
      <c r="P7341" s="27"/>
    </row>
    <row r="7342">
      <c r="A7342" s="14">
        <v>43031.56674768518</v>
      </c>
      <c r="B7342" s="20" t="str">
        <f>HYPERLINK("https://twitter.com/mahanthanut","@mahanthanut")</f>
        <v>@mahanthanut</v>
      </c>
      <c r="C7342" s="21" t="s">
        <v>3630</v>
      </c>
      <c r="D7342" s="21" t="s">
        <v>16208</v>
      </c>
      <c r="E7342" s="22" t="str">
        <f>HYPERLINK("https://twitter.com/mahanthanut/status/922562301009342464","922562301009342464")</f>
        <v>922562301009342464</v>
      </c>
      <c r="F7342" s="23" t="s">
        <v>39</v>
      </c>
      <c r="G7342" s="24">
        <v>757.0</v>
      </c>
      <c r="H7342" s="24">
        <v>1962.0</v>
      </c>
      <c r="I7342" s="24">
        <v>41.0</v>
      </c>
      <c r="J7342" s="24">
        <v>0.0</v>
      </c>
      <c r="K7342" s="23" t="s">
        <v>34</v>
      </c>
      <c r="L7342" s="25">
        <v>42066.306504629625</v>
      </c>
      <c r="M7342" s="28"/>
      <c r="N7342" s="28"/>
      <c r="O7342" s="22" t="str">
        <f>HYPERLINK("https://pbs.twimg.com/profile_images/602460467231985666/I5K3SbBA_normal.jpg","View")</f>
        <v>View</v>
      </c>
      <c r="P7342" s="27"/>
    </row>
    <row r="7343">
      <c r="A7343" s="14">
        <v>43031.56674768518</v>
      </c>
      <c r="B7343" s="20" t="str">
        <f>HYPERLINK("https://twitter.com/miafabienne","@miafabienne")</f>
        <v>@miafabienne</v>
      </c>
      <c r="C7343" s="21" t="s">
        <v>16338</v>
      </c>
      <c r="D7343" s="21" t="s">
        <v>16331</v>
      </c>
      <c r="E7343" s="22" t="str">
        <f>HYPERLINK("https://twitter.com/miafabienne/status/922562302393511936","922562302393511936")</f>
        <v>922562302393511936</v>
      </c>
      <c r="F7343" s="23" t="s">
        <v>55</v>
      </c>
      <c r="G7343" s="24">
        <v>149.0</v>
      </c>
      <c r="H7343" s="24">
        <v>556.0</v>
      </c>
      <c r="I7343" s="24">
        <v>6.0</v>
      </c>
      <c r="J7343" s="24">
        <v>0.0</v>
      </c>
      <c r="K7343" s="23" t="s">
        <v>34</v>
      </c>
      <c r="L7343" s="25">
        <v>40168.895625</v>
      </c>
      <c r="M7343" s="28"/>
      <c r="N7343" s="26" t="s">
        <v>16339</v>
      </c>
      <c r="O7343" s="22" t="str">
        <f>HYPERLINK("https://pbs.twimg.com/profile_images/702065199033896961/bIag5TjO_normal.png","View")</f>
        <v>View</v>
      </c>
      <c r="P7343" s="27"/>
    </row>
    <row r="7344">
      <c r="A7344" s="14">
        <v>43031.56679398148</v>
      </c>
      <c r="B7344" s="20" t="str">
        <f>HYPERLINK("https://twitter.com/IntrepidFF","@IntrepidFF")</f>
        <v>@IntrepidFF</v>
      </c>
      <c r="C7344" s="21" t="s">
        <v>10634</v>
      </c>
      <c r="D7344" s="21" t="s">
        <v>16340</v>
      </c>
      <c r="E7344" s="22" t="str">
        <f>HYPERLINK("https://twitter.com/IntrepidFF/status/922562318180814848","922562318180814848")</f>
        <v>922562318180814848</v>
      </c>
      <c r="F7344" s="23" t="s">
        <v>187</v>
      </c>
      <c r="G7344" s="24">
        <v>78.0</v>
      </c>
      <c r="H7344" s="24">
        <v>144.0</v>
      </c>
      <c r="I7344" s="24">
        <v>0.0</v>
      </c>
      <c r="J7344" s="24">
        <v>0.0</v>
      </c>
      <c r="K7344" s="23" t="s">
        <v>34</v>
      </c>
      <c r="L7344" s="25">
        <v>43007.60690972222</v>
      </c>
      <c r="M7344" s="26" t="s">
        <v>68</v>
      </c>
      <c r="N7344" s="26" t="s">
        <v>10636</v>
      </c>
      <c r="O7344" s="22" t="str">
        <f>HYPERLINK("https://pbs.twimg.com/profile_images/913880163154300928/T7in6NQq_normal.jpg","View")</f>
        <v>View</v>
      </c>
      <c r="P7344" s="27"/>
    </row>
    <row r="7345">
      <c r="A7345" s="14">
        <v>43031.56696759259</v>
      </c>
      <c r="B7345" s="20" t="str">
        <f>HYPERLINK("https://twitter.com/fc1575","@fc1575")</f>
        <v>@fc1575</v>
      </c>
      <c r="C7345" s="21" t="s">
        <v>6181</v>
      </c>
      <c r="D7345" s="21" t="s">
        <v>16208</v>
      </c>
      <c r="E7345" s="22" t="str">
        <f>HYPERLINK("https://twitter.com/fc1575/status/922562382030815233","922562382030815233")</f>
        <v>922562382030815233</v>
      </c>
      <c r="F7345" s="23" t="s">
        <v>39</v>
      </c>
      <c r="G7345" s="24">
        <v>456.0</v>
      </c>
      <c r="H7345" s="24">
        <v>244.0</v>
      </c>
      <c r="I7345" s="24">
        <v>41.0</v>
      </c>
      <c r="J7345" s="24">
        <v>0.0</v>
      </c>
      <c r="K7345" s="23" t="s">
        <v>34</v>
      </c>
      <c r="L7345" s="25">
        <v>40271.43622685185</v>
      </c>
      <c r="M7345" s="26" t="s">
        <v>6182</v>
      </c>
      <c r="N7345" s="26" t="s">
        <v>6183</v>
      </c>
      <c r="O7345" s="22" t="str">
        <f>HYPERLINK("https://pbs.twimg.com/profile_images/481545211311448064/XnRNXLOO_normal.jpeg","View")</f>
        <v>View</v>
      </c>
      <c r="P7345" s="27"/>
    </row>
    <row r="7346">
      <c r="A7346" s="14">
        <v>43031.56711805555</v>
      </c>
      <c r="B7346" s="20" t="str">
        <f>HYPERLINK("https://twitter.com/Tarkesh41741832","@Tarkesh41741832")</f>
        <v>@Tarkesh41741832</v>
      </c>
      <c r="C7346" s="21" t="s">
        <v>16341</v>
      </c>
      <c r="D7346" s="21" t="s">
        <v>42</v>
      </c>
      <c r="E7346" s="22" t="str">
        <f>HYPERLINK("https://twitter.com/Tarkesh41741832/status/922562433780031491","922562433780031491")</f>
        <v>922562433780031491</v>
      </c>
      <c r="F7346" s="23" t="s">
        <v>33</v>
      </c>
      <c r="G7346" s="24">
        <v>2.0</v>
      </c>
      <c r="H7346" s="24">
        <v>103.0</v>
      </c>
      <c r="I7346" s="24">
        <v>8501.0</v>
      </c>
      <c r="J7346" s="24">
        <v>0.0</v>
      </c>
      <c r="K7346" s="23" t="s">
        <v>34</v>
      </c>
      <c r="L7346" s="25">
        <v>43030.57016203704</v>
      </c>
      <c r="M7346" s="28"/>
      <c r="N7346" s="28"/>
      <c r="O7346" s="22" t="str">
        <f>HYPERLINK("https://abs.twimg.com/sticky/default_profile_images/default_profile_normal.png","View")</f>
        <v>View</v>
      </c>
      <c r="P7346" s="27"/>
    </row>
    <row r="7347">
      <c r="A7347" s="14">
        <v>43031.567245370374</v>
      </c>
      <c r="B7347" s="20" t="str">
        <f>HYPERLINK("https://twitter.com/cairowire","@cairowire")</f>
        <v>@cairowire</v>
      </c>
      <c r="C7347" s="31" t="s">
        <v>16342</v>
      </c>
      <c r="D7347" s="21" t="s">
        <v>16331</v>
      </c>
      <c r="E7347" s="22" t="str">
        <f>HYPERLINK("https://twitter.com/cairowire/status/922562481242890240","922562481242890240")</f>
        <v>922562481242890240</v>
      </c>
      <c r="F7347" s="23" t="s">
        <v>39</v>
      </c>
      <c r="G7347" s="24">
        <v>39790.0</v>
      </c>
      <c r="H7347" s="24">
        <v>700.0</v>
      </c>
      <c r="I7347" s="24">
        <v>6.0</v>
      </c>
      <c r="J7347" s="24">
        <v>0.0</v>
      </c>
      <c r="K7347" s="23" t="s">
        <v>34</v>
      </c>
      <c r="L7347" s="25">
        <v>40585.98215277778</v>
      </c>
      <c r="M7347" s="26" t="s">
        <v>16343</v>
      </c>
      <c r="N7347" s="26" t="s">
        <v>16344</v>
      </c>
      <c r="O7347" s="22" t="str">
        <f>HYPERLINK("https://pbs.twimg.com/profile_images/485002903053025280/KpkndYb0_normal.png","View")</f>
        <v>View</v>
      </c>
      <c r="P7347" s="27"/>
    </row>
    <row r="7348">
      <c r="A7348" s="14">
        <v>43031.56767361111</v>
      </c>
      <c r="B7348" s="20" t="str">
        <f>HYPERLINK("https://twitter.com/Irfangeonews","@Irfangeonews")</f>
        <v>@Irfangeonews</v>
      </c>
      <c r="C7348" s="21" t="s">
        <v>16345</v>
      </c>
      <c r="D7348" s="21" t="s">
        <v>3867</v>
      </c>
      <c r="E7348" s="22" t="str">
        <f>HYPERLINK("https://twitter.com/Irfangeonews/status/922562635194802176","922562635194802176")</f>
        <v>922562635194802176</v>
      </c>
      <c r="F7348" s="23" t="s">
        <v>39</v>
      </c>
      <c r="G7348" s="24">
        <v>73.0</v>
      </c>
      <c r="H7348" s="24">
        <v>427.0</v>
      </c>
      <c r="I7348" s="24">
        <v>23.0</v>
      </c>
      <c r="J7348" s="24">
        <v>0.0</v>
      </c>
      <c r="K7348" s="23" t="s">
        <v>34</v>
      </c>
      <c r="L7348" s="25">
        <v>42493.94925925926</v>
      </c>
      <c r="M7348" s="26" t="s">
        <v>853</v>
      </c>
      <c r="N7348" s="26" t="s">
        <v>16346</v>
      </c>
      <c r="O7348" s="22" t="str">
        <f>HYPERLINK("https://pbs.twimg.com/profile_images/727737251413807104/cib_70Qx_normal.jpg","View")</f>
        <v>View</v>
      </c>
      <c r="P7348" s="27"/>
    </row>
    <row r="7349">
      <c r="A7349" s="14">
        <v>43031.56770833333</v>
      </c>
      <c r="B7349" s="20" t="str">
        <f>HYPERLINK("https://twitter.com/fc1575","@fc1575")</f>
        <v>@fc1575</v>
      </c>
      <c r="C7349" s="21" t="s">
        <v>6181</v>
      </c>
      <c r="D7349" s="21" t="s">
        <v>9229</v>
      </c>
      <c r="E7349" s="22" t="str">
        <f>HYPERLINK("https://twitter.com/fc1575/status/922562646812999681","922562646812999681")</f>
        <v>922562646812999681</v>
      </c>
      <c r="F7349" s="23" t="s">
        <v>39</v>
      </c>
      <c r="G7349" s="24">
        <v>456.0</v>
      </c>
      <c r="H7349" s="24">
        <v>244.0</v>
      </c>
      <c r="I7349" s="24">
        <v>38.0</v>
      </c>
      <c r="J7349" s="24">
        <v>0.0</v>
      </c>
      <c r="K7349" s="23" t="s">
        <v>34</v>
      </c>
      <c r="L7349" s="25">
        <v>40271.43622685185</v>
      </c>
      <c r="M7349" s="26" t="s">
        <v>6182</v>
      </c>
      <c r="N7349" s="26" t="s">
        <v>6183</v>
      </c>
      <c r="O7349" s="22" t="str">
        <f>HYPERLINK("https://pbs.twimg.com/profile_images/481545211311448064/XnRNXLOO_normal.jpeg","View")</f>
        <v>View</v>
      </c>
      <c r="P7349" s="27"/>
    </row>
    <row r="7350">
      <c r="A7350" s="14">
        <v>43031.56859953704</v>
      </c>
      <c r="B7350" s="20" t="str">
        <f>HYPERLINK("https://twitter.com/HF7elav7OCrxbcL","@HF7elav7OCrxbcL")</f>
        <v>@HF7elav7OCrxbcL</v>
      </c>
      <c r="C7350" s="21" t="s">
        <v>2653</v>
      </c>
      <c r="D7350" s="21" t="s">
        <v>12974</v>
      </c>
      <c r="E7350" s="22" t="str">
        <f>HYPERLINK("https://twitter.com/HF7elav7OCrxbcL/status/922562973180182528","922562973180182528")</f>
        <v>922562973180182528</v>
      </c>
      <c r="F7350" s="23" t="s">
        <v>39</v>
      </c>
      <c r="G7350" s="24">
        <v>468.0</v>
      </c>
      <c r="H7350" s="24">
        <v>111.0</v>
      </c>
      <c r="I7350" s="24">
        <v>110.0</v>
      </c>
      <c r="J7350" s="24">
        <v>0.0</v>
      </c>
      <c r="K7350" s="23" t="s">
        <v>34</v>
      </c>
      <c r="L7350" s="25">
        <v>42393.76804398149</v>
      </c>
      <c r="M7350" s="28"/>
      <c r="N7350" s="28"/>
      <c r="O7350" s="22" t="str">
        <f>HYPERLINK("https://abs.twimg.com/sticky/default_profile_images/default_profile_normal.png","View")</f>
        <v>View</v>
      </c>
      <c r="P7350" s="27"/>
    </row>
    <row r="7351">
      <c r="A7351" s="14">
        <v>43031.568657407406</v>
      </c>
      <c r="B7351" s="20" t="str">
        <f>HYPERLINK("https://twitter.com/ABHIJEETJHA5","@ABHIJEETJHA5")</f>
        <v>@ABHIJEETJHA5</v>
      </c>
      <c r="C7351" s="21" t="s">
        <v>16347</v>
      </c>
      <c r="D7351" s="21" t="s">
        <v>42</v>
      </c>
      <c r="E7351" s="22" t="str">
        <f>HYPERLINK("https://twitter.com/ABHIJEETJHA5/status/922562992570380288","922562992570380288")</f>
        <v>922562992570380288</v>
      </c>
      <c r="F7351" s="23" t="s">
        <v>33</v>
      </c>
      <c r="G7351" s="24">
        <v>432.0</v>
      </c>
      <c r="H7351" s="24">
        <v>244.0</v>
      </c>
      <c r="I7351" s="24">
        <v>8501.0</v>
      </c>
      <c r="J7351" s="24">
        <v>0.0</v>
      </c>
      <c r="K7351" s="23" t="s">
        <v>34</v>
      </c>
      <c r="L7351" s="25">
        <v>41041.52309027778</v>
      </c>
      <c r="M7351" s="26" t="s">
        <v>7113</v>
      </c>
      <c r="N7351" s="26" t="s">
        <v>16348</v>
      </c>
      <c r="O7351" s="22" t="str">
        <f>HYPERLINK("https://pbs.twimg.com/profile_images/840862905415417857/vcggq7SS_normal.jpg","View")</f>
        <v>View</v>
      </c>
      <c r="P7351" s="27"/>
    </row>
    <row r="7352">
      <c r="A7352" s="14">
        <v>43031.56893518519</v>
      </c>
      <c r="B7352" s="20" t="str">
        <f>HYPERLINK("https://twitter.com/WUMoneyClub","@WUMoneyClub")</f>
        <v>@WUMoneyClub</v>
      </c>
      <c r="C7352" s="21" t="s">
        <v>10728</v>
      </c>
      <c r="D7352" s="21" t="s">
        <v>16349</v>
      </c>
      <c r="E7352" s="22" t="str">
        <f>HYPERLINK("https://twitter.com/WUMoneyClub/status/922563093942583296","922563093942583296")</f>
        <v>922563093942583296</v>
      </c>
      <c r="F7352" s="23" t="s">
        <v>187</v>
      </c>
      <c r="G7352" s="24">
        <v>225.0</v>
      </c>
      <c r="H7352" s="24">
        <v>146.0</v>
      </c>
      <c r="I7352" s="24">
        <v>0.0</v>
      </c>
      <c r="J7352" s="24">
        <v>0.0</v>
      </c>
      <c r="K7352" s="23" t="s">
        <v>34</v>
      </c>
      <c r="L7352" s="25">
        <v>42816.47416666667</v>
      </c>
      <c r="M7352" s="26" t="s">
        <v>10730</v>
      </c>
      <c r="N7352" s="26" t="s">
        <v>10731</v>
      </c>
      <c r="O7352" s="22" t="str">
        <f>HYPERLINK("https://pbs.twimg.com/profile_images/844673346134519812/_6GMOztt_normal.jpg","View")</f>
        <v>View</v>
      </c>
      <c r="P7352" s="27"/>
    </row>
    <row r="7353">
      <c r="A7353" s="14">
        <v>43031.569016203706</v>
      </c>
      <c r="B7353" s="20" t="str">
        <f>HYPERLINK("https://twitter.com/InvestingLatest","@InvestingLatest")</f>
        <v>@InvestingLatest</v>
      </c>
      <c r="C7353" s="21" t="s">
        <v>3758</v>
      </c>
      <c r="D7353" s="21" t="s">
        <v>16350</v>
      </c>
      <c r="E7353" s="22" t="str">
        <f>HYPERLINK("https://twitter.com/InvestingLatest/status/922563123805958144","922563123805958144")</f>
        <v>922563123805958144</v>
      </c>
      <c r="F7353" s="23" t="s">
        <v>187</v>
      </c>
      <c r="G7353" s="24">
        <v>1534.0</v>
      </c>
      <c r="H7353" s="24">
        <v>33.0</v>
      </c>
      <c r="I7353" s="24">
        <v>0.0</v>
      </c>
      <c r="J7353" s="24">
        <v>0.0</v>
      </c>
      <c r="K7353" s="23" t="s">
        <v>34</v>
      </c>
      <c r="L7353" s="25">
        <v>41946.3308912037</v>
      </c>
      <c r="M7353" s="28"/>
      <c r="N7353" s="26" t="s">
        <v>3760</v>
      </c>
      <c r="O7353" s="22" t="str">
        <f>HYPERLINK("https://pbs.twimg.com/profile_images/529461684297945089/uscUz0UO_normal.jpeg","View")</f>
        <v>View</v>
      </c>
      <c r="P7353" s="27"/>
    </row>
    <row r="7354">
      <c r="A7354" s="14">
        <v>43031.569247685184</v>
      </c>
      <c r="B7354" s="20" t="str">
        <f>HYPERLINK("https://twitter.com/badestkarma","@badestkarma")</f>
        <v>@badestkarma</v>
      </c>
      <c r="C7354" s="21" t="s">
        <v>16351</v>
      </c>
      <c r="D7354" s="21" t="s">
        <v>42</v>
      </c>
      <c r="E7354" s="22" t="str">
        <f>HYPERLINK("https://twitter.com/badestkarma/status/922563207746666497","922563207746666497")</f>
        <v>922563207746666497</v>
      </c>
      <c r="F7354" s="23" t="s">
        <v>33</v>
      </c>
      <c r="G7354" s="24">
        <v>16.0</v>
      </c>
      <c r="H7354" s="24">
        <v>57.0</v>
      </c>
      <c r="I7354" s="24">
        <v>8501.0</v>
      </c>
      <c r="J7354" s="24">
        <v>0.0</v>
      </c>
      <c r="K7354" s="23" t="s">
        <v>34</v>
      </c>
      <c r="L7354" s="25">
        <v>42619.18457175926</v>
      </c>
      <c r="M7354" s="28"/>
      <c r="N7354" s="28"/>
      <c r="O7354" s="22" t="str">
        <f>HYPERLINK("https://abs.twimg.com/sticky/default_profile_images/default_profile_normal.png","View")</f>
        <v>View</v>
      </c>
      <c r="P7354" s="27"/>
    </row>
    <row r="7355">
      <c r="A7355" s="14">
        <v>43031.569560185184</v>
      </c>
      <c r="B7355" s="20" t="str">
        <f>HYPERLINK("https://twitter.com/Ahmedh625h","@Ahmedh625h")</f>
        <v>@Ahmedh625h</v>
      </c>
      <c r="C7355" s="21" t="s">
        <v>16352</v>
      </c>
      <c r="D7355" s="21" t="s">
        <v>32</v>
      </c>
      <c r="E7355" s="22" t="str">
        <f>HYPERLINK("https://twitter.com/Ahmedh625h/status/922563318119673857","922563318119673857")</f>
        <v>922563318119673857</v>
      </c>
      <c r="F7355" s="23" t="s">
        <v>39</v>
      </c>
      <c r="G7355" s="24">
        <v>97.0</v>
      </c>
      <c r="H7355" s="24">
        <v>749.0</v>
      </c>
      <c r="I7355" s="24">
        <v>471.0</v>
      </c>
      <c r="J7355" s="24">
        <v>0.0</v>
      </c>
      <c r="K7355" s="23" t="s">
        <v>34</v>
      </c>
      <c r="L7355" s="25">
        <v>42735.100277777776</v>
      </c>
      <c r="M7355" s="26" t="s">
        <v>114</v>
      </c>
      <c r="N7355" s="26" t="s">
        <v>16353</v>
      </c>
      <c r="O7355" s="22" t="str">
        <f>HYPERLINK("https://pbs.twimg.com/profile_images/833259795155136513/8gIPX1ec_normal.jpg","View")</f>
        <v>View</v>
      </c>
      <c r="P7355" s="27"/>
    </row>
    <row r="7356">
      <c r="A7356" s="14">
        <v>43031.56982638889</v>
      </c>
      <c r="B7356" s="20" t="str">
        <f>HYPERLINK("https://twitter.com/Ucena53","@Ucena53")</f>
        <v>@Ucena53</v>
      </c>
      <c r="C7356" s="21" t="s">
        <v>16354</v>
      </c>
      <c r="D7356" s="21" t="s">
        <v>16331</v>
      </c>
      <c r="E7356" s="22" t="str">
        <f>HYPERLINK("https://twitter.com/Ucena53/status/922563417344393216","922563417344393216")</f>
        <v>922563417344393216</v>
      </c>
      <c r="F7356" s="23" t="s">
        <v>230</v>
      </c>
      <c r="G7356" s="24">
        <v>1026.0</v>
      </c>
      <c r="H7356" s="24">
        <v>1179.0</v>
      </c>
      <c r="I7356" s="24">
        <v>6.0</v>
      </c>
      <c r="J7356" s="24">
        <v>0.0</v>
      </c>
      <c r="K7356" s="23" t="s">
        <v>34</v>
      </c>
      <c r="L7356" s="25">
        <v>41149.00457175926</v>
      </c>
      <c r="M7356" s="28"/>
      <c r="N7356" s="28"/>
      <c r="O7356" s="22" t="str">
        <f>HYPERLINK("https://pbs.twimg.com/profile_images/2553596731/44hg3920676i4vzhi8q4_normal.jpeg","View")</f>
        <v>View</v>
      </c>
      <c r="P7356" s="27"/>
    </row>
    <row r="7357">
      <c r="A7357" s="14">
        <v>43031.56983796296</v>
      </c>
      <c r="B7357" s="20" t="str">
        <f>HYPERLINK("https://twitter.com/OnFocusFire","@OnFocusFire")</f>
        <v>@OnFocusFire</v>
      </c>
      <c r="C7357" s="21" t="s">
        <v>16355</v>
      </c>
      <c r="D7357" s="21" t="s">
        <v>16331</v>
      </c>
      <c r="E7357" s="22" t="str">
        <f>HYPERLINK("https://twitter.com/OnFocusFire/status/922563420213219328","922563420213219328")</f>
        <v>922563420213219328</v>
      </c>
      <c r="F7357" s="23" t="s">
        <v>39</v>
      </c>
      <c r="G7357" s="24">
        <v>1000.0</v>
      </c>
      <c r="H7357" s="24">
        <v>472.0</v>
      </c>
      <c r="I7357" s="24">
        <v>6.0</v>
      </c>
      <c r="J7357" s="24">
        <v>0.0</v>
      </c>
      <c r="K7357" s="23" t="s">
        <v>34</v>
      </c>
      <c r="L7357" s="25">
        <v>39908.492210648146</v>
      </c>
      <c r="M7357" s="28"/>
      <c r="N7357" s="26" t="s">
        <v>16356</v>
      </c>
      <c r="O7357" s="22" t="str">
        <f>HYPERLINK("https://pbs.twimg.com/profile_images/922161405855502336/O3pN9FP__normal.jpg","View")</f>
        <v>View</v>
      </c>
      <c r="P7357" s="27"/>
    </row>
    <row r="7358">
      <c r="A7358" s="14">
        <v>43031.5712962963</v>
      </c>
      <c r="B7358" s="20" t="str">
        <f>HYPERLINK("https://twitter.com/franskoster070","@franskoster070")</f>
        <v>@franskoster070</v>
      </c>
      <c r="C7358" s="21" t="s">
        <v>16357</v>
      </c>
      <c r="D7358" s="21" t="s">
        <v>16358</v>
      </c>
      <c r="E7358" s="22" t="str">
        <f>HYPERLINK("https://twitter.com/franskoster070/status/922563949328875520","922563949328875520")</f>
        <v>922563949328875520</v>
      </c>
      <c r="F7358" s="23" t="s">
        <v>39</v>
      </c>
      <c r="G7358" s="24">
        <v>813.0</v>
      </c>
      <c r="H7358" s="24">
        <v>298.0</v>
      </c>
      <c r="I7358" s="24">
        <v>1.0</v>
      </c>
      <c r="J7358" s="24">
        <v>0.0</v>
      </c>
      <c r="K7358" s="23" t="s">
        <v>34</v>
      </c>
      <c r="L7358" s="25">
        <v>40437.18349537037</v>
      </c>
      <c r="M7358" s="26" t="s">
        <v>16359</v>
      </c>
      <c r="N7358" s="26" t="s">
        <v>16360</v>
      </c>
      <c r="O7358" s="22" t="str">
        <f>HYPERLINK("https://pbs.twimg.com/profile_images/843779815413071872/balZJaTD_normal.jpg","View")</f>
        <v>View</v>
      </c>
      <c r="P7358" s="27"/>
    </row>
    <row r="7359">
      <c r="A7359" s="14">
        <v>43031.57130787037</v>
      </c>
      <c r="B7359" s="20" t="str">
        <f>HYPERLINK("https://twitter.com/ZAKOOLISA","@ZAKOOLISA")</f>
        <v>@ZAKOOLISA</v>
      </c>
      <c r="C7359" s="21" t="s">
        <v>16361</v>
      </c>
      <c r="D7359" s="21" t="s">
        <v>16362</v>
      </c>
      <c r="E7359" s="22" t="str">
        <f>HYPERLINK("https://twitter.com/ZAKOOLISA/status/922563954987057152","922563954987057152")</f>
        <v>922563954987057152</v>
      </c>
      <c r="F7359" s="23" t="s">
        <v>39</v>
      </c>
      <c r="G7359" s="24">
        <v>1553.0</v>
      </c>
      <c r="H7359" s="24">
        <v>1535.0</v>
      </c>
      <c r="I7359" s="24">
        <v>0.0</v>
      </c>
      <c r="J7359" s="24">
        <v>0.0</v>
      </c>
      <c r="K7359" s="23" t="s">
        <v>34</v>
      </c>
      <c r="L7359" s="25">
        <v>42320.8596875</v>
      </c>
      <c r="M7359" s="28"/>
      <c r="N7359" s="26" t="s">
        <v>16363</v>
      </c>
      <c r="O7359" s="22" t="str">
        <f>HYPERLINK("https://pbs.twimg.com/profile_images/665729326445281280/Sy3A9nbY_normal.jpg","View")</f>
        <v>View</v>
      </c>
      <c r="P7359" s="27"/>
    </row>
    <row r="7360">
      <c r="A7360" s="14">
        <v>43031.57197916666</v>
      </c>
      <c r="B7360" s="20" t="str">
        <f>HYPERLINK("https://twitter.com/yohiobaseball","@yohiobaseball")</f>
        <v>@yohiobaseball</v>
      </c>
      <c r="C7360" s="21" t="s">
        <v>16364</v>
      </c>
      <c r="D7360" s="21" t="s">
        <v>14855</v>
      </c>
      <c r="E7360" s="22" t="str">
        <f>HYPERLINK("https://twitter.com/yohiobaseball/status/922564194767011840","922564194767011840")</f>
        <v>922564194767011840</v>
      </c>
      <c r="F7360" s="23" t="s">
        <v>43</v>
      </c>
      <c r="G7360" s="24">
        <v>2673.0</v>
      </c>
      <c r="H7360" s="24">
        <v>2628.0</v>
      </c>
      <c r="I7360" s="24">
        <v>36.0</v>
      </c>
      <c r="J7360" s="24">
        <v>0.0</v>
      </c>
      <c r="K7360" s="23" t="s">
        <v>34</v>
      </c>
      <c r="L7360" s="25">
        <v>42247.04677083333</v>
      </c>
      <c r="M7360" s="35" t="s">
        <v>16365</v>
      </c>
      <c r="N7360" s="26" t="s">
        <v>16366</v>
      </c>
      <c r="O7360" s="22" t="str">
        <f>HYPERLINK("https://pbs.twimg.com/profile_images/684549940803059712/j0td5c5h_normal.jpg","View")</f>
        <v>View</v>
      </c>
      <c r="P7360" s="27"/>
    </row>
    <row r="7361">
      <c r="A7361" s="14">
        <v>43031.572175925925</v>
      </c>
      <c r="B7361" s="20" t="str">
        <f>HYPERLINK("https://twitter.com/Mervyn_kerry","@Mervyn_kerry")</f>
        <v>@Mervyn_kerry</v>
      </c>
      <c r="C7361" s="21" t="s">
        <v>16367</v>
      </c>
      <c r="D7361" s="21" t="s">
        <v>32</v>
      </c>
      <c r="E7361" s="22" t="str">
        <f>HYPERLINK("https://twitter.com/Mervyn_kerry/status/922564268725112832","922564268725112832")</f>
        <v>922564268725112832</v>
      </c>
      <c r="F7361" s="23" t="s">
        <v>33</v>
      </c>
      <c r="G7361" s="24">
        <v>2702.0</v>
      </c>
      <c r="H7361" s="24">
        <v>1697.0</v>
      </c>
      <c r="I7361" s="24">
        <v>471.0</v>
      </c>
      <c r="J7361" s="24">
        <v>0.0</v>
      </c>
      <c r="K7361" s="23" t="s">
        <v>34</v>
      </c>
      <c r="L7361" s="25">
        <v>41189.14833333333</v>
      </c>
      <c r="M7361" s="26" t="s">
        <v>16368</v>
      </c>
      <c r="N7361" s="26" t="s">
        <v>16369</v>
      </c>
      <c r="O7361" s="22" t="str">
        <f>HYPERLINK("https://pbs.twimg.com/profile_images/616637687576064000/63zlYl-7_normal.jpg","View")</f>
        <v>View</v>
      </c>
      <c r="P7361" s="27"/>
    </row>
    <row r="7362">
      <c r="A7362" s="14">
        <v>43031.572233796294</v>
      </c>
      <c r="B7362" s="20" t="str">
        <f>HYPERLINK("https://twitter.com/RosinhadeRecife","@RosinhadeRecife")</f>
        <v>@RosinhadeRecife</v>
      </c>
      <c r="C7362" s="21" t="s">
        <v>16370</v>
      </c>
      <c r="D7362" s="21" t="s">
        <v>16208</v>
      </c>
      <c r="E7362" s="22" t="str">
        <f>HYPERLINK("https://twitter.com/RosinhadeRecife/status/922564288027312129","922564288027312129")</f>
        <v>922564288027312129</v>
      </c>
      <c r="F7362" s="23" t="s">
        <v>55</v>
      </c>
      <c r="G7362" s="24">
        <v>403.0</v>
      </c>
      <c r="H7362" s="24">
        <v>220.0</v>
      </c>
      <c r="I7362" s="24">
        <v>41.0</v>
      </c>
      <c r="J7362" s="24">
        <v>0.0</v>
      </c>
      <c r="K7362" s="23" t="s">
        <v>34</v>
      </c>
      <c r="L7362" s="25">
        <v>40250.642164351855</v>
      </c>
      <c r="M7362" s="26" t="s">
        <v>1124</v>
      </c>
      <c r="N7362" s="26" t="s">
        <v>16371</v>
      </c>
      <c r="O7362" s="22" t="str">
        <f>HYPERLINK("https://pbs.twimg.com/profile_images/811870011186937856/o_q83dND_normal.jpg","View")</f>
        <v>View</v>
      </c>
      <c r="P7362" s="27"/>
    </row>
    <row r="7363">
      <c r="A7363" s="14">
        <v>43031.57283564815</v>
      </c>
      <c r="B7363" s="20" t="str">
        <f>HYPERLINK("https://twitter.com/chetanrajchauh1","@chetanrajchauh1")</f>
        <v>@chetanrajchauh1</v>
      </c>
      <c r="C7363" s="21" t="s">
        <v>16372</v>
      </c>
      <c r="D7363" s="21" t="s">
        <v>163</v>
      </c>
      <c r="E7363" s="22" t="str">
        <f>HYPERLINK("https://twitter.com/chetanrajchauh1/status/922564506680569856","922564506680569856")</f>
        <v>922564506680569856</v>
      </c>
      <c r="F7363" s="23" t="s">
        <v>33</v>
      </c>
      <c r="G7363" s="24">
        <v>76.0</v>
      </c>
      <c r="H7363" s="24">
        <v>217.0</v>
      </c>
      <c r="I7363" s="24">
        <v>1005.0</v>
      </c>
      <c r="J7363" s="24">
        <v>0.0</v>
      </c>
      <c r="K7363" s="23" t="s">
        <v>34</v>
      </c>
      <c r="L7363" s="25">
        <v>42390.47263888889</v>
      </c>
      <c r="M7363" s="26" t="s">
        <v>1760</v>
      </c>
      <c r="N7363" s="28"/>
      <c r="O7363" s="22" t="str">
        <f>HYPERLINK("https://pbs.twimg.com/profile_images/769285196415807488/4-5I5q5o_normal.jpg","View")</f>
        <v>View</v>
      </c>
      <c r="P7363" s="27"/>
    </row>
    <row r="7364">
      <c r="A7364" s="14">
        <v>43031.57300925926</v>
      </c>
      <c r="B7364" s="20" t="str">
        <f>HYPERLINK("https://twitter.com/WTKR3","@WTKR3")</f>
        <v>@WTKR3</v>
      </c>
      <c r="C7364" s="21" t="s">
        <v>16373</v>
      </c>
      <c r="D7364" s="21" t="s">
        <v>16374</v>
      </c>
      <c r="E7364" s="22" t="str">
        <f>HYPERLINK("https://twitter.com/WTKR3/status/922564569943252992","922564569943252992")</f>
        <v>922564569943252992</v>
      </c>
      <c r="F7364" s="23" t="s">
        <v>427</v>
      </c>
      <c r="G7364" s="24">
        <v>89353.0</v>
      </c>
      <c r="H7364" s="24">
        <v>1559.0</v>
      </c>
      <c r="I7364" s="24">
        <v>0.0</v>
      </c>
      <c r="J7364" s="24">
        <v>0.0</v>
      </c>
      <c r="K7364" s="23" t="s">
        <v>34</v>
      </c>
      <c r="L7364" s="25">
        <v>39881.65929398148</v>
      </c>
      <c r="M7364" s="26" t="s">
        <v>16375</v>
      </c>
      <c r="N7364" s="26" t="s">
        <v>16376</v>
      </c>
      <c r="O7364" s="22" t="str">
        <f>HYPERLINK("https://pbs.twimg.com/profile_images/816023966288609280/1elGv9hG_normal.jpg","View")</f>
        <v>View</v>
      </c>
      <c r="P7364" s="27"/>
    </row>
    <row r="7365">
      <c r="A7365" s="14">
        <v>43031.573425925926</v>
      </c>
      <c r="B7365" s="20" t="str">
        <f>HYPERLINK("https://twitter.com/Mera___Bharat","@Mera___Bharat")</f>
        <v>@Mera___Bharat</v>
      </c>
      <c r="C7365" s="21" t="s">
        <v>16377</v>
      </c>
      <c r="D7365" s="21" t="s">
        <v>42</v>
      </c>
      <c r="E7365" s="22" t="str">
        <f>HYPERLINK("https://twitter.com/Mera___Bharat/status/922564721315688448","922564721315688448")</f>
        <v>922564721315688448</v>
      </c>
      <c r="F7365" s="23" t="s">
        <v>33</v>
      </c>
      <c r="G7365" s="24">
        <v>52.0</v>
      </c>
      <c r="H7365" s="24">
        <v>44.0</v>
      </c>
      <c r="I7365" s="24">
        <v>8501.0</v>
      </c>
      <c r="J7365" s="24">
        <v>0.0</v>
      </c>
      <c r="K7365" s="23" t="s">
        <v>34</v>
      </c>
      <c r="L7365" s="25">
        <v>42790.50837962963</v>
      </c>
      <c r="M7365" s="26" t="s">
        <v>16378</v>
      </c>
      <c r="N7365" s="26" t="s">
        <v>16379</v>
      </c>
      <c r="O7365" s="22" t="str">
        <f>HYPERLINK("https://pbs.twimg.com/profile_images/898211494944358404/TnliXOhR_normal.jpg","View")</f>
        <v>View</v>
      </c>
      <c r="P7365" s="27"/>
    </row>
    <row r="7366">
      <c r="A7366" s="14">
        <v>43031.573969907404</v>
      </c>
      <c r="B7366" s="20" t="str">
        <f t="shared" ref="B7366:B7367" si="121">HYPERLINK("https://twitter.com/NTKRNow","@NTKRNow")</f>
        <v>@NTKRNow</v>
      </c>
      <c r="C7366" s="21" t="s">
        <v>14875</v>
      </c>
      <c r="D7366" s="21" t="s">
        <v>16380</v>
      </c>
      <c r="E7366" s="22" t="str">
        <f>HYPERLINK("https://twitter.com/NTKRNow/status/922564916338352128","922564916338352128")</f>
        <v>922564916338352128</v>
      </c>
      <c r="F7366" s="23" t="s">
        <v>187</v>
      </c>
      <c r="G7366" s="24">
        <v>605.0</v>
      </c>
      <c r="H7366" s="24">
        <v>4.0</v>
      </c>
      <c r="I7366" s="24">
        <v>0.0</v>
      </c>
      <c r="J7366" s="24">
        <v>0.0</v>
      </c>
      <c r="K7366" s="23" t="s">
        <v>34</v>
      </c>
      <c r="L7366" s="25">
        <v>42402.810625</v>
      </c>
      <c r="M7366" s="28"/>
      <c r="N7366" s="28"/>
      <c r="O7366" s="22" t="str">
        <f t="shared" ref="O7366:O7368" si="122">HYPERLINK("https://abs.twimg.com/sticky/default_profile_images/default_profile_normal.png","View")</f>
        <v>View</v>
      </c>
      <c r="P7366" s="27"/>
    </row>
    <row r="7367">
      <c r="A7367" s="14">
        <v>43031.57398148148</v>
      </c>
      <c r="B7367" s="20" t="str">
        <f t="shared" si="121"/>
        <v>@NTKRNow</v>
      </c>
      <c r="C7367" s="21" t="s">
        <v>14875</v>
      </c>
      <c r="D7367" s="21" t="s">
        <v>16381</v>
      </c>
      <c r="E7367" s="22" t="str">
        <f>HYPERLINK("https://twitter.com/NTKRNow/status/922564920247435264","922564920247435264")</f>
        <v>922564920247435264</v>
      </c>
      <c r="F7367" s="23" t="s">
        <v>187</v>
      </c>
      <c r="G7367" s="24">
        <v>605.0</v>
      </c>
      <c r="H7367" s="24">
        <v>4.0</v>
      </c>
      <c r="I7367" s="24">
        <v>0.0</v>
      </c>
      <c r="J7367" s="24">
        <v>0.0</v>
      </c>
      <c r="K7367" s="23" t="s">
        <v>34</v>
      </c>
      <c r="L7367" s="25">
        <v>42402.810625</v>
      </c>
      <c r="M7367" s="28"/>
      <c r="N7367" s="28"/>
      <c r="O7367" s="22" t="str">
        <f t="shared" si="122"/>
        <v>View</v>
      </c>
      <c r="P7367" s="27"/>
    </row>
    <row r="7368">
      <c r="A7368" s="14">
        <v>43031.57400462963</v>
      </c>
      <c r="B7368" s="20" t="str">
        <f>HYPERLINK("https://twitter.com/HemantP06017166","@HemantP06017166")</f>
        <v>@HemantP06017166</v>
      </c>
      <c r="C7368" s="21" t="s">
        <v>16382</v>
      </c>
      <c r="D7368" s="21" t="s">
        <v>42</v>
      </c>
      <c r="E7368" s="22" t="str">
        <f>HYPERLINK("https://twitter.com/HemantP06017166/status/922564928661102594","922564928661102594")</f>
        <v>922564928661102594</v>
      </c>
      <c r="F7368" s="23" t="s">
        <v>33</v>
      </c>
      <c r="G7368" s="24">
        <v>0.0</v>
      </c>
      <c r="H7368" s="24">
        <v>43.0</v>
      </c>
      <c r="I7368" s="24">
        <v>8501.0</v>
      </c>
      <c r="J7368" s="24">
        <v>0.0</v>
      </c>
      <c r="K7368" s="23" t="s">
        <v>34</v>
      </c>
      <c r="L7368" s="25">
        <v>43031.50114583333</v>
      </c>
      <c r="M7368" s="28"/>
      <c r="N7368" s="28"/>
      <c r="O7368" s="22" t="str">
        <f t="shared" si="122"/>
        <v>View</v>
      </c>
      <c r="P7368" s="27"/>
    </row>
    <row r="7369">
      <c r="A7369" s="14">
        <v>43031.57435185185</v>
      </c>
      <c r="B7369" s="20" t="str">
        <f>HYPERLINK("https://twitter.com/ZulfiqarMotors","@ZulfiqarMotors")</f>
        <v>@ZulfiqarMotors</v>
      </c>
      <c r="C7369" s="21" t="s">
        <v>16383</v>
      </c>
      <c r="D7369" s="21" t="s">
        <v>16384</v>
      </c>
      <c r="E7369" s="22" t="str">
        <f>HYPERLINK("https://twitter.com/ZulfiqarMotors/status/922565055870246913","922565055870246913")</f>
        <v>922565055870246913</v>
      </c>
      <c r="F7369" s="23" t="s">
        <v>16385</v>
      </c>
      <c r="G7369" s="24">
        <v>264.0</v>
      </c>
      <c r="H7369" s="24">
        <v>36.0</v>
      </c>
      <c r="I7369" s="24">
        <v>0.0</v>
      </c>
      <c r="J7369" s="24">
        <v>0.0</v>
      </c>
      <c r="K7369" s="23" t="s">
        <v>34</v>
      </c>
      <c r="L7369" s="25">
        <v>41100.24259259259</v>
      </c>
      <c r="M7369" s="26" t="s">
        <v>16386</v>
      </c>
      <c r="N7369" s="26" t="s">
        <v>16387</v>
      </c>
      <c r="O7369" s="22" t="str">
        <f>HYPERLINK("https://pbs.twimg.com/profile_images/344513261581432678/d04211f60053c52b846a317d64b10411_normal.jpeg","View")</f>
        <v>View</v>
      </c>
      <c r="P7369" s="27"/>
    </row>
    <row r="7370">
      <c r="A7370" s="14">
        <v>43031.57435185185</v>
      </c>
      <c r="B7370" s="20" t="str">
        <f>HYPERLINK("https://twitter.com/MY_Edoo","@MY_Edoo")</f>
        <v>@MY_Edoo</v>
      </c>
      <c r="C7370" s="21" t="s">
        <v>16388</v>
      </c>
      <c r="D7370" s="21" t="s">
        <v>14466</v>
      </c>
      <c r="E7370" s="22" t="str">
        <f>HYPERLINK("https://twitter.com/MY_Edoo/status/922565056184795136","922565056184795136")</f>
        <v>922565056184795136</v>
      </c>
      <c r="F7370" s="23" t="s">
        <v>39</v>
      </c>
      <c r="G7370" s="24">
        <v>1228.0</v>
      </c>
      <c r="H7370" s="24">
        <v>2043.0</v>
      </c>
      <c r="I7370" s="24">
        <v>4.0</v>
      </c>
      <c r="J7370" s="24">
        <v>0.0</v>
      </c>
      <c r="K7370" s="23" t="s">
        <v>34</v>
      </c>
      <c r="L7370" s="25">
        <v>40379.534791666665</v>
      </c>
      <c r="M7370" s="26" t="s">
        <v>8001</v>
      </c>
      <c r="N7370" s="26" t="s">
        <v>16389</v>
      </c>
      <c r="O7370" s="22" t="str">
        <f>HYPERLINK("https://pbs.twimg.com/profile_images/890675622271270912/2SVjbcXC_normal.jpg","View")</f>
        <v>View</v>
      </c>
      <c r="P7370" s="27"/>
    </row>
    <row r="7371">
      <c r="A7371" s="14">
        <v>43031.57460648148</v>
      </c>
      <c r="B7371" s="20" t="str">
        <f>HYPERLINK("https://twitter.com/a_l_vidal","@a_l_vidal")</f>
        <v>@a_l_vidal</v>
      </c>
      <c r="C7371" s="21" t="s">
        <v>16390</v>
      </c>
      <c r="D7371" s="21" t="s">
        <v>16391</v>
      </c>
      <c r="E7371" s="22" t="str">
        <f>HYPERLINK("https://twitter.com/a_l_vidal/status/922565146853105664","922565146853105664")</f>
        <v>922565146853105664</v>
      </c>
      <c r="F7371" s="23" t="s">
        <v>4595</v>
      </c>
      <c r="G7371" s="24">
        <v>122.0</v>
      </c>
      <c r="H7371" s="24">
        <v>216.0</v>
      </c>
      <c r="I7371" s="24">
        <v>0.0</v>
      </c>
      <c r="J7371" s="24">
        <v>0.0</v>
      </c>
      <c r="K7371" s="23" t="s">
        <v>34</v>
      </c>
      <c r="L7371" s="25">
        <v>40471.134733796294</v>
      </c>
      <c r="M7371" s="26" t="s">
        <v>16392</v>
      </c>
      <c r="N7371" s="26" t="s">
        <v>16393</v>
      </c>
      <c r="O7371" s="22" t="str">
        <f>HYPERLINK("https://pbs.twimg.com/profile_images/1569267834/DSC_0550_normal.JPG","View")</f>
        <v>View</v>
      </c>
      <c r="P7371" s="27"/>
    </row>
    <row r="7372">
      <c r="A7372" s="14">
        <v>43031.57489583333</v>
      </c>
      <c r="B7372" s="20" t="str">
        <f>HYPERLINK("https://twitter.com/imichelR","@imichelR")</f>
        <v>@imichelR</v>
      </c>
      <c r="C7372" s="21" t="s">
        <v>16394</v>
      </c>
      <c r="D7372" s="21" t="s">
        <v>9342</v>
      </c>
      <c r="E7372" s="22" t="str">
        <f>HYPERLINK("https://twitter.com/imichelR/status/922565252264247296","922565252264247296")</f>
        <v>922565252264247296</v>
      </c>
      <c r="F7372" s="23" t="s">
        <v>55</v>
      </c>
      <c r="G7372" s="24">
        <v>729.0</v>
      </c>
      <c r="H7372" s="24">
        <v>33.0</v>
      </c>
      <c r="I7372" s="24">
        <v>6.0</v>
      </c>
      <c r="J7372" s="24">
        <v>0.0</v>
      </c>
      <c r="K7372" s="23" t="s">
        <v>34</v>
      </c>
      <c r="L7372" s="25">
        <v>39959.66337962963</v>
      </c>
      <c r="M7372" s="28"/>
      <c r="N7372" s="28"/>
      <c r="O7372" s="22" t="str">
        <f>HYPERLINK("https://pbs.twimg.com/profile_images/907683974947983361/1RGqLiyg_normal.jpg","View")</f>
        <v>View</v>
      </c>
      <c r="P7372" s="27"/>
    </row>
    <row r="7373">
      <c r="A7373" s="14">
        <v>43031.57577546296</v>
      </c>
      <c r="B7373" s="20" t="str">
        <f>HYPERLINK("https://twitter.com/ucbnews","@ucbnews")</f>
        <v>@ucbnews</v>
      </c>
      <c r="C7373" s="21" t="s">
        <v>16395</v>
      </c>
      <c r="D7373" s="21" t="s">
        <v>16396</v>
      </c>
      <c r="E7373" s="22" t="str">
        <f>HYPERLINK("https://twitter.com/ucbnews/status/922565571085983744","922565571085983744")</f>
        <v>922565571085983744</v>
      </c>
      <c r="F7373" s="23" t="s">
        <v>187</v>
      </c>
      <c r="G7373" s="24">
        <v>243.0</v>
      </c>
      <c r="H7373" s="24">
        <v>125.0</v>
      </c>
      <c r="I7373" s="24">
        <v>0.0</v>
      </c>
      <c r="J7373" s="24">
        <v>0.0</v>
      </c>
      <c r="K7373" s="23" t="s">
        <v>34</v>
      </c>
      <c r="L7373" s="25">
        <v>39856.98952546297</v>
      </c>
      <c r="M7373" s="26" t="s">
        <v>3011</v>
      </c>
      <c r="N7373" s="26" t="s">
        <v>16397</v>
      </c>
      <c r="O7373" s="22" t="str">
        <f>HYPERLINK("https://pbs.twimg.com/profile_images/863621452347523072/0_LM2MYi_normal.jpg","View")</f>
        <v>View</v>
      </c>
      <c r="P7373" s="27"/>
    </row>
    <row r="7374">
      <c r="A7374" s="14">
        <v>43031.575891203705</v>
      </c>
      <c r="B7374" s="20" t="str">
        <f>HYPERLINK("https://twitter.com/aandy7230","@aandy7230")</f>
        <v>@aandy7230</v>
      </c>
      <c r="C7374" s="21" t="s">
        <v>16398</v>
      </c>
      <c r="D7374" s="21" t="s">
        <v>42</v>
      </c>
      <c r="E7374" s="22" t="str">
        <f>HYPERLINK("https://twitter.com/aandy7230/status/922565612940926977","922565612940926977")</f>
        <v>922565612940926977</v>
      </c>
      <c r="F7374" s="23" t="s">
        <v>33</v>
      </c>
      <c r="G7374" s="24">
        <v>14.0</v>
      </c>
      <c r="H7374" s="24">
        <v>58.0</v>
      </c>
      <c r="I7374" s="24">
        <v>8501.0</v>
      </c>
      <c r="J7374" s="24">
        <v>0.0</v>
      </c>
      <c r="K7374" s="23" t="s">
        <v>34</v>
      </c>
      <c r="L7374" s="25">
        <v>42398.39548611111</v>
      </c>
      <c r="M7374" s="26" t="s">
        <v>3430</v>
      </c>
      <c r="N7374" s="28"/>
      <c r="O7374" s="22" t="str">
        <f>HYPERLINK("https://pbs.twimg.com/profile_images/900812353196785664/LX71JbN4_normal.jpg","View")</f>
        <v>View</v>
      </c>
      <c r="P7374" s="27"/>
    </row>
    <row r="7375">
      <c r="A7375" s="14">
        <v>43031.57643518518</v>
      </c>
      <c r="B7375" s="20" t="str">
        <f>HYPERLINK("https://twitter.com/hkgupta16","@hkgupta16")</f>
        <v>@hkgupta16</v>
      </c>
      <c r="C7375" s="21" t="s">
        <v>16399</v>
      </c>
      <c r="D7375" s="21" t="s">
        <v>42</v>
      </c>
      <c r="E7375" s="22" t="str">
        <f>HYPERLINK("https://twitter.com/hkgupta16/status/922565809288896513","922565809288896513")</f>
        <v>922565809288896513</v>
      </c>
      <c r="F7375" s="23" t="s">
        <v>33</v>
      </c>
      <c r="G7375" s="24">
        <v>2062.0</v>
      </c>
      <c r="H7375" s="24">
        <v>4264.0</v>
      </c>
      <c r="I7375" s="24">
        <v>8501.0</v>
      </c>
      <c r="J7375" s="24">
        <v>0.0</v>
      </c>
      <c r="K7375" s="23" t="s">
        <v>34</v>
      </c>
      <c r="L7375" s="25">
        <v>41700.03556712963</v>
      </c>
      <c r="M7375" s="26" t="s">
        <v>16400</v>
      </c>
      <c r="N7375" s="26" t="s">
        <v>16401</v>
      </c>
      <c r="O7375" s="22" t="str">
        <f>HYPERLINK("https://pbs.twimg.com/profile_images/914827755157544960/oLjW9gAd_normal.jpg","View")</f>
        <v>View</v>
      </c>
      <c r="P7375" s="27"/>
    </row>
    <row r="7376">
      <c r="A7376" s="14">
        <v>43031.57649305556</v>
      </c>
      <c r="B7376" s="20" t="str">
        <f>HYPERLINK("https://twitter.com/MrAbuSidiq","@MrAbuSidiq")</f>
        <v>@MrAbuSidiq</v>
      </c>
      <c r="C7376" s="21" t="s">
        <v>11889</v>
      </c>
      <c r="D7376" s="21" t="s">
        <v>16402</v>
      </c>
      <c r="E7376" s="22" t="str">
        <f>HYPERLINK("https://twitter.com/MrAbuSidiq/status/922565830943973376","922565830943973376")</f>
        <v>922565830943973376</v>
      </c>
      <c r="F7376" s="30" t="s">
        <v>411</v>
      </c>
      <c r="G7376" s="24">
        <v>29985.0</v>
      </c>
      <c r="H7376" s="24">
        <v>1364.0</v>
      </c>
      <c r="I7376" s="24">
        <v>0.0</v>
      </c>
      <c r="J7376" s="24">
        <v>0.0</v>
      </c>
      <c r="K7376" s="23" t="s">
        <v>34</v>
      </c>
      <c r="L7376" s="25">
        <v>40553.45952546296</v>
      </c>
      <c r="M7376" s="26" t="s">
        <v>4424</v>
      </c>
      <c r="N7376" s="26" t="s">
        <v>11892</v>
      </c>
      <c r="O7376" s="22" t="str">
        <f>HYPERLINK("https://pbs.twimg.com/profile_images/904723348663525376/nrG_lppk_normal.jpg","View")</f>
        <v>View</v>
      </c>
      <c r="P7376" s="27"/>
    </row>
    <row r="7377">
      <c r="A7377" s="14">
        <v>43031.57650462963</v>
      </c>
      <c r="B7377" s="20" t="str">
        <f>HYPERLINK("https://twitter.com/AbusidiquBlog","@AbusidiquBlog")</f>
        <v>@AbusidiquBlog</v>
      </c>
      <c r="C7377" s="29" t="s">
        <v>11879</v>
      </c>
      <c r="D7377" s="21" t="s">
        <v>16403</v>
      </c>
      <c r="E7377" s="22" t="str">
        <f>HYPERLINK("https://twitter.com/AbusidiquBlog/status/922565835717144577","922565835717144577")</f>
        <v>922565835717144577</v>
      </c>
      <c r="F7377" s="30" t="s">
        <v>411</v>
      </c>
      <c r="G7377" s="24">
        <v>4659.0</v>
      </c>
      <c r="H7377" s="24">
        <v>14.0</v>
      </c>
      <c r="I7377" s="24">
        <v>1.0</v>
      </c>
      <c r="J7377" s="24">
        <v>0.0</v>
      </c>
      <c r="K7377" s="23" t="s">
        <v>34</v>
      </c>
      <c r="L7377" s="25">
        <v>41309.26256944444</v>
      </c>
      <c r="M7377" s="28"/>
      <c r="N7377" s="26" t="s">
        <v>11882</v>
      </c>
      <c r="O7377" s="22" t="str">
        <f>HYPERLINK("https://pbs.twimg.com/profile_images/825286205034086401/N4tLjSbm_normal.jpg","View")</f>
        <v>View</v>
      </c>
      <c r="P7377" s="27"/>
    </row>
    <row r="7378">
      <c r="A7378" s="14">
        <v>43031.57672453704</v>
      </c>
      <c r="B7378" s="20" t="str">
        <f>HYPERLINK("https://twitter.com/tuumazan","@tuumazan")</f>
        <v>@tuumazan</v>
      </c>
      <c r="C7378" s="21" t="s">
        <v>16404</v>
      </c>
      <c r="D7378" s="21" t="s">
        <v>16405</v>
      </c>
      <c r="E7378" s="22" t="str">
        <f>HYPERLINK("https://twitter.com/tuumazan/status/922565917552271360","922565917552271360")</f>
        <v>922565917552271360</v>
      </c>
      <c r="F7378" s="30" t="s">
        <v>411</v>
      </c>
      <c r="G7378" s="24">
        <v>2.0</v>
      </c>
      <c r="H7378" s="24">
        <v>2.0</v>
      </c>
      <c r="I7378" s="24">
        <v>0.0</v>
      </c>
      <c r="J7378" s="24">
        <v>0.0</v>
      </c>
      <c r="K7378" s="23" t="s">
        <v>34</v>
      </c>
      <c r="L7378" s="25">
        <v>42954.16809027777</v>
      </c>
      <c r="M7378" s="28"/>
      <c r="N7378" s="28"/>
      <c r="O7378" s="22" t="str">
        <f>HYPERLINK("https://pbs.twimg.com/profile_images/901825612557434880/ZYQ549i-_normal.jpg","View")</f>
        <v>View</v>
      </c>
      <c r="P7378" s="27"/>
    </row>
    <row r="7379">
      <c r="A7379" s="14">
        <v>43031.57699074074</v>
      </c>
      <c r="B7379" s="20" t="str">
        <f>HYPERLINK("https://twitter.com/InfoPokerOne","@InfoPokerOne")</f>
        <v>@InfoPokerOne</v>
      </c>
      <c r="C7379" s="29" t="s">
        <v>16406</v>
      </c>
      <c r="D7379" s="21" t="s">
        <v>16407</v>
      </c>
      <c r="E7379" s="22" t="str">
        <f>HYPERLINK("https://twitter.com/InfoPokerOne/status/922566010745397249","922566010745397249")</f>
        <v>922566010745397249</v>
      </c>
      <c r="F7379" s="23" t="s">
        <v>16408</v>
      </c>
      <c r="G7379" s="24">
        <v>380.0</v>
      </c>
      <c r="H7379" s="24">
        <v>290.0</v>
      </c>
      <c r="I7379" s="24">
        <v>0.0</v>
      </c>
      <c r="J7379" s="24">
        <v>0.0</v>
      </c>
      <c r="K7379" s="23" t="s">
        <v>34</v>
      </c>
      <c r="L7379" s="25">
        <v>40941.36861111111</v>
      </c>
      <c r="M7379" s="28"/>
      <c r="N7379" s="26" t="s">
        <v>16409</v>
      </c>
      <c r="O7379" s="22" t="str">
        <f>HYPERLINK("https://pbs.twimg.com/profile_images/1846042818/badgepoker.png_normal.png","View")</f>
        <v>View</v>
      </c>
      <c r="P7379" s="27"/>
    </row>
    <row r="7380">
      <c r="A7380" s="14">
        <v>43031.57703703704</v>
      </c>
      <c r="B7380" s="20" t="str">
        <f>HYPERLINK("https://twitter.com/MKanabu","@MKanabu")</f>
        <v>@MKanabu</v>
      </c>
      <c r="C7380" s="21" t="s">
        <v>16410</v>
      </c>
      <c r="D7380" s="21" t="s">
        <v>32</v>
      </c>
      <c r="E7380" s="22" t="str">
        <f>HYPERLINK("https://twitter.com/MKanabu/status/922566030378987521","922566030378987521")</f>
        <v>922566030378987521</v>
      </c>
      <c r="F7380" s="23" t="s">
        <v>39</v>
      </c>
      <c r="G7380" s="24">
        <v>20.0</v>
      </c>
      <c r="H7380" s="24">
        <v>16.0</v>
      </c>
      <c r="I7380" s="24">
        <v>471.0</v>
      </c>
      <c r="J7380" s="24">
        <v>0.0</v>
      </c>
      <c r="K7380" s="23" t="s">
        <v>34</v>
      </c>
      <c r="L7380" s="25">
        <v>42799.59150462963</v>
      </c>
      <c r="M7380" s="26" t="s">
        <v>16411</v>
      </c>
      <c r="N7380" s="26" t="s">
        <v>16412</v>
      </c>
      <c r="O7380" s="22" t="str">
        <f>HYPERLINK("https://pbs.twimg.com/profile_images/838514574898888704/YZGBiit-_normal.jpg","View")</f>
        <v>View</v>
      </c>
      <c r="P7380" s="27"/>
    </row>
    <row r="7381">
      <c r="A7381" s="14">
        <v>43031.57708333334</v>
      </c>
      <c r="B7381" s="20" t="str">
        <f>HYPERLINK("https://twitter.com/AnilKum33919845","@AnilKum33919845")</f>
        <v>@AnilKum33919845</v>
      </c>
      <c r="C7381" s="21" t="s">
        <v>16413</v>
      </c>
      <c r="D7381" s="21" t="s">
        <v>163</v>
      </c>
      <c r="E7381" s="22" t="str">
        <f>HYPERLINK("https://twitter.com/AnilKum33919845/status/922566046157979648","922566046157979648")</f>
        <v>922566046157979648</v>
      </c>
      <c r="F7381" s="23" t="s">
        <v>43</v>
      </c>
      <c r="G7381" s="24">
        <v>14.0</v>
      </c>
      <c r="H7381" s="24">
        <v>18.0</v>
      </c>
      <c r="I7381" s="24">
        <v>1005.0</v>
      </c>
      <c r="J7381" s="24">
        <v>0.0</v>
      </c>
      <c r="K7381" s="23" t="s">
        <v>34</v>
      </c>
      <c r="L7381" s="25">
        <v>43025.15982638889</v>
      </c>
      <c r="M7381" s="26" t="s">
        <v>16414</v>
      </c>
      <c r="N7381" s="26" t="s">
        <v>16415</v>
      </c>
      <c r="O7381" s="22" t="str">
        <f>HYPERLINK("https://pbs.twimg.com/profile_images/920265545462693889/IIHhYJxg_normal.jpg","View")</f>
        <v>View</v>
      </c>
      <c r="P7381" s="27"/>
    </row>
    <row r="7382">
      <c r="A7382" s="14">
        <v>43031.57711805556</v>
      </c>
      <c r="B7382" s="20" t="str">
        <f>HYPERLINK("https://twitter.com/InfoPokerOne","@InfoPokerOne")</f>
        <v>@InfoPokerOne</v>
      </c>
      <c r="C7382" s="29" t="s">
        <v>16406</v>
      </c>
      <c r="D7382" s="21" t="s">
        <v>16416</v>
      </c>
      <c r="E7382" s="22" t="str">
        <f>HYPERLINK("https://twitter.com/InfoPokerOne/status/922566058472480768","922566058472480768")</f>
        <v>922566058472480768</v>
      </c>
      <c r="F7382" s="23" t="s">
        <v>48</v>
      </c>
      <c r="G7382" s="24">
        <v>380.0</v>
      </c>
      <c r="H7382" s="24">
        <v>290.0</v>
      </c>
      <c r="I7382" s="24">
        <v>0.0</v>
      </c>
      <c r="J7382" s="24">
        <v>0.0</v>
      </c>
      <c r="K7382" s="23" t="s">
        <v>34</v>
      </c>
      <c r="L7382" s="25">
        <v>40941.36861111111</v>
      </c>
      <c r="M7382" s="28"/>
      <c r="N7382" s="26" t="s">
        <v>16409</v>
      </c>
      <c r="O7382" s="22" t="str">
        <f>HYPERLINK("https://pbs.twimg.com/profile_images/1846042818/badgepoker.png_normal.png","View")</f>
        <v>View</v>
      </c>
      <c r="P7382" s="27"/>
    </row>
    <row r="7383">
      <c r="A7383" s="14">
        <v>43031.5772337963</v>
      </c>
      <c r="B7383" s="20" t="str">
        <f>HYPERLINK("https://twitter.com/purada0412","@purada0412")</f>
        <v>@purada0412</v>
      </c>
      <c r="C7383" s="21" t="s">
        <v>7591</v>
      </c>
      <c r="D7383" s="21" t="s">
        <v>10614</v>
      </c>
      <c r="E7383" s="22" t="str">
        <f>HYPERLINK("https://twitter.com/purada0412/status/922566102374170624","922566102374170624")</f>
        <v>922566102374170624</v>
      </c>
      <c r="F7383" s="23" t="s">
        <v>33</v>
      </c>
      <c r="G7383" s="24">
        <v>2477.0</v>
      </c>
      <c r="H7383" s="24">
        <v>2765.0</v>
      </c>
      <c r="I7383" s="24">
        <v>159.0</v>
      </c>
      <c r="J7383" s="24">
        <v>0.0</v>
      </c>
      <c r="K7383" s="23" t="s">
        <v>34</v>
      </c>
      <c r="L7383" s="25">
        <v>42247.12362268519</v>
      </c>
      <c r="M7383" s="26" t="s">
        <v>660</v>
      </c>
      <c r="N7383" s="26" t="s">
        <v>7592</v>
      </c>
      <c r="O7383" s="22" t="str">
        <f>HYPERLINK("https://pbs.twimg.com/profile_images/920628829160222722/3PiS7_lp_normal.jpg","View")</f>
        <v>View</v>
      </c>
      <c r="P7383" s="27"/>
    </row>
    <row r="7384">
      <c r="A7384" s="14">
        <v>43031.577835648146</v>
      </c>
      <c r="B7384" s="20" t="str">
        <f>HYPERLINK("https://twitter.com/imichelR","@imichelR")</f>
        <v>@imichelR</v>
      </c>
      <c r="C7384" s="21" t="s">
        <v>16394</v>
      </c>
      <c r="D7384" s="21" t="s">
        <v>16417</v>
      </c>
      <c r="E7384" s="22" t="str">
        <f>HYPERLINK("https://twitter.com/imichelR/status/922566320633257984","922566320633257984")</f>
        <v>922566320633257984</v>
      </c>
      <c r="F7384" s="23" t="s">
        <v>55</v>
      </c>
      <c r="G7384" s="24">
        <v>729.0</v>
      </c>
      <c r="H7384" s="24">
        <v>33.0</v>
      </c>
      <c r="I7384" s="24">
        <v>18.0</v>
      </c>
      <c r="J7384" s="24">
        <v>0.0</v>
      </c>
      <c r="K7384" s="23" t="s">
        <v>34</v>
      </c>
      <c r="L7384" s="25">
        <v>39959.66337962963</v>
      </c>
      <c r="M7384" s="28"/>
      <c r="N7384" s="28"/>
      <c r="O7384" s="22" t="str">
        <f>HYPERLINK("https://pbs.twimg.com/profile_images/907683974947983361/1RGqLiyg_normal.jpg","View")</f>
        <v>View</v>
      </c>
      <c r="P7384" s="27"/>
    </row>
    <row r="7385">
      <c r="A7385" s="14">
        <v>43031.57796296296</v>
      </c>
      <c r="B7385" s="20" t="str">
        <f>HYPERLINK("https://twitter.com/priyamishra2702","@priyamishra2702")</f>
        <v>@priyamishra2702</v>
      </c>
      <c r="C7385" s="21" t="s">
        <v>16418</v>
      </c>
      <c r="D7385" s="21" t="s">
        <v>16419</v>
      </c>
      <c r="E7385" s="22" t="str">
        <f>HYPERLINK("https://twitter.com/priyamishra2702/status/922566366934138880","922566366934138880")</f>
        <v>922566366934138880</v>
      </c>
      <c r="F7385" s="30" t="s">
        <v>411</v>
      </c>
      <c r="G7385" s="24">
        <v>82.0</v>
      </c>
      <c r="H7385" s="24">
        <v>252.0</v>
      </c>
      <c r="I7385" s="24">
        <v>0.0</v>
      </c>
      <c r="J7385" s="24">
        <v>0.0</v>
      </c>
      <c r="K7385" s="23" t="s">
        <v>34</v>
      </c>
      <c r="L7385" s="25">
        <v>42676.25268518519</v>
      </c>
      <c r="M7385" s="26" t="s">
        <v>246</v>
      </c>
      <c r="N7385" s="26" t="s">
        <v>16420</v>
      </c>
      <c r="O7385" s="22" t="str">
        <f>HYPERLINK("https://pbs.twimg.com/profile_images/794125733698207745/935FcZxd_normal.jpg","View")</f>
        <v>View</v>
      </c>
      <c r="P7385" s="27"/>
    </row>
    <row r="7386">
      <c r="A7386" s="14">
        <v>43031.578043981484</v>
      </c>
      <c r="B7386" s="20" t="str">
        <f>HYPERLINK("https://twitter.com/AnilKum33919845","@AnilKum33919845")</f>
        <v>@AnilKum33919845</v>
      </c>
      <c r="C7386" s="21" t="s">
        <v>16413</v>
      </c>
      <c r="D7386" s="21" t="s">
        <v>42</v>
      </c>
      <c r="E7386" s="22" t="str">
        <f>HYPERLINK("https://twitter.com/AnilKum33919845/status/922566392821321728","922566392821321728")</f>
        <v>922566392821321728</v>
      </c>
      <c r="F7386" s="23" t="s">
        <v>43</v>
      </c>
      <c r="G7386" s="24">
        <v>14.0</v>
      </c>
      <c r="H7386" s="24">
        <v>18.0</v>
      </c>
      <c r="I7386" s="24">
        <v>8501.0</v>
      </c>
      <c r="J7386" s="24">
        <v>0.0</v>
      </c>
      <c r="K7386" s="23" t="s">
        <v>34</v>
      </c>
      <c r="L7386" s="25">
        <v>43025.15982638889</v>
      </c>
      <c r="M7386" s="26" t="s">
        <v>16414</v>
      </c>
      <c r="N7386" s="26" t="s">
        <v>16415</v>
      </c>
      <c r="O7386" s="22" t="str">
        <f>HYPERLINK("https://pbs.twimg.com/profile_images/920265545462693889/IIHhYJxg_normal.jpg","View")</f>
        <v>View</v>
      </c>
      <c r="P7386" s="27"/>
    </row>
    <row r="7387">
      <c r="A7387" s="14">
        <v>43031.57828703704</v>
      </c>
      <c r="B7387" s="20" t="str">
        <f>HYPERLINK("https://twitter.com/plutoste1","@plutoste1")</f>
        <v>@plutoste1</v>
      </c>
      <c r="C7387" s="21" t="s">
        <v>16421</v>
      </c>
      <c r="D7387" s="21" t="s">
        <v>12974</v>
      </c>
      <c r="E7387" s="22" t="str">
        <f>HYPERLINK("https://twitter.com/plutoste1/status/922566483959357441","922566483959357441")</f>
        <v>922566483959357441</v>
      </c>
      <c r="F7387" s="23" t="s">
        <v>230</v>
      </c>
      <c r="G7387" s="24">
        <v>102.0</v>
      </c>
      <c r="H7387" s="24">
        <v>135.0</v>
      </c>
      <c r="I7387" s="24">
        <v>110.0</v>
      </c>
      <c r="J7387" s="24">
        <v>0.0</v>
      </c>
      <c r="K7387" s="23" t="s">
        <v>34</v>
      </c>
      <c r="L7387" s="25">
        <v>42893.1290625</v>
      </c>
      <c r="M7387" s="28"/>
      <c r="N7387" s="28"/>
      <c r="O7387" s="22" t="str">
        <f t="shared" ref="O7387:O7388" si="123">HYPERLINK("https://abs.twimg.com/sticky/default_profile_images/default_profile_normal.png","View")</f>
        <v>View</v>
      </c>
      <c r="P7387" s="27"/>
    </row>
    <row r="7388">
      <c r="A7388" s="14">
        <v>43031.57835648148</v>
      </c>
      <c r="B7388" s="20" t="str">
        <f>HYPERLINK("https://twitter.com/z0gOUUSF9bYSvKI","@z0gOUUSF9bYSvKI")</f>
        <v>@z0gOUUSF9bYSvKI</v>
      </c>
      <c r="C7388" s="21">
        <v>9.19106976864E11</v>
      </c>
      <c r="D7388" s="21" t="s">
        <v>42</v>
      </c>
      <c r="E7388" s="22" t="str">
        <f>HYPERLINK("https://twitter.com/z0gOUUSF9bYSvKI/status/922566506507939841","922566506507939841")</f>
        <v>922566506507939841</v>
      </c>
      <c r="F7388" s="23" t="s">
        <v>33</v>
      </c>
      <c r="G7388" s="24">
        <v>3.0</v>
      </c>
      <c r="H7388" s="24">
        <v>51.0</v>
      </c>
      <c r="I7388" s="24">
        <v>8501.0</v>
      </c>
      <c r="J7388" s="24">
        <v>0.0</v>
      </c>
      <c r="K7388" s="23" t="s">
        <v>34</v>
      </c>
      <c r="L7388" s="25">
        <v>42942.99241898148</v>
      </c>
      <c r="M7388" s="28"/>
      <c r="N7388" s="28"/>
      <c r="O7388" s="22" t="str">
        <f t="shared" si="123"/>
        <v>View</v>
      </c>
      <c r="P7388" s="27"/>
    </row>
    <row r="7389">
      <c r="A7389" s="14">
        <v>43031.57846064815</v>
      </c>
      <c r="B7389" s="20" t="str">
        <f>HYPERLINK("https://twitter.com/kartrin","@kartrin")</f>
        <v>@kartrin</v>
      </c>
      <c r="C7389" s="21" t="s">
        <v>16422</v>
      </c>
      <c r="D7389" s="21" t="s">
        <v>42</v>
      </c>
      <c r="E7389" s="22" t="str">
        <f>HYPERLINK("https://twitter.com/kartrin/status/922566544630063104","922566544630063104")</f>
        <v>922566544630063104</v>
      </c>
      <c r="F7389" s="23" t="s">
        <v>33</v>
      </c>
      <c r="G7389" s="24">
        <v>48.0</v>
      </c>
      <c r="H7389" s="24">
        <v>63.0</v>
      </c>
      <c r="I7389" s="24">
        <v>8501.0</v>
      </c>
      <c r="J7389" s="24">
        <v>0.0</v>
      </c>
      <c r="K7389" s="23" t="s">
        <v>34</v>
      </c>
      <c r="L7389" s="25">
        <v>39970.96313657407</v>
      </c>
      <c r="M7389" s="26" t="s">
        <v>3904</v>
      </c>
      <c r="N7389" s="28"/>
      <c r="O7389" s="22" t="str">
        <f>HYPERLINK("https://pbs.twimg.com/profile_images/669155928357380096/HLjGV8mp_normal.jpg","View")</f>
        <v>View</v>
      </c>
      <c r="P7389" s="27"/>
    </row>
    <row r="7390">
      <c r="A7390" s="14">
        <v>43031.57858796296</v>
      </c>
      <c r="B7390" s="20" t="str">
        <f>HYPERLINK("https://twitter.com/pathakjagdishi","@pathakjagdishi")</f>
        <v>@pathakjagdishi</v>
      </c>
      <c r="C7390" s="21" t="s">
        <v>16423</v>
      </c>
      <c r="D7390" s="21" t="s">
        <v>42</v>
      </c>
      <c r="E7390" s="22" t="str">
        <f>HYPERLINK("https://twitter.com/pathakjagdishi/status/922566592315015173","922566592315015173")</f>
        <v>922566592315015173</v>
      </c>
      <c r="F7390" s="23" t="s">
        <v>33</v>
      </c>
      <c r="G7390" s="24">
        <v>69.0</v>
      </c>
      <c r="H7390" s="24">
        <v>37.0</v>
      </c>
      <c r="I7390" s="24">
        <v>8501.0</v>
      </c>
      <c r="J7390" s="24">
        <v>0.0</v>
      </c>
      <c r="K7390" s="23" t="s">
        <v>34</v>
      </c>
      <c r="L7390" s="25">
        <v>41201.15069444444</v>
      </c>
      <c r="M7390" s="28"/>
      <c r="N7390" s="28"/>
      <c r="O7390" s="22" t="str">
        <f>HYPERLINK("https://pbs.twimg.com/profile_images/868141168034328576/ZQir5Mr2_normal.jpg","View")</f>
        <v>View</v>
      </c>
      <c r="P7390" s="27"/>
    </row>
    <row r="7391">
      <c r="A7391" s="14">
        <v>43031.57907407408</v>
      </c>
      <c r="B7391" s="20" t="str">
        <f>HYPERLINK("https://twitter.com/HappilyH","@HappilyH")</f>
        <v>@HappilyH</v>
      </c>
      <c r="C7391" s="21" t="s">
        <v>16424</v>
      </c>
      <c r="D7391" s="21" t="s">
        <v>8291</v>
      </c>
      <c r="E7391" s="22" t="str">
        <f>HYPERLINK("https://twitter.com/HappilyH/status/922566766881996800","922566766881996800")</f>
        <v>922566766881996800</v>
      </c>
      <c r="F7391" s="23" t="s">
        <v>39</v>
      </c>
      <c r="G7391" s="24">
        <v>390.0</v>
      </c>
      <c r="H7391" s="24">
        <v>1126.0</v>
      </c>
      <c r="I7391" s="24">
        <v>135.0</v>
      </c>
      <c r="J7391" s="24">
        <v>0.0</v>
      </c>
      <c r="K7391" s="23" t="s">
        <v>34</v>
      </c>
      <c r="L7391" s="25">
        <v>41035.20335648148</v>
      </c>
      <c r="M7391" s="28"/>
      <c r="N7391" s="26" t="s">
        <v>16425</v>
      </c>
      <c r="O7391" s="22" t="str">
        <f>HYPERLINK("https://pbs.twimg.com/profile_images/2195436322/Hal_on_the_Highbeach_normal.JPG","View")</f>
        <v>View</v>
      </c>
      <c r="P7391" s="27"/>
    </row>
    <row r="7392">
      <c r="A7392" s="14">
        <v>43031.579247685186</v>
      </c>
      <c r="B7392" s="20" t="str">
        <f>HYPERLINK("https://twitter.com/SamTee247","@SamTee247")</f>
        <v>@SamTee247</v>
      </c>
      <c r="C7392" s="21" t="s">
        <v>16426</v>
      </c>
      <c r="D7392" s="21" t="s">
        <v>16208</v>
      </c>
      <c r="E7392" s="22" t="str">
        <f>HYPERLINK("https://twitter.com/SamTee247/status/922566828584341504","922566828584341504")</f>
        <v>922566828584341504</v>
      </c>
      <c r="F7392" s="23" t="s">
        <v>39</v>
      </c>
      <c r="G7392" s="24">
        <v>674.0</v>
      </c>
      <c r="H7392" s="24">
        <v>978.0</v>
      </c>
      <c r="I7392" s="24">
        <v>41.0</v>
      </c>
      <c r="J7392" s="24">
        <v>0.0</v>
      </c>
      <c r="K7392" s="23" t="s">
        <v>34</v>
      </c>
      <c r="L7392" s="25">
        <v>41836.20446759259</v>
      </c>
      <c r="M7392" s="26" t="s">
        <v>2068</v>
      </c>
      <c r="N7392" s="26" t="s">
        <v>16427</v>
      </c>
      <c r="O7392" s="22" t="str">
        <f>HYPERLINK("https://pbs.twimg.com/profile_images/917351728604962817/yKSqZLwP_normal.jpg","View")</f>
        <v>View</v>
      </c>
      <c r="P7392" s="27"/>
    </row>
    <row r="7393">
      <c r="A7393" s="14">
        <v>43031.57927083333</v>
      </c>
      <c r="B7393" s="20" t="str">
        <f>HYPERLINK("https://twitter.com/todayng","@todayng")</f>
        <v>@todayng</v>
      </c>
      <c r="C7393" s="21" t="s">
        <v>16428</v>
      </c>
      <c r="D7393" s="21" t="s">
        <v>16429</v>
      </c>
      <c r="E7393" s="22" t="str">
        <f>HYPERLINK("https://twitter.com/todayng/status/922566838327709697","922566838327709697")</f>
        <v>922566838327709697</v>
      </c>
      <c r="F7393" s="30" t="s">
        <v>411</v>
      </c>
      <c r="G7393" s="24">
        <v>108379.0</v>
      </c>
      <c r="H7393" s="24">
        <v>2.0</v>
      </c>
      <c r="I7393" s="24">
        <v>2.0</v>
      </c>
      <c r="J7393" s="24">
        <v>1.0</v>
      </c>
      <c r="K7393" s="23" t="s">
        <v>34</v>
      </c>
      <c r="L7393" s="25">
        <v>41743.180659722224</v>
      </c>
      <c r="M7393" s="28"/>
      <c r="N7393" s="26" t="s">
        <v>16430</v>
      </c>
      <c r="O7393" s="22" t="str">
        <f>HYPERLINK("https://pbs.twimg.com/profile_images/891304751882788864/FmD9OUZy_normal.jpg","View")</f>
        <v>View</v>
      </c>
      <c r="P7393" s="22" t="str">
        <f>HYPERLINK("https://ctrlq.org/maps/address/#9.062813,7.51898289","Map")</f>
        <v>Map</v>
      </c>
    </row>
    <row r="7394">
      <c r="A7394" s="14">
        <v>43031.57928240741</v>
      </c>
      <c r="B7394" s="20" t="str">
        <f>HYPERLINK("https://twitter.com/NigeriaNewsdesk","@NigeriaNewsdesk")</f>
        <v>@NigeriaNewsdesk</v>
      </c>
      <c r="C7394" s="21" t="s">
        <v>16431</v>
      </c>
      <c r="D7394" s="21" t="s">
        <v>16432</v>
      </c>
      <c r="E7394" s="22" t="str">
        <f>HYPERLINK("https://twitter.com/NigeriaNewsdesk/status/922566843985928193","922566843985928193")</f>
        <v>922566843985928193</v>
      </c>
      <c r="F7394" s="30" t="s">
        <v>411</v>
      </c>
      <c r="G7394" s="24">
        <v>1444474.0</v>
      </c>
      <c r="H7394" s="24">
        <v>2.0</v>
      </c>
      <c r="I7394" s="24">
        <v>6.0</v>
      </c>
      <c r="J7394" s="24">
        <v>4.0</v>
      </c>
      <c r="K7394" s="23" t="s">
        <v>34</v>
      </c>
      <c r="L7394" s="25">
        <v>40137.121666666666</v>
      </c>
      <c r="M7394" s="28"/>
      <c r="N7394" s="26" t="s">
        <v>16433</v>
      </c>
      <c r="O7394" s="22" t="str">
        <f>HYPERLINK("https://pbs.twimg.com/profile_images/559635895909752832/5m7oAlGi_normal.png","View")</f>
        <v>View</v>
      </c>
      <c r="P7394" s="22" t="str">
        <f>HYPERLINK("https://ctrlq.org/maps/address/#6.61496451,3.36136043","Map")</f>
        <v>Map</v>
      </c>
    </row>
    <row r="7395">
      <c r="A7395" s="14">
        <v>43031.57953703703</v>
      </c>
      <c r="B7395" s="20" t="str">
        <f>HYPERLINK("https://twitter.com/SandeepMahule","@SandeepMahule")</f>
        <v>@SandeepMahule</v>
      </c>
      <c r="C7395" s="21" t="s">
        <v>16434</v>
      </c>
      <c r="D7395" s="21" t="s">
        <v>42</v>
      </c>
      <c r="E7395" s="22" t="str">
        <f>HYPERLINK("https://twitter.com/SandeepMahule/status/922566935107182592","922566935107182592")</f>
        <v>922566935107182592</v>
      </c>
      <c r="F7395" s="23" t="s">
        <v>33</v>
      </c>
      <c r="G7395" s="24">
        <v>19025.0</v>
      </c>
      <c r="H7395" s="24">
        <v>2048.0</v>
      </c>
      <c r="I7395" s="24">
        <v>8501.0</v>
      </c>
      <c r="J7395" s="24">
        <v>0.0</v>
      </c>
      <c r="K7395" s="23" t="s">
        <v>34</v>
      </c>
      <c r="L7395" s="25">
        <v>41106.56065972222</v>
      </c>
      <c r="M7395" s="28"/>
      <c r="N7395" s="26" t="s">
        <v>16435</v>
      </c>
      <c r="O7395" s="22" t="str">
        <f>HYPERLINK("https://pbs.twimg.com/profile_images/826832167539982337/ILAyCKd__normal.jpg","View")</f>
        <v>View</v>
      </c>
      <c r="P7395" s="27"/>
    </row>
    <row r="7396">
      <c r="A7396" s="14">
        <v>43031.57983796296</v>
      </c>
      <c r="B7396" s="20" t="str">
        <f>HYPERLINK("https://twitter.com/velvedeirsblog","@velvedeirsblog")</f>
        <v>@velvedeirsblog</v>
      </c>
      <c r="C7396" s="21" t="s">
        <v>16436</v>
      </c>
      <c r="D7396" s="21" t="s">
        <v>16437</v>
      </c>
      <c r="E7396" s="22" t="str">
        <f>HYPERLINK("https://twitter.com/velvedeirsblog/status/922567043106222080","922567043106222080")</f>
        <v>922567043106222080</v>
      </c>
      <c r="F7396" s="23" t="s">
        <v>33</v>
      </c>
      <c r="G7396" s="24">
        <v>368.0</v>
      </c>
      <c r="H7396" s="24">
        <v>480.0</v>
      </c>
      <c r="I7396" s="24">
        <v>6.0</v>
      </c>
      <c r="J7396" s="24">
        <v>0.0</v>
      </c>
      <c r="K7396" s="23" t="s">
        <v>34</v>
      </c>
      <c r="L7396" s="25">
        <v>43021.4972337963</v>
      </c>
      <c r="M7396" s="28"/>
      <c r="N7396" s="26" t="s">
        <v>16438</v>
      </c>
      <c r="O7396" s="22" t="str">
        <f>HYPERLINK("https://pbs.twimg.com/profile_images/918926566721228801/BiVtooWT_normal.jpg","View")</f>
        <v>View</v>
      </c>
      <c r="P7396" s="27"/>
    </row>
    <row r="7397">
      <c r="A7397" s="14">
        <v>43031.57986111111</v>
      </c>
      <c r="B7397" s="20" t="str">
        <f>HYPERLINK("https://twitter.com/taxnewsng","@taxnewsng")</f>
        <v>@taxnewsng</v>
      </c>
      <c r="C7397" s="21" t="s">
        <v>16439</v>
      </c>
      <c r="D7397" s="21" t="s">
        <v>16072</v>
      </c>
      <c r="E7397" s="22" t="str">
        <f>HYPERLINK("https://twitter.com/taxnewsng/status/922567053499801600","922567053499801600")</f>
        <v>922567053499801600</v>
      </c>
      <c r="F7397" s="23" t="s">
        <v>33</v>
      </c>
      <c r="G7397" s="24">
        <v>58.0</v>
      </c>
      <c r="H7397" s="24">
        <v>121.0</v>
      </c>
      <c r="I7397" s="24">
        <v>2.0</v>
      </c>
      <c r="J7397" s="24">
        <v>0.0</v>
      </c>
      <c r="K7397" s="23" t="s">
        <v>34</v>
      </c>
      <c r="L7397" s="25">
        <v>42947.10395833333</v>
      </c>
      <c r="M7397" s="28"/>
      <c r="N7397" s="26" t="s">
        <v>16440</v>
      </c>
      <c r="O7397" s="22" t="str">
        <f>HYPERLINK("https://pbs.twimg.com/profile_images/891961136698064896/3qAF8gtZ_normal.jpg","View")</f>
        <v>View</v>
      </c>
      <c r="P7397" s="27"/>
    </row>
    <row r="7398">
      <c r="A7398" s="14">
        <v>43031.57988425926</v>
      </c>
      <c r="B7398" s="20" t="str">
        <f>HYPERLINK("https://twitter.com/velvedeirsblog","@velvedeirsblog")</f>
        <v>@velvedeirsblog</v>
      </c>
      <c r="C7398" s="21" t="s">
        <v>16436</v>
      </c>
      <c r="D7398" s="21" t="s">
        <v>16441</v>
      </c>
      <c r="E7398" s="22" t="str">
        <f>HYPERLINK("https://twitter.com/velvedeirsblog/status/922567059858366466","922567059858366466")</f>
        <v>922567059858366466</v>
      </c>
      <c r="F7398" s="23" t="s">
        <v>33</v>
      </c>
      <c r="G7398" s="24">
        <v>368.0</v>
      </c>
      <c r="H7398" s="24">
        <v>480.0</v>
      </c>
      <c r="I7398" s="24">
        <v>2.0</v>
      </c>
      <c r="J7398" s="24">
        <v>0.0</v>
      </c>
      <c r="K7398" s="23" t="s">
        <v>34</v>
      </c>
      <c r="L7398" s="25">
        <v>43021.4972337963</v>
      </c>
      <c r="M7398" s="28"/>
      <c r="N7398" s="26" t="s">
        <v>16438</v>
      </c>
      <c r="O7398" s="22" t="str">
        <f>HYPERLINK("https://pbs.twimg.com/profile_images/918926566721228801/BiVtooWT_normal.jpg","View")</f>
        <v>View</v>
      </c>
      <c r="P7398" s="27"/>
    </row>
    <row r="7399">
      <c r="A7399" s="14">
        <v>43031.579918981486</v>
      </c>
      <c r="B7399" s="20" t="str">
        <f>HYPERLINK("https://twitter.com/vandfnews","@vandfnews")</f>
        <v>@vandfnews</v>
      </c>
      <c r="C7399" s="21" t="s">
        <v>16442</v>
      </c>
      <c r="D7399" s="21" t="s">
        <v>16441</v>
      </c>
      <c r="E7399" s="22" t="str">
        <f>HYPERLINK("https://twitter.com/vandfnews/status/922567075159097344","922567075159097344")</f>
        <v>922567075159097344</v>
      </c>
      <c r="F7399" s="23" t="s">
        <v>33</v>
      </c>
      <c r="G7399" s="24">
        <v>168.0</v>
      </c>
      <c r="H7399" s="24">
        <v>120.0</v>
      </c>
      <c r="I7399" s="24">
        <v>2.0</v>
      </c>
      <c r="J7399" s="24">
        <v>0.0</v>
      </c>
      <c r="K7399" s="23" t="s">
        <v>34</v>
      </c>
      <c r="L7399" s="25">
        <v>41499.712743055556</v>
      </c>
      <c r="M7399" s="26" t="s">
        <v>16443</v>
      </c>
      <c r="N7399" s="26" t="s">
        <v>16444</v>
      </c>
      <c r="O7399" s="22" t="str">
        <f>HYPERLINK("https://pbs.twimg.com/profile_images/922496737318789125/py4SSrpw_normal.jpg","View")</f>
        <v>View</v>
      </c>
      <c r="P7399" s="27"/>
    </row>
    <row r="7400">
      <c r="A7400" s="14">
        <v>43031.58021990741</v>
      </c>
      <c r="B7400" s="20" t="str">
        <f>HYPERLINK("https://twitter.com/Calendula2016","@Calendula2016")</f>
        <v>@Calendula2016</v>
      </c>
      <c r="C7400" s="21" t="s">
        <v>16445</v>
      </c>
      <c r="D7400" s="21" t="s">
        <v>14855</v>
      </c>
      <c r="E7400" s="22" t="str">
        <f>HYPERLINK("https://twitter.com/Calendula2016/status/922567181476311040","922567181476311040")</f>
        <v>922567181476311040</v>
      </c>
      <c r="F7400" s="23" t="s">
        <v>55</v>
      </c>
      <c r="G7400" s="24">
        <v>2543.0</v>
      </c>
      <c r="H7400" s="24">
        <v>4796.0</v>
      </c>
      <c r="I7400" s="24">
        <v>36.0</v>
      </c>
      <c r="J7400" s="24">
        <v>0.0</v>
      </c>
      <c r="K7400" s="23" t="s">
        <v>34</v>
      </c>
      <c r="L7400" s="25">
        <v>42385.295069444444</v>
      </c>
      <c r="M7400" s="26" t="s">
        <v>16446</v>
      </c>
      <c r="N7400" s="26" t="s">
        <v>16447</v>
      </c>
      <c r="O7400" s="22" t="str">
        <f>HYPERLINK("https://pbs.twimg.com/profile_images/916623924053422080/Dm0xJG8K_normal.jpg","View")</f>
        <v>View</v>
      </c>
      <c r="P7400" s="27"/>
    </row>
    <row r="7401">
      <c r="A7401" s="14">
        <v>43031.58078703703</v>
      </c>
      <c r="B7401" s="20" t="str">
        <f>HYPERLINK("https://twitter.com/seputartradings","@seputartradings")</f>
        <v>@seputartradings</v>
      </c>
      <c r="C7401" s="21" t="s">
        <v>10601</v>
      </c>
      <c r="D7401" s="21" t="s">
        <v>16448</v>
      </c>
      <c r="E7401" s="22" t="str">
        <f>HYPERLINK("https://twitter.com/seputartradings/status/922567389258031104","922567389258031104")</f>
        <v>922567389258031104</v>
      </c>
      <c r="F7401" s="23" t="s">
        <v>187</v>
      </c>
      <c r="G7401" s="24">
        <v>731.0</v>
      </c>
      <c r="H7401" s="24">
        <v>493.0</v>
      </c>
      <c r="I7401" s="24">
        <v>0.0</v>
      </c>
      <c r="J7401" s="24">
        <v>0.0</v>
      </c>
      <c r="K7401" s="23" t="s">
        <v>34</v>
      </c>
      <c r="L7401" s="25">
        <v>41229.15363425926</v>
      </c>
      <c r="M7401" s="26" t="s">
        <v>10603</v>
      </c>
      <c r="N7401" s="26" t="s">
        <v>10604</v>
      </c>
      <c r="O7401" s="22" t="str">
        <f>HYPERLINK("https://pbs.twimg.com/profile_images/378800000861176662/pmeScBS7_normal.png","View")</f>
        <v>View</v>
      </c>
      <c r="P7401" s="27"/>
    </row>
    <row r="7402">
      <c r="A7402" s="14">
        <v>43031.580914351856</v>
      </c>
      <c r="B7402" s="20" t="str">
        <f>HYPERLINK("https://twitter.com/akinto70","@akinto70")</f>
        <v>@akinto70</v>
      </c>
      <c r="C7402" s="21" t="s">
        <v>12334</v>
      </c>
      <c r="D7402" s="21" t="s">
        <v>16449</v>
      </c>
      <c r="E7402" s="22" t="str">
        <f>HYPERLINK("https://twitter.com/akinto70/status/922567432400617472","922567432400617472")</f>
        <v>922567432400617472</v>
      </c>
      <c r="F7402" s="23" t="s">
        <v>187</v>
      </c>
      <c r="G7402" s="24">
        <v>269.0</v>
      </c>
      <c r="H7402" s="24">
        <v>314.0</v>
      </c>
      <c r="I7402" s="24">
        <v>0.0</v>
      </c>
      <c r="J7402" s="24">
        <v>0.0</v>
      </c>
      <c r="K7402" s="23" t="s">
        <v>34</v>
      </c>
      <c r="L7402" s="25">
        <v>41013.93835648148</v>
      </c>
      <c r="M7402" s="26" t="s">
        <v>12336</v>
      </c>
      <c r="N7402" s="26" t="s">
        <v>12337</v>
      </c>
      <c r="O7402" s="22" t="str">
        <f>HYPERLINK("https://pbs.twimg.com/profile_images/843536542551425024/S5IJjqKR_normal.jpg","View")</f>
        <v>View</v>
      </c>
      <c r="P7402" s="27"/>
    </row>
    <row r="7403">
      <c r="A7403" s="14">
        <v>43031.58101851852</v>
      </c>
      <c r="B7403" s="20" t="str">
        <f>HYPERLINK("https://twitter.com/dailyfn","@dailyfn")</f>
        <v>@dailyfn</v>
      </c>
      <c r="C7403" s="21" t="s">
        <v>10598</v>
      </c>
      <c r="D7403" s="21" t="s">
        <v>16450</v>
      </c>
      <c r="E7403" s="22" t="str">
        <f>HYPERLINK("https://twitter.com/dailyfn/status/922567473089486848","922567473089486848")</f>
        <v>922567473089486848</v>
      </c>
      <c r="F7403" s="23" t="s">
        <v>187</v>
      </c>
      <c r="G7403" s="24">
        <v>344.0</v>
      </c>
      <c r="H7403" s="24">
        <v>37.0</v>
      </c>
      <c r="I7403" s="24">
        <v>0.0</v>
      </c>
      <c r="J7403" s="24">
        <v>0.0</v>
      </c>
      <c r="K7403" s="23" t="s">
        <v>34</v>
      </c>
      <c r="L7403" s="25">
        <v>41944.73957175926</v>
      </c>
      <c r="M7403" s="28"/>
      <c r="N7403" s="26" t="s">
        <v>10600</v>
      </c>
      <c r="O7403" s="22" t="str">
        <f>HYPERLINK("https://pbs.twimg.com/profile_images/528735025131319296/aUVF8Fww_normal.png","View")</f>
        <v>View</v>
      </c>
      <c r="P7403" s="27"/>
    </row>
    <row r="7404">
      <c r="A7404" s="14">
        <v>43031.5815162037</v>
      </c>
      <c r="B7404" s="20" t="str">
        <f>HYPERLINK("https://twitter.com/RenaeLucasHall","@RenaeLucasHall")</f>
        <v>@RenaeLucasHall</v>
      </c>
      <c r="C7404" s="21" t="s">
        <v>16451</v>
      </c>
      <c r="D7404" s="21" t="s">
        <v>16208</v>
      </c>
      <c r="E7404" s="22" t="str">
        <f>HYPERLINK("https://twitter.com/RenaeLucasHall/status/922567654086393856","922567654086393856")</f>
        <v>922567654086393856</v>
      </c>
      <c r="F7404" s="23" t="s">
        <v>55</v>
      </c>
      <c r="G7404" s="24">
        <v>13613.0</v>
      </c>
      <c r="H7404" s="24">
        <v>8826.0</v>
      </c>
      <c r="I7404" s="24">
        <v>41.0</v>
      </c>
      <c r="J7404" s="24">
        <v>0.0</v>
      </c>
      <c r="K7404" s="23" t="s">
        <v>34</v>
      </c>
      <c r="L7404" s="25">
        <v>41097.46585648148</v>
      </c>
      <c r="M7404" s="26" t="s">
        <v>16452</v>
      </c>
      <c r="N7404" s="26" t="s">
        <v>16453</v>
      </c>
      <c r="O7404" s="22" t="str">
        <f>HYPERLINK("https://pbs.twimg.com/profile_images/805743939957428224/JMN045gA_normal.jpg","View")</f>
        <v>View</v>
      </c>
      <c r="P7404" s="27"/>
    </row>
    <row r="7405">
      <c r="A7405" s="14">
        <v>43031.58153935186</v>
      </c>
      <c r="B7405" s="20" t="str">
        <f>HYPERLINK("https://twitter.com/Somjeeta_C","@Somjeeta_C")</f>
        <v>@Somjeeta_C</v>
      </c>
      <c r="C7405" s="21" t="s">
        <v>16454</v>
      </c>
      <c r="D7405" s="21" t="s">
        <v>113</v>
      </c>
      <c r="E7405" s="22" t="str">
        <f>HYPERLINK("https://twitter.com/Somjeeta_C/status/922567662865080321","922567662865080321")</f>
        <v>922567662865080321</v>
      </c>
      <c r="F7405" s="23" t="s">
        <v>39</v>
      </c>
      <c r="G7405" s="24">
        <v>12.0</v>
      </c>
      <c r="H7405" s="24">
        <v>153.0</v>
      </c>
      <c r="I7405" s="24">
        <v>17.0</v>
      </c>
      <c r="J7405" s="24">
        <v>0.0</v>
      </c>
      <c r="K7405" s="23" t="s">
        <v>34</v>
      </c>
      <c r="L7405" s="25">
        <v>43007.44516203704</v>
      </c>
      <c r="M7405" s="26" t="s">
        <v>708</v>
      </c>
      <c r="N7405" s="28"/>
      <c r="O7405" s="22" t="str">
        <f>HYPERLINK("https://pbs.twimg.com/profile_images/917868988989952003/XN889OcH_normal.jpg","View")</f>
        <v>View</v>
      </c>
      <c r="P7405" s="27"/>
    </row>
    <row r="7406">
      <c r="A7406" s="14">
        <v>43031.58170138889</v>
      </c>
      <c r="B7406" s="20" t="str">
        <f>HYPERLINK("https://twitter.com/120reset","@120reset")</f>
        <v>@120reset</v>
      </c>
      <c r="C7406" s="21" t="s">
        <v>16455</v>
      </c>
      <c r="D7406" s="21" t="s">
        <v>1642</v>
      </c>
      <c r="E7406" s="22" t="str">
        <f>HYPERLINK("https://twitter.com/120reset/status/922567719265779714","922567719265779714")</f>
        <v>922567719265779714</v>
      </c>
      <c r="F7406" s="23" t="s">
        <v>33</v>
      </c>
      <c r="G7406" s="24">
        <v>1489.0</v>
      </c>
      <c r="H7406" s="24">
        <v>855.0</v>
      </c>
      <c r="I7406" s="24">
        <v>199.0</v>
      </c>
      <c r="J7406" s="24">
        <v>0.0</v>
      </c>
      <c r="K7406" s="23" t="s">
        <v>34</v>
      </c>
      <c r="L7406" s="25">
        <v>39779.1175462963</v>
      </c>
      <c r="M7406" s="28"/>
      <c r="N7406" s="26" t="s">
        <v>16456</v>
      </c>
      <c r="O7406" s="22" t="str">
        <f>HYPERLINK("https://pbs.twimg.com/profile_images/887495434867953664/bjBaA-CF_normal.jpg","View")</f>
        <v>View</v>
      </c>
      <c r="P7406" s="27"/>
    </row>
    <row r="7407">
      <c r="A7407" s="14">
        <v>43031.582280092596</v>
      </c>
      <c r="B7407" s="20" t="str">
        <f>HYPERLINK("https://twitter.com/BenshuazyJoshua","@BenshuazyJoshua")</f>
        <v>@BenshuazyJoshua</v>
      </c>
      <c r="C7407" s="21" t="s">
        <v>16457</v>
      </c>
      <c r="D7407" s="21" t="s">
        <v>16437</v>
      </c>
      <c r="E7407" s="22" t="str">
        <f>HYPERLINK("https://twitter.com/BenshuazyJoshua/status/922567928519606272","922567928519606272")</f>
        <v>922567928519606272</v>
      </c>
      <c r="F7407" s="23" t="s">
        <v>33</v>
      </c>
      <c r="G7407" s="24">
        <v>69.0</v>
      </c>
      <c r="H7407" s="24">
        <v>784.0</v>
      </c>
      <c r="I7407" s="24">
        <v>6.0</v>
      </c>
      <c r="J7407" s="24">
        <v>0.0</v>
      </c>
      <c r="K7407" s="23" t="s">
        <v>34</v>
      </c>
      <c r="L7407" s="25">
        <v>41450.4943287037</v>
      </c>
      <c r="M7407" s="26" t="s">
        <v>9072</v>
      </c>
      <c r="N7407" s="26" t="s">
        <v>16458</v>
      </c>
      <c r="O7407" s="22" t="str">
        <f>HYPERLINK("https://pbs.twimg.com/profile_images/918543977342750720/lDvLvvAo_normal.jpg","View")</f>
        <v>View</v>
      </c>
      <c r="P7407" s="27"/>
    </row>
    <row r="7408">
      <c r="A7408" s="14">
        <v>43031.58231481482</v>
      </c>
      <c r="B7408" s="20" t="str">
        <f>HYPERLINK("https://twitter.com/bbello2015","@bbello2015")</f>
        <v>@bbello2015</v>
      </c>
      <c r="C7408" s="21" t="s">
        <v>16459</v>
      </c>
      <c r="D7408" s="21" t="s">
        <v>16460</v>
      </c>
      <c r="E7408" s="22" t="str">
        <f>HYPERLINK("https://twitter.com/bbello2015/status/922567940796321792","922567940796321792")</f>
        <v>922567940796321792</v>
      </c>
      <c r="F7408" s="23" t="s">
        <v>187</v>
      </c>
      <c r="G7408" s="24">
        <v>1308.0</v>
      </c>
      <c r="H7408" s="24">
        <v>339.0</v>
      </c>
      <c r="I7408" s="24">
        <v>0.0</v>
      </c>
      <c r="J7408" s="24">
        <v>0.0</v>
      </c>
      <c r="K7408" s="23" t="s">
        <v>34</v>
      </c>
      <c r="L7408" s="25">
        <v>40609.22513888889</v>
      </c>
      <c r="M7408" s="26" t="s">
        <v>16461</v>
      </c>
      <c r="N7408" s="26" t="s">
        <v>16462</v>
      </c>
      <c r="O7408" s="22" t="str">
        <f>HYPERLINK("https://pbs.twimg.com/profile_images/898413184188530688/1uVx-t23_normal.jpg","View")</f>
        <v>View</v>
      </c>
      <c r="P7408" s="27"/>
    </row>
    <row r="7409">
      <c r="A7409" s="14">
        <v>43031.58248842593</v>
      </c>
      <c r="B7409" s="20" t="str">
        <f>HYPERLINK("https://twitter.com/takahiro_red","@takahiro_red")</f>
        <v>@takahiro_red</v>
      </c>
      <c r="C7409" s="21" t="s">
        <v>16463</v>
      </c>
      <c r="D7409" s="21" t="s">
        <v>16208</v>
      </c>
      <c r="E7409" s="22" t="str">
        <f>HYPERLINK("https://twitter.com/takahiro_red/status/922568003132076032","922568003132076032")</f>
        <v>922568003132076032</v>
      </c>
      <c r="F7409" s="23" t="s">
        <v>39</v>
      </c>
      <c r="G7409" s="24">
        <v>815.0</v>
      </c>
      <c r="H7409" s="24">
        <v>276.0</v>
      </c>
      <c r="I7409" s="24">
        <v>41.0</v>
      </c>
      <c r="J7409" s="24">
        <v>0.0</v>
      </c>
      <c r="K7409" s="23" t="s">
        <v>34</v>
      </c>
      <c r="L7409" s="25">
        <v>41261.00184027778</v>
      </c>
      <c r="M7409" s="28"/>
      <c r="N7409" s="26" t="s">
        <v>16464</v>
      </c>
      <c r="O7409" s="22" t="str">
        <f>HYPERLINK("https://pbs.twimg.com/profile_images/890631744554115073/qPcRE4qG_normal.jpg","View")</f>
        <v>View</v>
      </c>
      <c r="P7409" s="27"/>
    </row>
    <row r="7410">
      <c r="A7410" s="14">
        <v>43031.58248842593</v>
      </c>
      <c r="B7410" s="20" t="str">
        <f>HYPERLINK("https://twitter.com/nikola1tesla","@nikola1tesla")</f>
        <v>@nikola1tesla</v>
      </c>
      <c r="C7410" s="21" t="s">
        <v>16465</v>
      </c>
      <c r="D7410" s="21" t="s">
        <v>5309</v>
      </c>
      <c r="E7410" s="22" t="str">
        <f>HYPERLINK("https://twitter.com/nikola1tesla/status/922568005443186688","922568005443186688")</f>
        <v>922568005443186688</v>
      </c>
      <c r="F7410" s="23" t="s">
        <v>33</v>
      </c>
      <c r="G7410" s="24">
        <v>1394.0</v>
      </c>
      <c r="H7410" s="24">
        <v>5000.0</v>
      </c>
      <c r="I7410" s="24">
        <v>22.0</v>
      </c>
      <c r="J7410" s="24">
        <v>0.0</v>
      </c>
      <c r="K7410" s="23" t="s">
        <v>34</v>
      </c>
      <c r="L7410" s="25">
        <v>39748.319560185184</v>
      </c>
      <c r="M7410" s="26" t="s">
        <v>16466</v>
      </c>
      <c r="N7410" s="26" t="s">
        <v>16467</v>
      </c>
      <c r="O7410" s="22" t="str">
        <f>HYPERLINK("https://pbs.twimg.com/profile_images/897807421279580160/dz1FVn6C_normal.jpg","View")</f>
        <v>View</v>
      </c>
      <c r="P7410" s="27"/>
    </row>
    <row r="7411">
      <c r="A7411" s="14">
        <v>43031.582604166666</v>
      </c>
      <c r="B7411" s="20" t="str">
        <f>HYPERLINK("https://twitter.com/AfuziCruz","@AfuziCruz")</f>
        <v>@AfuziCruz</v>
      </c>
      <c r="C7411" s="21" t="s">
        <v>16468</v>
      </c>
      <c r="D7411" s="21" t="s">
        <v>16437</v>
      </c>
      <c r="E7411" s="22" t="str">
        <f>HYPERLINK("https://twitter.com/AfuziCruz/status/922568046442455040","922568046442455040")</f>
        <v>922568046442455040</v>
      </c>
      <c r="F7411" s="23" t="s">
        <v>33</v>
      </c>
      <c r="G7411" s="24">
        <v>202.0</v>
      </c>
      <c r="H7411" s="24">
        <v>518.0</v>
      </c>
      <c r="I7411" s="24">
        <v>6.0</v>
      </c>
      <c r="J7411" s="24">
        <v>0.0</v>
      </c>
      <c r="K7411" s="23" t="s">
        <v>34</v>
      </c>
      <c r="L7411" s="25">
        <v>40217.110983796294</v>
      </c>
      <c r="M7411" s="26" t="s">
        <v>3331</v>
      </c>
      <c r="N7411" s="26" t="s">
        <v>16469</v>
      </c>
      <c r="O7411" s="22" t="str">
        <f>HYPERLINK("https://pbs.twimg.com/profile_images/715172799426531329/G8dbnbMd_normal.jpg","View")</f>
        <v>View</v>
      </c>
      <c r="P7411" s="27"/>
    </row>
    <row r="7412">
      <c r="A7412" s="14">
        <v>43031.582766203705</v>
      </c>
      <c r="B7412" s="20" t="str">
        <f>HYPERLINK("https://twitter.com/herdayemmy","@herdayemmy")</f>
        <v>@herdayemmy</v>
      </c>
      <c r="C7412" s="21" t="s">
        <v>16470</v>
      </c>
      <c r="D7412" s="21" t="s">
        <v>16437</v>
      </c>
      <c r="E7412" s="22" t="str">
        <f>HYPERLINK("https://twitter.com/herdayemmy/status/922568105175351296","922568105175351296")</f>
        <v>922568105175351296</v>
      </c>
      <c r="F7412" s="23" t="s">
        <v>33</v>
      </c>
      <c r="G7412" s="24">
        <v>70.0</v>
      </c>
      <c r="H7412" s="24">
        <v>615.0</v>
      </c>
      <c r="I7412" s="24">
        <v>6.0</v>
      </c>
      <c r="J7412" s="24">
        <v>0.0</v>
      </c>
      <c r="K7412" s="23" t="s">
        <v>34</v>
      </c>
      <c r="L7412" s="25">
        <v>41038.18534722222</v>
      </c>
      <c r="M7412" s="28"/>
      <c r="N7412" s="26" t="s">
        <v>16471</v>
      </c>
      <c r="O7412" s="22" t="str">
        <f>HYPERLINK("https://pbs.twimg.com/profile_images/2204082528/IMG-20120507-00290_normal.jpg","View")</f>
        <v>View</v>
      </c>
      <c r="P7412" s="27"/>
    </row>
    <row r="7413">
      <c r="A7413" s="14">
        <v>43031.5829050926</v>
      </c>
      <c r="B7413" s="20" t="str">
        <f>HYPERLINK("https://twitter.com/bhatxyz","@bhatxyz")</f>
        <v>@bhatxyz</v>
      </c>
      <c r="C7413" s="21" t="s">
        <v>16472</v>
      </c>
      <c r="D7413" s="21" t="s">
        <v>42</v>
      </c>
      <c r="E7413" s="22" t="str">
        <f>HYPERLINK("https://twitter.com/bhatxyz/status/922568157243457536","922568157243457536")</f>
        <v>922568157243457536</v>
      </c>
      <c r="F7413" s="23" t="s">
        <v>33</v>
      </c>
      <c r="G7413" s="24">
        <v>349.0</v>
      </c>
      <c r="H7413" s="24">
        <v>390.0</v>
      </c>
      <c r="I7413" s="24">
        <v>8501.0</v>
      </c>
      <c r="J7413" s="24">
        <v>0.0</v>
      </c>
      <c r="K7413" s="23" t="s">
        <v>34</v>
      </c>
      <c r="L7413" s="25">
        <v>41293.4216087963</v>
      </c>
      <c r="M7413" s="26" t="s">
        <v>16473</v>
      </c>
      <c r="N7413" s="26" t="s">
        <v>16474</v>
      </c>
      <c r="O7413" s="22" t="str">
        <f>HYPERLINK("https://pbs.twimg.com/profile_images/761127560843370496/jdMzAHV5_normal.jpg","View")</f>
        <v>View</v>
      </c>
      <c r="P7413" s="27"/>
    </row>
    <row r="7414">
      <c r="A7414" s="14">
        <v>43031.58318287037</v>
      </c>
      <c r="B7414" s="20" t="str">
        <f>HYPERLINK("https://twitter.com/Mudakuntweets","@Mudakuntweets")</f>
        <v>@Mudakuntweets</v>
      </c>
      <c r="C7414" s="21" t="s">
        <v>16475</v>
      </c>
      <c r="D7414" s="21" t="s">
        <v>16476</v>
      </c>
      <c r="E7414" s="22" t="str">
        <f>HYPERLINK("https://twitter.com/Mudakuntweets/status/922568257088843777","922568257088843777")</f>
        <v>922568257088843777</v>
      </c>
      <c r="F7414" s="23" t="s">
        <v>55</v>
      </c>
      <c r="G7414" s="24">
        <v>96.0</v>
      </c>
      <c r="H7414" s="24">
        <v>450.0</v>
      </c>
      <c r="I7414" s="24">
        <v>0.0</v>
      </c>
      <c r="J7414" s="24">
        <v>0.0</v>
      </c>
      <c r="K7414" s="23" t="s">
        <v>34</v>
      </c>
      <c r="L7414" s="25">
        <v>42366.120347222226</v>
      </c>
      <c r="M7414" s="26" t="s">
        <v>16477</v>
      </c>
      <c r="N7414" s="26" t="s">
        <v>16478</v>
      </c>
      <c r="O7414" s="22" t="str">
        <f>HYPERLINK("https://pbs.twimg.com/profile_images/875852508723388416/CP5HKScI_normal.jpg","View")</f>
        <v>View</v>
      </c>
      <c r="P7414" s="27"/>
    </row>
    <row r="7415">
      <c r="A7415" s="14">
        <v>43031.583391203705</v>
      </c>
      <c r="B7415" s="20" t="str">
        <f>HYPERLINK("https://twitter.com/TribuneWorld","@TribuneWorld")</f>
        <v>@TribuneWorld</v>
      </c>
      <c r="C7415" s="21" t="s">
        <v>5746</v>
      </c>
      <c r="D7415" s="21" t="s">
        <v>16479</v>
      </c>
      <c r="E7415" s="22" t="str">
        <f>HYPERLINK("https://twitter.com/TribuneWorld/status/922568330757644288","922568330757644288")</f>
        <v>922568330757644288</v>
      </c>
      <c r="F7415" s="23" t="s">
        <v>187</v>
      </c>
      <c r="G7415" s="24">
        <v>97.0</v>
      </c>
      <c r="H7415" s="24">
        <v>0.0</v>
      </c>
      <c r="I7415" s="24">
        <v>0.0</v>
      </c>
      <c r="J7415" s="24">
        <v>0.0</v>
      </c>
      <c r="K7415" s="23" t="s">
        <v>34</v>
      </c>
      <c r="L7415" s="25">
        <v>42502.35219907407</v>
      </c>
      <c r="M7415" s="26" t="s">
        <v>762</v>
      </c>
      <c r="N7415" s="26" t="s">
        <v>5748</v>
      </c>
      <c r="O7415" s="22" t="str">
        <f>HYPERLINK("https://pbs.twimg.com/profile_images/884044391823712256/EmtohZxH_normal.jpg","View")</f>
        <v>View</v>
      </c>
      <c r="P7415" s="27"/>
    </row>
    <row r="7416">
      <c r="A7416" s="14">
        <v>43031.583506944444</v>
      </c>
      <c r="B7416" s="20" t="str">
        <f>HYPERLINK("https://twitter.com/Trumpsupporte18","@Trumpsupporte18")</f>
        <v>@Trumpsupporte18</v>
      </c>
      <c r="C7416" s="21" t="s">
        <v>16480</v>
      </c>
      <c r="D7416" s="21" t="s">
        <v>42</v>
      </c>
      <c r="E7416" s="22" t="str">
        <f>HYPERLINK("https://twitter.com/Trumpsupporte18/status/922568375112409090","922568375112409090")</f>
        <v>922568375112409090</v>
      </c>
      <c r="F7416" s="23" t="s">
        <v>33</v>
      </c>
      <c r="G7416" s="24">
        <v>514.0</v>
      </c>
      <c r="H7416" s="24">
        <v>539.0</v>
      </c>
      <c r="I7416" s="24">
        <v>8501.0</v>
      </c>
      <c r="J7416" s="24">
        <v>0.0</v>
      </c>
      <c r="K7416" s="23" t="s">
        <v>34</v>
      </c>
      <c r="L7416" s="25">
        <v>42624.92266203703</v>
      </c>
      <c r="M7416" s="28"/>
      <c r="N7416" s="26" t="s">
        <v>16481</v>
      </c>
      <c r="O7416" s="22" t="str">
        <f>HYPERLINK("https://abs.twimg.com/sticky/default_profile_images/default_profile_normal.png","View")</f>
        <v>View</v>
      </c>
      <c r="P7416" s="27"/>
    </row>
    <row r="7417">
      <c r="A7417" s="14">
        <v>43031.58467592593</v>
      </c>
      <c r="B7417" s="20" t="str">
        <f>HYPERLINK("https://twitter.com/giovdall","@giovdall")</f>
        <v>@giovdall</v>
      </c>
      <c r="C7417" s="21" t="s">
        <v>10704</v>
      </c>
      <c r="D7417" s="21" t="s">
        <v>16482</v>
      </c>
      <c r="E7417" s="22" t="str">
        <f>HYPERLINK("https://twitter.com/giovdall/status/922568798313447424","922568798313447424")</f>
        <v>922568798313447424</v>
      </c>
      <c r="F7417" s="23" t="s">
        <v>187</v>
      </c>
      <c r="G7417" s="24">
        <v>2591.0</v>
      </c>
      <c r="H7417" s="24">
        <v>2653.0</v>
      </c>
      <c r="I7417" s="24">
        <v>0.0</v>
      </c>
      <c r="J7417" s="24">
        <v>0.0</v>
      </c>
      <c r="K7417" s="23" t="s">
        <v>34</v>
      </c>
      <c r="L7417" s="25">
        <v>39948.659537037034</v>
      </c>
      <c r="M7417" s="26" t="s">
        <v>10706</v>
      </c>
      <c r="N7417" s="26" t="s">
        <v>10707</v>
      </c>
      <c r="O7417" s="22" t="str">
        <f>HYPERLINK("https://pbs.twimg.com/profile_images/1240692030/161108_834128216_2111811_q_normal.jpg","View")</f>
        <v>View</v>
      </c>
      <c r="P7417" s="27"/>
    </row>
    <row r="7418">
      <c r="A7418" s="14">
        <v>43031.584756944445</v>
      </c>
      <c r="B7418" s="20" t="str">
        <f>HYPERLINK("https://twitter.com/FrontBusiness","@FrontBusiness")</f>
        <v>@FrontBusiness</v>
      </c>
      <c r="C7418" s="21" t="s">
        <v>10605</v>
      </c>
      <c r="D7418" s="21" t="s">
        <v>16483</v>
      </c>
      <c r="E7418" s="22" t="str">
        <f>HYPERLINK("https://twitter.com/FrontBusiness/status/922568826650206208","922568826650206208")</f>
        <v>922568826650206208</v>
      </c>
      <c r="F7418" s="23" t="s">
        <v>187</v>
      </c>
      <c r="G7418" s="24">
        <v>80.0</v>
      </c>
      <c r="H7418" s="24">
        <v>23.0</v>
      </c>
      <c r="I7418" s="24">
        <v>0.0</v>
      </c>
      <c r="J7418" s="24">
        <v>0.0</v>
      </c>
      <c r="K7418" s="23" t="s">
        <v>34</v>
      </c>
      <c r="L7418" s="25">
        <v>40673.19021990741</v>
      </c>
      <c r="M7418" s="26" t="s">
        <v>10607</v>
      </c>
      <c r="N7418" s="26" t="s">
        <v>10608</v>
      </c>
      <c r="O7418" s="22" t="str">
        <f>HYPERLINK("https://pbs.twimg.com/profile_images/509392647585161217/R37m512S_normal.png","View")</f>
        <v>View</v>
      </c>
      <c r="P7418" s="27"/>
    </row>
    <row r="7419">
      <c r="A7419" s="14">
        <v>43031.585</v>
      </c>
      <c r="B7419" s="20" t="str">
        <f>HYPERLINK("https://twitter.com/ManMisterGreen","@ManMisterGreen")</f>
        <v>@ManMisterGreen</v>
      </c>
      <c r="C7419" s="21" t="s">
        <v>16484</v>
      </c>
      <c r="D7419" s="21" t="s">
        <v>126</v>
      </c>
      <c r="E7419" s="22" t="str">
        <f>HYPERLINK("https://twitter.com/ManMisterGreen/status/922568914717966338","922568914717966338")</f>
        <v>922568914717966338</v>
      </c>
      <c r="F7419" s="23" t="s">
        <v>33</v>
      </c>
      <c r="G7419" s="24">
        <v>93.0</v>
      </c>
      <c r="H7419" s="24">
        <v>310.0</v>
      </c>
      <c r="I7419" s="24">
        <v>62.0</v>
      </c>
      <c r="J7419" s="24">
        <v>0.0</v>
      </c>
      <c r="K7419" s="23" t="s">
        <v>34</v>
      </c>
      <c r="L7419" s="25">
        <v>42838.63923611111</v>
      </c>
      <c r="M7419" s="26" t="s">
        <v>1024</v>
      </c>
      <c r="N7419" s="26" t="s">
        <v>16485</v>
      </c>
      <c r="O7419" s="22" t="str">
        <f>HYPERLINK("https://pbs.twimg.com/profile_images/852652928280256512/GwLAdaN-_normal.jpg","View")</f>
        <v>View</v>
      </c>
      <c r="P7419" s="27"/>
    </row>
    <row r="7420">
      <c r="A7420" s="14">
        <v>43031.585127314815</v>
      </c>
      <c r="B7420" s="20" t="str">
        <f>HYPERLINK("https://twitter.com/libertad717","@libertad717")</f>
        <v>@libertad717</v>
      </c>
      <c r="C7420" s="21" t="s">
        <v>1228</v>
      </c>
      <c r="D7420" s="21" t="s">
        <v>11430</v>
      </c>
      <c r="E7420" s="22" t="str">
        <f>HYPERLINK("https://twitter.com/libertad717/status/922568962302283776","922568962302283776")</f>
        <v>922568962302283776</v>
      </c>
      <c r="F7420" s="23" t="s">
        <v>33</v>
      </c>
      <c r="G7420" s="24">
        <v>1043.0</v>
      </c>
      <c r="H7420" s="24">
        <v>1058.0</v>
      </c>
      <c r="I7420" s="24">
        <v>4.0</v>
      </c>
      <c r="J7420" s="24">
        <v>0.0</v>
      </c>
      <c r="K7420" s="23" t="s">
        <v>34</v>
      </c>
      <c r="L7420" s="25">
        <v>40681.701203703706</v>
      </c>
      <c r="M7420" s="28"/>
      <c r="N7420" s="28"/>
      <c r="O7420" s="22" t="str">
        <f>HYPERLINK("https://pbs.twimg.com/profile_images/378800000709612949/cfd1435ac2c89df971f95fff2d2610a6_normal.jpeg","View")</f>
        <v>View</v>
      </c>
      <c r="P7420" s="27"/>
    </row>
    <row r="7421">
      <c r="A7421" s="14">
        <v>43031.5856712963</v>
      </c>
      <c r="B7421" s="20" t="str">
        <f>HYPERLINK("https://twitter.com/news_analyst","@news_analyst")</f>
        <v>@news_analyst</v>
      </c>
      <c r="C7421" s="21" t="s">
        <v>16486</v>
      </c>
      <c r="D7421" s="21" t="s">
        <v>16487</v>
      </c>
      <c r="E7421" s="22" t="str">
        <f>HYPERLINK("https://twitter.com/news_analyst/status/922569157601673216","922569157601673216")</f>
        <v>922569157601673216</v>
      </c>
      <c r="F7421" s="23" t="s">
        <v>1020</v>
      </c>
      <c r="G7421" s="24">
        <v>2172.0</v>
      </c>
      <c r="H7421" s="24">
        <v>2330.0</v>
      </c>
      <c r="I7421" s="24">
        <v>0.0</v>
      </c>
      <c r="J7421" s="24">
        <v>0.0</v>
      </c>
      <c r="K7421" s="23" t="s">
        <v>34</v>
      </c>
      <c r="L7421" s="25">
        <v>40712.19709490741</v>
      </c>
      <c r="M7421" s="26" t="s">
        <v>68</v>
      </c>
      <c r="N7421" s="26" t="s">
        <v>16488</v>
      </c>
      <c r="O7421" s="22" t="str">
        <f>HYPERLINK("https://pbs.twimg.com/profile_images/1401389327/Afbeelding_35_normal.png","View")</f>
        <v>View</v>
      </c>
      <c r="P7421" s="27"/>
    </row>
    <row r="7422">
      <c r="A7422" s="14">
        <v>43031.585868055554</v>
      </c>
      <c r="B7422" s="20" t="str">
        <f>HYPERLINK("https://twitter.com/nyiint","@nyiint")</f>
        <v>@nyiint</v>
      </c>
      <c r="C7422" s="21" t="s">
        <v>5754</v>
      </c>
      <c r="D7422" s="21" t="s">
        <v>16489</v>
      </c>
      <c r="E7422" s="22" t="str">
        <f>HYPERLINK("https://twitter.com/nyiint/status/922569230683324416","922569230683324416")</f>
        <v>922569230683324416</v>
      </c>
      <c r="F7422" s="23" t="s">
        <v>187</v>
      </c>
      <c r="G7422" s="24">
        <v>16.0</v>
      </c>
      <c r="H7422" s="24">
        <v>0.0</v>
      </c>
      <c r="I7422" s="24">
        <v>1.0</v>
      </c>
      <c r="J7422" s="24">
        <v>0.0</v>
      </c>
      <c r="K7422" s="23" t="s">
        <v>34</v>
      </c>
      <c r="L7422" s="25">
        <v>42982.23821759259</v>
      </c>
      <c r="M7422" s="26" t="s">
        <v>4746</v>
      </c>
      <c r="N7422" s="26" t="s">
        <v>5756</v>
      </c>
      <c r="O7422" s="22" t="str">
        <f>HYPERLINK("https://pbs.twimg.com/profile_images/912810467730403330/LNww9UbF_normal.jpg","View")</f>
        <v>View</v>
      </c>
      <c r="P7422" s="27"/>
    </row>
    <row r="7423">
      <c r="A7423" s="14">
        <v>43031.58650462963</v>
      </c>
      <c r="B7423" s="20" t="str">
        <f t="shared" ref="B7423:B7424" si="124">HYPERLINK("https://twitter.com/Binaliyu","@Binaliyu")</f>
        <v>@Binaliyu</v>
      </c>
      <c r="C7423" s="21" t="s">
        <v>16490</v>
      </c>
      <c r="D7423" s="21" t="s">
        <v>16437</v>
      </c>
      <c r="E7423" s="22" t="str">
        <f>HYPERLINK("https://twitter.com/Binaliyu/status/922569462003273729","922569462003273729")</f>
        <v>922569462003273729</v>
      </c>
      <c r="F7423" s="23" t="s">
        <v>33</v>
      </c>
      <c r="G7423" s="24">
        <v>640.0</v>
      </c>
      <c r="H7423" s="24">
        <v>204.0</v>
      </c>
      <c r="I7423" s="24">
        <v>6.0</v>
      </c>
      <c r="J7423" s="24">
        <v>0.0</v>
      </c>
      <c r="K7423" s="23" t="s">
        <v>34</v>
      </c>
      <c r="L7423" s="25">
        <v>40455.633310185185</v>
      </c>
      <c r="M7423" s="26" t="s">
        <v>16491</v>
      </c>
      <c r="N7423" s="26" t="s">
        <v>16492</v>
      </c>
      <c r="O7423" s="22" t="str">
        <f t="shared" ref="O7423:O7424" si="125">HYPERLINK("https://pbs.twimg.com/profile_images/853792917206511616/mtzB-ahQ_normal.jpg","View")</f>
        <v>View</v>
      </c>
      <c r="P7423" s="27"/>
    </row>
    <row r="7424">
      <c r="A7424" s="14">
        <v>43031.58657407407</v>
      </c>
      <c r="B7424" s="20" t="str">
        <f t="shared" si="124"/>
        <v>@Binaliyu</v>
      </c>
      <c r="C7424" s="21" t="s">
        <v>16490</v>
      </c>
      <c r="D7424" s="21" t="s">
        <v>16493</v>
      </c>
      <c r="E7424" s="22" t="str">
        <f>HYPERLINK("https://twitter.com/Binaliyu/status/922569485201977344","922569485201977344")</f>
        <v>922569485201977344</v>
      </c>
      <c r="F7424" s="23" t="s">
        <v>48</v>
      </c>
      <c r="G7424" s="24">
        <v>640.0</v>
      </c>
      <c r="H7424" s="24">
        <v>204.0</v>
      </c>
      <c r="I7424" s="24">
        <v>0.0</v>
      </c>
      <c r="J7424" s="24">
        <v>0.0</v>
      </c>
      <c r="K7424" s="23" t="s">
        <v>34</v>
      </c>
      <c r="L7424" s="25">
        <v>40455.633310185185</v>
      </c>
      <c r="M7424" s="26" t="s">
        <v>16491</v>
      </c>
      <c r="N7424" s="26" t="s">
        <v>16492</v>
      </c>
      <c r="O7424" s="22" t="str">
        <f t="shared" si="125"/>
        <v>View</v>
      </c>
      <c r="P7424" s="27"/>
    </row>
    <row r="7425">
      <c r="A7425" s="14">
        <v>43031.58663194445</v>
      </c>
      <c r="B7425" s="20" t="str">
        <f>HYPERLINK("https://twitter.com/periodicalw","@periodicalw")</f>
        <v>@periodicalw</v>
      </c>
      <c r="C7425" s="21" t="s">
        <v>5750</v>
      </c>
      <c r="D7425" s="21" t="s">
        <v>16494</v>
      </c>
      <c r="E7425" s="22" t="str">
        <f>HYPERLINK("https://twitter.com/periodicalw/status/922569504973930496","922569504973930496")</f>
        <v>922569504973930496</v>
      </c>
      <c r="F7425" s="23" t="s">
        <v>187</v>
      </c>
      <c r="G7425" s="24">
        <v>13.0</v>
      </c>
      <c r="H7425" s="24">
        <v>0.0</v>
      </c>
      <c r="I7425" s="24">
        <v>0.0</v>
      </c>
      <c r="J7425" s="24">
        <v>0.0</v>
      </c>
      <c r="K7425" s="23" t="s">
        <v>34</v>
      </c>
      <c r="L7425" s="25">
        <v>42054.98625</v>
      </c>
      <c r="M7425" s="28"/>
      <c r="N7425" s="26" t="s">
        <v>5752</v>
      </c>
      <c r="O7425" s="22" t="str">
        <f>HYPERLINK("https://pbs.twimg.com/profile_images/919747762345906181/R3fj25Fb_normal.jpg","View")</f>
        <v>View</v>
      </c>
      <c r="P7425" s="27"/>
    </row>
    <row r="7426">
      <c r="A7426" s="14">
        <v>43031.586736111116</v>
      </c>
      <c r="B7426" s="20" t="str">
        <f>HYPERLINK("https://twitter.com/artytrace","@artytrace")</f>
        <v>@artytrace</v>
      </c>
      <c r="C7426" s="21" t="s">
        <v>16495</v>
      </c>
      <c r="D7426" s="21" t="s">
        <v>14748</v>
      </c>
      <c r="E7426" s="22" t="str">
        <f>HYPERLINK("https://twitter.com/artytrace/status/922569542173200384","922569542173200384")</f>
        <v>922569542173200384</v>
      </c>
      <c r="F7426" s="23" t="s">
        <v>33</v>
      </c>
      <c r="G7426" s="24">
        <v>1922.0</v>
      </c>
      <c r="H7426" s="24">
        <v>2075.0</v>
      </c>
      <c r="I7426" s="24">
        <v>46.0</v>
      </c>
      <c r="J7426" s="24">
        <v>0.0</v>
      </c>
      <c r="K7426" s="23" t="s">
        <v>34</v>
      </c>
      <c r="L7426" s="25">
        <v>40623.363958333335</v>
      </c>
      <c r="M7426" s="26" t="s">
        <v>5820</v>
      </c>
      <c r="N7426" s="26" t="s">
        <v>16496</v>
      </c>
      <c r="O7426" s="22" t="str">
        <f>HYPERLINK("https://pbs.twimg.com/profile_images/1282508445/P1010075_normal.JPG","View")</f>
        <v>View</v>
      </c>
      <c r="P7426" s="27"/>
    </row>
    <row r="7427">
      <c r="A7427" s="14">
        <v>43031.587488425925</v>
      </c>
      <c r="B7427" s="20" t="str">
        <f>HYPERLINK("https://twitter.com/libertad717","@libertad717")</f>
        <v>@libertad717</v>
      </c>
      <c r="C7427" s="21" t="s">
        <v>1228</v>
      </c>
      <c r="D7427" s="21" t="s">
        <v>15766</v>
      </c>
      <c r="E7427" s="22" t="str">
        <f>HYPERLINK("https://twitter.com/libertad717/status/922569817529257984","922569817529257984")</f>
        <v>922569817529257984</v>
      </c>
      <c r="F7427" s="23" t="s">
        <v>33</v>
      </c>
      <c r="G7427" s="24">
        <v>1043.0</v>
      </c>
      <c r="H7427" s="24">
        <v>1058.0</v>
      </c>
      <c r="I7427" s="24">
        <v>14.0</v>
      </c>
      <c r="J7427" s="24">
        <v>0.0</v>
      </c>
      <c r="K7427" s="23" t="s">
        <v>34</v>
      </c>
      <c r="L7427" s="25">
        <v>40681.701203703706</v>
      </c>
      <c r="M7427" s="28"/>
      <c r="N7427" s="28"/>
      <c r="O7427" s="22" t="str">
        <f>HYPERLINK("https://pbs.twimg.com/profile_images/378800000709612949/cfd1435ac2c89df971f95fff2d2610a6_normal.jpeg","View")</f>
        <v>View</v>
      </c>
      <c r="P7427" s="27"/>
    </row>
    <row r="7428">
      <c r="A7428" s="14">
        <v>43031.58753472222</v>
      </c>
      <c r="B7428" s="20" t="str">
        <f>HYPERLINK("https://twitter.com/NewsDingo","@NewsDingo")</f>
        <v>@NewsDingo</v>
      </c>
      <c r="C7428" s="21" t="s">
        <v>3313</v>
      </c>
      <c r="D7428" s="21" t="s">
        <v>16497</v>
      </c>
      <c r="E7428" s="22" t="str">
        <f>HYPERLINK("https://twitter.com/NewsDingo/status/922569834373586944","922569834373586944")</f>
        <v>922569834373586944</v>
      </c>
      <c r="F7428" s="23" t="s">
        <v>3315</v>
      </c>
      <c r="G7428" s="24">
        <v>140.0</v>
      </c>
      <c r="H7428" s="24">
        <v>55.0</v>
      </c>
      <c r="I7428" s="24">
        <v>0.0</v>
      </c>
      <c r="J7428" s="24">
        <v>0.0</v>
      </c>
      <c r="K7428" s="23" t="s">
        <v>34</v>
      </c>
      <c r="L7428" s="25">
        <v>40282.52636574074</v>
      </c>
      <c r="M7428" s="26" t="s">
        <v>3316</v>
      </c>
      <c r="N7428" s="26" t="s">
        <v>3317</v>
      </c>
      <c r="O7428" s="22" t="str">
        <f>HYPERLINK("https://pbs.twimg.com/profile_images/823485261/news_dingo_48_normal.gif","View")</f>
        <v>View</v>
      </c>
      <c r="P7428" s="27"/>
    </row>
    <row r="7429">
      <c r="A7429" s="14">
        <v>43031.58765046296</v>
      </c>
      <c r="B7429" s="20" t="str">
        <f>HYPERLINK("https://twitter.com/red_pana","@red_pana")</f>
        <v>@red_pana</v>
      </c>
      <c r="C7429" s="21" t="s">
        <v>16498</v>
      </c>
      <c r="D7429" s="21" t="s">
        <v>16499</v>
      </c>
      <c r="E7429" s="22" t="str">
        <f>HYPERLINK("https://twitter.com/red_pana/status/922569875070918656","922569875070918656")</f>
        <v>922569875070918656</v>
      </c>
      <c r="F7429" s="23" t="s">
        <v>39</v>
      </c>
      <c r="G7429" s="24">
        <v>427.0</v>
      </c>
      <c r="H7429" s="24">
        <v>1664.0</v>
      </c>
      <c r="I7429" s="24">
        <v>1.0</v>
      </c>
      <c r="J7429" s="24">
        <v>0.0</v>
      </c>
      <c r="K7429" s="23" t="s">
        <v>34</v>
      </c>
      <c r="L7429" s="25">
        <v>41682.603726851856</v>
      </c>
      <c r="M7429" s="28"/>
      <c r="N7429" s="28"/>
      <c r="O7429" s="22" t="str">
        <f>HYPERLINK("https://pbs.twimg.com/profile_images/433731943402721280/lbdMn1bJ_normal.jpeg","View")</f>
        <v>View</v>
      </c>
      <c r="P7429" s="27"/>
    </row>
    <row r="7430">
      <c r="A7430" s="14">
        <v>43031.58782407407</v>
      </c>
      <c r="B7430" s="20" t="str">
        <f>HYPERLINK("https://twitter.com/SergioRosas2","@SergioRosas2")</f>
        <v>@SergioRosas2</v>
      </c>
      <c r="C7430" s="21" t="s">
        <v>16500</v>
      </c>
      <c r="D7430" s="21" t="s">
        <v>16501</v>
      </c>
      <c r="E7430" s="22" t="str">
        <f>HYPERLINK("https://twitter.com/SergioRosas2/status/922569937406906368","922569937406906368")</f>
        <v>922569937406906368</v>
      </c>
      <c r="F7430" s="23" t="s">
        <v>55</v>
      </c>
      <c r="G7430" s="24">
        <v>247.0</v>
      </c>
      <c r="H7430" s="24">
        <v>573.0</v>
      </c>
      <c r="I7430" s="24">
        <v>0.0</v>
      </c>
      <c r="J7430" s="24">
        <v>0.0</v>
      </c>
      <c r="K7430" s="23" t="s">
        <v>34</v>
      </c>
      <c r="L7430" s="25">
        <v>40728.44244212963</v>
      </c>
      <c r="M7430" s="26" t="s">
        <v>16502</v>
      </c>
      <c r="N7430" s="26" t="s">
        <v>16503</v>
      </c>
      <c r="O7430" s="22" t="str">
        <f>HYPERLINK("https://pbs.twimg.com/profile_images/378800000425994537/23cdf63af2b746cbd14f94978877ccfd_normal.jpeg","View")</f>
        <v>View</v>
      </c>
      <c r="P7430" s="27"/>
    </row>
    <row r="7431">
      <c r="A7431" s="14">
        <v>43031.58820601852</v>
      </c>
      <c r="B7431" s="20" t="str">
        <f>HYPERLINK("https://twitter.com/elizabethtoni","@elizabethtoni")</f>
        <v>@elizabethtoni</v>
      </c>
      <c r="C7431" s="21" t="s">
        <v>16504</v>
      </c>
      <c r="D7431" s="21" t="s">
        <v>12974</v>
      </c>
      <c r="E7431" s="22" t="str">
        <f>HYPERLINK("https://twitter.com/elizabethtoni/status/922570078494662656","922570078494662656")</f>
        <v>922570078494662656</v>
      </c>
      <c r="F7431" s="23" t="s">
        <v>39</v>
      </c>
      <c r="G7431" s="24">
        <v>2617.0</v>
      </c>
      <c r="H7431" s="24">
        <v>4964.0</v>
      </c>
      <c r="I7431" s="24">
        <v>110.0</v>
      </c>
      <c r="J7431" s="24">
        <v>0.0</v>
      </c>
      <c r="K7431" s="23" t="s">
        <v>34</v>
      </c>
      <c r="L7431" s="25">
        <v>39831.21640046296</v>
      </c>
      <c r="M7431" s="26" t="s">
        <v>16505</v>
      </c>
      <c r="N7431" s="26" t="s">
        <v>16506</v>
      </c>
      <c r="O7431" s="22" t="str">
        <f>HYPERLINK("https://pbs.twimg.com/profile_images/72270595/1_normal.jpg","View")</f>
        <v>View</v>
      </c>
      <c r="P7431" s="27"/>
    </row>
    <row r="7432">
      <c r="A7432" s="14">
        <v>43031.58820601852</v>
      </c>
      <c r="B7432" s="20" t="str">
        <f>HYPERLINK("https://twitter.com/JeremyFarrar","@JeremyFarrar")</f>
        <v>@JeremyFarrar</v>
      </c>
      <c r="C7432" s="21" t="s">
        <v>16507</v>
      </c>
      <c r="D7432" s="21" t="s">
        <v>16208</v>
      </c>
      <c r="E7432" s="22" t="str">
        <f>HYPERLINK("https://twitter.com/JeremyFarrar/status/922570078897524736","922570078897524736")</f>
        <v>922570078897524736</v>
      </c>
      <c r="F7432" s="23" t="s">
        <v>230</v>
      </c>
      <c r="G7432" s="24">
        <v>9504.0</v>
      </c>
      <c r="H7432" s="24">
        <v>127.0</v>
      </c>
      <c r="I7432" s="24">
        <v>41.0</v>
      </c>
      <c r="J7432" s="24">
        <v>0.0</v>
      </c>
      <c r="K7432" s="23" t="s">
        <v>34</v>
      </c>
      <c r="L7432" s="25">
        <v>41432.02144675926</v>
      </c>
      <c r="M7432" s="26" t="s">
        <v>334</v>
      </c>
      <c r="N7432" s="26" t="s">
        <v>16508</v>
      </c>
      <c r="O7432" s="22" t="str">
        <f>HYPERLINK("https://pbs.twimg.com/profile_images/378800000533045855/5174e72399a4ea077f328e190aec270f_normal.jpeg","View")</f>
        <v>View</v>
      </c>
      <c r="P7432" s="27"/>
    </row>
    <row r="7433">
      <c r="A7433" s="14">
        <v>43031.58857638889</v>
      </c>
      <c r="B7433" s="20" t="str">
        <f>HYPERLINK("https://twitter.com/sachinlacoste","@sachinlacoste")</f>
        <v>@sachinlacoste</v>
      </c>
      <c r="C7433" s="21" t="s">
        <v>16509</v>
      </c>
      <c r="D7433" s="21" t="s">
        <v>42</v>
      </c>
      <c r="E7433" s="22" t="str">
        <f>HYPERLINK("https://twitter.com/sachinlacoste/status/922570211143725056","922570211143725056")</f>
        <v>922570211143725056</v>
      </c>
      <c r="F7433" s="23" t="s">
        <v>33</v>
      </c>
      <c r="G7433" s="24">
        <v>197.0</v>
      </c>
      <c r="H7433" s="24">
        <v>676.0</v>
      </c>
      <c r="I7433" s="24">
        <v>8501.0</v>
      </c>
      <c r="J7433" s="24">
        <v>0.0</v>
      </c>
      <c r="K7433" s="23" t="s">
        <v>34</v>
      </c>
      <c r="L7433" s="25">
        <v>40742.076053240744</v>
      </c>
      <c r="M7433" s="26" t="s">
        <v>16510</v>
      </c>
      <c r="N7433" s="26" t="s">
        <v>16511</v>
      </c>
      <c r="O7433" s="22" t="str">
        <f>HYPERLINK("https://pbs.twimg.com/profile_images/826621919998963713/Q9kaCtsJ_normal.jpg","View")</f>
        <v>View</v>
      </c>
      <c r="P7433" s="27"/>
    </row>
    <row r="7434">
      <c r="A7434" s="14">
        <v>43031.58862268519</v>
      </c>
      <c r="B7434" s="20" t="str">
        <f>HYPERLINK("https://twitter.com/RTGWorld","@RTGWorld")</f>
        <v>@RTGWorld</v>
      </c>
      <c r="C7434" s="21" t="s">
        <v>6267</v>
      </c>
      <c r="D7434" s="21" t="s">
        <v>16512</v>
      </c>
      <c r="E7434" s="22" t="str">
        <f>HYPERLINK("https://twitter.com/RTGWorld/status/922570227291787264","922570227291787264")</f>
        <v>922570227291787264</v>
      </c>
      <c r="F7434" s="23" t="s">
        <v>187</v>
      </c>
      <c r="G7434" s="24">
        <v>350.0</v>
      </c>
      <c r="H7434" s="24">
        <v>5.0</v>
      </c>
      <c r="I7434" s="24">
        <v>0.0</v>
      </c>
      <c r="J7434" s="24">
        <v>0.0</v>
      </c>
      <c r="K7434" s="23" t="s">
        <v>34</v>
      </c>
      <c r="L7434" s="25">
        <v>42111.125497685185</v>
      </c>
      <c r="M7434" s="28"/>
      <c r="N7434" s="28"/>
      <c r="O7434" s="22" t="str">
        <f>HYPERLINK("https://pbs.twimg.com/profile_images/621177630109249536/Dn9SiFvI_normal.png","View")</f>
        <v>View</v>
      </c>
      <c r="P7434" s="27"/>
    </row>
    <row r="7435">
      <c r="A7435" s="14">
        <v>43031.5890625</v>
      </c>
      <c r="B7435" s="20" t="str">
        <f>HYPERLINK("https://twitter.com/Estrcp","@Estrcp")</f>
        <v>@Estrcp</v>
      </c>
      <c r="C7435" s="21" t="s">
        <v>16513</v>
      </c>
      <c r="D7435" s="21" t="s">
        <v>16208</v>
      </c>
      <c r="E7435" s="22" t="str">
        <f>HYPERLINK("https://twitter.com/Estrcp/status/922570385962409984","922570385962409984")</f>
        <v>922570385962409984</v>
      </c>
      <c r="F7435" s="23" t="s">
        <v>33</v>
      </c>
      <c r="G7435" s="24">
        <v>700.0</v>
      </c>
      <c r="H7435" s="24">
        <v>648.0</v>
      </c>
      <c r="I7435" s="24">
        <v>41.0</v>
      </c>
      <c r="J7435" s="24">
        <v>0.0</v>
      </c>
      <c r="K7435" s="23" t="s">
        <v>34</v>
      </c>
      <c r="L7435" s="25">
        <v>40675.505532407406</v>
      </c>
      <c r="M7435" s="28"/>
      <c r="N7435" s="26" t="s">
        <v>16514</v>
      </c>
      <c r="O7435" s="22" t="str">
        <f>HYPERLINK("https://pbs.twimg.com/profile_images/895657803179843585/zE6-3L2A_normal.jpg","View")</f>
        <v>View</v>
      </c>
      <c r="P7435" s="27"/>
    </row>
    <row r="7436">
      <c r="A7436" s="14">
        <v>43031.58913194445</v>
      </c>
      <c r="B7436" s="20" t="str">
        <f>HYPERLINK("https://twitter.com/mit6557","@mit6557")</f>
        <v>@mit6557</v>
      </c>
      <c r="C7436" s="21" t="s">
        <v>16515</v>
      </c>
      <c r="D7436" s="21" t="s">
        <v>12974</v>
      </c>
      <c r="E7436" s="22" t="str">
        <f>HYPERLINK("https://twitter.com/mit6557/status/922570412159934464","922570412159934464")</f>
        <v>922570412159934464</v>
      </c>
      <c r="F7436" s="23" t="s">
        <v>33</v>
      </c>
      <c r="G7436" s="24">
        <v>324.0</v>
      </c>
      <c r="H7436" s="24">
        <v>574.0</v>
      </c>
      <c r="I7436" s="24">
        <v>110.0</v>
      </c>
      <c r="J7436" s="24">
        <v>0.0</v>
      </c>
      <c r="K7436" s="23" t="s">
        <v>34</v>
      </c>
      <c r="L7436" s="25">
        <v>41397.14517361111</v>
      </c>
      <c r="M7436" s="26" t="s">
        <v>16516</v>
      </c>
      <c r="N7436" s="26" t="s">
        <v>16517</v>
      </c>
      <c r="O7436" s="22" t="str">
        <f>HYPERLINK("https://pbs.twimg.com/profile_images/907955290112274432/0xiwqfPT_normal.jpg","View")</f>
        <v>View</v>
      </c>
      <c r="P7436" s="27"/>
    </row>
    <row r="7437">
      <c r="A7437" s="14">
        <v>43031.58949074074</v>
      </c>
      <c r="B7437" s="20" t="str">
        <f>HYPERLINK("https://twitter.com/TheAccidentMan9","@TheAccidentMan9")</f>
        <v>@TheAccidentMan9</v>
      </c>
      <c r="C7437" s="21" t="s">
        <v>16518</v>
      </c>
      <c r="D7437" s="21" t="s">
        <v>16519</v>
      </c>
      <c r="E7437" s="22" t="str">
        <f>HYPERLINK("https://twitter.com/TheAccidentMan9/status/922570542799929344","922570542799929344")</f>
        <v>922570542799929344</v>
      </c>
      <c r="F7437" s="23" t="s">
        <v>55</v>
      </c>
      <c r="G7437" s="24">
        <v>777.0</v>
      </c>
      <c r="H7437" s="24">
        <v>1605.0</v>
      </c>
      <c r="I7437" s="24">
        <v>0.0</v>
      </c>
      <c r="J7437" s="24">
        <v>0.0</v>
      </c>
      <c r="K7437" s="23" t="s">
        <v>34</v>
      </c>
      <c r="L7437" s="25">
        <v>41390.11607638889</v>
      </c>
      <c r="M7437" s="28" t="str">
        <f>[rothwell Gornt]= </f>
        <v>#ERROR!</v>
      </c>
      <c r="N7437" s="26" t="s">
        <v>16520</v>
      </c>
      <c r="O7437" s="22" t="str">
        <f>HYPERLINK("https://pbs.twimg.com/profile_images/881348995162947589/8ZPHhvOo_normal.jpg","View")</f>
        <v>View</v>
      </c>
      <c r="P7437" s="27"/>
    </row>
    <row r="7438">
      <c r="A7438" s="14">
        <v>43031.58986111111</v>
      </c>
      <c r="B7438" s="20" t="str">
        <f>HYPERLINK("https://twitter.com/ColumnistWorld","@ColumnistWorld")</f>
        <v>@ColumnistWorld</v>
      </c>
      <c r="C7438" s="21" t="s">
        <v>5757</v>
      </c>
      <c r="D7438" s="21" t="s">
        <v>16521</v>
      </c>
      <c r="E7438" s="22" t="str">
        <f>HYPERLINK("https://twitter.com/ColumnistWorld/status/922570674597642240","922570674597642240")</f>
        <v>922570674597642240</v>
      </c>
      <c r="F7438" s="23" t="s">
        <v>187</v>
      </c>
      <c r="G7438" s="24">
        <v>26.0</v>
      </c>
      <c r="H7438" s="24">
        <v>0.0</v>
      </c>
      <c r="I7438" s="24">
        <v>0.0</v>
      </c>
      <c r="J7438" s="24">
        <v>0.0</v>
      </c>
      <c r="K7438" s="23" t="s">
        <v>34</v>
      </c>
      <c r="L7438" s="25">
        <v>42370.48368055555</v>
      </c>
      <c r="M7438" s="28"/>
      <c r="N7438" s="26" t="s">
        <v>5759</v>
      </c>
      <c r="O7438" s="22" t="str">
        <f>HYPERLINK("https://pbs.twimg.com/profile_images/918677245367111680/nbvPzXP0_normal.jpg","View")</f>
        <v>View</v>
      </c>
      <c r="P7438" s="27"/>
    </row>
    <row r="7439">
      <c r="A7439" s="14">
        <v>43031.590370370366</v>
      </c>
      <c r="B7439" s="20" t="str">
        <f>HYPERLINK("https://twitter.com/InsdataInter","@InsdataInter")</f>
        <v>@InsdataInter</v>
      </c>
      <c r="C7439" s="21" t="s">
        <v>5482</v>
      </c>
      <c r="D7439" s="21" t="s">
        <v>14855</v>
      </c>
      <c r="E7439" s="22" t="str">
        <f>HYPERLINK("https://twitter.com/InsdataInter/status/922570863181889536","922570863181889536")</f>
        <v>922570863181889536</v>
      </c>
      <c r="F7439" s="23" t="s">
        <v>39</v>
      </c>
      <c r="G7439" s="24">
        <v>1725.0</v>
      </c>
      <c r="H7439" s="24">
        <v>2942.0</v>
      </c>
      <c r="I7439" s="24">
        <v>36.0</v>
      </c>
      <c r="J7439" s="24">
        <v>0.0</v>
      </c>
      <c r="K7439" s="23" t="s">
        <v>34</v>
      </c>
      <c r="L7439" s="25">
        <v>41533.38997685185</v>
      </c>
      <c r="M7439" s="26" t="s">
        <v>5483</v>
      </c>
      <c r="N7439" s="28"/>
      <c r="O7439" s="22" t="str">
        <f>HYPERLINK("https://pbs.twimg.com/profile_images/378800000501893520/b4582cd3ce52a7c47133d606b639176e_normal.jpeg","View")</f>
        <v>View</v>
      </c>
      <c r="P7439" s="27"/>
    </row>
    <row r="7440">
      <c r="A7440" s="14">
        <v>43031.590462962966</v>
      </c>
      <c r="B7440" s="20" t="str">
        <f>HYPERLINK("https://twitter.com/Y_Mukai","@Y_Mukai")</f>
        <v>@Y_Mukai</v>
      </c>
      <c r="C7440" s="21" t="s">
        <v>16522</v>
      </c>
      <c r="D7440" s="21" t="s">
        <v>16523</v>
      </c>
      <c r="E7440" s="22" t="str">
        <f>HYPERLINK("https://twitter.com/Y_Mukai/status/922570894551138304","922570894551138304")</f>
        <v>922570894551138304</v>
      </c>
      <c r="F7440" s="23" t="s">
        <v>230</v>
      </c>
      <c r="G7440" s="24">
        <v>2215.0</v>
      </c>
      <c r="H7440" s="24">
        <v>4220.0</v>
      </c>
      <c r="I7440" s="24">
        <v>0.0</v>
      </c>
      <c r="J7440" s="24">
        <v>0.0</v>
      </c>
      <c r="K7440" s="23" t="s">
        <v>34</v>
      </c>
      <c r="L7440" s="25">
        <v>40051.313425925924</v>
      </c>
      <c r="M7440" s="26" t="s">
        <v>16524</v>
      </c>
      <c r="N7440" s="26" t="s">
        <v>16525</v>
      </c>
      <c r="O7440" s="22" t="str">
        <f>HYPERLINK("https://pbs.twimg.com/profile_images/1260551876/080610_2328_01_normal.jpg","View")</f>
        <v>View</v>
      </c>
      <c r="P7440" s="27"/>
    </row>
    <row r="7441">
      <c r="A7441" s="14">
        <v>43031.5906712963</v>
      </c>
      <c r="B7441" s="20" t="str">
        <f>HYPERLINK("https://twitter.com/Hopes119","@Hopes119")</f>
        <v>@Hopes119</v>
      </c>
      <c r="C7441" s="21" t="s">
        <v>16526</v>
      </c>
      <c r="D7441" s="21" t="s">
        <v>14855</v>
      </c>
      <c r="E7441" s="22" t="str">
        <f>HYPERLINK("https://twitter.com/Hopes119/status/922570968333037568","922570968333037568")</f>
        <v>922570968333037568</v>
      </c>
      <c r="F7441" s="23" t="s">
        <v>39</v>
      </c>
      <c r="G7441" s="24">
        <v>2231.0</v>
      </c>
      <c r="H7441" s="24">
        <v>1923.0</v>
      </c>
      <c r="I7441" s="24">
        <v>36.0</v>
      </c>
      <c r="J7441" s="24">
        <v>0.0</v>
      </c>
      <c r="K7441" s="23" t="s">
        <v>34</v>
      </c>
      <c r="L7441" s="25">
        <v>39982.590625</v>
      </c>
      <c r="M7441" s="26" t="s">
        <v>68</v>
      </c>
      <c r="N7441" s="26" t="s">
        <v>16527</v>
      </c>
      <c r="O7441" s="22" t="str">
        <f>HYPERLINK("https://pbs.twimg.com/profile_images/909987326884970496/DeIuLROZ_normal.jpg","View")</f>
        <v>View</v>
      </c>
      <c r="P7441" s="27"/>
    </row>
    <row r="7442">
      <c r="A7442" s="14">
        <v>43031.59100694444</v>
      </c>
      <c r="B7442" s="20" t="str">
        <f>HYPERLINK("https://twitter.com/onayamigb","@onayamigb")</f>
        <v>@onayamigb</v>
      </c>
      <c r="C7442" s="21" t="s">
        <v>16528</v>
      </c>
      <c r="D7442" s="21" t="s">
        <v>16529</v>
      </c>
      <c r="E7442" s="22" t="str">
        <f>HYPERLINK("https://twitter.com/onayamigb/status/922571093348462593","922571093348462593")</f>
        <v>922571093348462593</v>
      </c>
      <c r="F7442" s="30" t="s">
        <v>411</v>
      </c>
      <c r="G7442" s="24">
        <v>1085.0</v>
      </c>
      <c r="H7442" s="24">
        <v>1634.0</v>
      </c>
      <c r="I7442" s="24">
        <v>0.0</v>
      </c>
      <c r="J7442" s="24">
        <v>0.0</v>
      </c>
      <c r="K7442" s="23" t="s">
        <v>34</v>
      </c>
      <c r="L7442" s="25">
        <v>42996.599270833336</v>
      </c>
      <c r="M7442" s="26" t="s">
        <v>16530</v>
      </c>
      <c r="N7442" s="26" t="s">
        <v>16531</v>
      </c>
      <c r="O7442" s="22" t="str">
        <f>HYPERLINK("https://pbs.twimg.com/profile_images/909906069429698560/Agj-mjoa_normal.jpg","View")</f>
        <v>View</v>
      </c>
      <c r="P7442" s="27"/>
    </row>
    <row r="7443">
      <c r="A7443" s="14">
        <v>43031.591944444444</v>
      </c>
      <c r="B7443" s="20" t="str">
        <f>HYPERLINK("https://twitter.com/SenJohnMcCain","@SenJohnMcCain")</f>
        <v>@SenJohnMcCain</v>
      </c>
      <c r="C7443" s="21" t="s">
        <v>16532</v>
      </c>
      <c r="D7443" s="21" t="s">
        <v>16533</v>
      </c>
      <c r="E7443" s="22" t="str">
        <f>HYPERLINK("https://twitter.com/SenJohnMcCain/status/922571431325597696","922571431325597696")</f>
        <v>922571431325597696</v>
      </c>
      <c r="F7443" s="23" t="s">
        <v>55</v>
      </c>
      <c r="G7443" s="24">
        <v>2718349.0</v>
      </c>
      <c r="H7443" s="24">
        <v>379.0</v>
      </c>
      <c r="I7443" s="24">
        <v>242.0</v>
      </c>
      <c r="J7443" s="24">
        <v>1768.0</v>
      </c>
      <c r="K7443" s="23" t="s">
        <v>34</v>
      </c>
      <c r="L7443" s="25">
        <v>39836.237858796296</v>
      </c>
      <c r="M7443" s="26" t="s">
        <v>16534</v>
      </c>
      <c r="N7443" s="26" t="s">
        <v>16535</v>
      </c>
      <c r="O7443" s="22" t="str">
        <f>HYPERLINK("https://pbs.twimg.com/profile_images/898243253362929664/y1gCTcz1_normal.jpg","View")</f>
        <v>View</v>
      </c>
      <c r="P7443" s="27"/>
    </row>
    <row r="7444">
      <c r="A7444" s="14">
        <v>43031.591944444444</v>
      </c>
      <c r="B7444" s="20" t="str">
        <f>HYPERLINK("https://twitter.com/CongressRTBot","@CongressRTBot")</f>
        <v>@CongressRTBot</v>
      </c>
      <c r="C7444" s="21" t="s">
        <v>16536</v>
      </c>
      <c r="D7444" s="21" t="s">
        <v>16537</v>
      </c>
      <c r="E7444" s="22" t="str">
        <f>HYPERLINK("https://twitter.com/CongressRTBot/status/922571433439502336","922571433439502336")</f>
        <v>922571433439502336</v>
      </c>
      <c r="F7444" s="23" t="s">
        <v>16538</v>
      </c>
      <c r="G7444" s="24">
        <v>437.0</v>
      </c>
      <c r="H7444" s="24">
        <v>0.0</v>
      </c>
      <c r="I7444" s="24">
        <v>242.0</v>
      </c>
      <c r="J7444" s="24">
        <v>0.0</v>
      </c>
      <c r="K7444" s="23" t="s">
        <v>34</v>
      </c>
      <c r="L7444" s="25">
        <v>42965.518483796295</v>
      </c>
      <c r="M7444" s="26" t="s">
        <v>4239</v>
      </c>
      <c r="N7444" s="26" t="s">
        <v>16539</v>
      </c>
      <c r="O7444" s="22" t="str">
        <f>HYPERLINK("https://pbs.twimg.com/profile_images/898629657599389696/LryfmcYa_normal.jpg","View")</f>
        <v>View</v>
      </c>
      <c r="P7444" s="27"/>
    </row>
    <row r="7445">
      <c r="A7445" s="14">
        <v>43031.59202546296</v>
      </c>
      <c r="B7445" s="20" t="str">
        <f>HYPERLINK("https://twitter.com/All100Senators","@All100Senators")</f>
        <v>@All100Senators</v>
      </c>
      <c r="C7445" s="21" t="s">
        <v>16540</v>
      </c>
      <c r="D7445" s="21" t="s">
        <v>16537</v>
      </c>
      <c r="E7445" s="22" t="str">
        <f>HYPERLINK("https://twitter.com/All100Senators/status/922571462208233472","922571462208233472")</f>
        <v>922571462208233472</v>
      </c>
      <c r="F7445" s="23" t="s">
        <v>16540</v>
      </c>
      <c r="G7445" s="24">
        <v>883.0</v>
      </c>
      <c r="H7445" s="24">
        <v>100.0</v>
      </c>
      <c r="I7445" s="24">
        <v>242.0</v>
      </c>
      <c r="J7445" s="24">
        <v>0.0</v>
      </c>
      <c r="K7445" s="23" t="s">
        <v>34</v>
      </c>
      <c r="L7445" s="25">
        <v>42763.29635416667</v>
      </c>
      <c r="M7445" s="28"/>
      <c r="N7445" s="26" t="s">
        <v>16541</v>
      </c>
      <c r="O7445" s="22" t="str">
        <f>HYPERLINK("https://pbs.twimg.com/profile_images/825817308073492481/WmGV0hSp_normal.jpg","View")</f>
        <v>View</v>
      </c>
      <c r="P7445" s="27"/>
    </row>
    <row r="7446">
      <c r="A7446" s="14">
        <v>43031.59208333334</v>
      </c>
      <c r="B7446" s="20" t="str">
        <f>HYPERLINK("https://twitter.com/ainarsbr11","@ainarsbr11")</f>
        <v>@ainarsbr11</v>
      </c>
      <c r="C7446" s="21" t="s">
        <v>16542</v>
      </c>
      <c r="D7446" s="21" t="s">
        <v>16537</v>
      </c>
      <c r="E7446" s="22" t="str">
        <f>HYPERLINK("https://twitter.com/ainarsbr11/status/922571483653718017","922571483653718017")</f>
        <v>922571483653718017</v>
      </c>
      <c r="F7446" s="23" t="s">
        <v>55</v>
      </c>
      <c r="G7446" s="24">
        <v>1445.0</v>
      </c>
      <c r="H7446" s="24">
        <v>853.0</v>
      </c>
      <c r="I7446" s="24">
        <v>242.0</v>
      </c>
      <c r="J7446" s="24">
        <v>0.0</v>
      </c>
      <c r="K7446" s="23" t="s">
        <v>34</v>
      </c>
      <c r="L7446" s="25">
        <v>40616.108981481484</v>
      </c>
      <c r="M7446" s="28"/>
      <c r="N7446" s="26" t="s">
        <v>16543</v>
      </c>
      <c r="O7446" s="22" t="str">
        <f>HYPERLINK("https://pbs.twimg.com/profile_images/529198445572009984/h9BXgbsD_normal.png","View")</f>
        <v>View</v>
      </c>
      <c r="P7446" s="27"/>
    </row>
    <row r="7447">
      <c r="A7447" s="14">
        <v>43031.59212962963</v>
      </c>
      <c r="B7447" s="20" t="str">
        <f>HYPERLINK("https://twitter.com/jose_baha","@jose_baha")</f>
        <v>@jose_baha</v>
      </c>
      <c r="C7447" s="21" t="s">
        <v>16544</v>
      </c>
      <c r="D7447" s="21" t="s">
        <v>16537</v>
      </c>
      <c r="E7447" s="22" t="str">
        <f>HYPERLINK("https://twitter.com/jose_baha/status/922571498736332801","922571498736332801")</f>
        <v>922571498736332801</v>
      </c>
      <c r="F7447" s="23" t="s">
        <v>39</v>
      </c>
      <c r="G7447" s="24">
        <v>781.0</v>
      </c>
      <c r="H7447" s="24">
        <v>553.0</v>
      </c>
      <c r="I7447" s="24">
        <v>242.0</v>
      </c>
      <c r="J7447" s="24">
        <v>0.0</v>
      </c>
      <c r="K7447" s="23" t="s">
        <v>34</v>
      </c>
      <c r="L7447" s="25">
        <v>41332.590520833335</v>
      </c>
      <c r="M7447" s="26" t="s">
        <v>16545</v>
      </c>
      <c r="N7447" s="28"/>
      <c r="O7447" s="22" t="str">
        <f>HYPERLINK("https://pbs.twimg.com/profile_images/502220108006035456/RA3YvZjC_normal.jpeg","View")</f>
        <v>View</v>
      </c>
      <c r="P7447" s="27"/>
    </row>
    <row r="7448">
      <c r="A7448" s="14">
        <v>43031.59212962963</v>
      </c>
      <c r="B7448" s="20" t="str">
        <f>HYPERLINK("https://twitter.com/benvele32","@benvele32")</f>
        <v>@benvele32</v>
      </c>
      <c r="C7448" s="21" t="s">
        <v>16546</v>
      </c>
      <c r="D7448" s="21" t="s">
        <v>16537</v>
      </c>
      <c r="E7448" s="22" t="str">
        <f>HYPERLINK("https://twitter.com/benvele32/status/922571499999059971","922571499999059971")</f>
        <v>922571499999059971</v>
      </c>
      <c r="F7448" s="23" t="s">
        <v>55</v>
      </c>
      <c r="G7448" s="24">
        <v>637.0</v>
      </c>
      <c r="H7448" s="24">
        <v>418.0</v>
      </c>
      <c r="I7448" s="24">
        <v>242.0</v>
      </c>
      <c r="J7448" s="24">
        <v>0.0</v>
      </c>
      <c r="K7448" s="23" t="s">
        <v>34</v>
      </c>
      <c r="L7448" s="25">
        <v>41418.402337962965</v>
      </c>
      <c r="M7448" s="28"/>
      <c r="N7448" s="28"/>
      <c r="O7448" s="22" t="str">
        <f>HYPERLINK("https://pbs.twimg.com/profile_images/744886926918942720/efTFVuL0_normal.jpg","View")</f>
        <v>View</v>
      </c>
      <c r="P7448" s="27"/>
    </row>
    <row r="7449">
      <c r="A7449" s="14">
        <v>43031.59232638888</v>
      </c>
      <c r="B7449" s="20" t="str">
        <f>HYPERLINK("https://twitter.com/InigoMontoya15","@InigoMontoya15")</f>
        <v>@InigoMontoya15</v>
      </c>
      <c r="C7449" s="21" t="s">
        <v>16547</v>
      </c>
      <c r="D7449" s="21" t="s">
        <v>16537</v>
      </c>
      <c r="E7449" s="22" t="str">
        <f>HYPERLINK("https://twitter.com/InigoMontoya15/status/922571570509426688","922571570509426688")</f>
        <v>922571570509426688</v>
      </c>
      <c r="F7449" s="23" t="s">
        <v>43</v>
      </c>
      <c r="G7449" s="24">
        <v>60.0</v>
      </c>
      <c r="H7449" s="24">
        <v>76.0</v>
      </c>
      <c r="I7449" s="24">
        <v>242.0</v>
      </c>
      <c r="J7449" s="24">
        <v>0.0</v>
      </c>
      <c r="K7449" s="23" t="s">
        <v>34</v>
      </c>
      <c r="L7449" s="25">
        <v>40999.855208333334</v>
      </c>
      <c r="M7449" s="28"/>
      <c r="N7449" s="26" t="s">
        <v>16548</v>
      </c>
      <c r="O7449" s="22" t="str">
        <f>HYPERLINK("https://pbs.twimg.com/profile_images/850505990458023936/7TWwNS6b_normal.jpg","View")</f>
        <v>View</v>
      </c>
      <c r="P7449" s="27"/>
    </row>
    <row r="7450">
      <c r="A7450" s="14">
        <v>43031.59233796297</v>
      </c>
      <c r="B7450" s="20" t="str">
        <f>HYPERLINK("https://twitter.com/ckieser13","@ckieser13")</f>
        <v>@ckieser13</v>
      </c>
      <c r="C7450" s="21" t="s">
        <v>16549</v>
      </c>
      <c r="D7450" s="21" t="s">
        <v>16537</v>
      </c>
      <c r="E7450" s="22" t="str">
        <f>HYPERLINK("https://twitter.com/ckieser13/status/922571572451274752","922571572451274752")</f>
        <v>922571572451274752</v>
      </c>
      <c r="F7450" s="23" t="s">
        <v>55</v>
      </c>
      <c r="G7450" s="24">
        <v>309.0</v>
      </c>
      <c r="H7450" s="24">
        <v>964.0</v>
      </c>
      <c r="I7450" s="24">
        <v>242.0</v>
      </c>
      <c r="J7450" s="24">
        <v>0.0</v>
      </c>
      <c r="K7450" s="23" t="s">
        <v>34</v>
      </c>
      <c r="L7450" s="25">
        <v>40891.85114583334</v>
      </c>
      <c r="M7450" s="26" t="s">
        <v>16550</v>
      </c>
      <c r="N7450" s="26" t="s">
        <v>16551</v>
      </c>
      <c r="O7450" s="22" t="str">
        <f>HYPERLINK("https://pbs.twimg.com/profile_images/2160512203/State_Champs__normal.jpg","View")</f>
        <v>View</v>
      </c>
      <c r="P7450" s="27"/>
    </row>
    <row r="7451">
      <c r="A7451" s="14">
        <v>43031.592465277776</v>
      </c>
      <c r="B7451" s="20" t="str">
        <f>HYPERLINK("https://twitter.com/allen_nanci","@allen_nanci")</f>
        <v>@allen_nanci</v>
      </c>
      <c r="C7451" s="21" t="s">
        <v>16552</v>
      </c>
      <c r="D7451" s="21" t="s">
        <v>16537</v>
      </c>
      <c r="E7451" s="22" t="str">
        <f>HYPERLINK("https://twitter.com/allen_nanci/status/922571618928463872","922571618928463872")</f>
        <v>922571618928463872</v>
      </c>
      <c r="F7451" s="23" t="s">
        <v>39</v>
      </c>
      <c r="G7451" s="24">
        <v>1166.0</v>
      </c>
      <c r="H7451" s="24">
        <v>968.0</v>
      </c>
      <c r="I7451" s="24">
        <v>242.0</v>
      </c>
      <c r="J7451" s="24">
        <v>0.0</v>
      </c>
      <c r="K7451" s="23" t="s">
        <v>34</v>
      </c>
      <c r="L7451" s="25">
        <v>41037.04101851852</v>
      </c>
      <c r="M7451" s="26" t="s">
        <v>6701</v>
      </c>
      <c r="N7451" s="26" t="s">
        <v>16553</v>
      </c>
      <c r="O7451" s="22" t="str">
        <f>HYPERLINK("https://pbs.twimg.com/profile_images/916854640666402816/HzRpSDrC_normal.jpg","View")</f>
        <v>View</v>
      </c>
      <c r="P7451" s="27"/>
    </row>
    <row r="7452">
      <c r="A7452" s="14">
        <v>43031.592465277776</v>
      </c>
      <c r="B7452" s="20" t="str">
        <f>HYPERLINK("https://twitter.com/betterworld99","@betterworld99")</f>
        <v>@betterworld99</v>
      </c>
      <c r="C7452" s="21" t="s">
        <v>16554</v>
      </c>
      <c r="D7452" s="21" t="s">
        <v>16537</v>
      </c>
      <c r="E7452" s="22" t="str">
        <f>HYPERLINK("https://twitter.com/betterworld99/status/922571619926646784","922571619926646784")</f>
        <v>922571619926646784</v>
      </c>
      <c r="F7452" s="23" t="s">
        <v>33</v>
      </c>
      <c r="G7452" s="24">
        <v>54.0</v>
      </c>
      <c r="H7452" s="24">
        <v>174.0</v>
      </c>
      <c r="I7452" s="24">
        <v>242.0</v>
      </c>
      <c r="J7452" s="24">
        <v>0.0</v>
      </c>
      <c r="K7452" s="23" t="s">
        <v>34</v>
      </c>
      <c r="L7452" s="25">
        <v>42404.63197916667</v>
      </c>
      <c r="M7452" s="28"/>
      <c r="N7452" s="26" t="s">
        <v>16555</v>
      </c>
      <c r="O7452" s="22" t="str">
        <f>HYPERLINK("https://pbs.twimg.com/profile_images/853252894321258496/7jPm1y48_normal.jpg","View")</f>
        <v>View</v>
      </c>
      <c r="P7452" s="27"/>
    </row>
    <row r="7453">
      <c r="A7453" s="14">
        <v>43031.592465277776</v>
      </c>
      <c r="B7453" s="20" t="str">
        <f>HYPERLINK("https://twitter.com/ScottBuckner_","@ScottBuckner_")</f>
        <v>@ScottBuckner_</v>
      </c>
      <c r="C7453" s="21" t="s">
        <v>16556</v>
      </c>
      <c r="D7453" s="21" t="s">
        <v>16537</v>
      </c>
      <c r="E7453" s="22" t="str">
        <f>HYPERLINK("https://twitter.com/ScottBuckner_/status/922571620408946688","922571620408946688")</f>
        <v>922571620408946688</v>
      </c>
      <c r="F7453" s="23" t="s">
        <v>33</v>
      </c>
      <c r="G7453" s="24">
        <v>24998.0</v>
      </c>
      <c r="H7453" s="24">
        <v>1819.0</v>
      </c>
      <c r="I7453" s="24">
        <v>242.0</v>
      </c>
      <c r="J7453" s="24">
        <v>0.0</v>
      </c>
      <c r="K7453" s="23" t="s">
        <v>34</v>
      </c>
      <c r="L7453" s="25">
        <v>40578.41642361111</v>
      </c>
      <c r="M7453" s="26" t="s">
        <v>16557</v>
      </c>
      <c r="N7453" s="26" t="s">
        <v>16558</v>
      </c>
      <c r="O7453" s="22" t="str">
        <f>HYPERLINK("https://pbs.twimg.com/profile_images/784641499531137024/ecwCJJuM_normal.jpg","View")</f>
        <v>View</v>
      </c>
      <c r="P7453" s="27"/>
    </row>
    <row r="7454">
      <c r="A7454" s="14">
        <v>43031.592511574076</v>
      </c>
      <c r="B7454" s="20" t="str">
        <f>HYPERLINK("https://twitter.com/CaymanBugsie","@CaymanBugsie")</f>
        <v>@CaymanBugsie</v>
      </c>
      <c r="C7454" s="21" t="s">
        <v>16559</v>
      </c>
      <c r="D7454" s="21" t="s">
        <v>16537</v>
      </c>
      <c r="E7454" s="22" t="str">
        <f>HYPERLINK("https://twitter.com/CaymanBugsie/status/922571635655348224","922571635655348224")</f>
        <v>922571635655348224</v>
      </c>
      <c r="F7454" s="23" t="s">
        <v>39</v>
      </c>
      <c r="G7454" s="24">
        <v>160.0</v>
      </c>
      <c r="H7454" s="24">
        <v>240.0</v>
      </c>
      <c r="I7454" s="24">
        <v>242.0</v>
      </c>
      <c r="J7454" s="24">
        <v>0.0</v>
      </c>
      <c r="K7454" s="23" t="s">
        <v>34</v>
      </c>
      <c r="L7454" s="25">
        <v>40224.61175925926</v>
      </c>
      <c r="M7454" s="26" t="s">
        <v>16560</v>
      </c>
      <c r="N7454" s="28"/>
      <c r="O7454" s="22" t="str">
        <f>HYPERLINK("https://pbs.twimg.com/profile_images/1234333902/July_Baby_Shower_normal.jpg","View")</f>
        <v>View</v>
      </c>
      <c r="P7454" s="27"/>
    </row>
    <row r="7455">
      <c r="A7455" s="14">
        <v>43031.592557870375</v>
      </c>
      <c r="B7455" s="20" t="str">
        <f>HYPERLINK("https://twitter.com/MamaBear64","@MamaBear64")</f>
        <v>@MamaBear64</v>
      </c>
      <c r="C7455" s="21" t="s">
        <v>16561</v>
      </c>
      <c r="D7455" s="21" t="s">
        <v>16537</v>
      </c>
      <c r="E7455" s="22" t="str">
        <f>HYPERLINK("https://twitter.com/MamaBear64/status/922571652055023617","922571652055023617")</f>
        <v>922571652055023617</v>
      </c>
      <c r="F7455" s="23" t="s">
        <v>33</v>
      </c>
      <c r="G7455" s="24">
        <v>2274.0</v>
      </c>
      <c r="H7455" s="24">
        <v>1972.0</v>
      </c>
      <c r="I7455" s="24">
        <v>242.0</v>
      </c>
      <c r="J7455" s="24">
        <v>0.0</v>
      </c>
      <c r="K7455" s="23" t="s">
        <v>34</v>
      </c>
      <c r="L7455" s="25">
        <v>39762.81481481482</v>
      </c>
      <c r="M7455" s="28"/>
      <c r="N7455" s="26" t="s">
        <v>16562</v>
      </c>
      <c r="O7455" s="22" t="str">
        <f>HYPERLINK("https://pbs.twimg.com/profile_images/917601236773457921/6uKIdEYV_normal.jpg","View")</f>
        <v>View</v>
      </c>
      <c r="P7455" s="27"/>
    </row>
    <row r="7456">
      <c r="A7456" s="14">
        <v>43031.592627314814</v>
      </c>
      <c r="B7456" s="20" t="str">
        <f>HYPERLINK("https://twitter.com/LoveLesbianism","@LoveLesbianism")</f>
        <v>@LoveLesbianism</v>
      </c>
      <c r="C7456" s="21" t="s">
        <v>16563</v>
      </c>
      <c r="D7456" s="21" t="s">
        <v>16537</v>
      </c>
      <c r="E7456" s="22" t="str">
        <f>HYPERLINK("https://twitter.com/LoveLesbianism/status/922571678865014784","922571678865014784")</f>
        <v>922571678865014784</v>
      </c>
      <c r="F7456" s="23" t="s">
        <v>33</v>
      </c>
      <c r="G7456" s="24">
        <v>1749.0</v>
      </c>
      <c r="H7456" s="24">
        <v>4514.0</v>
      </c>
      <c r="I7456" s="24">
        <v>242.0</v>
      </c>
      <c r="J7456" s="24">
        <v>0.0</v>
      </c>
      <c r="K7456" s="23" t="s">
        <v>34</v>
      </c>
      <c r="L7456" s="25">
        <v>42574.328993055555</v>
      </c>
      <c r="M7456" s="26" t="s">
        <v>6241</v>
      </c>
      <c r="N7456" s="26" t="s">
        <v>16564</v>
      </c>
      <c r="O7456" s="22" t="str">
        <f>HYPERLINK("https://pbs.twimg.com/profile_images/923054320546975744/7AaHVq0q_normal.jpg","View")</f>
        <v>View</v>
      </c>
      <c r="P7456" s="27"/>
    </row>
    <row r="7457">
      <c r="A7457" s="14">
        <v>43031.592685185184</v>
      </c>
      <c r="B7457" s="20" t="str">
        <f>HYPERLINK("https://twitter.com/AndrewShiels1","@AndrewShiels1")</f>
        <v>@AndrewShiels1</v>
      </c>
      <c r="C7457" s="21" t="s">
        <v>16565</v>
      </c>
      <c r="D7457" s="21" t="s">
        <v>16537</v>
      </c>
      <c r="E7457" s="22" t="str">
        <f>HYPERLINK("https://twitter.com/AndrewShiels1/status/922571698133766144","922571698133766144")</f>
        <v>922571698133766144</v>
      </c>
      <c r="F7457" s="23" t="s">
        <v>39</v>
      </c>
      <c r="G7457" s="24">
        <v>175.0</v>
      </c>
      <c r="H7457" s="24">
        <v>470.0</v>
      </c>
      <c r="I7457" s="24">
        <v>242.0</v>
      </c>
      <c r="J7457" s="24">
        <v>0.0</v>
      </c>
      <c r="K7457" s="23" t="s">
        <v>34</v>
      </c>
      <c r="L7457" s="25">
        <v>40848.19130787037</v>
      </c>
      <c r="M7457" s="28"/>
      <c r="N7457" s="26" t="s">
        <v>16566</v>
      </c>
      <c r="O7457" s="22" t="str">
        <f>HYPERLINK("https://pbs.twimg.com/profile_images/1617028399/AndrewShiels150x150_normal.jpg","View")</f>
        <v>View</v>
      </c>
      <c r="P7457" s="27"/>
    </row>
    <row r="7458">
      <c r="A7458" s="14">
        <v>43031.59290509259</v>
      </c>
      <c r="B7458" s="20" t="str">
        <f>HYPERLINK("https://twitter.com/lydiaandwilly","@lydiaandwilly")</f>
        <v>@lydiaandwilly</v>
      </c>
      <c r="C7458" s="21" t="s">
        <v>16567</v>
      </c>
      <c r="D7458" s="21" t="s">
        <v>16537</v>
      </c>
      <c r="E7458" s="22" t="str">
        <f>HYPERLINK("https://twitter.com/lydiaandwilly/status/922571781382303744","922571781382303744")</f>
        <v>922571781382303744</v>
      </c>
      <c r="F7458" s="23" t="s">
        <v>55</v>
      </c>
      <c r="G7458" s="24">
        <v>2037.0</v>
      </c>
      <c r="H7458" s="24">
        <v>4501.0</v>
      </c>
      <c r="I7458" s="24">
        <v>242.0</v>
      </c>
      <c r="J7458" s="24">
        <v>0.0</v>
      </c>
      <c r="K7458" s="23" t="s">
        <v>34</v>
      </c>
      <c r="L7458" s="25">
        <v>42783.44971064814</v>
      </c>
      <c r="M7458" s="28"/>
      <c r="N7458" s="26" t="s">
        <v>16568</v>
      </c>
      <c r="O7458" s="22" t="str">
        <f>HYPERLINK("https://pbs.twimg.com/profile_images/832665235802558464/0cUrgKDf_normal.jpg","View")</f>
        <v>View</v>
      </c>
      <c r="P7458" s="27"/>
    </row>
    <row r="7459">
      <c r="A7459" s="14">
        <v>43031.592951388884</v>
      </c>
      <c r="B7459" s="20" t="str">
        <f t="shared" ref="B7459:B7460" si="126">HYPERLINK("https://twitter.com/libertad717","@libertad717")</f>
        <v>@libertad717</v>
      </c>
      <c r="C7459" s="21" t="s">
        <v>1228</v>
      </c>
      <c r="D7459" s="21" t="s">
        <v>13919</v>
      </c>
      <c r="E7459" s="22" t="str">
        <f>HYPERLINK("https://twitter.com/libertad717/status/922571795881955328","922571795881955328")</f>
        <v>922571795881955328</v>
      </c>
      <c r="F7459" s="23" t="s">
        <v>33</v>
      </c>
      <c r="G7459" s="24">
        <v>1043.0</v>
      </c>
      <c r="H7459" s="24">
        <v>1058.0</v>
      </c>
      <c r="I7459" s="24">
        <v>10.0</v>
      </c>
      <c r="J7459" s="24">
        <v>0.0</v>
      </c>
      <c r="K7459" s="23" t="s">
        <v>34</v>
      </c>
      <c r="L7459" s="25">
        <v>40681.701203703706</v>
      </c>
      <c r="M7459" s="28"/>
      <c r="N7459" s="28"/>
      <c r="O7459" s="22" t="str">
        <f t="shared" ref="O7459:O7460" si="127">HYPERLINK("https://pbs.twimg.com/profile_images/378800000709612949/cfd1435ac2c89df971f95fff2d2610a6_normal.jpeg","View")</f>
        <v>View</v>
      </c>
      <c r="P7459" s="27"/>
    </row>
    <row r="7460">
      <c r="A7460" s="14">
        <v>43031.59298611111</v>
      </c>
      <c r="B7460" s="20" t="str">
        <f t="shared" si="126"/>
        <v>@libertad717</v>
      </c>
      <c r="C7460" s="21" t="s">
        <v>1228</v>
      </c>
      <c r="D7460" s="21" t="s">
        <v>12241</v>
      </c>
      <c r="E7460" s="22" t="str">
        <f>HYPERLINK("https://twitter.com/libertad717/status/922571807714041856","922571807714041856")</f>
        <v>922571807714041856</v>
      </c>
      <c r="F7460" s="23" t="s">
        <v>33</v>
      </c>
      <c r="G7460" s="24">
        <v>1043.0</v>
      </c>
      <c r="H7460" s="24">
        <v>1058.0</v>
      </c>
      <c r="I7460" s="24">
        <v>9.0</v>
      </c>
      <c r="J7460" s="24">
        <v>0.0</v>
      </c>
      <c r="K7460" s="23" t="s">
        <v>34</v>
      </c>
      <c r="L7460" s="25">
        <v>40681.701203703706</v>
      </c>
      <c r="M7460" s="28"/>
      <c r="N7460" s="28"/>
      <c r="O7460" s="22" t="str">
        <f t="shared" si="127"/>
        <v>View</v>
      </c>
      <c r="P7460" s="27"/>
    </row>
    <row r="7461">
      <c r="A7461" s="14">
        <v>43031.59300925926</v>
      </c>
      <c r="B7461" s="20" t="str">
        <f>HYPERLINK("https://twitter.com/Moonlitelynn","@Moonlitelynn")</f>
        <v>@Moonlitelynn</v>
      </c>
      <c r="C7461" s="21" t="s">
        <v>16569</v>
      </c>
      <c r="D7461" s="21" t="s">
        <v>16537</v>
      </c>
      <c r="E7461" s="22" t="str">
        <f>HYPERLINK("https://twitter.com/Moonlitelynn/status/922571816865894400","922571816865894400")</f>
        <v>922571816865894400</v>
      </c>
      <c r="F7461" s="23" t="s">
        <v>33</v>
      </c>
      <c r="G7461" s="24">
        <v>1464.0</v>
      </c>
      <c r="H7461" s="24">
        <v>1674.0</v>
      </c>
      <c r="I7461" s="24">
        <v>242.0</v>
      </c>
      <c r="J7461" s="24">
        <v>0.0</v>
      </c>
      <c r="K7461" s="23" t="s">
        <v>34</v>
      </c>
      <c r="L7461" s="25">
        <v>40124.66903935185</v>
      </c>
      <c r="M7461" s="28"/>
      <c r="N7461" s="26" t="s">
        <v>16570</v>
      </c>
      <c r="O7461" s="22" t="str">
        <f>HYPERLINK("https://pbs.twimg.com/profile_images/871865135253655552/I0I6_JzA_normal.jpg","View")</f>
        <v>View</v>
      </c>
      <c r="P7461" s="27"/>
    </row>
    <row r="7462">
      <c r="A7462" s="14">
        <v>43031.59300925926</v>
      </c>
      <c r="B7462" s="20" t="str">
        <f>HYPERLINK("https://twitter.com/waveydave09","@waveydave09")</f>
        <v>@waveydave09</v>
      </c>
      <c r="C7462" s="21" t="s">
        <v>16571</v>
      </c>
      <c r="D7462" s="21" t="s">
        <v>16537</v>
      </c>
      <c r="E7462" s="22" t="str">
        <f>HYPERLINK("https://twitter.com/waveydave09/status/922571818245824513","922571818245824513")</f>
        <v>922571818245824513</v>
      </c>
      <c r="F7462" s="23" t="s">
        <v>55</v>
      </c>
      <c r="G7462" s="24">
        <v>0.0</v>
      </c>
      <c r="H7462" s="24">
        <v>89.0</v>
      </c>
      <c r="I7462" s="24">
        <v>242.0</v>
      </c>
      <c r="J7462" s="24">
        <v>0.0</v>
      </c>
      <c r="K7462" s="23" t="s">
        <v>34</v>
      </c>
      <c r="L7462" s="25">
        <v>42988.01751157407</v>
      </c>
      <c r="M7462" s="28"/>
      <c r="N7462" s="28"/>
      <c r="O7462" s="22" t="str">
        <f>HYPERLINK("https://abs.twimg.com/sticky/default_profile_images/default_profile_normal.png","View")</f>
        <v>View</v>
      </c>
      <c r="P7462" s="27"/>
    </row>
    <row r="7463">
      <c r="A7463" s="14">
        <v>43031.59300925926</v>
      </c>
      <c r="B7463" s="20" t="str">
        <f>HYPERLINK("https://twitter.com/leefbi","@leefbi")</f>
        <v>@leefbi</v>
      </c>
      <c r="C7463" s="21" t="s">
        <v>16572</v>
      </c>
      <c r="D7463" s="21" t="s">
        <v>16537</v>
      </c>
      <c r="E7463" s="22" t="str">
        <f>HYPERLINK("https://twitter.com/leefbi/status/922571818543788033","922571818543788033")</f>
        <v>922571818543788033</v>
      </c>
      <c r="F7463" s="23" t="s">
        <v>33</v>
      </c>
      <c r="G7463" s="24">
        <v>467.0</v>
      </c>
      <c r="H7463" s="24">
        <v>489.0</v>
      </c>
      <c r="I7463" s="24">
        <v>242.0</v>
      </c>
      <c r="J7463" s="24">
        <v>0.0</v>
      </c>
      <c r="K7463" s="23" t="s">
        <v>34</v>
      </c>
      <c r="L7463" s="25">
        <v>40918.63068287037</v>
      </c>
      <c r="M7463" s="26" t="s">
        <v>762</v>
      </c>
      <c r="N7463" s="26" t="s">
        <v>16573</v>
      </c>
      <c r="O7463" s="22" t="str">
        <f>HYPERLINK("https://pbs.twimg.com/profile_images/908227497149509633/7qdzMvIr_normal.jpg","View")</f>
        <v>View</v>
      </c>
      <c r="P7463" s="27"/>
    </row>
    <row r="7464">
      <c r="A7464" s="14">
        <v>43031.593125</v>
      </c>
      <c r="B7464" s="20" t="str">
        <f>HYPERLINK("https://twitter.com/rob13567","@rob13567")</f>
        <v>@rob13567</v>
      </c>
      <c r="C7464" s="21" t="s">
        <v>16574</v>
      </c>
      <c r="D7464" s="21" t="s">
        <v>16537</v>
      </c>
      <c r="E7464" s="22" t="str">
        <f>HYPERLINK("https://twitter.com/rob13567/status/922571857546452992","922571857546452992")</f>
        <v>922571857546452992</v>
      </c>
      <c r="F7464" s="23" t="s">
        <v>39</v>
      </c>
      <c r="G7464" s="24">
        <v>2511.0</v>
      </c>
      <c r="H7464" s="24">
        <v>2272.0</v>
      </c>
      <c r="I7464" s="24">
        <v>242.0</v>
      </c>
      <c r="J7464" s="24">
        <v>0.0</v>
      </c>
      <c r="K7464" s="23" t="s">
        <v>34</v>
      </c>
      <c r="L7464" s="25">
        <v>39876.52055555556</v>
      </c>
      <c r="M7464" s="26" t="s">
        <v>16575</v>
      </c>
      <c r="N7464" s="26" t="s">
        <v>16576</v>
      </c>
      <c r="O7464" s="22" t="str">
        <f>HYPERLINK("https://pbs.twimg.com/profile_images/918481704972627969/7eR_UpsD_normal.jpg","View")</f>
        <v>View</v>
      </c>
      <c r="P7464" s="27"/>
    </row>
    <row r="7465">
      <c r="A7465" s="14">
        <v>43031.59315972222</v>
      </c>
      <c r="B7465" s="20" t="str">
        <f>HYPERLINK("https://twitter.com/sweisj","@sweisj")</f>
        <v>@sweisj</v>
      </c>
      <c r="C7465" s="21" t="s">
        <v>16577</v>
      </c>
      <c r="D7465" s="21" t="s">
        <v>16537</v>
      </c>
      <c r="E7465" s="22" t="str">
        <f>HYPERLINK("https://twitter.com/sweisj/status/922571873304506368","922571873304506368")</f>
        <v>922571873304506368</v>
      </c>
      <c r="F7465" s="23" t="s">
        <v>43</v>
      </c>
      <c r="G7465" s="24">
        <v>659.0</v>
      </c>
      <c r="H7465" s="24">
        <v>1106.0</v>
      </c>
      <c r="I7465" s="24">
        <v>242.0</v>
      </c>
      <c r="J7465" s="24">
        <v>0.0</v>
      </c>
      <c r="K7465" s="23" t="s">
        <v>34</v>
      </c>
      <c r="L7465" s="25">
        <v>40702.60537037037</v>
      </c>
      <c r="M7465" s="26" t="s">
        <v>3680</v>
      </c>
      <c r="N7465" s="26" t="s">
        <v>16578</v>
      </c>
      <c r="O7465" s="22" t="str">
        <f>HYPERLINK("https://pbs.twimg.com/profile_images/1387723825/J_in_Lemo_normal.JPG","View")</f>
        <v>View</v>
      </c>
      <c r="P7465" s="27"/>
    </row>
    <row r="7466">
      <c r="A7466" s="14">
        <v>43031.5934375</v>
      </c>
      <c r="B7466" s="20" t="str">
        <f>HYPERLINK("https://twitter.com/MaGs_041","@MaGs_041")</f>
        <v>@MaGs_041</v>
      </c>
      <c r="C7466" s="21" t="s">
        <v>16579</v>
      </c>
      <c r="D7466" s="21" t="s">
        <v>42</v>
      </c>
      <c r="E7466" s="22" t="str">
        <f>HYPERLINK("https://twitter.com/MaGs_041/status/922571974185926656","922571974185926656")</f>
        <v>922571974185926656</v>
      </c>
      <c r="F7466" s="23" t="s">
        <v>33</v>
      </c>
      <c r="G7466" s="24">
        <v>5.0</v>
      </c>
      <c r="H7466" s="24">
        <v>126.0</v>
      </c>
      <c r="I7466" s="24">
        <v>8501.0</v>
      </c>
      <c r="J7466" s="24">
        <v>0.0</v>
      </c>
      <c r="K7466" s="23" t="s">
        <v>34</v>
      </c>
      <c r="L7466" s="25">
        <v>43017.39351851852</v>
      </c>
      <c r="M7466" s="28"/>
      <c r="N7466" s="26" t="s">
        <v>16580</v>
      </c>
      <c r="O7466" s="22" t="str">
        <f>HYPERLINK("https://pbs.twimg.com/profile_images/922571850323869697/dRBHSp87_normal.jpg","View")</f>
        <v>View</v>
      </c>
      <c r="P7466" s="27"/>
    </row>
    <row r="7467">
      <c r="A7467" s="14">
        <v>43031.59351851852</v>
      </c>
      <c r="B7467" s="20" t="str">
        <f>HYPERLINK("https://twitter.com/PeKoHolicA","@PeKoHolicA")</f>
        <v>@PeKoHolicA</v>
      </c>
      <c r="C7467" s="21" t="s">
        <v>16581</v>
      </c>
      <c r="D7467" s="21" t="s">
        <v>16537</v>
      </c>
      <c r="E7467" s="22" t="str">
        <f>HYPERLINK("https://twitter.com/PeKoHolicA/status/922572000060510209","922572000060510209")</f>
        <v>922572000060510209</v>
      </c>
      <c r="F7467" s="23" t="s">
        <v>33</v>
      </c>
      <c r="G7467" s="24">
        <v>535.0</v>
      </c>
      <c r="H7467" s="24">
        <v>1331.0</v>
      </c>
      <c r="I7467" s="24">
        <v>242.0</v>
      </c>
      <c r="J7467" s="24">
        <v>0.0</v>
      </c>
      <c r="K7467" s="23" t="s">
        <v>34</v>
      </c>
      <c r="L7467" s="25">
        <v>40964.272986111115</v>
      </c>
      <c r="M7467" s="26" t="s">
        <v>16582</v>
      </c>
      <c r="N7467" s="26" t="s">
        <v>16583</v>
      </c>
      <c r="O7467" s="22" t="str">
        <f>HYPERLINK("https://pbs.twimg.com/profile_images/919493406224613376/qMcc9wHM_normal.jpg","View")</f>
        <v>View</v>
      </c>
      <c r="P7467" s="27"/>
    </row>
    <row r="7468">
      <c r="A7468" s="14">
        <v>43031.593680555554</v>
      </c>
      <c r="B7468" s="20" t="str">
        <f>HYPERLINK("https://twitter.com/HEINSLERJAN","@HEINSLERJAN")</f>
        <v>@HEINSLERJAN</v>
      </c>
      <c r="C7468" s="21" t="s">
        <v>16584</v>
      </c>
      <c r="D7468" s="21" t="s">
        <v>16537</v>
      </c>
      <c r="E7468" s="22" t="str">
        <f>HYPERLINK("https://twitter.com/HEINSLERJAN/status/922572060051820544","922572060051820544")</f>
        <v>922572060051820544</v>
      </c>
      <c r="F7468" s="23" t="s">
        <v>55</v>
      </c>
      <c r="G7468" s="24">
        <v>5020.0</v>
      </c>
      <c r="H7468" s="24">
        <v>5221.0</v>
      </c>
      <c r="I7468" s="24">
        <v>242.0</v>
      </c>
      <c r="J7468" s="24">
        <v>0.0</v>
      </c>
      <c r="K7468" s="23" t="s">
        <v>34</v>
      </c>
      <c r="L7468" s="25">
        <v>41216.55357638889</v>
      </c>
      <c r="M7468" s="28"/>
      <c r="N7468" s="28"/>
      <c r="O7468" s="22" t="str">
        <f>HYPERLINK("https://pbs.twimg.com/profile_images/822539624048427009/X8mVIka2_normal.jpg","View")</f>
        <v>View</v>
      </c>
      <c r="P7468" s="27"/>
    </row>
    <row r="7469">
      <c r="A7469" s="14">
        <v>43031.593923611115</v>
      </c>
      <c r="B7469" s="20" t="str">
        <f>HYPERLINK("https://twitter.com/imthemadridista","@imthemadridista")</f>
        <v>@imthemadridista</v>
      </c>
      <c r="C7469" s="21" t="s">
        <v>16585</v>
      </c>
      <c r="D7469" s="21" t="s">
        <v>16537</v>
      </c>
      <c r="E7469" s="22" t="str">
        <f>HYPERLINK("https://twitter.com/imthemadridista/status/922572146819334144","922572146819334144")</f>
        <v>922572146819334144</v>
      </c>
      <c r="F7469" s="23" t="s">
        <v>55</v>
      </c>
      <c r="G7469" s="24">
        <v>34.0</v>
      </c>
      <c r="H7469" s="24">
        <v>330.0</v>
      </c>
      <c r="I7469" s="24">
        <v>242.0</v>
      </c>
      <c r="J7469" s="24">
        <v>0.0</v>
      </c>
      <c r="K7469" s="23" t="s">
        <v>34</v>
      </c>
      <c r="L7469" s="25">
        <v>42978.30284722222</v>
      </c>
      <c r="M7469" s="28"/>
      <c r="N7469" s="26" t="s">
        <v>16586</v>
      </c>
      <c r="O7469" s="22" t="str">
        <f>HYPERLINK("https://pbs.twimg.com/profile_images/909572234825670656/mVXkXXoL_normal.jpg","View")</f>
        <v>View</v>
      </c>
      <c r="P7469" s="27"/>
    </row>
    <row r="7470">
      <c r="A7470" s="14">
        <v>43031.59396990741</v>
      </c>
      <c r="B7470" s="20" t="str">
        <f>HYPERLINK("https://twitter.com/rcarr57","@rcarr57")</f>
        <v>@rcarr57</v>
      </c>
      <c r="C7470" s="21" t="s">
        <v>16587</v>
      </c>
      <c r="D7470" s="21" t="s">
        <v>16537</v>
      </c>
      <c r="E7470" s="22" t="str">
        <f>HYPERLINK("https://twitter.com/rcarr57/status/922572165815336967","922572165815336967")</f>
        <v>922572165815336967</v>
      </c>
      <c r="F7470" s="23" t="s">
        <v>33</v>
      </c>
      <c r="G7470" s="24">
        <v>9680.0</v>
      </c>
      <c r="H7470" s="24">
        <v>9702.0</v>
      </c>
      <c r="I7470" s="24">
        <v>242.0</v>
      </c>
      <c r="J7470" s="24">
        <v>0.0</v>
      </c>
      <c r="K7470" s="23" t="s">
        <v>34</v>
      </c>
      <c r="L7470" s="25">
        <v>40616.785266203704</v>
      </c>
      <c r="M7470" s="26" t="s">
        <v>16588</v>
      </c>
      <c r="N7470" s="26" t="s">
        <v>16589</v>
      </c>
      <c r="O7470" s="22" t="str">
        <f>HYPERLINK("https://pbs.twimg.com/profile_images/762346657274998784/wCvnRx91_normal.jpg","View")</f>
        <v>View</v>
      </c>
      <c r="P7470" s="27"/>
    </row>
    <row r="7471">
      <c r="A7471" s="14">
        <v>43031.594189814816</v>
      </c>
      <c r="B7471" s="20" t="str">
        <f>HYPERLINK("https://twitter.com/DrStickectomy","@DrStickectomy")</f>
        <v>@DrStickectomy</v>
      </c>
      <c r="C7471" s="21" t="s">
        <v>16590</v>
      </c>
      <c r="D7471" s="21" t="s">
        <v>16537</v>
      </c>
      <c r="E7471" s="22" t="str">
        <f>HYPERLINK("https://twitter.com/DrStickectomy/status/922572245914017792","922572245914017792")</f>
        <v>922572245914017792</v>
      </c>
      <c r="F7471" s="23" t="s">
        <v>43</v>
      </c>
      <c r="G7471" s="24">
        <v>98.0</v>
      </c>
      <c r="H7471" s="24">
        <v>223.0</v>
      </c>
      <c r="I7471" s="24">
        <v>242.0</v>
      </c>
      <c r="J7471" s="24">
        <v>0.0</v>
      </c>
      <c r="K7471" s="23" t="s">
        <v>34</v>
      </c>
      <c r="L7471" s="25">
        <v>39920.32435185185</v>
      </c>
      <c r="M7471" s="28"/>
      <c r="N7471" s="26" t="s">
        <v>16591</v>
      </c>
      <c r="O7471" s="22" t="str">
        <f>HYPERLINK("https://pbs.twimg.com/profile_images/923021450918768640/GYlV4bDD_normal.jpg","View")</f>
        <v>View</v>
      </c>
      <c r="P7471" s="27"/>
    </row>
    <row r="7472">
      <c r="A7472" s="14">
        <v>43031.59421296296</v>
      </c>
      <c r="B7472" s="20" t="str">
        <f>HYPERLINK("https://twitter.com/tzanidauer","@tzanidauer")</f>
        <v>@tzanidauer</v>
      </c>
      <c r="C7472" s="21" t="s">
        <v>16592</v>
      </c>
      <c r="D7472" s="21" t="s">
        <v>16537</v>
      </c>
      <c r="E7472" s="22" t="str">
        <f>HYPERLINK("https://twitter.com/tzanidauer/status/922572253266509824","922572253266509824")</f>
        <v>922572253266509824</v>
      </c>
      <c r="F7472" s="23" t="s">
        <v>230</v>
      </c>
      <c r="G7472" s="24">
        <v>200.0</v>
      </c>
      <c r="H7472" s="24">
        <v>673.0</v>
      </c>
      <c r="I7472" s="24">
        <v>242.0</v>
      </c>
      <c r="J7472" s="24">
        <v>0.0</v>
      </c>
      <c r="K7472" s="23" t="s">
        <v>34</v>
      </c>
      <c r="L7472" s="25">
        <v>40221.41803240741</v>
      </c>
      <c r="M7472" s="28"/>
      <c r="N7472" s="28"/>
      <c r="O7472" s="22" t="str">
        <f>HYPERLINK("https://pbs.twimg.com/profile_images/696965582/JG_54_Emblem_normal.png","View")</f>
        <v>View</v>
      </c>
      <c r="P7472" s="27"/>
    </row>
    <row r="7473">
      <c r="A7473" s="14">
        <v>43031.59423611111</v>
      </c>
      <c r="B7473" s="20" t="str">
        <f>HYPERLINK("https://twitter.com/KevinKe31392675","@KevinKe31392675")</f>
        <v>@KevinKe31392675</v>
      </c>
      <c r="C7473" s="21" t="s">
        <v>13182</v>
      </c>
      <c r="D7473" s="21" t="s">
        <v>16537</v>
      </c>
      <c r="E7473" s="22" t="str">
        <f>HYPERLINK("https://twitter.com/KevinKe31392675/status/922572263890870273","922572263890870273")</f>
        <v>922572263890870273</v>
      </c>
      <c r="F7473" s="23" t="s">
        <v>33</v>
      </c>
      <c r="G7473" s="24">
        <v>162.0</v>
      </c>
      <c r="H7473" s="24">
        <v>358.0</v>
      </c>
      <c r="I7473" s="24">
        <v>242.0</v>
      </c>
      <c r="J7473" s="24">
        <v>0.0</v>
      </c>
      <c r="K7473" s="23" t="s">
        <v>34</v>
      </c>
      <c r="L7473" s="25">
        <v>42916.53145833334</v>
      </c>
      <c r="M7473" s="26" t="s">
        <v>6701</v>
      </c>
      <c r="N7473" s="26" t="s">
        <v>16593</v>
      </c>
      <c r="O7473" s="22" t="str">
        <f>HYPERLINK("https://pbs.twimg.com/profile_images/922572124484759553/_KHEVSvc_normal.jpg","View")</f>
        <v>View</v>
      </c>
      <c r="P7473" s="27"/>
    </row>
    <row r="7474">
      <c r="A7474" s="14">
        <v>43031.594247685185</v>
      </c>
      <c r="B7474" s="20" t="str">
        <f>HYPERLINK("https://twitter.com/SteveZmann","@SteveZmann")</f>
        <v>@SteveZmann</v>
      </c>
      <c r="C7474" s="21" t="s">
        <v>16594</v>
      </c>
      <c r="D7474" s="21" t="s">
        <v>16537</v>
      </c>
      <c r="E7474" s="22" t="str">
        <f>HYPERLINK("https://twitter.com/SteveZmann/status/922572268063956992","922572268063956992")</f>
        <v>922572268063956992</v>
      </c>
      <c r="F7474" s="23" t="s">
        <v>39</v>
      </c>
      <c r="G7474" s="24">
        <v>2506.0</v>
      </c>
      <c r="H7474" s="24">
        <v>3906.0</v>
      </c>
      <c r="I7474" s="24">
        <v>242.0</v>
      </c>
      <c r="J7474" s="24">
        <v>0.0</v>
      </c>
      <c r="K7474" s="23" t="s">
        <v>34</v>
      </c>
      <c r="L7474" s="25">
        <v>42921.57331018518</v>
      </c>
      <c r="M7474" s="26" t="s">
        <v>5557</v>
      </c>
      <c r="N7474" s="26" t="s">
        <v>16595</v>
      </c>
      <c r="O7474" s="22" t="str">
        <f>HYPERLINK("https://pbs.twimg.com/profile_images/889346630377504770/ROGcXwTA_normal.jpg","View")</f>
        <v>View</v>
      </c>
      <c r="P7474" s="27"/>
    </row>
    <row r="7475">
      <c r="A7475" s="14">
        <v>43031.59431712963</v>
      </c>
      <c r="B7475" s="20" t="str">
        <f>HYPERLINK("https://twitter.com/Areopagitica1","@Areopagitica1")</f>
        <v>@Areopagitica1</v>
      </c>
      <c r="C7475" s="21" t="s">
        <v>16596</v>
      </c>
      <c r="D7475" s="21" t="s">
        <v>16537</v>
      </c>
      <c r="E7475" s="22" t="str">
        <f>HYPERLINK("https://twitter.com/Areopagitica1/status/922572293204791297","922572293204791297")</f>
        <v>922572293204791297</v>
      </c>
      <c r="F7475" s="23" t="s">
        <v>39</v>
      </c>
      <c r="G7475" s="24">
        <v>34.0</v>
      </c>
      <c r="H7475" s="24">
        <v>285.0</v>
      </c>
      <c r="I7475" s="24">
        <v>242.0</v>
      </c>
      <c r="J7475" s="24">
        <v>0.0</v>
      </c>
      <c r="K7475" s="23" t="s">
        <v>34</v>
      </c>
      <c r="L7475" s="25">
        <v>39876.51590277778</v>
      </c>
      <c r="M7475" s="28"/>
      <c r="N7475" s="26" t="s">
        <v>16597</v>
      </c>
      <c r="O7475" s="22" t="str">
        <f>HYPERLINK("https://pbs.twimg.com/profile_images/892411311262511104/36eq3oqS_normal.jpg","View")</f>
        <v>View</v>
      </c>
      <c r="P7475" s="27"/>
    </row>
    <row r="7476">
      <c r="A7476" s="14">
        <v>43031.594456018516</v>
      </c>
      <c r="B7476" s="20" t="str">
        <f>HYPERLINK("https://twitter.com/katzinn","@katzinn")</f>
        <v>@katzinn</v>
      </c>
      <c r="C7476" s="21" t="s">
        <v>16598</v>
      </c>
      <c r="D7476" s="21" t="s">
        <v>16537</v>
      </c>
      <c r="E7476" s="22" t="str">
        <f>HYPERLINK("https://twitter.com/katzinn/status/922572343339139072","922572343339139072")</f>
        <v>922572343339139072</v>
      </c>
      <c r="F7476" s="23" t="s">
        <v>39</v>
      </c>
      <c r="G7476" s="24">
        <v>148.0</v>
      </c>
      <c r="H7476" s="24">
        <v>2380.0</v>
      </c>
      <c r="I7476" s="24">
        <v>242.0</v>
      </c>
      <c r="J7476" s="24">
        <v>0.0</v>
      </c>
      <c r="K7476" s="23" t="s">
        <v>34</v>
      </c>
      <c r="L7476" s="25">
        <v>39929.844409722224</v>
      </c>
      <c r="M7476" s="26" t="s">
        <v>16599</v>
      </c>
      <c r="N7476" s="28"/>
      <c r="O7476" s="22" t="str">
        <f>HYPERLINK("https://pbs.twimg.com/profile_images/185571881/Wings2009_normal.jpg","View")</f>
        <v>View</v>
      </c>
      <c r="P7476" s="27"/>
    </row>
    <row r="7477">
      <c r="A7477" s="14">
        <v>43031.59453703703</v>
      </c>
      <c r="B7477" s="20" t="str">
        <f>HYPERLINK("https://twitter.com/Steph56Renee","@Steph56Renee")</f>
        <v>@Steph56Renee</v>
      </c>
      <c r="C7477" s="21" t="s">
        <v>16600</v>
      </c>
      <c r="D7477" s="21" t="s">
        <v>16537</v>
      </c>
      <c r="E7477" s="22" t="str">
        <f>HYPERLINK("https://twitter.com/Steph56Renee/status/922572370946220037","922572370946220037")</f>
        <v>922572370946220037</v>
      </c>
      <c r="F7477" s="23" t="s">
        <v>55</v>
      </c>
      <c r="G7477" s="24">
        <v>1820.0</v>
      </c>
      <c r="H7477" s="24">
        <v>1386.0</v>
      </c>
      <c r="I7477" s="24">
        <v>242.0</v>
      </c>
      <c r="J7477" s="24">
        <v>0.0</v>
      </c>
      <c r="K7477" s="23" t="s">
        <v>34</v>
      </c>
      <c r="L7477" s="25">
        <v>39994.39275462963</v>
      </c>
      <c r="M7477" s="26" t="s">
        <v>68</v>
      </c>
      <c r="N7477" s="26" t="s">
        <v>16601</v>
      </c>
      <c r="O7477" s="22" t="str">
        <f>HYPERLINK("https://pbs.twimg.com/profile_images/879777125292810241/4jI4B5Df_normal.jpg","View")</f>
        <v>View</v>
      </c>
      <c r="P7477" s="27"/>
    </row>
    <row r="7478">
      <c r="A7478" s="14">
        <v>43031.59459490741</v>
      </c>
      <c r="B7478" s="20" t="str">
        <f>HYPERLINK("https://twitter.com/Hollaworldwide","@Hollaworldwide")</f>
        <v>@Hollaworldwide</v>
      </c>
      <c r="C7478" s="21" t="s">
        <v>16602</v>
      </c>
      <c r="D7478" s="21" t="s">
        <v>16537</v>
      </c>
      <c r="E7478" s="22" t="str">
        <f>HYPERLINK("https://twitter.com/Hollaworldwide/status/922572391452217346","922572391452217346")</f>
        <v>922572391452217346</v>
      </c>
      <c r="F7478" s="23" t="s">
        <v>33</v>
      </c>
      <c r="G7478" s="24">
        <v>888.0</v>
      </c>
      <c r="H7478" s="24">
        <v>1803.0</v>
      </c>
      <c r="I7478" s="24">
        <v>242.0</v>
      </c>
      <c r="J7478" s="24">
        <v>0.0</v>
      </c>
      <c r="K7478" s="23" t="s">
        <v>34</v>
      </c>
      <c r="L7478" s="25">
        <v>40755.36986111111</v>
      </c>
      <c r="M7478" s="26" t="s">
        <v>6241</v>
      </c>
      <c r="N7478" s="26" t="s">
        <v>16603</v>
      </c>
      <c r="O7478" s="22" t="str">
        <f>HYPERLINK("https://pbs.twimg.com/profile_images/761574067170320385/v154FNEr_normal.jpg","View")</f>
        <v>View</v>
      </c>
      <c r="P7478" s="27"/>
    </row>
    <row r="7479">
      <c r="A7479" s="14">
        <v>43031.59462962963</v>
      </c>
      <c r="B7479" s="20" t="str">
        <f>HYPERLINK("https://twitter.com/josomm82","@josomm82")</f>
        <v>@josomm82</v>
      </c>
      <c r="C7479" s="21" t="s">
        <v>16604</v>
      </c>
      <c r="D7479" s="21" t="s">
        <v>16537</v>
      </c>
      <c r="E7479" s="22" t="str">
        <f>HYPERLINK("https://twitter.com/josomm82/status/922572403129159680","922572403129159680")</f>
        <v>922572403129159680</v>
      </c>
      <c r="F7479" s="23" t="s">
        <v>33</v>
      </c>
      <c r="G7479" s="24">
        <v>504.0</v>
      </c>
      <c r="H7479" s="24">
        <v>1106.0</v>
      </c>
      <c r="I7479" s="24">
        <v>242.0</v>
      </c>
      <c r="J7479" s="24">
        <v>0.0</v>
      </c>
      <c r="K7479" s="23" t="s">
        <v>34</v>
      </c>
      <c r="L7479" s="25">
        <v>42584.19366898148</v>
      </c>
      <c r="M7479" s="28"/>
      <c r="N7479" s="26" t="s">
        <v>16605</v>
      </c>
      <c r="O7479" s="22" t="str">
        <f>HYPERLINK("https://pbs.twimg.com/profile_images/774397054256807938/443EsbQL_normal.jpg","View")</f>
        <v>View</v>
      </c>
      <c r="P7479" s="27"/>
    </row>
    <row r="7480">
      <c r="A7480" s="14">
        <v>43031.5946875</v>
      </c>
      <c r="B7480" s="20" t="str">
        <f>HYPERLINK("https://twitter.com/pnf_phytrade","@pnf_phytrade")</f>
        <v>@pnf_phytrade</v>
      </c>
      <c r="C7480" s="21" t="s">
        <v>16606</v>
      </c>
      <c r="D7480" s="21" t="s">
        <v>16537</v>
      </c>
      <c r="E7480" s="22" t="str">
        <f>HYPERLINK("https://twitter.com/pnf_phytrade/status/922572426613018626","922572426613018626")</f>
        <v>922572426613018626</v>
      </c>
      <c r="F7480" s="23" t="s">
        <v>39</v>
      </c>
      <c r="G7480" s="24">
        <v>692.0</v>
      </c>
      <c r="H7480" s="24">
        <v>1299.0</v>
      </c>
      <c r="I7480" s="24">
        <v>242.0</v>
      </c>
      <c r="J7480" s="24">
        <v>0.0</v>
      </c>
      <c r="K7480" s="23" t="s">
        <v>34</v>
      </c>
      <c r="L7480" s="25">
        <v>40958.78109953704</v>
      </c>
      <c r="M7480" s="26" t="s">
        <v>16607</v>
      </c>
      <c r="N7480" s="26" t="s">
        <v>16608</v>
      </c>
      <c r="O7480" s="22" t="str">
        <f>HYPERLINK("https://pbs.twimg.com/profile_images/917118541031231488/dYKqPj-9_normal.jpg","View")</f>
        <v>View</v>
      </c>
      <c r="P7480" s="27"/>
    </row>
    <row r="7481">
      <c r="A7481" s="14">
        <v>43031.59483796296</v>
      </c>
      <c r="B7481" s="20" t="str">
        <f>HYPERLINK("https://twitter.com/codeprss","@codeprss")</f>
        <v>@codeprss</v>
      </c>
      <c r="C7481" s="21" t="s">
        <v>16609</v>
      </c>
      <c r="D7481" s="21" t="s">
        <v>42</v>
      </c>
      <c r="E7481" s="22" t="str">
        <f>HYPERLINK("https://twitter.com/codeprss/status/922572480937676801","922572480937676801")</f>
        <v>922572480937676801</v>
      </c>
      <c r="F7481" s="23" t="s">
        <v>39</v>
      </c>
      <c r="G7481" s="24">
        <v>184.0</v>
      </c>
      <c r="H7481" s="24">
        <v>2755.0</v>
      </c>
      <c r="I7481" s="24">
        <v>8501.0</v>
      </c>
      <c r="J7481" s="24">
        <v>0.0</v>
      </c>
      <c r="K7481" s="23" t="s">
        <v>34</v>
      </c>
      <c r="L7481" s="25">
        <v>40801.58342592593</v>
      </c>
      <c r="M7481" s="28"/>
      <c r="N7481" s="26" t="s">
        <v>16610</v>
      </c>
      <c r="O7481" s="22" t="str">
        <f>HYPERLINK("https://pbs.twimg.com/profile_images/378800000470586833/7d2a376ce14cb5259b5072bf9ade30d9_normal.jpeg","View")</f>
        <v>View</v>
      </c>
      <c r="P7481" s="27"/>
    </row>
    <row r="7482">
      <c r="A7482" s="14">
        <v>43031.59510416667</v>
      </c>
      <c r="B7482" s="20" t="str">
        <f>HYPERLINK("https://twitter.com/thumnblina","@thumnblina")</f>
        <v>@thumnblina</v>
      </c>
      <c r="C7482" s="21" t="s">
        <v>16611</v>
      </c>
      <c r="D7482" s="21" t="s">
        <v>16537</v>
      </c>
      <c r="E7482" s="22" t="str">
        <f>HYPERLINK("https://twitter.com/thumnblina/status/922572575364075522","922572575364075522")</f>
        <v>922572575364075522</v>
      </c>
      <c r="F7482" s="23" t="s">
        <v>230</v>
      </c>
      <c r="G7482" s="24">
        <v>51.0</v>
      </c>
      <c r="H7482" s="24">
        <v>168.0</v>
      </c>
      <c r="I7482" s="24">
        <v>242.0</v>
      </c>
      <c r="J7482" s="24">
        <v>0.0</v>
      </c>
      <c r="K7482" s="23" t="s">
        <v>34</v>
      </c>
      <c r="L7482" s="25">
        <v>40991.51961805556</v>
      </c>
      <c r="M7482" s="26" t="s">
        <v>16612</v>
      </c>
      <c r="N7482" s="26" t="s">
        <v>16613</v>
      </c>
      <c r="O7482" s="22" t="str">
        <f>HYPERLINK("https://pbs.twimg.com/profile_images/914600172872720385/LM64inCH_normal.jpg","View")</f>
        <v>View</v>
      </c>
      <c r="P7482" s="27"/>
    </row>
    <row r="7483">
      <c r="A7483" s="14">
        <v>43031.595405092594</v>
      </c>
      <c r="B7483" s="20" t="str">
        <f>HYPERLINK("https://twitter.com/Chakri2343","@Chakri2343")</f>
        <v>@Chakri2343</v>
      </c>
      <c r="C7483" s="21" t="s">
        <v>16614</v>
      </c>
      <c r="D7483" s="21" t="s">
        <v>16537</v>
      </c>
      <c r="E7483" s="22" t="str">
        <f>HYPERLINK("https://twitter.com/Chakri2343/status/922572687721058304","922572687721058304")</f>
        <v>922572687721058304</v>
      </c>
      <c r="F7483" s="23" t="s">
        <v>39</v>
      </c>
      <c r="G7483" s="24">
        <v>35.0</v>
      </c>
      <c r="H7483" s="24">
        <v>67.0</v>
      </c>
      <c r="I7483" s="24">
        <v>242.0</v>
      </c>
      <c r="J7483" s="24">
        <v>0.0</v>
      </c>
      <c r="K7483" s="23" t="s">
        <v>34</v>
      </c>
      <c r="L7483" s="25">
        <v>40538.20414351852</v>
      </c>
      <c r="M7483" s="28"/>
      <c r="N7483" s="28"/>
      <c r="O7483" s="22" t="str">
        <f>HYPERLINK("https://abs.twimg.com/sticky/default_profile_images/default_profile_normal.png","View")</f>
        <v>View</v>
      </c>
      <c r="P7483" s="27"/>
    </row>
    <row r="7484">
      <c r="A7484" s="14">
        <v>43031.595821759256</v>
      </c>
      <c r="B7484" s="20" t="str">
        <f>HYPERLINK("https://twitter.com/Cristi_Wolfram","@Cristi_Wolfram")</f>
        <v>@Cristi_Wolfram</v>
      </c>
      <c r="C7484" s="21" t="s">
        <v>16615</v>
      </c>
      <c r="D7484" s="21" t="s">
        <v>16537</v>
      </c>
      <c r="E7484" s="22" t="str">
        <f>HYPERLINK("https://twitter.com/Cristi_Wolfram/status/922572837704970245","922572837704970245")</f>
        <v>922572837704970245</v>
      </c>
      <c r="F7484" s="23" t="s">
        <v>39</v>
      </c>
      <c r="G7484" s="24">
        <v>710.0</v>
      </c>
      <c r="H7484" s="24">
        <v>898.0</v>
      </c>
      <c r="I7484" s="24">
        <v>242.0</v>
      </c>
      <c r="J7484" s="24">
        <v>0.0</v>
      </c>
      <c r="K7484" s="23" t="s">
        <v>34</v>
      </c>
      <c r="L7484" s="25">
        <v>39903.400254629625</v>
      </c>
      <c r="M7484" s="26" t="s">
        <v>8983</v>
      </c>
      <c r="N7484" s="26" t="s">
        <v>16616</v>
      </c>
      <c r="O7484" s="22" t="str">
        <f>HYPERLINK("https://pbs.twimg.com/profile_images/914951780567355393/XpR0MyzW_normal.jpg","View")</f>
        <v>View</v>
      </c>
      <c r="P7484" s="27"/>
    </row>
    <row r="7485">
      <c r="A7485" s="14">
        <v>43031.59585648148</v>
      </c>
      <c r="B7485" s="20" t="str">
        <f>HYPERLINK("https://twitter.com/ColcombeLynne","@ColcombeLynne")</f>
        <v>@ColcombeLynne</v>
      </c>
      <c r="C7485" s="21" t="s">
        <v>16617</v>
      </c>
      <c r="D7485" s="21" t="s">
        <v>16537</v>
      </c>
      <c r="E7485" s="22" t="str">
        <f>HYPERLINK("https://twitter.com/ColcombeLynne/status/922572848677388289","922572848677388289")</f>
        <v>922572848677388289</v>
      </c>
      <c r="F7485" s="23" t="s">
        <v>39</v>
      </c>
      <c r="G7485" s="24">
        <v>96.0</v>
      </c>
      <c r="H7485" s="24">
        <v>117.0</v>
      </c>
      <c r="I7485" s="24">
        <v>242.0</v>
      </c>
      <c r="J7485" s="24">
        <v>0.0</v>
      </c>
      <c r="K7485" s="23" t="s">
        <v>34</v>
      </c>
      <c r="L7485" s="25">
        <v>42972.65809027778</v>
      </c>
      <c r="M7485" s="28"/>
      <c r="N7485" s="28"/>
      <c r="O7485" s="22" t="str">
        <f>HYPERLINK("https://abs.twimg.com/sticky/default_profile_images/default_profile_normal.png","View")</f>
        <v>View</v>
      </c>
      <c r="P7485" s="27"/>
    </row>
    <row r="7486">
      <c r="A7486" s="14">
        <v>43031.595983796295</v>
      </c>
      <c r="B7486" s="20" t="str">
        <f>HYPERLINK("https://twitter.com/libertad717","@libertad717")</f>
        <v>@libertad717</v>
      </c>
      <c r="C7486" s="21" t="s">
        <v>1228</v>
      </c>
      <c r="D7486" s="21" t="s">
        <v>6403</v>
      </c>
      <c r="E7486" s="22" t="str">
        <f>HYPERLINK("https://twitter.com/libertad717/status/922572895645261827","922572895645261827")</f>
        <v>922572895645261827</v>
      </c>
      <c r="F7486" s="23" t="s">
        <v>33</v>
      </c>
      <c r="G7486" s="24">
        <v>1043.0</v>
      </c>
      <c r="H7486" s="24">
        <v>1058.0</v>
      </c>
      <c r="I7486" s="24">
        <v>97.0</v>
      </c>
      <c r="J7486" s="24">
        <v>0.0</v>
      </c>
      <c r="K7486" s="23" t="s">
        <v>34</v>
      </c>
      <c r="L7486" s="25">
        <v>40681.701203703706</v>
      </c>
      <c r="M7486" s="28"/>
      <c r="N7486" s="28"/>
      <c r="O7486" s="22" t="str">
        <f>HYPERLINK("https://pbs.twimg.com/profile_images/378800000709612949/cfd1435ac2c89df971f95fff2d2610a6_normal.jpeg","View")</f>
        <v>View</v>
      </c>
      <c r="P7486" s="27"/>
    </row>
    <row r="7487">
      <c r="A7487" s="14">
        <v>43031.596238425926</v>
      </c>
      <c r="B7487" s="20" t="str">
        <f>HYPERLINK("https://twitter.com/sylviagreier","@sylviagreier")</f>
        <v>@sylviagreier</v>
      </c>
      <c r="C7487" s="21" t="s">
        <v>16618</v>
      </c>
      <c r="D7487" s="21" t="s">
        <v>16537</v>
      </c>
      <c r="E7487" s="22" t="str">
        <f>HYPERLINK("https://twitter.com/sylviagreier/status/922572988309893121","922572988309893121")</f>
        <v>922572988309893121</v>
      </c>
      <c r="F7487" s="23" t="s">
        <v>33</v>
      </c>
      <c r="G7487" s="24">
        <v>616.0</v>
      </c>
      <c r="H7487" s="24">
        <v>1738.0</v>
      </c>
      <c r="I7487" s="24">
        <v>242.0</v>
      </c>
      <c r="J7487" s="24">
        <v>0.0</v>
      </c>
      <c r="K7487" s="23" t="s">
        <v>34</v>
      </c>
      <c r="L7487" s="25">
        <v>41884.52086805555</v>
      </c>
      <c r="M7487" s="26" t="s">
        <v>16619</v>
      </c>
      <c r="N7487" s="26" t="s">
        <v>16620</v>
      </c>
      <c r="O7487" s="22" t="str">
        <f>HYPERLINK("https://pbs.twimg.com/profile_images/717069115085553665/HeqnY0mp_normal.jpg","View")</f>
        <v>View</v>
      </c>
      <c r="P7487" s="27"/>
    </row>
    <row r="7488">
      <c r="A7488" s="14">
        <v>43031.59625</v>
      </c>
      <c r="B7488" s="20" t="str">
        <f>HYPERLINK("https://twitter.com/JasMatta","@JasMatta")</f>
        <v>@JasMatta</v>
      </c>
      <c r="C7488" s="21" t="s">
        <v>16621</v>
      </c>
      <c r="D7488" s="21" t="s">
        <v>42</v>
      </c>
      <c r="E7488" s="22" t="str">
        <f>HYPERLINK("https://twitter.com/JasMatta/status/922572991422021632","922572991422021632")</f>
        <v>922572991422021632</v>
      </c>
      <c r="F7488" s="23" t="s">
        <v>33</v>
      </c>
      <c r="G7488" s="24">
        <v>1224.0</v>
      </c>
      <c r="H7488" s="24">
        <v>302.0</v>
      </c>
      <c r="I7488" s="24">
        <v>8501.0</v>
      </c>
      <c r="J7488" s="24">
        <v>0.0</v>
      </c>
      <c r="K7488" s="23" t="s">
        <v>34</v>
      </c>
      <c r="L7488" s="25">
        <v>41923.30143518519</v>
      </c>
      <c r="M7488" s="26" t="s">
        <v>136</v>
      </c>
      <c r="N7488" s="26" t="s">
        <v>16622</v>
      </c>
      <c r="O7488" s="22" t="str">
        <f>HYPERLINK("https://pbs.twimg.com/profile_images/918788341100789765/b8Qsq8aH_normal.jpg","View")</f>
        <v>View</v>
      </c>
      <c r="P7488" s="27"/>
    </row>
    <row r="7489">
      <c r="A7489" s="14">
        <v>43031.59643518519</v>
      </c>
      <c r="B7489" s="20" t="str">
        <f>HYPERLINK("https://twitter.com/jmcolonell","@jmcolonell")</f>
        <v>@jmcolonell</v>
      </c>
      <c r="C7489" s="21" t="s">
        <v>16623</v>
      </c>
      <c r="D7489" s="21" t="s">
        <v>16537</v>
      </c>
      <c r="E7489" s="22" t="str">
        <f>HYPERLINK("https://twitter.com/jmcolonell/status/922573059013439489","922573059013439489")</f>
        <v>922573059013439489</v>
      </c>
      <c r="F7489" s="23" t="s">
        <v>39</v>
      </c>
      <c r="G7489" s="24">
        <v>69.0</v>
      </c>
      <c r="H7489" s="24">
        <v>89.0</v>
      </c>
      <c r="I7489" s="24">
        <v>242.0</v>
      </c>
      <c r="J7489" s="24">
        <v>0.0</v>
      </c>
      <c r="K7489" s="23" t="s">
        <v>34</v>
      </c>
      <c r="L7489" s="25">
        <v>42740.42103009259</v>
      </c>
      <c r="M7489" s="26" t="s">
        <v>16624</v>
      </c>
      <c r="N7489" s="26" t="s">
        <v>16625</v>
      </c>
      <c r="O7489" s="22" t="str">
        <f>HYPERLINK("https://abs.twimg.com/sticky/default_profile_images/default_profile_normal.png","View")</f>
        <v>View</v>
      </c>
      <c r="P7489" s="27"/>
    </row>
    <row r="7490">
      <c r="A7490" s="14">
        <v>43031.59646990741</v>
      </c>
      <c r="B7490" s="20" t="str">
        <f>HYPERLINK("https://twitter.com/ChristieLafran1","@ChristieLafran1")</f>
        <v>@ChristieLafran1</v>
      </c>
      <c r="C7490" s="21" t="s">
        <v>16626</v>
      </c>
      <c r="D7490" s="21" t="s">
        <v>16537</v>
      </c>
      <c r="E7490" s="22" t="str">
        <f>HYPERLINK("https://twitter.com/ChristieLafran1/status/922573070778351617","922573070778351617")</f>
        <v>922573070778351617</v>
      </c>
      <c r="F7490" s="23" t="s">
        <v>43</v>
      </c>
      <c r="G7490" s="24">
        <v>699.0</v>
      </c>
      <c r="H7490" s="24">
        <v>397.0</v>
      </c>
      <c r="I7490" s="24">
        <v>242.0</v>
      </c>
      <c r="J7490" s="24">
        <v>0.0</v>
      </c>
      <c r="K7490" s="23" t="s">
        <v>34</v>
      </c>
      <c r="L7490" s="25">
        <v>41716.825787037036</v>
      </c>
      <c r="M7490" s="28"/>
      <c r="N7490" s="26" t="s">
        <v>16627</v>
      </c>
      <c r="O7490" s="22" t="str">
        <f>HYPERLINK("https://pbs.twimg.com/profile_images/893285726296563713/0zW2DhKD_normal.jpg","View")</f>
        <v>View</v>
      </c>
      <c r="P7490" s="27"/>
    </row>
    <row r="7491">
      <c r="A7491" s="14">
        <v>43031.59658564815</v>
      </c>
      <c r="B7491" s="20" t="str">
        <f>HYPERLINK("https://twitter.com/SPEAKUPJULIA","@SPEAKUPJULIA")</f>
        <v>@SPEAKUPJULIA</v>
      </c>
      <c r="C7491" s="21" t="s">
        <v>16628</v>
      </c>
      <c r="D7491" s="21" t="s">
        <v>16537</v>
      </c>
      <c r="E7491" s="22" t="str">
        <f>HYPERLINK("https://twitter.com/SPEAKUPJULIA/status/922573115145838592","922573115145838592")</f>
        <v>922573115145838592</v>
      </c>
      <c r="F7491" s="23" t="s">
        <v>33</v>
      </c>
      <c r="G7491" s="24">
        <v>2474.0</v>
      </c>
      <c r="H7491" s="24">
        <v>1119.0</v>
      </c>
      <c r="I7491" s="24">
        <v>242.0</v>
      </c>
      <c r="J7491" s="24">
        <v>0.0</v>
      </c>
      <c r="K7491" s="23" t="s">
        <v>34</v>
      </c>
      <c r="L7491" s="25">
        <v>42757.71652777778</v>
      </c>
      <c r="M7491" s="26" t="s">
        <v>16629</v>
      </c>
      <c r="N7491" s="26" t="s">
        <v>16630</v>
      </c>
      <c r="O7491" s="22" t="str">
        <f>HYPERLINK("https://pbs.twimg.com/profile_images/908429185936437249/gtbA2yjT_normal.jpg","View")</f>
        <v>View</v>
      </c>
      <c r="P7491" s="27"/>
    </row>
    <row r="7492">
      <c r="A7492" s="14">
        <v>43031.59663194444</v>
      </c>
      <c r="B7492" s="20" t="str">
        <f>HYPERLINK("https://twitter.com/suzyqcakelady","@suzyqcakelady")</f>
        <v>@suzyqcakelady</v>
      </c>
      <c r="C7492" s="21" t="s">
        <v>16631</v>
      </c>
      <c r="D7492" s="21" t="s">
        <v>16537</v>
      </c>
      <c r="E7492" s="22" t="str">
        <f>HYPERLINK("https://twitter.com/suzyqcakelady/status/922573128286470145","922573128286470145")</f>
        <v>922573128286470145</v>
      </c>
      <c r="F7492" s="23" t="s">
        <v>55</v>
      </c>
      <c r="G7492" s="24">
        <v>881.0</v>
      </c>
      <c r="H7492" s="24">
        <v>1735.0</v>
      </c>
      <c r="I7492" s="24">
        <v>242.0</v>
      </c>
      <c r="J7492" s="24">
        <v>0.0</v>
      </c>
      <c r="K7492" s="23" t="s">
        <v>34</v>
      </c>
      <c r="L7492" s="25">
        <v>40087.2947337963</v>
      </c>
      <c r="M7492" s="26" t="s">
        <v>16632</v>
      </c>
      <c r="N7492" s="26" t="s">
        <v>16633</v>
      </c>
      <c r="O7492" s="22" t="str">
        <f>HYPERLINK("https://pbs.twimg.com/profile_images/452797782898638848/yhxnb9Xh_normal.jpeg","View")</f>
        <v>View</v>
      </c>
      <c r="P7492" s="27"/>
    </row>
    <row r="7493">
      <c r="A7493" s="14">
        <v>43031.596759259264</v>
      </c>
      <c r="B7493" s="20" t="str">
        <f>HYPERLINK("https://twitter.com/PT_US_Congress","@PT_US_Congress")</f>
        <v>@PT_US_Congress</v>
      </c>
      <c r="C7493" s="21" t="s">
        <v>16634</v>
      </c>
      <c r="D7493" s="21" t="s">
        <v>16533</v>
      </c>
      <c r="E7493" s="22" t="str">
        <f>HYPERLINK("https://twitter.com/PT_US_Congress/status/922573176130949122","922573176130949122")</f>
        <v>922573176130949122</v>
      </c>
      <c r="F7493" s="23" t="s">
        <v>16635</v>
      </c>
      <c r="G7493" s="24">
        <v>358.0</v>
      </c>
      <c r="H7493" s="24">
        <v>0.0</v>
      </c>
      <c r="I7493" s="24">
        <v>0.0</v>
      </c>
      <c r="J7493" s="24">
        <v>0.0</v>
      </c>
      <c r="K7493" s="23" t="s">
        <v>34</v>
      </c>
      <c r="L7493" s="25">
        <v>42657.71858796296</v>
      </c>
      <c r="M7493" s="26" t="s">
        <v>4239</v>
      </c>
      <c r="N7493" s="26" t="s">
        <v>16636</v>
      </c>
      <c r="O7493" s="22" t="str">
        <f>HYPERLINK("https://pbs.twimg.com/profile_images/787774532757008384/CaRg0Npf_normal.jpg","View")</f>
        <v>View</v>
      </c>
      <c r="P7493" s="27"/>
    </row>
    <row r="7494">
      <c r="A7494" s="14">
        <v>43031.596932870365</v>
      </c>
      <c r="B7494" s="20" t="str">
        <f>HYPERLINK("https://twitter.com/felixgumana1","@felixgumana1")</f>
        <v>@felixgumana1</v>
      </c>
      <c r="C7494" s="21" t="s">
        <v>16637</v>
      </c>
      <c r="D7494" s="21" t="s">
        <v>16537</v>
      </c>
      <c r="E7494" s="22" t="str">
        <f>HYPERLINK("https://twitter.com/felixgumana1/status/922573238336593920","922573238336593920")</f>
        <v>922573238336593920</v>
      </c>
      <c r="F7494" s="23" t="s">
        <v>39</v>
      </c>
      <c r="G7494" s="24">
        <v>63.0</v>
      </c>
      <c r="H7494" s="24">
        <v>211.0</v>
      </c>
      <c r="I7494" s="24">
        <v>242.0</v>
      </c>
      <c r="J7494" s="24">
        <v>0.0</v>
      </c>
      <c r="K7494" s="23" t="s">
        <v>34</v>
      </c>
      <c r="L7494" s="25">
        <v>42655.556921296295</v>
      </c>
      <c r="M7494" s="26" t="s">
        <v>1024</v>
      </c>
      <c r="N7494" s="28"/>
      <c r="O7494" s="22" t="str">
        <f>HYPERLINK("https://pbs.twimg.com/profile_images/901532489163784192/68vShgQS_normal.jpg","View")</f>
        <v>View</v>
      </c>
      <c r="P7494" s="27"/>
    </row>
    <row r="7495">
      <c r="A7495" s="14">
        <v>43031.59700231481</v>
      </c>
      <c r="B7495" s="20" t="str">
        <f>HYPERLINK("https://twitter.com/mcmaiola","@mcmaiola")</f>
        <v>@mcmaiola</v>
      </c>
      <c r="C7495" s="21" t="s">
        <v>16638</v>
      </c>
      <c r="D7495" s="21" t="s">
        <v>16537</v>
      </c>
      <c r="E7495" s="22" t="str">
        <f>HYPERLINK("https://twitter.com/mcmaiola/status/922573264974528513","922573264974528513")</f>
        <v>922573264974528513</v>
      </c>
      <c r="F7495" s="23" t="s">
        <v>33</v>
      </c>
      <c r="G7495" s="24">
        <v>134.0</v>
      </c>
      <c r="H7495" s="24">
        <v>450.0</v>
      </c>
      <c r="I7495" s="24">
        <v>242.0</v>
      </c>
      <c r="J7495" s="24">
        <v>0.0</v>
      </c>
      <c r="K7495" s="23" t="s">
        <v>34</v>
      </c>
      <c r="L7495" s="25">
        <v>41699.8937037037</v>
      </c>
      <c r="M7495" s="28"/>
      <c r="N7495" s="26" t="s">
        <v>16639</v>
      </c>
      <c r="O7495" s="22" t="str">
        <f>HYPERLINK("https://pbs.twimg.com/profile_images/902365055781560321/sXD0D8VY_normal.jpg","View")</f>
        <v>View</v>
      </c>
      <c r="P7495" s="27"/>
    </row>
    <row r="7496">
      <c r="A7496" s="14">
        <v>43031.597395833334</v>
      </c>
      <c r="B7496" s="20" t="str">
        <f>HYPERLINK("https://twitter.com/travi44","@travi44")</f>
        <v>@travi44</v>
      </c>
      <c r="C7496" s="21" t="s">
        <v>16640</v>
      </c>
      <c r="D7496" s="21" t="s">
        <v>16537</v>
      </c>
      <c r="E7496" s="22" t="str">
        <f>HYPERLINK("https://twitter.com/travi44/status/922573406289010688","922573406289010688")</f>
        <v>922573406289010688</v>
      </c>
      <c r="F7496" s="23" t="s">
        <v>230</v>
      </c>
      <c r="G7496" s="24">
        <v>1000.0</v>
      </c>
      <c r="H7496" s="24">
        <v>4190.0</v>
      </c>
      <c r="I7496" s="24">
        <v>242.0</v>
      </c>
      <c r="J7496" s="24">
        <v>0.0</v>
      </c>
      <c r="K7496" s="23" t="s">
        <v>34</v>
      </c>
      <c r="L7496" s="25">
        <v>40000.32298611111</v>
      </c>
      <c r="M7496" s="26" t="s">
        <v>1024</v>
      </c>
      <c r="N7496" s="28"/>
      <c r="O7496" s="22" t="str">
        <f>HYPERLINK("https://pbs.twimg.com/profile_images/881030154771980288/YIIkWdi-_normal.jpg","View")</f>
        <v>View</v>
      </c>
      <c r="P7496" s="27"/>
    </row>
    <row r="7497">
      <c r="A7497" s="14">
        <v>43031.59744212963</v>
      </c>
      <c r="B7497" s="20" t="str">
        <f>HYPERLINK("https://twitter.com/DeannaLee1369","@DeannaLee1369")</f>
        <v>@DeannaLee1369</v>
      </c>
      <c r="C7497" s="21" t="s">
        <v>16641</v>
      </c>
      <c r="D7497" s="21" t="s">
        <v>16642</v>
      </c>
      <c r="E7497" s="22" t="str">
        <f>HYPERLINK("https://twitter.com/DeannaLee1369/status/922573424320380929","922573424320380929")</f>
        <v>922573424320380929</v>
      </c>
      <c r="F7497" s="23" t="s">
        <v>55</v>
      </c>
      <c r="G7497" s="24">
        <v>4290.0</v>
      </c>
      <c r="H7497" s="24">
        <v>4798.0</v>
      </c>
      <c r="I7497" s="24">
        <v>0.0</v>
      </c>
      <c r="J7497" s="24">
        <v>0.0</v>
      </c>
      <c r="K7497" s="23" t="s">
        <v>34</v>
      </c>
      <c r="L7497" s="25">
        <v>39997.90387731481</v>
      </c>
      <c r="M7497" s="26" t="s">
        <v>16643</v>
      </c>
      <c r="N7497" s="26" t="s">
        <v>16644</v>
      </c>
      <c r="O7497" s="22" t="str">
        <f>HYPERLINK("https://pbs.twimg.com/profile_images/754397011458215941/Fudfek8E_normal.jpg","View")</f>
        <v>View</v>
      </c>
      <c r="P7497" s="27"/>
    </row>
    <row r="7498">
      <c r="A7498" s="14">
        <v>43031.59746527778</v>
      </c>
      <c r="B7498" s="20" t="str">
        <f>HYPERLINK("https://twitter.com/MalindaMichell1","@MalindaMichell1")</f>
        <v>@MalindaMichell1</v>
      </c>
      <c r="C7498" s="21" t="s">
        <v>16645</v>
      </c>
      <c r="D7498" s="21" t="s">
        <v>16537</v>
      </c>
      <c r="E7498" s="22" t="str">
        <f>HYPERLINK("https://twitter.com/MalindaMichell1/status/922573432411353089","922573432411353089")</f>
        <v>922573432411353089</v>
      </c>
      <c r="F7498" s="23" t="s">
        <v>39</v>
      </c>
      <c r="G7498" s="24">
        <v>242.0</v>
      </c>
      <c r="H7498" s="24">
        <v>971.0</v>
      </c>
      <c r="I7498" s="24">
        <v>242.0</v>
      </c>
      <c r="J7498" s="24">
        <v>0.0</v>
      </c>
      <c r="K7498" s="23" t="s">
        <v>34</v>
      </c>
      <c r="L7498" s="25">
        <v>40957.47903935185</v>
      </c>
      <c r="M7498" s="26" t="s">
        <v>2170</v>
      </c>
      <c r="N7498" s="26" t="s">
        <v>16646</v>
      </c>
      <c r="O7498" s="22" t="str">
        <f>HYPERLINK("https://pbs.twimg.com/profile_images/914510225469829120/wPnYQMMG_normal.jpg","View")</f>
        <v>View</v>
      </c>
      <c r="P7498" s="27"/>
    </row>
    <row r="7499">
      <c r="A7499" s="14">
        <v>43031.59748842593</v>
      </c>
      <c r="B7499" s="20" t="str">
        <f>HYPERLINK("https://twitter.com/WorldNewsGPS","@WorldNewsGPS")</f>
        <v>@WorldNewsGPS</v>
      </c>
      <c r="C7499" s="21" t="s">
        <v>2935</v>
      </c>
      <c r="D7499" s="21" t="s">
        <v>16647</v>
      </c>
      <c r="E7499" s="22" t="str">
        <f>HYPERLINK("https://twitter.com/WorldNewsGPS/status/922573441676427264","922573441676427264")</f>
        <v>922573441676427264</v>
      </c>
      <c r="F7499" s="30" t="s">
        <v>411</v>
      </c>
      <c r="G7499" s="24">
        <v>5140.0</v>
      </c>
      <c r="H7499" s="24">
        <v>3552.0</v>
      </c>
      <c r="I7499" s="24">
        <v>0.0</v>
      </c>
      <c r="J7499" s="24">
        <v>0.0</v>
      </c>
      <c r="K7499" s="23" t="s">
        <v>34</v>
      </c>
      <c r="L7499" s="25">
        <v>41855.64482638889</v>
      </c>
      <c r="M7499" s="26" t="s">
        <v>2937</v>
      </c>
      <c r="N7499" s="26" t="s">
        <v>2938</v>
      </c>
      <c r="O7499" s="22" t="str">
        <f>HYPERLINK("https://pbs.twimg.com/profile_images/922888721292075008/5HmBrNXR_normal.jpg","View")</f>
        <v>View</v>
      </c>
      <c r="P7499" s="27"/>
    </row>
    <row r="7500">
      <c r="A7500" s="14">
        <v>43031.59759259259</v>
      </c>
      <c r="B7500" s="20" t="str">
        <f>HYPERLINK("https://twitter.com/IAmJoeTrudeau","@IAmJoeTrudeau")</f>
        <v>@IAmJoeTrudeau</v>
      </c>
      <c r="C7500" s="21" t="s">
        <v>16648</v>
      </c>
      <c r="D7500" s="21" t="s">
        <v>15766</v>
      </c>
      <c r="E7500" s="22" t="str">
        <f>HYPERLINK("https://twitter.com/IAmJoeTrudeau/status/922573478716358657","922573478716358657")</f>
        <v>922573478716358657</v>
      </c>
      <c r="F7500" s="23" t="s">
        <v>230</v>
      </c>
      <c r="G7500" s="24">
        <v>31852.0</v>
      </c>
      <c r="H7500" s="24">
        <v>2720.0</v>
      </c>
      <c r="I7500" s="24">
        <v>14.0</v>
      </c>
      <c r="J7500" s="24">
        <v>0.0</v>
      </c>
      <c r="K7500" s="23" t="s">
        <v>34</v>
      </c>
      <c r="L7500" s="25">
        <v>42780.781076388885</v>
      </c>
      <c r="M7500" s="26" t="s">
        <v>920</v>
      </c>
      <c r="N7500" s="26" t="s">
        <v>16649</v>
      </c>
      <c r="O7500" s="22" t="str">
        <f>HYPERLINK("https://pbs.twimg.com/profile_images/897162932470992896/ux4IX8w4_normal.jpg","View")</f>
        <v>View</v>
      </c>
      <c r="P7500" s="27"/>
    </row>
    <row r="7501">
      <c r="A7501" s="14">
        <v>43031.597650462965</v>
      </c>
      <c r="B7501" s="20" t="str">
        <f>HYPERLINK("https://twitter.com/Meow1113","@Meow1113")</f>
        <v>@Meow1113</v>
      </c>
      <c r="C7501" s="21" t="s">
        <v>16650</v>
      </c>
      <c r="D7501" s="21" t="s">
        <v>16537</v>
      </c>
      <c r="E7501" s="22" t="str">
        <f>HYPERLINK("https://twitter.com/Meow1113/status/922573498328932352","922573498328932352")</f>
        <v>922573498328932352</v>
      </c>
      <c r="F7501" s="23" t="s">
        <v>33</v>
      </c>
      <c r="G7501" s="24">
        <v>400.0</v>
      </c>
      <c r="H7501" s="24">
        <v>447.0</v>
      </c>
      <c r="I7501" s="24">
        <v>242.0</v>
      </c>
      <c r="J7501" s="24">
        <v>0.0</v>
      </c>
      <c r="K7501" s="23" t="s">
        <v>34</v>
      </c>
      <c r="L7501" s="25">
        <v>39920.6775462963</v>
      </c>
      <c r="M7501" s="26" t="s">
        <v>16651</v>
      </c>
      <c r="N7501" s="26" t="s">
        <v>16652</v>
      </c>
      <c r="O7501" s="22" t="str">
        <f>HYPERLINK("https://pbs.twimg.com/profile_images/907855543620050945/1Fb89Ysp_normal.jpg","View")</f>
        <v>View</v>
      </c>
      <c r="P7501" s="27"/>
    </row>
    <row r="7502">
      <c r="A7502" s="14">
        <v>43031.597754629634</v>
      </c>
      <c r="B7502" s="20" t="str">
        <f>HYPERLINK("https://twitter.com/vtmtst","@vtmtst")</f>
        <v>@vtmtst</v>
      </c>
      <c r="C7502" s="21" t="s">
        <v>16653</v>
      </c>
      <c r="D7502" s="21" t="s">
        <v>16537</v>
      </c>
      <c r="E7502" s="22" t="str">
        <f>HYPERLINK("https://twitter.com/vtmtst/status/922573535935156224","922573535935156224")</f>
        <v>922573535935156224</v>
      </c>
      <c r="F7502" s="23" t="s">
        <v>55</v>
      </c>
      <c r="G7502" s="24">
        <v>0.0</v>
      </c>
      <c r="H7502" s="24">
        <v>80.0</v>
      </c>
      <c r="I7502" s="24">
        <v>242.0</v>
      </c>
      <c r="J7502" s="24">
        <v>0.0</v>
      </c>
      <c r="K7502" s="23" t="s">
        <v>34</v>
      </c>
      <c r="L7502" s="25">
        <v>42985.28503472223</v>
      </c>
      <c r="M7502" s="28"/>
      <c r="N7502" s="28"/>
      <c r="O7502" s="22" t="str">
        <f>HYPERLINK("https://abs.twimg.com/sticky/default_profile_images/default_profile_normal.png","View")</f>
        <v>View</v>
      </c>
      <c r="P7502" s="27"/>
    </row>
    <row r="7503">
      <c r="A7503" s="14">
        <v>43031.59783564815</v>
      </c>
      <c r="B7503" s="20" t="str">
        <f>HYPERLINK("https://twitter.com/OverTheMoonbat","@OverTheMoonbat")</f>
        <v>@OverTheMoonbat</v>
      </c>
      <c r="C7503" s="21" t="s">
        <v>4474</v>
      </c>
      <c r="D7503" s="21" t="s">
        <v>16654</v>
      </c>
      <c r="E7503" s="22" t="str">
        <f>HYPERLINK("https://twitter.com/OverTheMoonbat/status/922573564670177280","922573564670177280")</f>
        <v>922573564670177280</v>
      </c>
      <c r="F7503" s="23" t="s">
        <v>55</v>
      </c>
      <c r="G7503" s="24">
        <v>11027.0</v>
      </c>
      <c r="H7503" s="24">
        <v>12017.0</v>
      </c>
      <c r="I7503" s="24">
        <v>0.0</v>
      </c>
      <c r="J7503" s="24">
        <v>0.0</v>
      </c>
      <c r="K7503" s="23" t="s">
        <v>34</v>
      </c>
      <c r="L7503" s="25">
        <v>40896.593831018516</v>
      </c>
      <c r="M7503" s="28"/>
      <c r="N7503" s="26" t="s">
        <v>4476</v>
      </c>
      <c r="O7503" s="22" t="str">
        <f>HYPERLINK("https://pbs.twimg.com/profile_images/823236506932236288/SlElOA6Z_normal.jpg","View")</f>
        <v>View</v>
      </c>
      <c r="P7503" s="27"/>
    </row>
    <row r="7504">
      <c r="A7504" s="14">
        <v>43031.59787037037</v>
      </c>
      <c r="B7504" s="20" t="str">
        <f>HYPERLINK("https://twitter.com/oceanshaman","@oceanshaman")</f>
        <v>@oceanshaman</v>
      </c>
      <c r="C7504" s="21" t="s">
        <v>16655</v>
      </c>
      <c r="D7504" s="21" t="s">
        <v>16537</v>
      </c>
      <c r="E7504" s="22" t="str">
        <f>HYPERLINK("https://twitter.com/oceanshaman/status/922573577236434953","922573577236434953")</f>
        <v>922573577236434953</v>
      </c>
      <c r="F7504" s="23" t="s">
        <v>33</v>
      </c>
      <c r="G7504" s="24">
        <v>13208.0</v>
      </c>
      <c r="H7504" s="24">
        <v>14378.0</v>
      </c>
      <c r="I7504" s="24">
        <v>242.0</v>
      </c>
      <c r="J7504" s="24">
        <v>0.0</v>
      </c>
      <c r="K7504" s="23" t="s">
        <v>34</v>
      </c>
      <c r="L7504" s="25">
        <v>39972.59787037037</v>
      </c>
      <c r="M7504" s="26" t="s">
        <v>16656</v>
      </c>
      <c r="N7504" s="26" t="s">
        <v>16657</v>
      </c>
      <c r="O7504" s="22" t="str">
        <f>HYPERLINK("https://pbs.twimg.com/profile_images/867841625363447808/XO6wFLVF_normal.jpg","View")</f>
        <v>View</v>
      </c>
      <c r="P7504" s="27"/>
    </row>
    <row r="7505">
      <c r="A7505" s="14">
        <v>43031.59788194444</v>
      </c>
      <c r="B7505" s="20" t="str">
        <f>HYPERLINK("https://twitter.com/AlexLeonNC","@AlexLeonNC")</f>
        <v>@AlexLeonNC</v>
      </c>
      <c r="C7505" s="21" t="s">
        <v>16658</v>
      </c>
      <c r="D7505" s="21" t="s">
        <v>16537</v>
      </c>
      <c r="E7505" s="22" t="str">
        <f>HYPERLINK("https://twitter.com/AlexLeonNC/status/922573584253497344","922573584253497344")</f>
        <v>922573584253497344</v>
      </c>
      <c r="F7505" s="23" t="s">
        <v>33</v>
      </c>
      <c r="G7505" s="24">
        <v>753.0</v>
      </c>
      <c r="H7505" s="24">
        <v>1148.0</v>
      </c>
      <c r="I7505" s="24">
        <v>242.0</v>
      </c>
      <c r="J7505" s="24">
        <v>0.0</v>
      </c>
      <c r="K7505" s="23" t="s">
        <v>34</v>
      </c>
      <c r="L7505" s="25">
        <v>42296.68493055555</v>
      </c>
      <c r="M7505" s="26" t="s">
        <v>1964</v>
      </c>
      <c r="N7505" s="26" t="s">
        <v>16659</v>
      </c>
      <c r="O7505" s="22" t="str">
        <f>HYPERLINK("https://pbs.twimg.com/profile_images/915591385486589952/HuhvbVM4_normal.jpg","View")</f>
        <v>View</v>
      </c>
      <c r="P7505" s="27"/>
    </row>
    <row r="7506">
      <c r="A7506" s="14">
        <v>43031.59792824074</v>
      </c>
      <c r="B7506" s="20" t="str">
        <f>HYPERLINK("https://twitter.com/pgor24","@pgor24")</f>
        <v>@pgor24</v>
      </c>
      <c r="C7506" s="21" t="s">
        <v>16660</v>
      </c>
      <c r="D7506" s="21" t="s">
        <v>16537</v>
      </c>
      <c r="E7506" s="22" t="str">
        <f>HYPERLINK("https://twitter.com/pgor24/status/922573598686097408","922573598686097408")</f>
        <v>922573598686097408</v>
      </c>
      <c r="F7506" s="23" t="s">
        <v>39</v>
      </c>
      <c r="G7506" s="24">
        <v>3005.0</v>
      </c>
      <c r="H7506" s="24">
        <v>387.0</v>
      </c>
      <c r="I7506" s="24">
        <v>242.0</v>
      </c>
      <c r="J7506" s="24">
        <v>0.0</v>
      </c>
      <c r="K7506" s="23" t="s">
        <v>34</v>
      </c>
      <c r="L7506" s="25">
        <v>40325.8380787037</v>
      </c>
      <c r="M7506" s="26" t="s">
        <v>16661</v>
      </c>
      <c r="N7506" s="26" t="s">
        <v>16662</v>
      </c>
      <c r="O7506" s="22" t="str">
        <f>HYPERLINK("https://pbs.twimg.com/profile_images/921130616535568384/ooR70mKb_normal.jpg","View")</f>
        <v>View</v>
      </c>
      <c r="P7506" s="27"/>
    </row>
    <row r="7507">
      <c r="A7507" s="14">
        <v>43031.598032407404</v>
      </c>
      <c r="B7507" s="20" t="str">
        <f>HYPERLINK("https://twitter.com/mdwblitz","@mdwblitz")</f>
        <v>@mdwblitz</v>
      </c>
      <c r="C7507" s="21" t="s">
        <v>16663</v>
      </c>
      <c r="D7507" s="21" t="s">
        <v>16537</v>
      </c>
      <c r="E7507" s="22" t="str">
        <f>HYPERLINK("https://twitter.com/mdwblitz/status/922573637709807617","922573637709807617")</f>
        <v>922573637709807617</v>
      </c>
      <c r="F7507" s="23" t="s">
        <v>33</v>
      </c>
      <c r="G7507" s="24">
        <v>1376.0</v>
      </c>
      <c r="H7507" s="24">
        <v>1624.0</v>
      </c>
      <c r="I7507" s="24">
        <v>242.0</v>
      </c>
      <c r="J7507" s="24">
        <v>0.0</v>
      </c>
      <c r="K7507" s="23" t="s">
        <v>34</v>
      </c>
      <c r="L7507" s="25">
        <v>40851.79248842593</v>
      </c>
      <c r="M7507" s="28"/>
      <c r="N7507" s="26" t="s">
        <v>16664</v>
      </c>
      <c r="O7507" s="22" t="str">
        <f>HYPERLINK("https://pbs.twimg.com/profile_images/1866410273/Photo_2_normal.jpg","View")</f>
        <v>View</v>
      </c>
      <c r="P7507" s="27"/>
    </row>
    <row r="7508">
      <c r="A7508" s="14">
        <v>43031.59833333333</v>
      </c>
      <c r="B7508" s="20" t="str">
        <f>HYPERLINK("https://twitter.com/VictoriaVenega7","@VictoriaVenega7")</f>
        <v>@VictoriaVenega7</v>
      </c>
      <c r="C7508" s="21" t="s">
        <v>16665</v>
      </c>
      <c r="D7508" s="21" t="s">
        <v>16537</v>
      </c>
      <c r="E7508" s="22" t="str">
        <f>HYPERLINK("https://twitter.com/VictoriaVenega7/status/922573745746841600","922573745746841600")</f>
        <v>922573745746841600</v>
      </c>
      <c r="F7508" s="23" t="s">
        <v>33</v>
      </c>
      <c r="G7508" s="24">
        <v>396.0</v>
      </c>
      <c r="H7508" s="24">
        <v>294.0</v>
      </c>
      <c r="I7508" s="24">
        <v>242.0</v>
      </c>
      <c r="J7508" s="24">
        <v>0.0</v>
      </c>
      <c r="K7508" s="23" t="s">
        <v>34</v>
      </c>
      <c r="L7508" s="25">
        <v>41493.65138888889</v>
      </c>
      <c r="M7508" s="28"/>
      <c r="N7508" s="28"/>
      <c r="O7508" s="22" t="str">
        <f>HYPERLINK("https://pbs.twimg.com/profile_images/378800000257280041/9bbef49e273a235b7ccb9f02465f27e8_normal.jpeg","View")</f>
        <v>View</v>
      </c>
      <c r="P7508" s="27"/>
    </row>
    <row r="7509">
      <c r="A7509" s="14">
        <v>43031.598379629635</v>
      </c>
      <c r="B7509" s="20" t="str">
        <f>HYPERLINK("https://twitter.com/MissingTripod","@MissingTripod")</f>
        <v>@MissingTripod</v>
      </c>
      <c r="C7509" s="21" t="s">
        <v>16666</v>
      </c>
      <c r="D7509" s="21" t="s">
        <v>16537</v>
      </c>
      <c r="E7509" s="22" t="str">
        <f>HYPERLINK("https://twitter.com/MissingTripod/status/922573765585920001","922573765585920001")</f>
        <v>922573765585920001</v>
      </c>
      <c r="F7509" s="23" t="s">
        <v>39</v>
      </c>
      <c r="G7509" s="24">
        <v>55.0</v>
      </c>
      <c r="H7509" s="24">
        <v>96.0</v>
      </c>
      <c r="I7509" s="24">
        <v>242.0</v>
      </c>
      <c r="J7509" s="24">
        <v>0.0</v>
      </c>
      <c r="K7509" s="23" t="s">
        <v>34</v>
      </c>
      <c r="L7509" s="25">
        <v>40992.604675925926</v>
      </c>
      <c r="M7509" s="26" t="s">
        <v>92</v>
      </c>
      <c r="N7509" s="26" t="s">
        <v>16667</v>
      </c>
      <c r="O7509" s="22" t="str">
        <f>HYPERLINK("https://pbs.twimg.com/profile_images/3457199473/d7af48e77f358ce6d9bfd574c1245b27_normal.jpeg","View")</f>
        <v>View</v>
      </c>
      <c r="P7509" s="27"/>
    </row>
    <row r="7510">
      <c r="A7510" s="14">
        <v>43031.59893518519</v>
      </c>
      <c r="B7510" s="20" t="str">
        <f>HYPERLINK("https://twitter.com/Elizabe21641277","@Elizabe21641277")</f>
        <v>@Elizabe21641277</v>
      </c>
      <c r="C7510" s="21" t="s">
        <v>16668</v>
      </c>
      <c r="D7510" s="21" t="s">
        <v>16537</v>
      </c>
      <c r="E7510" s="22" t="str">
        <f>HYPERLINK("https://twitter.com/Elizabe21641277/status/922573964903317510","922573964903317510")</f>
        <v>922573964903317510</v>
      </c>
      <c r="F7510" s="23" t="s">
        <v>33</v>
      </c>
      <c r="G7510" s="24">
        <v>1648.0</v>
      </c>
      <c r="H7510" s="24">
        <v>1091.0</v>
      </c>
      <c r="I7510" s="24">
        <v>242.0</v>
      </c>
      <c r="J7510" s="24">
        <v>0.0</v>
      </c>
      <c r="K7510" s="23" t="s">
        <v>34</v>
      </c>
      <c r="L7510" s="25">
        <v>42582.51175925926</v>
      </c>
      <c r="M7510" s="26" t="s">
        <v>6241</v>
      </c>
      <c r="N7510" s="26" t="s">
        <v>16669</v>
      </c>
      <c r="O7510" s="22" t="str">
        <f>HYPERLINK("https://pbs.twimg.com/profile_images/922323948297220096/tnSsY3M6_normal.jpg","View")</f>
        <v>View</v>
      </c>
      <c r="P7510" s="27"/>
    </row>
    <row r="7511">
      <c r="A7511" s="14">
        <v>43031.59896990741</v>
      </c>
      <c r="B7511" s="20" t="str">
        <f>HYPERLINK("https://twitter.com/1gor1ok","@1gor1ok")</f>
        <v>@1gor1ok</v>
      </c>
      <c r="C7511" s="21" t="s">
        <v>16670</v>
      </c>
      <c r="D7511" s="21" t="s">
        <v>16537</v>
      </c>
      <c r="E7511" s="22" t="str">
        <f>HYPERLINK("https://twitter.com/1gor1ok/status/922573976710328320","922573976710328320")</f>
        <v>922573976710328320</v>
      </c>
      <c r="F7511" s="23" t="s">
        <v>55</v>
      </c>
      <c r="G7511" s="24">
        <v>2234.0</v>
      </c>
      <c r="H7511" s="24">
        <v>1922.0</v>
      </c>
      <c r="I7511" s="24">
        <v>242.0</v>
      </c>
      <c r="J7511" s="24">
        <v>0.0</v>
      </c>
      <c r="K7511" s="23" t="s">
        <v>34</v>
      </c>
      <c r="L7511" s="25">
        <v>40595.44832175926</v>
      </c>
      <c r="M7511" s="26" t="s">
        <v>16671</v>
      </c>
      <c r="N7511" s="28"/>
      <c r="O7511" s="22" t="str">
        <f>HYPERLINK("https://pbs.twimg.com/profile_images/447861382579363840/e3kgIaPb_normal.jpeg","View")</f>
        <v>View</v>
      </c>
      <c r="P7511" s="27"/>
    </row>
    <row r="7512">
      <c r="A7512" s="14">
        <v>43031.5991087963</v>
      </c>
      <c r="B7512" s="20" t="str">
        <f>HYPERLINK("https://twitter.com/DevarshiJoshi8","@DevarshiJoshi8")</f>
        <v>@DevarshiJoshi8</v>
      </c>
      <c r="C7512" s="21" t="s">
        <v>16672</v>
      </c>
      <c r="D7512" s="21" t="s">
        <v>42</v>
      </c>
      <c r="E7512" s="22" t="str">
        <f>HYPERLINK("https://twitter.com/DevarshiJoshi8/status/922574028442804224","922574028442804224")</f>
        <v>922574028442804224</v>
      </c>
      <c r="F7512" s="23" t="s">
        <v>33</v>
      </c>
      <c r="G7512" s="24">
        <v>9.0</v>
      </c>
      <c r="H7512" s="24">
        <v>96.0</v>
      </c>
      <c r="I7512" s="24">
        <v>8501.0</v>
      </c>
      <c r="J7512" s="24">
        <v>0.0</v>
      </c>
      <c r="K7512" s="23" t="s">
        <v>34</v>
      </c>
      <c r="L7512" s="25">
        <v>43025.0490162037</v>
      </c>
      <c r="M7512" s="28"/>
      <c r="N7512" s="28"/>
      <c r="O7512" s="22" t="str">
        <f>HYPERLINK("https://abs.twimg.com/sticky/default_profile_images/default_profile_normal.png","View")</f>
        <v>View</v>
      </c>
      <c r="P7512" s="27"/>
    </row>
    <row r="7513">
      <c r="A7513" s="14">
        <v>43031.59921296296</v>
      </c>
      <c r="B7513" s="20" t="str">
        <f>HYPERLINK("https://twitter.com/Nazdi_mo2","@Nazdi_mo2")</f>
        <v>@Nazdi_mo2</v>
      </c>
      <c r="C7513" s="21" t="s">
        <v>16673</v>
      </c>
      <c r="D7513" s="21" t="s">
        <v>16537</v>
      </c>
      <c r="E7513" s="22" t="str">
        <f>HYPERLINK("https://twitter.com/Nazdi_mo2/status/922574065377755136","922574065377755136")</f>
        <v>922574065377755136</v>
      </c>
      <c r="F7513" s="23" t="s">
        <v>33</v>
      </c>
      <c r="G7513" s="24">
        <v>12.0</v>
      </c>
      <c r="H7513" s="24">
        <v>125.0</v>
      </c>
      <c r="I7513" s="24">
        <v>242.0</v>
      </c>
      <c r="J7513" s="24">
        <v>0.0</v>
      </c>
      <c r="K7513" s="23" t="s">
        <v>34</v>
      </c>
      <c r="L7513" s="25">
        <v>42913.988483796296</v>
      </c>
      <c r="M7513" s="26" t="s">
        <v>7210</v>
      </c>
      <c r="N7513" s="26" t="s">
        <v>16674</v>
      </c>
      <c r="O7513" s="22" t="str">
        <f>HYPERLINK("https://pbs.twimg.com/profile_images/880364997536133120/Hnprg3Ez_normal.jpg","View")</f>
        <v>View</v>
      </c>
      <c r="P7513" s="27"/>
    </row>
    <row r="7514">
      <c r="A7514" s="14">
        <v>43031.599398148144</v>
      </c>
      <c r="B7514" s="20" t="str">
        <f>HYPERLINK("https://twitter.com/amarupes","@amarupes")</f>
        <v>@amarupes</v>
      </c>
      <c r="C7514" s="21" t="s">
        <v>16675</v>
      </c>
      <c r="D7514" s="21" t="s">
        <v>42</v>
      </c>
      <c r="E7514" s="22" t="str">
        <f>HYPERLINK("https://twitter.com/amarupes/status/922574134168649728","922574134168649728")</f>
        <v>922574134168649728</v>
      </c>
      <c r="F7514" s="23" t="s">
        <v>39</v>
      </c>
      <c r="G7514" s="24">
        <v>78.0</v>
      </c>
      <c r="H7514" s="24">
        <v>305.0</v>
      </c>
      <c r="I7514" s="24">
        <v>8501.0</v>
      </c>
      <c r="J7514" s="24">
        <v>0.0</v>
      </c>
      <c r="K7514" s="23" t="s">
        <v>34</v>
      </c>
      <c r="L7514" s="25">
        <v>41010.44584490741</v>
      </c>
      <c r="M7514" s="28"/>
      <c r="N7514" s="28"/>
      <c r="O7514" s="22" t="str">
        <f t="shared" ref="O7514:O7515" si="128">HYPERLINK("https://abs.twimg.com/sticky/default_profile_images/default_profile_normal.png","View")</f>
        <v>View</v>
      </c>
      <c r="P7514" s="27"/>
    </row>
    <row r="7515">
      <c r="A7515" s="14">
        <v>43031.59943287037</v>
      </c>
      <c r="B7515" s="20" t="str">
        <f>HYPERLINK("https://twitter.com/JohnBeechy","@JohnBeechy")</f>
        <v>@JohnBeechy</v>
      </c>
      <c r="C7515" s="21" t="s">
        <v>16676</v>
      </c>
      <c r="D7515" s="21" t="s">
        <v>16677</v>
      </c>
      <c r="E7515" s="22" t="str">
        <f>HYPERLINK("https://twitter.com/JohnBeechy/status/922574144704778240","922574144704778240")</f>
        <v>922574144704778240</v>
      </c>
      <c r="F7515" s="23" t="s">
        <v>55</v>
      </c>
      <c r="G7515" s="24">
        <v>321.0</v>
      </c>
      <c r="H7515" s="24">
        <v>139.0</v>
      </c>
      <c r="I7515" s="24">
        <v>0.0</v>
      </c>
      <c r="J7515" s="24">
        <v>0.0</v>
      </c>
      <c r="K7515" s="23" t="s">
        <v>34</v>
      </c>
      <c r="L7515" s="25">
        <v>40869.345289351855</v>
      </c>
      <c r="M7515" s="26" t="s">
        <v>16678</v>
      </c>
      <c r="N7515" s="28"/>
      <c r="O7515" s="22" t="str">
        <f t="shared" si="128"/>
        <v>View</v>
      </c>
      <c r="P7515" s="27"/>
    </row>
    <row r="7516">
      <c r="A7516" s="14">
        <v>43031.59946759259</v>
      </c>
      <c r="B7516" s="20" t="str">
        <f>HYPERLINK("https://twitter.com/APappas17","@APappas17")</f>
        <v>@APappas17</v>
      </c>
      <c r="C7516" s="21" t="s">
        <v>16679</v>
      </c>
      <c r="D7516" s="21" t="s">
        <v>16537</v>
      </c>
      <c r="E7516" s="22" t="str">
        <f>HYPERLINK("https://twitter.com/APappas17/status/922574156641853443","922574156641853443")</f>
        <v>922574156641853443</v>
      </c>
      <c r="F7516" s="23" t="s">
        <v>33</v>
      </c>
      <c r="G7516" s="24">
        <v>270.0</v>
      </c>
      <c r="H7516" s="24">
        <v>718.0</v>
      </c>
      <c r="I7516" s="24">
        <v>242.0</v>
      </c>
      <c r="J7516" s="24">
        <v>0.0</v>
      </c>
      <c r="K7516" s="23" t="s">
        <v>34</v>
      </c>
      <c r="L7516" s="25">
        <v>42867.62215277778</v>
      </c>
      <c r="M7516" s="26" t="s">
        <v>7142</v>
      </c>
      <c r="N7516" s="26" t="s">
        <v>16680</v>
      </c>
      <c r="O7516" s="22" t="str">
        <f>HYPERLINK("https://pbs.twimg.com/profile_images/877327127728709633/Bw56fGh8_normal.jpg","View")</f>
        <v>View</v>
      </c>
      <c r="P7516" s="27"/>
    </row>
    <row r="7517">
      <c r="A7517" s="14">
        <v>43031.59956018519</v>
      </c>
      <c r="B7517" s="20" t="str">
        <f>HYPERLINK("https://twitter.com/atile2006","@atile2006")</f>
        <v>@atile2006</v>
      </c>
      <c r="C7517" s="21" t="s">
        <v>14772</v>
      </c>
      <c r="D7517" s="21" t="s">
        <v>16537</v>
      </c>
      <c r="E7517" s="22" t="str">
        <f>HYPERLINK("https://twitter.com/atile2006/status/922574190921752576","922574190921752576")</f>
        <v>922574190921752576</v>
      </c>
      <c r="F7517" s="23" t="s">
        <v>39</v>
      </c>
      <c r="G7517" s="24">
        <v>53.0</v>
      </c>
      <c r="H7517" s="24">
        <v>136.0</v>
      </c>
      <c r="I7517" s="24">
        <v>242.0</v>
      </c>
      <c r="J7517" s="24">
        <v>0.0</v>
      </c>
      <c r="K7517" s="23" t="s">
        <v>34</v>
      </c>
      <c r="L7517" s="25">
        <v>40583.747407407405</v>
      </c>
      <c r="M7517" s="26" t="s">
        <v>4052</v>
      </c>
      <c r="N7517" s="26" t="s">
        <v>16681</v>
      </c>
      <c r="O7517" s="22" t="str">
        <f>HYPERLINK("https://pbs.twimg.com/profile_images/378800000500567887/c7ae053a4e47b28b60afe3f52502b1dc_normal.jpeg","View")</f>
        <v>View</v>
      </c>
      <c r="P7517" s="27"/>
    </row>
    <row r="7518">
      <c r="A7518" s="14">
        <v>43031.59966435185</v>
      </c>
      <c r="B7518" s="20" t="str">
        <f>HYPERLINK("https://twitter.com/Follow_Finance","@Follow_Finance")</f>
        <v>@Follow_Finance</v>
      </c>
      <c r="C7518" s="21" t="s">
        <v>16682</v>
      </c>
      <c r="D7518" s="21" t="s">
        <v>16683</v>
      </c>
      <c r="E7518" s="22" t="str">
        <f>HYPERLINK("https://twitter.com/Follow_Finance/status/922574227781373952","922574227781373952")</f>
        <v>922574227781373952</v>
      </c>
      <c r="F7518" s="23" t="s">
        <v>16682</v>
      </c>
      <c r="G7518" s="24">
        <v>2403.0</v>
      </c>
      <c r="H7518" s="24">
        <v>1918.0</v>
      </c>
      <c r="I7518" s="24">
        <v>0.0</v>
      </c>
      <c r="J7518" s="24">
        <v>0.0</v>
      </c>
      <c r="K7518" s="23" t="s">
        <v>34</v>
      </c>
      <c r="L7518" s="25">
        <v>41033.22769675926</v>
      </c>
      <c r="M7518" s="26" t="s">
        <v>1840</v>
      </c>
      <c r="N7518" s="26" t="s">
        <v>16684</v>
      </c>
      <c r="O7518" s="22" t="str">
        <f>HYPERLINK("https://pbs.twimg.com/profile_images/2214795357/money_50_normal.png","View")</f>
        <v>View</v>
      </c>
      <c r="P7518" s="27"/>
    </row>
    <row r="7519">
      <c r="A7519" s="14">
        <v>43031.59983796296</v>
      </c>
      <c r="B7519" s="20" t="str">
        <f>HYPERLINK("https://twitter.com/NateTaylor1027","@NateTaylor1027")</f>
        <v>@NateTaylor1027</v>
      </c>
      <c r="C7519" s="21" t="s">
        <v>16685</v>
      </c>
      <c r="D7519" s="21" t="s">
        <v>16537</v>
      </c>
      <c r="E7519" s="22" t="str">
        <f>HYPERLINK("https://twitter.com/NateTaylor1027/status/922574293078347782","922574293078347782")</f>
        <v>922574293078347782</v>
      </c>
      <c r="F7519" s="23" t="s">
        <v>33</v>
      </c>
      <c r="G7519" s="24">
        <v>169.0</v>
      </c>
      <c r="H7519" s="24">
        <v>75.0</v>
      </c>
      <c r="I7519" s="24">
        <v>242.0</v>
      </c>
      <c r="J7519" s="24">
        <v>0.0</v>
      </c>
      <c r="K7519" s="23" t="s">
        <v>34</v>
      </c>
      <c r="L7519" s="25">
        <v>42413.80755787037</v>
      </c>
      <c r="M7519" s="28"/>
      <c r="N7519" s="26" t="s">
        <v>16686</v>
      </c>
      <c r="O7519" s="22" t="str">
        <f>HYPERLINK("https://pbs.twimg.com/profile_images/748672062621949952/jbC2tCI6_normal.jpg","View")</f>
        <v>View</v>
      </c>
      <c r="P7519" s="27"/>
    </row>
    <row r="7520">
      <c r="A7520" s="14">
        <v>43031.5999537037</v>
      </c>
      <c r="B7520" s="20" t="str">
        <f>HYPERLINK("https://twitter.com/bllshbrsh","@bllshbrsh")</f>
        <v>@bllshbrsh</v>
      </c>
      <c r="C7520" s="21" t="s">
        <v>138</v>
      </c>
      <c r="D7520" s="21" t="s">
        <v>16687</v>
      </c>
      <c r="E7520" s="22" t="str">
        <f>HYPERLINK("https://twitter.com/bllshbrsh/status/922574334031466496","922574334031466496")</f>
        <v>922574334031466496</v>
      </c>
      <c r="F7520" s="23" t="s">
        <v>140</v>
      </c>
      <c r="G7520" s="24">
        <v>6148.0</v>
      </c>
      <c r="H7520" s="24">
        <v>6416.0</v>
      </c>
      <c r="I7520" s="24">
        <v>0.0</v>
      </c>
      <c r="J7520" s="24">
        <v>0.0</v>
      </c>
      <c r="K7520" s="23" t="s">
        <v>34</v>
      </c>
      <c r="L7520" s="25">
        <v>42682.29137731482</v>
      </c>
      <c r="M7520" s="28"/>
      <c r="N7520" s="28"/>
      <c r="O7520" s="22" t="str">
        <f>HYPERLINK("https://pbs.twimg.com/profile_images/825303907752673284/OSI50AgE_normal.jpg","View")</f>
        <v>View</v>
      </c>
      <c r="P7520" s="27"/>
    </row>
    <row r="7521">
      <c r="A7521" s="14">
        <v>43031.60008101852</v>
      </c>
      <c r="B7521" s="20" t="str">
        <f>HYPERLINK("https://twitter.com/JAXbogleheads","@JAXbogleheads")</f>
        <v>@JAXbogleheads</v>
      </c>
      <c r="C7521" s="21" t="s">
        <v>16688</v>
      </c>
      <c r="D7521" s="21" t="s">
        <v>16689</v>
      </c>
      <c r="E7521" s="22" t="str">
        <f>HYPERLINK("https://twitter.com/JAXbogleheads/status/922574379283656704","922574379283656704")</f>
        <v>922574379283656704</v>
      </c>
      <c r="F7521" s="30" t="s">
        <v>411</v>
      </c>
      <c r="G7521" s="24">
        <v>63.0</v>
      </c>
      <c r="H7521" s="24">
        <v>31.0</v>
      </c>
      <c r="I7521" s="24">
        <v>0.0</v>
      </c>
      <c r="J7521" s="24">
        <v>0.0</v>
      </c>
      <c r="K7521" s="23" t="s">
        <v>34</v>
      </c>
      <c r="L7521" s="25">
        <v>42603.32425925926</v>
      </c>
      <c r="M7521" s="28"/>
      <c r="N7521" s="26" t="s">
        <v>16690</v>
      </c>
      <c r="O7521" s="22" t="str">
        <f>HYPERLINK("https://pbs.twimg.com/profile_images/767376529495953408/N8GiNHOK_normal.jpg","View")</f>
        <v>View</v>
      </c>
      <c r="P7521" s="27"/>
    </row>
    <row r="7522">
      <c r="A7522" s="14">
        <v>43031.60018518519</v>
      </c>
      <c r="B7522" s="20" t="str">
        <f>HYPERLINK("https://twitter.com/annigma1","@annigma1")</f>
        <v>@annigma1</v>
      </c>
      <c r="C7522" s="21" t="s">
        <v>16691</v>
      </c>
      <c r="D7522" s="21" t="s">
        <v>16537</v>
      </c>
      <c r="E7522" s="22" t="str">
        <f>HYPERLINK("https://twitter.com/annigma1/status/922574416860479488","922574416860479488")</f>
        <v>922574416860479488</v>
      </c>
      <c r="F7522" s="23" t="s">
        <v>39</v>
      </c>
      <c r="G7522" s="24">
        <v>45.0</v>
      </c>
      <c r="H7522" s="24">
        <v>133.0</v>
      </c>
      <c r="I7522" s="24">
        <v>242.0</v>
      </c>
      <c r="J7522" s="24">
        <v>0.0</v>
      </c>
      <c r="K7522" s="23" t="s">
        <v>34</v>
      </c>
      <c r="L7522" s="25">
        <v>41676.76101851852</v>
      </c>
      <c r="M7522" s="26" t="s">
        <v>16692</v>
      </c>
      <c r="N7522" s="26" t="s">
        <v>16693</v>
      </c>
      <c r="O7522" s="22" t="str">
        <f>HYPERLINK("https://pbs.twimg.com/profile_images/865755965584363520/Y4gymagL_normal.jpg","View")</f>
        <v>View</v>
      </c>
      <c r="P7522" s="27"/>
    </row>
    <row r="7523">
      <c r="A7523" s="14">
        <v>43031.60020833333</v>
      </c>
      <c r="B7523" s="20" t="str">
        <f>HYPERLINK("https://twitter.com/Raghidahaddad1","@Raghidahaddad1")</f>
        <v>@Raghidahaddad1</v>
      </c>
      <c r="C7523" s="21" t="s">
        <v>16694</v>
      </c>
      <c r="D7523" s="21" t="s">
        <v>16537</v>
      </c>
      <c r="E7523" s="22" t="str">
        <f>HYPERLINK("https://twitter.com/Raghidahaddad1/status/922574427627368449","922574427627368449")</f>
        <v>922574427627368449</v>
      </c>
      <c r="F7523" s="23" t="s">
        <v>39</v>
      </c>
      <c r="G7523" s="24">
        <v>145.0</v>
      </c>
      <c r="H7523" s="24">
        <v>592.0</v>
      </c>
      <c r="I7523" s="24">
        <v>242.0</v>
      </c>
      <c r="J7523" s="24">
        <v>0.0</v>
      </c>
      <c r="K7523" s="23" t="s">
        <v>34</v>
      </c>
      <c r="L7523" s="25">
        <v>42409.48003472222</v>
      </c>
      <c r="M7523" s="26" t="s">
        <v>16695</v>
      </c>
      <c r="N7523" s="26" t="s">
        <v>16696</v>
      </c>
      <c r="O7523" s="22" t="str">
        <f>HYPERLINK("https://pbs.twimg.com/profile_images/796743062819106816/zbvCSJF8_normal.jpg","View")</f>
        <v>View</v>
      </c>
      <c r="P7523" s="27"/>
    </row>
    <row r="7524">
      <c r="A7524" s="14">
        <v>43031.60023148148</v>
      </c>
      <c r="B7524" s="20" t="str">
        <f>HYPERLINK("https://twitter.com/MSudsie","@MSudsie")</f>
        <v>@MSudsie</v>
      </c>
      <c r="C7524" s="21" t="s">
        <v>16697</v>
      </c>
      <c r="D7524" s="21" t="s">
        <v>16537</v>
      </c>
      <c r="E7524" s="22" t="str">
        <f>HYPERLINK("https://twitter.com/MSudsie/status/922574435768512512","922574435768512512")</f>
        <v>922574435768512512</v>
      </c>
      <c r="F7524" s="23" t="s">
        <v>39</v>
      </c>
      <c r="G7524" s="24">
        <v>405.0</v>
      </c>
      <c r="H7524" s="24">
        <v>670.0</v>
      </c>
      <c r="I7524" s="24">
        <v>242.0</v>
      </c>
      <c r="J7524" s="24">
        <v>0.0</v>
      </c>
      <c r="K7524" s="23" t="s">
        <v>34</v>
      </c>
      <c r="L7524" s="25">
        <v>42975.739641203705</v>
      </c>
      <c r="M7524" s="28"/>
      <c r="N7524" s="26" t="s">
        <v>16698</v>
      </c>
      <c r="O7524" s="22" t="str">
        <f>HYPERLINK("https://pbs.twimg.com/profile_images/902334730980483073/pxxbLCmT_normal.jpg","View")</f>
        <v>View</v>
      </c>
      <c r="P7524" s="27"/>
    </row>
    <row r="7525">
      <c r="A7525" s="14">
        <v>43031.60035879629</v>
      </c>
      <c r="B7525" s="20" t="str">
        <f>HYPERLINK("https://twitter.com/baoyuan","@baoyuan")</f>
        <v>@baoyuan</v>
      </c>
      <c r="C7525" s="21" t="s">
        <v>16699</v>
      </c>
      <c r="D7525" s="21" t="s">
        <v>16700</v>
      </c>
      <c r="E7525" s="22" t="str">
        <f>HYPERLINK("https://twitter.com/baoyuan/status/922574482132340740","922574482132340740")</f>
        <v>922574482132340740</v>
      </c>
      <c r="F7525" s="23" t="s">
        <v>55</v>
      </c>
      <c r="G7525" s="24">
        <v>920.0</v>
      </c>
      <c r="H7525" s="24">
        <v>100.0</v>
      </c>
      <c r="I7525" s="24">
        <v>2.0</v>
      </c>
      <c r="J7525" s="24">
        <v>0.0</v>
      </c>
      <c r="K7525" s="23" t="s">
        <v>34</v>
      </c>
      <c r="L7525" s="25">
        <v>39786.997094907405</v>
      </c>
      <c r="M7525" s="26" t="s">
        <v>389</v>
      </c>
      <c r="N7525" s="26" t="s">
        <v>16701</v>
      </c>
      <c r="O7525" s="22" t="str">
        <f>HYPERLINK("https://pbs.twimg.com/profile_images/1359602744/tuerye1_normal.jpg","View")</f>
        <v>View</v>
      </c>
      <c r="P7525" s="27"/>
    </row>
    <row r="7526">
      <c r="A7526" s="14">
        <v>43031.60050925926</v>
      </c>
      <c r="B7526" s="20" t="str">
        <f>HYPERLINK("https://twitter.com/sharonmatt20194","@sharonmatt20194")</f>
        <v>@sharonmatt20194</v>
      </c>
      <c r="C7526" s="21" t="s">
        <v>16702</v>
      </c>
      <c r="D7526" s="21" t="s">
        <v>16537</v>
      </c>
      <c r="E7526" s="22" t="str">
        <f>HYPERLINK("https://twitter.com/sharonmatt20194/status/922574537480425474","922574537480425474")</f>
        <v>922574537480425474</v>
      </c>
      <c r="F7526" s="23" t="s">
        <v>39</v>
      </c>
      <c r="G7526" s="24">
        <v>70.0</v>
      </c>
      <c r="H7526" s="24">
        <v>192.0</v>
      </c>
      <c r="I7526" s="24">
        <v>242.0</v>
      </c>
      <c r="J7526" s="24">
        <v>0.0</v>
      </c>
      <c r="K7526" s="23" t="s">
        <v>34</v>
      </c>
      <c r="L7526" s="25">
        <v>42746.51017361111</v>
      </c>
      <c r="M7526" s="26" t="s">
        <v>16703</v>
      </c>
      <c r="N7526" s="28"/>
      <c r="O7526" s="22" t="str">
        <f>HYPERLINK("https://pbs.twimg.com/profile_images/890940756785074177/ZD_UySJr_normal.jpg","View")</f>
        <v>View</v>
      </c>
      <c r="P7526" s="27"/>
    </row>
    <row r="7527">
      <c r="A7527" s="14">
        <v>43031.60060185185</v>
      </c>
      <c r="B7527" s="20" t="str">
        <f>HYPERLINK("https://twitter.com/NSkartveit","@NSkartveit")</f>
        <v>@NSkartveit</v>
      </c>
      <c r="C7527" s="21" t="s">
        <v>16704</v>
      </c>
      <c r="D7527" s="21" t="s">
        <v>16537</v>
      </c>
      <c r="E7527" s="22" t="str">
        <f>HYPERLINK("https://twitter.com/NSkartveit/status/922574567859560448","922574567859560448")</f>
        <v>922574567859560448</v>
      </c>
      <c r="F7527" s="23" t="s">
        <v>39</v>
      </c>
      <c r="G7527" s="24">
        <v>285.0</v>
      </c>
      <c r="H7527" s="24">
        <v>232.0</v>
      </c>
      <c r="I7527" s="24">
        <v>242.0</v>
      </c>
      <c r="J7527" s="24">
        <v>0.0</v>
      </c>
      <c r="K7527" s="23" t="s">
        <v>34</v>
      </c>
      <c r="L7527" s="25">
        <v>42029.66064814814</v>
      </c>
      <c r="M7527" s="26" t="s">
        <v>16705</v>
      </c>
      <c r="N7527" s="28"/>
      <c r="O7527" s="22" t="str">
        <f>HYPERLINK("https://pbs.twimg.com/profile_images/740662291545231360/20HS4RFW_normal.jpg","View")</f>
        <v>View</v>
      </c>
      <c r="P7527" s="27"/>
    </row>
    <row r="7528">
      <c r="A7528" s="14">
        <v>43031.600648148145</v>
      </c>
      <c r="B7528" s="20" t="str">
        <f>HYPERLINK("https://twitter.com/tinystockbot","@tinystockbot")</f>
        <v>@tinystockbot</v>
      </c>
      <c r="C7528" s="21" t="s">
        <v>16706</v>
      </c>
      <c r="D7528" s="21" t="s">
        <v>16707</v>
      </c>
      <c r="E7528" s="22" t="str">
        <f>HYPERLINK("https://twitter.com/tinystockbot/status/922574584272031745","922574584272031745")</f>
        <v>922574584272031745</v>
      </c>
      <c r="F7528" s="23" t="s">
        <v>91</v>
      </c>
      <c r="G7528" s="24">
        <v>109.0</v>
      </c>
      <c r="H7528" s="24">
        <v>21.0</v>
      </c>
      <c r="I7528" s="24">
        <v>0.0</v>
      </c>
      <c r="J7528" s="24">
        <v>0.0</v>
      </c>
      <c r="K7528" s="23" t="s">
        <v>34</v>
      </c>
      <c r="L7528" s="25">
        <v>41092.557280092595</v>
      </c>
      <c r="M7528" s="26" t="s">
        <v>2170</v>
      </c>
      <c r="N7528" s="26" t="s">
        <v>16708</v>
      </c>
      <c r="O7528" s="22" t="str">
        <f>HYPERLINK("https://pbs.twimg.com/profile_images/2361684423/robot_normal.png","View")</f>
        <v>View</v>
      </c>
      <c r="P7528" s="27"/>
    </row>
    <row r="7529">
      <c r="A7529" s="14">
        <v>43031.60077546297</v>
      </c>
      <c r="B7529" s="20" t="str">
        <f>HYPERLINK("https://twitter.com/mamma_val_1","@mamma_val_1")</f>
        <v>@mamma_val_1</v>
      </c>
      <c r="C7529" s="21" t="s">
        <v>16709</v>
      </c>
      <c r="D7529" s="21" t="s">
        <v>16537</v>
      </c>
      <c r="E7529" s="22" t="str">
        <f>HYPERLINK("https://twitter.com/mamma_val_1/status/922574632263274496","922574632263274496")</f>
        <v>922574632263274496</v>
      </c>
      <c r="F7529" s="23" t="s">
        <v>39</v>
      </c>
      <c r="G7529" s="24">
        <v>1038.0</v>
      </c>
      <c r="H7529" s="24">
        <v>4209.0</v>
      </c>
      <c r="I7529" s="24">
        <v>242.0</v>
      </c>
      <c r="J7529" s="24">
        <v>0.0</v>
      </c>
      <c r="K7529" s="23" t="s">
        <v>34</v>
      </c>
      <c r="L7529" s="25">
        <v>41844.248449074075</v>
      </c>
      <c r="M7529" s="28"/>
      <c r="N7529" s="28"/>
      <c r="O7529" s="22" t="str">
        <f>HYPERLINK("https://pbs.twimg.com/profile_images/492294757163339777/bOa0S0qm_normal.jpeg","View")</f>
        <v>View</v>
      </c>
      <c r="P7529" s="27"/>
    </row>
    <row r="7530">
      <c r="A7530" s="14">
        <v>43031.600810185184</v>
      </c>
      <c r="B7530" s="20" t="str">
        <f>HYPERLINK("https://twitter.com/ChrisWaltonMKE","@ChrisWaltonMKE")</f>
        <v>@ChrisWaltonMKE</v>
      </c>
      <c r="C7530" s="21" t="s">
        <v>16710</v>
      </c>
      <c r="D7530" s="21" t="s">
        <v>16537</v>
      </c>
      <c r="E7530" s="22" t="str">
        <f>HYPERLINK("https://twitter.com/ChrisWaltonMKE/status/922574646158987264","922574646158987264")</f>
        <v>922574646158987264</v>
      </c>
      <c r="F7530" s="23" t="s">
        <v>39</v>
      </c>
      <c r="G7530" s="24">
        <v>419.0</v>
      </c>
      <c r="H7530" s="24">
        <v>2292.0</v>
      </c>
      <c r="I7530" s="24">
        <v>242.0</v>
      </c>
      <c r="J7530" s="24">
        <v>0.0</v>
      </c>
      <c r="K7530" s="23" t="s">
        <v>34</v>
      </c>
      <c r="L7530" s="25">
        <v>42422.29773148148</v>
      </c>
      <c r="M7530" s="26" t="s">
        <v>16711</v>
      </c>
      <c r="N7530" s="26" t="s">
        <v>16712</v>
      </c>
      <c r="O7530" s="22" t="str">
        <f>HYPERLINK("https://pbs.twimg.com/profile_images/787448348047319040/wbqewy4W_normal.jpg","View")</f>
        <v>View</v>
      </c>
      <c r="P7530" s="27"/>
    </row>
    <row r="7531">
      <c r="A7531" s="14">
        <v>43031.60094907407</v>
      </c>
      <c r="B7531" s="20" t="str">
        <f>HYPERLINK("https://twitter.com/JSlate__","@JSlate__")</f>
        <v>@JSlate__</v>
      </c>
      <c r="C7531" s="21" t="s">
        <v>16713</v>
      </c>
      <c r="D7531" s="21" t="s">
        <v>16537</v>
      </c>
      <c r="E7531" s="22" t="str">
        <f>HYPERLINK("https://twitter.com/JSlate__/status/922574694779322369","922574694779322369")</f>
        <v>922574694779322369</v>
      </c>
      <c r="F7531" s="23" t="s">
        <v>39</v>
      </c>
      <c r="G7531" s="24">
        <v>543.0</v>
      </c>
      <c r="H7531" s="24">
        <v>1403.0</v>
      </c>
      <c r="I7531" s="24">
        <v>242.0</v>
      </c>
      <c r="J7531" s="24">
        <v>0.0</v>
      </c>
      <c r="K7531" s="23" t="s">
        <v>34</v>
      </c>
      <c r="L7531" s="25">
        <v>42619.699467592596</v>
      </c>
      <c r="M7531" s="26" t="s">
        <v>16714</v>
      </c>
      <c r="N7531" s="26" t="s">
        <v>16715</v>
      </c>
      <c r="O7531" s="22" t="str">
        <f>HYPERLINK("https://pbs.twimg.com/profile_images/922102177606393856/zIAuih9T_normal.jpg","View")</f>
        <v>View</v>
      </c>
      <c r="P7531" s="27"/>
    </row>
    <row r="7532">
      <c r="A7532" s="14">
        <v>43031.60103009259</v>
      </c>
      <c r="B7532" s="20" t="str">
        <f>HYPERLINK("https://twitter.com/syedmahmood","@syedmahmood")</f>
        <v>@syedmahmood</v>
      </c>
      <c r="C7532" s="21" t="s">
        <v>16716</v>
      </c>
      <c r="D7532" s="21" t="s">
        <v>16717</v>
      </c>
      <c r="E7532" s="22" t="str">
        <f>HYPERLINK("https://twitter.com/syedmahmood/status/922574722860273665","922574722860273665")</f>
        <v>922574722860273665</v>
      </c>
      <c r="F7532" s="23" t="s">
        <v>48</v>
      </c>
      <c r="G7532" s="24">
        <v>839.0</v>
      </c>
      <c r="H7532" s="24">
        <v>349.0</v>
      </c>
      <c r="I7532" s="24">
        <v>0.0</v>
      </c>
      <c r="J7532" s="24">
        <v>0.0</v>
      </c>
      <c r="K7532" s="23" t="s">
        <v>34</v>
      </c>
      <c r="L7532" s="25">
        <v>39867.44724537037</v>
      </c>
      <c r="M7532" s="26" t="s">
        <v>11949</v>
      </c>
      <c r="N7532" s="26" t="s">
        <v>16718</v>
      </c>
      <c r="O7532" s="22" t="str">
        <f>HYPERLINK("https://pbs.twimg.com/profile_images/908022166045765637/b-bPTYl7_normal.jpg","View")</f>
        <v>View</v>
      </c>
      <c r="P7532" s="27"/>
    </row>
    <row r="7533">
      <c r="A7533" s="14">
        <v>43031.60104166667</v>
      </c>
      <c r="B7533" s="20" t="str">
        <f>HYPERLINK("https://twitter.com/smartchickwclas","@smartchickwclas")</f>
        <v>@smartchickwclas</v>
      </c>
      <c r="C7533" s="21" t="s">
        <v>16719</v>
      </c>
      <c r="D7533" s="21" t="s">
        <v>16537</v>
      </c>
      <c r="E7533" s="22" t="str">
        <f>HYPERLINK("https://twitter.com/smartchickwclas/status/922574726966468609","922574726966468609")</f>
        <v>922574726966468609</v>
      </c>
      <c r="F7533" s="23" t="s">
        <v>33</v>
      </c>
      <c r="G7533" s="24">
        <v>117.0</v>
      </c>
      <c r="H7533" s="24">
        <v>346.0</v>
      </c>
      <c r="I7533" s="24">
        <v>242.0</v>
      </c>
      <c r="J7533" s="24">
        <v>0.0</v>
      </c>
      <c r="K7533" s="23" t="s">
        <v>34</v>
      </c>
      <c r="L7533" s="25">
        <v>40603.63135416667</v>
      </c>
      <c r="M7533" s="26" t="s">
        <v>567</v>
      </c>
      <c r="N7533" s="26" t="s">
        <v>16720</v>
      </c>
      <c r="O7533" s="22" t="str">
        <f>HYPERLINK("https://pbs.twimg.com/profile_images/2620402041/tgv5c9hijw46n3700smi_normal.jpeg","View")</f>
        <v>View</v>
      </c>
      <c r="P7533" s="27"/>
    </row>
    <row r="7534">
      <c r="A7534" s="14">
        <v>43031.60104166667</v>
      </c>
      <c r="B7534" s="20" t="str">
        <f>HYPERLINK("https://twitter.com/Jporke","@Jporke")</f>
        <v>@Jporke</v>
      </c>
      <c r="C7534" s="21" t="s">
        <v>16721</v>
      </c>
      <c r="D7534" s="21" t="s">
        <v>16537</v>
      </c>
      <c r="E7534" s="22" t="str">
        <f>HYPERLINK("https://twitter.com/Jporke/status/922574729218838528","922574729218838528")</f>
        <v>922574729218838528</v>
      </c>
      <c r="F7534" s="23" t="s">
        <v>33</v>
      </c>
      <c r="G7534" s="24">
        <v>819.0</v>
      </c>
      <c r="H7534" s="24">
        <v>1707.0</v>
      </c>
      <c r="I7534" s="24">
        <v>242.0</v>
      </c>
      <c r="J7534" s="24">
        <v>0.0</v>
      </c>
      <c r="K7534" s="23" t="s">
        <v>34</v>
      </c>
      <c r="L7534" s="25">
        <v>40138.23447916667</v>
      </c>
      <c r="M7534" s="28"/>
      <c r="N7534" s="28"/>
      <c r="O7534" s="22" t="str">
        <f>HYPERLINK("https://pbs.twimg.com/profile_images/682242549117878273/1Q5m2lWE_normal.png","View")</f>
        <v>View</v>
      </c>
      <c r="P7534" s="27"/>
    </row>
    <row r="7535">
      <c r="A7535" s="14">
        <v>43031.60116898148</v>
      </c>
      <c r="B7535" s="20" t="str">
        <f>HYPERLINK("https://twitter.com/trump_16_pence","@trump_16_pence")</f>
        <v>@trump_16_pence</v>
      </c>
      <c r="C7535" s="21" t="s">
        <v>16722</v>
      </c>
      <c r="D7535" s="21" t="s">
        <v>16537</v>
      </c>
      <c r="E7535" s="22" t="str">
        <f>HYPERLINK("https://twitter.com/trump_16_pence/status/922574776002138120","922574776002138120")</f>
        <v>922574776002138120</v>
      </c>
      <c r="F7535" s="23" t="s">
        <v>39</v>
      </c>
      <c r="G7535" s="24">
        <v>612.0</v>
      </c>
      <c r="H7535" s="24">
        <v>459.0</v>
      </c>
      <c r="I7535" s="24">
        <v>242.0</v>
      </c>
      <c r="J7535" s="24">
        <v>0.0</v>
      </c>
      <c r="K7535" s="23" t="s">
        <v>34</v>
      </c>
      <c r="L7535" s="25">
        <v>41446.88712962963</v>
      </c>
      <c r="M7535" s="26" t="s">
        <v>2534</v>
      </c>
      <c r="N7535" s="26" t="s">
        <v>16723</v>
      </c>
      <c r="O7535" s="22" t="str">
        <f>HYPERLINK("https://pbs.twimg.com/profile_images/701241087097184256/wLQeWUlm_normal.jpg","View")</f>
        <v>View</v>
      </c>
      <c r="P7535" s="27"/>
    </row>
    <row r="7536">
      <c r="A7536" s="14">
        <v>43031.60118055556</v>
      </c>
      <c r="B7536" s="20" t="str">
        <f>HYPERLINK("https://twitter.com/QuakerRabbi","@QuakerRabbi")</f>
        <v>@QuakerRabbi</v>
      </c>
      <c r="C7536" s="21" t="s">
        <v>16724</v>
      </c>
      <c r="D7536" s="21" t="s">
        <v>16537</v>
      </c>
      <c r="E7536" s="22" t="str">
        <f>HYPERLINK("https://twitter.com/QuakerRabbi/status/922574777750978560","922574777750978560")</f>
        <v>922574777750978560</v>
      </c>
      <c r="F7536" s="23" t="s">
        <v>33</v>
      </c>
      <c r="G7536" s="24">
        <v>1032.0</v>
      </c>
      <c r="H7536" s="24">
        <v>2637.0</v>
      </c>
      <c r="I7536" s="24">
        <v>242.0</v>
      </c>
      <c r="J7536" s="24">
        <v>0.0</v>
      </c>
      <c r="K7536" s="23" t="s">
        <v>34</v>
      </c>
      <c r="L7536" s="25">
        <v>42148.5921412037</v>
      </c>
      <c r="M7536" s="28"/>
      <c r="N7536" s="28"/>
      <c r="O7536" s="22" t="str">
        <f>HYPERLINK("https://pbs.twimg.com/profile_images/824364893914554368/ktnRVpDT_normal.jpg","View")</f>
        <v>View</v>
      </c>
      <c r="P7536" s="27"/>
    </row>
    <row r="7537">
      <c r="A7537" s="14">
        <v>43031.601747685185</v>
      </c>
      <c r="B7537" s="20" t="str">
        <f>HYPERLINK("https://twitter.com/purada0412","@purada0412")</f>
        <v>@purada0412</v>
      </c>
      <c r="C7537" s="21" t="s">
        <v>7591</v>
      </c>
      <c r="D7537" s="21" t="s">
        <v>16537</v>
      </c>
      <c r="E7537" s="22" t="str">
        <f>HYPERLINK("https://twitter.com/purada0412/status/922574983846543360","922574983846543360")</f>
        <v>922574983846543360</v>
      </c>
      <c r="F7537" s="23" t="s">
        <v>33</v>
      </c>
      <c r="G7537" s="24">
        <v>2477.0</v>
      </c>
      <c r="H7537" s="24">
        <v>2765.0</v>
      </c>
      <c r="I7537" s="24">
        <v>242.0</v>
      </c>
      <c r="J7537" s="24">
        <v>0.0</v>
      </c>
      <c r="K7537" s="23" t="s">
        <v>34</v>
      </c>
      <c r="L7537" s="25">
        <v>42247.12362268519</v>
      </c>
      <c r="M7537" s="26" t="s">
        <v>660</v>
      </c>
      <c r="N7537" s="26" t="s">
        <v>7592</v>
      </c>
      <c r="O7537" s="22" t="str">
        <f>HYPERLINK("https://pbs.twimg.com/profile_images/920628829160222722/3PiS7_lp_normal.jpg","View")</f>
        <v>View</v>
      </c>
      <c r="P7537" s="27"/>
    </row>
    <row r="7538">
      <c r="A7538" s="14">
        <v>43031.6018287037</v>
      </c>
      <c r="B7538" s="20" t="str">
        <f>HYPERLINK("https://twitter.com/UKinJapan","@UKinJapan")</f>
        <v>@UKinJapan</v>
      </c>
      <c r="C7538" s="21" t="s">
        <v>16725</v>
      </c>
      <c r="D7538" s="21" t="s">
        <v>6403</v>
      </c>
      <c r="E7538" s="22" t="str">
        <f>HYPERLINK("https://twitter.com/UKinJapan/status/922575012434919424","922575012434919424")</f>
        <v>922575012434919424</v>
      </c>
      <c r="F7538" s="23" t="s">
        <v>39</v>
      </c>
      <c r="G7538" s="24">
        <v>56699.0</v>
      </c>
      <c r="H7538" s="24">
        <v>141.0</v>
      </c>
      <c r="I7538" s="24">
        <v>97.0</v>
      </c>
      <c r="J7538" s="24">
        <v>0.0</v>
      </c>
      <c r="K7538" s="23" t="s">
        <v>34</v>
      </c>
      <c r="L7538" s="25">
        <v>40014.81197916667</v>
      </c>
      <c r="M7538" s="26" t="s">
        <v>923</v>
      </c>
      <c r="N7538" s="26" t="s">
        <v>16726</v>
      </c>
      <c r="O7538" s="22" t="str">
        <f>HYPERLINK("https://pbs.twimg.com/profile_images/881703470402650112/XZkILmj4_normal.jpg","View")</f>
        <v>View</v>
      </c>
      <c r="P7538" s="27"/>
    </row>
    <row r="7539">
      <c r="A7539" s="14">
        <v>43031.60184027778</v>
      </c>
      <c r="B7539" s="20" t="str">
        <f>HYPERLINK("https://twitter.com/MsSsHussain","@MsSsHussain")</f>
        <v>@MsSsHussain</v>
      </c>
      <c r="C7539" s="21" t="s">
        <v>16727</v>
      </c>
      <c r="D7539" s="21" t="s">
        <v>16537</v>
      </c>
      <c r="E7539" s="22" t="str">
        <f>HYPERLINK("https://twitter.com/MsSsHussain/status/922575017719635968","922575017719635968")</f>
        <v>922575017719635968</v>
      </c>
      <c r="F7539" s="23" t="s">
        <v>39</v>
      </c>
      <c r="G7539" s="24">
        <v>1595.0</v>
      </c>
      <c r="H7539" s="24">
        <v>3390.0</v>
      </c>
      <c r="I7539" s="24">
        <v>242.0</v>
      </c>
      <c r="J7539" s="24">
        <v>0.0</v>
      </c>
      <c r="K7539" s="23" t="s">
        <v>34</v>
      </c>
      <c r="L7539" s="25">
        <v>41798.582280092596</v>
      </c>
      <c r="M7539" s="26" t="s">
        <v>16728</v>
      </c>
      <c r="N7539" s="26" t="s">
        <v>16729</v>
      </c>
      <c r="O7539" s="22" t="str">
        <f>HYPERLINK("https://pbs.twimg.com/profile_images/843304644730404865/fQ5yyehX_normal.jpg","View")</f>
        <v>View</v>
      </c>
      <c r="P7539" s="27"/>
    </row>
    <row r="7540">
      <c r="A7540" s="14">
        <v>43031.60219907407</v>
      </c>
      <c r="B7540" s="20" t="str">
        <f>HYPERLINK("https://twitter.com/paulabaker691","@paulabaker691")</f>
        <v>@paulabaker691</v>
      </c>
      <c r="C7540" s="21" t="s">
        <v>16730</v>
      </c>
      <c r="D7540" s="21" t="s">
        <v>16537</v>
      </c>
      <c r="E7540" s="22" t="str">
        <f>HYPERLINK("https://twitter.com/paulabaker691/status/922575147948822528","922575147948822528")</f>
        <v>922575147948822528</v>
      </c>
      <c r="F7540" s="23" t="s">
        <v>39</v>
      </c>
      <c r="G7540" s="24">
        <v>68.0</v>
      </c>
      <c r="H7540" s="24">
        <v>440.0</v>
      </c>
      <c r="I7540" s="24">
        <v>242.0</v>
      </c>
      <c r="J7540" s="24">
        <v>0.0</v>
      </c>
      <c r="K7540" s="23" t="s">
        <v>34</v>
      </c>
      <c r="L7540" s="25">
        <v>41999.5853125</v>
      </c>
      <c r="M7540" s="28"/>
      <c r="N7540" s="26" t="s">
        <v>16731</v>
      </c>
      <c r="O7540" s="22" t="str">
        <f>HYPERLINK("https://pbs.twimg.com/profile_images/548601671773741057/ZMRLzcYS_normal.jpeg","View")</f>
        <v>View</v>
      </c>
      <c r="P7540" s="27"/>
    </row>
    <row r="7541">
      <c r="A7541" s="14">
        <v>43031.60219907407</v>
      </c>
      <c r="B7541" s="20" t="str">
        <f>HYPERLINK("https://twitter.com/VouxFinance","@VouxFinance")</f>
        <v>@VouxFinance</v>
      </c>
      <c r="C7541" s="21" t="s">
        <v>16732</v>
      </c>
      <c r="D7541" s="21" t="s">
        <v>16733</v>
      </c>
      <c r="E7541" s="22" t="str">
        <f>HYPERLINK("https://twitter.com/VouxFinance/status/922575148183707649","922575148183707649")</f>
        <v>922575148183707649</v>
      </c>
      <c r="F7541" s="23" t="s">
        <v>16732</v>
      </c>
      <c r="G7541" s="24">
        <v>1142.0</v>
      </c>
      <c r="H7541" s="24">
        <v>467.0</v>
      </c>
      <c r="I7541" s="24">
        <v>0.0</v>
      </c>
      <c r="J7541" s="24">
        <v>0.0</v>
      </c>
      <c r="K7541" s="23" t="s">
        <v>34</v>
      </c>
      <c r="L7541" s="25">
        <v>42832.41410879629</v>
      </c>
      <c r="M7541" s="26" t="s">
        <v>2534</v>
      </c>
      <c r="N7541" s="28"/>
      <c r="O7541" s="22" t="str">
        <f>HYPERLINK("https://pbs.twimg.com/profile_images/850407783979565056/rYfZrVBC_normal.jpg","View")</f>
        <v>View</v>
      </c>
      <c r="P7541" s="27"/>
    </row>
    <row r="7542">
      <c r="A7542" s="14">
        <v>43031.60225694445</v>
      </c>
      <c r="B7542" s="20" t="str">
        <f>HYPERLINK("https://twitter.com/Frankli01600810","@Frankli01600810")</f>
        <v>@Frankli01600810</v>
      </c>
      <c r="C7542" s="21" t="s">
        <v>16734</v>
      </c>
      <c r="D7542" s="21" t="s">
        <v>16537</v>
      </c>
      <c r="E7542" s="22" t="str">
        <f>HYPERLINK("https://twitter.com/Frankli01600810/status/922575169201278977","922575169201278977")</f>
        <v>922575169201278977</v>
      </c>
      <c r="F7542" s="23" t="s">
        <v>33</v>
      </c>
      <c r="G7542" s="24">
        <v>319.0</v>
      </c>
      <c r="H7542" s="24">
        <v>456.0</v>
      </c>
      <c r="I7542" s="24">
        <v>242.0</v>
      </c>
      <c r="J7542" s="24">
        <v>0.0</v>
      </c>
      <c r="K7542" s="23" t="s">
        <v>34</v>
      </c>
      <c r="L7542" s="25">
        <v>42907.340891203705</v>
      </c>
      <c r="M7542" s="26" t="s">
        <v>8181</v>
      </c>
      <c r="N7542" s="26" t="s">
        <v>16735</v>
      </c>
      <c r="O7542" s="22" t="str">
        <f>HYPERLINK("https://pbs.twimg.com/profile_images/922840309935104001/k426i-Wi_normal.jpg","View")</f>
        <v>View</v>
      </c>
      <c r="P7542" s="27"/>
    </row>
    <row r="7543">
      <c r="A7543" s="14">
        <v>43031.60230324074</v>
      </c>
      <c r="B7543" s="20" t="str">
        <f>HYPERLINK("https://twitter.com/LaurenceDaziano","@LaurenceDaziano")</f>
        <v>@LaurenceDaziano</v>
      </c>
      <c r="C7543" s="21" t="s">
        <v>16736</v>
      </c>
      <c r="D7543" s="21" t="s">
        <v>113</v>
      </c>
      <c r="E7543" s="22" t="str">
        <f>HYPERLINK("https://twitter.com/LaurenceDaziano/status/922575186565718016","922575186565718016")</f>
        <v>922575186565718016</v>
      </c>
      <c r="F7543" s="23" t="s">
        <v>39</v>
      </c>
      <c r="G7543" s="24">
        <v>687.0</v>
      </c>
      <c r="H7543" s="24">
        <v>560.0</v>
      </c>
      <c r="I7543" s="24">
        <v>17.0</v>
      </c>
      <c r="J7543" s="24">
        <v>0.0</v>
      </c>
      <c r="K7543" s="23" t="s">
        <v>34</v>
      </c>
      <c r="L7543" s="25">
        <v>41071.59123842593</v>
      </c>
      <c r="M7543" s="26" t="s">
        <v>9802</v>
      </c>
      <c r="N7543" s="26" t="s">
        <v>16737</v>
      </c>
      <c r="O7543" s="22" t="str">
        <f>HYPERLINK("https://pbs.twimg.com/profile_images/481187547515604992/RIQJ981v_normal.jpeg","View")</f>
        <v>View</v>
      </c>
      <c r="P7543" s="27"/>
    </row>
    <row r="7544">
      <c r="A7544" s="14">
        <v>43031.602997685186</v>
      </c>
      <c r="B7544" s="20" t="str">
        <f>HYPERLINK("https://twitter.com/krunox123","@krunox123")</f>
        <v>@krunox123</v>
      </c>
      <c r="C7544" s="21" t="s">
        <v>1750</v>
      </c>
      <c r="D7544" s="21" t="s">
        <v>16738</v>
      </c>
      <c r="E7544" s="22" t="str">
        <f>HYPERLINK("https://twitter.com/krunox123/status/922575435938127872","922575435938127872")</f>
        <v>922575435938127872</v>
      </c>
      <c r="F7544" s="23" t="s">
        <v>187</v>
      </c>
      <c r="G7544" s="24">
        <v>10220.0</v>
      </c>
      <c r="H7544" s="24">
        <v>2.0</v>
      </c>
      <c r="I7544" s="24">
        <v>0.0</v>
      </c>
      <c r="J7544" s="24">
        <v>0.0</v>
      </c>
      <c r="K7544" s="23" t="s">
        <v>34</v>
      </c>
      <c r="L7544" s="25">
        <v>40938.22789351852</v>
      </c>
      <c r="M7544" s="26" t="s">
        <v>1752</v>
      </c>
      <c r="N7544" s="26" t="s">
        <v>1753</v>
      </c>
      <c r="O7544" s="22" t="str">
        <f>HYPERLINK("https://pbs.twimg.com/profile_images/824952382618349568/2SFIkM2x_normal.jpg","View")</f>
        <v>View</v>
      </c>
      <c r="P7544" s="27"/>
    </row>
    <row r="7545">
      <c r="A7545" s="14">
        <v>43031.60302083333</v>
      </c>
      <c r="B7545" s="20" t="str">
        <f>HYPERLINK("https://twitter.com/JNilssonWright","@JNilssonWright")</f>
        <v>@JNilssonWright</v>
      </c>
      <c r="C7545" s="21" t="s">
        <v>16739</v>
      </c>
      <c r="D7545" s="21" t="s">
        <v>16740</v>
      </c>
      <c r="E7545" s="22" t="str">
        <f>HYPERLINK("https://twitter.com/JNilssonWright/status/922575444129533953","922575444129533953")</f>
        <v>922575444129533953</v>
      </c>
      <c r="F7545" s="23" t="s">
        <v>55</v>
      </c>
      <c r="G7545" s="24">
        <v>1306.0</v>
      </c>
      <c r="H7545" s="24">
        <v>925.0</v>
      </c>
      <c r="I7545" s="24">
        <v>0.0</v>
      </c>
      <c r="J7545" s="24">
        <v>0.0</v>
      </c>
      <c r="K7545" s="23" t="s">
        <v>34</v>
      </c>
      <c r="L7545" s="25">
        <v>39967.725740740745</v>
      </c>
      <c r="M7545" s="26" t="s">
        <v>16741</v>
      </c>
      <c r="N7545" s="26" t="s">
        <v>16742</v>
      </c>
      <c r="O7545" s="22" t="str">
        <f>HYPERLINK("https://pbs.twimg.com/profile_images/651470531213021184/YGCR7BrJ_normal.jpg","View")</f>
        <v>View</v>
      </c>
      <c r="P7545" s="27"/>
    </row>
    <row r="7546">
      <c r="A7546" s="14">
        <v>43031.6030787037</v>
      </c>
      <c r="B7546" s="20" t="str">
        <f>HYPERLINK("https://twitter.com/mariaba3198","@mariaba3198")</f>
        <v>@mariaba3198</v>
      </c>
      <c r="C7546" s="21" t="s">
        <v>16743</v>
      </c>
      <c r="D7546" s="21" t="s">
        <v>16537</v>
      </c>
      <c r="E7546" s="22" t="str">
        <f>HYPERLINK("https://twitter.com/mariaba3198/status/922575467663720448","922575467663720448")</f>
        <v>922575467663720448</v>
      </c>
      <c r="F7546" s="23" t="s">
        <v>230</v>
      </c>
      <c r="G7546" s="24">
        <v>73.0</v>
      </c>
      <c r="H7546" s="24">
        <v>230.0</v>
      </c>
      <c r="I7546" s="24">
        <v>242.0</v>
      </c>
      <c r="J7546" s="24">
        <v>0.0</v>
      </c>
      <c r="K7546" s="23" t="s">
        <v>34</v>
      </c>
      <c r="L7546" s="25">
        <v>42462.31737268518</v>
      </c>
      <c r="M7546" s="28"/>
      <c r="N7546" s="28"/>
      <c r="O7546" s="22" t="str">
        <f>HYPERLINK("https://abs.twimg.com/sticky/default_profile_images/default_profile_normal.png","View")</f>
        <v>View</v>
      </c>
      <c r="P7546" s="27"/>
    </row>
    <row r="7547">
      <c r="A7547" s="14">
        <v>43031.60314814815</v>
      </c>
      <c r="B7547" s="20" t="str">
        <f>HYPERLINK("https://twitter.com/collegue57","@collegue57")</f>
        <v>@collegue57</v>
      </c>
      <c r="C7547" s="21" t="s">
        <v>16744</v>
      </c>
      <c r="D7547" s="21" t="s">
        <v>16745</v>
      </c>
      <c r="E7547" s="22" t="str">
        <f>HYPERLINK("https://twitter.com/collegue57/status/922575491558727680","922575491558727680")</f>
        <v>922575491558727680</v>
      </c>
      <c r="F7547" s="23" t="s">
        <v>14456</v>
      </c>
      <c r="G7547" s="24">
        <v>515.0</v>
      </c>
      <c r="H7547" s="24">
        <v>1694.0</v>
      </c>
      <c r="I7547" s="24">
        <v>0.0</v>
      </c>
      <c r="J7547" s="24">
        <v>0.0</v>
      </c>
      <c r="K7547" s="23" t="s">
        <v>34</v>
      </c>
      <c r="L7547" s="25">
        <v>41286.30266203704</v>
      </c>
      <c r="M7547" s="28"/>
      <c r="N7547" s="26" t="s">
        <v>16746</v>
      </c>
      <c r="O7547" s="22" t="str">
        <f>HYPERLINK("https://pbs.twimg.com/profile_images/747470268080193536/vHZBC2WI_normal.jpg","View")</f>
        <v>View</v>
      </c>
      <c r="P7547" s="27"/>
    </row>
    <row r="7548">
      <c r="A7548" s="14">
        <v>43031.6034375</v>
      </c>
      <c r="B7548" s="20" t="str">
        <f>HYPERLINK("https://twitter.com/Bekind26times","@Bekind26times")</f>
        <v>@Bekind26times</v>
      </c>
      <c r="C7548" s="21" t="s">
        <v>16747</v>
      </c>
      <c r="D7548" s="21" t="s">
        <v>16537</v>
      </c>
      <c r="E7548" s="22" t="str">
        <f>HYPERLINK("https://twitter.com/Bekind26times/status/922575594696482817","922575594696482817")</f>
        <v>922575594696482817</v>
      </c>
      <c r="F7548" s="23" t="s">
        <v>39</v>
      </c>
      <c r="G7548" s="24">
        <v>88.0</v>
      </c>
      <c r="H7548" s="24">
        <v>139.0</v>
      </c>
      <c r="I7548" s="24">
        <v>242.0</v>
      </c>
      <c r="J7548" s="24">
        <v>0.0</v>
      </c>
      <c r="K7548" s="23" t="s">
        <v>34</v>
      </c>
      <c r="L7548" s="25">
        <v>41263.24291666667</v>
      </c>
      <c r="M7548" s="26" t="s">
        <v>16748</v>
      </c>
      <c r="N7548" s="28"/>
      <c r="O7548" s="22" t="str">
        <f>HYPERLINK("https://pbs.twimg.com/profile_images/844014826141704192/FfZ_uzAh_normal.jpg","View")</f>
        <v>View</v>
      </c>
      <c r="P7548" s="27"/>
    </row>
    <row r="7549">
      <c r="A7549" s="14">
        <v>43031.603634259256</v>
      </c>
      <c r="B7549" s="20" t="str">
        <f>HYPERLINK("https://twitter.com/looseboots5678","@looseboots5678")</f>
        <v>@looseboots5678</v>
      </c>
      <c r="C7549" s="21" t="s">
        <v>16749</v>
      </c>
      <c r="D7549" s="21" t="s">
        <v>16537</v>
      </c>
      <c r="E7549" s="22" t="str">
        <f>HYPERLINK("https://twitter.com/looseboots5678/status/922575666515718145","922575666515718145")</f>
        <v>922575666515718145</v>
      </c>
      <c r="F7549" s="23" t="s">
        <v>33</v>
      </c>
      <c r="G7549" s="24">
        <v>391.0</v>
      </c>
      <c r="H7549" s="24">
        <v>856.0</v>
      </c>
      <c r="I7549" s="24">
        <v>242.0</v>
      </c>
      <c r="J7549" s="24">
        <v>0.0</v>
      </c>
      <c r="K7549" s="23" t="s">
        <v>34</v>
      </c>
      <c r="L7549" s="25">
        <v>42255.636828703704</v>
      </c>
      <c r="M7549" s="26" t="s">
        <v>16750</v>
      </c>
      <c r="N7549" s="26" t="s">
        <v>16751</v>
      </c>
      <c r="O7549" s="22" t="str">
        <f>HYPERLINK("https://pbs.twimg.com/profile_images/801337414551793665/xJ_2EoHJ_normal.jpg","View")</f>
        <v>View</v>
      </c>
      <c r="P7549" s="27"/>
    </row>
    <row r="7550">
      <c r="A7550" s="14">
        <v>43031.60381944444</v>
      </c>
      <c r="B7550" s="20" t="str">
        <f>HYPERLINK("https://twitter.com/o__nine__ind","@o__nine__ind")</f>
        <v>@o__nine__ind</v>
      </c>
      <c r="C7550" s="21" t="s">
        <v>16752</v>
      </c>
      <c r="D7550" s="21" t="s">
        <v>15766</v>
      </c>
      <c r="E7550" s="22" t="str">
        <f>HYPERLINK("https://twitter.com/o__nine__ind/status/922575733662285826","922575733662285826")</f>
        <v>922575733662285826</v>
      </c>
      <c r="F7550" s="23" t="s">
        <v>33</v>
      </c>
      <c r="G7550" s="24">
        <v>83.0</v>
      </c>
      <c r="H7550" s="24">
        <v>4356.0</v>
      </c>
      <c r="I7550" s="24">
        <v>14.0</v>
      </c>
      <c r="J7550" s="24">
        <v>0.0</v>
      </c>
      <c r="K7550" s="23" t="s">
        <v>34</v>
      </c>
      <c r="L7550" s="25">
        <v>41724.29162037037</v>
      </c>
      <c r="M7550" s="26" t="s">
        <v>16753</v>
      </c>
      <c r="N7550" s="26" t="s">
        <v>16754</v>
      </c>
      <c r="O7550" s="22" t="str">
        <f>HYPERLINK("https://pbs.twimg.com/profile_images/750410682022109184/U5G9fCvk_normal.jpg","View")</f>
        <v>View</v>
      </c>
      <c r="P7550" s="27"/>
    </row>
    <row r="7551">
      <c r="A7551" s="14">
        <v>43031.60430555556</v>
      </c>
      <c r="B7551" s="20" t="str">
        <f>HYPERLINK("https://twitter.com/deepchan","@deepchan")</f>
        <v>@deepchan</v>
      </c>
      <c r="C7551" s="21" t="s">
        <v>16755</v>
      </c>
      <c r="D7551" s="21" t="s">
        <v>42</v>
      </c>
      <c r="E7551" s="22" t="str">
        <f>HYPERLINK("https://twitter.com/deepchan/status/922575909990948864","922575909990948864")</f>
        <v>922575909990948864</v>
      </c>
      <c r="F7551" s="23" t="s">
        <v>39</v>
      </c>
      <c r="G7551" s="24">
        <v>24.0</v>
      </c>
      <c r="H7551" s="24">
        <v>50.0</v>
      </c>
      <c r="I7551" s="24">
        <v>8501.0</v>
      </c>
      <c r="J7551" s="24">
        <v>0.0</v>
      </c>
      <c r="K7551" s="23" t="s">
        <v>34</v>
      </c>
      <c r="L7551" s="25">
        <v>40323.607094907406</v>
      </c>
      <c r="M7551" s="26" t="s">
        <v>13743</v>
      </c>
      <c r="N7551" s="26" t="s">
        <v>16756</v>
      </c>
      <c r="O7551" s="22" t="str">
        <f>HYPERLINK("https://pbs.twimg.com/profile_images/923062315754381312/coqMvr-o_normal.jpg","View")</f>
        <v>View</v>
      </c>
      <c r="P7551" s="27"/>
    </row>
    <row r="7552">
      <c r="A7552" s="14">
        <v>43031.60440972222</v>
      </c>
      <c r="B7552" s="20" t="str">
        <f>HYPERLINK("https://twitter.com/marcy_renfrow","@marcy_renfrow")</f>
        <v>@marcy_renfrow</v>
      </c>
      <c r="C7552" s="21" t="s">
        <v>16757</v>
      </c>
      <c r="D7552" s="21" t="s">
        <v>16537</v>
      </c>
      <c r="E7552" s="22" t="str">
        <f>HYPERLINK("https://twitter.com/marcy_renfrow/status/922575947185967104","922575947185967104")</f>
        <v>922575947185967104</v>
      </c>
      <c r="F7552" s="23" t="s">
        <v>39</v>
      </c>
      <c r="G7552" s="24">
        <v>7.0</v>
      </c>
      <c r="H7552" s="24">
        <v>40.0</v>
      </c>
      <c r="I7552" s="24">
        <v>242.0</v>
      </c>
      <c r="J7552" s="24">
        <v>0.0</v>
      </c>
      <c r="K7552" s="23" t="s">
        <v>34</v>
      </c>
      <c r="L7552" s="25">
        <v>42930.34914351851</v>
      </c>
      <c r="M7552" s="28"/>
      <c r="N7552" s="28"/>
      <c r="O7552" s="22" t="str">
        <f>HYPERLINK("https://abs.twimg.com/sticky/default_profile_images/default_profile_normal.png","View")</f>
        <v>View</v>
      </c>
      <c r="P7552" s="27"/>
    </row>
    <row r="7553">
      <c r="A7553" s="14">
        <v>43031.604629629626</v>
      </c>
      <c r="B7553" s="20" t="str">
        <f>HYPERLINK("https://twitter.com/Shippas1","@Shippas1")</f>
        <v>@Shippas1</v>
      </c>
      <c r="C7553" s="21" t="s">
        <v>16758</v>
      </c>
      <c r="D7553" s="21" t="s">
        <v>12974</v>
      </c>
      <c r="E7553" s="22" t="str">
        <f>HYPERLINK("https://twitter.com/Shippas1/status/922576028869984257","922576028869984257")</f>
        <v>922576028869984257</v>
      </c>
      <c r="F7553" s="23" t="s">
        <v>33</v>
      </c>
      <c r="G7553" s="24">
        <v>12.0</v>
      </c>
      <c r="H7553" s="24">
        <v>38.0</v>
      </c>
      <c r="I7553" s="24">
        <v>110.0</v>
      </c>
      <c r="J7553" s="24">
        <v>0.0</v>
      </c>
      <c r="K7553" s="23" t="s">
        <v>34</v>
      </c>
      <c r="L7553" s="25">
        <v>40164.2118287037</v>
      </c>
      <c r="M7553" s="28"/>
      <c r="N7553" s="28"/>
      <c r="O7553" s="22" t="str">
        <f>HYPERLINK("https://pbs.twimg.com/profile_images/964839753/twiter_normal.jpg","View")</f>
        <v>View</v>
      </c>
      <c r="P7553" s="27"/>
    </row>
    <row r="7554">
      <c r="A7554" s="14">
        <v>43031.6046412037</v>
      </c>
      <c r="B7554" s="20" t="str">
        <f>HYPERLINK("https://twitter.com/marekingu","@marekingu")</f>
        <v>@marekingu</v>
      </c>
      <c r="C7554" s="21" t="s">
        <v>2695</v>
      </c>
      <c r="D7554" s="21" t="s">
        <v>6403</v>
      </c>
      <c r="E7554" s="22" t="str">
        <f>HYPERLINK("https://twitter.com/marekingu/status/922576033487896576","922576033487896576")</f>
        <v>922576033487896576</v>
      </c>
      <c r="F7554" s="23" t="s">
        <v>33</v>
      </c>
      <c r="G7554" s="24">
        <v>11032.0</v>
      </c>
      <c r="H7554" s="24">
        <v>12128.0</v>
      </c>
      <c r="I7554" s="24">
        <v>97.0</v>
      </c>
      <c r="J7554" s="24">
        <v>0.0</v>
      </c>
      <c r="K7554" s="23" t="s">
        <v>34</v>
      </c>
      <c r="L7554" s="25">
        <v>40258.68314814815</v>
      </c>
      <c r="M7554" s="26" t="s">
        <v>2698</v>
      </c>
      <c r="N7554" s="26" t="s">
        <v>2699</v>
      </c>
      <c r="O7554" s="22" t="str">
        <f>HYPERLINK("https://pbs.twimg.com/profile_images/824628323/___2_normal.jpg","View")</f>
        <v>View</v>
      </c>
      <c r="P7554" s="27"/>
    </row>
    <row r="7555">
      <c r="A7555" s="14">
        <v>43031.60480324074</v>
      </c>
      <c r="B7555" s="20" t="str">
        <f>HYPERLINK("https://twitter.com/c0zjosephm","@c0zjosephm")</f>
        <v>@c0zjosephm</v>
      </c>
      <c r="C7555" s="21" t="s">
        <v>16759</v>
      </c>
      <c r="D7555" s="21" t="s">
        <v>15766</v>
      </c>
      <c r="E7555" s="22" t="str">
        <f>HYPERLINK("https://twitter.com/c0zjosephm/status/922576091512033281","922576091512033281")</f>
        <v>922576091512033281</v>
      </c>
      <c r="F7555" s="23" t="s">
        <v>33</v>
      </c>
      <c r="G7555" s="24">
        <v>73.0</v>
      </c>
      <c r="H7555" s="24">
        <v>4506.0</v>
      </c>
      <c r="I7555" s="24">
        <v>14.0</v>
      </c>
      <c r="J7555" s="24">
        <v>0.0</v>
      </c>
      <c r="K7555" s="23" t="s">
        <v>34</v>
      </c>
      <c r="L7555" s="25">
        <v>41743.60758101852</v>
      </c>
      <c r="M7555" s="26" t="s">
        <v>941</v>
      </c>
      <c r="N7555" s="28"/>
      <c r="O7555" s="22" t="str">
        <f>HYPERLINK("https://pbs.twimg.com/profile_images/749329277284392961/a_KOwMv6_normal.jpg","View")</f>
        <v>View</v>
      </c>
      <c r="P7555" s="27"/>
    </row>
    <row r="7556">
      <c r="A7556" s="14">
        <v>43031.60480324074</v>
      </c>
      <c r="B7556" s="20" t="str">
        <f>HYPERLINK("https://twitter.com/spxindex","@spxindex")</f>
        <v>@spxindex</v>
      </c>
      <c r="C7556" s="21" t="s">
        <v>16760</v>
      </c>
      <c r="D7556" s="21" t="s">
        <v>16761</v>
      </c>
      <c r="E7556" s="22" t="str">
        <f>HYPERLINK("https://twitter.com/spxindex/status/922576093407834112","922576093407834112")</f>
        <v>922576093407834112</v>
      </c>
      <c r="F7556" s="23" t="s">
        <v>55</v>
      </c>
      <c r="G7556" s="24">
        <v>10429.0</v>
      </c>
      <c r="H7556" s="24">
        <v>99.0</v>
      </c>
      <c r="I7556" s="24">
        <v>0.0</v>
      </c>
      <c r="J7556" s="24">
        <v>0.0</v>
      </c>
      <c r="K7556" s="23" t="s">
        <v>34</v>
      </c>
      <c r="L7556" s="25">
        <v>42269.64723379629</v>
      </c>
      <c r="M7556" s="26" t="s">
        <v>16762</v>
      </c>
      <c r="N7556" s="26" t="s">
        <v>16763</v>
      </c>
      <c r="O7556" s="22" t="str">
        <f>HYPERLINK("https://pbs.twimg.com/profile_images/646454353016983552/eI78NZx8_normal.jpg","View")</f>
        <v>View</v>
      </c>
      <c r="P7556" s="27"/>
    </row>
    <row r="7557">
      <c r="A7557" s="14">
        <v>43031.60505787037</v>
      </c>
      <c r="B7557" s="20" t="str">
        <f>HYPERLINK("https://twitter.com/Douglas_Hindman","@Douglas_Hindman")</f>
        <v>@Douglas_Hindman</v>
      </c>
      <c r="C7557" s="21" t="s">
        <v>16764</v>
      </c>
      <c r="D7557" s="21" t="s">
        <v>16765</v>
      </c>
      <c r="E7557" s="22" t="str">
        <f>HYPERLINK("https://twitter.com/Douglas_Hindman/status/922576182633222144","922576182633222144")</f>
        <v>922576182633222144</v>
      </c>
      <c r="F7557" s="23" t="s">
        <v>1799</v>
      </c>
      <c r="G7557" s="24">
        <v>28.0</v>
      </c>
      <c r="H7557" s="24">
        <v>41.0</v>
      </c>
      <c r="I7557" s="24">
        <v>1.0</v>
      </c>
      <c r="J7557" s="24">
        <v>0.0</v>
      </c>
      <c r="K7557" s="23" t="s">
        <v>34</v>
      </c>
      <c r="L7557" s="25">
        <v>42199.33561342592</v>
      </c>
      <c r="M7557" s="26" t="s">
        <v>16766</v>
      </c>
      <c r="N7557" s="26" t="s">
        <v>16767</v>
      </c>
      <c r="O7557" s="22" t="str">
        <f>HYPERLINK("https://pbs.twimg.com/profile_images/620972005689421824/xIIHGL0B_normal.jpg","View")</f>
        <v>View</v>
      </c>
      <c r="P7557" s="27"/>
    </row>
    <row r="7558">
      <c r="A7558" s="14">
        <v>43031.605092592596</v>
      </c>
      <c r="B7558" s="20" t="str">
        <f>HYPERLINK("https://twitter.com/JayAlle78034329","@JayAlle78034329")</f>
        <v>@JayAlle78034329</v>
      </c>
      <c r="C7558" s="21" t="s">
        <v>16768</v>
      </c>
      <c r="D7558" s="21" t="s">
        <v>16537</v>
      </c>
      <c r="E7558" s="22" t="str">
        <f>HYPERLINK("https://twitter.com/JayAlle78034329/status/922576195182583809","922576195182583809")</f>
        <v>922576195182583809</v>
      </c>
      <c r="F7558" s="23" t="s">
        <v>33</v>
      </c>
      <c r="G7558" s="24">
        <v>233.0</v>
      </c>
      <c r="H7558" s="24">
        <v>1729.0</v>
      </c>
      <c r="I7558" s="24">
        <v>242.0</v>
      </c>
      <c r="J7558" s="24">
        <v>0.0</v>
      </c>
      <c r="K7558" s="23" t="s">
        <v>34</v>
      </c>
      <c r="L7558" s="25">
        <v>43006.54378472222</v>
      </c>
      <c r="M7558" s="26" t="s">
        <v>15196</v>
      </c>
      <c r="N7558" s="28"/>
      <c r="O7558" s="22" t="str">
        <f>HYPERLINK("https://pbs.twimg.com/profile_images/915799661407084544/c3LENN_5_normal.jpg","View")</f>
        <v>View</v>
      </c>
      <c r="P7558" s="27"/>
    </row>
    <row r="7559">
      <c r="A7559" s="14">
        <v>43031.60512731482</v>
      </c>
      <c r="B7559" s="20" t="str">
        <f>HYPERLINK("https://twitter.com/mini5945","@mini5945")</f>
        <v>@mini5945</v>
      </c>
      <c r="C7559" s="21" t="s">
        <v>16769</v>
      </c>
      <c r="D7559" s="21" t="s">
        <v>6403</v>
      </c>
      <c r="E7559" s="22" t="str">
        <f>HYPERLINK("https://twitter.com/mini5945/status/922576208080113665","922576208080113665")</f>
        <v>922576208080113665</v>
      </c>
      <c r="F7559" s="23" t="s">
        <v>33</v>
      </c>
      <c r="G7559" s="24">
        <v>1461.0</v>
      </c>
      <c r="H7559" s="24">
        <v>2471.0</v>
      </c>
      <c r="I7559" s="24">
        <v>97.0</v>
      </c>
      <c r="J7559" s="24">
        <v>0.0</v>
      </c>
      <c r="K7559" s="23" t="s">
        <v>34</v>
      </c>
      <c r="L7559" s="25">
        <v>40668.03671296296</v>
      </c>
      <c r="M7559" s="28"/>
      <c r="N7559" s="26" t="s">
        <v>16770</v>
      </c>
      <c r="O7559" s="22" t="str">
        <f>HYPERLINK("https://pbs.twimg.com/profile_images/428053151019573248/qJSaaaEz_normal.jpeg","View")</f>
        <v>View</v>
      </c>
      <c r="P7559" s="27"/>
    </row>
    <row r="7560">
      <c r="A7560" s="14">
        <v>43031.60513888889</v>
      </c>
      <c r="B7560" s="20" t="str">
        <f>HYPERLINK("https://twitter.com/fisheye_view","@fisheye_view")</f>
        <v>@fisheye_view</v>
      </c>
      <c r="C7560" s="21" t="s">
        <v>16771</v>
      </c>
      <c r="D7560" s="21" t="s">
        <v>16537</v>
      </c>
      <c r="E7560" s="22" t="str">
        <f>HYPERLINK("https://twitter.com/fisheye_view/status/922576211863330817","922576211863330817")</f>
        <v>922576211863330817</v>
      </c>
      <c r="F7560" s="23" t="s">
        <v>39</v>
      </c>
      <c r="G7560" s="24">
        <v>152.0</v>
      </c>
      <c r="H7560" s="24">
        <v>182.0</v>
      </c>
      <c r="I7560" s="24">
        <v>242.0</v>
      </c>
      <c r="J7560" s="24">
        <v>0.0</v>
      </c>
      <c r="K7560" s="23" t="s">
        <v>34</v>
      </c>
      <c r="L7560" s="25">
        <v>42773.741747685184</v>
      </c>
      <c r="M7560" s="28"/>
      <c r="N7560" s="26" t="s">
        <v>16772</v>
      </c>
      <c r="O7560" s="22" t="str">
        <f>HYPERLINK("https://pbs.twimg.com/profile_images/829168249405325314/Z3oBN1Ss_normal.jpg","View")</f>
        <v>View</v>
      </c>
      <c r="P7560" s="27"/>
    </row>
    <row r="7561">
      <c r="A7561" s="14">
        <v>43031.60513888889</v>
      </c>
      <c r="B7561" s="20" t="str">
        <f>HYPERLINK("https://twitter.com/Anonymous1828","@Anonymous1828")</f>
        <v>@Anonymous1828</v>
      </c>
      <c r="C7561" s="21" t="s">
        <v>16773</v>
      </c>
      <c r="D7561" s="21" t="s">
        <v>42</v>
      </c>
      <c r="E7561" s="22" t="str">
        <f>HYPERLINK("https://twitter.com/Anonymous1828/status/922576214325202945","922576214325202945")</f>
        <v>922576214325202945</v>
      </c>
      <c r="F7561" s="23" t="s">
        <v>33</v>
      </c>
      <c r="G7561" s="24">
        <v>111.0</v>
      </c>
      <c r="H7561" s="24">
        <v>991.0</v>
      </c>
      <c r="I7561" s="24">
        <v>8501.0</v>
      </c>
      <c r="J7561" s="24">
        <v>0.0</v>
      </c>
      <c r="K7561" s="23" t="s">
        <v>34</v>
      </c>
      <c r="L7561" s="25">
        <v>42805.04519675926</v>
      </c>
      <c r="M7561" s="28"/>
      <c r="N7561" s="28"/>
      <c r="O7561" s="22" t="str">
        <f>HYPERLINK("https://pbs.twimg.com/profile_images/867476459245404160/bpKhe4gp_normal.jpg","View")</f>
        <v>View</v>
      </c>
      <c r="P7561" s="27"/>
    </row>
    <row r="7562">
      <c r="A7562" s="14">
        <v>43031.60533564815</v>
      </c>
      <c r="B7562" s="20" t="str">
        <f>HYPERLINK("https://twitter.com/GoettschMary","@GoettschMary")</f>
        <v>@GoettschMary</v>
      </c>
      <c r="C7562" s="21" t="s">
        <v>16774</v>
      </c>
      <c r="D7562" s="21" t="s">
        <v>16537</v>
      </c>
      <c r="E7562" s="22" t="str">
        <f>HYPERLINK("https://twitter.com/GoettschMary/status/922576283120422912","922576283120422912")</f>
        <v>922576283120422912</v>
      </c>
      <c r="F7562" s="23" t="s">
        <v>33</v>
      </c>
      <c r="G7562" s="24">
        <v>68.0</v>
      </c>
      <c r="H7562" s="24">
        <v>161.0</v>
      </c>
      <c r="I7562" s="24">
        <v>242.0</v>
      </c>
      <c r="J7562" s="24">
        <v>0.0</v>
      </c>
      <c r="K7562" s="23" t="s">
        <v>34</v>
      </c>
      <c r="L7562" s="25">
        <v>42980.145104166666</v>
      </c>
      <c r="M7562" s="26" t="s">
        <v>16775</v>
      </c>
      <c r="N7562" s="26" t="s">
        <v>16776</v>
      </c>
      <c r="O7562" s="22" t="str">
        <f>HYPERLINK("https://pbs.twimg.com/profile_images/911197343248199681/5cLRnf3h_normal.jpg","View")</f>
        <v>View</v>
      </c>
      <c r="P7562" s="27"/>
    </row>
    <row r="7563">
      <c r="A7563" s="14">
        <v>43031.60539351852</v>
      </c>
      <c r="B7563" s="20" t="str">
        <f>HYPERLINK("https://twitter.com/Jharperj1","@Jharperj1")</f>
        <v>@Jharperj1</v>
      </c>
      <c r="C7563" s="21" t="s">
        <v>16777</v>
      </c>
      <c r="D7563" s="21" t="s">
        <v>16537</v>
      </c>
      <c r="E7563" s="22" t="str">
        <f>HYPERLINK("https://twitter.com/Jharperj1/status/922576306138595328","922576306138595328")</f>
        <v>922576306138595328</v>
      </c>
      <c r="F7563" s="23" t="s">
        <v>33</v>
      </c>
      <c r="G7563" s="24">
        <v>71.0</v>
      </c>
      <c r="H7563" s="24">
        <v>89.0</v>
      </c>
      <c r="I7563" s="24">
        <v>242.0</v>
      </c>
      <c r="J7563" s="24">
        <v>0.0</v>
      </c>
      <c r="K7563" s="23" t="s">
        <v>34</v>
      </c>
      <c r="L7563" s="25">
        <v>42763.96579861111</v>
      </c>
      <c r="M7563" s="28"/>
      <c r="N7563" s="26" t="s">
        <v>16778</v>
      </c>
      <c r="O7563" s="22" t="str">
        <f>HYPERLINK("https://abs.twimg.com/sticky/default_profile_images/default_profile_normal.png","View")</f>
        <v>View</v>
      </c>
      <c r="P7563" s="27"/>
    </row>
    <row r="7564">
      <c r="A7564" s="14">
        <v>43031.605729166666</v>
      </c>
      <c r="B7564" s="20" t="str">
        <f>HYPERLINK("https://twitter.com/1966Persia","@1966Persia")</f>
        <v>@1966Persia</v>
      </c>
      <c r="C7564" s="21" t="s">
        <v>14287</v>
      </c>
      <c r="D7564" s="21" t="s">
        <v>3867</v>
      </c>
      <c r="E7564" s="22" t="str">
        <f>HYPERLINK("https://twitter.com/1966Persia/status/922576426649473025","922576426649473025")</f>
        <v>922576426649473025</v>
      </c>
      <c r="F7564" s="23" t="s">
        <v>33</v>
      </c>
      <c r="G7564" s="24">
        <v>491.0</v>
      </c>
      <c r="H7564" s="24">
        <v>369.0</v>
      </c>
      <c r="I7564" s="24">
        <v>23.0</v>
      </c>
      <c r="J7564" s="24">
        <v>0.0</v>
      </c>
      <c r="K7564" s="23" t="s">
        <v>34</v>
      </c>
      <c r="L7564" s="25">
        <v>41530.66105324074</v>
      </c>
      <c r="M7564" s="28"/>
      <c r="N7564" s="26" t="s">
        <v>14288</v>
      </c>
      <c r="O7564" s="22" t="str">
        <f>HYPERLINK("https://pbs.twimg.com/profile_images/891409337331191808/reOKJo0u_normal.jpg","View")</f>
        <v>View</v>
      </c>
      <c r="P7564" s="27"/>
    </row>
    <row r="7565">
      <c r="A7565" s="14">
        <v>43031.606041666666</v>
      </c>
      <c r="B7565" s="20" t="str">
        <f>HYPERLINK("https://twitter.com/zeeshan_shah_dc","@zeeshan_shah_dc")</f>
        <v>@zeeshan_shah_dc</v>
      </c>
      <c r="C7565" s="21" t="s">
        <v>4238</v>
      </c>
      <c r="D7565" s="21" t="s">
        <v>16537</v>
      </c>
      <c r="E7565" s="22" t="str">
        <f>HYPERLINK("https://twitter.com/zeeshan_shah_dc/status/922576540864532481","922576540864532481")</f>
        <v>922576540864532481</v>
      </c>
      <c r="F7565" s="23" t="s">
        <v>39</v>
      </c>
      <c r="G7565" s="24">
        <v>2073.0</v>
      </c>
      <c r="H7565" s="24">
        <v>278.0</v>
      </c>
      <c r="I7565" s="24">
        <v>242.0</v>
      </c>
      <c r="J7565" s="24">
        <v>0.0</v>
      </c>
      <c r="K7565" s="23" t="s">
        <v>34</v>
      </c>
      <c r="L7565" s="25">
        <v>41057.880277777775</v>
      </c>
      <c r="M7565" s="26" t="s">
        <v>4239</v>
      </c>
      <c r="N7565" s="26" t="s">
        <v>4240</v>
      </c>
      <c r="O7565" s="22" t="str">
        <f>HYPERLINK("https://pbs.twimg.com/profile_images/915766155373170688/aHIu0lVW_normal.jpg","View")</f>
        <v>View</v>
      </c>
      <c r="P7565" s="27"/>
    </row>
    <row r="7566">
      <c r="A7566" s="14">
        <v>43031.60615740741</v>
      </c>
      <c r="B7566" s="20" t="str">
        <f>HYPERLINK("https://twitter.com/EastAsiaGroup","@EastAsiaGroup")</f>
        <v>@EastAsiaGroup</v>
      </c>
      <c r="C7566" s="21" t="s">
        <v>16779</v>
      </c>
      <c r="D7566" s="21" t="s">
        <v>16780</v>
      </c>
      <c r="E7566" s="22" t="str">
        <f>HYPERLINK("https://twitter.com/EastAsiaGroup/status/922576581809397762","922576581809397762")</f>
        <v>922576581809397762</v>
      </c>
      <c r="F7566" s="23" t="s">
        <v>55</v>
      </c>
      <c r="G7566" s="24">
        <v>17832.0</v>
      </c>
      <c r="H7566" s="24">
        <v>370.0</v>
      </c>
      <c r="I7566" s="24">
        <v>17.0</v>
      </c>
      <c r="J7566" s="24">
        <v>10.0</v>
      </c>
      <c r="K7566" s="23" t="s">
        <v>34</v>
      </c>
      <c r="L7566" s="25">
        <v>41521.03748842592</v>
      </c>
      <c r="M7566" s="28"/>
      <c r="N7566" s="26" t="s">
        <v>16781</v>
      </c>
      <c r="O7566" s="22" t="str">
        <f>HYPERLINK("https://pbs.twimg.com/profile_images/378800000475824028/1917a0432377a7b3c86637e3fb32cfec_normal.png","View")</f>
        <v>View</v>
      </c>
      <c r="P7566" s="27"/>
    </row>
    <row r="7567">
      <c r="A7567" s="14">
        <v>43031.60627314815</v>
      </c>
      <c r="B7567" s="20" t="str">
        <f>HYPERLINK("https://twitter.com/AzlawgirlT","@AzlawgirlT")</f>
        <v>@AzlawgirlT</v>
      </c>
      <c r="C7567" s="21" t="s">
        <v>16782</v>
      </c>
      <c r="D7567" s="21" t="s">
        <v>16537</v>
      </c>
      <c r="E7567" s="22" t="str">
        <f>HYPERLINK("https://twitter.com/AzlawgirlT/status/922576624020750336","922576624020750336")</f>
        <v>922576624020750336</v>
      </c>
      <c r="F7567" s="23" t="s">
        <v>39</v>
      </c>
      <c r="G7567" s="24">
        <v>433.0</v>
      </c>
      <c r="H7567" s="24">
        <v>930.0</v>
      </c>
      <c r="I7567" s="24">
        <v>242.0</v>
      </c>
      <c r="J7567" s="24">
        <v>0.0</v>
      </c>
      <c r="K7567" s="23" t="s">
        <v>34</v>
      </c>
      <c r="L7567" s="25">
        <v>42699.625127314815</v>
      </c>
      <c r="M7567" s="26" t="s">
        <v>68</v>
      </c>
      <c r="N7567" s="28"/>
      <c r="O7567" s="22" t="str">
        <f>HYPERLINK("https://pbs.twimg.com/profile_images/921876257503035392/e2rtR9DF_normal.jpg","View")</f>
        <v>View</v>
      </c>
      <c r="P7567" s="27"/>
    </row>
    <row r="7568">
      <c r="A7568" s="14">
        <v>43031.60640046296</v>
      </c>
      <c r="B7568" s="20" t="str">
        <f>HYPERLINK("https://twitter.com/EAGRP_com","@EAGRP_com")</f>
        <v>@EAGRP_com</v>
      </c>
      <c r="C7568" s="21" t="s">
        <v>16783</v>
      </c>
      <c r="D7568" s="21" t="s">
        <v>16784</v>
      </c>
      <c r="E7568" s="22" t="str">
        <f>HYPERLINK("https://twitter.com/EAGRP_com/status/922576669113806848","922576669113806848")</f>
        <v>922576669113806848</v>
      </c>
      <c r="F7568" s="23" t="s">
        <v>55</v>
      </c>
      <c r="G7568" s="24">
        <v>45.0</v>
      </c>
      <c r="H7568" s="24">
        <v>380.0</v>
      </c>
      <c r="I7568" s="24">
        <v>17.0</v>
      </c>
      <c r="J7568" s="24">
        <v>0.0</v>
      </c>
      <c r="K7568" s="23" t="s">
        <v>34</v>
      </c>
      <c r="L7568" s="25">
        <v>41866.783321759256</v>
      </c>
      <c r="M7568" s="28"/>
      <c r="N7568" s="26" t="s">
        <v>16785</v>
      </c>
      <c r="O7568" s="22" t="str">
        <f>HYPERLINK("https://pbs.twimg.com/profile_images/728136040028897280/YRz9Tqob_normal.jpg","View")</f>
        <v>View</v>
      </c>
      <c r="P7568" s="27"/>
    </row>
    <row r="7569">
      <c r="A7569" s="14">
        <v>43031.60710648148</v>
      </c>
      <c r="B7569" s="20" t="str">
        <f>HYPERLINK("https://twitter.com/RoehnertJoy","@RoehnertJoy")</f>
        <v>@RoehnertJoy</v>
      </c>
      <c r="C7569" s="21" t="s">
        <v>16786</v>
      </c>
      <c r="D7569" s="21" t="s">
        <v>16537</v>
      </c>
      <c r="E7569" s="22" t="str">
        <f>HYPERLINK("https://twitter.com/RoehnertJoy/status/922576926191087621","922576926191087621")</f>
        <v>922576926191087621</v>
      </c>
      <c r="F7569" s="23" t="s">
        <v>39</v>
      </c>
      <c r="G7569" s="24">
        <v>187.0</v>
      </c>
      <c r="H7569" s="24">
        <v>159.0</v>
      </c>
      <c r="I7569" s="24">
        <v>242.0</v>
      </c>
      <c r="J7569" s="24">
        <v>0.0</v>
      </c>
      <c r="K7569" s="23" t="s">
        <v>34</v>
      </c>
      <c r="L7569" s="25">
        <v>42790.5002662037</v>
      </c>
      <c r="M7569" s="26" t="s">
        <v>16787</v>
      </c>
      <c r="N7569" s="26" t="s">
        <v>16788</v>
      </c>
      <c r="O7569" s="22" t="str">
        <f>HYPERLINK("https://pbs.twimg.com/profile_images/865914509730484224/dSqzKsJA_normal.jpg","View")</f>
        <v>View</v>
      </c>
      <c r="P7569" s="27"/>
    </row>
    <row r="7570">
      <c r="A7570" s="14">
        <v>43031.607210648144</v>
      </c>
      <c r="B7570" s="20" t="str">
        <f>HYPERLINK("https://twitter.com/AllegraVHGreen","@AllegraVHGreen")</f>
        <v>@AllegraVHGreen</v>
      </c>
      <c r="C7570" s="21" t="s">
        <v>16789</v>
      </c>
      <c r="D7570" s="21" t="s">
        <v>16537</v>
      </c>
      <c r="E7570" s="22" t="str">
        <f>HYPERLINK("https://twitter.com/AllegraVHGreen/status/922576963134468098","922576963134468098")</f>
        <v>922576963134468098</v>
      </c>
      <c r="F7570" s="23" t="s">
        <v>39</v>
      </c>
      <c r="G7570" s="24">
        <v>260.0</v>
      </c>
      <c r="H7570" s="24">
        <v>1180.0</v>
      </c>
      <c r="I7570" s="24">
        <v>242.0</v>
      </c>
      <c r="J7570" s="24">
        <v>0.0</v>
      </c>
      <c r="K7570" s="23" t="s">
        <v>34</v>
      </c>
      <c r="L7570" s="25">
        <v>40636.73168981481</v>
      </c>
      <c r="M7570" s="26" t="s">
        <v>16790</v>
      </c>
      <c r="N7570" s="26" t="s">
        <v>16791</v>
      </c>
      <c r="O7570" s="22" t="str">
        <f>HYPERLINK("https://pbs.twimg.com/profile_images/886313334299078657/qNmNfM7b_normal.jpg","View")</f>
        <v>View</v>
      </c>
      <c r="P7570" s="27"/>
    </row>
    <row r="7571">
      <c r="A7571" s="14">
        <v>43031.607361111106</v>
      </c>
      <c r="B7571" s="20" t="str">
        <f>HYPERLINK("https://twitter.com/bethparton1216","@bethparton1216")</f>
        <v>@bethparton1216</v>
      </c>
      <c r="C7571" s="21" t="s">
        <v>16792</v>
      </c>
      <c r="D7571" s="21" t="s">
        <v>16537</v>
      </c>
      <c r="E7571" s="22" t="str">
        <f>HYPERLINK("https://twitter.com/bethparton1216/status/922577018650230784","922577018650230784")</f>
        <v>922577018650230784</v>
      </c>
      <c r="F7571" s="23" t="s">
        <v>39</v>
      </c>
      <c r="G7571" s="24">
        <v>226.0</v>
      </c>
      <c r="H7571" s="24">
        <v>423.0</v>
      </c>
      <c r="I7571" s="24">
        <v>242.0</v>
      </c>
      <c r="J7571" s="24">
        <v>0.0</v>
      </c>
      <c r="K7571" s="23" t="s">
        <v>34</v>
      </c>
      <c r="L7571" s="25">
        <v>42207.669537037036</v>
      </c>
      <c r="M7571" s="28"/>
      <c r="N7571" s="26" t="s">
        <v>16793</v>
      </c>
      <c r="O7571" s="22" t="str">
        <f>HYPERLINK("https://pbs.twimg.com/profile_images/894200755799904256/ZlQWpdJw_normal.jpg","View")</f>
        <v>View</v>
      </c>
      <c r="P7571" s="27"/>
    </row>
    <row r="7572">
      <c r="A7572" s="14">
        <v>43031.60747685185</v>
      </c>
      <c r="B7572" s="20" t="str">
        <f>HYPERLINK("https://twitter.com/rini__47","@rini__47")</f>
        <v>@rini__47</v>
      </c>
      <c r="C7572" s="21" t="s">
        <v>16794</v>
      </c>
      <c r="D7572" s="21" t="s">
        <v>15766</v>
      </c>
      <c r="E7572" s="22" t="str">
        <f>HYPERLINK("https://twitter.com/rini__47/status/922577058546434049","922577058546434049")</f>
        <v>922577058546434049</v>
      </c>
      <c r="F7572" s="23" t="s">
        <v>33</v>
      </c>
      <c r="G7572" s="24">
        <v>16.0</v>
      </c>
      <c r="H7572" s="24">
        <v>369.0</v>
      </c>
      <c r="I7572" s="24">
        <v>14.0</v>
      </c>
      <c r="J7572" s="24">
        <v>0.0</v>
      </c>
      <c r="K7572" s="23" t="s">
        <v>34</v>
      </c>
      <c r="L7572" s="25">
        <v>42064.609444444446</v>
      </c>
      <c r="M7572" s="26" t="s">
        <v>16795</v>
      </c>
      <c r="N7572" s="28"/>
      <c r="O7572" s="22" t="str">
        <f>HYPERLINK("https://pbs.twimg.com/profile_images/770351714708762624/cGLnMDJw_normal.jpg","View")</f>
        <v>View</v>
      </c>
      <c r="P7572" s="27"/>
    </row>
    <row r="7573">
      <c r="A7573" s="14">
        <v>43031.60861111111</v>
      </c>
      <c r="B7573" s="20" t="str">
        <f>HYPERLINK("https://twitter.com/Abhishekdcm","@Abhishekdcm")</f>
        <v>@Abhishekdcm</v>
      </c>
      <c r="C7573" s="21" t="s">
        <v>8205</v>
      </c>
      <c r="D7573" s="21" t="s">
        <v>42</v>
      </c>
      <c r="E7573" s="22" t="str">
        <f>HYPERLINK("https://twitter.com/Abhishekdcm/status/922577471295369217","922577471295369217")</f>
        <v>922577471295369217</v>
      </c>
      <c r="F7573" s="23" t="s">
        <v>39</v>
      </c>
      <c r="G7573" s="24">
        <v>370.0</v>
      </c>
      <c r="H7573" s="24">
        <v>841.0</v>
      </c>
      <c r="I7573" s="24">
        <v>8501.0</v>
      </c>
      <c r="J7573" s="24">
        <v>0.0</v>
      </c>
      <c r="K7573" s="23" t="s">
        <v>34</v>
      </c>
      <c r="L7573" s="25">
        <v>42637.49291666667</v>
      </c>
      <c r="M7573" s="26" t="s">
        <v>2794</v>
      </c>
      <c r="N7573" s="26" t="s">
        <v>16796</v>
      </c>
      <c r="O7573" s="22" t="str">
        <f>HYPERLINK("https://pbs.twimg.com/profile_images/917659077525819397/QYfZBBSE_normal.jpg","View")</f>
        <v>View</v>
      </c>
      <c r="P7573" s="27"/>
    </row>
    <row r="7574">
      <c r="A7574" s="14">
        <v>43031.60909722222</v>
      </c>
      <c r="B7574" s="20" t="str">
        <f>HYPERLINK("https://twitter.com/otreborpretell","@otreborpretell")</f>
        <v>@otreborpretell</v>
      </c>
      <c r="C7574" s="21" t="s">
        <v>16797</v>
      </c>
      <c r="D7574" s="21" t="s">
        <v>67</v>
      </c>
      <c r="E7574" s="22" t="str">
        <f>HYPERLINK("https://twitter.com/otreborpretell/status/922577648966017025","922577648966017025")</f>
        <v>922577648966017025</v>
      </c>
      <c r="F7574" s="23" t="s">
        <v>33</v>
      </c>
      <c r="G7574" s="24">
        <v>24.0</v>
      </c>
      <c r="H7574" s="24">
        <v>35.0</v>
      </c>
      <c r="I7574" s="24">
        <v>169.0</v>
      </c>
      <c r="J7574" s="24">
        <v>0.0</v>
      </c>
      <c r="K7574" s="23" t="s">
        <v>34</v>
      </c>
      <c r="L7574" s="25">
        <v>39984.95315972222</v>
      </c>
      <c r="M7574" s="26" t="s">
        <v>16798</v>
      </c>
      <c r="N7574" s="26" t="s">
        <v>16799</v>
      </c>
      <c r="O7574" s="22" t="str">
        <f>HYPERLINK("https://pbs.twimg.com/profile_images/274240193/RPxc_normal.jpg","View")</f>
        <v>View</v>
      </c>
      <c r="P7574" s="27"/>
    </row>
    <row r="7575">
      <c r="A7575" s="14">
        <v>43031.60916666666</v>
      </c>
      <c r="B7575" s="20" t="str">
        <f>HYPERLINK("https://twitter.com/maxby5","@maxby5")</f>
        <v>@maxby5</v>
      </c>
      <c r="C7575" s="21" t="s">
        <v>16800</v>
      </c>
      <c r="D7575" s="21" t="s">
        <v>42</v>
      </c>
      <c r="E7575" s="22" t="str">
        <f>HYPERLINK("https://twitter.com/maxby5/status/922577671808106496","922577671808106496")</f>
        <v>922577671808106496</v>
      </c>
      <c r="F7575" s="23" t="s">
        <v>39</v>
      </c>
      <c r="G7575" s="24">
        <v>26.0</v>
      </c>
      <c r="H7575" s="24">
        <v>79.0</v>
      </c>
      <c r="I7575" s="24">
        <v>8501.0</v>
      </c>
      <c r="J7575" s="24">
        <v>0.0</v>
      </c>
      <c r="K7575" s="23" t="s">
        <v>34</v>
      </c>
      <c r="L7575" s="25">
        <v>42096.2347337963</v>
      </c>
      <c r="M7575" s="28"/>
      <c r="N7575" s="28"/>
      <c r="O7575" s="22" t="str">
        <f>HYPERLINK("https://pbs.twimg.com/profile_images/881266150616608768/DU78lKdc_normal.jpg","View")</f>
        <v>View</v>
      </c>
      <c r="P7575" s="27"/>
    </row>
    <row r="7576">
      <c r="A7576" s="14">
        <v>43031.609444444446</v>
      </c>
      <c r="B7576" s="20" t="str">
        <f>HYPERLINK("https://twitter.com/ashutosh_nov12","@ashutosh_nov12")</f>
        <v>@ashutosh_nov12</v>
      </c>
      <c r="C7576" s="21" t="s">
        <v>5693</v>
      </c>
      <c r="D7576" s="21" t="s">
        <v>42</v>
      </c>
      <c r="E7576" s="22" t="str">
        <f>HYPERLINK("https://twitter.com/ashutosh_nov12/status/922577771360010240","922577771360010240")</f>
        <v>922577771360010240</v>
      </c>
      <c r="F7576" s="23" t="s">
        <v>33</v>
      </c>
      <c r="G7576" s="24">
        <v>820.0</v>
      </c>
      <c r="H7576" s="24">
        <v>3462.0</v>
      </c>
      <c r="I7576" s="24">
        <v>8501.0</v>
      </c>
      <c r="J7576" s="24">
        <v>0.0</v>
      </c>
      <c r="K7576" s="23" t="s">
        <v>34</v>
      </c>
      <c r="L7576" s="25">
        <v>40400.81613425926</v>
      </c>
      <c r="M7576" s="28"/>
      <c r="N7576" s="28"/>
      <c r="O7576" s="22" t="str">
        <f>HYPERLINK("https://pbs.twimg.com/profile_images/811260006364512256/rHdGXw7X_normal.jpg","View")</f>
        <v>View</v>
      </c>
      <c r="P7576" s="27"/>
    </row>
    <row r="7577">
      <c r="A7577" s="14">
        <v>43031.60951388889</v>
      </c>
      <c r="B7577" s="20" t="str">
        <f>HYPERLINK("https://twitter.com/corderokarla_","@corderokarla_")</f>
        <v>@corderokarla_</v>
      </c>
      <c r="C7577" s="21" t="s">
        <v>16801</v>
      </c>
      <c r="D7577" s="21" t="s">
        <v>10614</v>
      </c>
      <c r="E7577" s="22" t="str">
        <f>HYPERLINK("https://twitter.com/corderokarla_/status/922577798971248642","922577798971248642")</f>
        <v>922577798971248642</v>
      </c>
      <c r="F7577" s="23" t="s">
        <v>55</v>
      </c>
      <c r="G7577" s="24">
        <v>89.0</v>
      </c>
      <c r="H7577" s="24">
        <v>73.0</v>
      </c>
      <c r="I7577" s="24">
        <v>159.0</v>
      </c>
      <c r="J7577" s="24">
        <v>0.0</v>
      </c>
      <c r="K7577" s="23" t="s">
        <v>34</v>
      </c>
      <c r="L7577" s="25">
        <v>40767.66940972222</v>
      </c>
      <c r="M7577" s="26" t="s">
        <v>16802</v>
      </c>
      <c r="N7577" s="26" t="s">
        <v>16803</v>
      </c>
      <c r="O7577" s="22" t="str">
        <f>HYPERLINK("https://pbs.twimg.com/profile_images/914541913365270528/cD3AvcKp_normal.jpg","View")</f>
        <v>View</v>
      </c>
      <c r="P7577" s="27"/>
    </row>
    <row r="7578">
      <c r="A7578" s="14">
        <v>43031.60960648148</v>
      </c>
      <c r="B7578" s="20" t="str">
        <f>HYPERLINK("https://twitter.com/puttisoda","@puttisoda")</f>
        <v>@puttisoda</v>
      </c>
      <c r="C7578" s="21" t="s">
        <v>16804</v>
      </c>
      <c r="D7578" s="21" t="s">
        <v>12974</v>
      </c>
      <c r="E7578" s="22" t="str">
        <f>HYPERLINK("https://twitter.com/puttisoda/status/922577830826754048","922577830826754048")</f>
        <v>922577830826754048</v>
      </c>
      <c r="F7578" s="23" t="s">
        <v>55</v>
      </c>
      <c r="G7578" s="24">
        <v>4042.0</v>
      </c>
      <c r="H7578" s="24">
        <v>3451.0</v>
      </c>
      <c r="I7578" s="24">
        <v>110.0</v>
      </c>
      <c r="J7578" s="24">
        <v>0.0</v>
      </c>
      <c r="K7578" s="23" t="s">
        <v>34</v>
      </c>
      <c r="L7578" s="25">
        <v>40129.96157407407</v>
      </c>
      <c r="M7578" s="28"/>
      <c r="N7578" s="28"/>
      <c r="O7578" s="22" t="str">
        <f>HYPERLINK("https://pbs.twimg.com/profile_images/906327342225571840/ouYYLXnL_normal.jpg","View")</f>
        <v>View</v>
      </c>
      <c r="P7578" s="27"/>
    </row>
    <row r="7579">
      <c r="A7579" s="14">
        <v>43031.61</v>
      </c>
      <c r="B7579" s="20" t="str">
        <f>HYPERLINK("https://twitter.com/minedyingbride","@minedyingbride")</f>
        <v>@minedyingbride</v>
      </c>
      <c r="C7579" s="21" t="s">
        <v>16805</v>
      </c>
      <c r="D7579" s="21" t="s">
        <v>14855</v>
      </c>
      <c r="E7579" s="22" t="str">
        <f>HYPERLINK("https://twitter.com/minedyingbride/status/922577972644712448","922577972644712448")</f>
        <v>922577972644712448</v>
      </c>
      <c r="F7579" s="23" t="s">
        <v>43</v>
      </c>
      <c r="G7579" s="24">
        <v>667.0</v>
      </c>
      <c r="H7579" s="24">
        <v>759.0</v>
      </c>
      <c r="I7579" s="24">
        <v>36.0</v>
      </c>
      <c r="J7579" s="24">
        <v>0.0</v>
      </c>
      <c r="K7579" s="23" t="s">
        <v>34</v>
      </c>
      <c r="L7579" s="25">
        <v>41292.264548611114</v>
      </c>
      <c r="M7579" s="28"/>
      <c r="N7579" s="28"/>
      <c r="O7579" s="22" t="str">
        <f>HYPERLINK("https://pbs.twimg.com/profile_images/921732533611409409/a5hbI5zC_normal.jpg","View")</f>
        <v>View</v>
      </c>
      <c r="P7579" s="27"/>
    </row>
    <row r="7580">
      <c r="A7580" s="14">
        <v>43031.61015046296</v>
      </c>
      <c r="B7580" s="20" t="str">
        <f>HYPERLINK("https://twitter.com/cathstweet","@cathstweet")</f>
        <v>@cathstweet</v>
      </c>
      <c r="C7580" s="21" t="s">
        <v>16806</v>
      </c>
      <c r="D7580" s="21" t="s">
        <v>16537</v>
      </c>
      <c r="E7580" s="22" t="str">
        <f>HYPERLINK("https://twitter.com/cathstweet/status/922578028613402624","922578028613402624")</f>
        <v>922578028613402624</v>
      </c>
      <c r="F7580" s="23" t="s">
        <v>39</v>
      </c>
      <c r="G7580" s="24">
        <v>128.0</v>
      </c>
      <c r="H7580" s="24">
        <v>1170.0</v>
      </c>
      <c r="I7580" s="24">
        <v>242.0</v>
      </c>
      <c r="J7580" s="24">
        <v>0.0</v>
      </c>
      <c r="K7580" s="23" t="s">
        <v>34</v>
      </c>
      <c r="L7580" s="25">
        <v>39921.684224537035</v>
      </c>
      <c r="M7580" s="26" t="s">
        <v>16807</v>
      </c>
      <c r="N7580" s="26" t="s">
        <v>16808</v>
      </c>
      <c r="O7580" s="22" t="str">
        <f>HYPERLINK("https://pbs.twimg.com/profile_images/858203097507676160/h0Q03Tfr_normal.jpg","View")</f>
        <v>View</v>
      </c>
      <c r="P7580" s="27"/>
    </row>
    <row r="7581">
      <c r="A7581" s="14">
        <v>43031.61040509259</v>
      </c>
      <c r="B7581" s="20" t="str">
        <f>HYPERLINK("https://twitter.com/SherriWilkie","@SherriWilkie")</f>
        <v>@SherriWilkie</v>
      </c>
      <c r="C7581" s="21" t="s">
        <v>16809</v>
      </c>
      <c r="D7581" s="21" t="s">
        <v>14855</v>
      </c>
      <c r="E7581" s="22" t="str">
        <f>HYPERLINK("https://twitter.com/SherriWilkie/status/922578123253800960","922578123253800960")</f>
        <v>922578123253800960</v>
      </c>
      <c r="F7581" s="23" t="s">
        <v>39</v>
      </c>
      <c r="G7581" s="24">
        <v>4007.0</v>
      </c>
      <c r="H7581" s="24">
        <v>3563.0</v>
      </c>
      <c r="I7581" s="24">
        <v>36.0</v>
      </c>
      <c r="J7581" s="24">
        <v>0.0</v>
      </c>
      <c r="K7581" s="23" t="s">
        <v>34</v>
      </c>
      <c r="L7581" s="25">
        <v>41012.718125</v>
      </c>
      <c r="M7581" s="28"/>
      <c r="N7581" s="28"/>
      <c r="O7581" s="22" t="str">
        <f>HYPERLINK("https://pbs.twimg.com/profile_images/787436377336057856/n9C94oTs_normal.jpg","View")</f>
        <v>View</v>
      </c>
      <c r="P7581" s="27"/>
    </row>
    <row r="7582">
      <c r="A7582" s="14">
        <v>43031.61047453704</v>
      </c>
      <c r="B7582" s="20" t="str">
        <f>HYPERLINK("https://twitter.com/abbiesligh","@abbiesligh")</f>
        <v>@abbiesligh</v>
      </c>
      <c r="C7582" s="21" t="s">
        <v>16810</v>
      </c>
      <c r="D7582" s="21" t="s">
        <v>16537</v>
      </c>
      <c r="E7582" s="22" t="str">
        <f>HYPERLINK("https://twitter.com/abbiesligh/status/922578147618508800","922578147618508800")</f>
        <v>922578147618508800</v>
      </c>
      <c r="F7582" s="23" t="s">
        <v>39</v>
      </c>
      <c r="G7582" s="24">
        <v>51.0</v>
      </c>
      <c r="H7582" s="24">
        <v>58.0</v>
      </c>
      <c r="I7582" s="24">
        <v>242.0</v>
      </c>
      <c r="J7582" s="24">
        <v>0.0</v>
      </c>
      <c r="K7582" s="23" t="s">
        <v>34</v>
      </c>
      <c r="L7582" s="25">
        <v>42706.596087962964</v>
      </c>
      <c r="M7582" s="28"/>
      <c r="N7582" s="28"/>
      <c r="O7582" s="22" t="str">
        <f>HYPERLINK("https://pbs.twimg.com/profile_images/869002303776448512/CjLUneRN_normal.jpg","View")</f>
        <v>View</v>
      </c>
      <c r="P7582" s="27"/>
    </row>
    <row r="7583">
      <c r="A7583" s="14">
        <v>43031.6112037037</v>
      </c>
      <c r="B7583" s="20" t="str">
        <f>HYPERLINK("https://twitter.com/Leahs31n","@Leahs31n")</f>
        <v>@Leahs31n</v>
      </c>
      <c r="C7583" s="21" t="s">
        <v>16811</v>
      </c>
      <c r="D7583" s="21" t="s">
        <v>16537</v>
      </c>
      <c r="E7583" s="22" t="str">
        <f>HYPERLINK("https://twitter.com/Leahs31n/status/922578412773941248","922578412773941248")</f>
        <v>922578412773941248</v>
      </c>
      <c r="F7583" s="23" t="s">
        <v>33</v>
      </c>
      <c r="G7583" s="24">
        <v>164.0</v>
      </c>
      <c r="H7583" s="24">
        <v>153.0</v>
      </c>
      <c r="I7583" s="24">
        <v>242.0</v>
      </c>
      <c r="J7583" s="24">
        <v>0.0</v>
      </c>
      <c r="K7583" s="23" t="s">
        <v>34</v>
      </c>
      <c r="L7583" s="25">
        <v>42906.12060185186</v>
      </c>
      <c r="M7583" s="26" t="s">
        <v>3704</v>
      </c>
      <c r="N7583" s="26" t="s">
        <v>16812</v>
      </c>
      <c r="O7583" s="22" t="str">
        <f>HYPERLINK("https://pbs.twimg.com/profile_images/909475235187036163/wzN1ShZ__normal.jpg","View")</f>
        <v>View</v>
      </c>
      <c r="P7583" s="27"/>
    </row>
    <row r="7584">
      <c r="A7584" s="14">
        <v>43031.61126157407</v>
      </c>
      <c r="B7584" s="20" t="str">
        <f>HYPERLINK("https://twitter.com/lizardkingliza","@lizardkingliza")</f>
        <v>@lizardkingliza</v>
      </c>
      <c r="C7584" s="21" t="s">
        <v>16813</v>
      </c>
      <c r="D7584" s="21" t="s">
        <v>2157</v>
      </c>
      <c r="E7584" s="22" t="str">
        <f>HYPERLINK("https://twitter.com/lizardkingliza/status/922578430855483392","922578430855483392")</f>
        <v>922578430855483392</v>
      </c>
      <c r="F7584" s="23" t="s">
        <v>39</v>
      </c>
      <c r="G7584" s="24">
        <v>363.0</v>
      </c>
      <c r="H7584" s="24">
        <v>997.0</v>
      </c>
      <c r="I7584" s="24">
        <v>12.0</v>
      </c>
      <c r="J7584" s="24">
        <v>0.0</v>
      </c>
      <c r="K7584" s="23" t="s">
        <v>34</v>
      </c>
      <c r="L7584" s="25">
        <v>42665.74700231482</v>
      </c>
      <c r="M7584" s="26" t="s">
        <v>16814</v>
      </c>
      <c r="N7584" s="26" t="s">
        <v>16815</v>
      </c>
      <c r="O7584" s="22" t="str">
        <f>HYPERLINK("https://pbs.twimg.com/profile_images/799761350033408000/u7EbKY4V_normal.jpg","View")</f>
        <v>View</v>
      </c>
      <c r="P7584" s="27"/>
    </row>
    <row r="7585">
      <c r="A7585" s="14">
        <v>43031.61141203703</v>
      </c>
      <c r="B7585" s="20" t="str">
        <f>HYPERLINK("https://twitter.com/Plaid_Japan","@Plaid_Japan")</f>
        <v>@Plaid_Japan</v>
      </c>
      <c r="C7585" s="21" t="s">
        <v>16816</v>
      </c>
      <c r="D7585" s="21" t="s">
        <v>16817</v>
      </c>
      <c r="E7585" s="22" t="str">
        <f>HYPERLINK("https://twitter.com/Plaid_Japan/status/922578486623076353","922578486623076353")</f>
        <v>922578486623076353</v>
      </c>
      <c r="F7585" s="23" t="s">
        <v>55</v>
      </c>
      <c r="G7585" s="24">
        <v>668.0</v>
      </c>
      <c r="H7585" s="24">
        <v>321.0</v>
      </c>
      <c r="I7585" s="24">
        <v>0.0</v>
      </c>
      <c r="J7585" s="24">
        <v>0.0</v>
      </c>
      <c r="K7585" s="23" t="s">
        <v>34</v>
      </c>
      <c r="L7585" s="25">
        <v>41882.884409722225</v>
      </c>
      <c r="M7585" s="26" t="s">
        <v>271</v>
      </c>
      <c r="N7585" s="26" t="s">
        <v>16818</v>
      </c>
      <c r="O7585" s="22" t="str">
        <f>HYPERLINK("https://pbs.twimg.com/profile_images/506293911816400896/4e7FLpjW_normal.png","View")</f>
        <v>View</v>
      </c>
      <c r="P7585" s="27"/>
    </row>
    <row r="7586">
      <c r="A7586" s="14">
        <v>43031.611562499995</v>
      </c>
      <c r="B7586" s="20" t="str">
        <f>HYPERLINK("https://twitter.com/eurobo9","@eurobo9")</f>
        <v>@eurobo9</v>
      </c>
      <c r="C7586" s="21" t="s">
        <v>16819</v>
      </c>
      <c r="D7586" s="21" t="s">
        <v>67</v>
      </c>
      <c r="E7586" s="22" t="str">
        <f>HYPERLINK("https://twitter.com/eurobo9/status/922578541883088896","922578541883088896")</f>
        <v>922578541883088896</v>
      </c>
      <c r="F7586" s="23" t="s">
        <v>33</v>
      </c>
      <c r="G7586" s="24">
        <v>8778.0</v>
      </c>
      <c r="H7586" s="24">
        <v>3493.0</v>
      </c>
      <c r="I7586" s="24">
        <v>169.0</v>
      </c>
      <c r="J7586" s="24">
        <v>0.0</v>
      </c>
      <c r="K7586" s="23" t="s">
        <v>34</v>
      </c>
      <c r="L7586" s="25">
        <v>39949.614641203705</v>
      </c>
      <c r="M7586" s="26" t="s">
        <v>1124</v>
      </c>
      <c r="N7586" s="26" t="s">
        <v>16820</v>
      </c>
      <c r="O7586" s="22" t="str">
        <f>HYPERLINK("https://pbs.twimg.com/profile_images/886307072865951744/_jJ_zC-8_normal.jpg","View")</f>
        <v>View</v>
      </c>
      <c r="P7586" s="27"/>
    </row>
    <row r="7587">
      <c r="A7587" s="14">
        <v>43031.61175925926</v>
      </c>
      <c r="B7587" s="20" t="str">
        <f>HYPERLINK("https://twitter.com/DCofStaff","@DCofStaff")</f>
        <v>@DCofStaff</v>
      </c>
      <c r="C7587" s="21" t="s">
        <v>16821</v>
      </c>
      <c r="D7587" s="21" t="s">
        <v>16537</v>
      </c>
      <c r="E7587" s="22" t="str">
        <f>HYPERLINK("https://twitter.com/DCofStaff/status/922578613144375296","922578613144375296")</f>
        <v>922578613144375296</v>
      </c>
      <c r="F7587" s="23" t="s">
        <v>55</v>
      </c>
      <c r="G7587" s="24">
        <v>1172.0</v>
      </c>
      <c r="H7587" s="24">
        <v>186.0</v>
      </c>
      <c r="I7587" s="24">
        <v>242.0</v>
      </c>
      <c r="J7587" s="24">
        <v>0.0</v>
      </c>
      <c r="K7587" s="23" t="s">
        <v>34</v>
      </c>
      <c r="L7587" s="25">
        <v>39889.772615740745</v>
      </c>
      <c r="M7587" s="26" t="s">
        <v>16822</v>
      </c>
      <c r="N7587" s="26" t="s">
        <v>16823</v>
      </c>
      <c r="O7587" s="22" t="str">
        <f>HYPERLINK("https://pbs.twimg.com/profile_images/181994509/Michael_Damico_7_normal.jpg","View")</f>
        <v>View</v>
      </c>
      <c r="P7587" s="27"/>
    </row>
    <row r="7588">
      <c r="A7588" s="14">
        <v>43031.614895833336</v>
      </c>
      <c r="B7588" s="20" t="str">
        <f>HYPERLINK("https://twitter.com/Social_Media_b5","@Social_Media_b5")</f>
        <v>@Social_Media_b5</v>
      </c>
      <c r="C7588" s="21" t="s">
        <v>1039</v>
      </c>
      <c r="D7588" s="21" t="s">
        <v>16824</v>
      </c>
      <c r="E7588" s="22" t="str">
        <f>HYPERLINK("https://twitter.com/Social_Media_b5/status/922579750434082816","922579750434082816")</f>
        <v>922579750434082816</v>
      </c>
      <c r="F7588" s="23" t="s">
        <v>427</v>
      </c>
      <c r="G7588" s="24">
        <v>16696.0</v>
      </c>
      <c r="H7588" s="24">
        <v>16658.0</v>
      </c>
      <c r="I7588" s="24">
        <v>1.0</v>
      </c>
      <c r="J7588" s="24">
        <v>1.0</v>
      </c>
      <c r="K7588" s="23" t="s">
        <v>34</v>
      </c>
      <c r="L7588" s="25">
        <v>42347.94079861111</v>
      </c>
      <c r="M7588" s="28"/>
      <c r="N7588" s="26" t="s">
        <v>1041</v>
      </c>
      <c r="O7588" s="22" t="str">
        <f>HYPERLINK("https://pbs.twimg.com/profile_images/858238301408329729/3opANdRx_normal.jpg","View")</f>
        <v>View</v>
      </c>
      <c r="P7588" s="27"/>
    </row>
    <row r="7589">
      <c r="A7589" s="14">
        <v>43031.61528935185</v>
      </c>
      <c r="B7589" s="20" t="str">
        <f>HYPERLINK("https://twitter.com/MGYounce","@MGYounce")</f>
        <v>@MGYounce</v>
      </c>
      <c r="C7589" s="21" t="s">
        <v>16825</v>
      </c>
      <c r="D7589" s="21" t="s">
        <v>16537</v>
      </c>
      <c r="E7589" s="22" t="str">
        <f>HYPERLINK("https://twitter.com/MGYounce/status/922579892478263296","922579892478263296")</f>
        <v>922579892478263296</v>
      </c>
      <c r="F7589" s="23" t="s">
        <v>39</v>
      </c>
      <c r="G7589" s="24">
        <v>2132.0</v>
      </c>
      <c r="H7589" s="24">
        <v>3564.0</v>
      </c>
      <c r="I7589" s="24">
        <v>242.0</v>
      </c>
      <c r="J7589" s="24">
        <v>0.0</v>
      </c>
      <c r="K7589" s="23" t="s">
        <v>34</v>
      </c>
      <c r="L7589" s="25">
        <v>41187.766550925924</v>
      </c>
      <c r="M7589" s="28"/>
      <c r="N7589" s="26" t="s">
        <v>16826</v>
      </c>
      <c r="O7589" s="22" t="str">
        <f>HYPERLINK("https://pbs.twimg.com/profile_images/2686638427/c7ea70e2efb4e7071a54d82f0ee1aa8c_normal.jpeg","View")</f>
        <v>View</v>
      </c>
      <c r="P7589" s="27"/>
    </row>
    <row r="7590">
      <c r="A7590" s="14">
        <v>43031.61534722222</v>
      </c>
      <c r="B7590" s="20" t="str">
        <f>HYPERLINK("https://twitter.com/AlisonCoon1","@AlisonCoon1")</f>
        <v>@AlisonCoon1</v>
      </c>
      <c r="C7590" s="21" t="s">
        <v>16827</v>
      </c>
      <c r="D7590" s="21" t="s">
        <v>16537</v>
      </c>
      <c r="E7590" s="22" t="str">
        <f>HYPERLINK("https://twitter.com/AlisonCoon1/status/922579911252078592","922579911252078592")</f>
        <v>922579911252078592</v>
      </c>
      <c r="F7590" s="23" t="s">
        <v>39</v>
      </c>
      <c r="G7590" s="24">
        <v>68.0</v>
      </c>
      <c r="H7590" s="24">
        <v>230.0</v>
      </c>
      <c r="I7590" s="24">
        <v>242.0</v>
      </c>
      <c r="J7590" s="24">
        <v>0.0</v>
      </c>
      <c r="K7590" s="23" t="s">
        <v>34</v>
      </c>
      <c r="L7590" s="25">
        <v>41709.75854166667</v>
      </c>
      <c r="M7590" s="28"/>
      <c r="N7590" s="28"/>
      <c r="O7590" s="22" t="str">
        <f>HYPERLINK("https://pbs.twimg.com/profile_images/915382419691327489/OVbQAYJs_normal.jpg","View")</f>
        <v>View</v>
      </c>
      <c r="P7590" s="27"/>
    </row>
    <row r="7591">
      <c r="A7591" s="14">
        <v>43031.615532407406</v>
      </c>
      <c r="B7591" s="20" t="str">
        <f>HYPERLINK("https://twitter.com/LinslaySlay","@LinslaySlay")</f>
        <v>@LinslaySlay</v>
      </c>
      <c r="C7591" s="21" t="s">
        <v>16828</v>
      </c>
      <c r="D7591" s="21" t="s">
        <v>16537</v>
      </c>
      <c r="E7591" s="22" t="str">
        <f>HYPERLINK("https://twitter.com/LinslaySlay/status/922579979749257222","922579979749257222")</f>
        <v>922579979749257222</v>
      </c>
      <c r="F7591" s="23" t="s">
        <v>39</v>
      </c>
      <c r="G7591" s="24">
        <v>50.0</v>
      </c>
      <c r="H7591" s="24">
        <v>112.0</v>
      </c>
      <c r="I7591" s="24">
        <v>242.0</v>
      </c>
      <c r="J7591" s="24">
        <v>0.0</v>
      </c>
      <c r="K7591" s="23" t="s">
        <v>34</v>
      </c>
      <c r="L7591" s="25">
        <v>41909.29541666667</v>
      </c>
      <c r="M7591" s="26" t="s">
        <v>16045</v>
      </c>
      <c r="N7591" s="26" t="s">
        <v>16829</v>
      </c>
      <c r="O7591" s="22" t="str">
        <f>HYPERLINK("https://pbs.twimg.com/profile_images/792987630828871681/ExL_luz5_normal.jpg","View")</f>
        <v>View</v>
      </c>
      <c r="P7591" s="27"/>
    </row>
    <row r="7592">
      <c r="A7592" s="14">
        <v>43031.6155787037</v>
      </c>
      <c r="B7592" s="20" t="str">
        <f>HYPERLINK("https://twitter.com/MiketheStclair","@MiketheStclair")</f>
        <v>@MiketheStclair</v>
      </c>
      <c r="C7592" s="21" t="s">
        <v>16830</v>
      </c>
      <c r="D7592" s="21" t="s">
        <v>16537</v>
      </c>
      <c r="E7592" s="22" t="str">
        <f>HYPERLINK("https://twitter.com/MiketheStclair/status/922579998287962112","922579998287962112")</f>
        <v>922579998287962112</v>
      </c>
      <c r="F7592" s="23" t="s">
        <v>55</v>
      </c>
      <c r="G7592" s="24">
        <v>1005.0</v>
      </c>
      <c r="H7592" s="24">
        <v>1964.0</v>
      </c>
      <c r="I7592" s="24">
        <v>242.0</v>
      </c>
      <c r="J7592" s="24">
        <v>0.0</v>
      </c>
      <c r="K7592" s="23" t="s">
        <v>34</v>
      </c>
      <c r="L7592" s="25">
        <v>42760.40619212963</v>
      </c>
      <c r="M7592" s="28"/>
      <c r="N7592" s="26" t="s">
        <v>16831</v>
      </c>
      <c r="O7592" s="22" t="str">
        <f>HYPERLINK("https://pbs.twimg.com/profile_images/824317065624289280/dYM1SE8F_normal.jpg","View")</f>
        <v>View</v>
      </c>
      <c r="P7592" s="27"/>
    </row>
    <row r="7593">
      <c r="A7593" s="14">
        <v>43031.615648148145</v>
      </c>
      <c r="B7593" s="20" t="str">
        <f t="shared" ref="B7593:B7594" si="129">HYPERLINK("https://twitter.com/jpnnws","@jpnnws")</f>
        <v>@jpnnws</v>
      </c>
      <c r="C7593" s="21" t="s">
        <v>16832</v>
      </c>
      <c r="D7593" s="21" t="s">
        <v>16833</v>
      </c>
      <c r="E7593" s="22" t="str">
        <f>HYPERLINK("https://twitter.com/jpnnws/status/922580022774452226","922580022774452226")</f>
        <v>922580022774452226</v>
      </c>
      <c r="F7593" s="23" t="s">
        <v>187</v>
      </c>
      <c r="G7593" s="24">
        <v>114.0</v>
      </c>
      <c r="H7593" s="24">
        <v>10.0</v>
      </c>
      <c r="I7593" s="24">
        <v>0.0</v>
      </c>
      <c r="J7593" s="24">
        <v>0.0</v>
      </c>
      <c r="K7593" s="23" t="s">
        <v>34</v>
      </c>
      <c r="L7593" s="25">
        <v>41683.49086805555</v>
      </c>
      <c r="M7593" s="28"/>
      <c r="N7593" s="28"/>
      <c r="O7593" s="22" t="str">
        <f t="shared" ref="O7593:O7594" si="130">HYPERLINK("https://pbs.twimg.com/profile_images/434330530398875649/ngPa79_J_normal.jpeg","View")</f>
        <v>View</v>
      </c>
      <c r="P7593" s="27"/>
    </row>
    <row r="7594">
      <c r="A7594" s="14">
        <v>43031.61568287037</v>
      </c>
      <c r="B7594" s="20" t="str">
        <f t="shared" si="129"/>
        <v>@jpnnws</v>
      </c>
      <c r="C7594" s="21" t="s">
        <v>16832</v>
      </c>
      <c r="D7594" s="21" t="s">
        <v>16834</v>
      </c>
      <c r="E7594" s="22" t="str">
        <f>HYPERLINK("https://twitter.com/jpnnws/status/922580034677862401","922580034677862401")</f>
        <v>922580034677862401</v>
      </c>
      <c r="F7594" s="23" t="s">
        <v>187</v>
      </c>
      <c r="G7594" s="24">
        <v>114.0</v>
      </c>
      <c r="H7594" s="24">
        <v>10.0</v>
      </c>
      <c r="I7594" s="24">
        <v>0.0</v>
      </c>
      <c r="J7594" s="24">
        <v>0.0</v>
      </c>
      <c r="K7594" s="23" t="s">
        <v>34</v>
      </c>
      <c r="L7594" s="25">
        <v>41683.49086805555</v>
      </c>
      <c r="M7594" s="28"/>
      <c r="N7594" s="28"/>
      <c r="O7594" s="22" t="str">
        <f t="shared" si="130"/>
        <v>View</v>
      </c>
      <c r="P7594" s="27"/>
    </row>
    <row r="7595">
      <c r="A7595" s="14">
        <v>43031.61585648148</v>
      </c>
      <c r="B7595" s="20" t="str">
        <f>HYPERLINK("https://twitter.com/IoDNZ","@IoDNZ")</f>
        <v>@IoDNZ</v>
      </c>
      <c r="C7595" s="21" t="s">
        <v>16835</v>
      </c>
      <c r="D7595" s="21" t="s">
        <v>16836</v>
      </c>
      <c r="E7595" s="22" t="str">
        <f>HYPERLINK("https://twitter.com/IoDNZ/status/922580097038680064","922580097038680064")</f>
        <v>922580097038680064</v>
      </c>
      <c r="F7595" s="23" t="s">
        <v>427</v>
      </c>
      <c r="G7595" s="24">
        <v>1459.0</v>
      </c>
      <c r="H7595" s="24">
        <v>567.0</v>
      </c>
      <c r="I7595" s="24">
        <v>0.0</v>
      </c>
      <c r="J7595" s="24">
        <v>0.0</v>
      </c>
      <c r="K7595" s="23" t="s">
        <v>34</v>
      </c>
      <c r="L7595" s="25">
        <v>41240.569699074076</v>
      </c>
      <c r="M7595" s="26" t="s">
        <v>16837</v>
      </c>
      <c r="N7595" s="26" t="s">
        <v>16838</v>
      </c>
      <c r="O7595" s="22" t="str">
        <f>HYPERLINK("https://pbs.twimg.com/profile_images/483734410764623872/sE3R6qg3_normal.jpeg","View")</f>
        <v>View</v>
      </c>
      <c r="P7595" s="27"/>
    </row>
    <row r="7596">
      <c r="A7596" s="14">
        <v>43031.61614583334</v>
      </c>
      <c r="B7596" s="20" t="str">
        <f>HYPERLINK("https://twitter.com/BFISA","@BFISA")</f>
        <v>@BFISA</v>
      </c>
      <c r="C7596" s="21" t="s">
        <v>16839</v>
      </c>
      <c r="D7596" s="21" t="s">
        <v>16840</v>
      </c>
      <c r="E7596" s="22" t="str">
        <f>HYPERLINK("https://twitter.com/BFISA/status/922580202835861505","922580202835861505")</f>
        <v>922580202835861505</v>
      </c>
      <c r="F7596" s="23" t="s">
        <v>55</v>
      </c>
      <c r="G7596" s="24">
        <v>8291.0</v>
      </c>
      <c r="H7596" s="24">
        <v>8998.0</v>
      </c>
      <c r="I7596" s="24">
        <v>1.0</v>
      </c>
      <c r="J7596" s="24">
        <v>0.0</v>
      </c>
      <c r="K7596" s="23" t="s">
        <v>34</v>
      </c>
      <c r="L7596" s="25">
        <v>39933.31355324074</v>
      </c>
      <c r="M7596" s="26" t="s">
        <v>16841</v>
      </c>
      <c r="N7596" s="26" t="s">
        <v>16842</v>
      </c>
      <c r="O7596" s="22" t="str">
        <f>HYPERLINK("https://pbs.twimg.com/profile_images/854872591403700224/pSSCIb5e_normal.jpg","View")</f>
        <v>View</v>
      </c>
      <c r="P7596" s="27"/>
    </row>
    <row r="7597">
      <c r="A7597" s="14">
        <v>43031.61642361111</v>
      </c>
      <c r="B7597" s="20" t="str">
        <f>HYPERLINK("https://twitter.com/cooljanna","@cooljanna")</f>
        <v>@cooljanna</v>
      </c>
      <c r="C7597" s="21" t="s">
        <v>16843</v>
      </c>
      <c r="D7597" s="21" t="s">
        <v>42</v>
      </c>
      <c r="E7597" s="22" t="str">
        <f>HYPERLINK("https://twitter.com/cooljanna/status/922580301024333824","922580301024333824")</f>
        <v>922580301024333824</v>
      </c>
      <c r="F7597" s="23" t="s">
        <v>39</v>
      </c>
      <c r="G7597" s="24">
        <v>1173.0</v>
      </c>
      <c r="H7597" s="24">
        <v>2244.0</v>
      </c>
      <c r="I7597" s="24">
        <v>8501.0</v>
      </c>
      <c r="J7597" s="24">
        <v>0.0</v>
      </c>
      <c r="K7597" s="23" t="s">
        <v>34</v>
      </c>
      <c r="L7597" s="25">
        <v>40716.21739583333</v>
      </c>
      <c r="M7597" s="26" t="s">
        <v>16844</v>
      </c>
      <c r="N7597" s="26" t="s">
        <v>16845</v>
      </c>
      <c r="O7597" s="22" t="str">
        <f>HYPERLINK("https://pbs.twimg.com/profile_images/828291343029972993/eEX5L-Ns_normal.jpg","View")</f>
        <v>View</v>
      </c>
      <c r="P7597" s="27"/>
    </row>
    <row r="7598">
      <c r="A7598" s="14">
        <v>43031.61679398148</v>
      </c>
      <c r="B7598" s="20" t="str">
        <f>HYPERLINK("https://twitter.com/RealtorJairo","@RealtorJairo")</f>
        <v>@RealtorJairo</v>
      </c>
      <c r="C7598" s="21" t="s">
        <v>13300</v>
      </c>
      <c r="D7598" s="21" t="s">
        <v>16846</v>
      </c>
      <c r="E7598" s="22" t="str">
        <f>HYPERLINK("https://twitter.com/RealtorJairo/status/922580438178152448","922580438178152448")</f>
        <v>922580438178152448</v>
      </c>
      <c r="F7598" s="23" t="s">
        <v>48</v>
      </c>
      <c r="G7598" s="24">
        <v>2090.0</v>
      </c>
      <c r="H7598" s="24">
        <v>1107.0</v>
      </c>
      <c r="I7598" s="24">
        <v>0.0</v>
      </c>
      <c r="J7598" s="24">
        <v>0.0</v>
      </c>
      <c r="K7598" s="23" t="s">
        <v>34</v>
      </c>
      <c r="L7598" s="25">
        <v>40026.62519675926</v>
      </c>
      <c r="M7598" s="26" t="s">
        <v>13302</v>
      </c>
      <c r="N7598" s="26" t="s">
        <v>13303</v>
      </c>
      <c r="O7598" s="22" t="str">
        <f>HYPERLINK("https://pbs.twimg.com/profile_images/699053602430590977/qkq4M2C2_normal.jpg","View")</f>
        <v>View</v>
      </c>
      <c r="P7598" s="27"/>
    </row>
    <row r="7599">
      <c r="A7599" s="14">
        <v>43031.616944444446</v>
      </c>
      <c r="B7599" s="20" t="str">
        <f>HYPERLINK("https://twitter.com/hyodo_masatoshi","@hyodo_masatoshi")</f>
        <v>@hyodo_masatoshi</v>
      </c>
      <c r="C7599" s="21" t="s">
        <v>16847</v>
      </c>
      <c r="D7599" s="21" t="s">
        <v>8782</v>
      </c>
      <c r="E7599" s="22" t="str">
        <f>HYPERLINK("https://twitter.com/hyodo_masatoshi/status/922580489772285952","922580489772285952")</f>
        <v>922580489772285952</v>
      </c>
      <c r="F7599" s="23" t="s">
        <v>55</v>
      </c>
      <c r="G7599" s="24">
        <v>35229.0</v>
      </c>
      <c r="H7599" s="24">
        <v>1195.0</v>
      </c>
      <c r="I7599" s="24">
        <v>20.0</v>
      </c>
      <c r="J7599" s="24">
        <v>0.0</v>
      </c>
      <c r="K7599" s="23" t="s">
        <v>34</v>
      </c>
      <c r="L7599" s="25">
        <v>40798.28392361111</v>
      </c>
      <c r="M7599" s="26" t="s">
        <v>16848</v>
      </c>
      <c r="N7599" s="26" t="s">
        <v>16849</v>
      </c>
      <c r="O7599" s="22" t="str">
        <f>HYPERLINK("https://pbs.twimg.com/profile_images/1542385249/88960001ok_normal.jpg","View")</f>
        <v>View</v>
      </c>
      <c r="P7599" s="27"/>
    </row>
    <row r="7600">
      <c r="A7600" s="14">
        <v>43031.61708333333</v>
      </c>
      <c r="B7600" s="20" t="str">
        <f>HYPERLINK("https://twitter.com/xx__Meka","@xx__Meka")</f>
        <v>@xx__Meka</v>
      </c>
      <c r="C7600" s="21" t="s">
        <v>16850</v>
      </c>
      <c r="D7600" s="21" t="s">
        <v>2369</v>
      </c>
      <c r="E7600" s="22" t="str">
        <f>HYPERLINK("https://twitter.com/xx__Meka/status/922580542293409792","922580542293409792")</f>
        <v>922580542293409792</v>
      </c>
      <c r="F7600" s="23" t="s">
        <v>33</v>
      </c>
      <c r="G7600" s="24">
        <v>28.0</v>
      </c>
      <c r="H7600" s="24">
        <v>348.0</v>
      </c>
      <c r="I7600" s="24">
        <v>23.0</v>
      </c>
      <c r="J7600" s="24">
        <v>0.0</v>
      </c>
      <c r="K7600" s="23" t="s">
        <v>34</v>
      </c>
      <c r="L7600" s="25">
        <v>42064.55331018519</v>
      </c>
      <c r="M7600" s="28"/>
      <c r="N7600" s="26" t="s">
        <v>16851</v>
      </c>
      <c r="O7600" s="22" t="str">
        <f>HYPERLINK("https://pbs.twimg.com/profile_images/770376271494778880/TMjgPaBZ_normal.jpg","View")</f>
        <v>View</v>
      </c>
      <c r="P7600" s="27"/>
    </row>
    <row r="7601">
      <c r="A7601" s="14">
        <v>43031.61730324074</v>
      </c>
      <c r="B7601" s="20" t="str">
        <f>HYPERLINK("https://twitter.com/milosfriend2","@milosfriend2")</f>
        <v>@milosfriend2</v>
      </c>
      <c r="C7601" s="21" t="s">
        <v>16852</v>
      </c>
      <c r="D7601" s="21" t="s">
        <v>16537</v>
      </c>
      <c r="E7601" s="22" t="str">
        <f>HYPERLINK("https://twitter.com/milosfriend2/status/922580622278909952","922580622278909952")</f>
        <v>922580622278909952</v>
      </c>
      <c r="F7601" s="23" t="s">
        <v>33</v>
      </c>
      <c r="G7601" s="24">
        <v>1201.0</v>
      </c>
      <c r="H7601" s="24">
        <v>2892.0</v>
      </c>
      <c r="I7601" s="24">
        <v>242.0</v>
      </c>
      <c r="J7601" s="24">
        <v>0.0</v>
      </c>
      <c r="K7601" s="23" t="s">
        <v>34</v>
      </c>
      <c r="L7601" s="25">
        <v>42770.71160879629</v>
      </c>
      <c r="M7601" s="26" t="s">
        <v>16853</v>
      </c>
      <c r="N7601" s="26" t="s">
        <v>16854</v>
      </c>
      <c r="O7601" s="22" t="str">
        <f>HYPERLINK("https://pbs.twimg.com/profile_images/922292613918707712/ZUCGDbHb_normal.jpg","View")</f>
        <v>View</v>
      </c>
      <c r="P7601" s="27"/>
    </row>
    <row r="7602">
      <c r="A7602" s="14">
        <v>43031.617627314816</v>
      </c>
      <c r="B7602" s="20" t="str">
        <f>HYPERLINK("https://twitter.com/Cloud_SDN","@Cloud_SDN")</f>
        <v>@Cloud_SDN</v>
      </c>
      <c r="C7602" s="21" t="s">
        <v>16855</v>
      </c>
      <c r="D7602" s="21" t="s">
        <v>16856</v>
      </c>
      <c r="E7602" s="22" t="str">
        <f>HYPERLINK("https://twitter.com/Cloud_SDN/status/922580739245387776","922580739245387776")</f>
        <v>922580739245387776</v>
      </c>
      <c r="F7602" s="23" t="s">
        <v>16857</v>
      </c>
      <c r="G7602" s="24">
        <v>2200.0</v>
      </c>
      <c r="H7602" s="24">
        <v>1593.0</v>
      </c>
      <c r="I7602" s="24">
        <v>0.0</v>
      </c>
      <c r="J7602" s="24">
        <v>0.0</v>
      </c>
      <c r="K7602" s="23" t="s">
        <v>34</v>
      </c>
      <c r="L7602" s="25">
        <v>41289.231828703705</v>
      </c>
      <c r="M7602" s="26" t="s">
        <v>16858</v>
      </c>
      <c r="N7602" s="26" t="s">
        <v>16859</v>
      </c>
      <c r="O7602" s="22" t="str">
        <f>HYPERLINK("https://pbs.twimg.com/profile_images/3152231441/e81e96499d1e23026b1e31f0b5359326_normal.png","View")</f>
        <v>View</v>
      </c>
      <c r="P7602" s="27"/>
    </row>
    <row r="7603">
      <c r="A7603" s="14">
        <v>43031.61769675926</v>
      </c>
      <c r="B7603" s="20" t="str">
        <f>HYPERLINK("https://twitter.com/SandraKelly11","@SandraKelly11")</f>
        <v>@SandraKelly11</v>
      </c>
      <c r="C7603" s="21" t="s">
        <v>16860</v>
      </c>
      <c r="D7603" s="21" t="s">
        <v>7106</v>
      </c>
      <c r="E7603" s="22" t="str">
        <f>HYPERLINK("https://twitter.com/SandraKelly11/status/922580761839988736","922580761839988736")</f>
        <v>922580761839988736</v>
      </c>
      <c r="F7603" s="23" t="s">
        <v>33</v>
      </c>
      <c r="G7603" s="24">
        <v>588.0</v>
      </c>
      <c r="H7603" s="24">
        <v>560.0</v>
      </c>
      <c r="I7603" s="24">
        <v>16.0</v>
      </c>
      <c r="J7603" s="24">
        <v>0.0</v>
      </c>
      <c r="K7603" s="23" t="s">
        <v>34</v>
      </c>
      <c r="L7603" s="25">
        <v>40837.69789351852</v>
      </c>
      <c r="M7603" s="26" t="s">
        <v>3011</v>
      </c>
      <c r="N7603" s="26" t="s">
        <v>16861</v>
      </c>
      <c r="O7603" s="22" t="str">
        <f>HYPERLINK("https://pbs.twimg.com/profile_images/3389874236/a33f8a52894421b8b4ef0f16f7e4b107_normal.jpeg","View")</f>
        <v>View</v>
      </c>
      <c r="P7603" s="27"/>
    </row>
    <row r="7604">
      <c r="A7604" s="14">
        <v>43031.61769675926</v>
      </c>
      <c r="B7604" s="20" t="str">
        <f>HYPERLINK("https://twitter.com/PianistWaka","@PianistWaka")</f>
        <v>@PianistWaka</v>
      </c>
      <c r="C7604" s="21" t="s">
        <v>16862</v>
      </c>
      <c r="D7604" s="21" t="s">
        <v>16863</v>
      </c>
      <c r="E7604" s="22" t="str">
        <f>HYPERLINK("https://twitter.com/PianistWaka/status/922580763387793408","922580763387793408")</f>
        <v>922580763387793408</v>
      </c>
      <c r="F7604" s="23" t="s">
        <v>39</v>
      </c>
      <c r="G7604" s="24">
        <v>791.0</v>
      </c>
      <c r="H7604" s="24">
        <v>1261.0</v>
      </c>
      <c r="I7604" s="24">
        <v>250.0</v>
      </c>
      <c r="J7604" s="24">
        <v>0.0</v>
      </c>
      <c r="K7604" s="23" t="s">
        <v>34</v>
      </c>
      <c r="L7604" s="25">
        <v>39860.431226851855</v>
      </c>
      <c r="M7604" s="26" t="s">
        <v>334</v>
      </c>
      <c r="N7604" s="26" t="s">
        <v>16864</v>
      </c>
      <c r="O7604" s="22" t="str">
        <f>HYPERLINK("https://pbs.twimg.com/profile_images/713113481411735554/AI6rMCdj_normal.jpg","View")</f>
        <v>View</v>
      </c>
      <c r="P7604" s="27"/>
    </row>
    <row r="7605">
      <c r="A7605" s="14">
        <v>43031.618310185186</v>
      </c>
      <c r="B7605" s="20" t="str">
        <f>HYPERLINK("https://twitter.com/mycomfor","@mycomfor")</f>
        <v>@mycomfor</v>
      </c>
      <c r="C7605" s="21" t="s">
        <v>16865</v>
      </c>
      <c r="D7605" s="21" t="s">
        <v>16866</v>
      </c>
      <c r="E7605" s="22" t="str">
        <f>HYPERLINK("https://twitter.com/mycomfor/status/922580986755534848","922580986755534848")</f>
        <v>922580986755534848</v>
      </c>
      <c r="F7605" s="23" t="s">
        <v>55</v>
      </c>
      <c r="G7605" s="24">
        <v>545.0</v>
      </c>
      <c r="H7605" s="24">
        <v>133.0</v>
      </c>
      <c r="I7605" s="24">
        <v>0.0</v>
      </c>
      <c r="J7605" s="24">
        <v>0.0</v>
      </c>
      <c r="K7605" s="23" t="s">
        <v>34</v>
      </c>
      <c r="L7605" s="25">
        <v>40598.42548611111</v>
      </c>
      <c r="M7605" s="26" t="s">
        <v>16867</v>
      </c>
      <c r="N7605" s="26" t="s">
        <v>16868</v>
      </c>
      <c r="O7605" s="22" t="str">
        <f>HYPERLINK("https://pbs.twimg.com/profile_images/1254132835/3com_normal.jpg","View")</f>
        <v>View</v>
      </c>
      <c r="P7605" s="27"/>
    </row>
    <row r="7606">
      <c r="A7606" s="14">
        <v>43031.61833333333</v>
      </c>
      <c r="B7606" s="20" t="str">
        <f>HYPERLINK("https://twitter.com/hkanke","@hkanke")</f>
        <v>@hkanke</v>
      </c>
      <c r="C7606" s="21" t="s">
        <v>16869</v>
      </c>
      <c r="D7606" s="21" t="s">
        <v>8782</v>
      </c>
      <c r="E7606" s="22" t="str">
        <f>HYPERLINK("https://twitter.com/hkanke/status/922580995915653120","922580995915653120")</f>
        <v>922580995915653120</v>
      </c>
      <c r="F7606" s="23" t="s">
        <v>43</v>
      </c>
      <c r="G7606" s="24">
        <v>707.0</v>
      </c>
      <c r="H7606" s="24">
        <v>2.0</v>
      </c>
      <c r="I7606" s="24">
        <v>20.0</v>
      </c>
      <c r="J7606" s="24">
        <v>0.0</v>
      </c>
      <c r="K7606" s="23" t="s">
        <v>34</v>
      </c>
      <c r="L7606" s="25">
        <v>40215.04094907407</v>
      </c>
      <c r="M7606" s="26" t="s">
        <v>16870</v>
      </c>
      <c r="N7606" s="26" t="s">
        <v>16871</v>
      </c>
      <c r="O7606" s="22" t="str">
        <f>HYPERLINK("https://pbs.twimg.com/profile_images/859823742/-20090512dsc00237_normal.jpg","View")</f>
        <v>View</v>
      </c>
      <c r="P7606" s="27"/>
    </row>
    <row r="7607">
      <c r="A7607" s="14">
        <v>43031.618356481486</v>
      </c>
      <c r="B7607" s="20" t="str">
        <f>HYPERLINK("https://twitter.com/RohiniShah1","@RohiniShah1")</f>
        <v>@RohiniShah1</v>
      </c>
      <c r="C7607" s="21" t="s">
        <v>16872</v>
      </c>
      <c r="D7607" s="21" t="s">
        <v>430</v>
      </c>
      <c r="E7607" s="22" t="str">
        <f>HYPERLINK("https://twitter.com/RohiniShah1/status/922581002236645377","922581002236645377")</f>
        <v>922581002236645377</v>
      </c>
      <c r="F7607" s="23" t="s">
        <v>33</v>
      </c>
      <c r="G7607" s="24">
        <v>10147.0</v>
      </c>
      <c r="H7607" s="24">
        <v>1229.0</v>
      </c>
      <c r="I7607" s="24">
        <v>62.0</v>
      </c>
      <c r="J7607" s="24">
        <v>0.0</v>
      </c>
      <c r="K7607" s="23" t="s">
        <v>34</v>
      </c>
      <c r="L7607" s="25">
        <v>40964.14854166667</v>
      </c>
      <c r="M7607" s="26" t="s">
        <v>1250</v>
      </c>
      <c r="N7607" s="26" t="s">
        <v>16873</v>
      </c>
      <c r="O7607" s="22" t="str">
        <f>HYPERLINK("https://pbs.twimg.com/profile_images/908104634245554177/SawPLBWS_normal.jpg","View")</f>
        <v>View</v>
      </c>
      <c r="P7607" s="27"/>
    </row>
    <row r="7608">
      <c r="A7608" s="14">
        <v>43031.61839120371</v>
      </c>
      <c r="B7608" s="20" t="str">
        <f>HYPERLINK("https://twitter.com/JPBENAVE","@JPBENAVE")</f>
        <v>@JPBENAVE</v>
      </c>
      <c r="C7608" s="21" t="s">
        <v>16874</v>
      </c>
      <c r="D7608" s="21" t="s">
        <v>12565</v>
      </c>
      <c r="E7608" s="22" t="str">
        <f>HYPERLINK("https://twitter.com/JPBENAVE/status/922581017646518273","922581017646518273")</f>
        <v>922581017646518273</v>
      </c>
      <c r="F7608" s="23" t="s">
        <v>43</v>
      </c>
      <c r="G7608" s="24">
        <v>904.0</v>
      </c>
      <c r="H7608" s="24">
        <v>4264.0</v>
      </c>
      <c r="I7608" s="24">
        <v>32.0</v>
      </c>
      <c r="J7608" s="24">
        <v>0.0</v>
      </c>
      <c r="K7608" s="23" t="s">
        <v>34</v>
      </c>
      <c r="L7608" s="25">
        <v>40763.74465277778</v>
      </c>
      <c r="M7608" s="26" t="s">
        <v>16875</v>
      </c>
      <c r="N7608" s="26" t="s">
        <v>16876</v>
      </c>
      <c r="O7608" s="22" t="str">
        <f>HYPERLINK("https://pbs.twimg.com/profile_images/919309190862053376/N7mRMBCU_normal.jpg","View")</f>
        <v>View</v>
      </c>
      <c r="P7608" s="27"/>
    </row>
    <row r="7609">
      <c r="A7609" s="14">
        <v>43031.61886574074</v>
      </c>
      <c r="B7609" s="20" t="str">
        <f>HYPERLINK("https://twitter.com/shaashtanga","@shaashtanga")</f>
        <v>@shaashtanga</v>
      </c>
      <c r="C7609" s="21" t="s">
        <v>16877</v>
      </c>
      <c r="D7609" s="21" t="s">
        <v>163</v>
      </c>
      <c r="E7609" s="22" t="str">
        <f>HYPERLINK("https://twitter.com/shaashtanga/status/922581187675045889","922581187675045889")</f>
        <v>922581187675045889</v>
      </c>
      <c r="F7609" s="23" t="s">
        <v>39</v>
      </c>
      <c r="G7609" s="24">
        <v>515.0</v>
      </c>
      <c r="H7609" s="24">
        <v>1715.0</v>
      </c>
      <c r="I7609" s="24">
        <v>1005.0</v>
      </c>
      <c r="J7609" s="24">
        <v>0.0</v>
      </c>
      <c r="K7609" s="23" t="s">
        <v>34</v>
      </c>
      <c r="L7609" s="25">
        <v>40752.37981481481</v>
      </c>
      <c r="M7609" s="26" t="s">
        <v>92</v>
      </c>
      <c r="N7609" s="26" t="s">
        <v>16877</v>
      </c>
      <c r="O7609" s="22" t="str">
        <f>HYPERLINK("https://pbs.twimg.com/profile_images/524001598087782400/Uplxggh7_normal.jpeg","View")</f>
        <v>View</v>
      </c>
      <c r="P7609" s="27"/>
    </row>
    <row r="7610">
      <c r="A7610" s="14">
        <v>43031.619305555556</v>
      </c>
      <c r="B7610" s="20" t="str">
        <f>HYPERLINK("https://twitter.com/KazushiNagayama","@KazushiNagayama")</f>
        <v>@KazushiNagayama</v>
      </c>
      <c r="C7610" s="21" t="s">
        <v>16878</v>
      </c>
      <c r="D7610" s="21" t="s">
        <v>16879</v>
      </c>
      <c r="E7610" s="22" t="str">
        <f>HYPERLINK("https://twitter.com/KazushiNagayama/status/922581347683594240","922581347683594240")</f>
        <v>922581347683594240</v>
      </c>
      <c r="F7610" s="23" t="s">
        <v>33</v>
      </c>
      <c r="G7610" s="24">
        <v>1925.0</v>
      </c>
      <c r="H7610" s="24">
        <v>109.0</v>
      </c>
      <c r="I7610" s="24">
        <v>0.0</v>
      </c>
      <c r="J7610" s="24">
        <v>0.0</v>
      </c>
      <c r="K7610" s="23" t="s">
        <v>34</v>
      </c>
      <c r="L7610" s="25">
        <v>40686.22659722222</v>
      </c>
      <c r="M7610" s="26" t="s">
        <v>16880</v>
      </c>
      <c r="N7610" s="26" t="s">
        <v>16881</v>
      </c>
      <c r="O7610" s="22" t="str">
        <f>HYPERLINK("https://pbs.twimg.com/profile_images/615965275943366657/ttFKi-FN_normal.jpg","View")</f>
        <v>View</v>
      </c>
      <c r="P7610" s="27"/>
    </row>
    <row r="7611">
      <c r="A7611" s="14">
        <v>43031.61938657408</v>
      </c>
      <c r="B7611" s="20" t="str">
        <f>HYPERLINK("https://twitter.com/towittertoo","@towittertoo")</f>
        <v>@towittertoo</v>
      </c>
      <c r="C7611" s="21" t="s">
        <v>16882</v>
      </c>
      <c r="D7611" s="21" t="s">
        <v>16537</v>
      </c>
      <c r="E7611" s="22" t="str">
        <f>HYPERLINK("https://twitter.com/towittertoo/status/922581375974289408","922581375974289408")</f>
        <v>922581375974289408</v>
      </c>
      <c r="F7611" s="23" t="s">
        <v>39</v>
      </c>
      <c r="G7611" s="24">
        <v>1166.0</v>
      </c>
      <c r="H7611" s="24">
        <v>2496.0</v>
      </c>
      <c r="I7611" s="24">
        <v>242.0</v>
      </c>
      <c r="J7611" s="24">
        <v>0.0</v>
      </c>
      <c r="K7611" s="23" t="s">
        <v>34</v>
      </c>
      <c r="L7611" s="25">
        <v>39689.65957175926</v>
      </c>
      <c r="M7611" s="26" t="s">
        <v>389</v>
      </c>
      <c r="N7611" s="26" t="s">
        <v>16883</v>
      </c>
      <c r="O7611" s="22" t="str">
        <f>HYPERLINK("https://pbs.twimg.com/profile_images/3523854119/a4d949cf156b485463758487f7ca2410_normal.jpeg","View")</f>
        <v>View</v>
      </c>
      <c r="P7611" s="27"/>
    </row>
    <row r="7612">
      <c r="A7612" s="14">
        <v>43031.61954861111</v>
      </c>
      <c r="B7612" s="20" t="str">
        <f>HYPERLINK("https://twitter.com/hae_chanist","@hae_chanist")</f>
        <v>@hae_chanist</v>
      </c>
      <c r="C7612" s="21" t="s">
        <v>16884</v>
      </c>
      <c r="D7612" s="21" t="s">
        <v>2595</v>
      </c>
      <c r="E7612" s="22" t="str">
        <f>HYPERLINK("https://twitter.com/hae_chanist/status/922581433754861568","922581433754861568")</f>
        <v>922581433754861568</v>
      </c>
      <c r="F7612" s="23" t="s">
        <v>39</v>
      </c>
      <c r="G7612" s="24">
        <v>113.0</v>
      </c>
      <c r="H7612" s="24">
        <v>85.0</v>
      </c>
      <c r="I7612" s="24">
        <v>170.0</v>
      </c>
      <c r="J7612" s="24">
        <v>0.0</v>
      </c>
      <c r="K7612" s="23" t="s">
        <v>34</v>
      </c>
      <c r="L7612" s="25">
        <v>42781.31560185185</v>
      </c>
      <c r="M7612" s="26" t="s">
        <v>1563</v>
      </c>
      <c r="N7612" s="28"/>
      <c r="O7612" s="22" t="str">
        <f>HYPERLINK("https://pbs.twimg.com/profile_images/916813492056866816/9OnIhn0q_normal.jpg","View")</f>
        <v>View</v>
      </c>
      <c r="P7612" s="27"/>
    </row>
    <row r="7613">
      <c r="A7613" s="14">
        <v>43031.6196875</v>
      </c>
      <c r="B7613" s="20" t="str">
        <f>HYPERLINK("https://twitter.com/1972Libby","@1972Libby")</f>
        <v>@1972Libby</v>
      </c>
      <c r="C7613" s="21" t="s">
        <v>16885</v>
      </c>
      <c r="D7613" s="21" t="s">
        <v>16537</v>
      </c>
      <c r="E7613" s="22" t="str">
        <f>HYPERLINK("https://twitter.com/1972Libby/status/922581485831499776","922581485831499776")</f>
        <v>922581485831499776</v>
      </c>
      <c r="F7613" s="23" t="s">
        <v>39</v>
      </c>
      <c r="G7613" s="24">
        <v>147.0</v>
      </c>
      <c r="H7613" s="24">
        <v>623.0</v>
      </c>
      <c r="I7613" s="24">
        <v>242.0</v>
      </c>
      <c r="J7613" s="24">
        <v>0.0</v>
      </c>
      <c r="K7613" s="23" t="s">
        <v>34</v>
      </c>
      <c r="L7613" s="25">
        <v>42360.246041666665</v>
      </c>
      <c r="M7613" s="26" t="s">
        <v>16886</v>
      </c>
      <c r="N7613" s="28"/>
      <c r="O7613" s="22" t="str">
        <f>HYPERLINK("https://pbs.twimg.com/profile_images/823628673332940804/L3FZ_nlL_normal.jpg","View")</f>
        <v>View</v>
      </c>
      <c r="P7613" s="27"/>
    </row>
    <row r="7614">
      <c r="A7614" s="14">
        <v>43031.61981481481</v>
      </c>
      <c r="B7614" s="20" t="str">
        <f>HYPERLINK("https://twitter.com/egamiday","@egamiday")</f>
        <v>@egamiday</v>
      </c>
      <c r="C7614" s="21" t="s">
        <v>16887</v>
      </c>
      <c r="D7614" s="21" t="s">
        <v>1642</v>
      </c>
      <c r="E7614" s="22" t="str">
        <f>HYPERLINK("https://twitter.com/egamiday/status/922581529431179264","922581529431179264")</f>
        <v>922581529431179264</v>
      </c>
      <c r="F7614" s="23" t="s">
        <v>39</v>
      </c>
      <c r="G7614" s="24">
        <v>2063.0</v>
      </c>
      <c r="H7614" s="24">
        <v>244.0</v>
      </c>
      <c r="I7614" s="24">
        <v>199.0</v>
      </c>
      <c r="J7614" s="24">
        <v>0.0</v>
      </c>
      <c r="K7614" s="23" t="s">
        <v>34</v>
      </c>
      <c r="L7614" s="25">
        <v>39770.815</v>
      </c>
      <c r="M7614" s="26" t="s">
        <v>2008</v>
      </c>
      <c r="N7614" s="26" t="s">
        <v>16888</v>
      </c>
      <c r="O7614" s="22" t="str">
        <f>HYPERLINK("https://pbs.twimg.com/profile_images/910350420459089920/bDbvpI14_normal.jpg","View")</f>
        <v>View</v>
      </c>
      <c r="P7614" s="27"/>
    </row>
    <row r="7615">
      <c r="A7615" s="14">
        <v>43031.62039351852</v>
      </c>
      <c r="B7615" s="20" t="str">
        <f>HYPERLINK("https://twitter.com/slater_rose","@slater_rose")</f>
        <v>@slater_rose</v>
      </c>
      <c r="C7615" s="21" t="s">
        <v>16889</v>
      </c>
      <c r="D7615" s="21" t="s">
        <v>16537</v>
      </c>
      <c r="E7615" s="22" t="str">
        <f>HYPERLINK("https://twitter.com/slater_rose/status/922581740928901120","922581740928901120")</f>
        <v>922581740928901120</v>
      </c>
      <c r="F7615" s="23" t="s">
        <v>33</v>
      </c>
      <c r="G7615" s="24">
        <v>2776.0</v>
      </c>
      <c r="H7615" s="24">
        <v>4728.0</v>
      </c>
      <c r="I7615" s="24">
        <v>242.0</v>
      </c>
      <c r="J7615" s="24">
        <v>0.0</v>
      </c>
      <c r="K7615" s="23" t="s">
        <v>34</v>
      </c>
      <c r="L7615" s="25">
        <v>40727.665717592594</v>
      </c>
      <c r="M7615" s="26" t="s">
        <v>16890</v>
      </c>
      <c r="N7615" s="26" t="s">
        <v>16891</v>
      </c>
      <c r="O7615" s="22" t="str">
        <f>HYPERLINK("https://pbs.twimg.com/profile_images/891145844182863872/lW3FFSy6_normal.jpg","View")</f>
        <v>View</v>
      </c>
      <c r="P7615" s="27"/>
    </row>
    <row r="7616">
      <c r="A7616" s="14">
        <v>43031.62042824074</v>
      </c>
      <c r="B7616" s="20" t="str">
        <f>HYPERLINK("https://twitter.com/raj1a","@raj1a")</f>
        <v>@raj1a</v>
      </c>
      <c r="C7616" s="21" t="s">
        <v>9782</v>
      </c>
      <c r="D7616" s="21" t="s">
        <v>42</v>
      </c>
      <c r="E7616" s="22" t="str">
        <f>HYPERLINK("https://twitter.com/raj1a/status/922581752773689344","922581752773689344")</f>
        <v>922581752773689344</v>
      </c>
      <c r="F7616" s="23" t="s">
        <v>43</v>
      </c>
      <c r="G7616" s="24">
        <v>33.0</v>
      </c>
      <c r="H7616" s="24">
        <v>49.0</v>
      </c>
      <c r="I7616" s="24">
        <v>8501.0</v>
      </c>
      <c r="J7616" s="24">
        <v>0.0</v>
      </c>
      <c r="K7616" s="23" t="s">
        <v>34</v>
      </c>
      <c r="L7616" s="25">
        <v>40184.43673611111</v>
      </c>
      <c r="M7616" s="28"/>
      <c r="N7616" s="28"/>
      <c r="O7616" s="22" t="str">
        <f>HYPERLINK("https://abs.twimg.com/sticky/default_profile_images/default_profile_normal.png","View")</f>
        <v>View</v>
      </c>
      <c r="P7616" s="27"/>
    </row>
    <row r="7617">
      <c r="A7617" s="14">
        <v>43031.620474537034</v>
      </c>
      <c r="B7617" s="20" t="str">
        <f>HYPERLINK("https://twitter.com/marazare","@marazare")</f>
        <v>@marazare</v>
      </c>
      <c r="C7617" s="21" t="s">
        <v>16892</v>
      </c>
      <c r="D7617" s="21" t="s">
        <v>16537</v>
      </c>
      <c r="E7617" s="22" t="str">
        <f>HYPERLINK("https://twitter.com/marazare/status/922581770943336448","922581770943336448")</f>
        <v>922581770943336448</v>
      </c>
      <c r="F7617" s="23" t="s">
        <v>39</v>
      </c>
      <c r="G7617" s="24">
        <v>23.0</v>
      </c>
      <c r="H7617" s="24">
        <v>96.0</v>
      </c>
      <c r="I7617" s="24">
        <v>242.0</v>
      </c>
      <c r="J7617" s="24">
        <v>0.0</v>
      </c>
      <c r="K7617" s="23" t="s">
        <v>34</v>
      </c>
      <c r="L7617" s="25">
        <v>41066.66798611111</v>
      </c>
      <c r="M7617" s="28"/>
      <c r="N7617" s="28"/>
      <c r="O7617" s="22" t="str">
        <f>HYPERLINK("https://pbs.twimg.com/profile_images/2285078326/184245_1554094621940_1522429513_31229413_920019_n_normal.jpg","View")</f>
        <v>View</v>
      </c>
      <c r="P7617" s="27"/>
    </row>
    <row r="7618">
      <c r="A7618" s="14">
        <v>43031.62105324074</v>
      </c>
      <c r="B7618" s="20" t="str">
        <f>HYPERLINK("https://twitter.com/wbisken","@wbisken")</f>
        <v>@wbisken</v>
      </c>
      <c r="C7618" s="21" t="s">
        <v>16893</v>
      </c>
      <c r="D7618" s="21" t="s">
        <v>1642</v>
      </c>
      <c r="E7618" s="22" t="str">
        <f>HYPERLINK("https://twitter.com/wbisken/status/922581979068956672","922581979068956672")</f>
        <v>922581979068956672</v>
      </c>
      <c r="F7618" s="23" t="s">
        <v>43</v>
      </c>
      <c r="G7618" s="24">
        <v>721.0</v>
      </c>
      <c r="H7618" s="24">
        <v>2076.0</v>
      </c>
      <c r="I7618" s="24">
        <v>199.0</v>
      </c>
      <c r="J7618" s="24">
        <v>0.0</v>
      </c>
      <c r="K7618" s="23" t="s">
        <v>34</v>
      </c>
      <c r="L7618" s="25">
        <v>40333.17458333333</v>
      </c>
      <c r="M7618" s="26" t="s">
        <v>16894</v>
      </c>
      <c r="N7618" s="26" t="s">
        <v>16895</v>
      </c>
      <c r="O7618" s="22" t="str">
        <f>HYPERLINK("https://pbs.twimg.com/profile_images/608664390074667008/ze1rp3Wn_normal.png","View")</f>
        <v>View</v>
      </c>
      <c r="P7618" s="27"/>
    </row>
    <row r="7619">
      <c r="A7619" s="14">
        <v>43031.62133101852</v>
      </c>
      <c r="B7619" s="20" t="str">
        <f>HYPERLINK("https://twitter.com/TheAshokSingh","@TheAshokSingh")</f>
        <v>@TheAshokSingh</v>
      </c>
      <c r="C7619" s="21" t="s">
        <v>16896</v>
      </c>
      <c r="D7619" s="21" t="s">
        <v>430</v>
      </c>
      <c r="E7619" s="22" t="str">
        <f>HYPERLINK("https://twitter.com/TheAshokSingh/status/922582082169253890","922582082169253890")</f>
        <v>922582082169253890</v>
      </c>
      <c r="F7619" s="23" t="s">
        <v>39</v>
      </c>
      <c r="G7619" s="24">
        <v>6518.0</v>
      </c>
      <c r="H7619" s="24">
        <v>838.0</v>
      </c>
      <c r="I7619" s="24">
        <v>62.0</v>
      </c>
      <c r="J7619" s="24">
        <v>0.0</v>
      </c>
      <c r="K7619" s="23" t="s">
        <v>34</v>
      </c>
      <c r="L7619" s="25">
        <v>40622.20408564815</v>
      </c>
      <c r="M7619" s="26" t="s">
        <v>16897</v>
      </c>
      <c r="N7619" s="26" t="s">
        <v>16898</v>
      </c>
      <c r="O7619" s="22" t="str">
        <f>HYPERLINK("https://pbs.twimg.com/profile_images/862981866051260418/jJzPKkNi_normal.jpg","View")</f>
        <v>View</v>
      </c>
      <c r="P7619" s="27"/>
    </row>
    <row r="7620">
      <c r="A7620" s="14">
        <v>43031.62142361111</v>
      </c>
      <c r="B7620" s="20" t="str">
        <f>HYPERLINK("https://twitter.com/SIRSINT","@SIRSINT")</f>
        <v>@SIRSINT</v>
      </c>
      <c r="C7620" s="21" t="s">
        <v>16899</v>
      </c>
      <c r="D7620" s="21" t="s">
        <v>10614</v>
      </c>
      <c r="E7620" s="22" t="str">
        <f>HYPERLINK("https://twitter.com/SIRSINT/status/922582113454452736","922582113454452736")</f>
        <v>922582113454452736</v>
      </c>
      <c r="F7620" s="23" t="s">
        <v>55</v>
      </c>
      <c r="G7620" s="24">
        <v>269.0</v>
      </c>
      <c r="H7620" s="24">
        <v>248.0</v>
      </c>
      <c r="I7620" s="24">
        <v>159.0</v>
      </c>
      <c r="J7620" s="24">
        <v>0.0</v>
      </c>
      <c r="K7620" s="23" t="s">
        <v>34</v>
      </c>
      <c r="L7620" s="25">
        <v>42566.441157407404</v>
      </c>
      <c r="M7620" s="26" t="s">
        <v>16900</v>
      </c>
      <c r="N7620" s="26" t="s">
        <v>16901</v>
      </c>
      <c r="O7620" s="22" t="str">
        <f>HYPERLINK("https://pbs.twimg.com/profile_images/773283982796390400/zyf4J8NI_normal.jpg","View")</f>
        <v>View</v>
      </c>
      <c r="P7620" s="27"/>
    </row>
    <row r="7621">
      <c r="A7621" s="14">
        <v>43031.621990740736</v>
      </c>
      <c r="B7621" s="20" t="str">
        <f>HYPERLINK("https://twitter.com/nankaisensei","@nankaisensei")</f>
        <v>@nankaisensei</v>
      </c>
      <c r="C7621" s="21" t="s">
        <v>16902</v>
      </c>
      <c r="D7621" s="21" t="s">
        <v>16903</v>
      </c>
      <c r="E7621" s="22" t="str">
        <f>HYPERLINK("https://twitter.com/nankaisensei/status/922582318102953985","922582318102953985")</f>
        <v>922582318102953985</v>
      </c>
      <c r="F7621" s="23" t="s">
        <v>39</v>
      </c>
      <c r="G7621" s="24">
        <v>335.0</v>
      </c>
      <c r="H7621" s="24">
        <v>477.0</v>
      </c>
      <c r="I7621" s="24">
        <v>0.0</v>
      </c>
      <c r="J7621" s="24">
        <v>0.0</v>
      </c>
      <c r="K7621" s="23" t="s">
        <v>34</v>
      </c>
      <c r="L7621" s="25">
        <v>42043.657534722224</v>
      </c>
      <c r="M7621" s="26" t="s">
        <v>660</v>
      </c>
      <c r="N7621" s="26" t="s">
        <v>16904</v>
      </c>
      <c r="O7621" s="22" t="str">
        <f>HYPERLINK("https://pbs.twimg.com/profile_images/920908229311266816/SUp3Bna1_normal.jpg","View")</f>
        <v>View</v>
      </c>
      <c r="P7621" s="27"/>
    </row>
    <row r="7622">
      <c r="A7622" s="14">
        <v>43031.62212962963</v>
      </c>
      <c r="B7622" s="20" t="str">
        <f>HYPERLINK("https://twitter.com/MichikoNoda15","@MichikoNoda15")</f>
        <v>@MichikoNoda15</v>
      </c>
      <c r="C7622" s="21" t="s">
        <v>16905</v>
      </c>
      <c r="D7622" s="21" t="s">
        <v>12974</v>
      </c>
      <c r="E7622" s="22" t="str">
        <f>HYPERLINK("https://twitter.com/MichikoNoda15/status/922582370280022016","922582370280022016")</f>
        <v>922582370280022016</v>
      </c>
      <c r="F7622" s="23" t="s">
        <v>39</v>
      </c>
      <c r="G7622" s="24">
        <v>30.0</v>
      </c>
      <c r="H7622" s="24">
        <v>33.0</v>
      </c>
      <c r="I7622" s="24">
        <v>110.0</v>
      </c>
      <c r="J7622" s="24">
        <v>0.0</v>
      </c>
      <c r="K7622" s="23" t="s">
        <v>34</v>
      </c>
      <c r="L7622" s="25">
        <v>42583.92380787037</v>
      </c>
      <c r="M7622" s="28"/>
      <c r="N7622" s="26" t="s">
        <v>16906</v>
      </c>
      <c r="O7622" s="22" t="str">
        <f>HYPERLINK("https://pbs.twimg.com/profile_images/914638129348276224/yIeBErZA_normal.jpg","View")</f>
        <v>View</v>
      </c>
      <c r="P7622" s="27"/>
    </row>
    <row r="7623">
      <c r="A7623" s="14">
        <v>43031.62236111111</v>
      </c>
      <c r="B7623" s="20" t="str">
        <f>HYPERLINK("https://twitter.com/Ecsullie","@Ecsullie")</f>
        <v>@Ecsullie</v>
      </c>
      <c r="C7623" s="21" t="s">
        <v>16907</v>
      </c>
      <c r="D7623" s="21" t="s">
        <v>14855</v>
      </c>
      <c r="E7623" s="22" t="str">
        <f>HYPERLINK("https://twitter.com/Ecsullie/status/922582452396228608","922582452396228608")</f>
        <v>922582452396228608</v>
      </c>
      <c r="F7623" s="23" t="s">
        <v>39</v>
      </c>
      <c r="G7623" s="24">
        <v>1936.0</v>
      </c>
      <c r="H7623" s="24">
        <v>3058.0</v>
      </c>
      <c r="I7623" s="24">
        <v>36.0</v>
      </c>
      <c r="J7623" s="24">
        <v>0.0</v>
      </c>
      <c r="K7623" s="23" t="s">
        <v>34</v>
      </c>
      <c r="L7623" s="25">
        <v>40639.583078703705</v>
      </c>
      <c r="M7623" s="26" t="s">
        <v>16908</v>
      </c>
      <c r="N7623" s="26" t="s">
        <v>16909</v>
      </c>
      <c r="O7623" s="22" t="str">
        <f>HYPERLINK("https://pbs.twimg.com/profile_images/721460875555639299/a98gxRT2_normal.jpg","View")</f>
        <v>View</v>
      </c>
      <c r="P7623" s="27"/>
    </row>
    <row r="7624">
      <c r="A7624" s="14">
        <v>43031.62268518518</v>
      </c>
      <c r="B7624" s="20" t="str">
        <f>HYPERLINK("https://twitter.com/MarieBo02802331","@MarieBo02802331")</f>
        <v>@MarieBo02802331</v>
      </c>
      <c r="C7624" s="21" t="s">
        <v>16910</v>
      </c>
      <c r="D7624" s="21" t="s">
        <v>16537</v>
      </c>
      <c r="E7624" s="22" t="str">
        <f>HYPERLINK("https://twitter.com/MarieBo02802331/status/922582573527711744","922582573527711744")</f>
        <v>922582573527711744</v>
      </c>
      <c r="F7624" s="23" t="s">
        <v>39</v>
      </c>
      <c r="G7624" s="24">
        <v>51.0</v>
      </c>
      <c r="H7624" s="24">
        <v>477.0</v>
      </c>
      <c r="I7624" s="24">
        <v>242.0</v>
      </c>
      <c r="J7624" s="24">
        <v>0.0</v>
      </c>
      <c r="K7624" s="23" t="s">
        <v>34</v>
      </c>
      <c r="L7624" s="25">
        <v>42948.4762962963</v>
      </c>
      <c r="M7624" s="28"/>
      <c r="N7624" s="28"/>
      <c r="O7624" s="22" t="str">
        <f>HYPERLINK("https://pbs.twimg.com/profile_images/892452727858511872/W2MK7DEy_normal.jpg","View")</f>
        <v>View</v>
      </c>
      <c r="P7624" s="27"/>
    </row>
    <row r="7625">
      <c r="A7625" s="14">
        <v>43031.62314814815</v>
      </c>
      <c r="B7625" s="20" t="str">
        <f>HYPERLINK("https://twitter.com/TwistAnonStorm","@TwistAnonStorm")</f>
        <v>@TwistAnonStorm</v>
      </c>
      <c r="C7625" s="21" t="s">
        <v>16911</v>
      </c>
      <c r="D7625" s="21" t="s">
        <v>16912</v>
      </c>
      <c r="E7625" s="22" t="str">
        <f>HYPERLINK("https://twitter.com/TwistAnonStorm/status/922582740226203648","922582740226203648")</f>
        <v>922582740226203648</v>
      </c>
      <c r="F7625" s="23" t="s">
        <v>55</v>
      </c>
      <c r="G7625" s="24">
        <v>5249.0</v>
      </c>
      <c r="H7625" s="24">
        <v>5699.0</v>
      </c>
      <c r="I7625" s="24">
        <v>56.0</v>
      </c>
      <c r="J7625" s="24">
        <v>0.0</v>
      </c>
      <c r="K7625" s="23" t="s">
        <v>34</v>
      </c>
      <c r="L7625" s="25">
        <v>41713.96127314815</v>
      </c>
      <c r="M7625" s="26" t="s">
        <v>16913</v>
      </c>
      <c r="N7625" s="26" t="s">
        <v>16914</v>
      </c>
      <c r="O7625" s="22" t="str">
        <f>HYPERLINK("https://pbs.twimg.com/profile_images/911487062481752064/lfoqqocA_normal.jpg","View")</f>
        <v>View</v>
      </c>
      <c r="P7625" s="27"/>
    </row>
    <row r="7626">
      <c r="A7626" s="14">
        <v>43031.62329861111</v>
      </c>
      <c r="B7626" s="20" t="str">
        <f>HYPERLINK("https://twitter.com/Yawpkahrma","@Yawpkahrma")</f>
        <v>@Yawpkahrma</v>
      </c>
      <c r="C7626" s="21" t="s">
        <v>16915</v>
      </c>
      <c r="D7626" s="21" t="s">
        <v>16537</v>
      </c>
      <c r="E7626" s="22" t="str">
        <f>HYPERLINK("https://twitter.com/Yawpkahrma/status/922582793699422212","922582793699422212")</f>
        <v>922582793699422212</v>
      </c>
      <c r="F7626" s="23" t="s">
        <v>55</v>
      </c>
      <c r="G7626" s="24">
        <v>108.0</v>
      </c>
      <c r="H7626" s="24">
        <v>358.0</v>
      </c>
      <c r="I7626" s="24">
        <v>242.0</v>
      </c>
      <c r="J7626" s="24">
        <v>0.0</v>
      </c>
      <c r="K7626" s="23" t="s">
        <v>34</v>
      </c>
      <c r="L7626" s="25">
        <v>40224.30415509259</v>
      </c>
      <c r="M7626" s="26" t="s">
        <v>68</v>
      </c>
      <c r="N7626" s="26" t="s">
        <v>16916</v>
      </c>
      <c r="O7626" s="22" t="str">
        <f>HYPERLINK("https://pbs.twimg.com/profile_images/871353850938089472/WAqtj9q__normal.jpg","View")</f>
        <v>View</v>
      </c>
      <c r="P7626" s="27"/>
    </row>
    <row r="7627">
      <c r="A7627" s="14">
        <v>43031.623819444445</v>
      </c>
      <c r="B7627" s="20" t="str">
        <f>HYPERLINK("https://twitter.com/manly_news","@manly_news")</f>
        <v>@manly_news</v>
      </c>
      <c r="C7627" s="21" t="s">
        <v>16917</v>
      </c>
      <c r="D7627" s="21" t="s">
        <v>14855</v>
      </c>
      <c r="E7627" s="22" t="str">
        <f>HYPERLINK("https://twitter.com/manly_news/status/922582983428706304","922582983428706304")</f>
        <v>922582983428706304</v>
      </c>
      <c r="F7627" s="23" t="s">
        <v>55</v>
      </c>
      <c r="G7627" s="24">
        <v>3428.0</v>
      </c>
      <c r="H7627" s="24">
        <v>0.0</v>
      </c>
      <c r="I7627" s="24">
        <v>36.0</v>
      </c>
      <c r="J7627" s="24">
        <v>0.0</v>
      </c>
      <c r="K7627" s="23" t="s">
        <v>34</v>
      </c>
      <c r="L7627" s="25">
        <v>42468.503657407404</v>
      </c>
      <c r="M7627" s="28"/>
      <c r="N7627" s="28"/>
      <c r="O7627" s="22" t="str">
        <f>HYPERLINK("https://pbs.twimg.com/profile_images/718515287419723776/J7jTs0C7_normal.jpg","View")</f>
        <v>View</v>
      </c>
      <c r="P7627" s="27"/>
    </row>
    <row r="7628">
      <c r="A7628" s="14">
        <v>43031.62396990741</v>
      </c>
      <c r="B7628" s="20" t="str">
        <f>HYPERLINK("https://twitter.com/JamesC518","@JamesC518")</f>
        <v>@JamesC518</v>
      </c>
      <c r="C7628" s="21" t="s">
        <v>16918</v>
      </c>
      <c r="D7628" s="21" t="s">
        <v>16537</v>
      </c>
      <c r="E7628" s="22" t="str">
        <f>HYPERLINK("https://twitter.com/JamesC518/status/922583037723979776","922583037723979776")</f>
        <v>922583037723979776</v>
      </c>
      <c r="F7628" s="23" t="s">
        <v>39</v>
      </c>
      <c r="G7628" s="24">
        <v>2239.0</v>
      </c>
      <c r="H7628" s="24">
        <v>2653.0</v>
      </c>
      <c r="I7628" s="24">
        <v>242.0</v>
      </c>
      <c r="J7628" s="24">
        <v>0.0</v>
      </c>
      <c r="K7628" s="23" t="s">
        <v>34</v>
      </c>
      <c r="L7628" s="25">
        <v>40617.54210648148</v>
      </c>
      <c r="M7628" s="26" t="s">
        <v>1250</v>
      </c>
      <c r="N7628" s="26" t="s">
        <v>16919</v>
      </c>
      <c r="O7628" s="22" t="str">
        <f>HYPERLINK("https://pbs.twimg.com/profile_images/920492461063012353/n1am1UmG_normal.jpg","View")</f>
        <v>View</v>
      </c>
      <c r="P7628" s="27"/>
    </row>
    <row r="7629">
      <c r="A7629" s="14">
        <v>43031.6240162037</v>
      </c>
      <c r="B7629" s="20" t="str">
        <f>HYPERLINK("https://twitter.com/tanuki_26","@tanuki_26")</f>
        <v>@tanuki_26</v>
      </c>
      <c r="C7629" s="21" t="s">
        <v>16920</v>
      </c>
      <c r="D7629" s="21" t="s">
        <v>16921</v>
      </c>
      <c r="E7629" s="22" t="str">
        <f>HYPERLINK("https://twitter.com/tanuki_26/status/922583055574876160","922583055574876160")</f>
        <v>922583055574876160</v>
      </c>
      <c r="F7629" s="23" t="s">
        <v>55</v>
      </c>
      <c r="G7629" s="24">
        <v>11.0</v>
      </c>
      <c r="H7629" s="24">
        <v>16.0</v>
      </c>
      <c r="I7629" s="24">
        <v>0.0</v>
      </c>
      <c r="J7629" s="24">
        <v>1.0</v>
      </c>
      <c r="K7629" s="23" t="s">
        <v>34</v>
      </c>
      <c r="L7629" s="25">
        <v>42510.31875</v>
      </c>
      <c r="M7629" s="28"/>
      <c r="N7629" s="26" t="s">
        <v>16922</v>
      </c>
      <c r="O7629" s="22" t="str">
        <f>HYPERLINK("https://pbs.twimg.com/profile_images/749058668058976257/WjslFZr4_normal.jpg","View")</f>
        <v>View</v>
      </c>
      <c r="P7629" s="27"/>
    </row>
    <row r="7630">
      <c r="A7630" s="14">
        <v>43031.62403935185</v>
      </c>
      <c r="B7630" s="20" t="str">
        <f>HYPERLINK("https://twitter.com/ArtanXhezairi","@ArtanXhezairi")</f>
        <v>@ArtanXhezairi</v>
      </c>
      <c r="C7630" s="21" t="s">
        <v>16923</v>
      </c>
      <c r="D7630" s="21" t="s">
        <v>16537</v>
      </c>
      <c r="E7630" s="22" t="str">
        <f>HYPERLINK("https://twitter.com/ArtanXhezairi/status/922583063506358272","922583063506358272")</f>
        <v>922583063506358272</v>
      </c>
      <c r="F7630" s="23" t="s">
        <v>55</v>
      </c>
      <c r="G7630" s="24">
        <v>698.0</v>
      </c>
      <c r="H7630" s="24">
        <v>661.0</v>
      </c>
      <c r="I7630" s="24">
        <v>242.0</v>
      </c>
      <c r="J7630" s="24">
        <v>0.0</v>
      </c>
      <c r="K7630" s="23" t="s">
        <v>34</v>
      </c>
      <c r="L7630" s="25">
        <v>40810.05526620371</v>
      </c>
      <c r="M7630" s="28"/>
      <c r="N7630" s="26" t="s">
        <v>16924</v>
      </c>
      <c r="O7630" s="22" t="str">
        <f>HYPERLINK("https://pbs.twimg.com/profile_images/889253198984347648/8c-rnuEK_normal.jpg","View")</f>
        <v>View</v>
      </c>
      <c r="P7630" s="27"/>
    </row>
    <row r="7631">
      <c r="A7631" s="14">
        <v>43031.62412037037</v>
      </c>
      <c r="B7631" s="20" t="str">
        <f>HYPERLINK("https://twitter.com/Murphys0311","@Murphys0311")</f>
        <v>@Murphys0311</v>
      </c>
      <c r="C7631" s="21" t="s">
        <v>16925</v>
      </c>
      <c r="D7631" s="21" t="s">
        <v>16537</v>
      </c>
      <c r="E7631" s="22" t="str">
        <f>HYPERLINK("https://twitter.com/Murphys0311/status/922583093000785920","922583093000785920")</f>
        <v>922583093000785920</v>
      </c>
      <c r="F7631" s="23" t="s">
        <v>33</v>
      </c>
      <c r="G7631" s="24">
        <v>17.0</v>
      </c>
      <c r="H7631" s="24">
        <v>30.0</v>
      </c>
      <c r="I7631" s="24">
        <v>242.0</v>
      </c>
      <c r="J7631" s="24">
        <v>0.0</v>
      </c>
      <c r="K7631" s="23" t="s">
        <v>34</v>
      </c>
      <c r="L7631" s="25">
        <v>42994.35615740741</v>
      </c>
      <c r="M7631" s="28"/>
      <c r="N7631" s="26" t="s">
        <v>16926</v>
      </c>
      <c r="O7631" s="22" t="str">
        <f>HYPERLINK("https://pbs.twimg.com/profile_images/922652380881149952/v3y9PHlO_normal.jpg","View")</f>
        <v>View</v>
      </c>
      <c r="P7631" s="27"/>
    </row>
    <row r="7632">
      <c r="A7632" s="14">
        <v>43031.62421296297</v>
      </c>
      <c r="B7632" s="20" t="str">
        <f>HYPERLINK("https://twitter.com/resking13","@resking13")</f>
        <v>@resking13</v>
      </c>
      <c r="C7632" s="21" t="s">
        <v>16927</v>
      </c>
      <c r="D7632" s="21" t="s">
        <v>16537</v>
      </c>
      <c r="E7632" s="22" t="str">
        <f>HYPERLINK("https://twitter.com/resking13/status/922583125275893760","922583125275893760")</f>
        <v>922583125275893760</v>
      </c>
      <c r="F7632" s="23" t="s">
        <v>230</v>
      </c>
      <c r="G7632" s="24">
        <v>81.0</v>
      </c>
      <c r="H7632" s="24">
        <v>470.0</v>
      </c>
      <c r="I7632" s="24">
        <v>242.0</v>
      </c>
      <c r="J7632" s="24">
        <v>0.0</v>
      </c>
      <c r="K7632" s="23" t="s">
        <v>34</v>
      </c>
      <c r="L7632" s="25">
        <v>42664.282071759255</v>
      </c>
      <c r="M7632" s="26" t="s">
        <v>68</v>
      </c>
      <c r="N7632" s="26" t="s">
        <v>16928</v>
      </c>
      <c r="O7632" s="22" t="str">
        <f>HYPERLINK("https://pbs.twimg.com/profile_images/845334383485693953/syNAuxOs_normal.jpg","View")</f>
        <v>View</v>
      </c>
      <c r="P7632" s="27"/>
    </row>
    <row r="7633">
      <c r="A7633" s="14">
        <v>43031.62439814815</v>
      </c>
      <c r="B7633" s="20" t="str">
        <f>HYPERLINK("https://twitter.com/sun37947030","@sun37947030")</f>
        <v>@sun37947030</v>
      </c>
      <c r="C7633" s="21" t="s">
        <v>16929</v>
      </c>
      <c r="D7633" s="21" t="s">
        <v>42</v>
      </c>
      <c r="E7633" s="22" t="str">
        <f>HYPERLINK("https://twitter.com/sun37947030/status/922583190623129601","922583190623129601")</f>
        <v>922583190623129601</v>
      </c>
      <c r="F7633" s="23" t="s">
        <v>39</v>
      </c>
      <c r="G7633" s="24">
        <v>34.0</v>
      </c>
      <c r="H7633" s="24">
        <v>115.0</v>
      </c>
      <c r="I7633" s="24">
        <v>8501.0</v>
      </c>
      <c r="J7633" s="24">
        <v>0.0</v>
      </c>
      <c r="K7633" s="23" t="s">
        <v>34</v>
      </c>
      <c r="L7633" s="25">
        <v>40835.25275462963</v>
      </c>
      <c r="M7633" s="28"/>
      <c r="N7633" s="28"/>
      <c r="O7633" s="22" t="str">
        <f>HYPERLINK("https://pbs.twimg.com/profile_images/891181848788967424/YcUWqz_C_normal.jpg","View")</f>
        <v>View</v>
      </c>
      <c r="P7633" s="27"/>
    </row>
    <row r="7634">
      <c r="A7634" s="14">
        <v>43031.62462962963</v>
      </c>
      <c r="B7634" s="20" t="str">
        <f>HYPERLINK("https://twitter.com/Mamapearl2","@Mamapearl2")</f>
        <v>@Mamapearl2</v>
      </c>
      <c r="C7634" s="21" t="s">
        <v>16930</v>
      </c>
      <c r="D7634" s="21" t="s">
        <v>16537</v>
      </c>
      <c r="E7634" s="22" t="str">
        <f>HYPERLINK("https://twitter.com/Mamapearl2/status/922583274739916800","922583274739916800")</f>
        <v>922583274739916800</v>
      </c>
      <c r="F7634" s="23" t="s">
        <v>39</v>
      </c>
      <c r="G7634" s="24">
        <v>20.0</v>
      </c>
      <c r="H7634" s="24">
        <v>107.0</v>
      </c>
      <c r="I7634" s="24">
        <v>242.0</v>
      </c>
      <c r="J7634" s="24">
        <v>0.0</v>
      </c>
      <c r="K7634" s="23" t="s">
        <v>34</v>
      </c>
      <c r="L7634" s="25">
        <v>40776.49366898148</v>
      </c>
      <c r="M7634" s="28"/>
      <c r="N7634" s="28"/>
      <c r="O7634" s="22" t="str">
        <f>HYPERLINK("https://abs.twimg.com/sticky/default_profile_images/default_profile_normal.png","View")</f>
        <v>View</v>
      </c>
      <c r="P7634" s="27"/>
    </row>
    <row r="7635">
      <c r="A7635" s="14">
        <v>43031.624930555554</v>
      </c>
      <c r="B7635" s="20" t="str">
        <f>HYPERLINK("https://twitter.com/IAmReallySatan","@IAmReallySatan")</f>
        <v>@IAmReallySatan</v>
      </c>
      <c r="C7635" s="21" t="s">
        <v>16931</v>
      </c>
      <c r="D7635" s="21" t="s">
        <v>16537</v>
      </c>
      <c r="E7635" s="22" t="str">
        <f>HYPERLINK("https://twitter.com/IAmReallySatan/status/922583384676884481","922583384676884481")</f>
        <v>922583384676884481</v>
      </c>
      <c r="F7635" s="23" t="s">
        <v>33</v>
      </c>
      <c r="G7635" s="24">
        <v>697.0</v>
      </c>
      <c r="H7635" s="24">
        <v>99.0</v>
      </c>
      <c r="I7635" s="24">
        <v>242.0</v>
      </c>
      <c r="J7635" s="24">
        <v>0.0</v>
      </c>
      <c r="K7635" s="23" t="s">
        <v>34</v>
      </c>
      <c r="L7635" s="25">
        <v>42245.30086805555</v>
      </c>
      <c r="M7635" s="26" t="s">
        <v>16932</v>
      </c>
      <c r="N7635" s="26" t="s">
        <v>16933</v>
      </c>
      <c r="O7635" s="22" t="str">
        <f>HYPERLINK("https://pbs.twimg.com/profile_images/859881863728517121/mdoa_zYA_normal.jpg","View")</f>
        <v>View</v>
      </c>
      <c r="P7635" s="27"/>
    </row>
    <row r="7636">
      <c r="A7636" s="14">
        <v>43031.62513888889</v>
      </c>
      <c r="B7636" s="20" t="str">
        <f>HYPERLINK("https://twitter.com/DeniseGosselin5","@DeniseGosselin5")</f>
        <v>@DeniseGosselin5</v>
      </c>
      <c r="C7636" s="21" t="s">
        <v>16934</v>
      </c>
      <c r="D7636" s="21" t="s">
        <v>16537</v>
      </c>
      <c r="E7636" s="22" t="str">
        <f>HYPERLINK("https://twitter.com/DeniseGosselin5/status/922583461344530434","922583461344530434")</f>
        <v>922583461344530434</v>
      </c>
      <c r="F7636" s="23" t="s">
        <v>39</v>
      </c>
      <c r="G7636" s="24">
        <v>396.0</v>
      </c>
      <c r="H7636" s="24">
        <v>757.0</v>
      </c>
      <c r="I7636" s="24">
        <v>242.0</v>
      </c>
      <c r="J7636" s="24">
        <v>0.0</v>
      </c>
      <c r="K7636" s="23" t="s">
        <v>34</v>
      </c>
      <c r="L7636" s="25">
        <v>42430.44924768519</v>
      </c>
      <c r="M7636" s="26" t="s">
        <v>68</v>
      </c>
      <c r="N7636" s="26" t="s">
        <v>16935</v>
      </c>
      <c r="O7636" s="22" t="str">
        <f>HYPERLINK("https://pbs.twimg.com/profile_images/823239636696711169/QmUKKVGw_normal.jpg","View")</f>
        <v>View</v>
      </c>
      <c r="P7636" s="27"/>
    </row>
    <row r="7637">
      <c r="A7637" s="14">
        <v>43031.62521990741</v>
      </c>
      <c r="B7637" s="20" t="str">
        <f>HYPERLINK("https://twitter.com/Bruhannale","@Bruhannale")</f>
        <v>@Bruhannale</v>
      </c>
      <c r="C7637" s="21" t="s">
        <v>16936</v>
      </c>
      <c r="D7637" s="21" t="s">
        <v>16937</v>
      </c>
      <c r="E7637" s="22" t="str">
        <f>HYPERLINK("https://twitter.com/Bruhannale/status/922583489387442176","922583489387442176")</f>
        <v>922583489387442176</v>
      </c>
      <c r="F7637" s="23" t="s">
        <v>33</v>
      </c>
      <c r="G7637" s="24">
        <v>239.0</v>
      </c>
      <c r="H7637" s="24">
        <v>1011.0</v>
      </c>
      <c r="I7637" s="24">
        <v>0.0</v>
      </c>
      <c r="J7637" s="24">
        <v>1.0</v>
      </c>
      <c r="K7637" s="23" t="s">
        <v>34</v>
      </c>
      <c r="L7637" s="25">
        <v>41205.382418981484</v>
      </c>
      <c r="M7637" s="26" t="s">
        <v>16938</v>
      </c>
      <c r="N7637" s="26" t="s">
        <v>16939</v>
      </c>
      <c r="O7637" s="22" t="str">
        <f>HYPERLINK("https://pbs.twimg.com/profile_images/919599903873024000/1oH1NP6l_normal.jpg","View")</f>
        <v>View</v>
      </c>
      <c r="P7637" s="27"/>
    </row>
    <row r="7638">
      <c r="A7638" s="14">
        <v>43031.62563657407</v>
      </c>
      <c r="B7638" s="20" t="str">
        <f>HYPERLINK("https://twitter.com/LatestAnonNews","@LatestAnonNews")</f>
        <v>@LatestAnonNews</v>
      </c>
      <c r="C7638" s="21" t="s">
        <v>16940</v>
      </c>
      <c r="D7638" s="21" t="s">
        <v>16912</v>
      </c>
      <c r="E7638" s="22" t="str">
        <f>HYPERLINK("https://twitter.com/LatestAnonNews/status/922583640294547457","922583640294547457")</f>
        <v>922583640294547457</v>
      </c>
      <c r="F7638" s="23" t="s">
        <v>769</v>
      </c>
      <c r="G7638" s="24">
        <v>108830.0</v>
      </c>
      <c r="H7638" s="24">
        <v>333.0</v>
      </c>
      <c r="I7638" s="24">
        <v>56.0</v>
      </c>
      <c r="J7638" s="24">
        <v>0.0</v>
      </c>
      <c r="K7638" s="23" t="s">
        <v>34</v>
      </c>
      <c r="L7638" s="25">
        <v>40874.424780092595</v>
      </c>
      <c r="M7638" s="26" t="s">
        <v>762</v>
      </c>
      <c r="N7638" s="26" t="s">
        <v>16941</v>
      </c>
      <c r="O7638" s="22" t="str">
        <f>HYPERLINK("https://pbs.twimg.com/profile_images/824716853989744640/8Fcd0bji_normal.jpg","View")</f>
        <v>View</v>
      </c>
      <c r="P7638" s="27"/>
    </row>
    <row r="7639">
      <c r="A7639" s="14">
        <v>43031.62568287037</v>
      </c>
      <c r="B7639" s="20" t="str">
        <f>HYPERLINK("https://twitter.com/euronews","@euronews")</f>
        <v>@euronews</v>
      </c>
      <c r="C7639" s="21" t="s">
        <v>16942</v>
      </c>
      <c r="D7639" s="21" t="s">
        <v>16943</v>
      </c>
      <c r="E7639" s="22" t="str">
        <f>HYPERLINK("https://twitter.com/euronews/status/922583658808184832","922583658808184832")</f>
        <v>922583658808184832</v>
      </c>
      <c r="F7639" s="23" t="s">
        <v>3086</v>
      </c>
      <c r="G7639" s="24">
        <v>271697.0</v>
      </c>
      <c r="H7639" s="24">
        <v>782.0</v>
      </c>
      <c r="I7639" s="24">
        <v>6.0</v>
      </c>
      <c r="J7639" s="24">
        <v>14.0</v>
      </c>
      <c r="K7639" s="23" t="s">
        <v>34</v>
      </c>
      <c r="L7639" s="25">
        <v>39890.24804398148</v>
      </c>
      <c r="M7639" s="26" t="s">
        <v>860</v>
      </c>
      <c r="N7639" s="26" t="s">
        <v>16944</v>
      </c>
      <c r="O7639" s="22" t="str">
        <f>HYPERLINK("https://pbs.twimg.com/profile_images/732665354242150400/tZsCnjuh_normal.jpg","View")</f>
        <v>View</v>
      </c>
      <c r="P7639" s="27"/>
    </row>
    <row r="7640">
      <c r="A7640" s="14">
        <v>43031.625821759255</v>
      </c>
      <c r="B7640" s="20" t="str">
        <f>HYPERLINK("https://twitter.com/1TN2018","@1TN2018")</f>
        <v>@1TN2018</v>
      </c>
      <c r="C7640" s="21" t="s">
        <v>16945</v>
      </c>
      <c r="D7640" s="21" t="s">
        <v>16946</v>
      </c>
      <c r="E7640" s="22" t="str">
        <f>HYPERLINK("https://twitter.com/1TN2018/status/922583707785064448","922583707785064448")</f>
        <v>922583707785064448</v>
      </c>
      <c r="F7640" s="23" t="s">
        <v>33</v>
      </c>
      <c r="G7640" s="24">
        <v>382.0</v>
      </c>
      <c r="H7640" s="24">
        <v>2373.0</v>
      </c>
      <c r="I7640" s="24">
        <v>6.0</v>
      </c>
      <c r="J7640" s="24">
        <v>0.0</v>
      </c>
      <c r="K7640" s="23" t="s">
        <v>34</v>
      </c>
      <c r="L7640" s="25">
        <v>42895.44652777778</v>
      </c>
      <c r="M7640" s="28"/>
      <c r="N7640" s="26" t="s">
        <v>16947</v>
      </c>
      <c r="O7640" s="22" t="str">
        <f>HYPERLINK("https://pbs.twimg.com/profile_images/913850401044221953/jU8dLgY2_normal.jpg","View")</f>
        <v>View</v>
      </c>
      <c r="P7640" s="27"/>
    </row>
    <row r="7641">
      <c r="A7641" s="14">
        <v>43031.6258912037</v>
      </c>
      <c r="B7641" s="20" t="str">
        <f>HYPERLINK("https://twitter.com/ReneeB_75","@ReneeB_75")</f>
        <v>@ReneeB_75</v>
      </c>
      <c r="C7641" s="21" t="s">
        <v>16948</v>
      </c>
      <c r="D7641" s="21" t="s">
        <v>16537</v>
      </c>
      <c r="E7641" s="22" t="str">
        <f>HYPERLINK("https://twitter.com/ReneeB_75/status/922583735471656960","922583735471656960")</f>
        <v>922583735471656960</v>
      </c>
      <c r="F7641" s="23" t="s">
        <v>39</v>
      </c>
      <c r="G7641" s="24">
        <v>390.0</v>
      </c>
      <c r="H7641" s="24">
        <v>1653.0</v>
      </c>
      <c r="I7641" s="24">
        <v>242.0</v>
      </c>
      <c r="J7641" s="24">
        <v>0.0</v>
      </c>
      <c r="K7641" s="23" t="s">
        <v>34</v>
      </c>
      <c r="L7641" s="25">
        <v>41438.866736111115</v>
      </c>
      <c r="M7641" s="26" t="s">
        <v>16949</v>
      </c>
      <c r="N7641" s="26" t="s">
        <v>16950</v>
      </c>
      <c r="O7641" s="22" t="str">
        <f>HYPERLINK("https://abs.twimg.com/sticky/default_profile_images/default_profile_normal.png","View")</f>
        <v>View</v>
      </c>
      <c r="P7641" s="27"/>
    </row>
    <row r="7642">
      <c r="A7642" s="14">
        <v>43031.626550925925</v>
      </c>
      <c r="B7642" s="20" t="str">
        <f>HYPERLINK("https://twitter.com/Aydin_Adam","@Aydin_Adam")</f>
        <v>@Aydin_Adam</v>
      </c>
      <c r="C7642" s="21" t="s">
        <v>16951</v>
      </c>
      <c r="D7642" s="21" t="s">
        <v>16946</v>
      </c>
      <c r="E7642" s="22" t="str">
        <f>HYPERLINK("https://twitter.com/Aydin_Adam/status/922583970700840962","922583970700840962")</f>
        <v>922583970700840962</v>
      </c>
      <c r="F7642" s="23" t="s">
        <v>33</v>
      </c>
      <c r="G7642" s="24">
        <v>606.0</v>
      </c>
      <c r="H7642" s="24">
        <v>1054.0</v>
      </c>
      <c r="I7642" s="24">
        <v>6.0</v>
      </c>
      <c r="J7642" s="24">
        <v>0.0</v>
      </c>
      <c r="K7642" s="23" t="s">
        <v>34</v>
      </c>
      <c r="L7642" s="25">
        <v>39864.267743055556</v>
      </c>
      <c r="M7642" s="26" t="s">
        <v>16952</v>
      </c>
      <c r="N7642" s="26" t="s">
        <v>16953</v>
      </c>
      <c r="O7642" s="22" t="str">
        <f>HYPERLINK("https://pbs.twimg.com/profile_images/922921961617010689/8CPZcExx_normal.jpg","View")</f>
        <v>View</v>
      </c>
      <c r="P7642" s="27"/>
    </row>
    <row r="7643">
      <c r="A7643" s="14">
        <v>43031.62662037037</v>
      </c>
      <c r="B7643" s="20" t="str">
        <f>HYPERLINK("https://twitter.com/ThatBoiRoBo","@ThatBoiRoBo")</f>
        <v>@ThatBoiRoBo</v>
      </c>
      <c r="C7643" s="21" t="s">
        <v>16954</v>
      </c>
      <c r="D7643" s="21" t="s">
        <v>32</v>
      </c>
      <c r="E7643" s="22" t="str">
        <f>HYPERLINK("https://twitter.com/ThatBoiRoBo/status/922583997842063364","922583997842063364")</f>
        <v>922583997842063364</v>
      </c>
      <c r="F7643" s="23" t="s">
        <v>39</v>
      </c>
      <c r="G7643" s="24">
        <v>14481.0</v>
      </c>
      <c r="H7643" s="24">
        <v>11692.0</v>
      </c>
      <c r="I7643" s="24">
        <v>471.0</v>
      </c>
      <c r="J7643" s="24">
        <v>0.0</v>
      </c>
      <c r="K7643" s="23" t="s">
        <v>34</v>
      </c>
      <c r="L7643" s="25">
        <v>41755.75771990741</v>
      </c>
      <c r="M7643" s="26" t="s">
        <v>16955</v>
      </c>
      <c r="N7643" s="26" t="s">
        <v>16956</v>
      </c>
      <c r="O7643" s="22" t="str">
        <f>HYPERLINK("https://pbs.twimg.com/profile_images/921413764708208640/hj0K20z9_normal.jpg","View")</f>
        <v>View</v>
      </c>
      <c r="P7643" s="27"/>
    </row>
    <row r="7644">
      <c r="A7644" s="14">
        <v>43031.62693287037</v>
      </c>
      <c r="B7644" s="20" t="str">
        <f>HYPERLINK("https://twitter.com/i__Global","@i__Global")</f>
        <v>@i__Global</v>
      </c>
      <c r="C7644" s="21" t="s">
        <v>9685</v>
      </c>
      <c r="D7644" s="21" t="s">
        <v>16957</v>
      </c>
      <c r="E7644" s="22" t="str">
        <f>HYPERLINK("https://twitter.com/i__Global/status/922584111851753472","922584111851753472")</f>
        <v>922584111851753472</v>
      </c>
      <c r="F7644" s="23" t="s">
        <v>187</v>
      </c>
      <c r="G7644" s="24">
        <v>320.0</v>
      </c>
      <c r="H7644" s="24">
        <v>541.0</v>
      </c>
      <c r="I7644" s="24">
        <v>0.0</v>
      </c>
      <c r="J7644" s="24">
        <v>0.0</v>
      </c>
      <c r="K7644" s="23" t="s">
        <v>34</v>
      </c>
      <c r="L7644" s="25">
        <v>41975.42964120371</v>
      </c>
      <c r="M7644" s="26" t="s">
        <v>2068</v>
      </c>
      <c r="N7644" s="28"/>
      <c r="O7644" s="22" t="str">
        <f>HYPERLINK("https://pbs.twimg.com/profile_images/539846499421532160/RQ0XgLb__normal.png","View")</f>
        <v>View</v>
      </c>
      <c r="P7644" s="27"/>
    </row>
    <row r="7645">
      <c r="A7645" s="14">
        <v>43031.62693287037</v>
      </c>
      <c r="B7645" s="20" t="str">
        <f>HYPERLINK("https://twitter.com/MarcoDaCostaFX","@MarcoDaCostaFX")</f>
        <v>@MarcoDaCostaFX</v>
      </c>
      <c r="C7645" s="21" t="s">
        <v>16958</v>
      </c>
      <c r="D7645" s="21" t="s">
        <v>16946</v>
      </c>
      <c r="E7645" s="22" t="str">
        <f>HYPERLINK("https://twitter.com/MarcoDaCostaFX/status/922584112443154432","922584112443154432")</f>
        <v>922584112443154432</v>
      </c>
      <c r="F7645" s="23" t="s">
        <v>33</v>
      </c>
      <c r="G7645" s="24">
        <v>2090.0</v>
      </c>
      <c r="H7645" s="24">
        <v>893.0</v>
      </c>
      <c r="I7645" s="24">
        <v>6.0</v>
      </c>
      <c r="J7645" s="24">
        <v>0.0</v>
      </c>
      <c r="K7645" s="23" t="s">
        <v>34</v>
      </c>
      <c r="L7645" s="25">
        <v>40238.482835648145</v>
      </c>
      <c r="M7645" s="28"/>
      <c r="N7645" s="26" t="s">
        <v>16959</v>
      </c>
      <c r="O7645" s="22" t="str">
        <f>HYPERLINK("https://pbs.twimg.com/profile_images/819948825024561152/4H4-Xx5R_normal.jpg","View")</f>
        <v>View</v>
      </c>
      <c r="P7645" s="27"/>
    </row>
    <row r="7646">
      <c r="A7646" s="14">
        <v>43031.62710648148</v>
      </c>
      <c r="B7646" s="20" t="str">
        <f>HYPERLINK("https://twitter.com/discardedbacon","@discardedbacon")</f>
        <v>@discardedbacon</v>
      </c>
      <c r="C7646" s="21" t="s">
        <v>16960</v>
      </c>
      <c r="D7646" s="21" t="s">
        <v>16961</v>
      </c>
      <c r="E7646" s="22" t="str">
        <f>HYPERLINK("https://twitter.com/discardedbacon/status/922584172874657792","922584172874657792")</f>
        <v>922584172874657792</v>
      </c>
      <c r="F7646" s="23" t="s">
        <v>769</v>
      </c>
      <c r="G7646" s="24">
        <v>1390.0</v>
      </c>
      <c r="H7646" s="24">
        <v>1998.0</v>
      </c>
      <c r="I7646" s="24">
        <v>0.0</v>
      </c>
      <c r="J7646" s="24">
        <v>0.0</v>
      </c>
      <c r="K7646" s="23" t="s">
        <v>34</v>
      </c>
      <c r="L7646" s="25">
        <v>39463.624386574076</v>
      </c>
      <c r="M7646" s="26" t="s">
        <v>2534</v>
      </c>
      <c r="N7646" s="26" t="s">
        <v>16962</v>
      </c>
      <c r="O7646" s="22" t="str">
        <f>HYPERLINK("https://pbs.twimg.com/profile_images/808198779/DSC02010_normal.jpg","View")</f>
        <v>View</v>
      </c>
      <c r="P7646" s="27"/>
    </row>
    <row r="7647">
      <c r="A7647" s="14">
        <v>43031.6274074074</v>
      </c>
      <c r="B7647" s="20" t="str">
        <f>HYPERLINK("https://twitter.com/MaryMinniear","@MaryMinniear")</f>
        <v>@MaryMinniear</v>
      </c>
      <c r="C7647" s="21" t="s">
        <v>16963</v>
      </c>
      <c r="D7647" s="21" t="s">
        <v>16537</v>
      </c>
      <c r="E7647" s="22" t="str">
        <f>HYPERLINK("https://twitter.com/MaryMinniear/status/922584284271202304","922584284271202304")</f>
        <v>922584284271202304</v>
      </c>
      <c r="F7647" s="23" t="s">
        <v>33</v>
      </c>
      <c r="G7647" s="24">
        <v>171.0</v>
      </c>
      <c r="H7647" s="24">
        <v>185.0</v>
      </c>
      <c r="I7647" s="24">
        <v>242.0</v>
      </c>
      <c r="J7647" s="24">
        <v>0.0</v>
      </c>
      <c r="K7647" s="23" t="s">
        <v>34</v>
      </c>
      <c r="L7647" s="25">
        <v>41000.319652777776</v>
      </c>
      <c r="M7647" s="28"/>
      <c r="N7647" s="28"/>
      <c r="O7647" s="22" t="str">
        <f>HYPERLINK("https://pbs.twimg.com/profile_images/867117087776440321/Hd6ArRg9_normal.jpg","View")</f>
        <v>View</v>
      </c>
      <c r="P7647" s="27"/>
    </row>
    <row r="7648">
      <c r="A7648" s="14">
        <v>43031.6274537037</v>
      </c>
      <c r="B7648" s="20" t="str">
        <f>HYPERLINK("https://twitter.com/naomi2009","@naomi2009")</f>
        <v>@naomi2009</v>
      </c>
      <c r="C7648" s="21" t="s">
        <v>16964</v>
      </c>
      <c r="D7648" s="21" t="s">
        <v>12974</v>
      </c>
      <c r="E7648" s="22" t="str">
        <f>HYPERLINK("https://twitter.com/naomi2009/status/922584301350289408","922584301350289408")</f>
        <v>922584301350289408</v>
      </c>
      <c r="F7648" s="23" t="s">
        <v>55</v>
      </c>
      <c r="G7648" s="24">
        <v>1310.0</v>
      </c>
      <c r="H7648" s="24">
        <v>2157.0</v>
      </c>
      <c r="I7648" s="24">
        <v>110.0</v>
      </c>
      <c r="J7648" s="24">
        <v>0.0</v>
      </c>
      <c r="K7648" s="23" t="s">
        <v>34</v>
      </c>
      <c r="L7648" s="25">
        <v>39806.53396990741</v>
      </c>
      <c r="M7648" s="26" t="s">
        <v>590</v>
      </c>
      <c r="N7648" s="26" t="s">
        <v>16965</v>
      </c>
      <c r="O7648" s="22" t="str">
        <f>HYPERLINK("https://pbs.twimg.com/profile_images/751356296176304129/p4YH5wdi_normal.jpg","View")</f>
        <v>View</v>
      </c>
      <c r="P7648" s="27"/>
    </row>
    <row r="7649">
      <c r="A7649" s="14">
        <v>43031.6277662037</v>
      </c>
      <c r="B7649" s="20" t="str">
        <f>HYPERLINK("https://twitter.com/hassakunohito","@hassakunohito")</f>
        <v>@hassakunohito</v>
      </c>
      <c r="C7649" s="21" t="s">
        <v>16966</v>
      </c>
      <c r="D7649" s="21" t="s">
        <v>1642</v>
      </c>
      <c r="E7649" s="22" t="str">
        <f>HYPERLINK("https://twitter.com/hassakunohito/status/922584413870874624","922584413870874624")</f>
        <v>922584413870874624</v>
      </c>
      <c r="F7649" s="23" t="s">
        <v>39</v>
      </c>
      <c r="G7649" s="24">
        <v>402.0</v>
      </c>
      <c r="H7649" s="24">
        <v>1053.0</v>
      </c>
      <c r="I7649" s="24">
        <v>199.0</v>
      </c>
      <c r="J7649" s="24">
        <v>0.0</v>
      </c>
      <c r="K7649" s="23" t="s">
        <v>34</v>
      </c>
      <c r="L7649" s="25">
        <v>39999.32986111111</v>
      </c>
      <c r="M7649" s="28"/>
      <c r="N7649" s="26" t="s">
        <v>16967</v>
      </c>
      <c r="O7649" s="22" t="str">
        <f>HYPERLINK("https://pbs.twimg.com/profile_images/1203249040/origin12916490777444_normal.JPG","View")</f>
        <v>View</v>
      </c>
      <c r="P7649" s="27"/>
    </row>
    <row r="7650">
      <c r="A7650" s="14">
        <v>43031.627789351856</v>
      </c>
      <c r="B7650" s="20" t="str">
        <f>HYPERLINK("https://twitter.com/discardedbacon","@discardedbacon")</f>
        <v>@discardedbacon</v>
      </c>
      <c r="C7650" s="21" t="s">
        <v>16960</v>
      </c>
      <c r="D7650" s="21" t="s">
        <v>16968</v>
      </c>
      <c r="E7650" s="22" t="str">
        <f>HYPERLINK("https://twitter.com/discardedbacon/status/922584420917436416","922584420917436416")</f>
        <v>922584420917436416</v>
      </c>
      <c r="F7650" s="23" t="s">
        <v>769</v>
      </c>
      <c r="G7650" s="24">
        <v>1390.0</v>
      </c>
      <c r="H7650" s="24">
        <v>1998.0</v>
      </c>
      <c r="I7650" s="24">
        <v>0.0</v>
      </c>
      <c r="J7650" s="24">
        <v>0.0</v>
      </c>
      <c r="K7650" s="23" t="s">
        <v>34</v>
      </c>
      <c r="L7650" s="25">
        <v>39463.624386574076</v>
      </c>
      <c r="M7650" s="26" t="s">
        <v>2534</v>
      </c>
      <c r="N7650" s="26" t="s">
        <v>16962</v>
      </c>
      <c r="O7650" s="22" t="str">
        <f>HYPERLINK("https://pbs.twimg.com/profile_images/808198779/DSC02010_normal.jpg","View")</f>
        <v>View</v>
      </c>
      <c r="P7650" s="27"/>
    </row>
    <row r="7651">
      <c r="A7651" s="14">
        <v>43031.627905092595</v>
      </c>
      <c r="B7651" s="20" t="str">
        <f>HYPERLINK("https://twitter.com/Andym6769","@Andym6769")</f>
        <v>@Andym6769</v>
      </c>
      <c r="C7651" s="21" t="s">
        <v>16969</v>
      </c>
      <c r="D7651" s="21" t="s">
        <v>12974</v>
      </c>
      <c r="E7651" s="22" t="str">
        <f>HYPERLINK("https://twitter.com/Andym6769/status/922584462994694144","922584462994694144")</f>
        <v>922584462994694144</v>
      </c>
      <c r="F7651" s="23" t="s">
        <v>39</v>
      </c>
      <c r="G7651" s="24">
        <v>3535.0</v>
      </c>
      <c r="H7651" s="24">
        <v>5001.0</v>
      </c>
      <c r="I7651" s="24">
        <v>110.0</v>
      </c>
      <c r="J7651" s="24">
        <v>0.0</v>
      </c>
      <c r="K7651" s="23" t="s">
        <v>34</v>
      </c>
      <c r="L7651" s="25">
        <v>40164.08362268518</v>
      </c>
      <c r="M7651" s="26" t="s">
        <v>6951</v>
      </c>
      <c r="N7651" s="26" t="s">
        <v>16970</v>
      </c>
      <c r="O7651" s="22" t="str">
        <f>HYPERLINK("https://pbs.twimg.com/profile_images/909516800869699590/MU5ZcWWr_normal.jpg","View")</f>
        <v>View</v>
      </c>
      <c r="P7651" s="27"/>
    </row>
    <row r="7652">
      <c r="A7652" s="14">
        <v>43031.62804398148</v>
      </c>
      <c r="B7652" s="20" t="str">
        <f>HYPERLINK("https://twitter.com/MariliCancio","@MariliCancio")</f>
        <v>@MariliCancio</v>
      </c>
      <c r="C7652" s="21" t="s">
        <v>16971</v>
      </c>
      <c r="D7652" s="21" t="s">
        <v>16537</v>
      </c>
      <c r="E7652" s="22" t="str">
        <f>HYPERLINK("https://twitter.com/MariliCancio/status/922584514941149184","922584514941149184")</f>
        <v>922584514941149184</v>
      </c>
      <c r="F7652" s="23" t="s">
        <v>39</v>
      </c>
      <c r="G7652" s="24">
        <v>2551.0</v>
      </c>
      <c r="H7652" s="24">
        <v>1539.0</v>
      </c>
      <c r="I7652" s="24">
        <v>242.0</v>
      </c>
      <c r="J7652" s="24">
        <v>0.0</v>
      </c>
      <c r="K7652" s="23" t="s">
        <v>34</v>
      </c>
      <c r="L7652" s="25">
        <v>40227.37805555556</v>
      </c>
      <c r="M7652" s="26" t="s">
        <v>1983</v>
      </c>
      <c r="N7652" s="26" t="s">
        <v>16972</v>
      </c>
      <c r="O7652" s="22" t="str">
        <f>HYPERLINK("https://pbs.twimg.com/profile_images/834077348140027905/yzujEIfF_normal.jpg","View")</f>
        <v>View</v>
      </c>
      <c r="P7652" s="27"/>
    </row>
    <row r="7653">
      <c r="A7653" s="14">
        <v>43031.6283912037</v>
      </c>
      <c r="B7653" s="20" t="str">
        <f>HYPERLINK("https://twitter.com/AnaPaquinDomin1","@AnaPaquinDomin1")</f>
        <v>@AnaPaquinDomin1</v>
      </c>
      <c r="C7653" s="21" t="s">
        <v>16973</v>
      </c>
      <c r="D7653" s="21" t="s">
        <v>2595</v>
      </c>
      <c r="E7653" s="22" t="str">
        <f>HYPERLINK("https://twitter.com/AnaPaquinDomin1/status/922584640568942594","922584640568942594")</f>
        <v>922584640568942594</v>
      </c>
      <c r="F7653" s="23" t="s">
        <v>39</v>
      </c>
      <c r="G7653" s="24">
        <v>215.0</v>
      </c>
      <c r="H7653" s="24">
        <v>180.0</v>
      </c>
      <c r="I7653" s="24">
        <v>170.0</v>
      </c>
      <c r="J7653" s="24">
        <v>0.0</v>
      </c>
      <c r="K7653" s="23" t="s">
        <v>34</v>
      </c>
      <c r="L7653" s="25">
        <v>42769.696481481486</v>
      </c>
      <c r="M7653" s="26" t="s">
        <v>92</v>
      </c>
      <c r="N7653" s="26" t="s">
        <v>16974</v>
      </c>
      <c r="O7653" s="22" t="str">
        <f>HYPERLINK("https://pbs.twimg.com/profile_images/827689521747750915/-DJwnUod_normal.jpg","View")</f>
        <v>View</v>
      </c>
      <c r="P7653" s="27"/>
    </row>
    <row r="7654">
      <c r="A7654" s="14">
        <v>43031.62861111111</v>
      </c>
      <c r="B7654" s="20" t="str">
        <f>HYPERLINK("https://twitter.com/Unilateral__","@Unilateral__")</f>
        <v>@Unilateral__</v>
      </c>
      <c r="C7654" s="21" t="s">
        <v>16975</v>
      </c>
      <c r="D7654" s="21" t="s">
        <v>42</v>
      </c>
      <c r="E7654" s="22" t="str">
        <f>HYPERLINK("https://twitter.com/Unilateral__/status/922584720055050241","922584720055050241")</f>
        <v>922584720055050241</v>
      </c>
      <c r="F7654" s="23" t="s">
        <v>55</v>
      </c>
      <c r="G7654" s="24">
        <v>1793.0</v>
      </c>
      <c r="H7654" s="24">
        <v>1576.0</v>
      </c>
      <c r="I7654" s="24">
        <v>8501.0</v>
      </c>
      <c r="J7654" s="24">
        <v>0.0</v>
      </c>
      <c r="K7654" s="23" t="s">
        <v>34</v>
      </c>
      <c r="L7654" s="25">
        <v>40391.56994212963</v>
      </c>
      <c r="M7654" s="26" t="s">
        <v>16976</v>
      </c>
      <c r="N7654" s="26" t="s">
        <v>16977</v>
      </c>
      <c r="O7654" s="22" t="str">
        <f>HYPERLINK("https://pbs.twimg.com/profile_images/870009791900471296/Jkijbs0g_normal.jpg","View")</f>
        <v>View</v>
      </c>
      <c r="P7654" s="27"/>
    </row>
    <row r="7655">
      <c r="A7655" s="14">
        <v>43031.62862268518</v>
      </c>
      <c r="B7655" s="20" t="str">
        <f>HYPERLINK("https://twitter.com/EggmanOrWalrus","@EggmanOrWalrus")</f>
        <v>@EggmanOrWalrus</v>
      </c>
      <c r="C7655" s="21" t="s">
        <v>4917</v>
      </c>
      <c r="D7655" s="21" t="s">
        <v>16978</v>
      </c>
      <c r="E7655" s="22" t="str">
        <f>HYPERLINK("https://twitter.com/EggmanOrWalrus/status/922584722835943428","922584722835943428")</f>
        <v>922584722835943428</v>
      </c>
      <c r="F7655" s="23" t="s">
        <v>4919</v>
      </c>
      <c r="G7655" s="24">
        <v>149.0</v>
      </c>
      <c r="H7655" s="24">
        <v>35.0</v>
      </c>
      <c r="I7655" s="24">
        <v>4.0</v>
      </c>
      <c r="J7655" s="24">
        <v>0.0</v>
      </c>
      <c r="K7655" s="23" t="s">
        <v>34</v>
      </c>
      <c r="L7655" s="25">
        <v>39883.69174768518</v>
      </c>
      <c r="M7655" s="26" t="s">
        <v>4920</v>
      </c>
      <c r="N7655" s="26" t="s">
        <v>4921</v>
      </c>
      <c r="O7655" s="22" t="str">
        <f>HYPERLINK("https://pbs.twimg.com/profile_images/805175433767567360/yLKWytM0_normal.jpg","View")</f>
        <v>View</v>
      </c>
      <c r="P7655" s="27"/>
    </row>
    <row r="7656">
      <c r="A7656" s="14">
        <v>43031.62912037037</v>
      </c>
      <c r="B7656" s="20" t="str">
        <f>HYPERLINK("https://twitter.com/dhcwatanabe","@dhcwatanabe")</f>
        <v>@dhcwatanabe</v>
      </c>
      <c r="C7656" s="21" t="s">
        <v>16979</v>
      </c>
      <c r="D7656" s="21" t="s">
        <v>8782</v>
      </c>
      <c r="E7656" s="22" t="str">
        <f>HYPERLINK("https://twitter.com/dhcwatanabe/status/922584902993723392","922584902993723392")</f>
        <v>922584902993723392</v>
      </c>
      <c r="F7656" s="23" t="s">
        <v>33</v>
      </c>
      <c r="G7656" s="24">
        <v>3.0</v>
      </c>
      <c r="H7656" s="24">
        <v>15.0</v>
      </c>
      <c r="I7656" s="24">
        <v>20.0</v>
      </c>
      <c r="J7656" s="24">
        <v>0.0</v>
      </c>
      <c r="K7656" s="23" t="s">
        <v>34</v>
      </c>
      <c r="L7656" s="25">
        <v>42837.87261574074</v>
      </c>
      <c r="M7656" s="28"/>
      <c r="N7656" s="28"/>
      <c r="O7656" s="22" t="str">
        <f>HYPERLINK("https://abs.twimg.com/sticky/default_profile_images/default_profile_normal.png","View")</f>
        <v>View</v>
      </c>
      <c r="P7656" s="27"/>
    </row>
    <row r="7657">
      <c r="A7657" s="14">
        <v>43031.629166666666</v>
      </c>
      <c r="B7657" s="20" t="str">
        <f>HYPERLINK("https://twitter.com/boredpandu","@boredpandu")</f>
        <v>@boredpandu</v>
      </c>
      <c r="C7657" s="21" t="s">
        <v>16980</v>
      </c>
      <c r="D7657" s="21" t="s">
        <v>42</v>
      </c>
      <c r="E7657" s="22" t="str">
        <f>HYPERLINK("https://twitter.com/boredpandu/status/922584922501664768","922584922501664768")</f>
        <v>922584922501664768</v>
      </c>
      <c r="F7657" s="23" t="s">
        <v>39</v>
      </c>
      <c r="G7657" s="24">
        <v>44.0</v>
      </c>
      <c r="H7657" s="24">
        <v>408.0</v>
      </c>
      <c r="I7657" s="24">
        <v>8501.0</v>
      </c>
      <c r="J7657" s="24">
        <v>0.0</v>
      </c>
      <c r="K7657" s="23" t="s">
        <v>34</v>
      </c>
      <c r="L7657" s="25">
        <v>42299.373819444445</v>
      </c>
      <c r="M7657" s="26" t="s">
        <v>16981</v>
      </c>
      <c r="N7657" s="26" t="s">
        <v>16982</v>
      </c>
      <c r="O7657" s="22" t="str">
        <f>HYPERLINK("https://pbs.twimg.com/profile_images/823274171585032194/lErUqPFi_normal.jpg","View")</f>
        <v>View</v>
      </c>
      <c r="P7657" s="27"/>
    </row>
    <row r="7658">
      <c r="A7658" s="14">
        <v>43031.62944444444</v>
      </c>
      <c r="B7658" s="20" t="str">
        <f>HYPERLINK("https://twitter.com/minasenaizu","@minasenaizu")</f>
        <v>@minasenaizu</v>
      </c>
      <c r="C7658" s="21" t="s">
        <v>16983</v>
      </c>
      <c r="D7658" s="21" t="s">
        <v>8782</v>
      </c>
      <c r="E7658" s="22" t="str">
        <f>HYPERLINK("https://twitter.com/minasenaizu/status/922585019071152128","922585019071152128")</f>
        <v>922585019071152128</v>
      </c>
      <c r="F7658" s="23" t="s">
        <v>33</v>
      </c>
      <c r="G7658" s="24">
        <v>615.0</v>
      </c>
      <c r="H7658" s="24">
        <v>313.0</v>
      </c>
      <c r="I7658" s="24">
        <v>20.0</v>
      </c>
      <c r="J7658" s="24">
        <v>0.0</v>
      </c>
      <c r="K7658" s="23" t="s">
        <v>34</v>
      </c>
      <c r="L7658" s="25">
        <v>42440.838900462964</v>
      </c>
      <c r="M7658" s="26" t="s">
        <v>16984</v>
      </c>
      <c r="N7658" s="26" t="s">
        <v>16985</v>
      </c>
      <c r="O7658" s="22" t="str">
        <f>HYPERLINK("https://pbs.twimg.com/profile_images/708649211592450048/9GV2XNAq_normal.jpg","View")</f>
        <v>View</v>
      </c>
      <c r="P7658" s="27"/>
    </row>
    <row r="7659">
      <c r="A7659" s="14">
        <v>43031.62945601852</v>
      </c>
      <c r="B7659" s="20" t="str">
        <f>HYPERLINK("https://twitter.com/arukimak","@arukimak")</f>
        <v>@arukimak</v>
      </c>
      <c r="C7659" s="21" t="s">
        <v>16986</v>
      </c>
      <c r="D7659" s="21" t="s">
        <v>6403</v>
      </c>
      <c r="E7659" s="22" t="str">
        <f>HYPERLINK("https://twitter.com/arukimak/status/922585024125313024","922585024125313024")</f>
        <v>922585024125313024</v>
      </c>
      <c r="F7659" s="23" t="s">
        <v>39</v>
      </c>
      <c r="G7659" s="24">
        <v>131.0</v>
      </c>
      <c r="H7659" s="24">
        <v>89.0</v>
      </c>
      <c r="I7659" s="24">
        <v>97.0</v>
      </c>
      <c r="J7659" s="24">
        <v>0.0</v>
      </c>
      <c r="K7659" s="23" t="s">
        <v>34</v>
      </c>
      <c r="L7659" s="25">
        <v>40421.169583333336</v>
      </c>
      <c r="M7659" s="26" t="s">
        <v>16987</v>
      </c>
      <c r="N7659" s="26" t="s">
        <v>16988</v>
      </c>
      <c r="O7659" s="22" t="str">
        <f>HYPERLINK("https://pbs.twimg.com/profile_images/1116765263/P10101601_normal.JPG","View")</f>
        <v>View</v>
      </c>
      <c r="P7659" s="27"/>
    </row>
    <row r="7660">
      <c r="A7660" s="14">
        <v>43031.630266203705</v>
      </c>
      <c r="B7660" s="20" t="str">
        <f>HYPERLINK("https://twitter.com/JPBENAVE","@JPBENAVE")</f>
        <v>@JPBENAVE</v>
      </c>
      <c r="C7660" s="21" t="s">
        <v>16874</v>
      </c>
      <c r="D7660" s="21" t="s">
        <v>5544</v>
      </c>
      <c r="E7660" s="22" t="str">
        <f>HYPERLINK("https://twitter.com/JPBENAVE/status/922585317051453442","922585317051453442")</f>
        <v>922585317051453442</v>
      </c>
      <c r="F7660" s="23" t="s">
        <v>43</v>
      </c>
      <c r="G7660" s="24">
        <v>904.0</v>
      </c>
      <c r="H7660" s="24">
        <v>4264.0</v>
      </c>
      <c r="I7660" s="24">
        <v>77.0</v>
      </c>
      <c r="J7660" s="24">
        <v>0.0</v>
      </c>
      <c r="K7660" s="23" t="s">
        <v>34</v>
      </c>
      <c r="L7660" s="25">
        <v>40763.74465277778</v>
      </c>
      <c r="M7660" s="26" t="s">
        <v>16875</v>
      </c>
      <c r="N7660" s="26" t="s">
        <v>16876</v>
      </c>
      <c r="O7660" s="22" t="str">
        <f>HYPERLINK("https://pbs.twimg.com/profile_images/919309190862053376/N7mRMBCU_normal.jpg","View")</f>
        <v>View</v>
      </c>
      <c r="P7660" s="27"/>
    </row>
    <row r="7661">
      <c r="A7661" s="14">
        <v>43031.630474537036</v>
      </c>
      <c r="B7661" s="20" t="str">
        <f t="shared" ref="B7661:B7662" si="131">HYPERLINK("https://twitter.com/cartradejapan","@cartradejapan")</f>
        <v>@cartradejapan</v>
      </c>
      <c r="C7661" s="21" t="s">
        <v>2109</v>
      </c>
      <c r="D7661" s="21" t="s">
        <v>16989</v>
      </c>
      <c r="E7661" s="22" t="str">
        <f>HYPERLINK("https://twitter.com/cartradejapan/status/922585393232351232","922585393232351232")</f>
        <v>922585393232351232</v>
      </c>
      <c r="F7661" s="23" t="s">
        <v>2111</v>
      </c>
      <c r="G7661" s="24">
        <v>901.0</v>
      </c>
      <c r="H7661" s="24">
        <v>1777.0</v>
      </c>
      <c r="I7661" s="24">
        <v>0.0</v>
      </c>
      <c r="J7661" s="24">
        <v>0.0</v>
      </c>
      <c r="K7661" s="23" t="s">
        <v>34</v>
      </c>
      <c r="L7661" s="25">
        <v>41497.54555555555</v>
      </c>
      <c r="M7661" s="26" t="s">
        <v>2112</v>
      </c>
      <c r="N7661" s="26" t="s">
        <v>2113</v>
      </c>
      <c r="O7661" s="22" t="str">
        <f t="shared" ref="O7661:O7662" si="132">HYPERLINK("https://pbs.twimg.com/profile_images/595912331265085441/17hdfbuV_normal.jpg","View")</f>
        <v>View</v>
      </c>
      <c r="P7661" s="27"/>
    </row>
    <row r="7662">
      <c r="A7662" s="14">
        <v>43031.630520833336</v>
      </c>
      <c r="B7662" s="20" t="str">
        <f t="shared" si="131"/>
        <v>@cartradejapan</v>
      </c>
      <c r="C7662" s="21" t="s">
        <v>2109</v>
      </c>
      <c r="D7662" s="21" t="s">
        <v>16990</v>
      </c>
      <c r="E7662" s="22" t="str">
        <f>HYPERLINK("https://twitter.com/cartradejapan/status/922585411465048064","922585411465048064")</f>
        <v>922585411465048064</v>
      </c>
      <c r="F7662" s="23" t="s">
        <v>2111</v>
      </c>
      <c r="G7662" s="24">
        <v>901.0</v>
      </c>
      <c r="H7662" s="24">
        <v>1777.0</v>
      </c>
      <c r="I7662" s="24">
        <v>0.0</v>
      </c>
      <c r="J7662" s="24">
        <v>0.0</v>
      </c>
      <c r="K7662" s="23" t="s">
        <v>34</v>
      </c>
      <c r="L7662" s="25">
        <v>41497.54555555555</v>
      </c>
      <c r="M7662" s="26" t="s">
        <v>2112</v>
      </c>
      <c r="N7662" s="26" t="s">
        <v>2113</v>
      </c>
      <c r="O7662" s="22" t="str">
        <f t="shared" si="132"/>
        <v>View</v>
      </c>
      <c r="P7662" s="27"/>
    </row>
    <row r="7663">
      <c r="A7663" s="14">
        <v>43031.63175925926</v>
      </c>
      <c r="B7663" s="20" t="str">
        <f>HYPERLINK("https://twitter.com/ChuChuOPico","@ChuChuOPico")</f>
        <v>@ChuChuOPico</v>
      </c>
      <c r="C7663" s="21" t="s">
        <v>16991</v>
      </c>
      <c r="D7663" s="21" t="s">
        <v>16992</v>
      </c>
      <c r="E7663" s="22" t="str">
        <f>HYPERLINK("https://twitter.com/ChuChuOPico/status/922585857940324353","922585857940324353")</f>
        <v>922585857940324353</v>
      </c>
      <c r="F7663" s="23" t="s">
        <v>33</v>
      </c>
      <c r="G7663" s="24">
        <v>259.0</v>
      </c>
      <c r="H7663" s="24">
        <v>1917.0</v>
      </c>
      <c r="I7663" s="24">
        <v>3.0</v>
      </c>
      <c r="J7663" s="24">
        <v>0.0</v>
      </c>
      <c r="K7663" s="23" t="s">
        <v>34</v>
      </c>
      <c r="L7663" s="25">
        <v>42787.517534722225</v>
      </c>
      <c r="M7663" s="26" t="s">
        <v>16993</v>
      </c>
      <c r="N7663" s="26" t="s">
        <v>16994</v>
      </c>
      <c r="O7663" s="22" t="str">
        <f>HYPERLINK("https://pbs.twimg.com/profile_images/834836300066758656/xMjm3b6I_normal.jpg","View")</f>
        <v>View</v>
      </c>
      <c r="P7663" s="27"/>
    </row>
    <row r="7664">
      <c r="A7664" s="14">
        <v>43031.631875</v>
      </c>
      <c r="B7664" s="20" t="str">
        <f>HYPERLINK("https://twitter.com/arenda","@arenda")</f>
        <v>@arenda</v>
      </c>
      <c r="C7664" s="21" t="s">
        <v>16995</v>
      </c>
      <c r="D7664" s="21" t="s">
        <v>15918</v>
      </c>
      <c r="E7664" s="22" t="str">
        <f>HYPERLINK("https://twitter.com/arenda/status/922585903737876480","922585903737876480")</f>
        <v>922585903737876480</v>
      </c>
      <c r="F7664" s="23" t="s">
        <v>55</v>
      </c>
      <c r="G7664" s="24">
        <v>5458.0</v>
      </c>
      <c r="H7664" s="24">
        <v>5988.0</v>
      </c>
      <c r="I7664" s="24">
        <v>2.0</v>
      </c>
      <c r="J7664" s="24">
        <v>0.0</v>
      </c>
      <c r="K7664" s="23" t="s">
        <v>34</v>
      </c>
      <c r="L7664" s="25">
        <v>39835.39630787037</v>
      </c>
      <c r="M7664" s="26" t="s">
        <v>4239</v>
      </c>
      <c r="N7664" s="26" t="s">
        <v>16996</v>
      </c>
      <c r="O7664" s="22" t="str">
        <f>HYPERLINK("https://pbs.twimg.com/profile_images/72850348/Dr_Arend_2_normal.jpg","View")</f>
        <v>View</v>
      </c>
      <c r="P7664" s="27"/>
    </row>
    <row r="7665">
      <c r="A7665" s="14">
        <v>43031.63202546297</v>
      </c>
      <c r="B7665" s="20" t="str">
        <f>HYPERLINK("https://twitter.com/usworldpress","@usworldpress")</f>
        <v>@usworldpress</v>
      </c>
      <c r="C7665" s="21" t="s">
        <v>16997</v>
      </c>
      <c r="D7665" s="21" t="s">
        <v>16998</v>
      </c>
      <c r="E7665" s="22" t="str">
        <f>HYPERLINK("https://twitter.com/usworldpress/status/922585957617905664","922585957617905664")</f>
        <v>922585957617905664</v>
      </c>
      <c r="F7665" s="23" t="s">
        <v>16999</v>
      </c>
      <c r="G7665" s="24">
        <v>69.0</v>
      </c>
      <c r="H7665" s="24">
        <v>9.0</v>
      </c>
      <c r="I7665" s="24">
        <v>0.0</v>
      </c>
      <c r="J7665" s="24">
        <v>0.0</v>
      </c>
      <c r="K7665" s="23" t="s">
        <v>34</v>
      </c>
      <c r="L7665" s="25">
        <v>42422.888807870375</v>
      </c>
      <c r="M7665" s="28"/>
      <c r="N7665" s="28"/>
      <c r="O7665" s="22" t="str">
        <f>HYPERLINK("https://pbs.twimg.com/profile_images/702001695329492992/2rOtokYL_normal.jpg","View")</f>
        <v>View</v>
      </c>
      <c r="P7665" s="27"/>
    </row>
    <row r="7666">
      <c r="A7666" s="14">
        <v>43031.632256944446</v>
      </c>
      <c r="B7666" s="20" t="str">
        <f>HYPERLINK("https://twitter.com/kunikou","@kunikou")</f>
        <v>@kunikou</v>
      </c>
      <c r="C7666" s="21" t="s">
        <v>17000</v>
      </c>
      <c r="D7666" s="21" t="s">
        <v>8782</v>
      </c>
      <c r="E7666" s="22" t="str">
        <f>HYPERLINK("https://twitter.com/kunikou/status/922586041688588289","922586041688588289")</f>
        <v>922586041688588289</v>
      </c>
      <c r="F7666" s="23" t="s">
        <v>55</v>
      </c>
      <c r="G7666" s="24">
        <v>114.0</v>
      </c>
      <c r="H7666" s="24">
        <v>92.0</v>
      </c>
      <c r="I7666" s="24">
        <v>20.0</v>
      </c>
      <c r="J7666" s="24">
        <v>0.0</v>
      </c>
      <c r="K7666" s="23" t="s">
        <v>34</v>
      </c>
      <c r="L7666" s="25">
        <v>40192.13924768518</v>
      </c>
      <c r="M7666" s="28"/>
      <c r="N7666" s="26" t="s">
        <v>17001</v>
      </c>
      <c r="O7666" s="22" t="str">
        <f>HYPERLINK("https://abs.twimg.com/sticky/default_profile_images/default_profile_normal.png","View")</f>
        <v>View</v>
      </c>
      <c r="P7666" s="27"/>
    </row>
    <row r="7667">
      <c r="A7667" s="14">
        <v>43031.632268518515</v>
      </c>
      <c r="B7667" s="20" t="str">
        <f>HYPERLINK("https://twitter.com/eqtr8er","@eqtr8er")</f>
        <v>@eqtr8er</v>
      </c>
      <c r="C7667" s="21" t="s">
        <v>17002</v>
      </c>
      <c r="D7667" s="21" t="s">
        <v>16537</v>
      </c>
      <c r="E7667" s="22" t="str">
        <f>HYPERLINK("https://twitter.com/eqtr8er/status/922586044058316801","922586044058316801")</f>
        <v>922586044058316801</v>
      </c>
      <c r="F7667" s="23" t="s">
        <v>33</v>
      </c>
      <c r="G7667" s="24">
        <v>9641.0</v>
      </c>
      <c r="H7667" s="24">
        <v>9712.0</v>
      </c>
      <c r="I7667" s="24">
        <v>242.0</v>
      </c>
      <c r="J7667" s="24">
        <v>0.0</v>
      </c>
      <c r="K7667" s="23" t="s">
        <v>34</v>
      </c>
      <c r="L7667" s="25">
        <v>40943.58833333333</v>
      </c>
      <c r="M7667" s="26" t="s">
        <v>1024</v>
      </c>
      <c r="N7667" s="26" t="s">
        <v>17003</v>
      </c>
      <c r="O7667" s="22" t="str">
        <f>HYPERLINK("https://pbs.twimg.com/profile_images/815544783783346176/4ztd3uhN_normal.jpg","View")</f>
        <v>View</v>
      </c>
      <c r="P7667" s="27"/>
    </row>
    <row r="7668">
      <c r="A7668" s="14">
        <v>43031.63366898148</v>
      </c>
      <c r="B7668" s="20" t="str">
        <f>HYPERLINK("https://twitter.com/PMoallemian","@PMoallemian")</f>
        <v>@PMoallemian</v>
      </c>
      <c r="C7668" s="21" t="s">
        <v>1959</v>
      </c>
      <c r="D7668" s="21" t="s">
        <v>17004</v>
      </c>
      <c r="E7668" s="22" t="str">
        <f>HYPERLINK("https://twitter.com/PMoallemian/status/922586552240193537","922586552240193537")</f>
        <v>922586552240193537</v>
      </c>
      <c r="F7668" s="23" t="s">
        <v>187</v>
      </c>
      <c r="G7668" s="24">
        <v>5102.0</v>
      </c>
      <c r="H7668" s="24">
        <v>90.0</v>
      </c>
      <c r="I7668" s="24">
        <v>0.0</v>
      </c>
      <c r="J7668" s="24">
        <v>0.0</v>
      </c>
      <c r="K7668" s="23" t="s">
        <v>34</v>
      </c>
      <c r="L7668" s="25">
        <v>39556.68920138889</v>
      </c>
      <c r="M7668" s="26" t="s">
        <v>1961</v>
      </c>
      <c r="N7668" s="26" t="s">
        <v>1962</v>
      </c>
      <c r="O7668" s="22" t="str">
        <f>HYPERLINK("https://pbs.twimg.com/profile_images/2383496814/8p8tjkit7a1nmjrarib6_normal.jpeg","View")</f>
        <v>View</v>
      </c>
      <c r="P7668" s="27"/>
    </row>
    <row r="7669">
      <c r="A7669" s="14">
        <v>43031.63371527778</v>
      </c>
      <c r="B7669" s="20" t="str">
        <f>HYPERLINK("https://twitter.com/JETBallin","@JETBallin")</f>
        <v>@JETBallin</v>
      </c>
      <c r="C7669" s="21" t="s">
        <v>17005</v>
      </c>
      <c r="D7669" s="21" t="s">
        <v>16537</v>
      </c>
      <c r="E7669" s="22" t="str">
        <f>HYPERLINK("https://twitter.com/JETBallin/status/922586570812620800","922586570812620800")</f>
        <v>922586570812620800</v>
      </c>
      <c r="F7669" s="23" t="s">
        <v>33</v>
      </c>
      <c r="G7669" s="24">
        <v>2242.0</v>
      </c>
      <c r="H7669" s="24">
        <v>5001.0</v>
      </c>
      <c r="I7669" s="24">
        <v>242.0</v>
      </c>
      <c r="J7669" s="24">
        <v>0.0</v>
      </c>
      <c r="K7669" s="23" t="s">
        <v>34</v>
      </c>
      <c r="L7669" s="25">
        <v>40891.78650462963</v>
      </c>
      <c r="M7669" s="26" t="s">
        <v>17006</v>
      </c>
      <c r="N7669" s="26" t="s">
        <v>17007</v>
      </c>
      <c r="O7669" s="22" t="str">
        <f>HYPERLINK("https://pbs.twimg.com/profile_images/847292784436326400/oBw0zDge_normal.jpg","View")</f>
        <v>View</v>
      </c>
      <c r="P7669" s="27"/>
    </row>
    <row r="7670">
      <c r="A7670" s="14">
        <v>43031.6337962963</v>
      </c>
      <c r="B7670" s="20" t="str">
        <f>HYPERLINK("https://twitter.com/dougie2507","@dougie2507")</f>
        <v>@dougie2507</v>
      </c>
      <c r="C7670" s="21" t="s">
        <v>17008</v>
      </c>
      <c r="D7670" s="21" t="s">
        <v>16331</v>
      </c>
      <c r="E7670" s="22" t="str">
        <f>HYPERLINK("https://twitter.com/dougie2507/status/922586597714833408","922586597714833408")</f>
        <v>922586597714833408</v>
      </c>
      <c r="F7670" s="23" t="s">
        <v>33</v>
      </c>
      <c r="G7670" s="24">
        <v>298.0</v>
      </c>
      <c r="H7670" s="24">
        <v>794.0</v>
      </c>
      <c r="I7670" s="24">
        <v>6.0</v>
      </c>
      <c r="J7670" s="24">
        <v>0.0</v>
      </c>
      <c r="K7670" s="23" t="s">
        <v>34</v>
      </c>
      <c r="L7670" s="25">
        <v>42520.88011574074</v>
      </c>
      <c r="M7670" s="26" t="s">
        <v>17009</v>
      </c>
      <c r="N7670" s="26" t="s">
        <v>17010</v>
      </c>
      <c r="O7670" s="22" t="str">
        <f>HYPERLINK("https://pbs.twimg.com/profile_images/898319219191721984/NaD96AkO_normal.jpg","View")</f>
        <v>View</v>
      </c>
      <c r="P7670" s="27"/>
    </row>
    <row r="7671">
      <c r="A7671" s="14">
        <v>43031.63390046296</v>
      </c>
      <c r="B7671" s="20" t="str">
        <f>HYPERLINK("https://twitter.com/ddh181ddh183","@ddh181ddh183")</f>
        <v>@ddh181ddh183</v>
      </c>
      <c r="C7671" s="21" t="s">
        <v>17011</v>
      </c>
      <c r="D7671" s="21" t="s">
        <v>12974</v>
      </c>
      <c r="E7671" s="22" t="str">
        <f>HYPERLINK("https://twitter.com/ddh181ddh183/status/922586633970450437","922586633970450437")</f>
        <v>922586633970450437</v>
      </c>
      <c r="F7671" s="23" t="s">
        <v>39</v>
      </c>
      <c r="G7671" s="24">
        <v>1078.0</v>
      </c>
      <c r="H7671" s="24">
        <v>622.0</v>
      </c>
      <c r="I7671" s="24">
        <v>110.0</v>
      </c>
      <c r="J7671" s="24">
        <v>0.0</v>
      </c>
      <c r="K7671" s="23" t="s">
        <v>34</v>
      </c>
      <c r="L7671" s="25">
        <v>41665.286828703705</v>
      </c>
      <c r="M7671" s="26" t="s">
        <v>17012</v>
      </c>
      <c r="N7671" s="26" t="s">
        <v>17013</v>
      </c>
      <c r="O7671" s="22" t="str">
        <f>HYPERLINK("https://pbs.twimg.com/profile_images/878499362791317504/t0EjIo0L_normal.jpg","View")</f>
        <v>View</v>
      </c>
      <c r="P7671" s="27"/>
    </row>
    <row r="7672">
      <c r="A7672" s="14">
        <v>43031.63417824074</v>
      </c>
      <c r="B7672" s="20" t="str">
        <f>HYPERLINK("https://twitter.com/RickA85876728","@RickA85876728")</f>
        <v>@RickA85876728</v>
      </c>
      <c r="C7672" s="21" t="s">
        <v>1525</v>
      </c>
      <c r="D7672" s="21" t="s">
        <v>9888</v>
      </c>
      <c r="E7672" s="22" t="str">
        <f>HYPERLINK("https://twitter.com/RickA85876728/status/922586735535468545","922586735535468545")</f>
        <v>922586735535468545</v>
      </c>
      <c r="F7672" s="23" t="s">
        <v>33</v>
      </c>
      <c r="G7672" s="24">
        <v>285.0</v>
      </c>
      <c r="H7672" s="24">
        <v>392.0</v>
      </c>
      <c r="I7672" s="24">
        <v>13.0</v>
      </c>
      <c r="J7672" s="24">
        <v>0.0</v>
      </c>
      <c r="K7672" s="23" t="s">
        <v>34</v>
      </c>
      <c r="L7672" s="25">
        <v>42941.7590625</v>
      </c>
      <c r="M7672" s="26" t="s">
        <v>17014</v>
      </c>
      <c r="N7672" s="26" t="s">
        <v>17015</v>
      </c>
      <c r="O7672" s="22" t="str">
        <f>HYPERLINK("https://pbs.twimg.com/profile_images/895060441113788416/w2MPe1Nc_normal.jpg","View")</f>
        <v>View</v>
      </c>
      <c r="P7672" s="27"/>
    </row>
    <row r="7673">
      <c r="A7673" s="14">
        <v>43031.63453703704</v>
      </c>
      <c r="B7673" s="20" t="str">
        <f>HYPERLINK("https://twitter.com/InfoSecurity99","@InfoSecurity99")</f>
        <v>@InfoSecurity99</v>
      </c>
      <c r="C7673" s="21" t="s">
        <v>17016</v>
      </c>
      <c r="D7673" s="21" t="s">
        <v>17017</v>
      </c>
      <c r="E7673" s="22" t="str">
        <f>HYPERLINK("https://twitter.com/InfoSecurity99/status/922586867064643584","922586867064643584")</f>
        <v>922586867064643584</v>
      </c>
      <c r="F7673" s="23" t="s">
        <v>17018</v>
      </c>
      <c r="G7673" s="24">
        <v>6767.0</v>
      </c>
      <c r="H7673" s="24">
        <v>3.0</v>
      </c>
      <c r="I7673" s="24">
        <v>4.0</v>
      </c>
      <c r="J7673" s="24">
        <v>0.0</v>
      </c>
      <c r="K7673" s="23" t="s">
        <v>34</v>
      </c>
      <c r="L7673" s="25">
        <v>42720.08400462963</v>
      </c>
      <c r="M7673" s="26" t="s">
        <v>167</v>
      </c>
      <c r="N7673" s="26" t="s">
        <v>17019</v>
      </c>
      <c r="O7673" s="22" t="str">
        <f>HYPERLINK("https://pbs.twimg.com/profile_images/809703045537955841/Cawg5tId_normal.jpg","View")</f>
        <v>View</v>
      </c>
      <c r="P7673" s="27"/>
    </row>
    <row r="7674">
      <c r="A7674" s="14">
        <v>43031.63453703704</v>
      </c>
      <c r="B7674" s="20" t="str">
        <f>HYPERLINK("https://twitter.com/sectest9","@sectest9")</f>
        <v>@sectest9</v>
      </c>
      <c r="C7674" s="21" t="s">
        <v>17020</v>
      </c>
      <c r="D7674" s="21" t="s">
        <v>17017</v>
      </c>
      <c r="E7674" s="22" t="str">
        <f>HYPERLINK("https://twitter.com/sectest9/status/922586867194675200","922586867194675200")</f>
        <v>922586867194675200</v>
      </c>
      <c r="F7674" s="23" t="s">
        <v>17021</v>
      </c>
      <c r="G7674" s="24">
        <v>13774.0</v>
      </c>
      <c r="H7674" s="24">
        <v>3.0</v>
      </c>
      <c r="I7674" s="24">
        <v>4.0</v>
      </c>
      <c r="J7674" s="24">
        <v>0.0</v>
      </c>
      <c r="K7674" s="23" t="s">
        <v>34</v>
      </c>
      <c r="L7674" s="25">
        <v>42445.34799768518</v>
      </c>
      <c r="M7674" s="26" t="s">
        <v>167</v>
      </c>
      <c r="N7674" s="26" t="s">
        <v>17022</v>
      </c>
      <c r="O7674" s="22" t="str">
        <f>HYPERLINK("https://pbs.twimg.com/profile_images/710735123876982784/GjV7JWMk_normal.jpg","View")</f>
        <v>View</v>
      </c>
      <c r="P7674" s="27"/>
    </row>
    <row r="7675">
      <c r="A7675" s="14">
        <v>43031.6346412037</v>
      </c>
      <c r="B7675" s="20" t="str">
        <f>HYPERLINK("https://twitter.com/SecurityNews6","@SecurityNews6")</f>
        <v>@SecurityNews6</v>
      </c>
      <c r="C7675" s="21" t="s">
        <v>17023</v>
      </c>
      <c r="D7675" s="21" t="s">
        <v>17017</v>
      </c>
      <c r="E7675" s="22" t="str">
        <f>HYPERLINK("https://twitter.com/SecurityNews6/status/922586905643925504","922586905643925504")</f>
        <v>922586905643925504</v>
      </c>
      <c r="F7675" s="23" t="s">
        <v>17024</v>
      </c>
      <c r="G7675" s="24">
        <v>7830.0</v>
      </c>
      <c r="H7675" s="24">
        <v>3.0</v>
      </c>
      <c r="I7675" s="24">
        <v>4.0</v>
      </c>
      <c r="J7675" s="24">
        <v>0.0</v>
      </c>
      <c r="K7675" s="23" t="s">
        <v>34</v>
      </c>
      <c r="L7675" s="25">
        <v>42588.22795138889</v>
      </c>
      <c r="M7675" s="26" t="s">
        <v>167</v>
      </c>
      <c r="N7675" s="26" t="s">
        <v>17025</v>
      </c>
      <c r="O7675" s="22" t="str">
        <f>HYPERLINK("https://pbs.twimg.com/profile_images/771240020862574592/R9Eo24cq_normal.jpg","View")</f>
        <v>View</v>
      </c>
      <c r="P7675" s="27"/>
    </row>
    <row r="7676">
      <c r="A7676" s="14">
        <v>43031.63484953703</v>
      </c>
      <c r="B7676" s="20" t="str">
        <f>HYPERLINK("https://twitter.com/NaveenHindu","@NaveenHindu")</f>
        <v>@NaveenHindu</v>
      </c>
      <c r="C7676" s="21" t="s">
        <v>17026</v>
      </c>
      <c r="D7676" s="21" t="s">
        <v>42</v>
      </c>
      <c r="E7676" s="22" t="str">
        <f>HYPERLINK("https://twitter.com/NaveenHindu/status/922586980612947968","922586980612947968")</f>
        <v>922586980612947968</v>
      </c>
      <c r="F7676" s="23" t="s">
        <v>33</v>
      </c>
      <c r="G7676" s="24">
        <v>125.0</v>
      </c>
      <c r="H7676" s="24">
        <v>345.0</v>
      </c>
      <c r="I7676" s="24">
        <v>8501.0</v>
      </c>
      <c r="J7676" s="24">
        <v>0.0</v>
      </c>
      <c r="K7676" s="23" t="s">
        <v>34</v>
      </c>
      <c r="L7676" s="25">
        <v>40295.051828703705</v>
      </c>
      <c r="M7676" s="26" t="s">
        <v>1189</v>
      </c>
      <c r="N7676" s="26" t="s">
        <v>17027</v>
      </c>
      <c r="O7676" s="22" t="str">
        <f>HYPERLINK("https://pbs.twimg.com/profile_images/854921276/chakram_normal.jpg","View")</f>
        <v>View</v>
      </c>
      <c r="P7676" s="27"/>
    </row>
    <row r="7677">
      <c r="A7677" s="14">
        <v>43031.63621527777</v>
      </c>
      <c r="B7677" s="20" t="str">
        <f>HYPERLINK("https://twitter.com/inews2day","@inews2day")</f>
        <v>@inews2day</v>
      </c>
      <c r="C7677" s="21" t="s">
        <v>539</v>
      </c>
      <c r="D7677" s="21" t="s">
        <v>17028</v>
      </c>
      <c r="E7677" s="22" t="str">
        <f>HYPERLINK("https://twitter.com/inews2day/status/922587476832612352","922587476832612352")</f>
        <v>922587476832612352</v>
      </c>
      <c r="F7677" s="23" t="s">
        <v>187</v>
      </c>
      <c r="G7677" s="24">
        <v>487.0</v>
      </c>
      <c r="H7677" s="24">
        <v>0.0</v>
      </c>
      <c r="I7677" s="24">
        <v>0.0</v>
      </c>
      <c r="J7677" s="24">
        <v>0.0</v>
      </c>
      <c r="K7677" s="23" t="s">
        <v>34</v>
      </c>
      <c r="L7677" s="25">
        <v>42055.11097222222</v>
      </c>
      <c r="M7677" s="26" t="s">
        <v>541</v>
      </c>
      <c r="N7677" s="26" t="s">
        <v>542</v>
      </c>
      <c r="O7677" s="22" t="str">
        <f>HYPERLINK("https://pbs.twimg.com/profile_images/568731081323466752/-oyEQpj9_normal.jpeg","View")</f>
        <v>View</v>
      </c>
      <c r="P7677" s="27"/>
    </row>
    <row r="7678">
      <c r="A7678" s="14">
        <v>43031.6365625</v>
      </c>
      <c r="B7678" s="20" t="str">
        <f>HYPERLINK("https://twitter.com/_yumi_y_1","@_yumi_y_1")</f>
        <v>@_yumi_y_1</v>
      </c>
      <c r="C7678" s="21" t="s">
        <v>17029</v>
      </c>
      <c r="D7678" s="21" t="s">
        <v>8782</v>
      </c>
      <c r="E7678" s="22" t="str">
        <f>HYPERLINK("https://twitter.com/_yumi_y_1/status/922587602078785536","922587602078785536")</f>
        <v>922587602078785536</v>
      </c>
      <c r="F7678" s="23" t="s">
        <v>33</v>
      </c>
      <c r="G7678" s="24">
        <v>70.0</v>
      </c>
      <c r="H7678" s="24">
        <v>79.0</v>
      </c>
      <c r="I7678" s="24">
        <v>20.0</v>
      </c>
      <c r="J7678" s="24">
        <v>0.0</v>
      </c>
      <c r="K7678" s="23" t="s">
        <v>34</v>
      </c>
      <c r="L7678" s="25">
        <v>41176.3212962963</v>
      </c>
      <c r="M7678" s="28"/>
      <c r="N7678" s="28"/>
      <c r="O7678" s="22" t="str">
        <f t="shared" ref="O7678:O7679" si="133">HYPERLINK("https://abs.twimg.com/sticky/default_profile_images/default_profile_normal.png","View")</f>
        <v>View</v>
      </c>
      <c r="P7678" s="27"/>
    </row>
    <row r="7679">
      <c r="A7679" s="14">
        <v>43031.63658564815</v>
      </c>
      <c r="B7679" s="20" t="str">
        <f>HYPERLINK("https://twitter.com/wishingwell73","@wishingwell73")</f>
        <v>@wishingwell73</v>
      </c>
      <c r="C7679" s="21" t="s">
        <v>17030</v>
      </c>
      <c r="D7679" s="21" t="s">
        <v>16537</v>
      </c>
      <c r="E7679" s="22" t="str">
        <f>HYPERLINK("https://twitter.com/wishingwell73/status/922587610966507520","922587610966507520")</f>
        <v>922587610966507520</v>
      </c>
      <c r="F7679" s="23" t="s">
        <v>55</v>
      </c>
      <c r="G7679" s="24">
        <v>1.0</v>
      </c>
      <c r="H7679" s="24">
        <v>39.0</v>
      </c>
      <c r="I7679" s="24">
        <v>242.0</v>
      </c>
      <c r="J7679" s="24">
        <v>0.0</v>
      </c>
      <c r="K7679" s="23" t="s">
        <v>34</v>
      </c>
      <c r="L7679" s="25">
        <v>42960.66520833333</v>
      </c>
      <c r="M7679" s="26" t="s">
        <v>5976</v>
      </c>
      <c r="N7679" s="26" t="s">
        <v>17031</v>
      </c>
      <c r="O7679" s="22" t="str">
        <f t="shared" si="133"/>
        <v>View</v>
      </c>
      <c r="P7679" s="27"/>
    </row>
    <row r="7680">
      <c r="A7680" s="14">
        <v>43031.63820601851</v>
      </c>
      <c r="B7680" s="20" t="str">
        <f>HYPERLINK("https://twitter.com/vloracitaku","@vloracitaku")</f>
        <v>@vloracitaku</v>
      </c>
      <c r="C7680" s="21" t="s">
        <v>17032</v>
      </c>
      <c r="D7680" s="21" t="s">
        <v>15452</v>
      </c>
      <c r="E7680" s="22" t="str">
        <f>HYPERLINK("https://twitter.com/vloracitaku/status/922588195279142912","922588195279142912")</f>
        <v>922588195279142912</v>
      </c>
      <c r="F7680" s="23" t="s">
        <v>39</v>
      </c>
      <c r="G7680" s="24">
        <v>76939.0</v>
      </c>
      <c r="H7680" s="24">
        <v>996.0</v>
      </c>
      <c r="I7680" s="24">
        <v>4.0</v>
      </c>
      <c r="J7680" s="24">
        <v>0.0</v>
      </c>
      <c r="K7680" s="23" t="s">
        <v>34</v>
      </c>
      <c r="L7680" s="25">
        <v>40671.422685185185</v>
      </c>
      <c r="M7680" s="26" t="s">
        <v>4239</v>
      </c>
      <c r="N7680" s="26" t="s">
        <v>17033</v>
      </c>
      <c r="O7680" s="22" t="str">
        <f>HYPERLINK("https://pbs.twimg.com/profile_images/785589455436468224/e2rZbCU2_normal.jpg","View")</f>
        <v>View</v>
      </c>
      <c r="P7680" s="27"/>
    </row>
    <row r="7681">
      <c r="A7681" s="14">
        <v>43031.63864583333</v>
      </c>
      <c r="B7681" s="20" t="str">
        <f>HYPERLINK("https://twitter.com/notasnervous","@notasnervous")</f>
        <v>@notasnervous</v>
      </c>
      <c r="C7681" s="21" t="s">
        <v>17034</v>
      </c>
      <c r="D7681" s="21" t="s">
        <v>17035</v>
      </c>
      <c r="E7681" s="22" t="str">
        <f>HYPERLINK("https://twitter.com/notasnervous/status/922588354285146112","922588354285146112")</f>
        <v>922588354285146112</v>
      </c>
      <c r="F7681" s="23" t="s">
        <v>55</v>
      </c>
      <c r="G7681" s="24">
        <v>938.0</v>
      </c>
      <c r="H7681" s="24">
        <v>4994.0</v>
      </c>
      <c r="I7681" s="24">
        <v>0.0</v>
      </c>
      <c r="J7681" s="24">
        <v>2.0</v>
      </c>
      <c r="K7681" s="23" t="s">
        <v>34</v>
      </c>
      <c r="L7681" s="25">
        <v>40768.76043981481</v>
      </c>
      <c r="M7681" s="26" t="s">
        <v>3922</v>
      </c>
      <c r="N7681" s="26" t="s">
        <v>17036</v>
      </c>
      <c r="O7681" s="22" t="str">
        <f>HYPERLINK("https://pbs.twimg.com/profile_images/725175425585057792/8JnoFpZR_normal.jpg","View")</f>
        <v>View</v>
      </c>
      <c r="P7681" s="27"/>
    </row>
    <row r="7682">
      <c r="A7682" s="14">
        <v>43031.63866898148</v>
      </c>
      <c r="B7682" s="20" t="str">
        <f>HYPERLINK("https://twitter.com/elaynebcool15","@elaynebcool15")</f>
        <v>@elaynebcool15</v>
      </c>
      <c r="C7682" s="21" t="s">
        <v>17037</v>
      </c>
      <c r="D7682" s="21" t="s">
        <v>16537</v>
      </c>
      <c r="E7682" s="22" t="str">
        <f>HYPERLINK("https://twitter.com/elaynebcool15/status/922588365219704832","922588365219704832")</f>
        <v>922588365219704832</v>
      </c>
      <c r="F7682" s="23" t="s">
        <v>39</v>
      </c>
      <c r="G7682" s="24">
        <v>66.0</v>
      </c>
      <c r="H7682" s="24">
        <v>184.0</v>
      </c>
      <c r="I7682" s="24">
        <v>242.0</v>
      </c>
      <c r="J7682" s="24">
        <v>0.0</v>
      </c>
      <c r="K7682" s="23" t="s">
        <v>34</v>
      </c>
      <c r="L7682" s="25">
        <v>42738.78329861111</v>
      </c>
      <c r="M7682" s="26" t="s">
        <v>905</v>
      </c>
      <c r="N7682" s="26" t="s">
        <v>17038</v>
      </c>
      <c r="O7682" s="22" t="str">
        <f>HYPERLINK("https://pbs.twimg.com/profile_images/866096885551034368/WjAPXjKQ_normal.jpg","View")</f>
        <v>View</v>
      </c>
      <c r="P7682" s="27"/>
    </row>
    <row r="7683">
      <c r="A7683" s="14">
        <v>43031.63886574074</v>
      </c>
      <c r="B7683" s="20" t="str">
        <f>HYPERLINK("https://twitter.com/AliceSavitsky","@AliceSavitsky")</f>
        <v>@AliceSavitsky</v>
      </c>
      <c r="C7683" s="21" t="s">
        <v>17039</v>
      </c>
      <c r="D7683" s="21" t="s">
        <v>17040</v>
      </c>
      <c r="E7683" s="22" t="str">
        <f>HYPERLINK("https://twitter.com/AliceSavitsky/status/922588436199960576","922588436199960576")</f>
        <v>922588436199960576</v>
      </c>
      <c r="F7683" s="23" t="s">
        <v>55</v>
      </c>
      <c r="G7683" s="24">
        <v>17.0</v>
      </c>
      <c r="H7683" s="24">
        <v>16.0</v>
      </c>
      <c r="I7683" s="24">
        <v>0.0</v>
      </c>
      <c r="J7683" s="24">
        <v>0.0</v>
      </c>
      <c r="K7683" s="23" t="s">
        <v>34</v>
      </c>
      <c r="L7683" s="25">
        <v>42735.4390162037</v>
      </c>
      <c r="M7683" s="28"/>
      <c r="N7683" s="26" t="s">
        <v>17041</v>
      </c>
      <c r="O7683" s="22" t="str">
        <f>HYPERLINK("https://pbs.twimg.com/profile_images/815607610833506304/FTGdUfw0_normal.jpg","View")</f>
        <v>View</v>
      </c>
      <c r="P7683" s="27"/>
    </row>
    <row r="7684">
      <c r="A7684" s="14">
        <v>43031.63924768519</v>
      </c>
      <c r="B7684" s="20" t="str">
        <f>HYPERLINK("https://twitter.com/man_krip","@man_krip")</f>
        <v>@man_krip</v>
      </c>
      <c r="C7684" s="21" t="s">
        <v>17042</v>
      </c>
      <c r="D7684" s="21" t="s">
        <v>6403</v>
      </c>
      <c r="E7684" s="22" t="str">
        <f>HYPERLINK("https://twitter.com/man_krip/status/922588575509520384","922588575509520384")</f>
        <v>922588575509520384</v>
      </c>
      <c r="F7684" s="23" t="s">
        <v>55</v>
      </c>
      <c r="G7684" s="24">
        <v>377.0</v>
      </c>
      <c r="H7684" s="24">
        <v>104.0</v>
      </c>
      <c r="I7684" s="24">
        <v>97.0</v>
      </c>
      <c r="J7684" s="24">
        <v>0.0</v>
      </c>
      <c r="K7684" s="23" t="s">
        <v>34</v>
      </c>
      <c r="L7684" s="25">
        <v>41883.9984837963</v>
      </c>
      <c r="M7684" s="28"/>
      <c r="N7684" s="28"/>
      <c r="O7684" s="22" t="str">
        <f>HYPERLINK("https://abs.twimg.com/sticky/default_profile_images/default_profile_normal.png","View")</f>
        <v>View</v>
      </c>
      <c r="P7684" s="27"/>
    </row>
    <row r="7685">
      <c r="A7685" s="14">
        <v>43031.63986111111</v>
      </c>
      <c r="B7685" s="20" t="str">
        <f>HYPERLINK("https://twitter.com/k3shtk4r","@k3shtk4r")</f>
        <v>@k3shtk4r</v>
      </c>
      <c r="C7685" s="21" t="s">
        <v>13403</v>
      </c>
      <c r="D7685" s="21" t="s">
        <v>17043</v>
      </c>
      <c r="E7685" s="22" t="str">
        <f>HYPERLINK("https://twitter.com/k3shtk4r/status/922588797946159104","922588797946159104")</f>
        <v>922588797946159104</v>
      </c>
      <c r="F7685" s="23" t="s">
        <v>187</v>
      </c>
      <c r="G7685" s="24">
        <v>373.0</v>
      </c>
      <c r="H7685" s="24">
        <v>99.0</v>
      </c>
      <c r="I7685" s="24">
        <v>0.0</v>
      </c>
      <c r="J7685" s="24">
        <v>0.0</v>
      </c>
      <c r="K7685" s="23" t="s">
        <v>34</v>
      </c>
      <c r="L7685" s="25">
        <v>40445.06240740741</v>
      </c>
      <c r="M7685" s="28"/>
      <c r="N7685" s="26" t="s">
        <v>13405</v>
      </c>
      <c r="O7685" s="22" t="str">
        <f>HYPERLINK("https://pbs.twimg.com/profile_images/1643334812/1_normal.jpg","View")</f>
        <v>View</v>
      </c>
      <c r="P7685" s="27"/>
    </row>
    <row r="7686">
      <c r="A7686" s="14">
        <v>43031.640185185184</v>
      </c>
      <c r="B7686" s="20" t="str">
        <f>HYPERLINK("https://twitter.com/food4_soul","@food4_soul")</f>
        <v>@food4_soul</v>
      </c>
      <c r="C7686" s="21" t="s">
        <v>17044</v>
      </c>
      <c r="D7686" s="21" t="s">
        <v>17045</v>
      </c>
      <c r="E7686" s="22" t="str">
        <f>HYPERLINK("https://twitter.com/food4_soul/status/922588914497421312","922588914497421312")</f>
        <v>922588914497421312</v>
      </c>
      <c r="F7686" s="23" t="s">
        <v>17046</v>
      </c>
      <c r="G7686" s="24">
        <v>278.0</v>
      </c>
      <c r="H7686" s="24">
        <v>321.0</v>
      </c>
      <c r="I7686" s="24">
        <v>0.0</v>
      </c>
      <c r="J7686" s="24">
        <v>0.0</v>
      </c>
      <c r="K7686" s="23" t="s">
        <v>34</v>
      </c>
      <c r="L7686" s="25">
        <v>42431.12516203704</v>
      </c>
      <c r="M7686" s="28"/>
      <c r="N7686" s="26" t="s">
        <v>17047</v>
      </c>
      <c r="O7686" s="22" t="str">
        <f>HYPERLINK("https://pbs.twimg.com/profile_images/704985078917701633/okaGpctN_normal.jpg","View")</f>
        <v>View</v>
      </c>
      <c r="P7686" s="27"/>
    </row>
    <row r="7687">
      <c r="A7687" s="14">
        <v>43031.64120370371</v>
      </c>
      <c r="B7687" s="20" t="str">
        <f>HYPERLINK("https://twitter.com/Explne_dis_shit","@Explne_dis_shit")</f>
        <v>@Explne_dis_shit</v>
      </c>
      <c r="C7687" s="21" t="s">
        <v>17048</v>
      </c>
      <c r="D7687" s="21" t="s">
        <v>42</v>
      </c>
      <c r="E7687" s="22" t="str">
        <f>HYPERLINK("https://twitter.com/Explne_dis_shit/status/922589281306132480","922589281306132480")</f>
        <v>922589281306132480</v>
      </c>
      <c r="F7687" s="23" t="s">
        <v>33</v>
      </c>
      <c r="G7687" s="24">
        <v>105.0</v>
      </c>
      <c r="H7687" s="24">
        <v>389.0</v>
      </c>
      <c r="I7687" s="24">
        <v>8501.0</v>
      </c>
      <c r="J7687" s="24">
        <v>0.0</v>
      </c>
      <c r="K7687" s="23" t="s">
        <v>34</v>
      </c>
      <c r="L7687" s="25">
        <v>42896.87195601852</v>
      </c>
      <c r="M7687" s="26" t="s">
        <v>17049</v>
      </c>
      <c r="N7687" s="26" t="s">
        <v>17050</v>
      </c>
      <c r="O7687" s="22" t="str">
        <f>HYPERLINK("https://pbs.twimg.com/profile_images/909942063608643584/kWzAtzHM_normal.jpg","View")</f>
        <v>View</v>
      </c>
      <c r="P7687" s="27"/>
    </row>
    <row r="7688">
      <c r="A7688" s="14">
        <v>43031.64197916667</v>
      </c>
      <c r="B7688" s="20" t="str">
        <f>HYPERLINK("https://twitter.com/jljzen","@jljzen")</f>
        <v>@jljzen</v>
      </c>
      <c r="C7688" s="21" t="s">
        <v>3696</v>
      </c>
      <c r="D7688" s="21" t="s">
        <v>17051</v>
      </c>
      <c r="E7688" s="22" t="str">
        <f>HYPERLINK("https://twitter.com/jljzen/status/922589565143072768","922589565143072768")</f>
        <v>922589565143072768</v>
      </c>
      <c r="F7688" s="23" t="s">
        <v>55</v>
      </c>
      <c r="G7688" s="24">
        <v>4332.0</v>
      </c>
      <c r="H7688" s="24">
        <v>2013.0</v>
      </c>
      <c r="I7688" s="24">
        <v>1.0</v>
      </c>
      <c r="J7688" s="24">
        <v>2.0</v>
      </c>
      <c r="K7688" s="23" t="s">
        <v>34</v>
      </c>
      <c r="L7688" s="25">
        <v>39635.071608796294</v>
      </c>
      <c r="M7688" s="26" t="s">
        <v>3693</v>
      </c>
      <c r="N7688" s="26" t="s">
        <v>3698</v>
      </c>
      <c r="O7688" s="22" t="str">
        <f>HYPERLINK("https://pbs.twimg.com/profile_images/917531279632900096/6oc5ihff_normal.jpg","View")</f>
        <v>View</v>
      </c>
      <c r="P7688" s="27"/>
    </row>
    <row r="7689">
      <c r="A7689" s="14">
        <v>43031.64210648148</v>
      </c>
      <c r="B7689" s="20" t="str">
        <f>HYPERLINK("https://twitter.com/bllshbrsh","@bllshbrsh")</f>
        <v>@bllshbrsh</v>
      </c>
      <c r="C7689" s="21" t="s">
        <v>138</v>
      </c>
      <c r="D7689" s="21" t="s">
        <v>17052</v>
      </c>
      <c r="E7689" s="22" t="str">
        <f>HYPERLINK("https://twitter.com/bllshbrsh/status/922589610760425472","922589610760425472")</f>
        <v>922589610760425472</v>
      </c>
      <c r="F7689" s="23" t="s">
        <v>140</v>
      </c>
      <c r="G7689" s="24">
        <v>6148.0</v>
      </c>
      <c r="H7689" s="24">
        <v>6416.0</v>
      </c>
      <c r="I7689" s="24">
        <v>0.0</v>
      </c>
      <c r="J7689" s="24">
        <v>0.0</v>
      </c>
      <c r="K7689" s="23" t="s">
        <v>34</v>
      </c>
      <c r="L7689" s="25">
        <v>42682.29137731482</v>
      </c>
      <c r="M7689" s="28"/>
      <c r="N7689" s="28"/>
      <c r="O7689" s="22" t="str">
        <f>HYPERLINK("https://pbs.twimg.com/profile_images/825303907752673284/OSI50AgE_normal.jpg","View")</f>
        <v>View</v>
      </c>
      <c r="P7689" s="27"/>
    </row>
    <row r="7690">
      <c r="A7690" s="14">
        <v>43031.642175925925</v>
      </c>
      <c r="B7690" s="20" t="str">
        <f>HYPERLINK("https://twitter.com/S7s7Zp8","@S7s7Zp8")</f>
        <v>@S7s7Zp8</v>
      </c>
      <c r="C7690" s="21" t="s">
        <v>17053</v>
      </c>
      <c r="D7690" s="21" t="s">
        <v>42</v>
      </c>
      <c r="E7690" s="22" t="str">
        <f>HYPERLINK("https://twitter.com/S7s7Zp8/status/922589633128497152","922589633128497152")</f>
        <v>922589633128497152</v>
      </c>
      <c r="F7690" s="23" t="s">
        <v>39</v>
      </c>
      <c r="G7690" s="24">
        <v>327.0</v>
      </c>
      <c r="H7690" s="24">
        <v>525.0</v>
      </c>
      <c r="I7690" s="24">
        <v>8501.0</v>
      </c>
      <c r="J7690" s="24">
        <v>0.0</v>
      </c>
      <c r="K7690" s="23" t="s">
        <v>34</v>
      </c>
      <c r="L7690" s="25">
        <v>42570.00208333333</v>
      </c>
      <c r="M7690" s="28"/>
      <c r="N7690" s="28"/>
      <c r="O7690" s="22" t="str">
        <f>HYPERLINK("https://pbs.twimg.com/profile_images/914858396699959298/RSUcGcr9_normal.jpg","View")</f>
        <v>View</v>
      </c>
      <c r="P7690" s="27"/>
    </row>
    <row r="7691">
      <c r="A7691" s="14">
        <v>43031.64251157407</v>
      </c>
      <c r="B7691" s="20" t="str">
        <f>HYPERLINK("https://twitter.com/kushalagrawall","@kushalagrawall")</f>
        <v>@kushalagrawall</v>
      </c>
      <c r="C7691" s="21" t="s">
        <v>17054</v>
      </c>
      <c r="D7691" s="21" t="s">
        <v>42</v>
      </c>
      <c r="E7691" s="22" t="str">
        <f>HYPERLINK("https://twitter.com/kushalagrawall/status/922589757468749824","922589757468749824")</f>
        <v>922589757468749824</v>
      </c>
      <c r="F7691" s="23" t="s">
        <v>33</v>
      </c>
      <c r="G7691" s="24">
        <v>95.0</v>
      </c>
      <c r="H7691" s="24">
        <v>660.0</v>
      </c>
      <c r="I7691" s="24">
        <v>8501.0</v>
      </c>
      <c r="J7691" s="24">
        <v>0.0</v>
      </c>
      <c r="K7691" s="23" t="s">
        <v>34</v>
      </c>
      <c r="L7691" s="25">
        <v>40817.695497685185</v>
      </c>
      <c r="M7691" s="26" t="s">
        <v>207</v>
      </c>
      <c r="N7691" s="26" t="s">
        <v>17055</v>
      </c>
      <c r="O7691" s="22" t="str">
        <f>HYPERLINK("https://pbs.twimg.com/profile_images/910092810472235010/oVcoF53B_normal.jpg","View")</f>
        <v>View</v>
      </c>
      <c r="P7691" s="27"/>
    </row>
    <row r="7692">
      <c r="A7692" s="14">
        <v>43031.642696759256</v>
      </c>
      <c r="B7692" s="20" t="str">
        <f>HYPERLINK("https://twitter.com/BinduVyas1","@BinduVyas1")</f>
        <v>@BinduVyas1</v>
      </c>
      <c r="C7692" s="21" t="s">
        <v>17056</v>
      </c>
      <c r="D7692" s="21" t="s">
        <v>163</v>
      </c>
      <c r="E7692" s="22" t="str">
        <f>HYPERLINK("https://twitter.com/BinduVyas1/status/922589824934121472","922589824934121472")</f>
        <v>922589824934121472</v>
      </c>
      <c r="F7692" s="23" t="s">
        <v>39</v>
      </c>
      <c r="G7692" s="24">
        <v>110.0</v>
      </c>
      <c r="H7692" s="24">
        <v>101.0</v>
      </c>
      <c r="I7692" s="24">
        <v>1005.0</v>
      </c>
      <c r="J7692" s="24">
        <v>0.0</v>
      </c>
      <c r="K7692" s="23" t="s">
        <v>34</v>
      </c>
      <c r="L7692" s="25">
        <v>40998.26962962963</v>
      </c>
      <c r="M7692" s="26" t="s">
        <v>905</v>
      </c>
      <c r="N7692" s="26" t="s">
        <v>17057</v>
      </c>
      <c r="O7692" s="22" t="str">
        <f>HYPERLINK("https://pbs.twimg.com/profile_images/851061593739755522/xAAUYzN7_normal.jpg","View")</f>
        <v>View</v>
      </c>
      <c r="P7692" s="27"/>
    </row>
    <row r="7693">
      <c r="A7693" s="14">
        <v>43031.64302083333</v>
      </c>
      <c r="B7693" s="20" t="str">
        <f>HYPERLINK("https://twitter.com/irvathoor","@irvathoor")</f>
        <v>@irvathoor</v>
      </c>
      <c r="C7693" s="21" t="s">
        <v>17058</v>
      </c>
      <c r="D7693" s="21" t="s">
        <v>42</v>
      </c>
      <c r="E7693" s="22" t="str">
        <f>HYPERLINK("https://twitter.com/irvathoor/status/922589939732238336","922589939732238336")</f>
        <v>922589939732238336</v>
      </c>
      <c r="F7693" s="23" t="s">
        <v>39</v>
      </c>
      <c r="G7693" s="24">
        <v>4440.0</v>
      </c>
      <c r="H7693" s="24">
        <v>4672.0</v>
      </c>
      <c r="I7693" s="24">
        <v>8501.0</v>
      </c>
      <c r="J7693" s="24">
        <v>0.0</v>
      </c>
      <c r="K7693" s="23" t="s">
        <v>34</v>
      </c>
      <c r="L7693" s="25">
        <v>40394.213275462964</v>
      </c>
      <c r="M7693" s="28"/>
      <c r="N7693" s="26" t="s">
        <v>17059</v>
      </c>
      <c r="O7693" s="22" t="str">
        <f>HYPERLINK("https://pbs.twimg.com/profile_images/612788662447771648/PLDiFPKI_normal.jpg","View")</f>
        <v>View</v>
      </c>
      <c r="P7693" s="27"/>
    </row>
    <row r="7694">
      <c r="A7694" s="14">
        <v>43031.64322916667</v>
      </c>
      <c r="B7694" s="20" t="str">
        <f>HYPERLINK("https://twitter.com/ryu_bonbon","@ryu_bonbon")</f>
        <v>@ryu_bonbon</v>
      </c>
      <c r="C7694" s="21" t="s">
        <v>17060</v>
      </c>
      <c r="D7694" s="21" t="s">
        <v>16208</v>
      </c>
      <c r="E7694" s="22" t="str">
        <f>HYPERLINK("https://twitter.com/ryu_bonbon/status/922590015535722496","922590015535722496")</f>
        <v>922590015535722496</v>
      </c>
      <c r="F7694" s="23" t="s">
        <v>39</v>
      </c>
      <c r="G7694" s="24">
        <v>920.0</v>
      </c>
      <c r="H7694" s="24">
        <v>1456.0</v>
      </c>
      <c r="I7694" s="24">
        <v>41.0</v>
      </c>
      <c r="J7694" s="24">
        <v>0.0</v>
      </c>
      <c r="K7694" s="23" t="s">
        <v>34</v>
      </c>
      <c r="L7694" s="25">
        <v>40524.29993055556</v>
      </c>
      <c r="M7694" s="26" t="s">
        <v>17061</v>
      </c>
      <c r="N7694" s="26" t="s">
        <v>17062</v>
      </c>
      <c r="O7694" s="22" t="str">
        <f>HYPERLINK("https://pbs.twimg.com/profile_images/872908546555301888/c9NA7d2K_normal.jpg","View")</f>
        <v>View</v>
      </c>
      <c r="P7694" s="27"/>
    </row>
    <row r="7695">
      <c r="A7695" s="14">
        <v>43031.64333333333</v>
      </c>
      <c r="B7695" s="20" t="str">
        <f>HYPERLINK("https://twitter.com/jimprall","@jimprall")</f>
        <v>@jimprall</v>
      </c>
      <c r="C7695" s="21" t="s">
        <v>17063</v>
      </c>
      <c r="D7695" s="21" t="s">
        <v>16537</v>
      </c>
      <c r="E7695" s="22" t="str">
        <f>HYPERLINK("https://twitter.com/jimprall/status/922590052969988096","922590052969988096")</f>
        <v>922590052969988096</v>
      </c>
      <c r="F7695" s="23" t="s">
        <v>230</v>
      </c>
      <c r="G7695" s="24">
        <v>1371.0</v>
      </c>
      <c r="H7695" s="24">
        <v>5001.0</v>
      </c>
      <c r="I7695" s="24">
        <v>242.0</v>
      </c>
      <c r="J7695" s="24">
        <v>0.0</v>
      </c>
      <c r="K7695" s="23" t="s">
        <v>34</v>
      </c>
      <c r="L7695" s="25">
        <v>40042.39136574074</v>
      </c>
      <c r="M7695" s="26" t="s">
        <v>17064</v>
      </c>
      <c r="N7695" s="28"/>
      <c r="O7695" s="22" t="str">
        <f>HYPERLINK("https://pbs.twimg.com/profile_images/824695082326560771/nh4SyFLK_normal.jpg","View")</f>
        <v>View</v>
      </c>
      <c r="P7695" s="27"/>
    </row>
    <row r="7696">
      <c r="A7696" s="14">
        <v>43031.643425925926</v>
      </c>
      <c r="B7696" s="20" t="str">
        <f>HYPERLINK("https://twitter.com/inesemera_nene","@inesemera_nene")</f>
        <v>@inesemera_nene</v>
      </c>
      <c r="C7696" s="21" t="s">
        <v>17065</v>
      </c>
      <c r="D7696" s="21" t="s">
        <v>17066</v>
      </c>
      <c r="E7696" s="22" t="str">
        <f>HYPERLINK("https://twitter.com/inesemera_nene/status/922590089657565184","922590089657565184")</f>
        <v>922590089657565184</v>
      </c>
      <c r="F7696" s="23" t="s">
        <v>33</v>
      </c>
      <c r="G7696" s="24">
        <v>24.0</v>
      </c>
      <c r="H7696" s="24">
        <v>25.0</v>
      </c>
      <c r="I7696" s="24">
        <v>0.0</v>
      </c>
      <c r="J7696" s="24">
        <v>0.0</v>
      </c>
      <c r="K7696" s="23" t="s">
        <v>34</v>
      </c>
      <c r="L7696" s="25">
        <v>41489.22436342593</v>
      </c>
      <c r="M7696" s="28"/>
      <c r="N7696" s="26" t="s">
        <v>17067</v>
      </c>
      <c r="O7696" s="22" t="str">
        <f>HYPERLINK("https://pbs.twimg.com/profile_images/912959676974718976/2zsk5ujZ_normal.jpg","View")</f>
        <v>View</v>
      </c>
      <c r="P7696" s="27"/>
    </row>
    <row r="7697">
      <c r="A7697" s="14">
        <v>43031.643483796295</v>
      </c>
      <c r="B7697" s="20" t="str">
        <f>HYPERLINK("https://twitter.com/Jwteets","@Jwteets")</f>
        <v>@Jwteets</v>
      </c>
      <c r="C7697" s="21" t="s">
        <v>17068</v>
      </c>
      <c r="D7697" s="21" t="s">
        <v>16537</v>
      </c>
      <c r="E7697" s="22" t="str">
        <f>HYPERLINK("https://twitter.com/Jwteets/status/922590109299507200","922590109299507200")</f>
        <v>922590109299507200</v>
      </c>
      <c r="F7697" s="23" t="s">
        <v>39</v>
      </c>
      <c r="G7697" s="24">
        <v>161.0</v>
      </c>
      <c r="H7697" s="24">
        <v>587.0</v>
      </c>
      <c r="I7697" s="24">
        <v>242.0</v>
      </c>
      <c r="J7697" s="24">
        <v>0.0</v>
      </c>
      <c r="K7697" s="23" t="s">
        <v>34</v>
      </c>
      <c r="L7697" s="25">
        <v>40456.19725694445</v>
      </c>
      <c r="M7697" s="26" t="s">
        <v>14294</v>
      </c>
      <c r="N7697" s="28"/>
      <c r="O7697" s="22" t="str">
        <f>HYPERLINK("https://pbs.twimg.com/profile_images/743734722476441600/ucq7G9tA_normal.jpg","View")</f>
        <v>View</v>
      </c>
      <c r="P7697" s="27"/>
    </row>
    <row r="7698">
      <c r="A7698" s="14">
        <v>43031.64408564815</v>
      </c>
      <c r="B7698" s="20" t="str">
        <f>HYPERLINK("https://twitter.com/maulikadoshi","@maulikadoshi")</f>
        <v>@maulikadoshi</v>
      </c>
      <c r="C7698" s="21" t="s">
        <v>17069</v>
      </c>
      <c r="D7698" s="21" t="s">
        <v>42</v>
      </c>
      <c r="E7698" s="22" t="str">
        <f>HYPERLINK("https://twitter.com/maulikadoshi/status/922590326446899200","922590326446899200")</f>
        <v>922590326446899200</v>
      </c>
      <c r="F7698" s="23" t="s">
        <v>33</v>
      </c>
      <c r="G7698" s="24">
        <v>360.0</v>
      </c>
      <c r="H7698" s="24">
        <v>643.0</v>
      </c>
      <c r="I7698" s="24">
        <v>8501.0</v>
      </c>
      <c r="J7698" s="24">
        <v>0.0</v>
      </c>
      <c r="K7698" s="23" t="s">
        <v>34</v>
      </c>
      <c r="L7698" s="25">
        <v>40213.817974537036</v>
      </c>
      <c r="M7698" s="26" t="s">
        <v>17070</v>
      </c>
      <c r="N7698" s="26" t="s">
        <v>17071</v>
      </c>
      <c r="O7698" s="22" t="str">
        <f>HYPERLINK("https://pbs.twimg.com/profile_images/500002290099441665/N32XoYK__normal.jpeg","View")</f>
        <v>View</v>
      </c>
      <c r="P7698" s="27"/>
    </row>
    <row r="7699">
      <c r="A7699" s="14">
        <v>43031.645162037035</v>
      </c>
      <c r="B7699" s="20" t="str">
        <f>HYPERLINK("https://twitter.com/culture_japan","@culture_japan")</f>
        <v>@culture_japan</v>
      </c>
      <c r="C7699" s="21" t="s">
        <v>3690</v>
      </c>
      <c r="D7699" s="21" t="s">
        <v>17072</v>
      </c>
      <c r="E7699" s="22" t="str">
        <f>HYPERLINK("https://twitter.com/culture_japan/status/922590715733004288","922590715733004288")</f>
        <v>922590715733004288</v>
      </c>
      <c r="F7699" s="23" t="s">
        <v>3692</v>
      </c>
      <c r="G7699" s="24">
        <v>202.0</v>
      </c>
      <c r="H7699" s="24">
        <v>369.0</v>
      </c>
      <c r="I7699" s="24">
        <v>0.0</v>
      </c>
      <c r="J7699" s="24">
        <v>0.0</v>
      </c>
      <c r="K7699" s="23" t="s">
        <v>34</v>
      </c>
      <c r="L7699" s="25">
        <v>42985.21491898148</v>
      </c>
      <c r="M7699" s="26" t="s">
        <v>3693</v>
      </c>
      <c r="N7699" s="26" t="s">
        <v>3694</v>
      </c>
      <c r="O7699" s="22" t="str">
        <f>HYPERLINK("https://pbs.twimg.com/profile_images/905765841622495233/8kPmmi5H_normal.jpg","View")</f>
        <v>View</v>
      </c>
      <c r="P7699" s="27"/>
    </row>
    <row r="7700">
      <c r="A7700" s="14">
        <v>43031.645162037035</v>
      </c>
      <c r="B7700" s="20" t="str">
        <f>HYPERLINK("https://twitter.com/jortizlop","@jortizlop")</f>
        <v>@jortizlop</v>
      </c>
      <c r="C7700" s="21" t="s">
        <v>17073</v>
      </c>
      <c r="D7700" s="21" t="s">
        <v>16537</v>
      </c>
      <c r="E7700" s="22" t="str">
        <f>HYPERLINK("https://twitter.com/jortizlop/status/922590715980500992","922590715980500992")</f>
        <v>922590715980500992</v>
      </c>
      <c r="F7700" s="23" t="s">
        <v>33</v>
      </c>
      <c r="G7700" s="24">
        <v>63.0</v>
      </c>
      <c r="H7700" s="24">
        <v>379.0</v>
      </c>
      <c r="I7700" s="24">
        <v>242.0</v>
      </c>
      <c r="J7700" s="24">
        <v>0.0</v>
      </c>
      <c r="K7700" s="23" t="s">
        <v>34</v>
      </c>
      <c r="L7700" s="25">
        <v>41206.72530092593</v>
      </c>
      <c r="M7700" s="26" t="s">
        <v>17074</v>
      </c>
      <c r="N7700" s="26" t="s">
        <v>17075</v>
      </c>
      <c r="O7700" s="22" t="str">
        <f>HYPERLINK("https://pbs.twimg.com/profile_images/760282781503094784/xU2QYvQX_normal.jpg","View")</f>
        <v>View</v>
      </c>
      <c r="P7700" s="27"/>
    </row>
    <row r="7701">
      <c r="A7701" s="14">
        <v>43031.645428240736</v>
      </c>
      <c r="B7701" s="20" t="str">
        <f>HYPERLINK("https://twitter.com/1ove_to_Japan","@1ove_to_Japan")</f>
        <v>@1ove_to_Japan</v>
      </c>
      <c r="C7701" s="21" t="s">
        <v>17076</v>
      </c>
      <c r="D7701" s="21" t="s">
        <v>42</v>
      </c>
      <c r="E7701" s="22" t="str">
        <f>HYPERLINK("https://twitter.com/1ove_to_Japan/status/922590813372248065","922590813372248065")</f>
        <v>922590813372248065</v>
      </c>
      <c r="F7701" s="23" t="s">
        <v>33</v>
      </c>
      <c r="G7701" s="24">
        <v>217.0</v>
      </c>
      <c r="H7701" s="24">
        <v>173.0</v>
      </c>
      <c r="I7701" s="24">
        <v>8501.0</v>
      </c>
      <c r="J7701" s="24">
        <v>0.0</v>
      </c>
      <c r="K7701" s="23" t="s">
        <v>34</v>
      </c>
      <c r="L7701" s="25">
        <v>42719.81475694444</v>
      </c>
      <c r="M7701" s="28"/>
      <c r="N7701" s="26" t="s">
        <v>17077</v>
      </c>
      <c r="O7701" s="22" t="str">
        <f>HYPERLINK("https://pbs.twimg.com/profile_images/887481410046410752/-7C7lJ01_normal.jpg","View")</f>
        <v>View</v>
      </c>
      <c r="P7701" s="27"/>
    </row>
    <row r="7702">
      <c r="A7702" s="14">
        <v>43031.64546296296</v>
      </c>
      <c r="B7702" s="20" t="str">
        <f>HYPERLINK("https://twitter.com/culture_japan","@culture_japan")</f>
        <v>@culture_japan</v>
      </c>
      <c r="C7702" s="21" t="s">
        <v>3690</v>
      </c>
      <c r="D7702" s="21" t="s">
        <v>17078</v>
      </c>
      <c r="E7702" s="22" t="str">
        <f>HYPERLINK("https://twitter.com/culture_japan/status/922590824021610497","922590824021610497")</f>
        <v>922590824021610497</v>
      </c>
      <c r="F7702" s="23" t="s">
        <v>3692</v>
      </c>
      <c r="G7702" s="24">
        <v>202.0</v>
      </c>
      <c r="H7702" s="24">
        <v>369.0</v>
      </c>
      <c r="I7702" s="24">
        <v>0.0</v>
      </c>
      <c r="J7702" s="24">
        <v>0.0</v>
      </c>
      <c r="K7702" s="23" t="s">
        <v>34</v>
      </c>
      <c r="L7702" s="25">
        <v>42985.21491898148</v>
      </c>
      <c r="M7702" s="26" t="s">
        <v>3693</v>
      </c>
      <c r="N7702" s="26" t="s">
        <v>3694</v>
      </c>
      <c r="O7702" s="22" t="str">
        <f>HYPERLINK("https://pbs.twimg.com/profile_images/905765841622495233/8kPmmi5H_normal.jpg","View")</f>
        <v>View</v>
      </c>
      <c r="P7702" s="27"/>
    </row>
    <row r="7703">
      <c r="A7703" s="14">
        <v>43031.64554398148</v>
      </c>
      <c r="B7703" s="20" t="str">
        <f>HYPERLINK("https://twitter.com/VouxFinance","@VouxFinance")</f>
        <v>@VouxFinance</v>
      </c>
      <c r="C7703" s="21" t="s">
        <v>16732</v>
      </c>
      <c r="D7703" s="21" t="s">
        <v>17079</v>
      </c>
      <c r="E7703" s="22" t="str">
        <f>HYPERLINK("https://twitter.com/VouxFinance/status/922590855453728768","922590855453728768")</f>
        <v>922590855453728768</v>
      </c>
      <c r="F7703" s="23" t="s">
        <v>16732</v>
      </c>
      <c r="G7703" s="24">
        <v>1142.0</v>
      </c>
      <c r="H7703" s="24">
        <v>467.0</v>
      </c>
      <c r="I7703" s="24">
        <v>0.0</v>
      </c>
      <c r="J7703" s="24">
        <v>0.0</v>
      </c>
      <c r="K7703" s="23" t="s">
        <v>34</v>
      </c>
      <c r="L7703" s="25">
        <v>42832.41410879629</v>
      </c>
      <c r="M7703" s="26" t="s">
        <v>2534</v>
      </c>
      <c r="N7703" s="28"/>
      <c r="O7703" s="22" t="str">
        <f>HYPERLINK("https://pbs.twimg.com/profile_images/850407783979565056/rYfZrVBC_normal.jpg","View")</f>
        <v>View</v>
      </c>
      <c r="P7703" s="27"/>
    </row>
    <row r="7704">
      <c r="A7704" s="14">
        <v>43031.64560185185</v>
      </c>
      <c r="B7704" s="20" t="str">
        <f>HYPERLINK("https://twitter.com/DianaSc99717236","@DianaSc99717236")</f>
        <v>@DianaSc99717236</v>
      </c>
      <c r="C7704" s="21" t="s">
        <v>17080</v>
      </c>
      <c r="D7704" s="21" t="s">
        <v>16537</v>
      </c>
      <c r="E7704" s="22" t="str">
        <f>HYPERLINK("https://twitter.com/DianaSc99717236/status/922590875645042688","922590875645042688")</f>
        <v>922590875645042688</v>
      </c>
      <c r="F7704" s="23" t="s">
        <v>43</v>
      </c>
      <c r="G7704" s="24">
        <v>11.0</v>
      </c>
      <c r="H7704" s="24">
        <v>33.0</v>
      </c>
      <c r="I7704" s="24">
        <v>242.0</v>
      </c>
      <c r="J7704" s="24">
        <v>0.0</v>
      </c>
      <c r="K7704" s="23" t="s">
        <v>34</v>
      </c>
      <c r="L7704" s="25">
        <v>42804.35774305556</v>
      </c>
      <c r="M7704" s="28"/>
      <c r="N7704" s="28"/>
      <c r="O7704" s="22" t="str">
        <f>HYPERLINK("https://abs.twimg.com/sticky/default_profile_images/default_profile_normal.png","View")</f>
        <v>View</v>
      </c>
      <c r="P7704" s="27"/>
    </row>
    <row r="7705">
      <c r="A7705" s="14">
        <v>43031.6456712963</v>
      </c>
      <c r="B7705" s="20" t="str">
        <f>HYPERLINK("https://twitter.com/TPP_live","@TPP_live")</f>
        <v>@TPP_live</v>
      </c>
      <c r="C7705" s="21" t="s">
        <v>17081</v>
      </c>
      <c r="D7705" s="21" t="s">
        <v>17082</v>
      </c>
      <c r="E7705" s="22" t="str">
        <f>HYPERLINK("https://twitter.com/TPP_live/status/922590903214268423","922590903214268423")</f>
        <v>922590903214268423</v>
      </c>
      <c r="F7705" s="23" t="s">
        <v>1799</v>
      </c>
      <c r="G7705" s="24">
        <v>6291.0</v>
      </c>
      <c r="H7705" s="24">
        <v>3834.0</v>
      </c>
      <c r="I7705" s="24">
        <v>1.0</v>
      </c>
      <c r="J7705" s="24">
        <v>0.0</v>
      </c>
      <c r="K7705" s="23" t="s">
        <v>34</v>
      </c>
      <c r="L7705" s="25">
        <v>42440.00356481482</v>
      </c>
      <c r="M7705" s="26" t="s">
        <v>4239</v>
      </c>
      <c r="N7705" s="26" t="s">
        <v>17083</v>
      </c>
      <c r="O7705" s="22" t="str">
        <f>HYPERLINK("https://pbs.twimg.com/profile_images/708781589061357568/YwHHBUo4_normal.jpg","View")</f>
        <v>View</v>
      </c>
      <c r="P7705" s="27"/>
    </row>
    <row r="7706">
      <c r="A7706" s="14">
        <v>43031.64591435185</v>
      </c>
      <c r="B7706" s="20" t="str">
        <f>HYPERLINK("https://twitter.com/press_us_","@press_us_")</f>
        <v>@press_us_</v>
      </c>
      <c r="C7706" s="21" t="s">
        <v>17084</v>
      </c>
      <c r="D7706" s="21" t="s">
        <v>16998</v>
      </c>
      <c r="E7706" s="22" t="str">
        <f>HYPERLINK("https://twitter.com/press_us_/status/922590990040555520","922590990040555520")</f>
        <v>922590990040555520</v>
      </c>
      <c r="F7706" s="23" t="s">
        <v>17084</v>
      </c>
      <c r="G7706" s="24">
        <v>77.0</v>
      </c>
      <c r="H7706" s="24">
        <v>8.0</v>
      </c>
      <c r="I7706" s="24">
        <v>0.0</v>
      </c>
      <c r="J7706" s="24">
        <v>0.0</v>
      </c>
      <c r="K7706" s="23" t="s">
        <v>34</v>
      </c>
      <c r="L7706" s="25">
        <v>42420.18789351852</v>
      </c>
      <c r="M7706" s="28"/>
      <c r="N7706" s="28"/>
      <c r="O7706" s="22" t="str">
        <f>HYPERLINK("https://pbs.twimg.com/profile_images/701021564062605312/84-64Sif_normal.png","View")</f>
        <v>View</v>
      </c>
      <c r="P7706" s="27"/>
    </row>
    <row r="7707">
      <c r="A7707" s="14">
        <v>43031.64601851851</v>
      </c>
      <c r="B7707" s="20" t="str">
        <f>HYPERLINK("https://twitter.com/trtworld","@trtworld")</f>
        <v>@trtworld</v>
      </c>
      <c r="C7707" s="21" t="s">
        <v>17085</v>
      </c>
      <c r="D7707" s="21" t="s">
        <v>17086</v>
      </c>
      <c r="E7707" s="22" t="str">
        <f>HYPERLINK("https://twitter.com/trtworld/status/922591026698735618","922591026698735618")</f>
        <v>922591026698735618</v>
      </c>
      <c r="F7707" s="23" t="s">
        <v>1103</v>
      </c>
      <c r="G7707" s="24">
        <v>113400.0</v>
      </c>
      <c r="H7707" s="24">
        <v>9.0</v>
      </c>
      <c r="I7707" s="24">
        <v>3.0</v>
      </c>
      <c r="J7707" s="24">
        <v>1.0</v>
      </c>
      <c r="K7707" s="23" t="s">
        <v>34</v>
      </c>
      <c r="L7707" s="25">
        <v>42076.183124999996</v>
      </c>
      <c r="M7707" s="28"/>
      <c r="N7707" s="26" t="s">
        <v>17087</v>
      </c>
      <c r="O7707" s="22" t="str">
        <f>HYPERLINK("https://pbs.twimg.com/profile_images/604916087180754945/1aMHMBIj_normal.png","View")</f>
        <v>View</v>
      </c>
      <c r="P7707" s="27"/>
    </row>
    <row r="7708">
      <c r="A7708" s="14">
        <v>43031.64606481481</v>
      </c>
      <c r="B7708" s="20" t="str">
        <f>HYPERLINK("https://twitter.com/Casino_Org","@Casino_Org")</f>
        <v>@Casino_Org</v>
      </c>
      <c r="C7708" s="21" t="s">
        <v>17088</v>
      </c>
      <c r="D7708" s="21" t="s">
        <v>17089</v>
      </c>
      <c r="E7708" s="22" t="str">
        <f>HYPERLINK("https://twitter.com/Casino_Org/status/922591045120077824","922591045120077824")</f>
        <v>922591045120077824</v>
      </c>
      <c r="F7708" s="23" t="s">
        <v>427</v>
      </c>
      <c r="G7708" s="24">
        <v>6017.0</v>
      </c>
      <c r="H7708" s="24">
        <v>3116.0</v>
      </c>
      <c r="I7708" s="24">
        <v>1.0</v>
      </c>
      <c r="J7708" s="24">
        <v>3.0</v>
      </c>
      <c r="K7708" s="23" t="s">
        <v>34</v>
      </c>
      <c r="L7708" s="25">
        <v>41025.40835648148</v>
      </c>
      <c r="M7708" s="28"/>
      <c r="N7708" s="26" t="s">
        <v>17090</v>
      </c>
      <c r="O7708" s="22" t="str">
        <f>HYPERLINK("https://pbs.twimg.com/profile_images/882199058533580802/HMC8sZft_normal.jpg","View")</f>
        <v>View</v>
      </c>
      <c r="P7708" s="27"/>
    </row>
    <row r="7709">
      <c r="A7709" s="14">
        <v>43031.646203703705</v>
      </c>
      <c r="B7709" s="20" t="str">
        <f>HYPERLINK("https://twitter.com/shershah54","@shershah54")</f>
        <v>@shershah54</v>
      </c>
      <c r="C7709" s="21" t="s">
        <v>17091</v>
      </c>
      <c r="D7709" s="21" t="s">
        <v>16537</v>
      </c>
      <c r="E7709" s="22" t="str">
        <f>HYPERLINK("https://twitter.com/shershah54/status/922591095346860035","922591095346860035")</f>
        <v>922591095346860035</v>
      </c>
      <c r="F7709" s="23" t="s">
        <v>39</v>
      </c>
      <c r="G7709" s="24">
        <v>9.0</v>
      </c>
      <c r="H7709" s="24">
        <v>42.0</v>
      </c>
      <c r="I7709" s="24">
        <v>242.0</v>
      </c>
      <c r="J7709" s="24">
        <v>0.0</v>
      </c>
      <c r="K7709" s="23" t="s">
        <v>34</v>
      </c>
      <c r="L7709" s="25">
        <v>42771.60445601852</v>
      </c>
      <c r="M7709" s="26" t="s">
        <v>1024</v>
      </c>
      <c r="N7709" s="28"/>
      <c r="O7709" s="22" t="str">
        <f>HYPERLINK("https://pbs.twimg.com/profile_images/862712854322884608/RzqliYMS_normal.jpg","View")</f>
        <v>View</v>
      </c>
      <c r="P7709" s="27"/>
    </row>
    <row r="7710">
      <c r="A7710" s="14">
        <v>43031.64630787037</v>
      </c>
      <c r="B7710" s="20" t="str">
        <f>HYPERLINK("https://twitter.com/TheAsgardian","@TheAsgardian")</f>
        <v>@TheAsgardian</v>
      </c>
      <c r="C7710" s="21" t="s">
        <v>17092</v>
      </c>
      <c r="D7710" s="21" t="s">
        <v>12974</v>
      </c>
      <c r="E7710" s="22" t="str">
        <f>HYPERLINK("https://twitter.com/TheAsgardian/status/922591132755914752","922591132755914752")</f>
        <v>922591132755914752</v>
      </c>
      <c r="F7710" s="23" t="s">
        <v>33</v>
      </c>
      <c r="G7710" s="24">
        <v>334.0</v>
      </c>
      <c r="H7710" s="24">
        <v>77.0</v>
      </c>
      <c r="I7710" s="24">
        <v>110.0</v>
      </c>
      <c r="J7710" s="24">
        <v>0.0</v>
      </c>
      <c r="K7710" s="23" t="s">
        <v>34</v>
      </c>
      <c r="L7710" s="25">
        <v>40272.443148148144</v>
      </c>
      <c r="M7710" s="26" t="s">
        <v>17093</v>
      </c>
      <c r="N7710" s="26" t="s">
        <v>17094</v>
      </c>
      <c r="O7710" s="22" t="str">
        <f>HYPERLINK("https://pbs.twimg.com/profile_images/904464580688179200/BniVd1YS_normal.jpg","View")</f>
        <v>View</v>
      </c>
      <c r="P7710" s="27"/>
    </row>
    <row r="7711">
      <c r="A7711" s="14">
        <v>43031.646620370375</v>
      </c>
      <c r="B7711" s="20" t="str">
        <f>HYPERLINK("https://twitter.com/NewsBossIndia","@NewsBossIndia")</f>
        <v>@NewsBossIndia</v>
      </c>
      <c r="C7711" s="29" t="s">
        <v>148</v>
      </c>
      <c r="D7711" s="21" t="s">
        <v>17095</v>
      </c>
      <c r="E7711" s="22" t="str">
        <f>HYPERLINK("https://twitter.com/NewsBossIndia/status/922591245322645507","922591245322645507")</f>
        <v>922591245322645507</v>
      </c>
      <c r="F7711" s="30" t="s">
        <v>148</v>
      </c>
      <c r="G7711" s="24">
        <v>991.0</v>
      </c>
      <c r="H7711" s="24">
        <v>1.0</v>
      </c>
      <c r="I7711" s="24">
        <v>0.0</v>
      </c>
      <c r="J7711" s="24">
        <v>0.0</v>
      </c>
      <c r="K7711" s="23" t="s">
        <v>34</v>
      </c>
      <c r="L7711" s="25">
        <v>42564.38061342592</v>
      </c>
      <c r="M7711" s="28"/>
      <c r="N7711" s="26" t="s">
        <v>150</v>
      </c>
      <c r="O7711" s="22" t="str">
        <f>HYPERLINK("https://pbs.twimg.com/profile_images/753260679692333057/AS4Xiw4q_normal.jpg","View")</f>
        <v>View</v>
      </c>
      <c r="P7711" s="27"/>
    </row>
    <row r="7712">
      <c r="A7712" s="14">
        <v>43031.646782407406</v>
      </c>
      <c r="B7712" s="20" t="str">
        <f>HYPERLINK("https://twitter.com/tobinator8152","@tobinator8152")</f>
        <v>@tobinator8152</v>
      </c>
      <c r="C7712" s="21" t="s">
        <v>17096</v>
      </c>
      <c r="D7712" s="21" t="s">
        <v>17097</v>
      </c>
      <c r="E7712" s="22" t="str">
        <f>HYPERLINK("https://twitter.com/tobinator8152/status/922591303648665600","922591303648665600")</f>
        <v>922591303648665600</v>
      </c>
      <c r="F7712" s="23" t="s">
        <v>48</v>
      </c>
      <c r="G7712" s="24">
        <v>1679.0</v>
      </c>
      <c r="H7712" s="24">
        <v>1606.0</v>
      </c>
      <c r="I7712" s="24">
        <v>0.0</v>
      </c>
      <c r="J7712" s="24">
        <v>0.0</v>
      </c>
      <c r="K7712" s="23" t="s">
        <v>34</v>
      </c>
      <c r="L7712" s="25">
        <v>40376.400717592594</v>
      </c>
      <c r="M7712" s="26" t="s">
        <v>10709</v>
      </c>
      <c r="N7712" s="26" t="s">
        <v>17098</v>
      </c>
      <c r="O7712" s="22" t="str">
        <f>HYPERLINK("https://pbs.twimg.com/profile_images/916784882134732800/Ifs5Tz7X_normal.jpg","View")</f>
        <v>View</v>
      </c>
      <c r="P7712" s="27"/>
    </row>
    <row r="7713">
      <c r="A7713" s="14">
        <v>43031.64710648148</v>
      </c>
      <c r="B7713" s="20" t="str">
        <f>HYPERLINK("https://twitter.com/jbaileystweets","@jbaileystweets")</f>
        <v>@jbaileystweets</v>
      </c>
      <c r="C7713" s="21" t="s">
        <v>17099</v>
      </c>
      <c r="D7713" s="21" t="s">
        <v>17100</v>
      </c>
      <c r="E7713" s="22" t="str">
        <f>HYPERLINK("https://twitter.com/jbaileystweets/status/922591422557106177","922591422557106177")</f>
        <v>922591422557106177</v>
      </c>
      <c r="F7713" s="23" t="s">
        <v>187</v>
      </c>
      <c r="G7713" s="24">
        <v>2018.0</v>
      </c>
      <c r="H7713" s="24">
        <v>1344.0</v>
      </c>
      <c r="I7713" s="24">
        <v>0.0</v>
      </c>
      <c r="J7713" s="24">
        <v>0.0</v>
      </c>
      <c r="K7713" s="23" t="s">
        <v>34</v>
      </c>
      <c r="L7713" s="25">
        <v>41394.77018518519</v>
      </c>
      <c r="M7713" s="26" t="s">
        <v>17101</v>
      </c>
      <c r="N7713" s="26" t="s">
        <v>17102</v>
      </c>
      <c r="O7713" s="22" t="str">
        <f>HYPERLINK("https://pbs.twimg.com/profile_images/508103500728115200/XtFqdd7A_normal.jpeg","View")</f>
        <v>View</v>
      </c>
      <c r="P7713" s="27"/>
    </row>
    <row r="7714">
      <c r="A7714" s="14">
        <v>43031.647314814814</v>
      </c>
      <c r="B7714" s="20" t="str">
        <f>HYPERLINK("https://twitter.com/yojudenz","@yojudenz")</f>
        <v>@yojudenz</v>
      </c>
      <c r="C7714" s="21" t="s">
        <v>17103</v>
      </c>
      <c r="D7714" s="21" t="s">
        <v>17104</v>
      </c>
      <c r="E7714" s="22" t="str">
        <f>HYPERLINK("https://twitter.com/yojudenz/status/922591495349329920","922591495349329920")</f>
        <v>922591495349329920</v>
      </c>
      <c r="F7714" s="23" t="s">
        <v>55</v>
      </c>
      <c r="G7714" s="24">
        <v>5391.0</v>
      </c>
      <c r="H7714" s="24">
        <v>5885.0</v>
      </c>
      <c r="I7714" s="24">
        <v>1.0</v>
      </c>
      <c r="J7714" s="24">
        <v>1.0</v>
      </c>
      <c r="K7714" s="23" t="s">
        <v>34</v>
      </c>
      <c r="L7714" s="25">
        <v>41406.882152777776</v>
      </c>
      <c r="M7714" s="26" t="s">
        <v>17105</v>
      </c>
      <c r="N7714" s="26" t="s">
        <v>17106</v>
      </c>
      <c r="O7714" s="22" t="str">
        <f>HYPERLINK("https://pbs.twimg.com/profile_images/510352834118688768/9-HfVVqa_normal.png","View")</f>
        <v>View</v>
      </c>
      <c r="P7714" s="27"/>
    </row>
    <row r="7715">
      <c r="A7715" s="14">
        <v>43031.64738425926</v>
      </c>
      <c r="B7715" s="20" t="str">
        <f>HYPERLINK("https://twitter.com/F0rtunateFawn","@F0rtunateFawn")</f>
        <v>@F0rtunateFawn</v>
      </c>
      <c r="C7715" s="21" t="s">
        <v>17107</v>
      </c>
      <c r="D7715" s="21" t="s">
        <v>2369</v>
      </c>
      <c r="E7715" s="22" t="str">
        <f>HYPERLINK("https://twitter.com/F0rtunateFawn/status/922591522838728706","922591522838728706")</f>
        <v>922591522838728706</v>
      </c>
      <c r="F7715" s="23" t="s">
        <v>33</v>
      </c>
      <c r="G7715" s="24">
        <v>61.0</v>
      </c>
      <c r="H7715" s="24">
        <v>2257.0</v>
      </c>
      <c r="I7715" s="24">
        <v>23.0</v>
      </c>
      <c r="J7715" s="24">
        <v>0.0</v>
      </c>
      <c r="K7715" s="23" t="s">
        <v>34</v>
      </c>
      <c r="L7715" s="25">
        <v>40888.83159722222</v>
      </c>
      <c r="M7715" s="26" t="s">
        <v>17108</v>
      </c>
      <c r="N7715" s="26" t="s">
        <v>17109</v>
      </c>
      <c r="O7715" s="22" t="str">
        <f>HYPERLINK("https://pbs.twimg.com/profile_images/764942398229192704/vFdIQQDY_normal.jpg","View")</f>
        <v>View</v>
      </c>
      <c r="P7715" s="27"/>
    </row>
    <row r="7716">
      <c r="A7716" s="14">
        <v>43031.647418981476</v>
      </c>
      <c r="B7716" s="20" t="str">
        <f>HYPERLINK("https://twitter.com/WestrnFreePress","@WestrnFreePress")</f>
        <v>@WestrnFreePress</v>
      </c>
      <c r="C7716" s="21" t="s">
        <v>17110</v>
      </c>
      <c r="D7716" s="21" t="s">
        <v>17111</v>
      </c>
      <c r="E7716" s="22" t="str">
        <f>HYPERLINK("https://twitter.com/WestrnFreePress/status/922591532997398528","922591532997398528")</f>
        <v>922591532997398528</v>
      </c>
      <c r="F7716" s="23" t="s">
        <v>17110</v>
      </c>
      <c r="G7716" s="24">
        <v>4878.0</v>
      </c>
      <c r="H7716" s="24">
        <v>4153.0</v>
      </c>
      <c r="I7716" s="24">
        <v>0.0</v>
      </c>
      <c r="J7716" s="24">
        <v>0.0</v>
      </c>
      <c r="K7716" s="23" t="s">
        <v>34</v>
      </c>
      <c r="L7716" s="25">
        <v>40359.83167824074</v>
      </c>
      <c r="M7716" s="26" t="s">
        <v>17112</v>
      </c>
      <c r="N7716" s="26" t="s">
        <v>17113</v>
      </c>
      <c r="O7716" s="22" t="str">
        <f>HYPERLINK("https://pbs.twimg.com/profile_images/809927644468776961/C8omfI97_normal.jpg","View")</f>
        <v>View</v>
      </c>
      <c r="P7716" s="27"/>
    </row>
    <row r="7717">
      <c r="A7717" s="14">
        <v>43031.64778935185</v>
      </c>
      <c r="B7717" s="20" t="str">
        <f>HYPERLINK("https://twitter.com/NewsBossIndia","@NewsBossIndia")</f>
        <v>@NewsBossIndia</v>
      </c>
      <c r="C7717" s="29" t="s">
        <v>148</v>
      </c>
      <c r="D7717" s="21" t="s">
        <v>17114</v>
      </c>
      <c r="E7717" s="22" t="str">
        <f>HYPERLINK("https://twitter.com/NewsBossIndia/status/922591670276886528","922591670276886528")</f>
        <v>922591670276886528</v>
      </c>
      <c r="F7717" s="30" t="s">
        <v>148</v>
      </c>
      <c r="G7717" s="24">
        <v>991.0</v>
      </c>
      <c r="H7717" s="24">
        <v>1.0</v>
      </c>
      <c r="I7717" s="24">
        <v>0.0</v>
      </c>
      <c r="J7717" s="24">
        <v>0.0</v>
      </c>
      <c r="K7717" s="23" t="s">
        <v>34</v>
      </c>
      <c r="L7717" s="25">
        <v>42564.38061342592</v>
      </c>
      <c r="M7717" s="28"/>
      <c r="N7717" s="26" t="s">
        <v>150</v>
      </c>
      <c r="O7717" s="22" t="str">
        <f>HYPERLINK("https://pbs.twimg.com/profile_images/753260679692333057/AS4Xiw4q_normal.jpg","View")</f>
        <v>View</v>
      </c>
      <c r="P7717" s="27"/>
    </row>
    <row r="7718">
      <c r="A7718" s="14">
        <v>43031.647881944446</v>
      </c>
      <c r="B7718" s="20" t="str">
        <f>HYPERLINK("https://twitter.com/elmotakesknife","@elmotakesknife")</f>
        <v>@elmotakesknife</v>
      </c>
      <c r="C7718" s="21" t="s">
        <v>17115</v>
      </c>
      <c r="D7718" s="21" t="s">
        <v>10370</v>
      </c>
      <c r="E7718" s="22" t="str">
        <f>HYPERLINK("https://twitter.com/elmotakesknife/status/922591702115930112","922591702115930112")</f>
        <v>922591702115930112</v>
      </c>
      <c r="F7718" s="23" t="s">
        <v>39</v>
      </c>
      <c r="G7718" s="24">
        <v>176.0</v>
      </c>
      <c r="H7718" s="24">
        <v>175.0</v>
      </c>
      <c r="I7718" s="24">
        <v>10.0</v>
      </c>
      <c r="J7718" s="24">
        <v>0.0</v>
      </c>
      <c r="K7718" s="23" t="s">
        <v>34</v>
      </c>
      <c r="L7718" s="25">
        <v>41013.785046296296</v>
      </c>
      <c r="M7718" s="33" t="s">
        <v>17116</v>
      </c>
      <c r="N7718" s="26" t="s">
        <v>17117</v>
      </c>
      <c r="O7718" s="22" t="str">
        <f>HYPERLINK("https://pbs.twimg.com/profile_images/873908044173672449/0UHaDiUg_normal.jpg","View")</f>
        <v>View</v>
      </c>
      <c r="P7718" s="27"/>
    </row>
    <row r="7719">
      <c r="A7719" s="14">
        <v>43031.64797453704</v>
      </c>
      <c r="B7719" s="20" t="str">
        <f>HYPERLINK("https://twitter.com/jmpfaff","@jmpfaff")</f>
        <v>@jmpfaff</v>
      </c>
      <c r="C7719" s="21" t="s">
        <v>17118</v>
      </c>
      <c r="D7719" s="21" t="s">
        <v>17119</v>
      </c>
      <c r="E7719" s="22" t="str">
        <f>HYPERLINK("https://twitter.com/jmpfaff/status/922591738283380746","922591738283380746")</f>
        <v>922591738283380746</v>
      </c>
      <c r="F7719" s="23" t="s">
        <v>33</v>
      </c>
      <c r="G7719" s="24">
        <v>1519.0</v>
      </c>
      <c r="H7719" s="24">
        <v>167.0</v>
      </c>
      <c r="I7719" s="24">
        <v>1.0</v>
      </c>
      <c r="J7719" s="24">
        <v>0.0</v>
      </c>
      <c r="K7719" s="23" t="s">
        <v>34</v>
      </c>
      <c r="L7719" s="25">
        <v>40030.46383101852</v>
      </c>
      <c r="M7719" s="26" t="s">
        <v>17120</v>
      </c>
      <c r="N7719" s="26" t="s">
        <v>17121</v>
      </c>
      <c r="O7719" s="22" t="str">
        <f>HYPERLINK("https://pbs.twimg.com/profile_images/894585230912348160/kdpR_FJS_normal.jpg","View")</f>
        <v>View</v>
      </c>
      <c r="P7719" s="27"/>
    </row>
    <row r="7720">
      <c r="A7720" s="14">
        <v>43031.64805555556</v>
      </c>
      <c r="B7720" s="20" t="str">
        <f>HYPERLINK("https://twitter.com/Dude111Travel","@Dude111Travel")</f>
        <v>@Dude111Travel</v>
      </c>
      <c r="C7720" s="21" t="s">
        <v>17122</v>
      </c>
      <c r="D7720" s="21" t="s">
        <v>17123</v>
      </c>
      <c r="E7720" s="22" t="str">
        <f>HYPERLINK("https://twitter.com/Dude111Travel/status/922591765261058049","922591765261058049")</f>
        <v>922591765261058049</v>
      </c>
      <c r="F7720" s="23" t="s">
        <v>39</v>
      </c>
      <c r="G7720" s="24">
        <v>313.0</v>
      </c>
      <c r="H7720" s="24">
        <v>226.0</v>
      </c>
      <c r="I7720" s="24">
        <v>163.0</v>
      </c>
      <c r="J7720" s="24">
        <v>0.0</v>
      </c>
      <c r="K7720" s="23" t="s">
        <v>34</v>
      </c>
      <c r="L7720" s="25">
        <v>42220.545590277776</v>
      </c>
      <c r="M7720" s="26" t="s">
        <v>68</v>
      </c>
      <c r="N7720" s="28"/>
      <c r="O7720" s="22" t="str">
        <f>HYPERLINK("https://pbs.twimg.com/profile_images/919739897233264640/h4OE8UCk_normal.jpg","View")</f>
        <v>View</v>
      </c>
      <c r="P7720" s="27"/>
    </row>
    <row r="7721">
      <c r="A7721" s="14">
        <v>43031.64820601852</v>
      </c>
      <c r="B7721" s="20" t="str">
        <f>HYPERLINK("https://twitter.com/cherokeetrail","@cherokeetrail")</f>
        <v>@cherokeetrail</v>
      </c>
      <c r="C7721" s="21" t="s">
        <v>17124</v>
      </c>
      <c r="D7721" s="21" t="s">
        <v>16537</v>
      </c>
      <c r="E7721" s="22" t="str">
        <f>HYPERLINK("https://twitter.com/cherokeetrail/status/922591818759491584","922591818759491584")</f>
        <v>922591818759491584</v>
      </c>
      <c r="F7721" s="23" t="s">
        <v>55</v>
      </c>
      <c r="G7721" s="24">
        <v>62.0</v>
      </c>
      <c r="H7721" s="24">
        <v>117.0</v>
      </c>
      <c r="I7721" s="24">
        <v>242.0</v>
      </c>
      <c r="J7721" s="24">
        <v>0.0</v>
      </c>
      <c r="K7721" s="23" t="s">
        <v>34</v>
      </c>
      <c r="L7721" s="25">
        <v>40196.97597222222</v>
      </c>
      <c r="M7721" s="26" t="s">
        <v>68</v>
      </c>
      <c r="N7721" s="26" t="s">
        <v>17125</v>
      </c>
      <c r="O7721" s="22" t="str">
        <f>HYPERLINK("https://pbs.twimg.com/profile_images/641263276/foot_normal.jpg","View")</f>
        <v>View</v>
      </c>
      <c r="P7721" s="27"/>
    </row>
    <row r="7722">
      <c r="A7722" s="14">
        <v>43031.64840277778</v>
      </c>
      <c r="B7722" s="20" t="str">
        <f>HYPERLINK("https://twitter.com/verbella1","@verbella1")</f>
        <v>@verbella1</v>
      </c>
      <c r="C7722" s="21" t="s">
        <v>17126</v>
      </c>
      <c r="D7722" s="21" t="s">
        <v>16537</v>
      </c>
      <c r="E7722" s="22" t="str">
        <f>HYPERLINK("https://twitter.com/verbella1/status/922591889492267014","922591889492267014")</f>
        <v>922591889492267014</v>
      </c>
      <c r="F7722" s="23" t="s">
        <v>39</v>
      </c>
      <c r="G7722" s="24">
        <v>103.0</v>
      </c>
      <c r="H7722" s="24">
        <v>77.0</v>
      </c>
      <c r="I7722" s="24">
        <v>242.0</v>
      </c>
      <c r="J7722" s="24">
        <v>0.0</v>
      </c>
      <c r="K7722" s="23" t="s">
        <v>34</v>
      </c>
      <c r="L7722" s="25">
        <v>42764.4350462963</v>
      </c>
      <c r="M7722" s="28"/>
      <c r="N7722" s="26" t="s">
        <v>17127</v>
      </c>
      <c r="O7722" s="22" t="str">
        <f>HYPERLINK("https://pbs.twimg.com/profile_images/873660060802723841/ddHdonfG_normal.jpg","View")</f>
        <v>View</v>
      </c>
      <c r="P7722" s="27"/>
    </row>
    <row r="7723">
      <c r="A7723" s="14">
        <v>43031.648506944446</v>
      </c>
      <c r="B7723" s="20" t="str">
        <f>HYPERLINK("https://twitter.com/Wgsimply","@Wgsimply")</f>
        <v>@Wgsimply</v>
      </c>
      <c r="C7723" s="21" t="s">
        <v>17128</v>
      </c>
      <c r="D7723" s="21" t="s">
        <v>16537</v>
      </c>
      <c r="E7723" s="22" t="str">
        <f>HYPERLINK("https://twitter.com/Wgsimply/status/922591928956456961","922591928956456961")</f>
        <v>922591928956456961</v>
      </c>
      <c r="F7723" s="23" t="s">
        <v>33</v>
      </c>
      <c r="G7723" s="24">
        <v>540.0</v>
      </c>
      <c r="H7723" s="24">
        <v>1205.0</v>
      </c>
      <c r="I7723" s="24">
        <v>242.0</v>
      </c>
      <c r="J7723" s="24">
        <v>0.0</v>
      </c>
      <c r="K7723" s="23" t="s">
        <v>34</v>
      </c>
      <c r="L7723" s="25">
        <v>42815.57436342593</v>
      </c>
      <c r="M7723" s="28"/>
      <c r="N7723" s="26" t="s">
        <v>17129</v>
      </c>
      <c r="O7723" s="22" t="str">
        <f>HYPERLINK("https://pbs.twimg.com/profile_images/919188471033495552/HYt5cH2m_normal.jpg","View")</f>
        <v>View</v>
      </c>
      <c r="P7723" s="27"/>
    </row>
    <row r="7724">
      <c r="A7724" s="14">
        <v>43031.64871527778</v>
      </c>
      <c r="B7724" s="20" t="str">
        <f>HYPERLINK("https://twitter.com/ayu_singh8","@ayu_singh8")</f>
        <v>@ayu_singh8</v>
      </c>
      <c r="C7724" s="21" t="s">
        <v>17130</v>
      </c>
      <c r="D7724" s="21" t="s">
        <v>42</v>
      </c>
      <c r="E7724" s="22" t="str">
        <f>HYPERLINK("https://twitter.com/ayu_singh8/status/922592003052974080","922592003052974080")</f>
        <v>922592003052974080</v>
      </c>
      <c r="F7724" s="23" t="s">
        <v>33</v>
      </c>
      <c r="G7724" s="24">
        <v>20.0</v>
      </c>
      <c r="H7724" s="24">
        <v>34.0</v>
      </c>
      <c r="I7724" s="24">
        <v>8501.0</v>
      </c>
      <c r="J7724" s="24">
        <v>0.0</v>
      </c>
      <c r="K7724" s="23" t="s">
        <v>34</v>
      </c>
      <c r="L7724" s="25">
        <v>42021.938784722224</v>
      </c>
      <c r="M7724" s="26" t="s">
        <v>575</v>
      </c>
      <c r="N7724" s="28"/>
      <c r="O7724" s="22" t="str">
        <f>HYPERLINK("https://pbs.twimg.com/profile_images/868846975214538752/mzy-mCSz_normal.jpg","View")</f>
        <v>View</v>
      </c>
      <c r="P7724" s="27"/>
    </row>
    <row r="7725">
      <c r="A7725" s="14">
        <v>43031.64917824074</v>
      </c>
      <c r="B7725" s="20" t="str">
        <f>HYPERLINK("https://twitter.com/1stAirDel_USMCR","@1stAirDel_USMCR")</f>
        <v>@1stAirDel_USMCR</v>
      </c>
      <c r="C7725" s="21" t="s">
        <v>17131</v>
      </c>
      <c r="D7725" s="21" t="s">
        <v>17132</v>
      </c>
      <c r="E7725" s="22" t="str">
        <f>HYPERLINK("https://twitter.com/1stAirDel_USMCR/status/922592172251271174","922592172251271174")</f>
        <v>922592172251271174</v>
      </c>
      <c r="F7725" s="23" t="s">
        <v>187</v>
      </c>
      <c r="G7725" s="24">
        <v>13553.0</v>
      </c>
      <c r="H7725" s="24">
        <v>12320.0</v>
      </c>
      <c r="I7725" s="24">
        <v>0.0</v>
      </c>
      <c r="J7725" s="24">
        <v>0.0</v>
      </c>
      <c r="K7725" s="23" t="s">
        <v>34</v>
      </c>
      <c r="L7725" s="25">
        <v>41594.484085648146</v>
      </c>
      <c r="M7725" s="26" t="s">
        <v>17133</v>
      </c>
      <c r="N7725" s="26" t="s">
        <v>17134</v>
      </c>
      <c r="O7725" s="22" t="str">
        <f>HYPERLINK("https://pbs.twimg.com/profile_images/858724812834734081/FeOWgYUG_normal.jpg","View")</f>
        <v>View</v>
      </c>
      <c r="P7725" s="27"/>
    </row>
    <row r="7726">
      <c r="A7726" s="14">
        <v>43031.64921296296</v>
      </c>
      <c r="B7726" s="20" t="str">
        <f>HYPERLINK("https://twitter.com/li_peifeng","@li_peifeng")</f>
        <v>@li_peifeng</v>
      </c>
      <c r="C7726" s="21" t="s">
        <v>17135</v>
      </c>
      <c r="D7726" s="21" t="s">
        <v>17136</v>
      </c>
      <c r="E7726" s="22" t="str">
        <f>HYPERLINK("https://twitter.com/li_peifeng/status/922592184876007424","922592184876007424")</f>
        <v>922592184876007424</v>
      </c>
      <c r="F7726" s="23" t="s">
        <v>55</v>
      </c>
      <c r="G7726" s="24">
        <v>5.0</v>
      </c>
      <c r="H7726" s="24">
        <v>25.0</v>
      </c>
      <c r="I7726" s="24">
        <v>0.0</v>
      </c>
      <c r="J7726" s="24">
        <v>0.0</v>
      </c>
      <c r="K7726" s="23" t="s">
        <v>34</v>
      </c>
      <c r="L7726" s="25">
        <v>42753.5580787037</v>
      </c>
      <c r="M7726" s="26" t="s">
        <v>68</v>
      </c>
      <c r="N7726" s="26" t="s">
        <v>17137</v>
      </c>
      <c r="O7726" s="22" t="str">
        <f>HYPERLINK("https://pbs.twimg.com/profile_images/900029511689023488/azGq96Vz_normal.jpg","View")</f>
        <v>View</v>
      </c>
      <c r="P7726" s="27"/>
    </row>
    <row r="7727">
      <c r="A7727" s="14">
        <v>43031.64928240741</v>
      </c>
      <c r="B7727" s="20" t="str">
        <f>HYPERLINK("https://twitter.com/MSCHosei","@MSCHosei")</f>
        <v>@MSCHosei</v>
      </c>
      <c r="C7727" s="21" t="s">
        <v>17138</v>
      </c>
      <c r="D7727" s="21" t="s">
        <v>5126</v>
      </c>
      <c r="E7727" s="22" t="str">
        <f>HYPERLINK("https://twitter.com/MSCHosei/status/922592208972283906","922592208972283906")</f>
        <v>922592208972283906</v>
      </c>
      <c r="F7727" s="23" t="s">
        <v>230</v>
      </c>
      <c r="G7727" s="24">
        <v>804.0</v>
      </c>
      <c r="H7727" s="24">
        <v>889.0</v>
      </c>
      <c r="I7727" s="24">
        <v>7.0</v>
      </c>
      <c r="J7727" s="24">
        <v>0.0</v>
      </c>
      <c r="K7727" s="23" t="s">
        <v>34</v>
      </c>
      <c r="L7727" s="25">
        <v>41349.78363425926</v>
      </c>
      <c r="M7727" s="26" t="s">
        <v>17139</v>
      </c>
      <c r="N7727" s="26" t="s">
        <v>17140</v>
      </c>
      <c r="O7727" s="22" t="str">
        <f>HYPERLINK("https://pbs.twimg.com/profile_images/3389791751/e64d66b1ae893d266af3481e1b8d9ee8_normal.jpeg","View")</f>
        <v>View</v>
      </c>
      <c r="P7727" s="27"/>
    </row>
    <row r="7728">
      <c r="A7728" s="14">
        <v>43031.64931712963</v>
      </c>
      <c r="B7728" s="20" t="str">
        <f>HYPERLINK("https://twitter.com/NageshSingh1406","@NageshSingh1406")</f>
        <v>@NageshSingh1406</v>
      </c>
      <c r="C7728" s="21" t="s">
        <v>17141</v>
      </c>
      <c r="D7728" s="21" t="s">
        <v>42</v>
      </c>
      <c r="E7728" s="22" t="str">
        <f>HYPERLINK("https://twitter.com/NageshSingh1406/status/922592224600305664","922592224600305664")</f>
        <v>922592224600305664</v>
      </c>
      <c r="F7728" s="23" t="s">
        <v>39</v>
      </c>
      <c r="G7728" s="24">
        <v>83.0</v>
      </c>
      <c r="H7728" s="24">
        <v>212.0</v>
      </c>
      <c r="I7728" s="24">
        <v>8501.0</v>
      </c>
      <c r="J7728" s="24">
        <v>0.0</v>
      </c>
      <c r="K7728" s="23" t="s">
        <v>34</v>
      </c>
      <c r="L7728" s="25">
        <v>42326.49025462963</v>
      </c>
      <c r="M7728" s="26" t="s">
        <v>4083</v>
      </c>
      <c r="N7728" s="26" t="s">
        <v>17142</v>
      </c>
      <c r="O7728" s="22" t="str">
        <f>HYPERLINK("https://abs.twimg.com/sticky/default_profile_images/default_profile_normal.png","View")</f>
        <v>View</v>
      </c>
      <c r="P7728" s="27"/>
    </row>
    <row r="7729">
      <c r="A7729" s="14">
        <v>43031.649351851855</v>
      </c>
      <c r="B7729" s="20" t="str">
        <f>HYPERLINK("https://twitter.com/jljzen","@jljzen")</f>
        <v>@jljzen</v>
      </c>
      <c r="C7729" s="21" t="s">
        <v>3696</v>
      </c>
      <c r="D7729" s="21" t="s">
        <v>17143</v>
      </c>
      <c r="E7729" s="22" t="str">
        <f>HYPERLINK("https://twitter.com/jljzen/status/922592235312599040","922592235312599040")</f>
        <v>922592235312599040</v>
      </c>
      <c r="F7729" s="23" t="s">
        <v>427</v>
      </c>
      <c r="G7729" s="24">
        <v>4332.0</v>
      </c>
      <c r="H7729" s="24">
        <v>2013.0</v>
      </c>
      <c r="I7729" s="24">
        <v>0.0</v>
      </c>
      <c r="J7729" s="24">
        <v>0.0</v>
      </c>
      <c r="K7729" s="23" t="s">
        <v>34</v>
      </c>
      <c r="L7729" s="25">
        <v>39635.071608796294</v>
      </c>
      <c r="M7729" s="26" t="s">
        <v>3693</v>
      </c>
      <c r="N7729" s="26" t="s">
        <v>3698</v>
      </c>
      <c r="O7729" s="22" t="str">
        <f>HYPERLINK("https://pbs.twimg.com/profile_images/917531279632900096/6oc5ihff_normal.jpg","View")</f>
        <v>View</v>
      </c>
      <c r="P7729" s="27"/>
    </row>
    <row r="7730">
      <c r="A7730" s="14">
        <v>43031.6494212963</v>
      </c>
      <c r="B7730" s="20" t="str">
        <f>HYPERLINK("https://twitter.com/kaokou11","@kaokou11")</f>
        <v>@kaokou11</v>
      </c>
      <c r="C7730" s="21" t="s">
        <v>17144</v>
      </c>
      <c r="D7730" s="21" t="s">
        <v>1642</v>
      </c>
      <c r="E7730" s="22" t="str">
        <f>HYPERLINK("https://twitter.com/kaokou11/status/922592261522812928","922592261522812928")</f>
        <v>922592261522812928</v>
      </c>
      <c r="F7730" s="23" t="s">
        <v>55</v>
      </c>
      <c r="G7730" s="24">
        <v>16922.0</v>
      </c>
      <c r="H7730" s="24">
        <v>15357.0</v>
      </c>
      <c r="I7730" s="24">
        <v>199.0</v>
      </c>
      <c r="J7730" s="24">
        <v>0.0</v>
      </c>
      <c r="K7730" s="23" t="s">
        <v>34</v>
      </c>
      <c r="L7730" s="25">
        <v>40619.04148148148</v>
      </c>
      <c r="M7730" s="26" t="s">
        <v>17145</v>
      </c>
      <c r="N7730" s="26" t="s">
        <v>17146</v>
      </c>
      <c r="O7730" s="22" t="str">
        <f>HYPERLINK("https://pbs.twimg.com/profile_images/723761541225525248/ElmqD-4j_normal.jpg","View")</f>
        <v>View</v>
      </c>
      <c r="P7730" s="27"/>
    </row>
    <row r="7731">
      <c r="A7731" s="14">
        <v>43031.64944444444</v>
      </c>
      <c r="B7731" s="20" t="str">
        <f>HYPERLINK("https://twitter.com/lisajnc1951","@lisajnc1951")</f>
        <v>@lisajnc1951</v>
      </c>
      <c r="C7731" s="21" t="s">
        <v>17147</v>
      </c>
      <c r="D7731" s="21" t="s">
        <v>17148</v>
      </c>
      <c r="E7731" s="22" t="str">
        <f>HYPERLINK("https://twitter.com/lisajnc1951/status/922592269307465729","922592269307465729")</f>
        <v>922592269307465729</v>
      </c>
      <c r="F7731" s="23" t="s">
        <v>33</v>
      </c>
      <c r="G7731" s="24">
        <v>4594.0</v>
      </c>
      <c r="H7731" s="24">
        <v>3990.0</v>
      </c>
      <c r="I7731" s="24">
        <v>1.0</v>
      </c>
      <c r="J7731" s="24">
        <v>0.0</v>
      </c>
      <c r="K7731" s="23" t="s">
        <v>34</v>
      </c>
      <c r="L7731" s="25">
        <v>41978.22951388889</v>
      </c>
      <c r="M7731" s="26" t="s">
        <v>17149</v>
      </c>
      <c r="N7731" s="26" t="s">
        <v>17150</v>
      </c>
      <c r="O7731" s="22" t="str">
        <f>HYPERLINK("https://pbs.twimg.com/profile_images/781597194277322752/ZTAPr2ge_normal.jpg","View")</f>
        <v>View</v>
      </c>
      <c r="P7731" s="27"/>
    </row>
    <row r="7732">
      <c r="A7732" s="14">
        <v>43031.64971064815</v>
      </c>
      <c r="B7732" s="20" t="str">
        <f>HYPERLINK("https://twitter.com/ophidianpilot","@ophidianpilot")</f>
        <v>@ophidianpilot</v>
      </c>
      <c r="C7732" s="21" t="s">
        <v>17151</v>
      </c>
      <c r="D7732" s="21" t="s">
        <v>17152</v>
      </c>
      <c r="E7732" s="22" t="str">
        <f>HYPERLINK("https://twitter.com/ophidianpilot/status/922592366422319106","922592366422319106")</f>
        <v>922592366422319106</v>
      </c>
      <c r="F7732" s="23" t="s">
        <v>4619</v>
      </c>
      <c r="G7732" s="24">
        <v>24073.0</v>
      </c>
      <c r="H7732" s="24">
        <v>23751.0</v>
      </c>
      <c r="I7732" s="24">
        <v>1.0</v>
      </c>
      <c r="J7732" s="24">
        <v>0.0</v>
      </c>
      <c r="K7732" s="23" t="s">
        <v>34</v>
      </c>
      <c r="L7732" s="25">
        <v>41389.28912037037</v>
      </c>
      <c r="M7732" s="26" t="s">
        <v>17153</v>
      </c>
      <c r="N7732" s="26" t="s">
        <v>17154</v>
      </c>
      <c r="O7732" s="22" t="str">
        <f>HYPERLINK("https://pbs.twimg.com/profile_images/878245156520173568/IdAiedd8_normal.jpg","View")</f>
        <v>View</v>
      </c>
      <c r="P7732" s="27"/>
    </row>
    <row r="7733">
      <c r="A7733" s="14">
        <v>43031.64982638889</v>
      </c>
      <c r="B7733" s="20" t="str">
        <f>HYPERLINK("https://twitter.com/Cary88888888","@Cary88888888")</f>
        <v>@Cary88888888</v>
      </c>
      <c r="C7733" s="21" t="s">
        <v>17155</v>
      </c>
      <c r="D7733" s="21" t="s">
        <v>17156</v>
      </c>
      <c r="E7733" s="22" t="str">
        <f>HYPERLINK("https://twitter.com/Cary88888888/status/922592408281460736","922592408281460736")</f>
        <v>922592408281460736</v>
      </c>
      <c r="F7733" s="23" t="s">
        <v>187</v>
      </c>
      <c r="G7733" s="24">
        <v>20721.0</v>
      </c>
      <c r="H7733" s="24">
        <v>8133.0</v>
      </c>
      <c r="I7733" s="24">
        <v>0.0</v>
      </c>
      <c r="J7733" s="24">
        <v>0.0</v>
      </c>
      <c r="K7733" s="23" t="s">
        <v>34</v>
      </c>
      <c r="L7733" s="25">
        <v>39212.91260416667</v>
      </c>
      <c r="M7733" s="26" t="s">
        <v>5724</v>
      </c>
      <c r="N7733" s="26" t="s">
        <v>17157</v>
      </c>
      <c r="O7733" s="22" t="str">
        <f>HYPERLINK("https://pbs.twimg.com/profile_images/785135858122764288/qDvXyoFU_normal.jpg","View")</f>
        <v>View</v>
      </c>
      <c r="P7733" s="27"/>
    </row>
    <row r="7734">
      <c r="A7734" s="14">
        <v>43031.65038194445</v>
      </c>
      <c r="B7734" s="20" t="str">
        <f>HYPERLINK("https://twitter.com/robjohnsonIAPE","@robjohnsonIAPE")</f>
        <v>@robjohnsonIAPE</v>
      </c>
      <c r="C7734" s="21" t="s">
        <v>17158</v>
      </c>
      <c r="D7734" s="21" t="s">
        <v>16700</v>
      </c>
      <c r="E7734" s="22" t="str">
        <f>HYPERLINK("https://twitter.com/robjohnsonIAPE/status/922592607259291649","922592607259291649")</f>
        <v>922592607259291649</v>
      </c>
      <c r="F7734" s="23" t="s">
        <v>39</v>
      </c>
      <c r="G7734" s="24">
        <v>168.0</v>
      </c>
      <c r="H7734" s="24">
        <v>716.0</v>
      </c>
      <c r="I7734" s="24">
        <v>2.0</v>
      </c>
      <c r="J7734" s="24">
        <v>0.0</v>
      </c>
      <c r="K7734" s="23" t="s">
        <v>34</v>
      </c>
      <c r="L7734" s="25">
        <v>42895.73055555555</v>
      </c>
      <c r="M7734" s="26" t="s">
        <v>17159</v>
      </c>
      <c r="N7734" s="26" t="s">
        <v>17160</v>
      </c>
      <c r="O7734" s="22" t="str">
        <f>HYPERLINK("https://pbs.twimg.com/profile_images/902003286471049216/byyJWKa5_normal.jpg","View")</f>
        <v>View</v>
      </c>
      <c r="P7734" s="27"/>
    </row>
    <row r="7735">
      <c r="A7735" s="14">
        <v>43031.65053240741</v>
      </c>
      <c r="B7735" s="20" t="str">
        <f>HYPERLINK("https://twitter.com/PaPaShArMFbI","@PaPaShArMFbI")</f>
        <v>@PaPaShArMFbI</v>
      </c>
      <c r="C7735" s="21" t="s">
        <v>17161</v>
      </c>
      <c r="D7735" s="21" t="s">
        <v>17162</v>
      </c>
      <c r="E7735" s="22" t="str">
        <f>HYPERLINK("https://twitter.com/PaPaShArMFbI/status/922592664863862784","922592664863862784")</f>
        <v>922592664863862784</v>
      </c>
      <c r="F7735" s="23" t="s">
        <v>55</v>
      </c>
      <c r="G7735" s="24">
        <v>920.0</v>
      </c>
      <c r="H7735" s="24">
        <v>2198.0</v>
      </c>
      <c r="I7735" s="24">
        <v>0.0</v>
      </c>
      <c r="J7735" s="24">
        <v>0.0</v>
      </c>
      <c r="K7735" s="23" t="s">
        <v>34</v>
      </c>
      <c r="L7735" s="25">
        <v>39988.148356481484</v>
      </c>
      <c r="M7735" s="28"/>
      <c r="N7735" s="26" t="s">
        <v>17163</v>
      </c>
      <c r="O7735" s="22" t="str">
        <f>HYPERLINK("https://pbs.twimg.com/profile_images/714958643112906752/caAPWsYS_normal.jpg","View")</f>
        <v>View</v>
      </c>
      <c r="P7735" s="27"/>
    </row>
    <row r="7736">
      <c r="A7736" s="14">
        <v>43031.65070601852</v>
      </c>
      <c r="B7736" s="20" t="str">
        <f>HYPERLINK("https://twitter.com/edgargst","@edgargst")</f>
        <v>@edgargst</v>
      </c>
      <c r="C7736" s="21" t="s">
        <v>17164</v>
      </c>
      <c r="D7736" s="21" t="s">
        <v>17017</v>
      </c>
      <c r="E7736" s="22" t="str">
        <f>HYPERLINK("https://twitter.com/edgargst/status/922592726486585345","922592726486585345")</f>
        <v>922592726486585345</v>
      </c>
      <c r="F7736" s="23" t="s">
        <v>55</v>
      </c>
      <c r="G7736" s="24">
        <v>910.0</v>
      </c>
      <c r="H7736" s="24">
        <v>1387.0</v>
      </c>
      <c r="I7736" s="24">
        <v>4.0</v>
      </c>
      <c r="J7736" s="24">
        <v>0.0</v>
      </c>
      <c r="K7736" s="23" t="s">
        <v>34</v>
      </c>
      <c r="L7736" s="25">
        <v>40197.54486111111</v>
      </c>
      <c r="M7736" s="26" t="s">
        <v>15308</v>
      </c>
      <c r="N7736" s="26" t="s">
        <v>17165</v>
      </c>
      <c r="O7736" s="22" t="str">
        <f>HYPERLINK("https://pbs.twimg.com/profile_images/909177242445430784/l-VX80NY_normal.jpg","View")</f>
        <v>View</v>
      </c>
      <c r="P7736" s="27"/>
    </row>
    <row r="7737">
      <c r="A7737" s="14">
        <v>43031.65076388889</v>
      </c>
      <c r="B7737" s="20" t="str">
        <f>HYPERLINK("https://twitter.com/53percenter2012","@53percenter2012")</f>
        <v>@53percenter2012</v>
      </c>
      <c r="C7737" s="21" t="s">
        <v>17166</v>
      </c>
      <c r="D7737" s="21" t="s">
        <v>17167</v>
      </c>
      <c r="E7737" s="22" t="str">
        <f>HYPERLINK("https://twitter.com/53percenter2012/status/922592745570619392","922592745570619392")</f>
        <v>922592745570619392</v>
      </c>
      <c r="F7737" s="30" t="s">
        <v>411</v>
      </c>
      <c r="G7737" s="24">
        <v>2311.0</v>
      </c>
      <c r="H7737" s="24">
        <v>1114.0</v>
      </c>
      <c r="I7737" s="24">
        <v>0.0</v>
      </c>
      <c r="J7737" s="24">
        <v>0.0</v>
      </c>
      <c r="K7737" s="23" t="s">
        <v>34</v>
      </c>
      <c r="L7737" s="25">
        <v>40868.724756944444</v>
      </c>
      <c r="M7737" s="26" t="s">
        <v>17168</v>
      </c>
      <c r="N7737" s="26" t="s">
        <v>17169</v>
      </c>
      <c r="O7737" s="22" t="str">
        <f>HYPERLINK("https://pbs.twimg.com/profile_images/1888226153/image_normal.jpg","View")</f>
        <v>View</v>
      </c>
      <c r="P7737" s="27"/>
    </row>
    <row r="7738">
      <c r="A7738" s="14">
        <v>43031.650879629626</v>
      </c>
      <c r="B7738" s="20" t="str">
        <f>HYPERLINK("https://twitter.com/CPofFl","@CPofFl")</f>
        <v>@CPofFl</v>
      </c>
      <c r="C7738" s="21" t="s">
        <v>17170</v>
      </c>
      <c r="D7738" s="21" t="s">
        <v>17171</v>
      </c>
      <c r="E7738" s="22" t="str">
        <f>HYPERLINK("https://twitter.com/CPofFl/status/922592787601731584","922592787601731584")</f>
        <v>922592787601731584</v>
      </c>
      <c r="F7738" s="23" t="s">
        <v>55</v>
      </c>
      <c r="G7738" s="24">
        <v>589.0</v>
      </c>
      <c r="H7738" s="24">
        <v>708.0</v>
      </c>
      <c r="I7738" s="24">
        <v>0.0</v>
      </c>
      <c r="J7738" s="24">
        <v>0.0</v>
      </c>
      <c r="K7738" s="23" t="s">
        <v>34</v>
      </c>
      <c r="L7738" s="25">
        <v>41648.74854166667</v>
      </c>
      <c r="M7738" s="26" t="s">
        <v>6241</v>
      </c>
      <c r="N7738" s="26" t="s">
        <v>17172</v>
      </c>
      <c r="O7738" s="22" t="str">
        <f>HYPERLINK("https://pbs.twimg.com/profile_images/421463341756715008/stgZuZaP_normal.png","View")</f>
        <v>View</v>
      </c>
      <c r="P7738" s="27"/>
    </row>
    <row r="7739">
      <c r="A7739" s="14">
        <v>43031.65094907407</v>
      </c>
      <c r="B7739" s="20" t="str">
        <f>HYPERLINK("https://twitter.com/CPARTYUSA","@CPARTYUSA")</f>
        <v>@CPARTYUSA</v>
      </c>
      <c r="C7739" s="21" t="s">
        <v>17173</v>
      </c>
      <c r="D7739" s="21" t="s">
        <v>17174</v>
      </c>
      <c r="E7739" s="22" t="str">
        <f>HYPERLINK("https://twitter.com/CPARTYUSA/status/922592813367332870","922592813367332870")</f>
        <v>922592813367332870</v>
      </c>
      <c r="F7739" s="23" t="s">
        <v>55</v>
      </c>
      <c r="G7739" s="24">
        <v>863.0</v>
      </c>
      <c r="H7739" s="24">
        <v>435.0</v>
      </c>
      <c r="I7739" s="24">
        <v>1.0</v>
      </c>
      <c r="J7739" s="24">
        <v>0.0</v>
      </c>
      <c r="K7739" s="23" t="s">
        <v>34</v>
      </c>
      <c r="L7739" s="25">
        <v>40457.46689814815</v>
      </c>
      <c r="M7739" s="26" t="s">
        <v>5253</v>
      </c>
      <c r="N7739" s="26" t="s">
        <v>17175</v>
      </c>
      <c r="O7739" s="22" t="str">
        <f>HYPERLINK("https://pbs.twimg.com/profile_images/1452241290/you_big_normal.jpg","View")</f>
        <v>View</v>
      </c>
      <c r="P7739" s="27"/>
    </row>
    <row r="7740">
      <c r="A7740" s="14">
        <v>43031.65099537037</v>
      </c>
      <c r="B7740" s="20" t="str">
        <f>HYPERLINK("https://twitter.com/BlaineBershad","@BlaineBershad")</f>
        <v>@BlaineBershad</v>
      </c>
      <c r="C7740" s="21" t="s">
        <v>17176</v>
      </c>
      <c r="D7740" s="21" t="s">
        <v>16537</v>
      </c>
      <c r="E7740" s="22" t="str">
        <f>HYPERLINK("https://twitter.com/BlaineBershad/status/922592830350151680","922592830350151680")</f>
        <v>922592830350151680</v>
      </c>
      <c r="F7740" s="23" t="s">
        <v>33</v>
      </c>
      <c r="G7740" s="24">
        <v>4182.0</v>
      </c>
      <c r="H7740" s="24">
        <v>4967.0</v>
      </c>
      <c r="I7740" s="24">
        <v>242.0</v>
      </c>
      <c r="J7740" s="24">
        <v>0.0</v>
      </c>
      <c r="K7740" s="23" t="s">
        <v>34</v>
      </c>
      <c r="L7740" s="25">
        <v>41416.4399537037</v>
      </c>
      <c r="M7740" s="26" t="s">
        <v>567</v>
      </c>
      <c r="N7740" s="26" t="s">
        <v>17177</v>
      </c>
      <c r="O7740" s="22" t="str">
        <f>HYPERLINK("https://pbs.twimg.com/profile_images/640824897338494976/8ZfBBnbm_normal.jpg","View")</f>
        <v>View</v>
      </c>
      <c r="P7740" s="27"/>
    </row>
    <row r="7741">
      <c r="A7741" s="14">
        <v>43031.65101851852</v>
      </c>
      <c r="B7741" s="20" t="str">
        <f>HYPERLINK("https://twitter.com/kcjw33","@kcjw33")</f>
        <v>@kcjw33</v>
      </c>
      <c r="C7741" s="21" t="s">
        <v>17178</v>
      </c>
      <c r="D7741" s="21" t="s">
        <v>17179</v>
      </c>
      <c r="E7741" s="22" t="str">
        <f>HYPERLINK("https://twitter.com/kcjw33/status/922592838466129927","922592838466129927")</f>
        <v>922592838466129927</v>
      </c>
      <c r="F7741" s="23" t="s">
        <v>55</v>
      </c>
      <c r="G7741" s="24">
        <v>2082.0</v>
      </c>
      <c r="H7741" s="24">
        <v>2178.0</v>
      </c>
      <c r="I7741" s="24">
        <v>0.0</v>
      </c>
      <c r="J7741" s="24">
        <v>0.0</v>
      </c>
      <c r="K7741" s="23" t="s">
        <v>34</v>
      </c>
      <c r="L7741" s="25">
        <v>39876.270891203705</v>
      </c>
      <c r="M7741" s="26" t="s">
        <v>17180</v>
      </c>
      <c r="N7741" s="26" t="s">
        <v>17181</v>
      </c>
      <c r="O7741" s="22" t="str">
        <f>HYPERLINK("https://pbs.twimg.com/profile_images/518715472309538816/WAhAMQdW_normal.jpeg","View")</f>
        <v>View</v>
      </c>
      <c r="P7741" s="27"/>
    </row>
    <row r="7742">
      <c r="A7742" s="14">
        <v>43031.65103009259</v>
      </c>
      <c r="B7742" s="20" t="str">
        <f>HYPERLINK("https://twitter.com/basilsauce","@basilsauce")</f>
        <v>@basilsauce</v>
      </c>
      <c r="C7742" s="21" t="s">
        <v>17182</v>
      </c>
      <c r="D7742" s="21" t="s">
        <v>1642</v>
      </c>
      <c r="E7742" s="22" t="str">
        <f>HYPERLINK("https://twitter.com/basilsauce/status/922592845365575681","922592845365575681")</f>
        <v>922592845365575681</v>
      </c>
      <c r="F7742" s="23" t="s">
        <v>55</v>
      </c>
      <c r="G7742" s="24">
        <v>30151.0</v>
      </c>
      <c r="H7742" s="24">
        <v>2663.0</v>
      </c>
      <c r="I7742" s="24">
        <v>199.0</v>
      </c>
      <c r="J7742" s="24">
        <v>0.0</v>
      </c>
      <c r="K7742" s="23" t="s">
        <v>34</v>
      </c>
      <c r="L7742" s="25">
        <v>40204.76820601852</v>
      </c>
      <c r="M7742" s="26" t="s">
        <v>17183</v>
      </c>
      <c r="N7742" s="26" t="s">
        <v>17184</v>
      </c>
      <c r="O7742" s="22" t="str">
        <f>HYPERLINK("https://pbs.twimg.com/profile_images/723556882095443968/qNgr_Ugk_normal.jpg","View")</f>
        <v>View</v>
      </c>
      <c r="P7742" s="27"/>
    </row>
    <row r="7743">
      <c r="A7743" s="14">
        <v>43031.65112268519</v>
      </c>
      <c r="B7743" s="20" t="str">
        <f>HYPERLINK("https://twitter.com/CGI_Atlanta","@CGI_Atlanta")</f>
        <v>@CGI_Atlanta</v>
      </c>
      <c r="C7743" s="21" t="s">
        <v>17185</v>
      </c>
      <c r="D7743" s="21" t="s">
        <v>42</v>
      </c>
      <c r="E7743" s="22" t="str">
        <f>HYPERLINK("https://twitter.com/CGI_Atlanta/status/922592877154328576","922592877154328576")</f>
        <v>922592877154328576</v>
      </c>
      <c r="F7743" s="23" t="s">
        <v>39</v>
      </c>
      <c r="G7743" s="24">
        <v>1575.0</v>
      </c>
      <c r="H7743" s="24">
        <v>183.0</v>
      </c>
      <c r="I7743" s="24">
        <v>8501.0</v>
      </c>
      <c r="J7743" s="24">
        <v>0.0</v>
      </c>
      <c r="K7743" s="23" t="s">
        <v>34</v>
      </c>
      <c r="L7743" s="25">
        <v>41276.58515046296</v>
      </c>
      <c r="M7743" s="26" t="s">
        <v>17186</v>
      </c>
      <c r="N7743" s="26" t="s">
        <v>17187</v>
      </c>
      <c r="O7743" s="22" t="str">
        <f>HYPERLINK("https://pbs.twimg.com/profile_images/897280421326729218/7oAjPuwY_normal.jpg","View")</f>
        <v>View</v>
      </c>
      <c r="P7743" s="27"/>
    </row>
    <row r="7744">
      <c r="A7744" s="14">
        <v>43031.652141203704</v>
      </c>
      <c r="B7744" s="20" t="str">
        <f>HYPERLINK("https://twitter.com/irony_j","@irony_j")</f>
        <v>@irony_j</v>
      </c>
      <c r="C7744" s="21" t="s">
        <v>17188</v>
      </c>
      <c r="D7744" s="21" t="s">
        <v>1642</v>
      </c>
      <c r="E7744" s="22" t="str">
        <f>HYPERLINK("https://twitter.com/irony_j/status/922593246194348038","922593246194348038")</f>
        <v>922593246194348038</v>
      </c>
      <c r="F7744" s="23" t="s">
        <v>33</v>
      </c>
      <c r="G7744" s="24">
        <v>697.0</v>
      </c>
      <c r="H7744" s="24">
        <v>689.0</v>
      </c>
      <c r="I7744" s="24">
        <v>199.0</v>
      </c>
      <c r="J7744" s="24">
        <v>0.0</v>
      </c>
      <c r="K7744" s="23" t="s">
        <v>34</v>
      </c>
      <c r="L7744" s="25">
        <v>40804.48055555556</v>
      </c>
      <c r="M7744" s="26" t="s">
        <v>17189</v>
      </c>
      <c r="N7744" s="26" t="s">
        <v>17190</v>
      </c>
      <c r="O7744" s="22" t="str">
        <f>HYPERLINK("https://pbs.twimg.com/profile_images/878242890450845696/QCcR4bQl_normal.jpg","View")</f>
        <v>View</v>
      </c>
      <c r="P7744" s="27"/>
    </row>
    <row r="7745">
      <c r="A7745" s="14">
        <v>43031.652546296296</v>
      </c>
      <c r="B7745" s="20" t="str">
        <f>HYPERLINK("https://twitter.com/MrNosegbe","@MrNosegbe")</f>
        <v>@MrNosegbe</v>
      </c>
      <c r="C7745" s="21" t="s">
        <v>17191</v>
      </c>
      <c r="D7745" s="21" t="s">
        <v>17192</v>
      </c>
      <c r="E7745" s="22" t="str">
        <f>HYPERLINK("https://twitter.com/MrNosegbe/status/922593393401909250","922593393401909250")</f>
        <v>922593393401909250</v>
      </c>
      <c r="F7745" s="23" t="s">
        <v>55</v>
      </c>
      <c r="G7745" s="24">
        <v>1803.0</v>
      </c>
      <c r="H7745" s="24">
        <v>988.0</v>
      </c>
      <c r="I7745" s="24">
        <v>3.0</v>
      </c>
      <c r="J7745" s="24">
        <v>0.0</v>
      </c>
      <c r="K7745" s="23" t="s">
        <v>34</v>
      </c>
      <c r="L7745" s="25">
        <v>40514.22615740741</v>
      </c>
      <c r="M7745" s="26" t="s">
        <v>17193</v>
      </c>
      <c r="N7745" s="26" t="s">
        <v>17194</v>
      </c>
      <c r="O7745" s="22" t="str">
        <f>HYPERLINK("https://pbs.twimg.com/profile_images/918029200333967360/vqTBm-xw_normal.jpg","View")</f>
        <v>View</v>
      </c>
      <c r="P7745" s="27"/>
    </row>
    <row r="7746">
      <c r="A7746" s="14">
        <v>43031.65266203704</v>
      </c>
      <c r="B7746" s="20" t="str">
        <f>HYPERLINK("https://twitter.com/mini_dove","@mini_dove")</f>
        <v>@mini_dove</v>
      </c>
      <c r="C7746" s="21" t="s">
        <v>17195</v>
      </c>
      <c r="D7746" s="21" t="s">
        <v>17196</v>
      </c>
      <c r="E7746" s="22" t="str">
        <f>HYPERLINK("https://twitter.com/mini_dove/status/922593435655331840","922593435655331840")</f>
        <v>922593435655331840</v>
      </c>
      <c r="F7746" s="23" t="s">
        <v>33</v>
      </c>
      <c r="G7746" s="24">
        <v>858.0</v>
      </c>
      <c r="H7746" s="24">
        <v>2205.0</v>
      </c>
      <c r="I7746" s="24">
        <v>0.0</v>
      </c>
      <c r="J7746" s="24">
        <v>0.0</v>
      </c>
      <c r="K7746" s="23" t="s">
        <v>34</v>
      </c>
      <c r="L7746" s="25">
        <v>42092.647893518515</v>
      </c>
      <c r="M7746" s="26" t="s">
        <v>17197</v>
      </c>
      <c r="N7746" s="26" t="s">
        <v>17198</v>
      </c>
      <c r="O7746" s="22" t="str">
        <f>HYPERLINK("https://pbs.twimg.com/profile_images/638192738090004480/1vpFcI5p_normal.jpg","View")</f>
        <v>View</v>
      </c>
      <c r="P7746" s="27"/>
    </row>
    <row r="7747">
      <c r="A7747" s="14">
        <v>43031.65273148148</v>
      </c>
      <c r="B7747" s="20" t="str">
        <f>HYPERLINK("https://twitter.com/KumarStiet","@KumarStiet")</f>
        <v>@KumarStiet</v>
      </c>
      <c r="C7747" s="21" t="s">
        <v>17199</v>
      </c>
      <c r="D7747" s="21" t="s">
        <v>42</v>
      </c>
      <c r="E7747" s="22" t="str">
        <f>HYPERLINK("https://twitter.com/KumarStiet/status/922593458954625025","922593458954625025")</f>
        <v>922593458954625025</v>
      </c>
      <c r="F7747" s="23" t="s">
        <v>33</v>
      </c>
      <c r="G7747" s="24">
        <v>69.0</v>
      </c>
      <c r="H7747" s="24">
        <v>122.0</v>
      </c>
      <c r="I7747" s="24">
        <v>8501.0</v>
      </c>
      <c r="J7747" s="24">
        <v>0.0</v>
      </c>
      <c r="K7747" s="23" t="s">
        <v>34</v>
      </c>
      <c r="L7747" s="25">
        <v>41115.67417824074</v>
      </c>
      <c r="M7747" s="28"/>
      <c r="N7747" s="26" t="s">
        <v>17200</v>
      </c>
      <c r="O7747" s="22" t="str">
        <f>HYPERLINK("https://pbs.twimg.com/profile_images/686315314049495040/IY6x8QB0_normal.jpg","View")</f>
        <v>View</v>
      </c>
      <c r="P7747" s="27"/>
    </row>
    <row r="7748">
      <c r="A7748" s="14">
        <v>43031.65284722223</v>
      </c>
      <c r="B7748" s="20" t="str">
        <f>HYPERLINK("https://twitter.com/newsography1","@newsography1")</f>
        <v>@newsography1</v>
      </c>
      <c r="C7748" s="21" t="s">
        <v>17201</v>
      </c>
      <c r="D7748" s="21" t="s">
        <v>17202</v>
      </c>
      <c r="E7748" s="22" t="str">
        <f>HYPERLINK("https://twitter.com/newsography1/status/922593502810333188","922593502810333188")</f>
        <v>922593502810333188</v>
      </c>
      <c r="F7748" s="23" t="s">
        <v>55</v>
      </c>
      <c r="G7748" s="24">
        <v>21331.0</v>
      </c>
      <c r="H7748" s="24">
        <v>21471.0</v>
      </c>
      <c r="I7748" s="24">
        <v>1.0</v>
      </c>
      <c r="J7748" s="24">
        <v>1.0</v>
      </c>
      <c r="K7748" s="23" t="s">
        <v>34</v>
      </c>
      <c r="L7748" s="25">
        <v>42429.506631944445</v>
      </c>
      <c r="M7748" s="28"/>
      <c r="N7748" s="26" t="s">
        <v>17203</v>
      </c>
      <c r="O7748" s="22" t="str">
        <f>HYPERLINK("https://pbs.twimg.com/profile_images/722244695976357889/Wjv1ShzE_normal.jpg","View")</f>
        <v>View</v>
      </c>
      <c r="P7748" s="27"/>
    </row>
    <row r="7749">
      <c r="A7749" s="14">
        <v>43031.65288194444</v>
      </c>
      <c r="B7749" s="20" t="str">
        <f>HYPERLINK("https://twitter.com/TroyBlackwelljr","@TroyBlackwelljr")</f>
        <v>@TroyBlackwelljr</v>
      </c>
      <c r="C7749" s="21" t="s">
        <v>17204</v>
      </c>
      <c r="D7749" s="21" t="s">
        <v>16537</v>
      </c>
      <c r="E7749" s="22" t="str">
        <f>HYPERLINK("https://twitter.com/TroyBlackwelljr/status/922593516089421827","922593516089421827")</f>
        <v>922593516089421827</v>
      </c>
      <c r="F7749" s="23" t="s">
        <v>39</v>
      </c>
      <c r="G7749" s="24">
        <v>1035.0</v>
      </c>
      <c r="H7749" s="24">
        <v>4003.0</v>
      </c>
      <c r="I7749" s="24">
        <v>242.0</v>
      </c>
      <c r="J7749" s="24">
        <v>0.0</v>
      </c>
      <c r="K7749" s="23" t="s">
        <v>34</v>
      </c>
      <c r="L7749" s="25">
        <v>40268.744837962964</v>
      </c>
      <c r="M7749" s="26" t="s">
        <v>17205</v>
      </c>
      <c r="N7749" s="26" t="s">
        <v>17206</v>
      </c>
      <c r="O7749" s="22" t="str">
        <f>HYPERLINK("https://pbs.twimg.com/profile_images/917274187865251840/De_EX-ON_normal.jpg","View")</f>
        <v>View</v>
      </c>
      <c r="P7749" s="27"/>
    </row>
    <row r="7750">
      <c r="A7750" s="14">
        <v>43031.653067129635</v>
      </c>
      <c r="B7750" s="20" t="str">
        <f>HYPERLINK("https://twitter.com/globnewsen","@globnewsen")</f>
        <v>@globnewsen</v>
      </c>
      <c r="C7750" s="21" t="s">
        <v>17207</v>
      </c>
      <c r="D7750" s="21" t="s">
        <v>17208</v>
      </c>
      <c r="E7750" s="22" t="str">
        <f>HYPERLINK("https://twitter.com/globnewsen/status/922593581122113536","922593581122113536")</f>
        <v>922593581122113536</v>
      </c>
      <c r="F7750" s="23" t="s">
        <v>187</v>
      </c>
      <c r="G7750" s="24">
        <v>543.0</v>
      </c>
      <c r="H7750" s="24">
        <v>0.0</v>
      </c>
      <c r="I7750" s="24">
        <v>0.0</v>
      </c>
      <c r="J7750" s="24">
        <v>0.0</v>
      </c>
      <c r="K7750" s="23" t="s">
        <v>34</v>
      </c>
      <c r="L7750" s="25">
        <v>41790.52559027778</v>
      </c>
      <c r="M7750" s="28"/>
      <c r="N7750" s="28"/>
      <c r="O7750" s="22" t="str">
        <f>HYPERLINK("https://abs.twimg.com/sticky/default_profile_images/default_profile_normal.png","View")</f>
        <v>View</v>
      </c>
      <c r="P7750" s="27"/>
    </row>
    <row r="7751">
      <c r="A7751" s="14">
        <v>43031.653344907405</v>
      </c>
      <c r="B7751" s="20" t="str">
        <f>HYPERLINK("https://twitter.com/CherryCoffeeLou","@CherryCoffeeLou")</f>
        <v>@CherryCoffeeLou</v>
      </c>
      <c r="C7751" s="21" t="s">
        <v>17209</v>
      </c>
      <c r="D7751" s="21" t="s">
        <v>16537</v>
      </c>
      <c r="E7751" s="22" t="str">
        <f>HYPERLINK("https://twitter.com/CherryCoffeeLou/status/922593683794550784","922593683794550784")</f>
        <v>922593683794550784</v>
      </c>
      <c r="F7751" s="23" t="s">
        <v>39</v>
      </c>
      <c r="G7751" s="24">
        <v>827.0</v>
      </c>
      <c r="H7751" s="24">
        <v>1801.0</v>
      </c>
      <c r="I7751" s="24">
        <v>242.0</v>
      </c>
      <c r="J7751" s="24">
        <v>0.0</v>
      </c>
      <c r="K7751" s="23" t="s">
        <v>34</v>
      </c>
      <c r="L7751" s="25">
        <v>41591.34402777778</v>
      </c>
      <c r="M7751" s="26" t="s">
        <v>1835</v>
      </c>
      <c r="N7751" s="26" t="s">
        <v>17210</v>
      </c>
      <c r="O7751" s="22" t="str">
        <f>HYPERLINK("https://pbs.twimg.com/profile_images/626437978307620864/EquBXyah_normal.jpg","View")</f>
        <v>View</v>
      </c>
      <c r="P7751" s="27"/>
    </row>
    <row r="7752">
      <c r="A7752" s="14">
        <v>43031.653449074074</v>
      </c>
      <c r="B7752" s="20" t="str">
        <f>HYPERLINK("https://twitter.com/DoreenDevaney","@DoreenDevaney")</f>
        <v>@DoreenDevaney</v>
      </c>
      <c r="C7752" s="21" t="s">
        <v>17211</v>
      </c>
      <c r="D7752" s="21" t="s">
        <v>16537</v>
      </c>
      <c r="E7752" s="22" t="str">
        <f>HYPERLINK("https://twitter.com/DoreenDevaney/status/922593719391539206","922593719391539206")</f>
        <v>922593719391539206</v>
      </c>
      <c r="F7752" s="23" t="s">
        <v>230</v>
      </c>
      <c r="G7752" s="24">
        <v>107.0</v>
      </c>
      <c r="H7752" s="24">
        <v>258.0</v>
      </c>
      <c r="I7752" s="24">
        <v>242.0</v>
      </c>
      <c r="J7752" s="24">
        <v>0.0</v>
      </c>
      <c r="K7752" s="23" t="s">
        <v>34</v>
      </c>
      <c r="L7752" s="25">
        <v>42643.59695601852</v>
      </c>
      <c r="M7752" s="26" t="s">
        <v>1250</v>
      </c>
      <c r="N7752" s="28"/>
      <c r="O7752" s="22" t="str">
        <f>HYPERLINK("https://pbs.twimg.com/profile_images/782902363686367232/7MKkGqh6_normal.jpg","View")</f>
        <v>View</v>
      </c>
      <c r="P7752" s="27"/>
    </row>
    <row r="7753">
      <c r="A7753" s="14">
        <v>43031.65349537037</v>
      </c>
      <c r="B7753" s="20" t="str">
        <f>HYPERLINK("https://twitter.com/BlkLilFlower","@BlkLilFlower")</f>
        <v>@BlkLilFlower</v>
      </c>
      <c r="C7753" s="21" t="s">
        <v>17212</v>
      </c>
      <c r="D7753" s="21" t="s">
        <v>16537</v>
      </c>
      <c r="E7753" s="22" t="str">
        <f>HYPERLINK("https://twitter.com/BlkLilFlower/status/922593736495960064","922593736495960064")</f>
        <v>922593736495960064</v>
      </c>
      <c r="F7753" s="23" t="s">
        <v>14456</v>
      </c>
      <c r="G7753" s="24">
        <v>4036.0</v>
      </c>
      <c r="H7753" s="24">
        <v>3429.0</v>
      </c>
      <c r="I7753" s="24">
        <v>242.0</v>
      </c>
      <c r="J7753" s="24">
        <v>0.0</v>
      </c>
      <c r="K7753" s="23" t="s">
        <v>34</v>
      </c>
      <c r="L7753" s="25">
        <v>40348.74116898148</v>
      </c>
      <c r="M7753" s="28"/>
      <c r="N7753" s="26" t="s">
        <v>17213</v>
      </c>
      <c r="O7753" s="22" t="str">
        <f>HYPERLINK("https://pbs.twimg.com/profile_images/918019740571807744/C5kjFgKY_normal.jpg","View")</f>
        <v>View</v>
      </c>
      <c r="P7753" s="27"/>
    </row>
    <row r="7754">
      <c r="A7754" s="14">
        <v>43031.65369212963</v>
      </c>
      <c r="B7754" s="20" t="str">
        <f>HYPERLINK("https://twitter.com/vs2017a","@vs2017a")</f>
        <v>@vs2017a</v>
      </c>
      <c r="C7754" s="21" t="s">
        <v>4182</v>
      </c>
      <c r="D7754" s="21" t="s">
        <v>42</v>
      </c>
      <c r="E7754" s="22" t="str">
        <f>HYPERLINK("https://twitter.com/vs2017a/status/922593810265157633","922593810265157633")</f>
        <v>922593810265157633</v>
      </c>
      <c r="F7754" s="23" t="s">
        <v>39</v>
      </c>
      <c r="G7754" s="24">
        <v>9.0</v>
      </c>
      <c r="H7754" s="24">
        <v>65.0</v>
      </c>
      <c r="I7754" s="24">
        <v>8501.0</v>
      </c>
      <c r="J7754" s="24">
        <v>0.0</v>
      </c>
      <c r="K7754" s="23" t="s">
        <v>34</v>
      </c>
      <c r="L7754" s="25">
        <v>42842.31538194444</v>
      </c>
      <c r="M7754" s="26" t="s">
        <v>204</v>
      </c>
      <c r="N7754" s="26" t="s">
        <v>17214</v>
      </c>
      <c r="O7754" s="22" t="str">
        <f>HYPERLINK("https://pbs.twimg.com/profile_images/872007954198700033/9kW1rs6E_normal.jpg","View")</f>
        <v>View</v>
      </c>
      <c r="P7754" s="27"/>
    </row>
    <row r="7755">
      <c r="A7755" s="14">
        <v>43031.65373842593</v>
      </c>
      <c r="B7755" s="20" t="str">
        <f>HYPERLINK("https://twitter.com/EvelynKissinge2","@EvelynKissinge2")</f>
        <v>@EvelynKissinge2</v>
      </c>
      <c r="C7755" s="21" t="s">
        <v>17215</v>
      </c>
      <c r="D7755" s="21" t="s">
        <v>16537</v>
      </c>
      <c r="E7755" s="22" t="str">
        <f>HYPERLINK("https://twitter.com/EvelynKissinge2/status/922593825033412608","922593825033412608")</f>
        <v>922593825033412608</v>
      </c>
      <c r="F7755" s="23" t="s">
        <v>33</v>
      </c>
      <c r="G7755" s="24">
        <v>13.0</v>
      </c>
      <c r="H7755" s="24">
        <v>29.0</v>
      </c>
      <c r="I7755" s="24">
        <v>242.0</v>
      </c>
      <c r="J7755" s="24">
        <v>0.0</v>
      </c>
      <c r="K7755" s="23" t="s">
        <v>34</v>
      </c>
      <c r="L7755" s="25">
        <v>42690.62760416667</v>
      </c>
      <c r="M7755" s="28"/>
      <c r="N7755" s="28"/>
      <c r="O7755" s="22" t="str">
        <f>HYPERLINK("https://abs.twimg.com/sticky/default_profile_images/default_profile_normal.png","View")</f>
        <v>View</v>
      </c>
      <c r="P7755" s="27"/>
    </row>
    <row r="7756">
      <c r="A7756" s="14">
        <v>43031.653761574074</v>
      </c>
      <c r="B7756" s="20" t="str">
        <f>HYPERLINK("https://twitter.com/kotecha_dipak","@kotecha_dipak")</f>
        <v>@kotecha_dipak</v>
      </c>
      <c r="C7756" s="21" t="s">
        <v>17216</v>
      </c>
      <c r="D7756" s="21" t="s">
        <v>42</v>
      </c>
      <c r="E7756" s="22" t="str">
        <f>HYPERLINK("https://twitter.com/kotecha_dipak/status/922593834638499840","922593834638499840")</f>
        <v>922593834638499840</v>
      </c>
      <c r="F7756" s="23" t="s">
        <v>33</v>
      </c>
      <c r="G7756" s="24">
        <v>12.0</v>
      </c>
      <c r="H7756" s="24">
        <v>103.0</v>
      </c>
      <c r="I7756" s="24">
        <v>8501.0</v>
      </c>
      <c r="J7756" s="24">
        <v>0.0</v>
      </c>
      <c r="K7756" s="23" t="s">
        <v>34</v>
      </c>
      <c r="L7756" s="25">
        <v>41739.087430555555</v>
      </c>
      <c r="M7756" s="26" t="s">
        <v>17217</v>
      </c>
      <c r="N7756" s="26" t="s">
        <v>17218</v>
      </c>
      <c r="O7756" s="22" t="str">
        <f>HYPERLINK("https://pbs.twimg.com/profile_images/921064709285171200/2iFoOw_q_normal.jpg","View")</f>
        <v>View</v>
      </c>
      <c r="P7756" s="27"/>
    </row>
    <row r="7757">
      <c r="A7757" s="14">
        <v>43031.653819444444</v>
      </c>
      <c r="B7757" s="20" t="str">
        <f>HYPERLINK("https://twitter.com/aizavesu","@aizavesu")</f>
        <v>@aizavesu</v>
      </c>
      <c r="C7757" s="21" t="s">
        <v>17219</v>
      </c>
      <c r="D7757" s="21" t="s">
        <v>1642</v>
      </c>
      <c r="E7757" s="22" t="str">
        <f>HYPERLINK("https://twitter.com/aizavesu/status/922593852686553089","922593852686553089")</f>
        <v>922593852686553089</v>
      </c>
      <c r="F7757" s="23" t="s">
        <v>39</v>
      </c>
      <c r="G7757" s="24">
        <v>3295.0</v>
      </c>
      <c r="H7757" s="24">
        <v>626.0</v>
      </c>
      <c r="I7757" s="24">
        <v>199.0</v>
      </c>
      <c r="J7757" s="24">
        <v>0.0</v>
      </c>
      <c r="K7757" s="23" t="s">
        <v>34</v>
      </c>
      <c r="L7757" s="25">
        <v>40249.72565972222</v>
      </c>
      <c r="M7757" s="26" t="s">
        <v>17220</v>
      </c>
      <c r="N7757" s="26" t="s">
        <v>17221</v>
      </c>
      <c r="O7757" s="22" t="str">
        <f>HYPERLINK("https://pbs.twimg.com/profile_images/875871680622583808/0pw7i_CE_normal.jpg","View")</f>
        <v>View</v>
      </c>
      <c r="P7757" s="27"/>
    </row>
    <row r="7758">
      <c r="A7758" s="14">
        <v>43031.65398148148</v>
      </c>
      <c r="B7758" s="20" t="str">
        <f>HYPERLINK("https://twitter.com/kazuens","@kazuens")</f>
        <v>@kazuens</v>
      </c>
      <c r="C7758" s="21" t="s">
        <v>17222</v>
      </c>
      <c r="D7758" s="21" t="s">
        <v>1642</v>
      </c>
      <c r="E7758" s="22" t="str">
        <f>HYPERLINK("https://twitter.com/kazuens/status/922593911402459136","922593911402459136")</f>
        <v>922593911402459136</v>
      </c>
      <c r="F7758" s="23" t="s">
        <v>55</v>
      </c>
      <c r="G7758" s="24">
        <v>817.0</v>
      </c>
      <c r="H7758" s="24">
        <v>820.0</v>
      </c>
      <c r="I7758" s="24">
        <v>199.0</v>
      </c>
      <c r="J7758" s="24">
        <v>0.0</v>
      </c>
      <c r="K7758" s="23" t="s">
        <v>34</v>
      </c>
      <c r="L7758" s="25">
        <v>40613.850266203706</v>
      </c>
      <c r="M7758" s="28"/>
      <c r="N7758" s="26" t="s">
        <v>17223</v>
      </c>
      <c r="O7758" s="22" t="str">
        <f>HYPERLINK("https://pbs.twimg.com/profile_images/412812919840051200/yVZb4dwC_normal.jpeg","View")</f>
        <v>View</v>
      </c>
      <c r="P7758" s="27"/>
    </row>
    <row r="7759">
      <c r="A7759" s="14">
        <v>43031.65466435185</v>
      </c>
      <c r="B7759" s="20" t="str">
        <f>HYPERLINK("https://twitter.com/habu_t","@habu_t")</f>
        <v>@habu_t</v>
      </c>
      <c r="C7759" s="21" t="s">
        <v>17224</v>
      </c>
      <c r="D7759" s="21" t="s">
        <v>1642</v>
      </c>
      <c r="E7759" s="22" t="str">
        <f>HYPERLINK("https://twitter.com/habu_t/status/922594158732238848","922594158732238848")</f>
        <v>922594158732238848</v>
      </c>
      <c r="F7759" s="23" t="s">
        <v>39</v>
      </c>
      <c r="G7759" s="24">
        <v>528.0</v>
      </c>
      <c r="H7759" s="24">
        <v>311.0</v>
      </c>
      <c r="I7759" s="24">
        <v>199.0</v>
      </c>
      <c r="J7759" s="24">
        <v>0.0</v>
      </c>
      <c r="K7759" s="23" t="s">
        <v>34</v>
      </c>
      <c r="L7759" s="25">
        <v>40173.702731481484</v>
      </c>
      <c r="M7759" s="26" t="s">
        <v>17225</v>
      </c>
      <c r="N7759" s="26" t="s">
        <v>17226</v>
      </c>
      <c r="O7759" s="22" t="str">
        <f>HYPERLINK("https://pbs.twimg.com/profile_images/635726978163707904/xPws642y_normal.jpg","View")</f>
        <v>View</v>
      </c>
      <c r="P7759" s="27"/>
    </row>
    <row r="7760">
      <c r="A7760" s="14">
        <v>43031.65502314815</v>
      </c>
      <c r="B7760" s="20" t="str">
        <f>HYPERLINK("https://twitter.com/jkelley399","@jkelley399")</f>
        <v>@jkelley399</v>
      </c>
      <c r="C7760" s="21" t="s">
        <v>17227</v>
      </c>
      <c r="D7760" s="21" t="s">
        <v>17228</v>
      </c>
      <c r="E7760" s="22" t="str">
        <f>HYPERLINK("https://twitter.com/jkelley399/status/922594291230285824","922594291230285824")</f>
        <v>922594291230285824</v>
      </c>
      <c r="F7760" s="23" t="s">
        <v>39</v>
      </c>
      <c r="G7760" s="24">
        <v>210.0</v>
      </c>
      <c r="H7760" s="24">
        <v>1136.0</v>
      </c>
      <c r="I7760" s="24">
        <v>0.0</v>
      </c>
      <c r="J7760" s="24">
        <v>0.0</v>
      </c>
      <c r="K7760" s="23" t="s">
        <v>34</v>
      </c>
      <c r="L7760" s="25">
        <v>41034.79613425926</v>
      </c>
      <c r="M7760" s="28"/>
      <c r="N7760" s="26" t="s">
        <v>17229</v>
      </c>
      <c r="O7760" s="22" t="str">
        <f>HYPERLINK("https://pbs.twimg.com/profile_images/598300554914205696/d0wjIsNs_normal.png","View")</f>
        <v>View</v>
      </c>
      <c r="P7760" s="27"/>
    </row>
    <row r="7761">
      <c r="A7761" s="14">
        <v>43031.65510416667</v>
      </c>
      <c r="B7761" s="20" t="str">
        <f>HYPERLINK("https://twitter.com/yuuji_K1","@yuuji_K1")</f>
        <v>@yuuji_K1</v>
      </c>
      <c r="C7761" s="21" t="s">
        <v>5882</v>
      </c>
      <c r="D7761" s="21" t="s">
        <v>11540</v>
      </c>
      <c r="E7761" s="22" t="str">
        <f>HYPERLINK("https://twitter.com/yuuji_K1/status/922594321982832640","922594321982832640")</f>
        <v>922594321982832640</v>
      </c>
      <c r="F7761" s="23" t="s">
        <v>39</v>
      </c>
      <c r="G7761" s="24">
        <v>2341.0</v>
      </c>
      <c r="H7761" s="24">
        <v>2256.0</v>
      </c>
      <c r="I7761" s="24">
        <v>14.0</v>
      </c>
      <c r="J7761" s="24">
        <v>0.0</v>
      </c>
      <c r="K7761" s="23" t="s">
        <v>34</v>
      </c>
      <c r="L7761" s="25">
        <v>41720.116006944445</v>
      </c>
      <c r="M7761" s="28"/>
      <c r="N7761" s="26" t="s">
        <v>5883</v>
      </c>
      <c r="O7761" s="22" t="str">
        <f>HYPERLINK("https://pbs.twimg.com/profile_images/447319649642770432/l3MsVwx__normal.jpeg","View")</f>
        <v>View</v>
      </c>
      <c r="P7761" s="27"/>
    </row>
    <row r="7762">
      <c r="A7762" s="14">
        <v>43031.65516203704</v>
      </c>
      <c r="B7762" s="20" t="str">
        <f>HYPERLINK("https://twitter.com/takeshi1a","@takeshi1a")</f>
        <v>@takeshi1a</v>
      </c>
      <c r="C7762" s="21" t="s">
        <v>12477</v>
      </c>
      <c r="D7762" s="21" t="s">
        <v>42</v>
      </c>
      <c r="E7762" s="22" t="str">
        <f>HYPERLINK("https://twitter.com/takeshi1a/status/922594342505607168","922594342505607168")</f>
        <v>922594342505607168</v>
      </c>
      <c r="F7762" s="23" t="s">
        <v>39</v>
      </c>
      <c r="G7762" s="24">
        <v>1007.0</v>
      </c>
      <c r="H7762" s="24">
        <v>831.0</v>
      </c>
      <c r="I7762" s="24">
        <v>8501.0</v>
      </c>
      <c r="J7762" s="24">
        <v>0.0</v>
      </c>
      <c r="K7762" s="23" t="s">
        <v>34</v>
      </c>
      <c r="L7762" s="25">
        <v>40837.050787037035</v>
      </c>
      <c r="M7762" s="28"/>
      <c r="N7762" s="26" t="s">
        <v>12478</v>
      </c>
      <c r="O7762" s="22" t="str">
        <f>HYPERLINK("https://pbs.twimg.com/profile_images/548608058595622912/ZhzN40Iv_normal.jpeg","View")</f>
        <v>View</v>
      </c>
      <c r="P7762" s="27"/>
    </row>
    <row r="7763">
      <c r="A7763" s="14">
        <v>43031.655173611114</v>
      </c>
      <c r="B7763" s="20" t="str">
        <f>HYPERLINK("https://twitter.com/fiorelune","@fiorelune")</f>
        <v>@fiorelune</v>
      </c>
      <c r="C7763" s="21" t="s">
        <v>17230</v>
      </c>
      <c r="D7763" s="21" t="s">
        <v>13962</v>
      </c>
      <c r="E7763" s="22" t="str">
        <f>HYPERLINK("https://twitter.com/fiorelune/status/922594346758635520","922594346758635520")</f>
        <v>922594346758635520</v>
      </c>
      <c r="F7763" s="23" t="s">
        <v>17231</v>
      </c>
      <c r="G7763" s="24">
        <v>81.0</v>
      </c>
      <c r="H7763" s="24">
        <v>85.0</v>
      </c>
      <c r="I7763" s="24">
        <v>18.0</v>
      </c>
      <c r="J7763" s="24">
        <v>0.0</v>
      </c>
      <c r="K7763" s="23" t="s">
        <v>34</v>
      </c>
      <c r="L7763" s="25">
        <v>40343.081828703704</v>
      </c>
      <c r="M7763" s="26" t="s">
        <v>17232</v>
      </c>
      <c r="N7763" s="26" t="s">
        <v>17233</v>
      </c>
      <c r="O7763" s="22" t="str">
        <f>HYPERLINK("https://pbs.twimg.com/profile_images/989443108/curiousaboutgeorge_09_normal.gif","View")</f>
        <v>View</v>
      </c>
      <c r="P7763" s="27"/>
    </row>
    <row r="7764">
      <c r="A7764" s="14">
        <v>43031.65519675926</v>
      </c>
      <c r="B7764" s="20" t="str">
        <f>HYPERLINK("https://twitter.com/kat19477","@kat19477")</f>
        <v>@kat19477</v>
      </c>
      <c r="C7764" s="21" t="s">
        <v>17234</v>
      </c>
      <c r="D7764" s="21" t="s">
        <v>16537</v>
      </c>
      <c r="E7764" s="22" t="str">
        <f>HYPERLINK("https://twitter.com/kat19477/status/922594351422812160","922594351422812160")</f>
        <v>922594351422812160</v>
      </c>
      <c r="F7764" s="23" t="s">
        <v>33</v>
      </c>
      <c r="G7764" s="24">
        <v>269.0</v>
      </c>
      <c r="H7764" s="24">
        <v>517.0</v>
      </c>
      <c r="I7764" s="24">
        <v>242.0</v>
      </c>
      <c r="J7764" s="24">
        <v>0.0</v>
      </c>
      <c r="K7764" s="23" t="s">
        <v>34</v>
      </c>
      <c r="L7764" s="25">
        <v>42231.282268518524</v>
      </c>
      <c r="M7764" s="28"/>
      <c r="N7764" s="26" t="s">
        <v>17235</v>
      </c>
      <c r="O7764" s="22" t="str">
        <f>HYPERLINK("https://pbs.twimg.com/profile_images/896838790626594816/4l7zVghi_normal.jpg","View")</f>
        <v>View</v>
      </c>
      <c r="P7764" s="27"/>
    </row>
    <row r="7765">
      <c r="A7765" s="14">
        <v>43031.6552662037</v>
      </c>
      <c r="B7765" s="20" t="str">
        <f>HYPERLINK("https://twitter.com/yuuji_K1","@yuuji_K1")</f>
        <v>@yuuji_K1</v>
      </c>
      <c r="C7765" s="21" t="s">
        <v>5882</v>
      </c>
      <c r="D7765" s="21" t="s">
        <v>13119</v>
      </c>
      <c r="E7765" s="22" t="str">
        <f>HYPERLINK("https://twitter.com/yuuji_K1/status/922594379457445889","922594379457445889")</f>
        <v>922594379457445889</v>
      </c>
      <c r="F7765" s="23" t="s">
        <v>39</v>
      </c>
      <c r="G7765" s="24">
        <v>2341.0</v>
      </c>
      <c r="H7765" s="24">
        <v>2256.0</v>
      </c>
      <c r="I7765" s="24">
        <v>6.0</v>
      </c>
      <c r="J7765" s="24">
        <v>0.0</v>
      </c>
      <c r="K7765" s="23" t="s">
        <v>34</v>
      </c>
      <c r="L7765" s="25">
        <v>41720.116006944445</v>
      </c>
      <c r="M7765" s="28"/>
      <c r="N7765" s="26" t="s">
        <v>5883</v>
      </c>
      <c r="O7765" s="22" t="str">
        <f>HYPERLINK("https://pbs.twimg.com/profile_images/447319649642770432/l3MsVwx__normal.jpeg","View")</f>
        <v>View</v>
      </c>
      <c r="P7765" s="27"/>
    </row>
    <row r="7766">
      <c r="A7766" s="14">
        <v>43031.655324074076</v>
      </c>
      <c r="B7766" s="20" t="str">
        <f>HYPERLINK("https://twitter.com/panditsripathak","@panditsripathak")</f>
        <v>@panditsripathak</v>
      </c>
      <c r="C7766" s="21" t="s">
        <v>17236</v>
      </c>
      <c r="D7766" s="21" t="s">
        <v>4507</v>
      </c>
      <c r="E7766" s="22" t="str">
        <f>HYPERLINK("https://twitter.com/panditsripathak/status/922594398293987329","922594398293987329")</f>
        <v>922594398293987329</v>
      </c>
      <c r="F7766" s="23" t="s">
        <v>33</v>
      </c>
      <c r="G7766" s="24">
        <v>10999.0</v>
      </c>
      <c r="H7766" s="24">
        <v>10083.0</v>
      </c>
      <c r="I7766" s="24">
        <v>139.0</v>
      </c>
      <c r="J7766" s="24">
        <v>0.0</v>
      </c>
      <c r="K7766" s="23" t="s">
        <v>34</v>
      </c>
      <c r="L7766" s="25">
        <v>40118.197280092594</v>
      </c>
      <c r="M7766" s="26" t="s">
        <v>17237</v>
      </c>
      <c r="N7766" s="26" t="s">
        <v>17238</v>
      </c>
      <c r="O7766" s="22" t="str">
        <f>HYPERLINK("https://pbs.twimg.com/profile_images/772704488893222912/xGiOhUZ__normal.jpg","View")</f>
        <v>View</v>
      </c>
      <c r="P7766" s="27"/>
    </row>
    <row r="7767">
      <c r="A7767" s="14">
        <v>43031.65557870371</v>
      </c>
      <c r="B7767" s="20" t="str">
        <f>HYPERLINK("https://twitter.com/321Brownbear","@321Brownbear")</f>
        <v>@321Brownbear</v>
      </c>
      <c r="C7767" s="21" t="s">
        <v>17239</v>
      </c>
      <c r="D7767" s="21" t="s">
        <v>42</v>
      </c>
      <c r="E7767" s="22" t="str">
        <f>HYPERLINK("https://twitter.com/321Brownbear/status/922594493190193152","922594493190193152")</f>
        <v>922594493190193152</v>
      </c>
      <c r="F7767" s="23" t="s">
        <v>39</v>
      </c>
      <c r="G7767" s="24">
        <v>57.0</v>
      </c>
      <c r="H7767" s="24">
        <v>60.0</v>
      </c>
      <c r="I7767" s="24">
        <v>8501.0</v>
      </c>
      <c r="J7767" s="24">
        <v>0.0</v>
      </c>
      <c r="K7767" s="23" t="s">
        <v>34</v>
      </c>
      <c r="L7767" s="25">
        <v>40559.24828703704</v>
      </c>
      <c r="M7767" s="26" t="s">
        <v>271</v>
      </c>
      <c r="N7767" s="26" t="s">
        <v>17240</v>
      </c>
      <c r="O7767" s="22" t="str">
        <f>HYPERLINK("https://pbs.twimg.com/profile_images/419854727417839616/sA8FrGdN_normal.jpeg","View")</f>
        <v>View</v>
      </c>
      <c r="P7767" s="27"/>
    </row>
    <row r="7768">
      <c r="A7768" s="14">
        <v>43031.65567129629</v>
      </c>
      <c r="B7768" s="20" t="str">
        <f>HYPERLINK("https://twitter.com/DevlAlpril","@DevlAlpril")</f>
        <v>@DevlAlpril</v>
      </c>
      <c r="C7768" s="21" t="s">
        <v>17241</v>
      </c>
      <c r="D7768" s="21" t="s">
        <v>2369</v>
      </c>
      <c r="E7768" s="22" t="str">
        <f>HYPERLINK("https://twitter.com/DevlAlpril/status/922594526535077888","922594526535077888")</f>
        <v>922594526535077888</v>
      </c>
      <c r="F7768" s="23" t="s">
        <v>33</v>
      </c>
      <c r="G7768" s="24">
        <v>105.0</v>
      </c>
      <c r="H7768" s="24">
        <v>2284.0</v>
      </c>
      <c r="I7768" s="24">
        <v>23.0</v>
      </c>
      <c r="J7768" s="24">
        <v>0.0</v>
      </c>
      <c r="K7768" s="23" t="s">
        <v>34</v>
      </c>
      <c r="L7768" s="25">
        <v>40659.19644675926</v>
      </c>
      <c r="M7768" s="28"/>
      <c r="N7768" s="28"/>
      <c r="O7768" s="22" t="str">
        <f>HYPERLINK("https://pbs.twimg.com/profile_images/762998750512046081/0eJpS9Ou_normal.jpg","View")</f>
        <v>View</v>
      </c>
      <c r="P7768" s="27"/>
    </row>
    <row r="7769">
      <c r="A7769" s="14">
        <v>43031.655752314815</v>
      </c>
      <c r="B7769" s="20" t="str">
        <f>HYPERLINK("https://twitter.com/kirakirast","@kirakirast")</f>
        <v>@kirakirast</v>
      </c>
      <c r="C7769" s="21" t="s">
        <v>17242</v>
      </c>
      <c r="D7769" s="21" t="s">
        <v>1642</v>
      </c>
      <c r="E7769" s="22" t="str">
        <f>HYPERLINK("https://twitter.com/kirakirast/status/922594556360646656","922594556360646656")</f>
        <v>922594556360646656</v>
      </c>
      <c r="F7769" s="23" t="s">
        <v>39</v>
      </c>
      <c r="G7769" s="24">
        <v>1937.0</v>
      </c>
      <c r="H7769" s="24">
        <v>1334.0</v>
      </c>
      <c r="I7769" s="24">
        <v>199.0</v>
      </c>
      <c r="J7769" s="24">
        <v>0.0</v>
      </c>
      <c r="K7769" s="23" t="s">
        <v>34</v>
      </c>
      <c r="L7769" s="25">
        <v>40184.67831018518</v>
      </c>
      <c r="M7769" s="26" t="s">
        <v>17243</v>
      </c>
      <c r="N7769" s="26" t="s">
        <v>17244</v>
      </c>
      <c r="O7769" s="22" t="str">
        <f>HYPERLINK("https://pbs.twimg.com/profile_images/883624782184370177/c28q65dR_normal.jpg","View")</f>
        <v>View</v>
      </c>
      <c r="P7769" s="27"/>
    </row>
    <row r="7770">
      <c r="A7770" s="14">
        <v>43031.65582175926</v>
      </c>
      <c r="B7770" s="20" t="str">
        <f>HYPERLINK("https://twitter.com/CMyaro","@CMyaro")</f>
        <v>@CMyaro</v>
      </c>
      <c r="C7770" s="21" t="s">
        <v>17245</v>
      </c>
      <c r="D7770" s="21" t="s">
        <v>1642</v>
      </c>
      <c r="E7770" s="22" t="str">
        <f>HYPERLINK("https://twitter.com/CMyaro/status/922594578225438720","922594578225438720")</f>
        <v>922594578225438720</v>
      </c>
      <c r="F7770" s="23" t="s">
        <v>55</v>
      </c>
      <c r="G7770" s="24">
        <v>6539.0</v>
      </c>
      <c r="H7770" s="24">
        <v>4467.0</v>
      </c>
      <c r="I7770" s="24">
        <v>199.0</v>
      </c>
      <c r="J7770" s="24">
        <v>0.0</v>
      </c>
      <c r="K7770" s="23" t="s">
        <v>34</v>
      </c>
      <c r="L7770" s="25">
        <v>40640.07891203704</v>
      </c>
      <c r="M7770" s="28"/>
      <c r="N7770" s="26" t="s">
        <v>17246</v>
      </c>
      <c r="O7770" s="22" t="str">
        <f>HYPERLINK("https://pbs.twimg.com/profile_images/704981382078947329/kMszU034_normal.jpg","View")</f>
        <v>View</v>
      </c>
      <c r="P7770" s="27"/>
    </row>
    <row r="7771">
      <c r="A7771" s="14">
        <v>43031.65611111111</v>
      </c>
      <c r="B7771" s="20" t="str">
        <f>HYPERLINK("https://twitter.com/RajaramMusings","@RajaramMusings")</f>
        <v>@RajaramMusings</v>
      </c>
      <c r="C7771" s="21" t="s">
        <v>17247</v>
      </c>
      <c r="D7771" s="21" t="s">
        <v>163</v>
      </c>
      <c r="E7771" s="22" t="str">
        <f>HYPERLINK("https://twitter.com/RajaramMusings/status/922594686061092864","922594686061092864")</f>
        <v>922594686061092864</v>
      </c>
      <c r="F7771" s="23" t="s">
        <v>33</v>
      </c>
      <c r="G7771" s="24">
        <v>605.0</v>
      </c>
      <c r="H7771" s="24">
        <v>226.0</v>
      </c>
      <c r="I7771" s="24">
        <v>1005.0</v>
      </c>
      <c r="J7771" s="24">
        <v>0.0</v>
      </c>
      <c r="K7771" s="23" t="s">
        <v>34</v>
      </c>
      <c r="L7771" s="25">
        <v>40604.18241898148</v>
      </c>
      <c r="M7771" s="26" t="s">
        <v>4620</v>
      </c>
      <c r="N7771" s="26" t="s">
        <v>17248</v>
      </c>
      <c r="O7771" s="22" t="str">
        <f>HYPERLINK("https://pbs.twimg.com/profile_images/1260273706/rajaram_normal.JPG","View")</f>
        <v>View</v>
      </c>
      <c r="P7771" s="27"/>
    </row>
    <row r="7772">
      <c r="A7772" s="14">
        <v>43031.65615740741</v>
      </c>
      <c r="B7772" s="20" t="str">
        <f>HYPERLINK("https://twitter.com/USSANews","@USSANews")</f>
        <v>@USSANews</v>
      </c>
      <c r="C7772" s="21" t="s">
        <v>17249</v>
      </c>
      <c r="D7772" s="21" t="s">
        <v>17250</v>
      </c>
      <c r="E7772" s="22" t="str">
        <f>HYPERLINK("https://twitter.com/USSANews/status/922594703375155200","922594703375155200")</f>
        <v>922594703375155200</v>
      </c>
      <c r="F7772" s="23" t="s">
        <v>17251</v>
      </c>
      <c r="G7772" s="24">
        <v>20985.0</v>
      </c>
      <c r="H7772" s="24">
        <v>17990.0</v>
      </c>
      <c r="I7772" s="24">
        <v>0.0</v>
      </c>
      <c r="J7772" s="24">
        <v>0.0</v>
      </c>
      <c r="K7772" s="23" t="s">
        <v>34</v>
      </c>
      <c r="L7772" s="25">
        <v>41713.42256944445</v>
      </c>
      <c r="M7772" s="35" t="s">
        <v>17252</v>
      </c>
      <c r="N7772" s="26" t="s">
        <v>17253</v>
      </c>
      <c r="O7772" s="22" t="str">
        <f>HYPERLINK("https://pbs.twimg.com/profile_images/734166067455483904/ACRNB-rD_normal.jpg","View")</f>
        <v>View</v>
      </c>
      <c r="P7772" s="27"/>
    </row>
    <row r="7773">
      <c r="A7773" s="14">
        <v>43031.656331018516</v>
      </c>
      <c r="B7773" s="20" t="str">
        <f>HYPERLINK("https://twitter.com/njlintern","@njlintern")</f>
        <v>@njlintern</v>
      </c>
      <c r="C7773" s="21" t="s">
        <v>6504</v>
      </c>
      <c r="D7773" s="21" t="s">
        <v>17254</v>
      </c>
      <c r="E7773" s="22" t="str">
        <f>HYPERLINK("https://twitter.com/njlintern/status/922594762548482048","922594762548482048")</f>
        <v>922594762548482048</v>
      </c>
      <c r="F7773" s="23" t="s">
        <v>230</v>
      </c>
      <c r="G7773" s="24">
        <v>2246.0</v>
      </c>
      <c r="H7773" s="24">
        <v>2474.0</v>
      </c>
      <c r="I7773" s="24">
        <v>1.0</v>
      </c>
      <c r="J7773" s="24">
        <v>0.0</v>
      </c>
      <c r="K7773" s="23" t="s">
        <v>34</v>
      </c>
      <c r="L7773" s="25">
        <v>40997.18644675926</v>
      </c>
      <c r="M7773" s="26" t="s">
        <v>6505</v>
      </c>
      <c r="N7773" s="26" t="s">
        <v>6506</v>
      </c>
      <c r="O7773" s="22" t="str">
        <f>HYPERLINK("https://pbs.twimg.com/profile_images/769981454377943040/rqXMyrq8_normal.jpg","View")</f>
        <v>View</v>
      </c>
      <c r="P7773" s="27"/>
    </row>
    <row r="7774">
      <c r="A7774" s="14">
        <v>43031.65646990741</v>
      </c>
      <c r="B7774" s="20" t="str">
        <f>HYPERLINK("https://twitter.com/BlkLilFlower","@BlkLilFlower")</f>
        <v>@BlkLilFlower</v>
      </c>
      <c r="C7774" s="21" t="s">
        <v>17212</v>
      </c>
      <c r="D7774" s="21" t="s">
        <v>11750</v>
      </c>
      <c r="E7774" s="22" t="str">
        <f>HYPERLINK("https://twitter.com/BlkLilFlower/status/922594814213873664","922594814213873664")</f>
        <v>922594814213873664</v>
      </c>
      <c r="F7774" s="23" t="s">
        <v>14456</v>
      </c>
      <c r="G7774" s="24">
        <v>4036.0</v>
      </c>
      <c r="H7774" s="24">
        <v>3429.0</v>
      </c>
      <c r="I7774" s="24">
        <v>35.0</v>
      </c>
      <c r="J7774" s="24">
        <v>0.0</v>
      </c>
      <c r="K7774" s="23" t="s">
        <v>34</v>
      </c>
      <c r="L7774" s="25">
        <v>40348.74116898148</v>
      </c>
      <c r="M7774" s="28"/>
      <c r="N7774" s="26" t="s">
        <v>17213</v>
      </c>
      <c r="O7774" s="22" t="str">
        <f>HYPERLINK("https://pbs.twimg.com/profile_images/918019740571807744/C5kjFgKY_normal.jpg","View")</f>
        <v>View</v>
      </c>
      <c r="P7774" s="27"/>
    </row>
    <row r="7775">
      <c r="A7775" s="14">
        <v>43031.65692129629</v>
      </c>
      <c r="B7775" s="20" t="str">
        <f>HYPERLINK("https://twitter.com/RathusSpencer","@RathusSpencer")</f>
        <v>@RathusSpencer</v>
      </c>
      <c r="C7775" s="21" t="s">
        <v>17255</v>
      </c>
      <c r="D7775" s="21" t="s">
        <v>16537</v>
      </c>
      <c r="E7775" s="22" t="str">
        <f>HYPERLINK("https://twitter.com/RathusSpencer/status/922594980052586497","922594980052586497")</f>
        <v>922594980052586497</v>
      </c>
      <c r="F7775" s="23" t="s">
        <v>39</v>
      </c>
      <c r="G7775" s="24">
        <v>28.0</v>
      </c>
      <c r="H7775" s="24">
        <v>99.0</v>
      </c>
      <c r="I7775" s="24">
        <v>242.0</v>
      </c>
      <c r="J7775" s="24">
        <v>0.0</v>
      </c>
      <c r="K7775" s="23" t="s">
        <v>34</v>
      </c>
      <c r="L7775" s="25">
        <v>42756.693865740745</v>
      </c>
      <c r="M7775" s="28"/>
      <c r="N7775" s="28"/>
      <c r="O7775" s="22" t="str">
        <f>HYPERLINK("https://pbs.twimg.com/profile_images/823382591080382464/e_3Qa6CX_normal.jpg","View")</f>
        <v>View</v>
      </c>
      <c r="P7775" s="27"/>
    </row>
    <row r="7776">
      <c r="A7776" s="14">
        <v>43031.65709490741</v>
      </c>
      <c r="B7776" s="20" t="str">
        <f>HYPERLINK("https://twitter.com/harukakka102","@harukakka102")</f>
        <v>@harukakka102</v>
      </c>
      <c r="C7776" s="21" t="s">
        <v>17256</v>
      </c>
      <c r="D7776" s="21" t="s">
        <v>1642</v>
      </c>
      <c r="E7776" s="22" t="str">
        <f>HYPERLINK("https://twitter.com/harukakka102/status/922595039951208448","922595039951208448")</f>
        <v>922595039951208448</v>
      </c>
      <c r="F7776" s="23" t="s">
        <v>33</v>
      </c>
      <c r="G7776" s="24">
        <v>910.0</v>
      </c>
      <c r="H7776" s="24">
        <v>888.0</v>
      </c>
      <c r="I7776" s="24">
        <v>199.0</v>
      </c>
      <c r="J7776" s="24">
        <v>0.0</v>
      </c>
      <c r="K7776" s="23" t="s">
        <v>34</v>
      </c>
      <c r="L7776" s="25">
        <v>42560.33284722222</v>
      </c>
      <c r="M7776" s="26" t="s">
        <v>17257</v>
      </c>
      <c r="N7776" s="26" t="s">
        <v>17258</v>
      </c>
      <c r="O7776" s="22" t="str">
        <f>HYPERLINK("https://pbs.twimg.com/profile_images/903013750172598272/fXpcgPxn_normal.jpg","View")</f>
        <v>View</v>
      </c>
      <c r="P7776" s="27"/>
    </row>
    <row r="7777">
      <c r="A7777" s="14">
        <v>43031.657175925924</v>
      </c>
      <c r="B7777" s="20" t="str">
        <f>HYPERLINK("https://twitter.com/himurotakasi","@himurotakasi")</f>
        <v>@himurotakasi</v>
      </c>
      <c r="C7777" s="21" t="s">
        <v>17259</v>
      </c>
      <c r="D7777" s="21" t="s">
        <v>1642</v>
      </c>
      <c r="E7777" s="22" t="str">
        <f>HYPERLINK("https://twitter.com/himurotakasi/status/922595068657025024","922595068657025024")</f>
        <v>922595068657025024</v>
      </c>
      <c r="F7777" s="23" t="s">
        <v>33</v>
      </c>
      <c r="G7777" s="24">
        <v>31385.0</v>
      </c>
      <c r="H7777" s="24">
        <v>36136.0</v>
      </c>
      <c r="I7777" s="24">
        <v>199.0</v>
      </c>
      <c r="J7777" s="24">
        <v>0.0</v>
      </c>
      <c r="K7777" s="23" t="s">
        <v>34</v>
      </c>
      <c r="L7777" s="25">
        <v>40146.05525462963</v>
      </c>
      <c r="M7777" s="26" t="s">
        <v>10751</v>
      </c>
      <c r="N7777" s="26" t="s">
        <v>17260</v>
      </c>
      <c r="O7777" s="22" t="str">
        <f>HYPERLINK("https://pbs.twimg.com/profile_images/955477921/______normal.jpg","View")</f>
        <v>View</v>
      </c>
      <c r="P7777" s="27"/>
    </row>
    <row r="7778">
      <c r="A7778" s="14">
        <v>43031.65725694444</v>
      </c>
      <c r="B7778" s="20" t="str">
        <f>HYPERLINK("https://twitter.com/NancyRo45542024","@NancyRo45542024")</f>
        <v>@NancyRo45542024</v>
      </c>
      <c r="C7778" s="21" t="s">
        <v>17261</v>
      </c>
      <c r="D7778" s="21" t="s">
        <v>16537</v>
      </c>
      <c r="E7778" s="22" t="str">
        <f>HYPERLINK("https://twitter.com/NancyRo45542024/status/922595098122182657","922595098122182657")</f>
        <v>922595098122182657</v>
      </c>
      <c r="F7778" s="23" t="s">
        <v>2119</v>
      </c>
      <c r="G7778" s="24">
        <v>101.0</v>
      </c>
      <c r="H7778" s="24">
        <v>47.0</v>
      </c>
      <c r="I7778" s="24">
        <v>242.0</v>
      </c>
      <c r="J7778" s="24">
        <v>0.0</v>
      </c>
      <c r="K7778" s="23" t="s">
        <v>34</v>
      </c>
      <c r="L7778" s="25">
        <v>42759.22677083334</v>
      </c>
      <c r="M7778" s="28"/>
      <c r="N7778" s="28"/>
      <c r="O7778" s="22" t="str">
        <f>HYPERLINK("https://abs.twimg.com/sticky/default_profile_images/default_profile_normal.png","View")</f>
        <v>View</v>
      </c>
      <c r="P7778" s="27"/>
    </row>
    <row r="7779">
      <c r="A7779" s="14">
        <v>43031.657268518524</v>
      </c>
      <c r="B7779" s="20" t="str">
        <f>HYPERLINK("https://twitter.com/matsuball","@matsuball")</f>
        <v>@matsuball</v>
      </c>
      <c r="C7779" s="21" t="s">
        <v>17262</v>
      </c>
      <c r="D7779" s="21" t="s">
        <v>1642</v>
      </c>
      <c r="E7779" s="22" t="str">
        <f>HYPERLINK("https://twitter.com/matsuball/status/922595103364886528","922595103364886528")</f>
        <v>922595103364886528</v>
      </c>
      <c r="F7779" s="23" t="s">
        <v>39</v>
      </c>
      <c r="G7779" s="24">
        <v>780.0</v>
      </c>
      <c r="H7779" s="24">
        <v>1481.0</v>
      </c>
      <c r="I7779" s="24">
        <v>199.0</v>
      </c>
      <c r="J7779" s="24">
        <v>0.0</v>
      </c>
      <c r="K7779" s="23" t="s">
        <v>34</v>
      </c>
      <c r="L7779" s="25">
        <v>40128.285208333335</v>
      </c>
      <c r="M7779" s="28"/>
      <c r="N7779" s="26" t="s">
        <v>17263</v>
      </c>
      <c r="O7779" s="22" t="str">
        <f>HYPERLINK("https://pbs.twimg.com/profile_images/817567815108423680/procraPx_normal.jpg","View")</f>
        <v>View</v>
      </c>
      <c r="P7779" s="27"/>
    </row>
    <row r="7780">
      <c r="A7780" s="14">
        <v>43031.65733796296</v>
      </c>
      <c r="B7780" s="20" t="str">
        <f t="shared" ref="B7780:B7781" si="134">HYPERLINK("https://twitter.com/yuuji_K1","@yuuji_K1")</f>
        <v>@yuuji_K1</v>
      </c>
      <c r="C7780" s="21" t="s">
        <v>5882</v>
      </c>
      <c r="D7780" s="21" t="s">
        <v>7594</v>
      </c>
      <c r="E7780" s="22" t="str">
        <f>HYPERLINK("https://twitter.com/yuuji_K1/status/922595128631365632","922595128631365632")</f>
        <v>922595128631365632</v>
      </c>
      <c r="F7780" s="23" t="s">
        <v>39</v>
      </c>
      <c r="G7780" s="24">
        <v>2341.0</v>
      </c>
      <c r="H7780" s="24">
        <v>2256.0</v>
      </c>
      <c r="I7780" s="24">
        <v>10.0</v>
      </c>
      <c r="J7780" s="24">
        <v>0.0</v>
      </c>
      <c r="K7780" s="23" t="s">
        <v>34</v>
      </c>
      <c r="L7780" s="25">
        <v>41720.116006944445</v>
      </c>
      <c r="M7780" s="28"/>
      <c r="N7780" s="26" t="s">
        <v>5883</v>
      </c>
      <c r="O7780" s="22" t="str">
        <f t="shared" ref="O7780:O7781" si="135">HYPERLINK("https://pbs.twimg.com/profile_images/447319649642770432/l3MsVwx__normal.jpeg","View")</f>
        <v>View</v>
      </c>
      <c r="P7780" s="27"/>
    </row>
    <row r="7781">
      <c r="A7781" s="14">
        <v>43031.65734953704</v>
      </c>
      <c r="B7781" s="20" t="str">
        <f t="shared" si="134"/>
        <v>@yuuji_K1</v>
      </c>
      <c r="C7781" s="21" t="s">
        <v>5882</v>
      </c>
      <c r="D7781" s="21" t="s">
        <v>6917</v>
      </c>
      <c r="E7781" s="22" t="str">
        <f>HYPERLINK("https://twitter.com/yuuji_K1/status/922595135686295553","922595135686295553")</f>
        <v>922595135686295553</v>
      </c>
      <c r="F7781" s="23" t="s">
        <v>39</v>
      </c>
      <c r="G7781" s="24">
        <v>2341.0</v>
      </c>
      <c r="H7781" s="24">
        <v>2256.0</v>
      </c>
      <c r="I7781" s="24">
        <v>8.0</v>
      </c>
      <c r="J7781" s="24">
        <v>0.0</v>
      </c>
      <c r="K7781" s="23" t="s">
        <v>34</v>
      </c>
      <c r="L7781" s="25">
        <v>41720.116006944445</v>
      </c>
      <c r="M7781" s="28"/>
      <c r="N7781" s="26" t="s">
        <v>5883</v>
      </c>
      <c r="O7781" s="22" t="str">
        <f t="shared" si="135"/>
        <v>View</v>
      </c>
      <c r="P7781" s="27"/>
    </row>
    <row r="7782">
      <c r="A7782" s="14">
        <v>43031.65756944445</v>
      </c>
      <c r="B7782" s="20" t="str">
        <f>HYPERLINK("https://twitter.com/kurage210","@kurage210")</f>
        <v>@kurage210</v>
      </c>
      <c r="C7782" s="21" t="s">
        <v>17264</v>
      </c>
      <c r="D7782" s="21" t="s">
        <v>1642</v>
      </c>
      <c r="E7782" s="22" t="str">
        <f>HYPERLINK("https://twitter.com/kurage210/status/922595211649224704","922595211649224704")</f>
        <v>922595211649224704</v>
      </c>
      <c r="F7782" s="23" t="s">
        <v>39</v>
      </c>
      <c r="G7782" s="24">
        <v>453.0</v>
      </c>
      <c r="H7782" s="24">
        <v>432.0</v>
      </c>
      <c r="I7782" s="24">
        <v>199.0</v>
      </c>
      <c r="J7782" s="24">
        <v>0.0</v>
      </c>
      <c r="K7782" s="23" t="s">
        <v>34</v>
      </c>
      <c r="L7782" s="25">
        <v>40000.14111111111</v>
      </c>
      <c r="M7782" s="28"/>
      <c r="N7782" s="26" t="s">
        <v>17265</v>
      </c>
      <c r="O7782" s="22" t="str">
        <f>HYPERLINK("https://pbs.twimg.com/profile_images/876218938920652801/apEqHwak_normal.jpg","View")</f>
        <v>View</v>
      </c>
      <c r="P7782" s="27"/>
    </row>
    <row r="7783">
      <c r="A7783" s="14">
        <v>43031.65756944445</v>
      </c>
      <c r="B7783" s="20" t="str">
        <f>HYPERLINK("https://twitter.com/marchef2","@marchef2")</f>
        <v>@marchef2</v>
      </c>
      <c r="C7783" s="21" t="s">
        <v>14069</v>
      </c>
      <c r="D7783" s="21" t="s">
        <v>16537</v>
      </c>
      <c r="E7783" s="22" t="str">
        <f>HYPERLINK("https://twitter.com/marchef2/status/922595212664426496","922595212664426496")</f>
        <v>922595212664426496</v>
      </c>
      <c r="F7783" s="23" t="s">
        <v>55</v>
      </c>
      <c r="G7783" s="24">
        <v>40.0</v>
      </c>
      <c r="H7783" s="24">
        <v>393.0</v>
      </c>
      <c r="I7783" s="24">
        <v>242.0</v>
      </c>
      <c r="J7783" s="24">
        <v>0.0</v>
      </c>
      <c r="K7783" s="23" t="s">
        <v>34</v>
      </c>
      <c r="L7783" s="25">
        <v>42817.217997685184</v>
      </c>
      <c r="M7783" s="28"/>
      <c r="N7783" s="28"/>
      <c r="O7783" s="22" t="str">
        <f>HYPERLINK("https://abs.twimg.com/sticky/default_profile_images/default_profile_normal.png","View")</f>
        <v>View</v>
      </c>
      <c r="P7783" s="27"/>
    </row>
    <row r="7784">
      <c r="A7784" s="14">
        <v>43031.65813657407</v>
      </c>
      <c r="B7784" s="20" t="str">
        <f>HYPERLINK("https://twitter.com/pramod6123456","@pramod6123456")</f>
        <v>@pramod6123456</v>
      </c>
      <c r="C7784" s="21" t="s">
        <v>17266</v>
      </c>
      <c r="D7784" s="21" t="s">
        <v>42</v>
      </c>
      <c r="E7784" s="22" t="str">
        <f>HYPERLINK("https://twitter.com/pramod6123456/status/922595418852249600","922595418852249600")</f>
        <v>922595418852249600</v>
      </c>
      <c r="F7784" s="23" t="s">
        <v>33</v>
      </c>
      <c r="G7784" s="24">
        <v>27.0</v>
      </c>
      <c r="H7784" s="24">
        <v>148.0</v>
      </c>
      <c r="I7784" s="24">
        <v>8501.0</v>
      </c>
      <c r="J7784" s="24">
        <v>0.0</v>
      </c>
      <c r="K7784" s="23" t="s">
        <v>34</v>
      </c>
      <c r="L7784" s="25">
        <v>42826.12079861111</v>
      </c>
      <c r="M7784" s="26" t="s">
        <v>17267</v>
      </c>
      <c r="N7784" s="26" t="s">
        <v>17268</v>
      </c>
      <c r="O7784" s="22" t="str">
        <f>HYPERLINK("https://pbs.twimg.com/profile_images/878164852442767360/ogPjBplv_normal.jpg","View")</f>
        <v>View</v>
      </c>
      <c r="P7784" s="27"/>
    </row>
    <row r="7785">
      <c r="A7785" s="14">
        <v>43031.65814814815</v>
      </c>
      <c r="B7785" s="20" t="str">
        <f>HYPERLINK("https://twitter.com/yuuji_K1","@yuuji_K1")</f>
        <v>@yuuji_K1</v>
      </c>
      <c r="C7785" s="21" t="s">
        <v>5882</v>
      </c>
      <c r="D7785" s="21" t="s">
        <v>17269</v>
      </c>
      <c r="E7785" s="22" t="str">
        <f>HYPERLINK("https://twitter.com/yuuji_K1/status/922595423012790272","922595423012790272")</f>
        <v>922595423012790272</v>
      </c>
      <c r="F7785" s="23" t="s">
        <v>39</v>
      </c>
      <c r="G7785" s="24">
        <v>2341.0</v>
      </c>
      <c r="H7785" s="24">
        <v>2256.0</v>
      </c>
      <c r="I7785" s="24">
        <v>2.0</v>
      </c>
      <c r="J7785" s="24">
        <v>0.0</v>
      </c>
      <c r="K7785" s="23" t="s">
        <v>34</v>
      </c>
      <c r="L7785" s="25">
        <v>41720.116006944445</v>
      </c>
      <c r="M7785" s="28"/>
      <c r="N7785" s="26" t="s">
        <v>5883</v>
      </c>
      <c r="O7785" s="22" t="str">
        <f>HYPERLINK("https://pbs.twimg.com/profile_images/447319649642770432/l3MsVwx__normal.jpeg","View")</f>
        <v>View</v>
      </c>
      <c r="P7785" s="27"/>
    </row>
    <row r="7786">
      <c r="A7786" s="14">
        <v>43031.65828703703</v>
      </c>
      <c r="B7786" s="20" t="str">
        <f>HYPERLINK("https://twitter.com/matsufuji5","@matsufuji5")</f>
        <v>@matsufuji5</v>
      </c>
      <c r="C7786" s="21" t="s">
        <v>17270</v>
      </c>
      <c r="D7786" s="21" t="s">
        <v>1642</v>
      </c>
      <c r="E7786" s="22" t="str">
        <f>HYPERLINK("https://twitter.com/matsufuji5/status/922595475236245504","922595475236245504")</f>
        <v>922595475236245504</v>
      </c>
      <c r="F7786" s="23" t="s">
        <v>39</v>
      </c>
      <c r="G7786" s="24">
        <v>504.0</v>
      </c>
      <c r="H7786" s="24">
        <v>456.0</v>
      </c>
      <c r="I7786" s="24">
        <v>199.0</v>
      </c>
      <c r="J7786" s="24">
        <v>0.0</v>
      </c>
      <c r="K7786" s="23" t="s">
        <v>34</v>
      </c>
      <c r="L7786" s="25">
        <v>40757.275868055556</v>
      </c>
      <c r="M7786" s="26" t="s">
        <v>17271</v>
      </c>
      <c r="N7786" s="26" t="s">
        <v>17272</v>
      </c>
      <c r="O7786" s="22" t="str">
        <f>HYPERLINK("https://pbs.twimg.com/profile_images/899369059631996928/9eXpEr-E_normal.jpg","View")</f>
        <v>View</v>
      </c>
      <c r="P7786" s="27"/>
    </row>
    <row r="7787">
      <c r="A7787" s="14">
        <v>43031.65875</v>
      </c>
      <c r="B7787" s="20" t="str">
        <f>HYPERLINK("https://twitter.com/NeilWarner_","@NeilWarner_")</f>
        <v>@NeilWarner_</v>
      </c>
      <c r="C7787" s="21" t="s">
        <v>17273</v>
      </c>
      <c r="D7787" s="21" t="s">
        <v>17274</v>
      </c>
      <c r="E7787" s="22" t="str">
        <f>HYPERLINK("https://twitter.com/NeilWarner_/status/922595640538025985","922595640538025985")</f>
        <v>922595640538025985</v>
      </c>
      <c r="F7787" s="23" t="s">
        <v>55</v>
      </c>
      <c r="G7787" s="24">
        <v>2282.0</v>
      </c>
      <c r="H7787" s="24">
        <v>2676.0</v>
      </c>
      <c r="I7787" s="24">
        <v>1.0</v>
      </c>
      <c r="J7787" s="24">
        <v>0.0</v>
      </c>
      <c r="K7787" s="23" t="s">
        <v>34</v>
      </c>
      <c r="L7787" s="25">
        <v>39970.60359953703</v>
      </c>
      <c r="M7787" s="26" t="s">
        <v>1695</v>
      </c>
      <c r="N7787" s="26" t="s">
        <v>17275</v>
      </c>
      <c r="O7787" s="22" t="str">
        <f>HYPERLINK("https://pbs.twimg.com/profile_images/813625964932583428/MMYZvBbF_normal.jpg","View")</f>
        <v>View</v>
      </c>
      <c r="P7787" s="27"/>
    </row>
    <row r="7788">
      <c r="A7788" s="14">
        <v>43031.6592824074</v>
      </c>
      <c r="B7788" s="20" t="str">
        <f>HYPERLINK("https://twitter.com/coolrunning2009","@coolrunning2009")</f>
        <v>@coolrunning2009</v>
      </c>
      <c r="C7788" s="21" t="s">
        <v>17276</v>
      </c>
      <c r="D7788" s="21" t="s">
        <v>17277</v>
      </c>
      <c r="E7788" s="22" t="str">
        <f>HYPERLINK("https://twitter.com/coolrunning2009/status/922595834906099712","922595834906099712")</f>
        <v>922595834906099712</v>
      </c>
      <c r="F7788" s="23" t="s">
        <v>230</v>
      </c>
      <c r="G7788" s="24">
        <v>1271.0</v>
      </c>
      <c r="H7788" s="24">
        <v>1329.0</v>
      </c>
      <c r="I7788" s="24">
        <v>0.0</v>
      </c>
      <c r="J7788" s="24">
        <v>0.0</v>
      </c>
      <c r="K7788" s="23" t="s">
        <v>34</v>
      </c>
      <c r="L7788" s="25">
        <v>41510.79300925926</v>
      </c>
      <c r="M7788" s="26" t="s">
        <v>3011</v>
      </c>
      <c r="N7788" s="26" t="s">
        <v>17278</v>
      </c>
      <c r="O7788" s="22" t="str">
        <f>HYPERLINK("https://pbs.twimg.com/profile_images/378800000427966205/c8aa756921a2721b669962c6f4f46e87_normal.jpeg","View")</f>
        <v>View</v>
      </c>
      <c r="P7788" s="27"/>
    </row>
    <row r="7789">
      <c r="A7789" s="14">
        <v>43031.659317129626</v>
      </c>
      <c r="B7789" s="20" t="str">
        <f>HYPERLINK("https://twitter.com/Dagixle","@Dagixle")</f>
        <v>@Dagixle</v>
      </c>
      <c r="C7789" s="21" t="s">
        <v>17279</v>
      </c>
      <c r="D7789" s="21" t="s">
        <v>16437</v>
      </c>
      <c r="E7789" s="22" t="str">
        <f>HYPERLINK("https://twitter.com/Dagixle/status/922595847086530560","922595847086530560")</f>
        <v>922595847086530560</v>
      </c>
      <c r="F7789" s="23" t="s">
        <v>33</v>
      </c>
      <c r="G7789" s="24">
        <v>183.0</v>
      </c>
      <c r="H7789" s="24">
        <v>160.0</v>
      </c>
      <c r="I7789" s="24">
        <v>6.0</v>
      </c>
      <c r="J7789" s="24">
        <v>0.0</v>
      </c>
      <c r="K7789" s="23" t="s">
        <v>34</v>
      </c>
      <c r="L7789" s="25">
        <v>40317.10984953704</v>
      </c>
      <c r="M7789" s="26" t="s">
        <v>17280</v>
      </c>
      <c r="N7789" s="28"/>
      <c r="O7789" s="22" t="str">
        <f>HYPERLINK("https://pbs.twimg.com/profile_images/378800000190235608/627092d09dceec8c7c82011a4e83720c_normal.png","View")</f>
        <v>View</v>
      </c>
      <c r="P7789" s="27"/>
    </row>
    <row r="7790">
      <c r="A7790" s="14">
        <v>43031.65957175926</v>
      </c>
      <c r="B7790" s="20" t="str">
        <f>HYPERLINK("https://twitter.com/galerobinson16","@galerobinson16")</f>
        <v>@galerobinson16</v>
      </c>
      <c r="C7790" s="21" t="s">
        <v>17281</v>
      </c>
      <c r="D7790" s="21" t="s">
        <v>17282</v>
      </c>
      <c r="E7790" s="22" t="str">
        <f>HYPERLINK("https://twitter.com/galerobinson16/status/922595938434207745","922595938434207745")</f>
        <v>922595938434207745</v>
      </c>
      <c r="F7790" s="23" t="s">
        <v>33</v>
      </c>
      <c r="G7790" s="24">
        <v>3717.0</v>
      </c>
      <c r="H7790" s="24">
        <v>3170.0</v>
      </c>
      <c r="I7790" s="24">
        <v>1.0</v>
      </c>
      <c r="J7790" s="24">
        <v>0.0</v>
      </c>
      <c r="K7790" s="23" t="s">
        <v>34</v>
      </c>
      <c r="L7790" s="25">
        <v>41942.628599537034</v>
      </c>
      <c r="M7790" s="28"/>
      <c r="N7790" s="26" t="s">
        <v>17283</v>
      </c>
      <c r="O7790" s="22" t="str">
        <f>HYPERLINK("https://pbs.twimg.com/profile_images/784551282833055748/CfzzaOe1_normal.jpg","View")</f>
        <v>View</v>
      </c>
      <c r="P7790" s="27"/>
    </row>
    <row r="7791">
      <c r="A7791" s="14">
        <v>43031.66002314815</v>
      </c>
      <c r="B7791" s="20" t="str">
        <f>HYPERLINK("https://twitter.com/LeeMartin113","@LeeMartin113")</f>
        <v>@LeeMartin113</v>
      </c>
      <c r="C7791" s="21" t="s">
        <v>17284</v>
      </c>
      <c r="D7791" s="21" t="s">
        <v>15478</v>
      </c>
      <c r="E7791" s="22" t="str">
        <f>HYPERLINK("https://twitter.com/LeeMartin113/status/922596102699933697","922596102699933697")</f>
        <v>922596102699933697</v>
      </c>
      <c r="F7791" s="23" t="s">
        <v>39</v>
      </c>
      <c r="G7791" s="24">
        <v>4092.0</v>
      </c>
      <c r="H7791" s="24">
        <v>4433.0</v>
      </c>
      <c r="I7791" s="24">
        <v>12.0</v>
      </c>
      <c r="J7791" s="24">
        <v>0.0</v>
      </c>
      <c r="K7791" s="23" t="s">
        <v>34</v>
      </c>
      <c r="L7791" s="25">
        <v>41037.02957175926</v>
      </c>
      <c r="M7791" s="26" t="s">
        <v>17285</v>
      </c>
      <c r="N7791" s="26" t="s">
        <v>17286</v>
      </c>
      <c r="O7791" s="22" t="str">
        <f>HYPERLINK("https://pbs.twimg.com/profile_images/921405359167811584/uM_b_P3M_normal.jpg","View")</f>
        <v>View</v>
      </c>
      <c r="P7791" s="27"/>
    </row>
    <row r="7792">
      <c r="A7792" s="14">
        <v>43031.660208333335</v>
      </c>
      <c r="B7792" s="20" t="str">
        <f>HYPERLINK("https://twitter.com/NORTHER64691120","@NORTHER64691120")</f>
        <v>@NORTHER64691120</v>
      </c>
      <c r="C7792" s="21" t="s">
        <v>17287</v>
      </c>
      <c r="D7792" s="21" t="s">
        <v>16537</v>
      </c>
      <c r="E7792" s="22" t="str">
        <f>HYPERLINK("https://twitter.com/NORTHER64691120/status/922596169615888384","922596169615888384")</f>
        <v>922596169615888384</v>
      </c>
      <c r="F7792" s="23" t="s">
        <v>43</v>
      </c>
      <c r="G7792" s="24">
        <v>688.0</v>
      </c>
      <c r="H7792" s="24">
        <v>468.0</v>
      </c>
      <c r="I7792" s="24">
        <v>242.0</v>
      </c>
      <c r="J7792" s="24">
        <v>0.0</v>
      </c>
      <c r="K7792" s="23" t="s">
        <v>34</v>
      </c>
      <c r="L7792" s="25">
        <v>42784.738379629634</v>
      </c>
      <c r="M7792" s="28"/>
      <c r="N7792" s="28"/>
      <c r="O7792" s="22" t="str">
        <f>HYPERLINK("https://abs.twimg.com/sticky/default_profile_images/default_profile_normal.png","View")</f>
        <v>View</v>
      </c>
      <c r="P7792" s="27"/>
    </row>
    <row r="7793">
      <c r="A7793" s="14">
        <v>43031.66107638889</v>
      </c>
      <c r="B7793" s="20" t="str">
        <f>HYPERLINK("https://twitter.com/motokorich","@motokorich")</f>
        <v>@motokorich</v>
      </c>
      <c r="C7793" s="21" t="s">
        <v>17288</v>
      </c>
      <c r="D7793" s="21" t="s">
        <v>17289</v>
      </c>
      <c r="E7793" s="22" t="str">
        <f>HYPERLINK("https://twitter.com/motokorich/status/922596483160997888","922596483160997888")</f>
        <v>922596483160997888</v>
      </c>
      <c r="F7793" s="23" t="s">
        <v>55</v>
      </c>
      <c r="G7793" s="24">
        <v>25710.0</v>
      </c>
      <c r="H7793" s="24">
        <v>2568.0</v>
      </c>
      <c r="I7793" s="24">
        <v>7.0</v>
      </c>
      <c r="J7793" s="24">
        <v>17.0</v>
      </c>
      <c r="K7793" s="23" t="s">
        <v>34</v>
      </c>
      <c r="L7793" s="25">
        <v>39993.357037037036</v>
      </c>
      <c r="M7793" s="26" t="s">
        <v>271</v>
      </c>
      <c r="N7793" s="26" t="s">
        <v>17290</v>
      </c>
      <c r="O7793" s="22" t="str">
        <f>HYPERLINK("https://pbs.twimg.com/profile_images/781455693597413380/eASkJAc5_normal.jpg","View")</f>
        <v>View</v>
      </c>
      <c r="P7793" s="27"/>
    </row>
    <row r="7794">
      <c r="A7794" s="14">
        <v>43031.66133101852</v>
      </c>
      <c r="B7794" s="20" t="str">
        <f>HYPERLINK("https://twitter.com/indophyle","@indophyle")</f>
        <v>@indophyle</v>
      </c>
      <c r="C7794" s="21" t="s">
        <v>17291</v>
      </c>
      <c r="D7794" s="21" t="s">
        <v>42</v>
      </c>
      <c r="E7794" s="22" t="str">
        <f>HYPERLINK("https://twitter.com/indophyle/status/922596575410450432","922596575410450432")</f>
        <v>922596575410450432</v>
      </c>
      <c r="F7794" s="23" t="s">
        <v>39</v>
      </c>
      <c r="G7794" s="24">
        <v>67.0</v>
      </c>
      <c r="H7794" s="24">
        <v>373.0</v>
      </c>
      <c r="I7794" s="24">
        <v>8501.0</v>
      </c>
      <c r="J7794" s="24">
        <v>0.0</v>
      </c>
      <c r="K7794" s="23" t="s">
        <v>34</v>
      </c>
      <c r="L7794" s="25">
        <v>41583.10144675926</v>
      </c>
      <c r="M7794" s="28"/>
      <c r="N7794" s="26" t="s">
        <v>17292</v>
      </c>
      <c r="O7794" s="22" t="str">
        <f>HYPERLINK("https://pbs.twimg.com/profile_images/378800000697713155/e410491fc4c8d2a9ddd48b2094593ba0_normal.jpeg","View")</f>
        <v>View</v>
      </c>
      <c r="P7794" s="27"/>
    </row>
    <row r="7795">
      <c r="A7795" s="14">
        <v>43031.66158564815</v>
      </c>
      <c r="B7795" s="20" t="str">
        <f>HYPERLINK("https://twitter.com/DwTricks","@DwTricks")</f>
        <v>@DwTricks</v>
      </c>
      <c r="C7795" s="21" t="s">
        <v>7385</v>
      </c>
      <c r="D7795" s="21" t="s">
        <v>17293</v>
      </c>
      <c r="E7795" s="22" t="str">
        <f>HYPERLINK("https://twitter.com/DwTricks/status/922596670579331074","922596670579331074")</f>
        <v>922596670579331074</v>
      </c>
      <c r="F7795" s="23" t="s">
        <v>187</v>
      </c>
      <c r="G7795" s="24">
        <v>155.0</v>
      </c>
      <c r="H7795" s="24">
        <v>4.0</v>
      </c>
      <c r="I7795" s="24">
        <v>0.0</v>
      </c>
      <c r="J7795" s="24">
        <v>0.0</v>
      </c>
      <c r="K7795" s="23" t="s">
        <v>34</v>
      </c>
      <c r="L7795" s="25">
        <v>41174.27533564815</v>
      </c>
      <c r="M7795" s="26" t="s">
        <v>4398</v>
      </c>
      <c r="N7795" s="26" t="s">
        <v>17294</v>
      </c>
      <c r="O7795" s="22" t="str">
        <f>HYPERLINK("https://pbs.twimg.com/profile_images/769912971783004162/DZuTBMNq_normal.jpg","View")</f>
        <v>View</v>
      </c>
      <c r="P7795" s="27"/>
    </row>
    <row r="7796">
      <c r="A7796" s="14">
        <v>43031.66168981481</v>
      </c>
      <c r="B7796" s="20" t="str">
        <f>HYPERLINK("https://twitter.com/DeploReport","@DeploReport")</f>
        <v>@DeploReport</v>
      </c>
      <c r="C7796" s="21" t="s">
        <v>17295</v>
      </c>
      <c r="D7796" s="21" t="s">
        <v>17296</v>
      </c>
      <c r="E7796" s="22" t="str">
        <f>HYPERLINK("https://twitter.com/DeploReport/status/922596706243502080","922596706243502080")</f>
        <v>922596706243502080</v>
      </c>
      <c r="F7796" s="23" t="s">
        <v>91</v>
      </c>
      <c r="G7796" s="24">
        <v>192.0</v>
      </c>
      <c r="H7796" s="24">
        <v>291.0</v>
      </c>
      <c r="I7796" s="24">
        <v>0.0</v>
      </c>
      <c r="J7796" s="24">
        <v>0.0</v>
      </c>
      <c r="K7796" s="23" t="s">
        <v>34</v>
      </c>
      <c r="L7796" s="25">
        <v>42940.058599537035</v>
      </c>
      <c r="M7796" s="26" t="s">
        <v>5253</v>
      </c>
      <c r="N7796" s="26" t="s">
        <v>17297</v>
      </c>
      <c r="O7796" s="22" t="str">
        <f>HYPERLINK("https://pbs.twimg.com/profile_images/889414600067694592/sw1jRMXE_normal.jpg","View")</f>
        <v>View</v>
      </c>
      <c r="P7796" s="27"/>
    </row>
    <row r="7797">
      <c r="A7797" s="14">
        <v>43031.661886574075</v>
      </c>
      <c r="B7797" s="20" t="str">
        <f>HYPERLINK("https://twitter.com/General_News_","@General_News_")</f>
        <v>@General_News_</v>
      </c>
      <c r="C7797" s="21" t="s">
        <v>13787</v>
      </c>
      <c r="D7797" s="21" t="s">
        <v>17298</v>
      </c>
      <c r="E7797" s="22" t="str">
        <f>HYPERLINK("https://twitter.com/General_News_/status/922596779371257856","922596779371257856")</f>
        <v>922596779371257856</v>
      </c>
      <c r="F7797" s="23" t="s">
        <v>1020</v>
      </c>
      <c r="G7797" s="24">
        <v>1982.0</v>
      </c>
      <c r="H7797" s="24">
        <v>1964.0</v>
      </c>
      <c r="I7797" s="24">
        <v>0.0</v>
      </c>
      <c r="J7797" s="24">
        <v>0.0</v>
      </c>
      <c r="K7797" s="23" t="s">
        <v>34</v>
      </c>
      <c r="L7797" s="25">
        <v>40621.34769675926</v>
      </c>
      <c r="M7797" s="26" t="s">
        <v>68</v>
      </c>
      <c r="N7797" s="26" t="s">
        <v>13789</v>
      </c>
      <c r="O7797" s="22" t="str">
        <f>HYPERLINK("https://pbs.twimg.com/profile_images/1279304346/Afbeelding_35_normal.png","View")</f>
        <v>View</v>
      </c>
      <c r="P7797" s="27"/>
    </row>
    <row r="7798">
      <c r="A7798" s="14">
        <v>43031.6621875</v>
      </c>
      <c r="B7798" s="20" t="str">
        <f>HYPERLINK("https://twitter.com/Thoreaus_Horse","@Thoreaus_Horse")</f>
        <v>@Thoreaus_Horse</v>
      </c>
      <c r="C7798" s="21" t="s">
        <v>17299</v>
      </c>
      <c r="D7798" s="21" t="s">
        <v>17300</v>
      </c>
      <c r="E7798" s="22" t="str">
        <f>HYPERLINK("https://twitter.com/Thoreaus_Horse/status/922596885986193409","922596885986193409")</f>
        <v>922596885986193409</v>
      </c>
      <c r="F7798" s="23" t="s">
        <v>33</v>
      </c>
      <c r="G7798" s="24">
        <v>1760.0</v>
      </c>
      <c r="H7798" s="24">
        <v>4055.0</v>
      </c>
      <c r="I7798" s="24">
        <v>7.0</v>
      </c>
      <c r="J7798" s="24">
        <v>0.0</v>
      </c>
      <c r="K7798" s="23" t="s">
        <v>34</v>
      </c>
      <c r="L7798" s="25">
        <v>42730.769432870366</v>
      </c>
      <c r="M7798" s="26" t="s">
        <v>68</v>
      </c>
      <c r="N7798" s="26" t="s">
        <v>17301</v>
      </c>
      <c r="O7798" s="22" t="str">
        <f>HYPERLINK("https://pbs.twimg.com/profile_images/827907238245302275/Zn8L20pn_normal.jpg","View")</f>
        <v>View</v>
      </c>
      <c r="P7798" s="27"/>
    </row>
    <row r="7799">
      <c r="A7799" s="14">
        <v>43031.66268518519</v>
      </c>
      <c r="B7799" s="20" t="str">
        <f>HYPERLINK("https://twitter.com/cbc_diff","@cbc_diff")</f>
        <v>@cbc_diff</v>
      </c>
      <c r="C7799" s="21" t="s">
        <v>17302</v>
      </c>
      <c r="D7799" s="21" t="s">
        <v>17303</v>
      </c>
      <c r="E7799" s="22" t="str">
        <f>HYPERLINK("https://twitter.com/cbc_diff/status/922597065426915328","922597065426915328")</f>
        <v>922597065426915328</v>
      </c>
      <c r="F7799" s="23" t="s">
        <v>17302</v>
      </c>
      <c r="G7799" s="24">
        <v>142.0</v>
      </c>
      <c r="H7799" s="24">
        <v>0.0</v>
      </c>
      <c r="I7799" s="24">
        <v>0.0</v>
      </c>
      <c r="J7799" s="24">
        <v>0.0</v>
      </c>
      <c r="K7799" s="23" t="s">
        <v>34</v>
      </c>
      <c r="L7799" s="25">
        <v>42746.21340277778</v>
      </c>
      <c r="M7799" s="26" t="s">
        <v>1961</v>
      </c>
      <c r="N7799" s="26" t="s">
        <v>17304</v>
      </c>
      <c r="O7799" s="22" t="str">
        <f>HYPERLINK("https://pbs.twimg.com/profile_images/821107901691359235/96RkbTLr_normal.jpg","View")</f>
        <v>View</v>
      </c>
      <c r="P7799" s="27"/>
    </row>
    <row r="7800">
      <c r="A7800" s="14">
        <v>43031.662939814814</v>
      </c>
      <c r="B7800" s="20" t="str">
        <f>HYPERLINK("https://twitter.com/MaldenTalks","@MaldenTalks")</f>
        <v>@MaldenTalks</v>
      </c>
      <c r="C7800" s="21" t="s">
        <v>17305</v>
      </c>
      <c r="D7800" s="21" t="s">
        <v>17306</v>
      </c>
      <c r="E7800" s="22" t="str">
        <f>HYPERLINK("https://twitter.com/MaldenTalks/status/922597159521980416","922597159521980416")</f>
        <v>922597159521980416</v>
      </c>
      <c r="F7800" s="23" t="s">
        <v>55</v>
      </c>
      <c r="G7800" s="24">
        <v>93.0</v>
      </c>
      <c r="H7800" s="24">
        <v>15.0</v>
      </c>
      <c r="I7800" s="24">
        <v>0.0</v>
      </c>
      <c r="J7800" s="24">
        <v>0.0</v>
      </c>
      <c r="K7800" s="23" t="s">
        <v>34</v>
      </c>
      <c r="L7800" s="25">
        <v>41725.5109375</v>
      </c>
      <c r="M7800" s="26" t="s">
        <v>17307</v>
      </c>
      <c r="N7800" s="28"/>
      <c r="O7800" s="22" t="str">
        <f>HYPERLINK("https://pbs.twimg.com/profile_images/449273981493710849/G_kZUJ9W_normal.jpeg","View")</f>
        <v>View</v>
      </c>
      <c r="P7800" s="27"/>
    </row>
    <row r="7801">
      <c r="A7801" s="14">
        <v>43031.66295138889</v>
      </c>
      <c r="B7801" s="20" t="str">
        <f>HYPERLINK("https://twitter.com/noellecharlotte","@noellecharlotte")</f>
        <v>@noellecharlotte</v>
      </c>
      <c r="C7801" s="21" t="s">
        <v>17308</v>
      </c>
      <c r="D7801" s="21" t="s">
        <v>16537</v>
      </c>
      <c r="E7801" s="22" t="str">
        <f>HYPERLINK("https://twitter.com/noellecharlotte/status/922597165695938560","922597165695938560")</f>
        <v>922597165695938560</v>
      </c>
      <c r="F7801" s="23" t="s">
        <v>39</v>
      </c>
      <c r="G7801" s="24">
        <v>731.0</v>
      </c>
      <c r="H7801" s="24">
        <v>2349.0</v>
      </c>
      <c r="I7801" s="24">
        <v>242.0</v>
      </c>
      <c r="J7801" s="24">
        <v>0.0</v>
      </c>
      <c r="K7801" s="23" t="s">
        <v>34</v>
      </c>
      <c r="L7801" s="25">
        <v>39936.64601851852</v>
      </c>
      <c r="M7801" s="26" t="s">
        <v>2534</v>
      </c>
      <c r="N7801" s="26" t="s">
        <v>17309</v>
      </c>
      <c r="O7801" s="22" t="str">
        <f>HYPERLINK("https://pbs.twimg.com/profile_images/871390711454863360/ccBxZUq7_normal.jpg","View")</f>
        <v>View</v>
      </c>
      <c r="P7801" s="27"/>
    </row>
    <row r="7802">
      <c r="A7802" s="14">
        <v>43031.66327546297</v>
      </c>
      <c r="B7802" s="20" t="str">
        <f>HYPERLINK("https://twitter.com/markjuelich","@markjuelich")</f>
        <v>@markjuelich</v>
      </c>
      <c r="C7802" s="21" t="s">
        <v>17310</v>
      </c>
      <c r="D7802" s="21" t="s">
        <v>17311</v>
      </c>
      <c r="E7802" s="22" t="str">
        <f>HYPERLINK("https://twitter.com/markjuelich/status/922597281047617536","922597281047617536")</f>
        <v>922597281047617536</v>
      </c>
      <c r="F7802" s="30" t="s">
        <v>411</v>
      </c>
      <c r="G7802" s="24">
        <v>20640.0</v>
      </c>
      <c r="H7802" s="24">
        <v>10758.0</v>
      </c>
      <c r="I7802" s="24">
        <v>1.0</v>
      </c>
      <c r="J7802" s="24">
        <v>1.0</v>
      </c>
      <c r="K7802" s="23" t="s">
        <v>34</v>
      </c>
      <c r="L7802" s="25">
        <v>40000.51243055556</v>
      </c>
      <c r="M7802" s="26" t="s">
        <v>17312</v>
      </c>
      <c r="N7802" s="26" t="s">
        <v>17313</v>
      </c>
      <c r="O7802" s="22" t="str">
        <f>HYPERLINK("https://pbs.twimg.com/profile_images/746019178293796864/njRwC-dH_normal.jpg","View")</f>
        <v>View</v>
      </c>
      <c r="P7802" s="27"/>
    </row>
    <row r="7803">
      <c r="A7803" s="14">
        <v>43031.66329861111</v>
      </c>
      <c r="B7803" s="20" t="str">
        <f>HYPERLINK("https://twitter.com/IsraelNewsLinks","@IsraelNewsLinks")</f>
        <v>@IsraelNewsLinks</v>
      </c>
      <c r="C7803" s="21" t="s">
        <v>17314</v>
      </c>
      <c r="D7803" s="21" t="s">
        <v>17315</v>
      </c>
      <c r="E7803" s="22" t="str">
        <f>HYPERLINK("https://twitter.com/IsraelNewsLinks/status/922597290983825408","922597290983825408")</f>
        <v>922597290983825408</v>
      </c>
      <c r="F7803" s="30" t="s">
        <v>411</v>
      </c>
      <c r="G7803" s="24">
        <v>21573.0</v>
      </c>
      <c r="H7803" s="24">
        <v>820.0</v>
      </c>
      <c r="I7803" s="24">
        <v>0.0</v>
      </c>
      <c r="J7803" s="24">
        <v>1.0</v>
      </c>
      <c r="K7803" s="23" t="s">
        <v>34</v>
      </c>
      <c r="L7803" s="25">
        <v>39836.87328703704</v>
      </c>
      <c r="M7803" s="26" t="s">
        <v>68</v>
      </c>
      <c r="N7803" s="26" t="s">
        <v>17316</v>
      </c>
      <c r="O7803" s="22" t="str">
        <f>HYPERLINK("https://pbs.twimg.com/profile_images/727667199368822785/TyVwMyft_normal.jpg","View")</f>
        <v>View</v>
      </c>
      <c r="P7803" s="27"/>
    </row>
    <row r="7804">
      <c r="A7804" s="14">
        <v>43031.6644212963</v>
      </c>
      <c r="B7804" s="20" t="str">
        <f>HYPERLINK("https://twitter.com/NuAgePatriot","@NuAgePatriot")</f>
        <v>@NuAgePatriot</v>
      </c>
      <c r="C7804" s="21" t="s">
        <v>17317</v>
      </c>
      <c r="D7804" s="21" t="s">
        <v>17318</v>
      </c>
      <c r="E7804" s="22" t="str">
        <f>HYPERLINK("https://twitter.com/NuAgePatriot/status/922597695855964160","922597695855964160")</f>
        <v>922597695855964160</v>
      </c>
      <c r="F7804" s="23" t="s">
        <v>55</v>
      </c>
      <c r="G7804" s="24">
        <v>5215.0</v>
      </c>
      <c r="H7804" s="24">
        <v>3533.0</v>
      </c>
      <c r="I7804" s="24">
        <v>1.0</v>
      </c>
      <c r="J7804" s="24">
        <v>0.0</v>
      </c>
      <c r="K7804" s="23" t="s">
        <v>34</v>
      </c>
      <c r="L7804" s="25">
        <v>40902.26243055556</v>
      </c>
      <c r="M7804" s="26" t="s">
        <v>17319</v>
      </c>
      <c r="N7804" s="26" t="s">
        <v>17320</v>
      </c>
      <c r="O7804" s="22" t="str">
        <f>HYPERLINK("https://pbs.twimg.com/profile_images/460817810516484096/AAbHgkf__normal.png","View")</f>
        <v>View</v>
      </c>
      <c r="P7804" s="27"/>
    </row>
    <row r="7805">
      <c r="A7805" s="14">
        <v>43031.66452546296</v>
      </c>
      <c r="B7805" s="20" t="str">
        <f>HYPERLINK("https://twitter.com/jfg1125","@jfg1125")</f>
        <v>@jfg1125</v>
      </c>
      <c r="C7805" s="21" t="s">
        <v>15727</v>
      </c>
      <c r="D7805" s="21" t="s">
        <v>16537</v>
      </c>
      <c r="E7805" s="22" t="str">
        <f>HYPERLINK("https://twitter.com/jfg1125/status/922597733202087937","922597733202087937")</f>
        <v>922597733202087937</v>
      </c>
      <c r="F7805" s="23" t="s">
        <v>230</v>
      </c>
      <c r="G7805" s="24">
        <v>94.0</v>
      </c>
      <c r="H7805" s="24">
        <v>415.0</v>
      </c>
      <c r="I7805" s="24">
        <v>242.0</v>
      </c>
      <c r="J7805" s="24">
        <v>0.0</v>
      </c>
      <c r="K7805" s="23" t="s">
        <v>34</v>
      </c>
      <c r="L7805" s="25">
        <v>42753.630520833336</v>
      </c>
      <c r="M7805" s="26" t="s">
        <v>17321</v>
      </c>
      <c r="N7805" s="26" t="s">
        <v>13787</v>
      </c>
      <c r="O7805" s="22" t="str">
        <f>HYPERLINK("https://pbs.twimg.com/profile_images/841092852880965632/D_CGRcte_normal.jpg","View")</f>
        <v>View</v>
      </c>
      <c r="P7805" s="27"/>
    </row>
    <row r="7806">
      <c r="A7806" s="14">
        <v>43031.66464120371</v>
      </c>
      <c r="B7806" s="20" t="str">
        <f>HYPERLINK("https://twitter.com/imacreatorr","@imacreatorr")</f>
        <v>@imacreatorr</v>
      </c>
      <c r="C7806" s="21" t="s">
        <v>17322</v>
      </c>
      <c r="D7806" s="21" t="s">
        <v>16537</v>
      </c>
      <c r="E7806" s="22" t="str">
        <f>HYPERLINK("https://twitter.com/imacreatorr/status/922597775963025408","922597775963025408")</f>
        <v>922597775963025408</v>
      </c>
      <c r="F7806" s="23" t="s">
        <v>55</v>
      </c>
      <c r="G7806" s="24">
        <v>13.0</v>
      </c>
      <c r="H7806" s="24">
        <v>44.0</v>
      </c>
      <c r="I7806" s="24">
        <v>242.0</v>
      </c>
      <c r="J7806" s="24">
        <v>0.0</v>
      </c>
      <c r="K7806" s="23" t="s">
        <v>34</v>
      </c>
      <c r="L7806" s="25">
        <v>42204.612384259264</v>
      </c>
      <c r="M7806" s="28"/>
      <c r="N7806" s="28"/>
      <c r="O7806" s="22" t="str">
        <f>HYPERLINK("https://pbs.twimg.com/profile_images/846212678217490433/XXtwZ4jL_normal.jpg","View")</f>
        <v>View</v>
      </c>
      <c r="P7806" s="27"/>
    </row>
    <row r="7807">
      <c r="A7807" s="14">
        <v>43031.66483796296</v>
      </c>
      <c r="B7807" s="20" t="str">
        <f>HYPERLINK("https://twitter.com/nikomorimarin","@nikomorimarin")</f>
        <v>@nikomorimarin</v>
      </c>
      <c r="C7807" s="21" t="s">
        <v>17323</v>
      </c>
      <c r="D7807" s="21" t="s">
        <v>1642</v>
      </c>
      <c r="E7807" s="22" t="str">
        <f>HYPERLINK("https://twitter.com/nikomorimarin/status/922597847790379009","922597847790379009")</f>
        <v>922597847790379009</v>
      </c>
      <c r="F7807" s="23" t="s">
        <v>55</v>
      </c>
      <c r="G7807" s="24">
        <v>11.0</v>
      </c>
      <c r="H7807" s="24">
        <v>65.0</v>
      </c>
      <c r="I7807" s="24">
        <v>199.0</v>
      </c>
      <c r="J7807" s="24">
        <v>0.0</v>
      </c>
      <c r="K7807" s="23" t="s">
        <v>34</v>
      </c>
      <c r="L7807" s="25">
        <v>42221.07453703704</v>
      </c>
      <c r="M7807" s="26" t="s">
        <v>17324</v>
      </c>
      <c r="N7807" s="26" t="s">
        <v>17325</v>
      </c>
      <c r="O7807" s="22" t="str">
        <f>HYPERLINK("https://pbs.twimg.com/profile_images/725930226954293248/sGh_fvXs_normal.jpg","View")</f>
        <v>View</v>
      </c>
      <c r="P7807" s="27"/>
    </row>
    <row r="7808">
      <c r="A7808" s="14">
        <v>43031.664872685185</v>
      </c>
      <c r="B7808" s="20" t="str">
        <f>HYPERLINK("https://twitter.com/sdrhod","@sdrhod")</f>
        <v>@sdrhod</v>
      </c>
      <c r="C7808" s="21" t="s">
        <v>17326</v>
      </c>
      <c r="D7808" s="21" t="s">
        <v>17300</v>
      </c>
      <c r="E7808" s="22" t="str">
        <f>HYPERLINK("https://twitter.com/sdrhod/status/922597859748450304","922597859748450304")</f>
        <v>922597859748450304</v>
      </c>
      <c r="F7808" s="23" t="s">
        <v>55</v>
      </c>
      <c r="G7808" s="24">
        <v>1202.0</v>
      </c>
      <c r="H7808" s="24">
        <v>881.0</v>
      </c>
      <c r="I7808" s="24">
        <v>7.0</v>
      </c>
      <c r="J7808" s="24">
        <v>0.0</v>
      </c>
      <c r="K7808" s="23" t="s">
        <v>34</v>
      </c>
      <c r="L7808" s="25">
        <v>39470.221817129626</v>
      </c>
      <c r="M7808" s="26" t="s">
        <v>17327</v>
      </c>
      <c r="N7808" s="26" t="s">
        <v>17328</v>
      </c>
      <c r="O7808" s="22" t="str">
        <f>HYPERLINK("https://pbs.twimg.com/profile_images/839912583729643520/F8Qn86LV_normal.jpg","View")</f>
        <v>View</v>
      </c>
      <c r="P7808" s="27"/>
    </row>
    <row r="7809">
      <c r="A7809" s="14">
        <v>43031.66539351852</v>
      </c>
      <c r="B7809" s="20" t="str">
        <f>HYPERLINK("https://twitter.com/RobertBigz","@RobertBigz")</f>
        <v>@RobertBigz</v>
      </c>
      <c r="C7809" s="21" t="s">
        <v>17329</v>
      </c>
      <c r="D7809" s="21" t="s">
        <v>16537</v>
      </c>
      <c r="E7809" s="22" t="str">
        <f>HYPERLINK("https://twitter.com/RobertBigz/status/922598050748600320","922598050748600320")</f>
        <v>922598050748600320</v>
      </c>
      <c r="F7809" s="23" t="s">
        <v>230</v>
      </c>
      <c r="G7809" s="24">
        <v>45.0</v>
      </c>
      <c r="H7809" s="24">
        <v>177.0</v>
      </c>
      <c r="I7809" s="24">
        <v>242.0</v>
      </c>
      <c r="J7809" s="24">
        <v>0.0</v>
      </c>
      <c r="K7809" s="23" t="s">
        <v>34</v>
      </c>
      <c r="L7809" s="25">
        <v>43025.29920138889</v>
      </c>
      <c r="M7809" s="26" t="s">
        <v>17330</v>
      </c>
      <c r="N7809" s="26" t="s">
        <v>17331</v>
      </c>
      <c r="O7809" s="22" t="str">
        <f>HYPERLINK("https://pbs.twimg.com/profile_images/920456785370030080/X1aEtl5A_normal.jpg","View")</f>
        <v>View</v>
      </c>
      <c r="P7809" s="27"/>
    </row>
    <row r="7810">
      <c r="A7810" s="14">
        <v>43031.66668981481</v>
      </c>
      <c r="B7810" s="20" t="str">
        <f>HYPERLINK("https://twitter.com/usa_news_today","@usa_news_today")</f>
        <v>@usa_news_today</v>
      </c>
      <c r="C7810" s="21" t="s">
        <v>17332</v>
      </c>
      <c r="D7810" s="21" t="s">
        <v>16998</v>
      </c>
      <c r="E7810" s="22" t="str">
        <f>HYPERLINK("https://twitter.com/usa_news_today/status/922598519663415296","922598519663415296")</f>
        <v>922598519663415296</v>
      </c>
      <c r="F7810" s="23" t="s">
        <v>17333</v>
      </c>
      <c r="G7810" s="24">
        <v>122.0</v>
      </c>
      <c r="H7810" s="24">
        <v>6.0</v>
      </c>
      <c r="I7810" s="24">
        <v>0.0</v>
      </c>
      <c r="J7810" s="24">
        <v>0.0</v>
      </c>
      <c r="K7810" s="23" t="s">
        <v>34</v>
      </c>
      <c r="L7810" s="25">
        <v>42420.16255787037</v>
      </c>
      <c r="M7810" s="28"/>
      <c r="N7810" s="28"/>
      <c r="O7810" s="22" t="str">
        <f>HYPERLINK("https://pbs.twimg.com/profile_images/701013084450775040/At0jgKPY_normal.jpg","View")</f>
        <v>View</v>
      </c>
      <c r="P7810" s="27"/>
    </row>
    <row r="7811">
      <c r="A7811" s="14">
        <v>43031.66678240741</v>
      </c>
      <c r="B7811" s="20" t="str">
        <f>HYPERLINK("https://twitter.com/keijiyoshii","@keijiyoshii")</f>
        <v>@keijiyoshii</v>
      </c>
      <c r="C7811" s="21" t="s">
        <v>17334</v>
      </c>
      <c r="D7811" s="21" t="s">
        <v>1642</v>
      </c>
      <c r="E7811" s="22" t="str">
        <f>HYPERLINK("https://twitter.com/keijiyoshii/status/922598552181776385","922598552181776385")</f>
        <v>922598552181776385</v>
      </c>
      <c r="F7811" s="23" t="s">
        <v>33</v>
      </c>
      <c r="G7811" s="24">
        <v>1111.0</v>
      </c>
      <c r="H7811" s="24">
        <v>1417.0</v>
      </c>
      <c r="I7811" s="24">
        <v>199.0</v>
      </c>
      <c r="J7811" s="24">
        <v>0.0</v>
      </c>
      <c r="K7811" s="23" t="s">
        <v>34</v>
      </c>
      <c r="L7811" s="25">
        <v>39960.883784722224</v>
      </c>
      <c r="M7811" s="26" t="s">
        <v>17335</v>
      </c>
      <c r="N7811" s="26" t="s">
        <v>17336</v>
      </c>
      <c r="O7811" s="22" t="str">
        <f>HYPERLINK("https://pbs.twimg.com/profile_images/1575847838/P1010805_normal.jpg","View")</f>
        <v>View</v>
      </c>
      <c r="P7811" s="27"/>
    </row>
    <row r="7812">
      <c r="A7812" s="14">
        <v>43031.66679398148</v>
      </c>
      <c r="B7812" s="20" t="str">
        <f>HYPERLINK("https://twitter.com/General_News_","@General_News_")</f>
        <v>@General_News_</v>
      </c>
      <c r="C7812" s="21" t="s">
        <v>13787</v>
      </c>
      <c r="D7812" s="21" t="s">
        <v>17337</v>
      </c>
      <c r="E7812" s="22" t="str">
        <f>HYPERLINK("https://twitter.com/General_News_/status/922598555126202368","922598555126202368")</f>
        <v>922598555126202368</v>
      </c>
      <c r="F7812" s="23" t="s">
        <v>1020</v>
      </c>
      <c r="G7812" s="24">
        <v>1982.0</v>
      </c>
      <c r="H7812" s="24">
        <v>1964.0</v>
      </c>
      <c r="I7812" s="24">
        <v>0.0</v>
      </c>
      <c r="J7812" s="24">
        <v>0.0</v>
      </c>
      <c r="K7812" s="23" t="s">
        <v>34</v>
      </c>
      <c r="L7812" s="25">
        <v>40621.34769675926</v>
      </c>
      <c r="M7812" s="26" t="s">
        <v>68</v>
      </c>
      <c r="N7812" s="26" t="s">
        <v>13789</v>
      </c>
      <c r="O7812" s="22" t="str">
        <f>HYPERLINK("https://pbs.twimg.com/profile_images/1279304346/Afbeelding_35_normal.png","View")</f>
        <v>View</v>
      </c>
      <c r="P7812" s="27"/>
    </row>
    <row r="7813">
      <c r="A7813" s="14">
        <v>43031.66730324074</v>
      </c>
      <c r="B7813" s="20" t="str">
        <f>HYPERLINK("https://twitter.com/9b3OR2qdITMbDcd","@9b3OR2qdITMbDcd")</f>
        <v>@9b3OR2qdITMbDcd</v>
      </c>
      <c r="C7813" s="21" t="s">
        <v>11480</v>
      </c>
      <c r="D7813" s="21" t="s">
        <v>17338</v>
      </c>
      <c r="E7813" s="22" t="str">
        <f>HYPERLINK("https://twitter.com/9b3OR2qdITMbDcd/status/922598742724788224","922598742724788224")</f>
        <v>922598742724788224</v>
      </c>
      <c r="F7813" s="23" t="s">
        <v>230</v>
      </c>
      <c r="G7813" s="24">
        <v>1256382.0</v>
      </c>
      <c r="H7813" s="24">
        <v>2236.0</v>
      </c>
      <c r="I7813" s="24">
        <v>1.0</v>
      </c>
      <c r="J7813" s="24">
        <v>0.0</v>
      </c>
      <c r="K7813" s="23" t="s">
        <v>34</v>
      </c>
      <c r="L7813" s="25">
        <v>42581.3831712963</v>
      </c>
      <c r="M7813" s="26" t="s">
        <v>11481</v>
      </c>
      <c r="N7813" s="26" t="s">
        <v>11482</v>
      </c>
      <c r="O7813" s="22" t="str">
        <f>HYPERLINK("https://pbs.twimg.com/profile_images/759426044512178176/e8MouqvM_normal.jpg","View")</f>
        <v>View</v>
      </c>
      <c r="P7813" s="27"/>
    </row>
    <row r="7814">
      <c r="A7814" s="14">
        <v>43031.66746527777</v>
      </c>
      <c r="B7814" s="20" t="str">
        <f>HYPERLINK("https://twitter.com/General_News_","@General_News_")</f>
        <v>@General_News_</v>
      </c>
      <c r="C7814" s="21" t="s">
        <v>13787</v>
      </c>
      <c r="D7814" s="21" t="s">
        <v>17339</v>
      </c>
      <c r="E7814" s="22" t="str">
        <f>HYPERLINK("https://twitter.com/General_News_/status/922598797406015489","922598797406015489")</f>
        <v>922598797406015489</v>
      </c>
      <c r="F7814" s="23" t="s">
        <v>1020</v>
      </c>
      <c r="G7814" s="24">
        <v>1982.0</v>
      </c>
      <c r="H7814" s="24">
        <v>1964.0</v>
      </c>
      <c r="I7814" s="24">
        <v>0.0</v>
      </c>
      <c r="J7814" s="24">
        <v>0.0</v>
      </c>
      <c r="K7814" s="23" t="s">
        <v>34</v>
      </c>
      <c r="L7814" s="25">
        <v>40621.34769675926</v>
      </c>
      <c r="M7814" s="26" t="s">
        <v>68</v>
      </c>
      <c r="N7814" s="26" t="s">
        <v>13789</v>
      </c>
      <c r="O7814" s="22" t="str">
        <f>HYPERLINK("https://pbs.twimg.com/profile_images/1279304346/Afbeelding_35_normal.png","View")</f>
        <v>View</v>
      </c>
      <c r="P7814" s="27"/>
    </row>
    <row r="7815">
      <c r="A7815" s="14">
        <v>43031.66748842593</v>
      </c>
      <c r="B7815" s="20" t="str">
        <f>HYPERLINK("https://twitter.com/theguerillanews","@theguerillanews")</f>
        <v>@theguerillanews</v>
      </c>
      <c r="C7815" s="21" t="s">
        <v>17340</v>
      </c>
      <c r="D7815" s="21" t="s">
        <v>17341</v>
      </c>
      <c r="E7815" s="22" t="str">
        <f>HYPERLINK("https://twitter.com/theguerillanews/status/922598809309405184","922598809309405184")</f>
        <v>922598809309405184</v>
      </c>
      <c r="F7815" s="23" t="s">
        <v>33</v>
      </c>
      <c r="G7815" s="24">
        <v>1356.0</v>
      </c>
      <c r="H7815" s="24">
        <v>4961.0</v>
      </c>
      <c r="I7815" s="24">
        <v>2.0</v>
      </c>
      <c r="J7815" s="24">
        <v>0.0</v>
      </c>
      <c r="K7815" s="23" t="s">
        <v>34</v>
      </c>
      <c r="L7815" s="25">
        <v>42825.80175925926</v>
      </c>
      <c r="M7815" s="26" t="s">
        <v>17342</v>
      </c>
      <c r="N7815" s="26" t="s">
        <v>17343</v>
      </c>
      <c r="O7815" s="22" t="str">
        <f>HYPERLINK("https://pbs.twimg.com/profile_images/850912232896577537/-B6E7LCd_normal.jpg","View")</f>
        <v>View</v>
      </c>
      <c r="P7815" s="27"/>
    </row>
    <row r="7816">
      <c r="A7816" s="14">
        <v>43031.66773148148</v>
      </c>
      <c r="B7816" s="20" t="str">
        <f>HYPERLINK("https://twitter.com/bledwine","@bledwine")</f>
        <v>@bledwine</v>
      </c>
      <c r="C7816" s="21" t="s">
        <v>17344</v>
      </c>
      <c r="D7816" s="21" t="s">
        <v>17300</v>
      </c>
      <c r="E7816" s="22" t="str">
        <f>HYPERLINK("https://twitter.com/bledwine/status/922598895032721408","922598895032721408")</f>
        <v>922598895032721408</v>
      </c>
      <c r="F7816" s="23" t="s">
        <v>39</v>
      </c>
      <c r="G7816" s="24">
        <v>1832.0</v>
      </c>
      <c r="H7816" s="24">
        <v>3202.0</v>
      </c>
      <c r="I7816" s="24">
        <v>7.0</v>
      </c>
      <c r="J7816" s="24">
        <v>0.0</v>
      </c>
      <c r="K7816" s="23" t="s">
        <v>34</v>
      </c>
      <c r="L7816" s="25">
        <v>40884.627916666665</v>
      </c>
      <c r="M7816" s="26" t="s">
        <v>17345</v>
      </c>
      <c r="N7816" s="26" t="s">
        <v>17346</v>
      </c>
      <c r="O7816" s="22" t="str">
        <f>HYPERLINK("https://pbs.twimg.com/profile_images/885470165420396544/omfQ_gQj_normal.jpg","View")</f>
        <v>View</v>
      </c>
      <c r="P7816" s="27"/>
    </row>
    <row r="7817">
      <c r="A7817" s="14">
        <v>43031.668067129634</v>
      </c>
      <c r="B7817" s="20" t="str">
        <f>HYPERLINK("https://twitter.com/DallasGunSales","@DallasGunSales")</f>
        <v>@DallasGunSales</v>
      </c>
      <c r="C7817" s="21" t="s">
        <v>17347</v>
      </c>
      <c r="D7817" s="21" t="s">
        <v>17348</v>
      </c>
      <c r="E7817" s="22" t="str">
        <f>HYPERLINK("https://twitter.com/DallasGunSales/status/922599019096039424","922599019096039424")</f>
        <v>922599019096039424</v>
      </c>
      <c r="F7817" s="23" t="s">
        <v>187</v>
      </c>
      <c r="G7817" s="24">
        <v>651.0</v>
      </c>
      <c r="H7817" s="24">
        <v>988.0</v>
      </c>
      <c r="I7817" s="24">
        <v>0.0</v>
      </c>
      <c r="J7817" s="24">
        <v>0.0</v>
      </c>
      <c r="K7817" s="23" t="s">
        <v>34</v>
      </c>
      <c r="L7817" s="25">
        <v>41389.24125</v>
      </c>
      <c r="M7817" s="26" t="s">
        <v>17349</v>
      </c>
      <c r="N7817" s="26" t="s">
        <v>17350</v>
      </c>
      <c r="O7817" s="22" t="str">
        <f>HYPERLINK("https://pbs.twimg.com/profile_images/3591862231/451fb218d9bbc3d948533074bdb4e6fc_normal.png","View")</f>
        <v>View</v>
      </c>
      <c r="P7817" s="27"/>
    </row>
    <row r="7818">
      <c r="A7818" s="14">
        <v>43031.66828703704</v>
      </c>
      <c r="B7818" s="20" t="str">
        <f>HYPERLINK("https://twitter.com/xandromarcos7","@xandromarcos7")</f>
        <v>@xandromarcos7</v>
      </c>
      <c r="C7818" s="21" t="s">
        <v>17351</v>
      </c>
      <c r="D7818" s="21" t="s">
        <v>17352</v>
      </c>
      <c r="E7818" s="22" t="str">
        <f>HYPERLINK("https://twitter.com/xandromarcos7/status/922599098514935808","922599098514935808")</f>
        <v>922599098514935808</v>
      </c>
      <c r="F7818" s="23" t="s">
        <v>33</v>
      </c>
      <c r="G7818" s="24">
        <v>46.0</v>
      </c>
      <c r="H7818" s="24">
        <v>49.0</v>
      </c>
      <c r="I7818" s="24">
        <v>0.0</v>
      </c>
      <c r="J7818" s="24">
        <v>2.0</v>
      </c>
      <c r="K7818" s="23" t="s">
        <v>34</v>
      </c>
      <c r="L7818" s="25">
        <v>42750.9058912037</v>
      </c>
      <c r="M7818" s="26" t="s">
        <v>17353</v>
      </c>
      <c r="N7818" s="26" t="s">
        <v>17354</v>
      </c>
      <c r="O7818" s="22" t="str">
        <f>HYPERLINK("https://pbs.twimg.com/profile_images/865497353087631361/M5smQvnZ_normal.jpg","View")</f>
        <v>View</v>
      </c>
      <c r="P7818" s="27"/>
    </row>
    <row r="7819">
      <c r="A7819" s="14">
        <v>43031.66835648148</v>
      </c>
      <c r="B7819" s="20" t="str">
        <f>HYPERLINK("https://twitter.com/Robs_News","@Robs_News")</f>
        <v>@Robs_News</v>
      </c>
      <c r="C7819" s="21" t="s">
        <v>17355</v>
      </c>
      <c r="D7819" s="21" t="s">
        <v>16208</v>
      </c>
      <c r="E7819" s="22" t="str">
        <f>HYPERLINK("https://twitter.com/Robs_News/status/922599123324489733","922599123324489733")</f>
        <v>922599123324489733</v>
      </c>
      <c r="F7819" s="23" t="s">
        <v>39</v>
      </c>
      <c r="G7819" s="24">
        <v>21.0</v>
      </c>
      <c r="H7819" s="24">
        <v>30.0</v>
      </c>
      <c r="I7819" s="24">
        <v>41.0</v>
      </c>
      <c r="J7819" s="24">
        <v>0.0</v>
      </c>
      <c r="K7819" s="23" t="s">
        <v>34</v>
      </c>
      <c r="L7819" s="25">
        <v>43000.271469907406</v>
      </c>
      <c r="M7819" s="28"/>
      <c r="N7819" s="26" t="s">
        <v>17356</v>
      </c>
      <c r="O7819" s="22" t="str">
        <f>HYPERLINK("https://pbs.twimg.com/profile_images/911223639386796032/xo79RmLw_normal.jpg","View")</f>
        <v>View</v>
      </c>
      <c r="P7819" s="27"/>
    </row>
    <row r="7820">
      <c r="A7820" s="14">
        <v>43031.66853009259</v>
      </c>
      <c r="B7820" s="20" t="str">
        <f>HYPERLINK("https://twitter.com/eisho353","@eisho353")</f>
        <v>@eisho353</v>
      </c>
      <c r="C7820" s="21" t="s">
        <v>17357</v>
      </c>
      <c r="D7820" s="21" t="s">
        <v>82</v>
      </c>
      <c r="E7820" s="22" t="str">
        <f>HYPERLINK("https://twitter.com/eisho353/status/922599187316817921","922599187316817921")</f>
        <v>922599187316817921</v>
      </c>
      <c r="F7820" s="23" t="s">
        <v>230</v>
      </c>
      <c r="G7820" s="24">
        <v>829.0</v>
      </c>
      <c r="H7820" s="24">
        <v>4997.0</v>
      </c>
      <c r="I7820" s="24">
        <v>38.0</v>
      </c>
      <c r="J7820" s="24">
        <v>0.0</v>
      </c>
      <c r="K7820" s="23" t="s">
        <v>34</v>
      </c>
      <c r="L7820" s="25">
        <v>41998.12333333334</v>
      </c>
      <c r="M7820" s="28"/>
      <c r="N7820" s="26" t="s">
        <v>17358</v>
      </c>
      <c r="O7820" s="22" t="str">
        <f>HYPERLINK("https://pbs.twimg.com/profile_images/896586374509281280/AhgwfTXz_normal.jpg","View")</f>
        <v>View</v>
      </c>
      <c r="P7820" s="27"/>
    </row>
    <row r="7821">
      <c r="A7821" s="14">
        <v>43031.668587962966</v>
      </c>
      <c r="B7821" s="20" t="str">
        <f>HYPERLINK("https://twitter.com/motokorich","@motokorich")</f>
        <v>@motokorich</v>
      </c>
      <c r="C7821" s="21" t="s">
        <v>17288</v>
      </c>
      <c r="D7821" s="21" t="s">
        <v>17359</v>
      </c>
      <c r="E7821" s="22" t="str">
        <f>HYPERLINK("https://twitter.com/motokorich/status/922599205218193414","922599205218193414")</f>
        <v>922599205218193414</v>
      </c>
      <c r="F7821" s="23" t="s">
        <v>55</v>
      </c>
      <c r="G7821" s="24">
        <v>25710.0</v>
      </c>
      <c r="H7821" s="24">
        <v>2568.0</v>
      </c>
      <c r="I7821" s="24">
        <v>17.0</v>
      </c>
      <c r="J7821" s="24">
        <v>12.0</v>
      </c>
      <c r="K7821" s="23" t="s">
        <v>34</v>
      </c>
      <c r="L7821" s="25">
        <v>39993.357037037036</v>
      </c>
      <c r="M7821" s="26" t="s">
        <v>271</v>
      </c>
      <c r="N7821" s="26" t="s">
        <v>17290</v>
      </c>
      <c r="O7821" s="22" t="str">
        <f>HYPERLINK("https://pbs.twimg.com/profile_images/781455693597413380/eASkJAc5_normal.jpg","View")</f>
        <v>View</v>
      </c>
      <c r="P7821" s="27"/>
    </row>
    <row r="7822">
      <c r="A7822" s="14">
        <v>43031.668692129635</v>
      </c>
      <c r="B7822" s="20" t="str">
        <f>HYPERLINK("https://twitter.com/SangramDhar","@SangramDhar")</f>
        <v>@SangramDhar</v>
      </c>
      <c r="C7822" s="21" t="s">
        <v>17360</v>
      </c>
      <c r="D7822" s="21" t="s">
        <v>42</v>
      </c>
      <c r="E7822" s="22" t="str">
        <f>HYPERLINK("https://twitter.com/SangramDhar/status/922599243310710784","922599243310710784")</f>
        <v>922599243310710784</v>
      </c>
      <c r="F7822" s="23" t="s">
        <v>39</v>
      </c>
      <c r="G7822" s="24">
        <v>148.0</v>
      </c>
      <c r="H7822" s="24">
        <v>397.0</v>
      </c>
      <c r="I7822" s="24">
        <v>8501.0</v>
      </c>
      <c r="J7822" s="24">
        <v>0.0</v>
      </c>
      <c r="K7822" s="23" t="s">
        <v>34</v>
      </c>
      <c r="L7822" s="25">
        <v>40445.24895833334</v>
      </c>
      <c r="M7822" s="26" t="s">
        <v>164</v>
      </c>
      <c r="N7822" s="26" t="s">
        <v>17361</v>
      </c>
      <c r="O7822" s="22" t="str">
        <f>HYPERLINK("https://pbs.twimg.com/profile_images/780454576495353857/xYUTNxSn_normal.jpg","View")</f>
        <v>View</v>
      </c>
      <c r="P7822" s="27"/>
    </row>
    <row r="7823">
      <c r="A7823" s="14">
        <v>43031.66915509259</v>
      </c>
      <c r="B7823" s="20" t="str">
        <f>HYPERLINK("https://twitter.com/prchovanec","@prchovanec")</f>
        <v>@prchovanec</v>
      </c>
      <c r="C7823" s="21" t="s">
        <v>17362</v>
      </c>
      <c r="D7823" s="21" t="s">
        <v>17363</v>
      </c>
      <c r="E7823" s="22" t="str">
        <f>HYPERLINK("https://twitter.com/prchovanec/status/922599412932730880","922599412932730880")</f>
        <v>922599412932730880</v>
      </c>
      <c r="F7823" s="23" t="s">
        <v>39</v>
      </c>
      <c r="G7823" s="24">
        <v>35069.0</v>
      </c>
      <c r="H7823" s="24">
        <v>1714.0</v>
      </c>
      <c r="I7823" s="24">
        <v>17.0</v>
      </c>
      <c r="J7823" s="24">
        <v>0.0</v>
      </c>
      <c r="K7823" s="23" t="s">
        <v>34</v>
      </c>
      <c r="L7823" s="25">
        <v>40036.03524305556</v>
      </c>
      <c r="M7823" s="26" t="s">
        <v>2534</v>
      </c>
      <c r="N7823" s="26" t="s">
        <v>17364</v>
      </c>
      <c r="O7823" s="22" t="str">
        <f>HYPERLINK("https://pbs.twimg.com/profile_images/598225878607355905/EV8q481z_normal.jpg","View")</f>
        <v>View</v>
      </c>
      <c r="P7823" s="27"/>
    </row>
    <row r="7824">
      <c r="A7824" s="14">
        <v>43031.669340277775</v>
      </c>
      <c r="B7824" s="20" t="str">
        <f>HYPERLINK("https://twitter.com/JapanAirNews","@JapanAirNews")</f>
        <v>@JapanAirNews</v>
      </c>
      <c r="C7824" s="21" t="s">
        <v>17365</v>
      </c>
      <c r="D7824" s="21" t="s">
        <v>17366</v>
      </c>
      <c r="E7824" s="22" t="str">
        <f>HYPERLINK("https://twitter.com/JapanAirNews/status/922599477503856640","922599477503856640")</f>
        <v>922599477503856640</v>
      </c>
      <c r="F7824" s="23" t="s">
        <v>17367</v>
      </c>
      <c r="G7824" s="24">
        <v>1003.0</v>
      </c>
      <c r="H7824" s="24">
        <v>14.0</v>
      </c>
      <c r="I7824" s="24">
        <v>0.0</v>
      </c>
      <c r="J7824" s="24">
        <v>1.0</v>
      </c>
      <c r="K7824" s="23" t="s">
        <v>34</v>
      </c>
      <c r="L7824" s="25">
        <v>40711.13520833333</v>
      </c>
      <c r="M7824" s="26" t="s">
        <v>271</v>
      </c>
      <c r="N7824" s="26" t="s">
        <v>17368</v>
      </c>
      <c r="O7824" s="22" t="str">
        <f>HYPERLINK("https://pbs.twimg.com/profile_images/539806620406935552/c-bBVYrr_normal.jpeg","View")</f>
        <v>View</v>
      </c>
      <c r="P7824" s="27"/>
    </row>
    <row r="7825">
      <c r="A7825" s="14">
        <v>43031.66949074074</v>
      </c>
      <c r="B7825" s="20" t="str">
        <f>HYPERLINK("https://twitter.com/nktpnd","@nktpnd")</f>
        <v>@nktpnd</v>
      </c>
      <c r="C7825" s="21" t="s">
        <v>17369</v>
      </c>
      <c r="D7825" s="21" t="s">
        <v>17363</v>
      </c>
      <c r="E7825" s="22" t="str">
        <f>HYPERLINK("https://twitter.com/nktpnd/status/922599533267378176","922599533267378176")</f>
        <v>922599533267378176</v>
      </c>
      <c r="F7825" s="23" t="s">
        <v>55</v>
      </c>
      <c r="G7825" s="24">
        <v>32333.0</v>
      </c>
      <c r="H7825" s="24">
        <v>978.0</v>
      </c>
      <c r="I7825" s="24">
        <v>17.0</v>
      </c>
      <c r="J7825" s="24">
        <v>0.0</v>
      </c>
      <c r="K7825" s="23" t="s">
        <v>34</v>
      </c>
      <c r="L7825" s="25">
        <v>40337.49283564815</v>
      </c>
      <c r="M7825" s="35" t="s">
        <v>17370</v>
      </c>
      <c r="N7825" s="26" t="s">
        <v>17371</v>
      </c>
      <c r="O7825" s="22" t="str">
        <f>HYPERLINK("https://pbs.twimg.com/profile_images/864669174248886272/cQEJCqGT_normal.jpg","View")</f>
        <v>View</v>
      </c>
      <c r="P7825" s="27"/>
    </row>
    <row r="7826">
      <c r="A7826" s="14">
        <v>43031.66983796297</v>
      </c>
      <c r="B7826" s="20" t="str">
        <f>HYPERLINK("https://twitter.com/mirixxt","@mirixxt")</f>
        <v>@mirixxt</v>
      </c>
      <c r="C7826" s="21" t="s">
        <v>17372</v>
      </c>
      <c r="D7826" s="21" t="s">
        <v>12974</v>
      </c>
      <c r="E7826" s="22" t="str">
        <f>HYPERLINK("https://twitter.com/mirixxt/status/922599661323481088","922599661323481088")</f>
        <v>922599661323481088</v>
      </c>
      <c r="F7826" s="23" t="s">
        <v>39</v>
      </c>
      <c r="G7826" s="24">
        <v>10352.0</v>
      </c>
      <c r="H7826" s="24">
        <v>3507.0</v>
      </c>
      <c r="I7826" s="24">
        <v>110.0</v>
      </c>
      <c r="J7826" s="24">
        <v>0.0</v>
      </c>
      <c r="K7826" s="23" t="s">
        <v>34</v>
      </c>
      <c r="L7826" s="25">
        <v>42008.38223379629</v>
      </c>
      <c r="M7826" s="26" t="s">
        <v>17373</v>
      </c>
      <c r="N7826" s="26" t="s">
        <v>17374</v>
      </c>
      <c r="O7826" s="22" t="str">
        <f>HYPERLINK("https://pbs.twimg.com/profile_images/912639386910547968/gj-oljHB_normal.jpg","View")</f>
        <v>View</v>
      </c>
      <c r="P7826" s="27"/>
    </row>
    <row r="7827">
      <c r="A7827" s="14">
        <v>43031.669965277775</v>
      </c>
      <c r="B7827" s="20" t="str">
        <f>HYPERLINK("https://twitter.com/Rusted_Van","@Rusted_Van")</f>
        <v>@Rusted_Van</v>
      </c>
      <c r="C7827" s="21" t="s">
        <v>17375</v>
      </c>
      <c r="D7827" s="21" t="s">
        <v>17376</v>
      </c>
      <c r="E7827" s="22" t="str">
        <f>HYPERLINK("https://twitter.com/Rusted_Van/status/922599706001211392","922599706001211392")</f>
        <v>922599706001211392</v>
      </c>
      <c r="F7827" s="23" t="s">
        <v>33</v>
      </c>
      <c r="G7827" s="24">
        <v>1582.0</v>
      </c>
      <c r="H7827" s="24">
        <v>912.0</v>
      </c>
      <c r="I7827" s="24">
        <v>0.0</v>
      </c>
      <c r="J7827" s="24">
        <v>0.0</v>
      </c>
      <c r="K7827" s="23" t="s">
        <v>34</v>
      </c>
      <c r="L7827" s="25">
        <v>41280.38484953703</v>
      </c>
      <c r="M7827" s="26" t="s">
        <v>17377</v>
      </c>
      <c r="N7827" s="26" t="s">
        <v>17378</v>
      </c>
      <c r="O7827" s="22" t="str">
        <f>HYPERLINK("https://pbs.twimg.com/profile_images/705988596684054529/p9vN2Aq7_normal.jpg","View")</f>
        <v>View</v>
      </c>
      <c r="P7827" s="27"/>
    </row>
    <row r="7828">
      <c r="A7828" s="14">
        <v>43031.670069444444</v>
      </c>
      <c r="B7828" s="20" t="str">
        <f>HYPERLINK("https://twitter.com/pearls_japan","@pearls_japan")</f>
        <v>@pearls_japan</v>
      </c>
      <c r="C7828" s="21" t="s">
        <v>17379</v>
      </c>
      <c r="D7828" s="21" t="s">
        <v>17380</v>
      </c>
      <c r="E7828" s="22" t="str">
        <f>HYPERLINK("https://twitter.com/pearls_japan/status/922599742189817858","922599742189817858")</f>
        <v>922599742189817858</v>
      </c>
      <c r="F7828" s="23" t="s">
        <v>427</v>
      </c>
      <c r="G7828" s="24">
        <v>2127.0</v>
      </c>
      <c r="H7828" s="24">
        <v>2475.0</v>
      </c>
      <c r="I7828" s="24">
        <v>0.0</v>
      </c>
      <c r="J7828" s="24">
        <v>0.0</v>
      </c>
      <c r="K7828" s="23" t="s">
        <v>34</v>
      </c>
      <c r="L7828" s="25">
        <v>40198.003796296296</v>
      </c>
      <c r="M7828" s="26" t="s">
        <v>17381</v>
      </c>
      <c r="N7828" s="26" t="s">
        <v>17382</v>
      </c>
      <c r="O7828" s="22" t="str">
        <f>HYPERLINK("https://pbs.twimg.com/profile_images/787654170/yasu_normal.jpg","View")</f>
        <v>View</v>
      </c>
      <c r="P7828" s="27"/>
    </row>
    <row r="7829">
      <c r="A7829" s="14">
        <v>43031.670081018514</v>
      </c>
      <c r="B7829" s="20" t="str">
        <f>HYPERLINK("https://twitter.com/KelleyJ84462058","@KelleyJ84462058")</f>
        <v>@KelleyJ84462058</v>
      </c>
      <c r="C7829" s="21" t="s">
        <v>17383</v>
      </c>
      <c r="D7829" s="21" t="s">
        <v>17363</v>
      </c>
      <c r="E7829" s="22" t="str">
        <f>HYPERLINK("https://twitter.com/KelleyJ84462058/status/922599745419390983","922599745419390983")</f>
        <v>922599745419390983</v>
      </c>
      <c r="F7829" s="23" t="s">
        <v>39</v>
      </c>
      <c r="G7829" s="24">
        <v>258.0</v>
      </c>
      <c r="H7829" s="24">
        <v>170.0</v>
      </c>
      <c r="I7829" s="24">
        <v>17.0</v>
      </c>
      <c r="J7829" s="24">
        <v>0.0</v>
      </c>
      <c r="K7829" s="23" t="s">
        <v>34</v>
      </c>
      <c r="L7829" s="25">
        <v>42684.80842592593</v>
      </c>
      <c r="M7829" s="28"/>
      <c r="N7829" s="26" t="s">
        <v>17384</v>
      </c>
      <c r="O7829" s="22" t="str">
        <f>HYPERLINK("https://pbs.twimg.com/profile_images/844747925083361280/n_thhZL8_normal.jpg","View")</f>
        <v>View</v>
      </c>
      <c r="P7829" s="27"/>
    </row>
    <row r="7830">
      <c r="A7830" s="14">
        <v>43031.670219907406</v>
      </c>
      <c r="B7830" s="20" t="str">
        <f>HYPERLINK("https://twitter.com/pususuti","@pususuti")</f>
        <v>@pususuti</v>
      </c>
      <c r="C7830" s="21" t="s">
        <v>17385</v>
      </c>
      <c r="D7830" s="21" t="s">
        <v>17386</v>
      </c>
      <c r="E7830" s="22" t="str">
        <f>HYPERLINK("https://twitter.com/pususuti/status/922599796128415744","922599796128415744")</f>
        <v>922599796128415744</v>
      </c>
      <c r="F7830" s="23" t="s">
        <v>55</v>
      </c>
      <c r="G7830" s="24">
        <v>42.0</v>
      </c>
      <c r="H7830" s="24">
        <v>30.0</v>
      </c>
      <c r="I7830" s="24">
        <v>0.0</v>
      </c>
      <c r="J7830" s="24">
        <v>0.0</v>
      </c>
      <c r="K7830" s="23" t="s">
        <v>34</v>
      </c>
      <c r="L7830" s="25">
        <v>41620.89497685185</v>
      </c>
      <c r="M7830" s="26" t="s">
        <v>1224</v>
      </c>
      <c r="N7830" s="26" t="s">
        <v>17387</v>
      </c>
      <c r="O7830" s="22" t="str">
        <f>HYPERLINK("https://pbs.twimg.com/profile_images/582805322881835010/YKYQBKiR_normal.png","View")</f>
        <v>View</v>
      </c>
      <c r="P7830" s="27"/>
    </row>
    <row r="7831">
      <c r="A7831" s="14">
        <v>43031.67047453704</v>
      </c>
      <c r="B7831" s="20" t="str">
        <f>HYPERLINK("https://twitter.com/BuckTurgidson79","@BuckTurgidson79")</f>
        <v>@BuckTurgidson79</v>
      </c>
      <c r="C7831" s="21" t="s">
        <v>12452</v>
      </c>
      <c r="D7831" s="21" t="s">
        <v>17363</v>
      </c>
      <c r="E7831" s="22" t="str">
        <f>HYPERLINK("https://twitter.com/BuckTurgidson79/status/922599888222814210","922599888222814210")</f>
        <v>922599888222814210</v>
      </c>
      <c r="F7831" s="23" t="s">
        <v>769</v>
      </c>
      <c r="G7831" s="24">
        <v>5645.0</v>
      </c>
      <c r="H7831" s="24">
        <v>35.0</v>
      </c>
      <c r="I7831" s="24">
        <v>17.0</v>
      </c>
      <c r="J7831" s="24">
        <v>0.0</v>
      </c>
      <c r="K7831" s="23" t="s">
        <v>34</v>
      </c>
      <c r="L7831" s="25">
        <v>41276.446226851855</v>
      </c>
      <c r="M7831" s="28"/>
      <c r="N7831" s="26" t="s">
        <v>12454</v>
      </c>
      <c r="O7831" s="22" t="str">
        <f>HYPERLINK("https://pbs.twimg.com/profile_images/3056066372/8bd5e4d6ea9600b1d85ca0054e59d9d2_normal.jpeg","View")</f>
        <v>View</v>
      </c>
      <c r="P7831" s="27"/>
    </row>
    <row r="7832">
      <c r="A7832" s="14">
        <v>43031.670636574076</v>
      </c>
      <c r="B7832" s="20" t="str">
        <f>HYPERLINK("https://twitter.com/wiskij","@wiskij")</f>
        <v>@wiskij</v>
      </c>
      <c r="C7832" s="21" t="s">
        <v>17388</v>
      </c>
      <c r="D7832" s="21" t="s">
        <v>1642</v>
      </c>
      <c r="E7832" s="22" t="str">
        <f>HYPERLINK("https://twitter.com/wiskij/status/922599949820338176","922599949820338176")</f>
        <v>922599949820338176</v>
      </c>
      <c r="F7832" s="23" t="s">
        <v>33</v>
      </c>
      <c r="G7832" s="24">
        <v>1720.0</v>
      </c>
      <c r="H7832" s="24">
        <v>791.0</v>
      </c>
      <c r="I7832" s="24">
        <v>199.0</v>
      </c>
      <c r="J7832" s="24">
        <v>0.0</v>
      </c>
      <c r="K7832" s="23" t="s">
        <v>34</v>
      </c>
      <c r="L7832" s="25">
        <v>40192.0174537037</v>
      </c>
      <c r="M7832" s="26" t="s">
        <v>17389</v>
      </c>
      <c r="N7832" s="26" t="s">
        <v>17390</v>
      </c>
      <c r="O7832" s="22" t="str">
        <f>HYPERLINK("https://pbs.twimg.com/profile_images/528110522567118848/0JphDSsc_normal.jpeg","View")</f>
        <v>View</v>
      </c>
      <c r="P7832" s="27"/>
    </row>
    <row r="7833">
      <c r="A7833" s="14">
        <v>43031.67101851852</v>
      </c>
      <c r="B7833" s="20" t="str">
        <f>HYPERLINK("https://twitter.com/uk_worldnews","@uk_worldnews")</f>
        <v>@uk_worldnews</v>
      </c>
      <c r="C7833" s="21" t="s">
        <v>2621</v>
      </c>
      <c r="D7833" s="21" t="s">
        <v>17391</v>
      </c>
      <c r="E7833" s="22" t="str">
        <f>HYPERLINK("https://twitter.com/uk_worldnews/status/922600087968198661","922600087968198661")</f>
        <v>922600087968198661</v>
      </c>
      <c r="F7833" s="23" t="s">
        <v>1020</v>
      </c>
      <c r="G7833" s="24">
        <v>1134.0</v>
      </c>
      <c r="H7833" s="24">
        <v>886.0</v>
      </c>
      <c r="I7833" s="24">
        <v>0.0</v>
      </c>
      <c r="J7833" s="24">
        <v>0.0</v>
      </c>
      <c r="K7833" s="23" t="s">
        <v>34</v>
      </c>
      <c r="L7833" s="25">
        <v>41691.490381944444</v>
      </c>
      <c r="M7833" s="28"/>
      <c r="N7833" s="26" t="s">
        <v>2623</v>
      </c>
      <c r="O7833" s="22" t="str">
        <f>HYPERLINK("https://pbs.twimg.com/profile_images/436950530964070400/VO-NlZAO_normal.png","View")</f>
        <v>View</v>
      </c>
      <c r="P7833" s="27"/>
    </row>
    <row r="7834">
      <c r="A7834" s="14">
        <v>43031.671053240745</v>
      </c>
      <c r="B7834" s="20" t="str">
        <f>HYPERLINK("https://twitter.com/newsloc_animals","@newsloc_animals")</f>
        <v>@newsloc_animals</v>
      </c>
      <c r="C7834" s="21" t="s">
        <v>2089</v>
      </c>
      <c r="D7834" s="21" t="s">
        <v>17392</v>
      </c>
      <c r="E7834" s="22" t="str">
        <f>HYPERLINK("https://twitter.com/newsloc_animals/status/922600098391085058","922600098391085058")</f>
        <v>922600098391085058</v>
      </c>
      <c r="F7834" s="23" t="s">
        <v>1020</v>
      </c>
      <c r="G7834" s="24">
        <v>1715.0</v>
      </c>
      <c r="H7834" s="24">
        <v>1957.0</v>
      </c>
      <c r="I7834" s="24">
        <v>0.0</v>
      </c>
      <c r="J7834" s="24">
        <v>0.0</v>
      </c>
      <c r="K7834" s="23" t="s">
        <v>34</v>
      </c>
      <c r="L7834" s="25">
        <v>41025.14032407408</v>
      </c>
      <c r="M7834" s="28"/>
      <c r="N7834" s="26" t="s">
        <v>2091</v>
      </c>
      <c r="O7834" s="22" t="str">
        <f>HYPERLINK("https://pbs.twimg.com/profile_images/2232132537/Afbeelding_32_normal.png","View")</f>
        <v>View</v>
      </c>
      <c r="P7834" s="27"/>
    </row>
    <row r="7835">
      <c r="A7835" s="14">
        <v>43031.67140046296</v>
      </c>
      <c r="B7835" s="20" t="str">
        <f>HYPERLINK("https://twitter.com/Christo89663214","@Christo89663214")</f>
        <v>@Christo89663214</v>
      </c>
      <c r="C7835" s="21" t="s">
        <v>17393</v>
      </c>
      <c r="D7835" s="21" t="s">
        <v>16537</v>
      </c>
      <c r="E7835" s="22" t="str">
        <f>HYPERLINK("https://twitter.com/Christo89663214/status/922600225549758464","922600225549758464")</f>
        <v>922600225549758464</v>
      </c>
      <c r="F7835" s="23" t="s">
        <v>39</v>
      </c>
      <c r="G7835" s="24">
        <v>95.0</v>
      </c>
      <c r="H7835" s="24">
        <v>239.0</v>
      </c>
      <c r="I7835" s="24">
        <v>242.0</v>
      </c>
      <c r="J7835" s="24">
        <v>0.0</v>
      </c>
      <c r="K7835" s="23" t="s">
        <v>34</v>
      </c>
      <c r="L7835" s="25">
        <v>42739.84106481481</v>
      </c>
      <c r="M7835" s="26" t="s">
        <v>6241</v>
      </c>
      <c r="N7835" s="26" t="s">
        <v>17394</v>
      </c>
      <c r="O7835" s="22" t="str">
        <f>HYPERLINK("https://pbs.twimg.com/profile_images/816860762538987521/mItO4ZSS_normal.jpg","View")</f>
        <v>View</v>
      </c>
      <c r="P7835" s="27"/>
    </row>
    <row r="7836">
      <c r="A7836" s="14">
        <v>43031.6715625</v>
      </c>
      <c r="B7836" s="20" t="str">
        <f>HYPERLINK("https://twitter.com/Rusted_Van","@Rusted_Van")</f>
        <v>@Rusted_Van</v>
      </c>
      <c r="C7836" s="21" t="s">
        <v>17375</v>
      </c>
      <c r="D7836" s="21" t="s">
        <v>17395</v>
      </c>
      <c r="E7836" s="22" t="str">
        <f>HYPERLINK("https://twitter.com/Rusted_Van/status/922600282793459713","922600282793459713")</f>
        <v>922600282793459713</v>
      </c>
      <c r="F7836" s="23" t="s">
        <v>33</v>
      </c>
      <c r="G7836" s="24">
        <v>1582.0</v>
      </c>
      <c r="H7836" s="24">
        <v>912.0</v>
      </c>
      <c r="I7836" s="24">
        <v>0.0</v>
      </c>
      <c r="J7836" s="24">
        <v>0.0</v>
      </c>
      <c r="K7836" s="23" t="s">
        <v>34</v>
      </c>
      <c r="L7836" s="25">
        <v>41280.38484953703</v>
      </c>
      <c r="M7836" s="26" t="s">
        <v>17377</v>
      </c>
      <c r="N7836" s="26" t="s">
        <v>17378</v>
      </c>
      <c r="O7836" s="22" t="str">
        <f>HYPERLINK("https://pbs.twimg.com/profile_images/705988596684054529/p9vN2Aq7_normal.jpg","View")</f>
        <v>View</v>
      </c>
      <c r="P7836" s="27"/>
    </row>
    <row r="7837">
      <c r="A7837" s="14">
        <v>43031.67212962963</v>
      </c>
      <c r="B7837" s="20" t="str">
        <f>HYPERLINK("https://twitter.com/llacigart","@llacigart")</f>
        <v>@llacigart</v>
      </c>
      <c r="C7837" s="21" t="s">
        <v>17396</v>
      </c>
      <c r="D7837" s="21" t="s">
        <v>17363</v>
      </c>
      <c r="E7837" s="22" t="str">
        <f>HYPERLINK("https://twitter.com/llacigart/status/922600491137273856","922600491137273856")</f>
        <v>922600491137273856</v>
      </c>
      <c r="F7837" s="23" t="s">
        <v>39</v>
      </c>
      <c r="G7837" s="24">
        <v>3420.0</v>
      </c>
      <c r="H7837" s="24">
        <v>5001.0</v>
      </c>
      <c r="I7837" s="24">
        <v>17.0</v>
      </c>
      <c r="J7837" s="24">
        <v>0.0</v>
      </c>
      <c r="K7837" s="23" t="s">
        <v>34</v>
      </c>
      <c r="L7837" s="25">
        <v>40100.20127314815</v>
      </c>
      <c r="M7837" s="26" t="s">
        <v>17397</v>
      </c>
      <c r="N7837" s="26" t="s">
        <v>17398</v>
      </c>
      <c r="O7837" s="22" t="str">
        <f>HYPERLINK("https://pbs.twimg.com/profile_images/730534195844554752/g6pnq39f_normal.jpg","View")</f>
        <v>View</v>
      </c>
      <c r="P7837" s="27"/>
    </row>
    <row r="7838">
      <c r="A7838" s="14">
        <v>43031.672326388885</v>
      </c>
      <c r="B7838" s="20" t="str">
        <f>HYPERLINK("https://twitter.com/Rusted_Van","@Rusted_Van")</f>
        <v>@Rusted_Van</v>
      </c>
      <c r="C7838" s="21" t="s">
        <v>17375</v>
      </c>
      <c r="D7838" s="21" t="s">
        <v>17399</v>
      </c>
      <c r="E7838" s="22" t="str">
        <f>HYPERLINK("https://twitter.com/Rusted_Van/status/922600560313823233","922600560313823233")</f>
        <v>922600560313823233</v>
      </c>
      <c r="F7838" s="23" t="s">
        <v>33</v>
      </c>
      <c r="G7838" s="24">
        <v>1582.0</v>
      </c>
      <c r="H7838" s="24">
        <v>912.0</v>
      </c>
      <c r="I7838" s="24">
        <v>0.0</v>
      </c>
      <c r="J7838" s="24">
        <v>0.0</v>
      </c>
      <c r="K7838" s="23" t="s">
        <v>34</v>
      </c>
      <c r="L7838" s="25">
        <v>41280.38484953703</v>
      </c>
      <c r="M7838" s="26" t="s">
        <v>17377</v>
      </c>
      <c r="N7838" s="26" t="s">
        <v>17378</v>
      </c>
      <c r="O7838" s="22" t="str">
        <f>HYPERLINK("https://pbs.twimg.com/profile_images/705988596684054529/p9vN2Aq7_normal.jpg","View")</f>
        <v>View</v>
      </c>
      <c r="P7838" s="27"/>
    </row>
    <row r="7839">
      <c r="A7839" s="14">
        <v>43031.673171296294</v>
      </c>
      <c r="B7839" s="20" t="str">
        <f>HYPERLINK("https://twitter.com/pinakibngn","@pinakibngn")</f>
        <v>@pinakibngn</v>
      </c>
      <c r="C7839" s="21" t="s">
        <v>17400</v>
      </c>
      <c r="D7839" s="21" t="s">
        <v>42</v>
      </c>
      <c r="E7839" s="22" t="str">
        <f>HYPERLINK("https://twitter.com/pinakibngn/status/922600869014720514","922600869014720514")</f>
        <v>922600869014720514</v>
      </c>
      <c r="F7839" s="23" t="s">
        <v>39</v>
      </c>
      <c r="G7839" s="24">
        <v>52.0</v>
      </c>
      <c r="H7839" s="24">
        <v>174.0</v>
      </c>
      <c r="I7839" s="24">
        <v>8501.0</v>
      </c>
      <c r="J7839" s="24">
        <v>0.0</v>
      </c>
      <c r="K7839" s="23" t="s">
        <v>34</v>
      </c>
      <c r="L7839" s="25">
        <v>40152.981469907405</v>
      </c>
      <c r="M7839" s="26" t="s">
        <v>17401</v>
      </c>
      <c r="N7839" s="28"/>
      <c r="O7839" s="22" t="str">
        <f>HYPERLINK("https://pbs.twimg.com/profile_images/909440519218122753/NwGkZsLW_normal.jpg","View")</f>
        <v>View</v>
      </c>
      <c r="P7839" s="27"/>
    </row>
    <row r="7840">
      <c r="A7840" s="14">
        <v>43031.67333333333</v>
      </c>
      <c r="B7840" s="20" t="str">
        <f>HYPERLINK("https://twitter.com/arunkgh","@arunkgh")</f>
        <v>@arunkgh</v>
      </c>
      <c r="C7840" s="21" t="s">
        <v>17402</v>
      </c>
      <c r="D7840" s="21" t="s">
        <v>42</v>
      </c>
      <c r="E7840" s="22" t="str">
        <f>HYPERLINK("https://twitter.com/arunkgh/status/922600924740075520","922600924740075520")</f>
        <v>922600924740075520</v>
      </c>
      <c r="F7840" s="23" t="s">
        <v>39</v>
      </c>
      <c r="G7840" s="24">
        <v>49.0</v>
      </c>
      <c r="H7840" s="24">
        <v>57.0</v>
      </c>
      <c r="I7840" s="24">
        <v>8501.0</v>
      </c>
      <c r="J7840" s="24">
        <v>0.0</v>
      </c>
      <c r="K7840" s="23" t="s">
        <v>34</v>
      </c>
      <c r="L7840" s="25">
        <v>40662.531168981484</v>
      </c>
      <c r="M7840" s="26" t="s">
        <v>17403</v>
      </c>
      <c r="N7840" s="26" t="s">
        <v>17404</v>
      </c>
      <c r="O7840" s="22" t="str">
        <f>HYPERLINK("https://pbs.twimg.com/profile_images/1375181600/04262011133_normal.jpg","View")</f>
        <v>View</v>
      </c>
      <c r="P7840" s="27"/>
    </row>
    <row r="7841">
      <c r="A7841" s="14">
        <v>43031.673368055555</v>
      </c>
      <c r="B7841" s="20" t="str">
        <f>HYPERLINK("https://twitter.com/ICRTNews","@ICRTNews")</f>
        <v>@ICRTNews</v>
      </c>
      <c r="C7841" s="21" t="s">
        <v>17405</v>
      </c>
      <c r="D7841" s="21" t="s">
        <v>17406</v>
      </c>
      <c r="E7841" s="22" t="str">
        <f>HYPERLINK("https://twitter.com/ICRTNews/status/922600936857407489","922600936857407489")</f>
        <v>922600936857407489</v>
      </c>
      <c r="F7841" s="23" t="s">
        <v>17407</v>
      </c>
      <c r="G7841" s="24">
        <v>4117.0</v>
      </c>
      <c r="H7841" s="24">
        <v>63.0</v>
      </c>
      <c r="I7841" s="24">
        <v>2.0</v>
      </c>
      <c r="J7841" s="24">
        <v>4.0</v>
      </c>
      <c r="K7841" s="23" t="s">
        <v>34</v>
      </c>
      <c r="L7841" s="25">
        <v>40046.0766087963</v>
      </c>
      <c r="M7841" s="26" t="s">
        <v>17408</v>
      </c>
      <c r="N7841" s="26" t="s">
        <v>17409</v>
      </c>
      <c r="O7841" s="22" t="str">
        <f>HYPERLINK("https://pbs.twimg.com/profile_images/474760452908404737/-tZY4_7h_normal.jpeg","View")</f>
        <v>View</v>
      </c>
      <c r="P7841" s="27"/>
    </row>
    <row r="7842">
      <c r="A7842" s="14">
        <v>43031.67396990741</v>
      </c>
      <c r="B7842" s="20" t="str">
        <f>HYPERLINK("https://twitter.com/kumakuma0603","@kumakuma0603")</f>
        <v>@kumakuma0603</v>
      </c>
      <c r="C7842" s="21" t="s">
        <v>17410</v>
      </c>
      <c r="D7842" s="21" t="s">
        <v>42</v>
      </c>
      <c r="E7842" s="22" t="str">
        <f>HYPERLINK("https://twitter.com/kumakuma0603/status/922601154726334464","922601154726334464")</f>
        <v>922601154726334464</v>
      </c>
      <c r="F7842" s="23" t="s">
        <v>33</v>
      </c>
      <c r="G7842" s="24">
        <v>156.0</v>
      </c>
      <c r="H7842" s="24">
        <v>206.0</v>
      </c>
      <c r="I7842" s="24">
        <v>8501.0</v>
      </c>
      <c r="J7842" s="24">
        <v>0.0</v>
      </c>
      <c r="K7842" s="23" t="s">
        <v>34</v>
      </c>
      <c r="L7842" s="25">
        <v>42899.21253472222</v>
      </c>
      <c r="M7842" s="26" t="s">
        <v>71</v>
      </c>
      <c r="N7842" s="26" t="s">
        <v>17411</v>
      </c>
      <c r="O7842" s="22" t="str">
        <f>HYPERLINK("https://pbs.twimg.com/profile_images/874604150482378752/qGP7pxt4_normal.jpg","View")</f>
        <v>View</v>
      </c>
      <c r="P7842" s="27"/>
    </row>
    <row r="7843">
      <c r="A7843" s="14">
        <v>43031.67417824074</v>
      </c>
      <c r="B7843" s="20" t="str">
        <f>HYPERLINK("https://twitter.com/WeTheOutraged","@WeTheOutraged")</f>
        <v>@WeTheOutraged</v>
      </c>
      <c r="C7843" s="21" t="s">
        <v>17412</v>
      </c>
      <c r="D7843" s="21" t="s">
        <v>17413</v>
      </c>
      <c r="E7843" s="22" t="str">
        <f>HYPERLINK("https://twitter.com/WeTheOutraged/status/922601231713030144","922601231713030144")</f>
        <v>922601231713030144</v>
      </c>
      <c r="F7843" s="23" t="s">
        <v>1119</v>
      </c>
      <c r="G7843" s="24">
        <v>40953.0</v>
      </c>
      <c r="H7843" s="24">
        <v>35934.0</v>
      </c>
      <c r="I7843" s="24">
        <v>0.0</v>
      </c>
      <c r="J7843" s="24">
        <v>1.0</v>
      </c>
      <c r="K7843" s="23" t="s">
        <v>34</v>
      </c>
      <c r="L7843" s="25">
        <v>41186.43784722222</v>
      </c>
      <c r="M7843" s="26" t="s">
        <v>17414</v>
      </c>
      <c r="N7843" s="26" t="s">
        <v>17415</v>
      </c>
      <c r="O7843" s="22" t="str">
        <f>HYPERLINK("https://pbs.twimg.com/profile_images/473696698603032576/4y3-F5z7_normal.jpeg","View")</f>
        <v>View</v>
      </c>
      <c r="P7843" s="27"/>
    </row>
    <row r="7844">
      <c r="A7844" s="14">
        <v>43031.6742824074</v>
      </c>
      <c r="B7844" s="20" t="str">
        <f>HYPERLINK("https://twitter.com/cadhirendra26","@cadhirendra26")</f>
        <v>@cadhirendra26</v>
      </c>
      <c r="C7844" s="21" t="s">
        <v>17416</v>
      </c>
      <c r="D7844" s="21" t="s">
        <v>42</v>
      </c>
      <c r="E7844" s="22" t="str">
        <f>HYPERLINK("https://twitter.com/cadhirendra26/status/922601269788897280","922601269788897280")</f>
        <v>922601269788897280</v>
      </c>
      <c r="F7844" s="23" t="s">
        <v>33</v>
      </c>
      <c r="G7844" s="24">
        <v>97.0</v>
      </c>
      <c r="H7844" s="24">
        <v>190.0</v>
      </c>
      <c r="I7844" s="24">
        <v>8501.0</v>
      </c>
      <c r="J7844" s="24">
        <v>0.0</v>
      </c>
      <c r="K7844" s="23" t="s">
        <v>34</v>
      </c>
      <c r="L7844" s="25">
        <v>41149.07210648148</v>
      </c>
      <c r="M7844" s="26" t="s">
        <v>204</v>
      </c>
      <c r="N7844" s="26" t="s">
        <v>17417</v>
      </c>
      <c r="O7844" s="22" t="str">
        <f>HYPERLINK("https://pbs.twimg.com/profile_images/523027182243700736/qcbW5ZXf_normal.jpeg","View")</f>
        <v>View</v>
      </c>
      <c r="P7844" s="27"/>
    </row>
    <row r="7845">
      <c r="A7845" s="14">
        <v>43031.67447916667</v>
      </c>
      <c r="B7845" s="20" t="str">
        <f>HYPERLINK("https://twitter.com/The_News_DIVA","@The_News_DIVA")</f>
        <v>@The_News_DIVA</v>
      </c>
      <c r="C7845" s="21" t="s">
        <v>17418</v>
      </c>
      <c r="D7845" s="21" t="s">
        <v>17419</v>
      </c>
      <c r="E7845" s="22" t="str">
        <f>HYPERLINK("https://twitter.com/The_News_DIVA/status/922601342954364928","922601342954364928")</f>
        <v>922601342954364928</v>
      </c>
      <c r="F7845" s="30" t="s">
        <v>3839</v>
      </c>
      <c r="G7845" s="24">
        <v>121859.0</v>
      </c>
      <c r="H7845" s="24">
        <v>120671.0</v>
      </c>
      <c r="I7845" s="24">
        <v>0.0</v>
      </c>
      <c r="J7845" s="24">
        <v>1.0</v>
      </c>
      <c r="K7845" s="23" t="s">
        <v>34</v>
      </c>
      <c r="L7845" s="25">
        <v>39649.27097222222</v>
      </c>
      <c r="M7845" s="26" t="s">
        <v>17420</v>
      </c>
      <c r="N7845" s="26" t="s">
        <v>17421</v>
      </c>
      <c r="O7845" s="22" t="str">
        <f>HYPERLINK("https://pbs.twimg.com/profile_images/2339424243/yi6x1e8o318u40z0gp3w_normal.png","View")</f>
        <v>View</v>
      </c>
      <c r="P7845" s="27"/>
    </row>
    <row r="7846">
      <c r="A7846" s="14">
        <v>43031.674675925926</v>
      </c>
      <c r="B7846" s="20" t="str">
        <f>HYPERLINK("https://twitter.com/framboise731","@framboise731")</f>
        <v>@framboise731</v>
      </c>
      <c r="C7846" s="21" t="s">
        <v>17422</v>
      </c>
      <c r="D7846" s="21" t="s">
        <v>1642</v>
      </c>
      <c r="E7846" s="22" t="str">
        <f>HYPERLINK("https://twitter.com/framboise731/status/922601410398642176","922601410398642176")</f>
        <v>922601410398642176</v>
      </c>
      <c r="F7846" s="23" t="s">
        <v>55</v>
      </c>
      <c r="G7846" s="24">
        <v>2195.0</v>
      </c>
      <c r="H7846" s="24">
        <v>1377.0</v>
      </c>
      <c r="I7846" s="24">
        <v>199.0</v>
      </c>
      <c r="J7846" s="24">
        <v>0.0</v>
      </c>
      <c r="K7846" s="23" t="s">
        <v>34</v>
      </c>
      <c r="L7846" s="25">
        <v>40711.342777777776</v>
      </c>
      <c r="M7846" s="26" t="s">
        <v>17423</v>
      </c>
      <c r="N7846" s="26" t="s">
        <v>17424</v>
      </c>
      <c r="O7846" s="22" t="str">
        <f>HYPERLINK("https://pbs.twimg.com/profile_images/1480048459/110311_1909_0001_normal.jpg","View")</f>
        <v>View</v>
      </c>
      <c r="P7846" s="27"/>
    </row>
    <row r="7847">
      <c r="A7847" s="14">
        <v>43031.67502314815</v>
      </c>
      <c r="B7847" s="20" t="str">
        <f>HYPERLINK("https://twitter.com/GoStartGrow","@GoStartGrow")</f>
        <v>@GoStartGrow</v>
      </c>
      <c r="C7847" s="21" t="s">
        <v>17425</v>
      </c>
      <c r="D7847" s="21" t="s">
        <v>5501</v>
      </c>
      <c r="E7847" s="22" t="str">
        <f>HYPERLINK("https://twitter.com/GoStartGrow/status/922601540308951041","922601540308951041")</f>
        <v>922601540308951041</v>
      </c>
      <c r="F7847" s="23" t="s">
        <v>17426</v>
      </c>
      <c r="G7847" s="24">
        <v>1380.0</v>
      </c>
      <c r="H7847" s="24">
        <v>3960.0</v>
      </c>
      <c r="I7847" s="24">
        <v>4.0</v>
      </c>
      <c r="J7847" s="24">
        <v>0.0</v>
      </c>
      <c r="K7847" s="23" t="s">
        <v>34</v>
      </c>
      <c r="L7847" s="25">
        <v>42274.98559027778</v>
      </c>
      <c r="M7847" s="26" t="s">
        <v>17427</v>
      </c>
      <c r="N7847" s="26" t="s">
        <v>17428</v>
      </c>
      <c r="O7847" s="22" t="str">
        <f>HYPERLINK("https://pbs.twimg.com/profile_images/909731937258016768/1wkKAj2x_normal.jpg","View")</f>
        <v>View</v>
      </c>
      <c r="P7847" s="27"/>
    </row>
    <row r="7848">
      <c r="A7848" s="14">
        <v>43031.675520833334</v>
      </c>
      <c r="B7848" s="20" t="str">
        <f>HYPERLINK("https://twitter.com/maisels","@maisels")</f>
        <v>@maisels</v>
      </c>
      <c r="C7848" s="21" t="s">
        <v>17429</v>
      </c>
      <c r="D7848" s="21" t="s">
        <v>16208</v>
      </c>
      <c r="E7848" s="22" t="str">
        <f>HYPERLINK("https://twitter.com/maisels/status/922601720546390016","922601720546390016")</f>
        <v>922601720546390016</v>
      </c>
      <c r="F7848" s="23" t="s">
        <v>39</v>
      </c>
      <c r="G7848" s="24">
        <v>854.0</v>
      </c>
      <c r="H7848" s="24">
        <v>952.0</v>
      </c>
      <c r="I7848" s="24">
        <v>41.0</v>
      </c>
      <c r="J7848" s="24">
        <v>0.0</v>
      </c>
      <c r="K7848" s="23" t="s">
        <v>34</v>
      </c>
      <c r="L7848" s="25">
        <v>40326.870104166665</v>
      </c>
      <c r="M7848" s="28"/>
      <c r="N7848" s="26" t="s">
        <v>17430</v>
      </c>
      <c r="O7848" s="22" t="str">
        <f>HYPERLINK("https://pbs.twimg.com/profile_images/465543951445786624/kMtuOvQq_normal.jpeg","View")</f>
        <v>View</v>
      </c>
      <c r="P7848" s="27"/>
    </row>
    <row r="7849">
      <c r="A7849" s="14">
        <v>43031.67565972223</v>
      </c>
      <c r="B7849" s="20" t="str">
        <f>HYPERLINK("https://twitter.com/tadamamoyurani","@tadamamoyurani")</f>
        <v>@tadamamoyurani</v>
      </c>
      <c r="C7849" s="21" t="s">
        <v>17431</v>
      </c>
      <c r="D7849" s="21" t="s">
        <v>1642</v>
      </c>
      <c r="E7849" s="22" t="str">
        <f>HYPERLINK("https://twitter.com/tadamamoyurani/status/922601769175171072","922601769175171072")</f>
        <v>922601769175171072</v>
      </c>
      <c r="F7849" s="23" t="s">
        <v>39</v>
      </c>
      <c r="G7849" s="24">
        <v>234.0</v>
      </c>
      <c r="H7849" s="24">
        <v>253.0</v>
      </c>
      <c r="I7849" s="24">
        <v>199.0</v>
      </c>
      <c r="J7849" s="24">
        <v>0.0</v>
      </c>
      <c r="K7849" s="23" t="s">
        <v>34</v>
      </c>
      <c r="L7849" s="25">
        <v>40961.781273148146</v>
      </c>
      <c r="M7849" s="28"/>
      <c r="N7849" s="26" t="s">
        <v>17432</v>
      </c>
      <c r="O7849" s="22" t="str">
        <f>HYPERLINK("https://pbs.twimg.com/profile_images/869436327082680322/jIOVaynu_normal.jpg","View")</f>
        <v>View</v>
      </c>
      <c r="P7849" s="27"/>
    </row>
    <row r="7850">
      <c r="A7850" s="14">
        <v>43031.675833333335</v>
      </c>
      <c r="B7850" s="20" t="str">
        <f>HYPERLINK("https://twitter.com/rahul_vrt","@rahul_vrt")</f>
        <v>@rahul_vrt</v>
      </c>
      <c r="C7850" s="21" t="s">
        <v>17433</v>
      </c>
      <c r="D7850" s="21" t="s">
        <v>42</v>
      </c>
      <c r="E7850" s="22" t="str">
        <f>HYPERLINK("https://twitter.com/rahul_vrt/status/922601830567178240","922601830567178240")</f>
        <v>922601830567178240</v>
      </c>
      <c r="F7850" s="23" t="s">
        <v>33</v>
      </c>
      <c r="G7850" s="24">
        <v>16.0</v>
      </c>
      <c r="H7850" s="24">
        <v>208.0</v>
      </c>
      <c r="I7850" s="24">
        <v>8501.0</v>
      </c>
      <c r="J7850" s="24">
        <v>0.0</v>
      </c>
      <c r="K7850" s="23" t="s">
        <v>34</v>
      </c>
      <c r="L7850" s="25">
        <v>40469.0230787037</v>
      </c>
      <c r="M7850" s="28"/>
      <c r="N7850" s="28"/>
      <c r="O7850" s="22" t="str">
        <f>HYPERLINK("https://pbs.twimg.com/profile_images/828288671149199360/2Te9HvWi_normal.jpg","View")</f>
        <v>View</v>
      </c>
      <c r="P7850" s="27"/>
    </row>
    <row r="7851">
      <c r="A7851" s="14">
        <v>43031.67621527778</v>
      </c>
      <c r="B7851" s="20" t="str">
        <f t="shared" ref="B7851:B7852" si="136">HYPERLINK("https://twitter.com/ksivananth","@ksivananth")</f>
        <v>@ksivananth</v>
      </c>
      <c r="C7851" s="21" t="s">
        <v>17434</v>
      </c>
      <c r="D7851" s="21" t="s">
        <v>163</v>
      </c>
      <c r="E7851" s="22" t="str">
        <f>HYPERLINK("https://twitter.com/ksivananth/status/922601968727674880","922601968727674880")</f>
        <v>922601968727674880</v>
      </c>
      <c r="F7851" s="23" t="s">
        <v>33</v>
      </c>
      <c r="G7851" s="24">
        <v>60.0</v>
      </c>
      <c r="H7851" s="24">
        <v>279.0</v>
      </c>
      <c r="I7851" s="24">
        <v>1005.0</v>
      </c>
      <c r="J7851" s="24">
        <v>0.0</v>
      </c>
      <c r="K7851" s="23" t="s">
        <v>34</v>
      </c>
      <c r="L7851" s="25">
        <v>40705.11087962963</v>
      </c>
      <c r="M7851" s="28"/>
      <c r="N7851" s="28"/>
      <c r="O7851" s="22" t="str">
        <f t="shared" ref="O7851:O7853" si="137">HYPERLINK("https://abs.twimg.com/sticky/default_profile_images/default_profile_normal.png","View")</f>
        <v>View</v>
      </c>
      <c r="P7851" s="27"/>
    </row>
    <row r="7852">
      <c r="A7852" s="14">
        <v>43031.67663194444</v>
      </c>
      <c r="B7852" s="20" t="str">
        <f t="shared" si="136"/>
        <v>@ksivananth</v>
      </c>
      <c r="C7852" s="21" t="s">
        <v>17434</v>
      </c>
      <c r="D7852" s="21" t="s">
        <v>42</v>
      </c>
      <c r="E7852" s="22" t="str">
        <f>HYPERLINK("https://twitter.com/ksivananth/status/922602123367469056","922602123367469056")</f>
        <v>922602123367469056</v>
      </c>
      <c r="F7852" s="23" t="s">
        <v>33</v>
      </c>
      <c r="G7852" s="24">
        <v>60.0</v>
      </c>
      <c r="H7852" s="24">
        <v>279.0</v>
      </c>
      <c r="I7852" s="24">
        <v>8501.0</v>
      </c>
      <c r="J7852" s="24">
        <v>0.0</v>
      </c>
      <c r="K7852" s="23" t="s">
        <v>34</v>
      </c>
      <c r="L7852" s="25">
        <v>40705.11087962963</v>
      </c>
      <c r="M7852" s="28"/>
      <c r="N7852" s="28"/>
      <c r="O7852" s="22" t="str">
        <f t="shared" si="137"/>
        <v>View</v>
      </c>
      <c r="P7852" s="27"/>
    </row>
    <row r="7853">
      <c r="A7853" s="14">
        <v>43031.67668981482</v>
      </c>
      <c r="B7853" s="20" t="str">
        <f>HYPERLINK("https://twitter.com/JasonStaiert","@JasonStaiert")</f>
        <v>@JasonStaiert</v>
      </c>
      <c r="C7853" s="21" t="s">
        <v>17435</v>
      </c>
      <c r="D7853" s="21" t="s">
        <v>16537</v>
      </c>
      <c r="E7853" s="22" t="str">
        <f>HYPERLINK("https://twitter.com/JasonStaiert/status/922602140903886848","922602140903886848")</f>
        <v>922602140903886848</v>
      </c>
      <c r="F7853" s="23" t="s">
        <v>230</v>
      </c>
      <c r="G7853" s="24">
        <v>31.0</v>
      </c>
      <c r="H7853" s="24">
        <v>74.0</v>
      </c>
      <c r="I7853" s="24">
        <v>242.0</v>
      </c>
      <c r="J7853" s="24">
        <v>0.0</v>
      </c>
      <c r="K7853" s="23" t="s">
        <v>34</v>
      </c>
      <c r="L7853" s="25">
        <v>42757.407002314816</v>
      </c>
      <c r="M7853" s="28"/>
      <c r="N7853" s="28"/>
      <c r="O7853" s="22" t="str">
        <f t="shared" si="137"/>
        <v>View</v>
      </c>
      <c r="P7853" s="27"/>
    </row>
    <row r="7854">
      <c r="A7854" s="14">
        <v>43031.67708333333</v>
      </c>
      <c r="B7854" s="20" t="str">
        <f>HYPERLINK("https://twitter.com/AsCorrespondent","@AsCorrespondent")</f>
        <v>@AsCorrespondent</v>
      </c>
      <c r="C7854" s="21" t="s">
        <v>5563</v>
      </c>
      <c r="D7854" s="21" t="s">
        <v>17436</v>
      </c>
      <c r="E7854" s="22" t="str">
        <f>HYPERLINK("https://twitter.com/AsCorrespondent/status/922602284948836352","922602284948836352")</f>
        <v>922602284948836352</v>
      </c>
      <c r="F7854" s="23" t="s">
        <v>769</v>
      </c>
      <c r="G7854" s="24">
        <v>62903.0</v>
      </c>
      <c r="H7854" s="24">
        <v>3895.0</v>
      </c>
      <c r="I7854" s="24">
        <v>2.0</v>
      </c>
      <c r="J7854" s="24">
        <v>3.0</v>
      </c>
      <c r="K7854" s="23" t="s">
        <v>34</v>
      </c>
      <c r="L7854" s="25">
        <v>40104.37483796296</v>
      </c>
      <c r="M7854" s="26" t="s">
        <v>5565</v>
      </c>
      <c r="N7854" s="26" t="s">
        <v>5566</v>
      </c>
      <c r="O7854" s="22" t="str">
        <f>HYPERLINK("https://pbs.twimg.com/profile_images/890461823325032448/sYzh58oB_normal.jpg","View")</f>
        <v>View</v>
      </c>
      <c r="P7854" s="27"/>
    </row>
    <row r="7855">
      <c r="A7855" s="14">
        <v>43031.67736111111</v>
      </c>
      <c r="B7855" s="20" t="str">
        <f>HYPERLINK("https://twitter.com/hwingo","@hwingo")</f>
        <v>@hwingo</v>
      </c>
      <c r="C7855" s="21" t="s">
        <v>17437</v>
      </c>
      <c r="D7855" s="21" t="s">
        <v>17438</v>
      </c>
      <c r="E7855" s="22" t="str">
        <f>HYPERLINK("https://twitter.com/hwingo/status/922602383653376000","922602383653376000")</f>
        <v>922602383653376000</v>
      </c>
      <c r="F7855" s="23" t="s">
        <v>55</v>
      </c>
      <c r="G7855" s="24">
        <v>9589.0</v>
      </c>
      <c r="H7855" s="24">
        <v>9180.0</v>
      </c>
      <c r="I7855" s="24">
        <v>0.0</v>
      </c>
      <c r="J7855" s="24">
        <v>0.0</v>
      </c>
      <c r="K7855" s="23" t="s">
        <v>34</v>
      </c>
      <c r="L7855" s="25">
        <v>39823.48606481482</v>
      </c>
      <c r="M7855" s="28"/>
      <c r="N7855" s="26" t="s">
        <v>17439</v>
      </c>
      <c r="O7855" s="22" t="str">
        <f>HYPERLINK("https://pbs.twimg.com/profile_images/790287919059787776/60cv07rc_normal.jpg","View")</f>
        <v>View</v>
      </c>
      <c r="P7855" s="27"/>
    </row>
    <row r="7856">
      <c r="A7856" s="14">
        <v>43031.67792824074</v>
      </c>
      <c r="B7856" s="20" t="str">
        <f>HYPERLINK("https://twitter.com/OxleyMaryann","@OxleyMaryann")</f>
        <v>@OxleyMaryann</v>
      </c>
      <c r="C7856" s="21" t="s">
        <v>17440</v>
      </c>
      <c r="D7856" s="21" t="s">
        <v>42</v>
      </c>
      <c r="E7856" s="22" t="str">
        <f>HYPERLINK("https://twitter.com/OxleyMaryann/status/922602592517140480","922602592517140480")</f>
        <v>922602592517140480</v>
      </c>
      <c r="F7856" s="23" t="s">
        <v>39</v>
      </c>
      <c r="G7856" s="24">
        <v>556.0</v>
      </c>
      <c r="H7856" s="24">
        <v>509.0</v>
      </c>
      <c r="I7856" s="24">
        <v>8501.0</v>
      </c>
      <c r="J7856" s="24">
        <v>0.0</v>
      </c>
      <c r="K7856" s="23" t="s">
        <v>34</v>
      </c>
      <c r="L7856" s="25">
        <v>42347.74885416667</v>
      </c>
      <c r="M7856" s="28"/>
      <c r="N7856" s="26" t="s">
        <v>17441</v>
      </c>
      <c r="O7856" s="22" t="str">
        <f>HYPERLINK("https://pbs.twimg.com/profile_images/674771026736234496/FXCJsBv5_normal.jpg","View")</f>
        <v>View</v>
      </c>
      <c r="P7856" s="27"/>
    </row>
    <row r="7857">
      <c r="A7857" s="14">
        <v>43031.67800925926</v>
      </c>
      <c r="B7857" s="20" t="str">
        <f>HYPERLINK("https://twitter.com/newssummeduphq","@newssummeduphq")</f>
        <v>@newssummeduphq</v>
      </c>
      <c r="C7857" s="21" t="s">
        <v>7943</v>
      </c>
      <c r="D7857" s="21" t="s">
        <v>17442</v>
      </c>
      <c r="E7857" s="22" t="str">
        <f>HYPERLINK("https://twitter.com/newssummeduphq/status/922602620073664512","922602620073664512")</f>
        <v>922602620073664512</v>
      </c>
      <c r="F7857" s="23" t="s">
        <v>7945</v>
      </c>
      <c r="G7857" s="24">
        <v>437.0</v>
      </c>
      <c r="H7857" s="24">
        <v>1176.0</v>
      </c>
      <c r="I7857" s="24">
        <v>0.0</v>
      </c>
      <c r="J7857" s="24">
        <v>0.0</v>
      </c>
      <c r="K7857" s="23" t="s">
        <v>34</v>
      </c>
      <c r="L7857" s="25">
        <v>42504.201203703706</v>
      </c>
      <c r="M7857" s="26" t="s">
        <v>4920</v>
      </c>
      <c r="N7857" s="26" t="s">
        <v>7946</v>
      </c>
      <c r="O7857" s="22" t="str">
        <f>HYPERLINK("https://pbs.twimg.com/profile_images/731455561695264770/Oj_92lRJ_normal.jpg","View")</f>
        <v>View</v>
      </c>
      <c r="P7857" s="27"/>
    </row>
    <row r="7858">
      <c r="A7858" s="14">
        <v>43031.67859953704</v>
      </c>
      <c r="B7858" s="20" t="str">
        <f>HYPERLINK("https://twitter.com/ice9balloon","@ice9balloon")</f>
        <v>@ice9balloon</v>
      </c>
      <c r="C7858" s="21" t="s">
        <v>13172</v>
      </c>
      <c r="D7858" s="21" t="s">
        <v>6403</v>
      </c>
      <c r="E7858" s="22" t="str">
        <f>HYPERLINK("https://twitter.com/ice9balloon/status/922602833026850816","922602833026850816")</f>
        <v>922602833026850816</v>
      </c>
      <c r="F7858" s="23" t="s">
        <v>39</v>
      </c>
      <c r="G7858" s="24">
        <v>188.0</v>
      </c>
      <c r="H7858" s="24">
        <v>1270.0</v>
      </c>
      <c r="I7858" s="24">
        <v>97.0</v>
      </c>
      <c r="J7858" s="24">
        <v>0.0</v>
      </c>
      <c r="K7858" s="23" t="s">
        <v>34</v>
      </c>
      <c r="L7858" s="25">
        <v>41179.846041666664</v>
      </c>
      <c r="M7858" s="26" t="s">
        <v>13173</v>
      </c>
      <c r="N7858" s="26" t="s">
        <v>13174</v>
      </c>
      <c r="O7858" s="22" t="str">
        <f>HYPERLINK("https://pbs.twimg.com/profile_images/895012869380624385/lWd1_f4R_normal.jpg","View")</f>
        <v>View</v>
      </c>
      <c r="P7858" s="27"/>
    </row>
    <row r="7859">
      <c r="A7859" s="14">
        <v>43031.6790625</v>
      </c>
      <c r="B7859" s="20" t="str">
        <f>HYPERLINK("https://twitter.com/zoquaiy","@zoquaiy")</f>
        <v>@zoquaiy</v>
      </c>
      <c r="C7859" s="21" t="s">
        <v>1565</v>
      </c>
      <c r="D7859" s="21" t="s">
        <v>17443</v>
      </c>
      <c r="E7859" s="22" t="str">
        <f>HYPERLINK("https://twitter.com/zoquaiy/status/922603003386912768","922603003386912768")</f>
        <v>922603003386912768</v>
      </c>
      <c r="F7859" s="23" t="s">
        <v>33</v>
      </c>
      <c r="G7859" s="24">
        <v>236.0</v>
      </c>
      <c r="H7859" s="24">
        <v>79.0</v>
      </c>
      <c r="I7859" s="24">
        <v>1.0</v>
      </c>
      <c r="J7859" s="24">
        <v>0.0</v>
      </c>
      <c r="K7859" s="23" t="s">
        <v>34</v>
      </c>
      <c r="L7859" s="25">
        <v>42943.302939814814</v>
      </c>
      <c r="M7859" s="26">
        <v>5034.0</v>
      </c>
      <c r="N7859" s="26" t="s">
        <v>1567</v>
      </c>
      <c r="O7859" s="22" t="str">
        <f>HYPERLINK("https://pbs.twimg.com/profile_images/914820528665325568/gk_EH6Ki_normal.jpg","View")</f>
        <v>View</v>
      </c>
      <c r="P7859" s="27"/>
    </row>
    <row r="7860">
      <c r="A7860" s="14">
        <v>43031.67966435185</v>
      </c>
      <c r="B7860" s="20" t="str">
        <f>HYPERLINK("https://twitter.com/KQK2","@KQK2")</f>
        <v>@KQK2</v>
      </c>
      <c r="C7860" s="21" t="s">
        <v>17444</v>
      </c>
      <c r="D7860" s="21" t="s">
        <v>17445</v>
      </c>
      <c r="E7860" s="22" t="str">
        <f>HYPERLINK("https://twitter.com/KQK2/status/922603218970054656","922603218970054656")</f>
        <v>922603218970054656</v>
      </c>
      <c r="F7860" s="23" t="s">
        <v>91</v>
      </c>
      <c r="G7860" s="24">
        <v>14365.0</v>
      </c>
      <c r="H7860" s="24">
        <v>5027.0</v>
      </c>
      <c r="I7860" s="24">
        <v>0.0</v>
      </c>
      <c r="J7860" s="24">
        <v>0.0</v>
      </c>
      <c r="K7860" s="23" t="s">
        <v>34</v>
      </c>
      <c r="L7860" s="25">
        <v>39919.856724537036</v>
      </c>
      <c r="M7860" s="26" t="s">
        <v>17446</v>
      </c>
      <c r="N7860" s="26" t="s">
        <v>17447</v>
      </c>
      <c r="O7860" s="22" t="str">
        <f>HYPERLINK("https://pbs.twimg.com/profile_images/561356203523985408/W5tiM2KZ_normal.jpeg","View")</f>
        <v>View</v>
      </c>
      <c r="P7860" s="27"/>
    </row>
    <row r="7861">
      <c r="A7861" s="14">
        <v>43031.67966435185</v>
      </c>
      <c r="B7861" s="20" t="str">
        <f>HYPERLINK("https://twitter.com/Ne1th_","@Ne1th_")</f>
        <v>@Ne1th_</v>
      </c>
      <c r="C7861" s="21" t="s">
        <v>17448</v>
      </c>
      <c r="D7861" s="21" t="s">
        <v>17449</v>
      </c>
      <c r="E7861" s="22" t="str">
        <f>HYPERLINK("https://twitter.com/Ne1th_/status/922603218995154944","922603218995154944")</f>
        <v>922603218995154944</v>
      </c>
      <c r="F7861" s="23" t="s">
        <v>39</v>
      </c>
      <c r="G7861" s="24">
        <v>58.0</v>
      </c>
      <c r="H7861" s="24">
        <v>122.0</v>
      </c>
      <c r="I7861" s="24">
        <v>0.0</v>
      </c>
      <c r="J7861" s="24">
        <v>0.0</v>
      </c>
      <c r="K7861" s="23" t="s">
        <v>34</v>
      </c>
      <c r="L7861" s="25">
        <v>40623.21202546296</v>
      </c>
      <c r="M7861" s="26" t="s">
        <v>17450</v>
      </c>
      <c r="N7861" s="26" t="s">
        <v>17451</v>
      </c>
      <c r="O7861" s="22" t="str">
        <f>HYPERLINK("https://pbs.twimg.com/profile_images/741662807733731328/Y2mwjEsX_normal.jpg","View")</f>
        <v>View</v>
      </c>
      <c r="P7861" s="27"/>
    </row>
    <row r="7862">
      <c r="A7862" s="14">
        <v>43031.679884259254</v>
      </c>
      <c r="B7862" s="20" t="str">
        <f>HYPERLINK("https://twitter.com/patdeleon59","@patdeleon59")</f>
        <v>@patdeleon59</v>
      </c>
      <c r="C7862" s="21" t="s">
        <v>17452</v>
      </c>
      <c r="D7862" s="21" t="s">
        <v>17453</v>
      </c>
      <c r="E7862" s="22" t="str">
        <f>HYPERLINK("https://twitter.com/patdeleon59/status/922603298011492352","922603298011492352")</f>
        <v>922603298011492352</v>
      </c>
      <c r="F7862" s="23" t="s">
        <v>230</v>
      </c>
      <c r="G7862" s="24">
        <v>498.0</v>
      </c>
      <c r="H7862" s="24">
        <v>271.0</v>
      </c>
      <c r="I7862" s="24">
        <v>2.0</v>
      </c>
      <c r="J7862" s="24">
        <v>0.0</v>
      </c>
      <c r="K7862" s="23" t="s">
        <v>34</v>
      </c>
      <c r="L7862" s="25">
        <v>41476.7043287037</v>
      </c>
      <c r="M7862" s="28"/>
      <c r="N7862" s="26" t="s">
        <v>17454</v>
      </c>
      <c r="O7862" s="22" t="str">
        <f>HYPERLINK("https://pbs.twimg.com/profile_images/735979620957229056/x7lqGKAn_normal.jpg","View")</f>
        <v>View</v>
      </c>
      <c r="P7862" s="27"/>
    </row>
    <row r="7863">
      <c r="A7863" s="14">
        <v>43031.68025462963</v>
      </c>
      <c r="B7863" s="20" t="str">
        <f>HYPERLINK("https://twitter.com/BCquakehelp","@BCquakehelp")</f>
        <v>@BCquakehelp</v>
      </c>
      <c r="C7863" s="21" t="s">
        <v>17455</v>
      </c>
      <c r="D7863" s="21" t="s">
        <v>17363</v>
      </c>
      <c r="E7863" s="22" t="str">
        <f>HYPERLINK("https://twitter.com/BCquakehelp/status/922603432506155008","922603432506155008")</f>
        <v>922603432506155008</v>
      </c>
      <c r="F7863" s="23" t="s">
        <v>55</v>
      </c>
      <c r="G7863" s="24">
        <v>3733.0</v>
      </c>
      <c r="H7863" s="24">
        <v>661.0</v>
      </c>
      <c r="I7863" s="24">
        <v>17.0</v>
      </c>
      <c r="J7863" s="24">
        <v>0.0</v>
      </c>
      <c r="K7863" s="23" t="s">
        <v>34</v>
      </c>
      <c r="L7863" s="25">
        <v>42999.020428240736</v>
      </c>
      <c r="M7863" s="26" t="s">
        <v>17456</v>
      </c>
      <c r="N7863" s="26" t="s">
        <v>17457</v>
      </c>
      <c r="O7863" s="22" t="str">
        <f>HYPERLINK("https://pbs.twimg.com/profile_images/914369314467209216/YAe3PsvC_normal.jpg","View")</f>
        <v>View</v>
      </c>
      <c r="P7863" s="27"/>
    </row>
    <row r="7864">
      <c r="A7864" s="14">
        <v>43031.68028935185</v>
      </c>
      <c r="B7864" s="20" t="str">
        <f>HYPERLINK("https://twitter.com/grjapan","@grjapan")</f>
        <v>@grjapan</v>
      </c>
      <c r="C7864" s="21" t="s">
        <v>17458</v>
      </c>
      <c r="D7864" s="21" t="s">
        <v>17459</v>
      </c>
      <c r="E7864" s="22" t="str">
        <f>HYPERLINK("https://twitter.com/grjapan/status/922603446280249344","922603446280249344")</f>
        <v>922603446280249344</v>
      </c>
      <c r="F7864" s="23" t="s">
        <v>48</v>
      </c>
      <c r="G7864" s="24">
        <v>106.0</v>
      </c>
      <c r="H7864" s="24">
        <v>155.0</v>
      </c>
      <c r="I7864" s="24">
        <v>0.0</v>
      </c>
      <c r="J7864" s="24">
        <v>1.0</v>
      </c>
      <c r="K7864" s="23" t="s">
        <v>34</v>
      </c>
      <c r="L7864" s="25">
        <v>40229.14163194445</v>
      </c>
      <c r="M7864" s="28"/>
      <c r="N7864" s="26" t="s">
        <v>17460</v>
      </c>
      <c r="O7864" s="22" t="str">
        <f>HYPERLINK("https://pbs.twimg.com/profile_images/697377498909179905/VuMTWl2W_normal.png","View")</f>
        <v>View</v>
      </c>
      <c r="P7864" s="27"/>
    </row>
    <row r="7865">
      <c r="A7865" s="14">
        <v>43031.68071759259</v>
      </c>
      <c r="B7865" s="20" t="str">
        <f>HYPERLINK("https://twitter.com/mahanthanut","@mahanthanut")</f>
        <v>@mahanthanut</v>
      </c>
      <c r="C7865" s="21" t="s">
        <v>3630</v>
      </c>
      <c r="D7865" s="21" t="s">
        <v>17453</v>
      </c>
      <c r="E7865" s="22" t="str">
        <f>HYPERLINK("https://twitter.com/mahanthanut/status/922603600110432256","922603600110432256")</f>
        <v>922603600110432256</v>
      </c>
      <c r="F7865" s="23" t="s">
        <v>39</v>
      </c>
      <c r="G7865" s="24">
        <v>757.0</v>
      </c>
      <c r="H7865" s="24">
        <v>1962.0</v>
      </c>
      <c r="I7865" s="24">
        <v>2.0</v>
      </c>
      <c r="J7865" s="24">
        <v>0.0</v>
      </c>
      <c r="K7865" s="23" t="s">
        <v>34</v>
      </c>
      <c r="L7865" s="25">
        <v>42066.306504629625</v>
      </c>
      <c r="M7865" s="28"/>
      <c r="N7865" s="28"/>
      <c r="O7865" s="22" t="str">
        <f>HYPERLINK("https://pbs.twimg.com/profile_images/602460467231985666/I5K3SbBA_normal.jpg","View")</f>
        <v>View</v>
      </c>
      <c r="P7865" s="27"/>
    </row>
    <row r="7866">
      <c r="A7866" s="14">
        <v>43031.68072916666</v>
      </c>
      <c r="B7866" s="20" t="str">
        <f>HYPERLINK("https://twitter.com/KLowgren","@KLowgren")</f>
        <v>@KLowgren</v>
      </c>
      <c r="C7866" s="21" t="s">
        <v>17461</v>
      </c>
      <c r="D7866" s="21" t="s">
        <v>16537</v>
      </c>
      <c r="E7866" s="22" t="str">
        <f>HYPERLINK("https://twitter.com/KLowgren/status/922603607953891328","922603607953891328")</f>
        <v>922603607953891328</v>
      </c>
      <c r="F7866" s="23" t="s">
        <v>55</v>
      </c>
      <c r="G7866" s="24">
        <v>1660.0</v>
      </c>
      <c r="H7866" s="24">
        <v>1880.0</v>
      </c>
      <c r="I7866" s="24">
        <v>242.0</v>
      </c>
      <c r="J7866" s="24">
        <v>0.0</v>
      </c>
      <c r="K7866" s="23" t="s">
        <v>34</v>
      </c>
      <c r="L7866" s="25">
        <v>41250.97855324074</v>
      </c>
      <c r="M7866" s="28"/>
      <c r="N7866" s="26" t="s">
        <v>17462</v>
      </c>
      <c r="O7866" s="22" t="str">
        <f>HYPERLINK("https://pbs.twimg.com/profile_images/3222195807/aee0dc018a1e68a4cc047139d31a150a_normal.jpeg","View")</f>
        <v>View</v>
      </c>
      <c r="P7866" s="27"/>
    </row>
    <row r="7867">
      <c r="A7867" s="14">
        <v>43031.68193287037</v>
      </c>
      <c r="B7867" s="20" t="str">
        <f>HYPERLINK("https://twitter.com/Ne1th_","@Ne1th_")</f>
        <v>@Ne1th_</v>
      </c>
      <c r="C7867" s="21" t="s">
        <v>17448</v>
      </c>
      <c r="D7867" s="21" t="s">
        <v>17463</v>
      </c>
      <c r="E7867" s="22" t="str">
        <f>HYPERLINK("https://twitter.com/Ne1th_/status/922604041858945025","922604041858945025")</f>
        <v>922604041858945025</v>
      </c>
      <c r="F7867" s="23" t="s">
        <v>39</v>
      </c>
      <c r="G7867" s="24">
        <v>58.0</v>
      </c>
      <c r="H7867" s="24">
        <v>122.0</v>
      </c>
      <c r="I7867" s="24">
        <v>0.0</v>
      </c>
      <c r="J7867" s="24">
        <v>0.0</v>
      </c>
      <c r="K7867" s="23" t="s">
        <v>34</v>
      </c>
      <c r="L7867" s="25">
        <v>40623.21202546296</v>
      </c>
      <c r="M7867" s="26" t="s">
        <v>17450</v>
      </c>
      <c r="N7867" s="26" t="s">
        <v>17451</v>
      </c>
      <c r="O7867" s="22" t="str">
        <f>HYPERLINK("https://pbs.twimg.com/profile_images/741662807733731328/Y2mwjEsX_normal.jpg","View")</f>
        <v>View</v>
      </c>
      <c r="P7867" s="27"/>
    </row>
    <row r="7868">
      <c r="A7868" s="14">
        <v>43031.681967592594</v>
      </c>
      <c r="B7868" s="20" t="str">
        <f>HYPERLINK("https://twitter.com/mikemoran36","@mikemoran36")</f>
        <v>@mikemoran36</v>
      </c>
      <c r="C7868" s="21" t="s">
        <v>17464</v>
      </c>
      <c r="D7868" s="21" t="s">
        <v>17465</v>
      </c>
      <c r="E7868" s="22" t="str">
        <f>HYPERLINK("https://twitter.com/mikemoran36/status/922604056257822720","922604056257822720")</f>
        <v>922604056257822720</v>
      </c>
      <c r="F7868" s="23" t="s">
        <v>55</v>
      </c>
      <c r="G7868" s="24">
        <v>117.0</v>
      </c>
      <c r="H7868" s="24">
        <v>464.0</v>
      </c>
      <c r="I7868" s="24">
        <v>0.0</v>
      </c>
      <c r="J7868" s="24">
        <v>0.0</v>
      </c>
      <c r="K7868" s="23" t="s">
        <v>34</v>
      </c>
      <c r="L7868" s="25">
        <v>41868.55991898148</v>
      </c>
      <c r="M7868" s="26" t="s">
        <v>4052</v>
      </c>
      <c r="N7868" s="26" t="s">
        <v>17466</v>
      </c>
      <c r="O7868" s="22" t="str">
        <f>HYPERLINK("https://abs.twimg.com/sticky/default_profile_images/default_profile_normal.png","View")</f>
        <v>View</v>
      </c>
      <c r="P7868" s="27"/>
    </row>
    <row r="7869">
      <c r="A7869" s="14">
        <v>43031.68274305556</v>
      </c>
      <c r="B7869" s="20" t="str">
        <f>HYPERLINK("https://twitter.com/Ethos68","@Ethos68")</f>
        <v>@Ethos68</v>
      </c>
      <c r="C7869" s="21" t="s">
        <v>17467</v>
      </c>
      <c r="D7869" s="21" t="s">
        <v>16208</v>
      </c>
      <c r="E7869" s="22" t="str">
        <f>HYPERLINK("https://twitter.com/Ethos68/status/922604336244334593","922604336244334593")</f>
        <v>922604336244334593</v>
      </c>
      <c r="F7869" s="23" t="s">
        <v>230</v>
      </c>
      <c r="G7869" s="24">
        <v>249.0</v>
      </c>
      <c r="H7869" s="24">
        <v>987.0</v>
      </c>
      <c r="I7869" s="24">
        <v>41.0</v>
      </c>
      <c r="J7869" s="24">
        <v>0.0</v>
      </c>
      <c r="K7869" s="23" t="s">
        <v>34</v>
      </c>
      <c r="L7869" s="25">
        <v>40012.36777777778</v>
      </c>
      <c r="M7869" s="26" t="s">
        <v>17468</v>
      </c>
      <c r="N7869" s="26" t="s">
        <v>17469</v>
      </c>
      <c r="O7869" s="22" t="str">
        <f>HYPERLINK("https://pbs.twimg.com/profile_images/872854957740802048/FkO6yrOE_normal.jpg","View")</f>
        <v>View</v>
      </c>
      <c r="P7869" s="27"/>
    </row>
    <row r="7870">
      <c r="A7870" s="14">
        <v>43031.68341435185</v>
      </c>
      <c r="B7870" s="20" t="str">
        <f>HYPERLINK("https://twitter.com/onayamigb","@onayamigb")</f>
        <v>@onayamigb</v>
      </c>
      <c r="C7870" s="21" t="s">
        <v>16528</v>
      </c>
      <c r="D7870" s="21" t="s">
        <v>17470</v>
      </c>
      <c r="E7870" s="22" t="str">
        <f>HYPERLINK("https://twitter.com/onayamigb/status/922604577181986816","922604577181986816")</f>
        <v>922604577181986816</v>
      </c>
      <c r="F7870" s="30" t="s">
        <v>411</v>
      </c>
      <c r="G7870" s="24">
        <v>1085.0</v>
      </c>
      <c r="H7870" s="24">
        <v>1634.0</v>
      </c>
      <c r="I7870" s="24">
        <v>0.0</v>
      </c>
      <c r="J7870" s="24">
        <v>0.0</v>
      </c>
      <c r="K7870" s="23" t="s">
        <v>34</v>
      </c>
      <c r="L7870" s="25">
        <v>42996.599270833336</v>
      </c>
      <c r="M7870" s="26" t="s">
        <v>16530</v>
      </c>
      <c r="N7870" s="26" t="s">
        <v>16531</v>
      </c>
      <c r="O7870" s="22" t="str">
        <f>HYPERLINK("https://pbs.twimg.com/profile_images/909906069429698560/Agj-mjoa_normal.jpg","View")</f>
        <v>View</v>
      </c>
      <c r="P7870" s="27"/>
    </row>
    <row r="7871">
      <c r="A7871" s="14">
        <v>43031.68351851852</v>
      </c>
      <c r="B7871" s="20" t="str">
        <f>HYPERLINK("https://twitter.com/KrushanJ","@KrushanJ")</f>
        <v>@KrushanJ</v>
      </c>
      <c r="C7871" s="21" t="s">
        <v>17471</v>
      </c>
      <c r="D7871" s="21" t="s">
        <v>430</v>
      </c>
      <c r="E7871" s="22" t="str">
        <f>HYPERLINK("https://twitter.com/KrushanJ/status/922604618210623489","922604618210623489")</f>
        <v>922604618210623489</v>
      </c>
      <c r="F7871" s="23" t="s">
        <v>33</v>
      </c>
      <c r="G7871" s="24">
        <v>218.0</v>
      </c>
      <c r="H7871" s="24">
        <v>642.0</v>
      </c>
      <c r="I7871" s="24">
        <v>62.0</v>
      </c>
      <c r="J7871" s="24">
        <v>0.0</v>
      </c>
      <c r="K7871" s="23" t="s">
        <v>34</v>
      </c>
      <c r="L7871" s="25">
        <v>42001.87479166666</v>
      </c>
      <c r="M7871" s="26" t="s">
        <v>1354</v>
      </c>
      <c r="N7871" s="26" t="s">
        <v>17472</v>
      </c>
      <c r="O7871" s="22" t="str">
        <f>HYPERLINK("https://pbs.twimg.com/profile_images/906327514963894272/jvPNyPJW_normal.jpg","View")</f>
        <v>View</v>
      </c>
      <c r="P7871" s="27"/>
    </row>
    <row r="7872">
      <c r="A7872" s="14">
        <v>43031.68375</v>
      </c>
      <c r="B7872" s="20" t="str">
        <f>HYPERLINK("https://twitter.com/mahanthanut","@mahanthanut")</f>
        <v>@mahanthanut</v>
      </c>
      <c r="C7872" s="21" t="s">
        <v>3630</v>
      </c>
      <c r="D7872" s="21" t="s">
        <v>16946</v>
      </c>
      <c r="E7872" s="22" t="str">
        <f>HYPERLINK("https://twitter.com/mahanthanut/status/922604699089436673","922604699089436673")</f>
        <v>922604699089436673</v>
      </c>
      <c r="F7872" s="23" t="s">
        <v>39</v>
      </c>
      <c r="G7872" s="24">
        <v>757.0</v>
      </c>
      <c r="H7872" s="24">
        <v>1962.0</v>
      </c>
      <c r="I7872" s="24">
        <v>6.0</v>
      </c>
      <c r="J7872" s="24">
        <v>0.0</v>
      </c>
      <c r="K7872" s="23" t="s">
        <v>34</v>
      </c>
      <c r="L7872" s="25">
        <v>42066.306504629625</v>
      </c>
      <c r="M7872" s="28"/>
      <c r="N7872" s="28"/>
      <c r="O7872" s="22" t="str">
        <f>HYPERLINK("https://pbs.twimg.com/profile_images/602460467231985666/I5K3SbBA_normal.jpg","View")</f>
        <v>View</v>
      </c>
      <c r="P7872" s="27"/>
    </row>
    <row r="7873">
      <c r="A7873" s="14">
        <v>43031.68427083333</v>
      </c>
      <c r="B7873" s="20" t="str">
        <f>HYPERLINK("https://twitter.com/bllshbrsh","@bllshbrsh")</f>
        <v>@bllshbrsh</v>
      </c>
      <c r="C7873" s="21" t="s">
        <v>138</v>
      </c>
      <c r="D7873" s="21" t="s">
        <v>17473</v>
      </c>
      <c r="E7873" s="22" t="str">
        <f>HYPERLINK("https://twitter.com/bllshbrsh/status/922604889485783041","922604889485783041")</f>
        <v>922604889485783041</v>
      </c>
      <c r="F7873" s="23" t="s">
        <v>140</v>
      </c>
      <c r="G7873" s="24">
        <v>6148.0</v>
      </c>
      <c r="H7873" s="24">
        <v>6416.0</v>
      </c>
      <c r="I7873" s="24">
        <v>0.0</v>
      </c>
      <c r="J7873" s="24">
        <v>0.0</v>
      </c>
      <c r="K7873" s="23" t="s">
        <v>34</v>
      </c>
      <c r="L7873" s="25">
        <v>42682.29137731482</v>
      </c>
      <c r="M7873" s="28"/>
      <c r="N7873" s="28"/>
      <c r="O7873" s="22" t="str">
        <f>HYPERLINK("https://pbs.twimg.com/profile_images/825303907752673284/OSI50AgE_normal.jpg","View")</f>
        <v>View</v>
      </c>
      <c r="P7873" s="27"/>
    </row>
    <row r="7874">
      <c r="A7874" s="14">
        <v>43031.684537037036</v>
      </c>
      <c r="B7874" s="20" t="str">
        <f>HYPERLINK("https://twitter.com/Tim_Chan_","@Tim_Chan_")</f>
        <v>@Tim_Chan_</v>
      </c>
      <c r="C7874" s="21" t="s">
        <v>17474</v>
      </c>
      <c r="D7874" s="21" t="s">
        <v>10614</v>
      </c>
      <c r="E7874" s="22" t="str">
        <f>HYPERLINK("https://twitter.com/Tim_Chan_/status/922604987632328704","922604987632328704")</f>
        <v>922604987632328704</v>
      </c>
      <c r="F7874" s="23" t="s">
        <v>33</v>
      </c>
      <c r="G7874" s="24">
        <v>425.0</v>
      </c>
      <c r="H7874" s="24">
        <v>742.0</v>
      </c>
      <c r="I7874" s="24">
        <v>159.0</v>
      </c>
      <c r="J7874" s="24">
        <v>0.0</v>
      </c>
      <c r="K7874" s="23" t="s">
        <v>34</v>
      </c>
      <c r="L7874" s="25">
        <v>41762.251921296294</v>
      </c>
      <c r="M7874" s="26" t="s">
        <v>10713</v>
      </c>
      <c r="N7874" s="26" t="s">
        <v>17475</v>
      </c>
      <c r="O7874" s="22" t="str">
        <f>HYPERLINK("https://pbs.twimg.com/profile_images/665386371440226304/WkPRkbJQ_normal.jpg","View")</f>
        <v>View</v>
      </c>
      <c r="P7874" s="27"/>
    </row>
    <row r="7875">
      <c r="A7875" s="14">
        <v>43031.68466435185</v>
      </c>
      <c r="B7875" s="20" t="str">
        <f>HYPERLINK("https://twitter.com/KrushanJ","@KrushanJ")</f>
        <v>@KrushanJ</v>
      </c>
      <c r="C7875" s="21" t="s">
        <v>17471</v>
      </c>
      <c r="D7875" s="21" t="s">
        <v>42</v>
      </c>
      <c r="E7875" s="22" t="str">
        <f>HYPERLINK("https://twitter.com/KrushanJ/status/922605032175841280","922605032175841280")</f>
        <v>922605032175841280</v>
      </c>
      <c r="F7875" s="23" t="s">
        <v>33</v>
      </c>
      <c r="G7875" s="24">
        <v>218.0</v>
      </c>
      <c r="H7875" s="24">
        <v>642.0</v>
      </c>
      <c r="I7875" s="24">
        <v>8501.0</v>
      </c>
      <c r="J7875" s="24">
        <v>0.0</v>
      </c>
      <c r="K7875" s="23" t="s">
        <v>34</v>
      </c>
      <c r="L7875" s="25">
        <v>42001.87479166666</v>
      </c>
      <c r="M7875" s="26" t="s">
        <v>1354</v>
      </c>
      <c r="N7875" s="26" t="s">
        <v>17472</v>
      </c>
      <c r="O7875" s="22" t="str">
        <f>HYPERLINK("https://pbs.twimg.com/profile_images/906327514963894272/jvPNyPJW_normal.jpg","View")</f>
        <v>View</v>
      </c>
      <c r="P7875" s="27"/>
    </row>
    <row r="7876">
      <c r="A7876" s="14">
        <v>43031.68476851852</v>
      </c>
      <c r="B7876" s="20" t="str">
        <f>HYPERLINK("https://twitter.com/DallarteJoana","@DallarteJoana")</f>
        <v>@DallarteJoana</v>
      </c>
      <c r="C7876" s="21" t="s">
        <v>17476</v>
      </c>
      <c r="D7876" s="21" t="s">
        <v>16537</v>
      </c>
      <c r="E7876" s="22" t="str">
        <f>HYPERLINK("https://twitter.com/DallarteJoana/status/922605069454807043","922605069454807043")</f>
        <v>922605069454807043</v>
      </c>
      <c r="F7876" s="23" t="s">
        <v>33</v>
      </c>
      <c r="G7876" s="24">
        <v>41.0</v>
      </c>
      <c r="H7876" s="24">
        <v>115.0</v>
      </c>
      <c r="I7876" s="24">
        <v>242.0</v>
      </c>
      <c r="J7876" s="24">
        <v>0.0</v>
      </c>
      <c r="K7876" s="23" t="s">
        <v>34</v>
      </c>
      <c r="L7876" s="25">
        <v>42957.21387731482</v>
      </c>
      <c r="M7876" s="26" t="s">
        <v>17477</v>
      </c>
      <c r="N7876" s="26" t="s">
        <v>17478</v>
      </c>
      <c r="O7876" s="22" t="str">
        <f>HYPERLINK("https://pbs.twimg.com/profile_images/918193078367789056/ZT-DCeOo_normal.jpg","View")</f>
        <v>View</v>
      </c>
      <c r="P7876" s="27"/>
    </row>
    <row r="7877">
      <c r="A7877" s="14">
        <v>43031.68486111111</v>
      </c>
      <c r="B7877" s="20" t="str">
        <f>HYPERLINK("https://twitter.com/xxstallonexxx","@xxstallonexxx")</f>
        <v>@xxstallonexxx</v>
      </c>
      <c r="C7877" s="21" t="s">
        <v>17479</v>
      </c>
      <c r="D7877" s="21" t="s">
        <v>17480</v>
      </c>
      <c r="E7877" s="22" t="str">
        <f>HYPERLINK("https://twitter.com/xxstallonexxx/status/922605102090788864","922605102090788864")</f>
        <v>922605102090788864</v>
      </c>
      <c r="F7877" s="23" t="s">
        <v>55</v>
      </c>
      <c r="G7877" s="24">
        <v>100.0</v>
      </c>
      <c r="H7877" s="24">
        <v>108.0</v>
      </c>
      <c r="I7877" s="24">
        <v>1.0</v>
      </c>
      <c r="J7877" s="24">
        <v>0.0</v>
      </c>
      <c r="K7877" s="23" t="s">
        <v>34</v>
      </c>
      <c r="L7877" s="25">
        <v>42555.26306712963</v>
      </c>
      <c r="M7877" s="26" t="s">
        <v>17481</v>
      </c>
      <c r="N7877" s="26" t="s">
        <v>17482</v>
      </c>
      <c r="O7877" s="22" t="str">
        <f>HYPERLINK("https://pbs.twimg.com/profile_images/855426360629641216/6w13eK66_normal.jpg","View")</f>
        <v>View</v>
      </c>
      <c r="P7877" s="27"/>
    </row>
    <row r="7878">
      <c r="A7878" s="14">
        <v>43031.685682870375</v>
      </c>
      <c r="B7878" s="20" t="str">
        <f>HYPERLINK("https://twitter.com/saera09","@saera09")</f>
        <v>@saera09</v>
      </c>
      <c r="C7878" s="21" t="s">
        <v>17483</v>
      </c>
      <c r="D7878" s="21" t="s">
        <v>1642</v>
      </c>
      <c r="E7878" s="22" t="str">
        <f>HYPERLINK("https://twitter.com/saera09/status/922605402335846400","922605402335846400")</f>
        <v>922605402335846400</v>
      </c>
      <c r="F7878" s="23" t="s">
        <v>33</v>
      </c>
      <c r="G7878" s="24">
        <v>133.0</v>
      </c>
      <c r="H7878" s="24">
        <v>43.0</v>
      </c>
      <c r="I7878" s="24">
        <v>199.0</v>
      </c>
      <c r="J7878" s="24">
        <v>0.0</v>
      </c>
      <c r="K7878" s="23" t="s">
        <v>34</v>
      </c>
      <c r="L7878" s="25">
        <v>40248.36015046296</v>
      </c>
      <c r="M7878" s="26" t="s">
        <v>1518</v>
      </c>
      <c r="N7878" s="26" t="s">
        <v>17484</v>
      </c>
      <c r="O7878" s="22" t="str">
        <f>HYPERLINK("https://pbs.twimg.com/profile_images/1010955458/329837500.0_ed_ed_normal.jpg","View")</f>
        <v>View</v>
      </c>
      <c r="P7878" s="27"/>
    </row>
    <row r="7879">
      <c r="A7879" s="14">
        <v>43031.68604166667</v>
      </c>
      <c r="B7879" s="20" t="str">
        <f>HYPERLINK("https://twitter.com/adamfwalsh","@adamfwalsh")</f>
        <v>@adamfwalsh</v>
      </c>
      <c r="C7879" s="21" t="s">
        <v>17485</v>
      </c>
      <c r="D7879" s="21" t="s">
        <v>17363</v>
      </c>
      <c r="E7879" s="22" t="str">
        <f>HYPERLINK("https://twitter.com/adamfwalsh/status/922605529297334272","922605529297334272")</f>
        <v>922605529297334272</v>
      </c>
      <c r="F7879" s="23" t="s">
        <v>39</v>
      </c>
      <c r="G7879" s="24">
        <v>8734.0</v>
      </c>
      <c r="H7879" s="24">
        <v>5899.0</v>
      </c>
      <c r="I7879" s="24">
        <v>17.0</v>
      </c>
      <c r="J7879" s="24">
        <v>0.0</v>
      </c>
      <c r="K7879" s="23" t="s">
        <v>34</v>
      </c>
      <c r="L7879" s="25">
        <v>40639.73148148148</v>
      </c>
      <c r="M7879" s="26" t="s">
        <v>853</v>
      </c>
      <c r="N7879" s="26" t="s">
        <v>17486</v>
      </c>
      <c r="O7879" s="22" t="str">
        <f>HYPERLINK("https://pbs.twimg.com/profile_images/664459266783387648/hVHHF38B_normal.jpg","View")</f>
        <v>View</v>
      </c>
      <c r="P7879" s="27"/>
    </row>
    <row r="7880">
      <c r="A7880" s="14">
        <v>43031.686064814814</v>
      </c>
      <c r="B7880" s="20" t="str">
        <f>HYPERLINK("https://twitter.com/Brewtos","@Brewtos")</f>
        <v>@Brewtos</v>
      </c>
      <c r="C7880" s="21" t="s">
        <v>17487</v>
      </c>
      <c r="D7880" s="21" t="s">
        <v>825</v>
      </c>
      <c r="E7880" s="22" t="str">
        <f>HYPERLINK("https://twitter.com/Brewtos/status/922605540739514369","922605540739514369")</f>
        <v>922605540739514369</v>
      </c>
      <c r="F7880" s="23" t="s">
        <v>33</v>
      </c>
      <c r="G7880" s="24">
        <v>133.0</v>
      </c>
      <c r="H7880" s="24">
        <v>100.0</v>
      </c>
      <c r="I7880" s="24">
        <v>109.0</v>
      </c>
      <c r="J7880" s="24">
        <v>0.0</v>
      </c>
      <c r="K7880" s="23" t="s">
        <v>34</v>
      </c>
      <c r="L7880" s="25">
        <v>40209.47920138889</v>
      </c>
      <c r="M7880" s="26" t="s">
        <v>14204</v>
      </c>
      <c r="N7880" s="26" t="s">
        <v>17488</v>
      </c>
      <c r="O7880" s="22" t="str">
        <f>HYPERLINK("https://pbs.twimg.com/profile_images/884950432480608258/UWWzBu1o_normal.jpg","View")</f>
        <v>View</v>
      </c>
      <c r="P7880" s="27"/>
    </row>
    <row r="7881">
      <c r="A7881" s="14">
        <v>43031.686215277776</v>
      </c>
      <c r="B7881" s="20" t="str">
        <f>HYPERLINK("https://twitter.com/dot_tube","@dot_tube")</f>
        <v>@dot_tube</v>
      </c>
      <c r="C7881" s="21" t="s">
        <v>17489</v>
      </c>
      <c r="D7881" s="21" t="s">
        <v>17490</v>
      </c>
      <c r="E7881" s="22" t="str">
        <f>HYPERLINK("https://twitter.com/dot_tube/status/922605594183286784","922605594183286784")</f>
        <v>922605594183286784</v>
      </c>
      <c r="F7881" s="30" t="s">
        <v>411</v>
      </c>
      <c r="G7881" s="24">
        <v>138.0</v>
      </c>
      <c r="H7881" s="24">
        <v>1.0</v>
      </c>
      <c r="I7881" s="24">
        <v>0.0</v>
      </c>
      <c r="J7881" s="24">
        <v>0.0</v>
      </c>
      <c r="K7881" s="23" t="s">
        <v>34</v>
      </c>
      <c r="L7881" s="25">
        <v>41214.746724537035</v>
      </c>
      <c r="M7881" s="28"/>
      <c r="N7881" s="26" t="s">
        <v>17491</v>
      </c>
      <c r="O7881" s="22" t="str">
        <f>HYPERLINK("https://pbs.twimg.com/profile_images/3371858656/690a473b5d341e424a2ed115a01fc463_normal.png","View")</f>
        <v>View</v>
      </c>
      <c r="P7881" s="27"/>
    </row>
    <row r="7882">
      <c r="A7882" s="14">
        <v>43031.68653935185</v>
      </c>
      <c r="B7882" s="20" t="str">
        <f>HYPERLINK("https://twitter.com/Horton47Robin","@Horton47Robin")</f>
        <v>@Horton47Robin</v>
      </c>
      <c r="C7882" s="21" t="s">
        <v>17492</v>
      </c>
      <c r="D7882" s="21" t="s">
        <v>16537</v>
      </c>
      <c r="E7882" s="22" t="str">
        <f>HYPERLINK("https://twitter.com/Horton47Robin/status/922605712877944836","922605712877944836")</f>
        <v>922605712877944836</v>
      </c>
      <c r="F7882" s="23" t="s">
        <v>33</v>
      </c>
      <c r="G7882" s="24">
        <v>293.0</v>
      </c>
      <c r="H7882" s="24">
        <v>310.0</v>
      </c>
      <c r="I7882" s="24">
        <v>242.0</v>
      </c>
      <c r="J7882" s="24">
        <v>0.0</v>
      </c>
      <c r="K7882" s="23" t="s">
        <v>34</v>
      </c>
      <c r="L7882" s="25">
        <v>42065.88915509259</v>
      </c>
      <c r="M7882" s="26" t="s">
        <v>14200</v>
      </c>
      <c r="N7882" s="28"/>
      <c r="O7882" s="22" t="str">
        <f>HYPERLINK("https://pbs.twimg.com/profile_images/891723838924390400/D2JXMWVJ_normal.jpg","View")</f>
        <v>View</v>
      </c>
      <c r="P7882" s="27"/>
    </row>
    <row r="7883">
      <c r="A7883" s="14">
        <v>43031.68680555555</v>
      </c>
      <c r="B7883" s="20" t="str">
        <f>HYPERLINK("https://twitter.com/cherry_bomb_b","@cherry_bomb_b")</f>
        <v>@cherry_bomb_b</v>
      </c>
      <c r="C7883" s="21" t="s">
        <v>17493</v>
      </c>
      <c r="D7883" s="21" t="s">
        <v>17494</v>
      </c>
      <c r="E7883" s="22" t="str">
        <f>HYPERLINK("https://twitter.com/cherry_bomb_b/status/922605807501434881","922605807501434881")</f>
        <v>922605807501434881</v>
      </c>
      <c r="F7883" s="30" t="s">
        <v>659</v>
      </c>
      <c r="G7883" s="24">
        <v>106.0</v>
      </c>
      <c r="H7883" s="24">
        <v>20.0</v>
      </c>
      <c r="I7883" s="24">
        <v>0.0</v>
      </c>
      <c r="J7883" s="24">
        <v>0.0</v>
      </c>
      <c r="K7883" s="23" t="s">
        <v>34</v>
      </c>
      <c r="L7883" s="25">
        <v>41361.3909375</v>
      </c>
      <c r="M7883" s="28"/>
      <c r="N7883" s="35" t="s">
        <v>17495</v>
      </c>
      <c r="O7883" s="22" t="str">
        <f>HYPERLINK("https://pbs.twimg.com/profile_images/485538395003695105/6qrkHv1c_normal.png","View")</f>
        <v>View</v>
      </c>
      <c r="P7883" s="27"/>
    </row>
    <row r="7884">
      <c r="A7884" s="14">
        <v>43031.68682870371</v>
      </c>
      <c r="B7884" s="20" t="str">
        <f>HYPERLINK("https://twitter.com/WSJmarkets","@WSJmarkets")</f>
        <v>@WSJmarkets</v>
      </c>
      <c r="C7884" s="21" t="s">
        <v>10591</v>
      </c>
      <c r="D7884" s="21" t="s">
        <v>17496</v>
      </c>
      <c r="E7884" s="22" t="str">
        <f>HYPERLINK("https://twitter.com/WSJmarkets/status/922605816242409472","922605816242409472")</f>
        <v>922605816242409472</v>
      </c>
      <c r="F7884" s="23" t="s">
        <v>1103</v>
      </c>
      <c r="G7884" s="24">
        <v>458849.0</v>
      </c>
      <c r="H7884" s="24">
        <v>402.0</v>
      </c>
      <c r="I7884" s="24">
        <v>3.0</v>
      </c>
      <c r="J7884" s="24">
        <v>1.0</v>
      </c>
      <c r="K7884" s="23" t="s">
        <v>34</v>
      </c>
      <c r="L7884" s="25">
        <v>39904.48908564815</v>
      </c>
      <c r="M7884" s="26" t="s">
        <v>2534</v>
      </c>
      <c r="N7884" s="26" t="s">
        <v>10593</v>
      </c>
      <c r="O7884" s="22" t="str">
        <f>HYPERLINK("https://pbs.twimg.com/profile_images/509786301680205825/1D5ibpnj_normal.jpeg","View")</f>
        <v>View</v>
      </c>
      <c r="P7884" s="27"/>
    </row>
    <row r="7885">
      <c r="A7885" s="14">
        <v>43031.68701388889</v>
      </c>
      <c r="B7885" s="20" t="str">
        <f>HYPERLINK("https://twitter.com/Loupo85","@Loupo85")</f>
        <v>@Loupo85</v>
      </c>
      <c r="C7885" s="21" t="s">
        <v>17497</v>
      </c>
      <c r="D7885" s="21" t="s">
        <v>17498</v>
      </c>
      <c r="E7885" s="22" t="str">
        <f>HYPERLINK("https://twitter.com/Loupo85/status/922605885440102400","922605885440102400")</f>
        <v>922605885440102400</v>
      </c>
      <c r="F7885" s="23" t="s">
        <v>769</v>
      </c>
      <c r="G7885" s="24">
        <v>4151.0</v>
      </c>
      <c r="H7885" s="24">
        <v>2165.0</v>
      </c>
      <c r="I7885" s="24">
        <v>3.0</v>
      </c>
      <c r="J7885" s="24">
        <v>0.0</v>
      </c>
      <c r="K7885" s="23" t="s">
        <v>34</v>
      </c>
      <c r="L7885" s="25">
        <v>40523.27170138889</v>
      </c>
      <c r="M7885" s="26" t="s">
        <v>17499</v>
      </c>
      <c r="N7885" s="26" t="s">
        <v>17500</v>
      </c>
      <c r="O7885" s="22" t="str">
        <f>HYPERLINK("https://pbs.twimg.com/profile_images/896835052641931269/aa61gu2T_normal.jpg","View")</f>
        <v>View</v>
      </c>
      <c r="P7885" s="27"/>
    </row>
    <row r="7886">
      <c r="A7886" s="14">
        <v>43031.687256944446</v>
      </c>
      <c r="B7886" s="20" t="str">
        <f>HYPERLINK("https://twitter.com/WUMoneyClub","@WUMoneyClub")</f>
        <v>@WUMoneyClub</v>
      </c>
      <c r="C7886" s="21" t="s">
        <v>10728</v>
      </c>
      <c r="D7886" s="21" t="s">
        <v>17501</v>
      </c>
      <c r="E7886" s="22" t="str">
        <f>HYPERLINK("https://twitter.com/WUMoneyClub/status/922605970261282816","922605970261282816")</f>
        <v>922605970261282816</v>
      </c>
      <c r="F7886" s="23" t="s">
        <v>187</v>
      </c>
      <c r="G7886" s="24">
        <v>225.0</v>
      </c>
      <c r="H7886" s="24">
        <v>146.0</v>
      </c>
      <c r="I7886" s="24">
        <v>0.0</v>
      </c>
      <c r="J7886" s="24">
        <v>0.0</v>
      </c>
      <c r="K7886" s="23" t="s">
        <v>34</v>
      </c>
      <c r="L7886" s="25">
        <v>42816.47416666667</v>
      </c>
      <c r="M7886" s="26" t="s">
        <v>10730</v>
      </c>
      <c r="N7886" s="26" t="s">
        <v>10731</v>
      </c>
      <c r="O7886" s="22" t="str">
        <f>HYPERLINK("https://pbs.twimg.com/profile_images/844673346134519812/_6GMOztt_normal.jpg","View")</f>
        <v>View</v>
      </c>
      <c r="P7886" s="27"/>
    </row>
    <row r="7887">
      <c r="A7887" s="14">
        <v>43031.687673611115</v>
      </c>
      <c r="B7887" s="20" t="str">
        <f>HYPERLINK("https://twitter.com/BillMattey","@BillMattey")</f>
        <v>@BillMattey</v>
      </c>
      <c r="C7887" s="21" t="s">
        <v>17502</v>
      </c>
      <c r="D7887" s="21" t="s">
        <v>17498</v>
      </c>
      <c r="E7887" s="22" t="str">
        <f>HYPERLINK("https://twitter.com/BillMattey/status/922606122518896640","922606122518896640")</f>
        <v>922606122518896640</v>
      </c>
      <c r="F7887" s="23" t="s">
        <v>230</v>
      </c>
      <c r="G7887" s="24">
        <v>49.0</v>
      </c>
      <c r="H7887" s="24">
        <v>177.0</v>
      </c>
      <c r="I7887" s="24">
        <v>3.0</v>
      </c>
      <c r="J7887" s="24">
        <v>0.0</v>
      </c>
      <c r="K7887" s="23" t="s">
        <v>34</v>
      </c>
      <c r="L7887" s="25">
        <v>40708.50686342592</v>
      </c>
      <c r="M7887" s="28"/>
      <c r="N7887" s="28"/>
      <c r="O7887" s="22" t="str">
        <f>HYPERLINK("https://pbs.twimg.com/profile_images/1396052887/billys_ipone_pics_568_normal.JPG","View")</f>
        <v>View</v>
      </c>
      <c r="P7887" s="27"/>
    </row>
    <row r="7888">
      <c r="A7888" s="14">
        <v>43031.688321759255</v>
      </c>
      <c r="B7888" s="20" t="str">
        <f>HYPERLINK("https://twitter.com/psyco1962","@psyco1962")</f>
        <v>@psyco1962</v>
      </c>
      <c r="C7888" s="21" t="s">
        <v>17503</v>
      </c>
      <c r="D7888" s="21" t="s">
        <v>1642</v>
      </c>
      <c r="E7888" s="22" t="str">
        <f>HYPERLINK("https://twitter.com/psyco1962/status/922606355847921665","922606355847921665")</f>
        <v>922606355847921665</v>
      </c>
      <c r="F7888" s="23" t="s">
        <v>33</v>
      </c>
      <c r="G7888" s="24">
        <v>152.0</v>
      </c>
      <c r="H7888" s="24">
        <v>115.0</v>
      </c>
      <c r="I7888" s="24">
        <v>199.0</v>
      </c>
      <c r="J7888" s="24">
        <v>0.0</v>
      </c>
      <c r="K7888" s="23" t="s">
        <v>34</v>
      </c>
      <c r="L7888" s="25">
        <v>40616.79172453703</v>
      </c>
      <c r="M7888" s="26" t="s">
        <v>17504</v>
      </c>
      <c r="N7888" s="26" t="s">
        <v>17505</v>
      </c>
      <c r="O7888" s="22" t="str">
        <f>HYPERLINK("https://pbs.twimg.com/profile_images/847320558270267392/Uc0uaB8S_normal.jpg","View")</f>
        <v>View</v>
      </c>
      <c r="P7888" s="27"/>
    </row>
    <row r="7889">
      <c r="A7889" s="14">
        <v>43031.688738425924</v>
      </c>
      <c r="B7889" s="20" t="str">
        <f>HYPERLINK("https://twitter.com/IntrepidFF","@IntrepidFF")</f>
        <v>@IntrepidFF</v>
      </c>
      <c r="C7889" s="21" t="s">
        <v>10634</v>
      </c>
      <c r="D7889" s="21" t="s">
        <v>17506</v>
      </c>
      <c r="E7889" s="22" t="str">
        <f>HYPERLINK("https://twitter.com/IntrepidFF/status/922606507568631809","922606507568631809")</f>
        <v>922606507568631809</v>
      </c>
      <c r="F7889" s="23" t="s">
        <v>187</v>
      </c>
      <c r="G7889" s="24">
        <v>78.0</v>
      </c>
      <c r="H7889" s="24">
        <v>144.0</v>
      </c>
      <c r="I7889" s="24">
        <v>0.0</v>
      </c>
      <c r="J7889" s="24">
        <v>0.0</v>
      </c>
      <c r="K7889" s="23" t="s">
        <v>34</v>
      </c>
      <c r="L7889" s="25">
        <v>43007.60690972222</v>
      </c>
      <c r="M7889" s="26" t="s">
        <v>68</v>
      </c>
      <c r="N7889" s="26" t="s">
        <v>10636</v>
      </c>
      <c r="O7889" s="22" t="str">
        <f>HYPERLINK("https://pbs.twimg.com/profile_images/913880163154300928/T7in6NQq_normal.jpg","View")</f>
        <v>View</v>
      </c>
      <c r="P7889" s="27"/>
    </row>
    <row r="7890">
      <c r="A7890" s="14">
        <v>43031.68877314815</v>
      </c>
      <c r="B7890" s="20" t="str">
        <f>HYPERLINK("https://twitter.com/VetrepreneurOne","@VetrepreneurOne")</f>
        <v>@VetrepreneurOne</v>
      </c>
      <c r="C7890" s="21" t="s">
        <v>17507</v>
      </c>
      <c r="D7890" s="21" t="s">
        <v>16537</v>
      </c>
      <c r="E7890" s="22" t="str">
        <f>HYPERLINK("https://twitter.com/VetrepreneurOne/status/922606520747077632","922606520747077632")</f>
        <v>922606520747077632</v>
      </c>
      <c r="F7890" s="23" t="s">
        <v>55</v>
      </c>
      <c r="G7890" s="24">
        <v>857.0</v>
      </c>
      <c r="H7890" s="24">
        <v>856.0</v>
      </c>
      <c r="I7890" s="24">
        <v>242.0</v>
      </c>
      <c r="J7890" s="24">
        <v>0.0</v>
      </c>
      <c r="K7890" s="23" t="s">
        <v>34</v>
      </c>
      <c r="L7890" s="25">
        <v>40057.48945601852</v>
      </c>
      <c r="M7890" s="26" t="s">
        <v>17508</v>
      </c>
      <c r="N7890" s="26" t="s">
        <v>17509</v>
      </c>
      <c r="O7890" s="22" t="str">
        <f>HYPERLINK("https://pbs.twimg.com/profile_images/907061296440504321/DYU9yRXx_normal.jpg","View")</f>
        <v>View</v>
      </c>
      <c r="P7890" s="27"/>
    </row>
    <row r="7891">
      <c r="A7891" s="14">
        <v>43031.689317129625</v>
      </c>
      <c r="B7891" s="20" t="str">
        <f>HYPERLINK("https://twitter.com/jonletman","@jonletman")</f>
        <v>@jonletman</v>
      </c>
      <c r="C7891" s="21" t="s">
        <v>17510</v>
      </c>
      <c r="D7891" s="21" t="s">
        <v>17363</v>
      </c>
      <c r="E7891" s="22" t="str">
        <f>HYPERLINK("https://twitter.com/jonletman/status/922606716822331392","922606716822331392")</f>
        <v>922606716822331392</v>
      </c>
      <c r="F7891" s="23" t="s">
        <v>39</v>
      </c>
      <c r="G7891" s="24">
        <v>3051.0</v>
      </c>
      <c r="H7891" s="24">
        <v>3001.0</v>
      </c>
      <c r="I7891" s="24">
        <v>17.0</v>
      </c>
      <c r="J7891" s="24">
        <v>0.0</v>
      </c>
      <c r="K7891" s="23" t="s">
        <v>34</v>
      </c>
      <c r="L7891" s="25">
        <v>40430.14157407408</v>
      </c>
      <c r="M7891" s="26" t="s">
        <v>17511</v>
      </c>
      <c r="N7891" s="26" t="s">
        <v>17512</v>
      </c>
      <c r="O7891" s="22" t="str">
        <f>HYPERLINK("https://pbs.twimg.com/profile_images/882403668804251652/zaVoBhaC_normal.jpg","View")</f>
        <v>View</v>
      </c>
      <c r="P7891" s="27"/>
    </row>
    <row r="7892">
      <c r="A7892" s="14">
        <v>43031.6893287037</v>
      </c>
      <c r="B7892" s="20" t="str">
        <f>HYPERLINK("https://twitter.com/rajreddynyc","@rajreddynyc")</f>
        <v>@rajreddynyc</v>
      </c>
      <c r="C7892" s="21" t="s">
        <v>17513</v>
      </c>
      <c r="D7892" s="21" t="s">
        <v>163</v>
      </c>
      <c r="E7892" s="22" t="str">
        <f>HYPERLINK("https://twitter.com/rajreddynyc/status/922606720794238976","922606720794238976")</f>
        <v>922606720794238976</v>
      </c>
      <c r="F7892" s="23" t="s">
        <v>33</v>
      </c>
      <c r="G7892" s="24">
        <v>182.0</v>
      </c>
      <c r="H7892" s="24">
        <v>52.0</v>
      </c>
      <c r="I7892" s="24">
        <v>1005.0</v>
      </c>
      <c r="J7892" s="24">
        <v>0.0</v>
      </c>
      <c r="K7892" s="23" t="s">
        <v>34</v>
      </c>
      <c r="L7892" s="25">
        <v>41264.42016203704</v>
      </c>
      <c r="M7892" s="26" t="s">
        <v>17514</v>
      </c>
      <c r="N7892" s="26" t="s">
        <v>17515</v>
      </c>
      <c r="O7892" s="22" t="str">
        <f>HYPERLINK("https://pbs.twimg.com/profile_images/539973353369399296/SeJS9txO_normal.png","View")</f>
        <v>View</v>
      </c>
      <c r="P7892" s="27"/>
    </row>
    <row r="7893">
      <c r="A7893" s="14">
        <v>43031.69002314815</v>
      </c>
      <c r="B7893" s="20" t="str">
        <f>HYPERLINK("https://twitter.com/InvestingLatest","@InvestingLatest")</f>
        <v>@InvestingLatest</v>
      </c>
      <c r="C7893" s="21" t="s">
        <v>3758</v>
      </c>
      <c r="D7893" s="21" t="s">
        <v>17516</v>
      </c>
      <c r="E7893" s="22" t="str">
        <f>HYPERLINK("https://twitter.com/InvestingLatest/status/922606974784507905","922606974784507905")</f>
        <v>922606974784507905</v>
      </c>
      <c r="F7893" s="23" t="s">
        <v>187</v>
      </c>
      <c r="G7893" s="24">
        <v>1534.0</v>
      </c>
      <c r="H7893" s="24">
        <v>33.0</v>
      </c>
      <c r="I7893" s="24">
        <v>0.0</v>
      </c>
      <c r="J7893" s="24">
        <v>0.0</v>
      </c>
      <c r="K7893" s="23" t="s">
        <v>34</v>
      </c>
      <c r="L7893" s="25">
        <v>41946.3308912037</v>
      </c>
      <c r="M7893" s="28"/>
      <c r="N7893" s="26" t="s">
        <v>3760</v>
      </c>
      <c r="O7893" s="22" t="str">
        <f>HYPERLINK("https://pbs.twimg.com/profile_images/529461684297945089/uscUz0UO_normal.jpeg","View")</f>
        <v>View</v>
      </c>
      <c r="P7893" s="27"/>
    </row>
    <row r="7894">
      <c r="A7894" s="14">
        <v>43031.690405092595</v>
      </c>
      <c r="B7894" s="20" t="str">
        <f>HYPERLINK("https://twitter.com/rudiuscap","@rudiuscap")</f>
        <v>@rudiuscap</v>
      </c>
      <c r="C7894" s="21" t="s">
        <v>17517</v>
      </c>
      <c r="D7894" s="21" t="s">
        <v>17518</v>
      </c>
      <c r="E7894" s="22" t="str">
        <f>HYPERLINK("https://twitter.com/rudiuscap/status/922607113163087872","922607113163087872")</f>
        <v>922607113163087872</v>
      </c>
      <c r="F7894" s="23" t="s">
        <v>17517</v>
      </c>
      <c r="G7894" s="24">
        <v>13.0</v>
      </c>
      <c r="H7894" s="24">
        <v>0.0</v>
      </c>
      <c r="I7894" s="24">
        <v>0.0</v>
      </c>
      <c r="J7894" s="24">
        <v>0.0</v>
      </c>
      <c r="K7894" s="23" t="s">
        <v>34</v>
      </c>
      <c r="L7894" s="25">
        <v>42889.13825231481</v>
      </c>
      <c r="M7894" s="26" t="s">
        <v>204</v>
      </c>
      <c r="N7894" s="26" t="s">
        <v>17519</v>
      </c>
      <c r="O7894" s="22" t="str">
        <f>HYPERLINK("https://pbs.twimg.com/profile_images/904574183052460032/qe9zBVS8_normal.jpg","View")</f>
        <v>View</v>
      </c>
      <c r="P7894" s="27"/>
    </row>
    <row r="7895">
      <c r="A7895" s="14">
        <v>43031.69106481482</v>
      </c>
      <c r="B7895" s="20" t="str">
        <f>HYPERLINK("https://twitter.com/HannaOnTheMove","@HannaOnTheMove")</f>
        <v>@HannaOnTheMove</v>
      </c>
      <c r="C7895" s="21" t="s">
        <v>17520</v>
      </c>
      <c r="D7895" s="21" t="s">
        <v>17363</v>
      </c>
      <c r="E7895" s="22" t="str">
        <f>HYPERLINK("https://twitter.com/HannaOnTheMove/status/922607351428870144","922607351428870144")</f>
        <v>922607351428870144</v>
      </c>
      <c r="F7895" s="23" t="s">
        <v>33</v>
      </c>
      <c r="G7895" s="24">
        <v>98.0</v>
      </c>
      <c r="H7895" s="24">
        <v>518.0</v>
      </c>
      <c r="I7895" s="24">
        <v>17.0</v>
      </c>
      <c r="J7895" s="24">
        <v>0.0</v>
      </c>
      <c r="K7895" s="23" t="s">
        <v>34</v>
      </c>
      <c r="L7895" s="25">
        <v>40982.29462962963</v>
      </c>
      <c r="M7895" s="26" t="s">
        <v>17312</v>
      </c>
      <c r="N7895" s="26" t="s">
        <v>17521</v>
      </c>
      <c r="O7895" s="22" t="str">
        <f>HYPERLINK("https://pbs.twimg.com/profile_images/441612314010087425/4MKyw9Ni_normal.jpeg","View")</f>
        <v>View</v>
      </c>
      <c r="P7895" s="27"/>
    </row>
    <row r="7896">
      <c r="A7896" s="14">
        <v>43031.691145833334</v>
      </c>
      <c r="B7896" s="20" t="str">
        <f>HYPERLINK("https://twitter.com/OrangeDigitKo","@OrangeDigitKo")</f>
        <v>@OrangeDigitKo</v>
      </c>
      <c r="C7896" s="21" t="s">
        <v>17522</v>
      </c>
      <c r="D7896" s="21" t="s">
        <v>17523</v>
      </c>
      <c r="E7896" s="22" t="str">
        <f>HYPERLINK("https://twitter.com/OrangeDigitKo/status/922607381636268032","922607381636268032")</f>
        <v>922607381636268032</v>
      </c>
      <c r="F7896" s="30" t="s">
        <v>17524</v>
      </c>
      <c r="G7896" s="24">
        <v>910.0</v>
      </c>
      <c r="H7896" s="24">
        <v>1654.0</v>
      </c>
      <c r="I7896" s="24">
        <v>0.0</v>
      </c>
      <c r="J7896" s="24">
        <v>0.0</v>
      </c>
      <c r="K7896" s="23" t="s">
        <v>34</v>
      </c>
      <c r="L7896" s="25">
        <v>41157.78621527778</v>
      </c>
      <c r="M7896" s="26" t="s">
        <v>17525</v>
      </c>
      <c r="N7896" s="26" t="s">
        <v>17526</v>
      </c>
      <c r="O7896" s="22" t="str">
        <f>HYPERLINK("https://pbs.twimg.com/profile_images/2794394346/1dadd886e1668e478ce8a9fdc103ed70_normal.png","View")</f>
        <v>View</v>
      </c>
      <c r="P7896" s="27"/>
    </row>
    <row r="7897">
      <c r="A7897" s="14">
        <v>43031.69126157407</v>
      </c>
      <c r="B7897" s="20" t="str">
        <f>HYPERLINK("https://twitter.com/fawad47","@fawad47")</f>
        <v>@fawad47</v>
      </c>
      <c r="C7897" s="21" t="s">
        <v>10594</v>
      </c>
      <c r="D7897" s="21" t="s">
        <v>17527</v>
      </c>
      <c r="E7897" s="22" t="str">
        <f>HYPERLINK("https://twitter.com/fawad47/status/922607421972819968","922607421972819968")</f>
        <v>922607421972819968</v>
      </c>
      <c r="F7897" s="23" t="s">
        <v>187</v>
      </c>
      <c r="G7897" s="24">
        <v>166.0</v>
      </c>
      <c r="H7897" s="24">
        <v>132.0</v>
      </c>
      <c r="I7897" s="24">
        <v>0.0</v>
      </c>
      <c r="J7897" s="24">
        <v>0.0</v>
      </c>
      <c r="K7897" s="23" t="s">
        <v>34</v>
      </c>
      <c r="L7897" s="25">
        <v>40051.697280092594</v>
      </c>
      <c r="M7897" s="26" t="s">
        <v>334</v>
      </c>
      <c r="N7897" s="28"/>
      <c r="O7897" s="22" t="str">
        <f>HYPERLINK("https://pbs.twimg.com/profile_images/615218380149260288/anFXIeUw_normal.jpg","View")</f>
        <v>View</v>
      </c>
      <c r="P7897" s="27"/>
    </row>
    <row r="7898">
      <c r="A7898" s="14">
        <v>43031.69138888889</v>
      </c>
      <c r="B7898" s="20" t="str">
        <f>HYPERLINK("https://twitter.com/NAMAENAKI","@NAMAENAKI")</f>
        <v>@NAMAENAKI</v>
      </c>
      <c r="C7898" s="21" t="s">
        <v>17528</v>
      </c>
      <c r="D7898" s="21" t="s">
        <v>8782</v>
      </c>
      <c r="E7898" s="22" t="str">
        <f>HYPERLINK("https://twitter.com/NAMAENAKI/status/922607467598569472","922607467598569472")</f>
        <v>922607467598569472</v>
      </c>
      <c r="F7898" s="23" t="s">
        <v>55</v>
      </c>
      <c r="G7898" s="24">
        <v>4802.0</v>
      </c>
      <c r="H7898" s="24">
        <v>5222.0</v>
      </c>
      <c r="I7898" s="24">
        <v>20.0</v>
      </c>
      <c r="J7898" s="24">
        <v>0.0</v>
      </c>
      <c r="K7898" s="23" t="s">
        <v>34</v>
      </c>
      <c r="L7898" s="25">
        <v>40498.9462037037</v>
      </c>
      <c r="M7898" s="26" t="s">
        <v>17529</v>
      </c>
      <c r="N7898" s="26" t="s">
        <v>17530</v>
      </c>
      <c r="O7898" s="22" t="str">
        <f>HYPERLINK("https://pbs.twimg.com/profile_images/682594324471742464/fGab9FZ5_normal.jpg","View")</f>
        <v>View</v>
      </c>
      <c r="P7898" s="27"/>
    </row>
    <row r="7899">
      <c r="A7899" s="14">
        <v>43031.69186342593</v>
      </c>
      <c r="B7899" s="20" t="str">
        <f>HYPERLINK("https://twitter.com/cucumbernan","@cucumbernan")</f>
        <v>@cucumbernan</v>
      </c>
      <c r="C7899" s="21" t="s">
        <v>17531</v>
      </c>
      <c r="D7899" s="21" t="s">
        <v>1642</v>
      </c>
      <c r="E7899" s="22" t="str">
        <f>HYPERLINK("https://twitter.com/cucumbernan/status/922607639397142528","922607639397142528")</f>
        <v>922607639397142528</v>
      </c>
      <c r="F7899" s="23" t="s">
        <v>17532</v>
      </c>
      <c r="G7899" s="24">
        <v>132.0</v>
      </c>
      <c r="H7899" s="24">
        <v>398.0</v>
      </c>
      <c r="I7899" s="24">
        <v>199.0</v>
      </c>
      <c r="J7899" s="24">
        <v>0.0</v>
      </c>
      <c r="K7899" s="23" t="s">
        <v>34</v>
      </c>
      <c r="L7899" s="25">
        <v>40243.01364583333</v>
      </c>
      <c r="M7899" s="26" t="s">
        <v>17533</v>
      </c>
      <c r="N7899" s="26" t="s">
        <v>17534</v>
      </c>
      <c r="O7899" s="22" t="str">
        <f>HYPERLINK("https://pbs.twimg.com/profile_images/922100515747504130/Wd-mbPYU_normal.png","View")</f>
        <v>View</v>
      </c>
      <c r="P7899" s="27"/>
    </row>
    <row r="7900">
      <c r="A7900" s="14">
        <v>43031.69189814814</v>
      </c>
      <c r="B7900" s="20" t="str">
        <f>HYPERLINK("https://twitter.com/NTKRNow","@NTKRNow")</f>
        <v>@NTKRNow</v>
      </c>
      <c r="C7900" s="21" t="s">
        <v>14875</v>
      </c>
      <c r="D7900" s="21" t="s">
        <v>17535</v>
      </c>
      <c r="E7900" s="22" t="str">
        <f>HYPERLINK("https://twitter.com/NTKRNow/status/922607654148620288","922607654148620288")</f>
        <v>922607654148620288</v>
      </c>
      <c r="F7900" s="23" t="s">
        <v>187</v>
      </c>
      <c r="G7900" s="24">
        <v>605.0</v>
      </c>
      <c r="H7900" s="24">
        <v>4.0</v>
      </c>
      <c r="I7900" s="24">
        <v>0.0</v>
      </c>
      <c r="J7900" s="24">
        <v>0.0</v>
      </c>
      <c r="K7900" s="23" t="s">
        <v>34</v>
      </c>
      <c r="L7900" s="25">
        <v>42402.810625</v>
      </c>
      <c r="M7900" s="28"/>
      <c r="N7900" s="28"/>
      <c r="O7900" s="22" t="str">
        <f>HYPERLINK("https://abs.twimg.com/sticky/default_profile_images/default_profile_normal.png","View")</f>
        <v>View</v>
      </c>
      <c r="P7900" s="27"/>
    </row>
    <row r="7901">
      <c r="A7901" s="14">
        <v>43031.692511574074</v>
      </c>
      <c r="B7901" s="20" t="str">
        <f>HYPERLINK("https://twitter.com/Rage022","@Rage022")</f>
        <v>@Rage022</v>
      </c>
      <c r="C7901" s="21" t="s">
        <v>17536</v>
      </c>
      <c r="D7901" s="21" t="s">
        <v>1642</v>
      </c>
      <c r="E7901" s="22" t="str">
        <f>HYPERLINK("https://twitter.com/Rage022/status/922607874752241664","922607874752241664")</f>
        <v>922607874752241664</v>
      </c>
      <c r="F7901" s="23" t="s">
        <v>39</v>
      </c>
      <c r="G7901" s="24">
        <v>3005.0</v>
      </c>
      <c r="H7901" s="24">
        <v>2080.0</v>
      </c>
      <c r="I7901" s="24">
        <v>199.0</v>
      </c>
      <c r="J7901" s="24">
        <v>0.0</v>
      </c>
      <c r="K7901" s="23" t="s">
        <v>34</v>
      </c>
      <c r="L7901" s="25">
        <v>41160.04319444444</v>
      </c>
      <c r="M7901" s="26" t="s">
        <v>17537</v>
      </c>
      <c r="N7901" s="26" t="s">
        <v>17538</v>
      </c>
      <c r="O7901" s="22" t="str">
        <f>HYPERLINK("https://pbs.twimg.com/profile_images/906390564777607169/nzR2I7iT_normal.jpg","View")</f>
        <v>View</v>
      </c>
      <c r="P7901" s="27"/>
    </row>
    <row r="7902">
      <c r="A7902" s="14">
        <v>43031.69269675926</v>
      </c>
      <c r="B7902" s="20" t="str">
        <f>HYPERLINK("https://twitter.com/iwanttosay8","@iwanttosay8")</f>
        <v>@iwanttosay8</v>
      </c>
      <c r="C7902" s="21" t="s">
        <v>17539</v>
      </c>
      <c r="D7902" s="21" t="s">
        <v>42</v>
      </c>
      <c r="E7902" s="22" t="str">
        <f>HYPERLINK("https://twitter.com/iwanttosay8/status/922607942448193536","922607942448193536")</f>
        <v>922607942448193536</v>
      </c>
      <c r="F7902" s="23" t="s">
        <v>39</v>
      </c>
      <c r="G7902" s="24">
        <v>823.0</v>
      </c>
      <c r="H7902" s="24">
        <v>817.0</v>
      </c>
      <c r="I7902" s="24">
        <v>8501.0</v>
      </c>
      <c r="J7902" s="24">
        <v>0.0</v>
      </c>
      <c r="K7902" s="23" t="s">
        <v>34</v>
      </c>
      <c r="L7902" s="25">
        <v>42388.3849537037</v>
      </c>
      <c r="M7902" s="28"/>
      <c r="N7902" s="26" t="s">
        <v>17540</v>
      </c>
      <c r="O7902" s="22" t="str">
        <f>HYPERLINK("https://pbs.twimg.com/profile_images/689498314119589889/LzPvFnxQ_normal.jpg","View")</f>
        <v>View</v>
      </c>
      <c r="P7902" s="27"/>
    </row>
    <row r="7903">
      <c r="A7903" s="14">
        <v>43031.69335648148</v>
      </c>
      <c r="B7903" s="20" t="str">
        <f>HYPERLINK("https://twitter.com/jljzen","@jljzen")</f>
        <v>@jljzen</v>
      </c>
      <c r="C7903" s="21" t="s">
        <v>3696</v>
      </c>
      <c r="D7903" s="21" t="s">
        <v>17363</v>
      </c>
      <c r="E7903" s="22" t="str">
        <f>HYPERLINK("https://twitter.com/jljzen/status/922608183570395136","922608183570395136")</f>
        <v>922608183570395136</v>
      </c>
      <c r="F7903" s="23" t="s">
        <v>55</v>
      </c>
      <c r="G7903" s="24">
        <v>4332.0</v>
      </c>
      <c r="H7903" s="24">
        <v>2013.0</v>
      </c>
      <c r="I7903" s="24">
        <v>17.0</v>
      </c>
      <c r="J7903" s="24">
        <v>0.0</v>
      </c>
      <c r="K7903" s="23" t="s">
        <v>34</v>
      </c>
      <c r="L7903" s="25">
        <v>39635.071608796294</v>
      </c>
      <c r="M7903" s="26" t="s">
        <v>3693</v>
      </c>
      <c r="N7903" s="26" t="s">
        <v>3698</v>
      </c>
      <c r="O7903" s="22" t="str">
        <f>HYPERLINK("https://pbs.twimg.com/profile_images/917531279632900096/6oc5ihff_normal.jpg","View")</f>
        <v>View</v>
      </c>
      <c r="P7903" s="27"/>
    </row>
    <row r="7904">
      <c r="A7904" s="14">
        <v>43031.693657407406</v>
      </c>
      <c r="B7904" s="20" t="str">
        <f>HYPERLINK("https://twitter.com/nneusj","@nneusj")</f>
        <v>@nneusj</v>
      </c>
      <c r="C7904" s="21" t="s">
        <v>858</v>
      </c>
      <c r="D7904" s="21" t="s">
        <v>2555</v>
      </c>
      <c r="E7904" s="22" t="str">
        <f>HYPERLINK("https://twitter.com/nneusj/status/922608290508439552","922608290508439552")</f>
        <v>922608290508439552</v>
      </c>
      <c r="F7904" s="23" t="s">
        <v>55</v>
      </c>
      <c r="G7904" s="24">
        <v>248.0</v>
      </c>
      <c r="H7904" s="24">
        <v>1887.0</v>
      </c>
      <c r="I7904" s="24">
        <v>58.0</v>
      </c>
      <c r="J7904" s="24">
        <v>0.0</v>
      </c>
      <c r="K7904" s="23" t="s">
        <v>34</v>
      </c>
      <c r="L7904" s="25">
        <v>42310.521898148145</v>
      </c>
      <c r="M7904" s="28"/>
      <c r="N7904" s="28"/>
      <c r="O7904" s="22" t="str">
        <f>HYPERLINK("https://pbs.twimg.com/profile_images/661281424570454016/IY6X6O9R_normal.jpg","View")</f>
        <v>View</v>
      </c>
      <c r="P7904" s="27"/>
    </row>
    <row r="7905">
      <c r="A7905" s="14">
        <v>43031.694490740745</v>
      </c>
      <c r="B7905" s="20" t="str">
        <f>HYPERLINK("https://twitter.com/AuroraWorldView","@AuroraWorldView")</f>
        <v>@AuroraWorldView</v>
      </c>
      <c r="C7905" s="21" t="s">
        <v>17541</v>
      </c>
      <c r="D7905" s="21" t="s">
        <v>17542</v>
      </c>
      <c r="E7905" s="22" t="str">
        <f>HYPERLINK("https://twitter.com/AuroraWorldView/status/922608591357460480","922608591357460480")</f>
        <v>922608591357460480</v>
      </c>
      <c r="F7905" s="23" t="s">
        <v>427</v>
      </c>
      <c r="G7905" s="24">
        <v>152.0</v>
      </c>
      <c r="H7905" s="24">
        <v>22.0</v>
      </c>
      <c r="I7905" s="24">
        <v>0.0</v>
      </c>
      <c r="J7905" s="24">
        <v>0.0</v>
      </c>
      <c r="K7905" s="23" t="s">
        <v>34</v>
      </c>
      <c r="L7905" s="25">
        <v>42297.38517361111</v>
      </c>
      <c r="M7905" s="26" t="s">
        <v>17543</v>
      </c>
      <c r="N7905" s="26" t="s">
        <v>17544</v>
      </c>
      <c r="O7905" s="22" t="str">
        <f>HYPERLINK("https://pbs.twimg.com/profile_images/656518669137145857/yJLWZTIF_normal.jpg","View")</f>
        <v>View</v>
      </c>
      <c r="P7905" s="27"/>
    </row>
    <row r="7906">
      <c r="A7906" s="14">
        <v>43031.694513888884</v>
      </c>
      <c r="B7906" s="20" t="str">
        <f>HYPERLINK("https://twitter.com/nneusj","@nneusj")</f>
        <v>@nneusj</v>
      </c>
      <c r="C7906" s="21" t="s">
        <v>858</v>
      </c>
      <c r="D7906" s="21" t="s">
        <v>7403</v>
      </c>
      <c r="E7906" s="22" t="str">
        <f>HYPERLINK("https://twitter.com/nneusj/status/922608601704947712","922608601704947712")</f>
        <v>922608601704947712</v>
      </c>
      <c r="F7906" s="23" t="s">
        <v>55</v>
      </c>
      <c r="G7906" s="24">
        <v>248.0</v>
      </c>
      <c r="H7906" s="24">
        <v>1887.0</v>
      </c>
      <c r="I7906" s="24">
        <v>29.0</v>
      </c>
      <c r="J7906" s="24">
        <v>0.0</v>
      </c>
      <c r="K7906" s="23" t="s">
        <v>34</v>
      </c>
      <c r="L7906" s="25">
        <v>42310.521898148145</v>
      </c>
      <c r="M7906" s="28"/>
      <c r="N7906" s="28"/>
      <c r="O7906" s="22" t="str">
        <f>HYPERLINK("https://pbs.twimg.com/profile_images/661281424570454016/IY6X6O9R_normal.jpg","View")</f>
        <v>View</v>
      </c>
      <c r="P7906" s="27"/>
    </row>
    <row r="7907">
      <c r="A7907" s="14">
        <v>43031.69547453704</v>
      </c>
      <c r="B7907" s="20" t="str">
        <f>HYPERLINK("https://twitter.com/SMLkitakomenews","@SMLkitakomenews")</f>
        <v>@SMLkitakomenews</v>
      </c>
      <c r="C7907" s="21" t="s">
        <v>17545</v>
      </c>
      <c r="D7907" s="21" t="s">
        <v>42</v>
      </c>
      <c r="E7907" s="22" t="str">
        <f>HYPERLINK("https://twitter.com/SMLkitakomenews/status/922608950972882944","922608950972882944")</f>
        <v>922608950972882944</v>
      </c>
      <c r="F7907" s="23" t="s">
        <v>39</v>
      </c>
      <c r="G7907" s="24">
        <v>2297.0</v>
      </c>
      <c r="H7907" s="24">
        <v>4574.0</v>
      </c>
      <c r="I7907" s="24">
        <v>8501.0</v>
      </c>
      <c r="J7907" s="24">
        <v>0.0</v>
      </c>
      <c r="K7907" s="23" t="s">
        <v>34</v>
      </c>
      <c r="L7907" s="25">
        <v>41600.97489583334</v>
      </c>
      <c r="M7907" s="26" t="s">
        <v>17546</v>
      </c>
      <c r="N7907" s="26" t="s">
        <v>17547</v>
      </c>
      <c r="O7907" s="22" t="str">
        <f>HYPERLINK("https://pbs.twimg.com/profile_images/922784993956392960/yeVGD8NL_normal.jpg","View")</f>
        <v>View</v>
      </c>
      <c r="P7907" s="27"/>
    </row>
    <row r="7908">
      <c r="A7908" s="14">
        <v>43031.69568287037</v>
      </c>
      <c r="B7908" s="20" t="str">
        <f>HYPERLINK("https://twitter.com/a_d_fensom","@a_d_fensom")</f>
        <v>@a_d_fensom</v>
      </c>
      <c r="C7908" s="21" t="s">
        <v>17548</v>
      </c>
      <c r="D7908" s="21" t="s">
        <v>13131</v>
      </c>
      <c r="E7908" s="22" t="str">
        <f>HYPERLINK("https://twitter.com/a_d_fensom/status/922609024738082817","922609024738082817")</f>
        <v>922609024738082817</v>
      </c>
      <c r="F7908" s="23" t="s">
        <v>39</v>
      </c>
      <c r="G7908" s="24">
        <v>3166.0</v>
      </c>
      <c r="H7908" s="24">
        <v>3962.0</v>
      </c>
      <c r="I7908" s="24">
        <v>5.0</v>
      </c>
      <c r="J7908" s="24">
        <v>0.0</v>
      </c>
      <c r="K7908" s="23" t="s">
        <v>34</v>
      </c>
      <c r="L7908" s="25">
        <v>40380.08131944444</v>
      </c>
      <c r="M7908" s="26" t="s">
        <v>6425</v>
      </c>
      <c r="N7908" s="26" t="s">
        <v>17549</v>
      </c>
      <c r="O7908" s="22" t="str">
        <f>HYPERLINK("https://pbs.twimg.com/profile_images/537086933793374208/_m6f0THo_normal.jpeg","View")</f>
        <v>View</v>
      </c>
      <c r="P7908" s="27"/>
    </row>
    <row r="7909">
      <c r="A7909" s="14">
        <v>43031.695810185185</v>
      </c>
      <c r="B7909" s="20" t="str">
        <f>HYPERLINK("https://twitter.com/nneusj","@nneusj")</f>
        <v>@nneusj</v>
      </c>
      <c r="C7909" s="21" t="s">
        <v>858</v>
      </c>
      <c r="D7909" s="21" t="s">
        <v>12565</v>
      </c>
      <c r="E7909" s="22" t="str">
        <f>HYPERLINK("https://twitter.com/nneusj/status/922609070787497985","922609070787497985")</f>
        <v>922609070787497985</v>
      </c>
      <c r="F7909" s="23" t="s">
        <v>55</v>
      </c>
      <c r="G7909" s="24">
        <v>248.0</v>
      </c>
      <c r="H7909" s="24">
        <v>1887.0</v>
      </c>
      <c r="I7909" s="24">
        <v>32.0</v>
      </c>
      <c r="J7909" s="24">
        <v>0.0</v>
      </c>
      <c r="K7909" s="23" t="s">
        <v>34</v>
      </c>
      <c r="L7909" s="25">
        <v>42310.521898148145</v>
      </c>
      <c r="M7909" s="28"/>
      <c r="N7909" s="28"/>
      <c r="O7909" s="22" t="str">
        <f>HYPERLINK("https://pbs.twimg.com/profile_images/661281424570454016/IY6X6O9R_normal.jpg","View")</f>
        <v>View</v>
      </c>
      <c r="P7909" s="27"/>
    </row>
    <row r="7910">
      <c r="A7910" s="14">
        <v>43031.695972222224</v>
      </c>
      <c r="B7910" s="20" t="str">
        <f>HYPERLINK("https://twitter.com/PMoallemian","@PMoallemian")</f>
        <v>@PMoallemian</v>
      </c>
      <c r="C7910" s="21" t="s">
        <v>1959</v>
      </c>
      <c r="D7910" s="21" t="s">
        <v>17550</v>
      </c>
      <c r="E7910" s="22" t="str">
        <f>HYPERLINK("https://twitter.com/PMoallemian/status/922609129935556608","922609129935556608")</f>
        <v>922609129935556608</v>
      </c>
      <c r="F7910" s="23" t="s">
        <v>187</v>
      </c>
      <c r="G7910" s="24">
        <v>5102.0</v>
      </c>
      <c r="H7910" s="24">
        <v>90.0</v>
      </c>
      <c r="I7910" s="24">
        <v>0.0</v>
      </c>
      <c r="J7910" s="24">
        <v>0.0</v>
      </c>
      <c r="K7910" s="23" t="s">
        <v>34</v>
      </c>
      <c r="L7910" s="25">
        <v>39556.68920138889</v>
      </c>
      <c r="M7910" s="26" t="s">
        <v>1961</v>
      </c>
      <c r="N7910" s="26" t="s">
        <v>1962</v>
      </c>
      <c r="O7910" s="22" t="str">
        <f>HYPERLINK("https://pbs.twimg.com/profile_images/2383496814/8p8tjkit7a1nmjrarib6_normal.jpeg","View")</f>
        <v>View</v>
      </c>
      <c r="P7910" s="27"/>
    </row>
    <row r="7911">
      <c r="A7911" s="14">
        <v>43031.69619212963</v>
      </c>
      <c r="B7911" s="20" t="str">
        <f>HYPERLINK("https://twitter.com/YucatanHuracan","@YucatanHuracan")</f>
        <v>@YucatanHuracan</v>
      </c>
      <c r="C7911" s="21" t="s">
        <v>8376</v>
      </c>
      <c r="D7911" s="21" t="s">
        <v>17300</v>
      </c>
      <c r="E7911" s="22" t="str">
        <f>HYPERLINK("https://twitter.com/YucatanHuracan/status/922609208129998855","922609208129998855")</f>
        <v>922609208129998855</v>
      </c>
      <c r="F7911" s="23" t="s">
        <v>33</v>
      </c>
      <c r="G7911" s="24">
        <v>104.0</v>
      </c>
      <c r="H7911" s="24">
        <v>47.0</v>
      </c>
      <c r="I7911" s="24">
        <v>7.0</v>
      </c>
      <c r="J7911" s="24">
        <v>0.0</v>
      </c>
      <c r="K7911" s="23" t="s">
        <v>34</v>
      </c>
      <c r="L7911" s="25">
        <v>42954.6219212963</v>
      </c>
      <c r="M7911" s="28"/>
      <c r="N7911" s="26" t="s">
        <v>17551</v>
      </c>
      <c r="O7911" s="22" t="str">
        <f>HYPERLINK("https://pbs.twimg.com/profile_images/918721844336664576/Pc65IsTE_normal.jpg","View")</f>
        <v>View</v>
      </c>
      <c r="P7911" s="27"/>
    </row>
    <row r="7912">
      <c r="A7912" s="14">
        <v>43031.69636574074</v>
      </c>
      <c r="B7912" s="20" t="str">
        <f>HYPERLINK("https://twitter.com/wyononia","@wyononia")</f>
        <v>@wyononia</v>
      </c>
      <c r="C7912" s="21" t="s">
        <v>17552</v>
      </c>
      <c r="D7912" s="21" t="s">
        <v>16537</v>
      </c>
      <c r="E7912" s="22" t="str">
        <f>HYPERLINK("https://twitter.com/wyononia/status/922609273556885504","922609273556885504")</f>
        <v>922609273556885504</v>
      </c>
      <c r="F7912" s="23" t="s">
        <v>230</v>
      </c>
      <c r="G7912" s="24">
        <v>4.0</v>
      </c>
      <c r="H7912" s="24">
        <v>71.0</v>
      </c>
      <c r="I7912" s="24">
        <v>242.0</v>
      </c>
      <c r="J7912" s="24">
        <v>0.0</v>
      </c>
      <c r="K7912" s="23" t="s">
        <v>34</v>
      </c>
      <c r="L7912" s="25">
        <v>41397.4215625</v>
      </c>
      <c r="M7912" s="28"/>
      <c r="N7912" s="28"/>
      <c r="O7912" s="22" t="str">
        <f>HYPERLINK("https://abs.twimg.com/sticky/default_profile_images/default_profile_normal.png","View")</f>
        <v>View</v>
      </c>
      <c r="P7912" s="27"/>
    </row>
    <row r="7913">
      <c r="A7913" s="14">
        <v>43031.69652777778</v>
      </c>
      <c r="B7913" s="20" t="str">
        <f>HYPERLINK("https://twitter.com/coreburnflat","@coreburnflat")</f>
        <v>@coreburnflat</v>
      </c>
      <c r="C7913" s="21" t="s">
        <v>13373</v>
      </c>
      <c r="D7913" s="21" t="s">
        <v>17553</v>
      </c>
      <c r="E7913" s="22" t="str">
        <f>HYPERLINK("https://twitter.com/coreburnflat/status/922609330674860033","922609330674860033")</f>
        <v>922609330674860033</v>
      </c>
      <c r="F7913" s="23" t="s">
        <v>91</v>
      </c>
      <c r="G7913" s="24">
        <v>922.0</v>
      </c>
      <c r="H7913" s="24">
        <v>562.0</v>
      </c>
      <c r="I7913" s="24">
        <v>0.0</v>
      </c>
      <c r="J7913" s="24">
        <v>0.0</v>
      </c>
      <c r="K7913" s="23" t="s">
        <v>34</v>
      </c>
      <c r="L7913" s="25">
        <v>40982.479525462964</v>
      </c>
      <c r="M7913" s="28"/>
      <c r="N7913" s="28"/>
      <c r="O7913" s="22" t="str">
        <f>HYPERLINK("https://pbs.twimg.com/profile_images/1898142881/core_normal.jpg","View")</f>
        <v>View</v>
      </c>
      <c r="P7913" s="27"/>
    </row>
    <row r="7914">
      <c r="A7914" s="14">
        <v>43031.6965625</v>
      </c>
      <c r="B7914" s="20" t="str">
        <f>HYPERLINK("https://twitter.com/i__Global","@i__Global")</f>
        <v>@i__Global</v>
      </c>
      <c r="C7914" s="21" t="s">
        <v>9685</v>
      </c>
      <c r="D7914" s="21" t="s">
        <v>17554</v>
      </c>
      <c r="E7914" s="22" t="str">
        <f>HYPERLINK("https://twitter.com/i__Global/status/922609343656316931","922609343656316931")</f>
        <v>922609343656316931</v>
      </c>
      <c r="F7914" s="23" t="s">
        <v>187</v>
      </c>
      <c r="G7914" s="24">
        <v>320.0</v>
      </c>
      <c r="H7914" s="24">
        <v>541.0</v>
      </c>
      <c r="I7914" s="24">
        <v>0.0</v>
      </c>
      <c r="J7914" s="24">
        <v>0.0</v>
      </c>
      <c r="K7914" s="23" t="s">
        <v>34</v>
      </c>
      <c r="L7914" s="25">
        <v>41975.42964120371</v>
      </c>
      <c r="M7914" s="26" t="s">
        <v>2068</v>
      </c>
      <c r="N7914" s="28"/>
      <c r="O7914" s="22" t="str">
        <f>HYPERLINK("https://pbs.twimg.com/profile_images/539846499421532160/RQ0XgLb__normal.png","View")</f>
        <v>View</v>
      </c>
      <c r="P7914" s="27"/>
    </row>
    <row r="7915">
      <c r="A7915" s="14">
        <v>43031.696597222224</v>
      </c>
      <c r="B7915" s="20" t="str">
        <f>HYPERLINK("https://twitter.com/friesfreak10700","@friesfreak10700")</f>
        <v>@friesfreak10700</v>
      </c>
      <c r="C7915" s="21" t="s">
        <v>17555</v>
      </c>
      <c r="D7915" s="21" t="s">
        <v>523</v>
      </c>
      <c r="E7915" s="22" t="str">
        <f>HYPERLINK("https://twitter.com/friesfreak10700/status/922609355379191808","922609355379191808")</f>
        <v>922609355379191808</v>
      </c>
      <c r="F7915" s="23" t="s">
        <v>55</v>
      </c>
      <c r="G7915" s="24">
        <v>334.0</v>
      </c>
      <c r="H7915" s="24">
        <v>69.0</v>
      </c>
      <c r="I7915" s="24">
        <v>97.0</v>
      </c>
      <c r="J7915" s="24">
        <v>0.0</v>
      </c>
      <c r="K7915" s="23" t="s">
        <v>34</v>
      </c>
      <c r="L7915" s="25">
        <v>41018.162152777775</v>
      </c>
      <c r="M7915" s="26" t="s">
        <v>17556</v>
      </c>
      <c r="N7915" s="26" t="s">
        <v>17557</v>
      </c>
      <c r="O7915" s="22" t="str">
        <f>HYPERLINK("https://pbs.twimg.com/profile_images/913154653570842624/PuTNxdq0_normal.jpg","View")</f>
        <v>View</v>
      </c>
      <c r="P7915" s="27"/>
    </row>
    <row r="7916">
      <c r="A7916" s="14">
        <v>43031.696747685186</v>
      </c>
      <c r="B7916" s="20" t="str">
        <f>HYPERLINK("https://twitter.com/krunox123","@krunox123")</f>
        <v>@krunox123</v>
      </c>
      <c r="C7916" s="21" t="s">
        <v>1750</v>
      </c>
      <c r="D7916" s="21" t="s">
        <v>17558</v>
      </c>
      <c r="E7916" s="22" t="str">
        <f>HYPERLINK("https://twitter.com/krunox123/status/922609411725643777","922609411725643777")</f>
        <v>922609411725643777</v>
      </c>
      <c r="F7916" s="23" t="s">
        <v>187</v>
      </c>
      <c r="G7916" s="24">
        <v>10220.0</v>
      </c>
      <c r="H7916" s="24">
        <v>2.0</v>
      </c>
      <c r="I7916" s="24">
        <v>0.0</v>
      </c>
      <c r="J7916" s="24">
        <v>0.0</v>
      </c>
      <c r="K7916" s="23" t="s">
        <v>34</v>
      </c>
      <c r="L7916" s="25">
        <v>40938.22789351852</v>
      </c>
      <c r="M7916" s="26" t="s">
        <v>1752</v>
      </c>
      <c r="N7916" s="26" t="s">
        <v>1753</v>
      </c>
      <c r="O7916" s="22" t="str">
        <f>HYPERLINK("https://pbs.twimg.com/profile_images/824952382618349568/2SFIkM2x_normal.jpg","View")</f>
        <v>View</v>
      </c>
      <c r="P7916" s="27"/>
    </row>
    <row r="7917">
      <c r="A7917" s="14">
        <v>43031.696851851855</v>
      </c>
      <c r="B7917" s="20" t="str">
        <f>HYPERLINK("https://twitter.com/MzSubezer0","@MzSubezer0")</f>
        <v>@MzSubezer0</v>
      </c>
      <c r="C7917" s="21" t="s">
        <v>17559</v>
      </c>
      <c r="D7917" s="21" t="s">
        <v>2369</v>
      </c>
      <c r="E7917" s="22" t="str">
        <f>HYPERLINK("https://twitter.com/MzSubezer0/status/922609449960800256","922609449960800256")</f>
        <v>922609449960800256</v>
      </c>
      <c r="F7917" s="23" t="s">
        <v>33</v>
      </c>
      <c r="G7917" s="24">
        <v>53.0</v>
      </c>
      <c r="H7917" s="24">
        <v>2277.0</v>
      </c>
      <c r="I7917" s="24">
        <v>23.0</v>
      </c>
      <c r="J7917" s="24">
        <v>0.0</v>
      </c>
      <c r="K7917" s="23" t="s">
        <v>34</v>
      </c>
      <c r="L7917" s="25">
        <v>40884.51951388889</v>
      </c>
      <c r="M7917" s="26" t="s">
        <v>17560</v>
      </c>
      <c r="N7917" s="26" t="s">
        <v>17561</v>
      </c>
      <c r="O7917" s="22" t="str">
        <f>HYPERLINK("https://pbs.twimg.com/profile_images/763011527762862080/eAIHrzx0_normal.jpg","View")</f>
        <v>View</v>
      </c>
      <c r="P7917" s="27"/>
    </row>
    <row r="7918">
      <c r="A7918" s="14">
        <v>43031.6969212963</v>
      </c>
      <c r="B7918" s="20" t="str">
        <f>HYPERLINK("https://twitter.com/BooksCfe","@BooksCfe")</f>
        <v>@BooksCfe</v>
      </c>
      <c r="C7918" s="21" t="s">
        <v>17562</v>
      </c>
      <c r="D7918" s="21" t="s">
        <v>17563</v>
      </c>
      <c r="E7918" s="22" t="str">
        <f>HYPERLINK("https://twitter.com/BooksCfe/status/922609473709137931","922609473709137931")</f>
        <v>922609473709137931</v>
      </c>
      <c r="F7918" s="23" t="s">
        <v>187</v>
      </c>
      <c r="G7918" s="24">
        <v>0.0</v>
      </c>
      <c r="H7918" s="24">
        <v>0.0</v>
      </c>
      <c r="I7918" s="24">
        <v>0.0</v>
      </c>
      <c r="J7918" s="24">
        <v>0.0</v>
      </c>
      <c r="K7918" s="23" t="s">
        <v>34</v>
      </c>
      <c r="L7918" s="25">
        <v>43030.00803240741</v>
      </c>
      <c r="M7918" s="28"/>
      <c r="N7918" s="28"/>
      <c r="O7918" s="22" t="str">
        <f>HYPERLINK("https://abs.twimg.com/sticky/default_profile_images/default_profile_normal.png","View")</f>
        <v>View</v>
      </c>
      <c r="P7918" s="27"/>
    </row>
    <row r="7919">
      <c r="A7919" s="14">
        <v>43031.697962962964</v>
      </c>
      <c r="B7919" s="20" t="str">
        <f>HYPERLINK("https://twitter.com/lucyyelberg","@lucyyelberg")</f>
        <v>@lucyyelberg</v>
      </c>
      <c r="C7919" s="21" t="s">
        <v>17564</v>
      </c>
      <c r="D7919" s="21" t="s">
        <v>17498</v>
      </c>
      <c r="E7919" s="22" t="str">
        <f>HYPERLINK("https://twitter.com/lucyyelberg/status/922609850126872576","922609850126872576")</f>
        <v>922609850126872576</v>
      </c>
      <c r="F7919" s="23" t="s">
        <v>39</v>
      </c>
      <c r="G7919" s="24">
        <v>67.0</v>
      </c>
      <c r="H7919" s="24">
        <v>2542.0</v>
      </c>
      <c r="I7919" s="24">
        <v>3.0</v>
      </c>
      <c r="J7919" s="24">
        <v>0.0</v>
      </c>
      <c r="K7919" s="23" t="s">
        <v>34</v>
      </c>
      <c r="L7919" s="25">
        <v>43028.768796296295</v>
      </c>
      <c r="M7919" s="26" t="s">
        <v>17565</v>
      </c>
      <c r="N7919" s="26" t="s">
        <v>17566</v>
      </c>
      <c r="O7919" s="22" t="str">
        <f>HYPERLINK("https://pbs.twimg.com/profile_images/922797008359915521/wDdWudLj_normal.jpg","View")</f>
        <v>View</v>
      </c>
      <c r="P7919" s="27"/>
    </row>
    <row r="7920">
      <c r="A7920" s="14">
        <v>43031.698101851856</v>
      </c>
      <c r="B7920" s="20" t="str">
        <f>HYPERLINK("https://twitter.com/Skerkro3","@Skerkro3")</f>
        <v>@Skerkro3</v>
      </c>
      <c r="C7920" s="21" t="s">
        <v>17567</v>
      </c>
      <c r="D7920" s="21" t="s">
        <v>16537</v>
      </c>
      <c r="E7920" s="22" t="str">
        <f>HYPERLINK("https://twitter.com/Skerkro3/status/922609901532274688","922609901532274688")</f>
        <v>922609901532274688</v>
      </c>
      <c r="F7920" s="23" t="s">
        <v>230</v>
      </c>
      <c r="G7920" s="24">
        <v>160.0</v>
      </c>
      <c r="H7920" s="24">
        <v>95.0</v>
      </c>
      <c r="I7920" s="24">
        <v>242.0</v>
      </c>
      <c r="J7920" s="24">
        <v>0.0</v>
      </c>
      <c r="K7920" s="23" t="s">
        <v>34</v>
      </c>
      <c r="L7920" s="25">
        <v>42922.86200231481</v>
      </c>
      <c r="M7920" s="26" t="s">
        <v>6241</v>
      </c>
      <c r="N7920" s="26" t="s">
        <v>17568</v>
      </c>
      <c r="O7920" s="22" t="str">
        <f>HYPERLINK("https://pbs.twimg.com/profile_images/883872786313342977/dBRBirA9_normal.jpg","View")</f>
        <v>View</v>
      </c>
      <c r="P7920" s="27"/>
    </row>
    <row r="7921">
      <c r="A7921" s="14">
        <v>43031.698124999995</v>
      </c>
      <c r="B7921" s="20" t="str">
        <f>HYPERLINK("https://twitter.com/CEOMagazineASIA","@CEOMagazineASIA")</f>
        <v>@CEOMagazineASIA</v>
      </c>
      <c r="C7921" s="21" t="s">
        <v>17569</v>
      </c>
      <c r="D7921" s="21" t="s">
        <v>17570</v>
      </c>
      <c r="E7921" s="22" t="str">
        <f>HYPERLINK("https://twitter.com/CEOMagazineASIA/status/922609908364861440","922609908364861440")</f>
        <v>922609908364861440</v>
      </c>
      <c r="F7921" s="23" t="s">
        <v>10415</v>
      </c>
      <c r="G7921" s="24">
        <v>192.0</v>
      </c>
      <c r="H7921" s="24">
        <v>46.0</v>
      </c>
      <c r="I7921" s="24">
        <v>1.0</v>
      </c>
      <c r="J7921" s="24">
        <v>1.0</v>
      </c>
      <c r="K7921" s="23" t="s">
        <v>34</v>
      </c>
      <c r="L7921" s="25">
        <v>42479.765555555554</v>
      </c>
      <c r="M7921" s="26" t="s">
        <v>17571</v>
      </c>
      <c r="N7921" s="26" t="s">
        <v>17572</v>
      </c>
      <c r="O7921" s="22" t="str">
        <f>HYPERLINK("https://pbs.twimg.com/profile_images/850162193056153601/nP6IOodu_normal.jpg","View")</f>
        <v>View</v>
      </c>
      <c r="P7921" s="27"/>
    </row>
    <row r="7922">
      <c r="A7922" s="14">
        <v>43031.6983449074</v>
      </c>
      <c r="B7922" s="20" t="str">
        <f>HYPERLINK("https://twitter.com/CEOMagazineAU","@CEOMagazineAU")</f>
        <v>@CEOMagazineAU</v>
      </c>
      <c r="C7922" s="21" t="s">
        <v>17569</v>
      </c>
      <c r="D7922" s="21" t="s">
        <v>17573</v>
      </c>
      <c r="E7922" s="22" t="str">
        <f>HYPERLINK("https://twitter.com/CEOMagazineAU/status/922609990522818560","922609990522818560")</f>
        <v>922609990522818560</v>
      </c>
      <c r="F7922" s="23" t="s">
        <v>10415</v>
      </c>
      <c r="G7922" s="24">
        <v>2996.0</v>
      </c>
      <c r="H7922" s="24">
        <v>1087.0</v>
      </c>
      <c r="I7922" s="24">
        <v>0.0</v>
      </c>
      <c r="J7922" s="24">
        <v>0.0</v>
      </c>
      <c r="K7922" s="23" t="s">
        <v>34</v>
      </c>
      <c r="L7922" s="25">
        <v>41382.70328703704</v>
      </c>
      <c r="M7922" s="26" t="s">
        <v>3224</v>
      </c>
      <c r="N7922" s="26" t="s">
        <v>17574</v>
      </c>
      <c r="O7922" s="22" t="str">
        <f>HYPERLINK("https://pbs.twimg.com/profile_images/850161821738647552/e77lPDtz_normal.jpg","View")</f>
        <v>View</v>
      </c>
      <c r="P7922" s="27"/>
    </row>
    <row r="7923">
      <c r="A7923" s="14">
        <v>43031.698425925926</v>
      </c>
      <c r="B7923" s="20" t="str">
        <f>HYPERLINK("https://twitter.com/inews2day","@inews2day")</f>
        <v>@inews2day</v>
      </c>
      <c r="C7923" s="21" t="s">
        <v>539</v>
      </c>
      <c r="D7923" s="21" t="s">
        <v>17575</v>
      </c>
      <c r="E7923" s="22" t="str">
        <f>HYPERLINK("https://twitter.com/inews2day/status/922610017769017345","922610017769017345")</f>
        <v>922610017769017345</v>
      </c>
      <c r="F7923" s="23" t="s">
        <v>187</v>
      </c>
      <c r="G7923" s="24">
        <v>487.0</v>
      </c>
      <c r="H7923" s="24">
        <v>0.0</v>
      </c>
      <c r="I7923" s="24">
        <v>0.0</v>
      </c>
      <c r="J7923" s="24">
        <v>0.0</v>
      </c>
      <c r="K7923" s="23" t="s">
        <v>34</v>
      </c>
      <c r="L7923" s="25">
        <v>42055.11097222222</v>
      </c>
      <c r="M7923" s="26" t="s">
        <v>541</v>
      </c>
      <c r="N7923" s="26" t="s">
        <v>542</v>
      </c>
      <c r="O7923" s="22" t="str">
        <f>HYPERLINK("https://pbs.twimg.com/profile_images/568731081323466752/-oyEQpj9_normal.jpeg","View")</f>
        <v>View</v>
      </c>
      <c r="P7923" s="27"/>
    </row>
    <row r="7924">
      <c r="A7924" s="14">
        <v>43031.69854166667</v>
      </c>
      <c r="B7924" s="20" t="str">
        <f>HYPERLINK("https://twitter.com/ggnewsus","@ggnewsus")</f>
        <v>@ggnewsus</v>
      </c>
      <c r="C7924" s="21" t="s">
        <v>13409</v>
      </c>
      <c r="D7924" s="21" t="s">
        <v>17576</v>
      </c>
      <c r="E7924" s="22" t="str">
        <f>HYPERLINK("https://twitter.com/ggnewsus/status/922610061423333376","922610061423333376")</f>
        <v>922610061423333376</v>
      </c>
      <c r="F7924" s="23" t="s">
        <v>187</v>
      </c>
      <c r="G7924" s="24">
        <v>862.0</v>
      </c>
      <c r="H7924" s="24">
        <v>143.0</v>
      </c>
      <c r="I7924" s="24">
        <v>3.0</v>
      </c>
      <c r="J7924" s="24">
        <v>2.0</v>
      </c>
      <c r="K7924" s="23" t="s">
        <v>34</v>
      </c>
      <c r="L7924" s="25">
        <v>41679.77077546297</v>
      </c>
      <c r="M7924" s="26" t="s">
        <v>13411</v>
      </c>
      <c r="N7924" s="26" t="s">
        <v>874</v>
      </c>
      <c r="O7924" s="22" t="str">
        <f>HYPERLINK("https://pbs.twimg.com/profile_images/432706003285450752/IHK6C475_normal.png","View")</f>
        <v>View</v>
      </c>
      <c r="P7924" s="27"/>
    </row>
    <row r="7925">
      <c r="A7925" s="14">
        <v>43031.69892361111</v>
      </c>
      <c r="B7925" s="20" t="str">
        <f>HYPERLINK("https://twitter.com/everiting","@everiting")</f>
        <v>@everiting</v>
      </c>
      <c r="C7925" s="21" t="s">
        <v>13340</v>
      </c>
      <c r="D7925" s="21" t="s">
        <v>17577</v>
      </c>
      <c r="E7925" s="22" t="str">
        <f>HYPERLINK("https://twitter.com/everiting/status/922610201022300160","922610201022300160")</f>
        <v>922610201022300160</v>
      </c>
      <c r="F7925" s="30" t="s">
        <v>1342</v>
      </c>
      <c r="G7925" s="24">
        <v>8441.0</v>
      </c>
      <c r="H7925" s="24">
        <v>9327.0</v>
      </c>
      <c r="I7925" s="24">
        <v>0.0</v>
      </c>
      <c r="J7925" s="24">
        <v>0.0</v>
      </c>
      <c r="K7925" s="23" t="s">
        <v>34</v>
      </c>
      <c r="L7925" s="25">
        <v>40060.52028935185</v>
      </c>
      <c r="M7925" s="26" t="s">
        <v>1124</v>
      </c>
      <c r="N7925" s="26" t="s">
        <v>13342</v>
      </c>
      <c r="O7925" s="22" t="str">
        <f>HYPERLINK("https://pbs.twimg.com/profile_images/1836448667/twitter_normal.png","View")</f>
        <v>View</v>
      </c>
      <c r="P7925" s="27"/>
    </row>
    <row r="7926">
      <c r="A7926" s="14">
        <v>43031.69925925926</v>
      </c>
      <c r="B7926" s="20" t="str">
        <f>HYPERLINK("https://twitter.com/Groovindave","@Groovindave")</f>
        <v>@Groovindave</v>
      </c>
      <c r="C7926" s="21" t="s">
        <v>17578</v>
      </c>
      <c r="D7926" s="21" t="s">
        <v>16537</v>
      </c>
      <c r="E7926" s="22" t="str">
        <f>HYPERLINK("https://twitter.com/Groovindave/status/922610322745147392","922610322745147392")</f>
        <v>922610322745147392</v>
      </c>
      <c r="F7926" s="23" t="s">
        <v>39</v>
      </c>
      <c r="G7926" s="24">
        <v>502.0</v>
      </c>
      <c r="H7926" s="24">
        <v>1481.0</v>
      </c>
      <c r="I7926" s="24">
        <v>242.0</v>
      </c>
      <c r="J7926" s="24">
        <v>0.0</v>
      </c>
      <c r="K7926" s="23" t="s">
        <v>34</v>
      </c>
      <c r="L7926" s="25">
        <v>40726.36016203704</v>
      </c>
      <c r="M7926" s="26" t="s">
        <v>17579</v>
      </c>
      <c r="N7926" s="26" t="s">
        <v>17580</v>
      </c>
      <c r="O7926" s="22" t="str">
        <f>HYPERLINK("https://pbs.twimg.com/profile_images/921083266978820096/ssaV6m42_normal.jpg","View")</f>
        <v>View</v>
      </c>
      <c r="P7926" s="27"/>
    </row>
    <row r="7927">
      <c r="A7927" s="14">
        <v>43031.69935185185</v>
      </c>
      <c r="B7927" s="20" t="str">
        <f>HYPERLINK("https://twitter.com/SickularLibtard","@SickularLibtard")</f>
        <v>@SickularLibtard</v>
      </c>
      <c r="C7927" s="21" t="s">
        <v>17581</v>
      </c>
      <c r="D7927" s="21" t="s">
        <v>42</v>
      </c>
      <c r="E7927" s="22" t="str">
        <f>HYPERLINK("https://twitter.com/SickularLibtard/status/922610355599163393","922610355599163393")</f>
        <v>922610355599163393</v>
      </c>
      <c r="F7927" s="23" t="s">
        <v>33</v>
      </c>
      <c r="G7927" s="24">
        <v>32405.0</v>
      </c>
      <c r="H7927" s="24">
        <v>3094.0</v>
      </c>
      <c r="I7927" s="24">
        <v>8501.0</v>
      </c>
      <c r="J7927" s="24">
        <v>0.0</v>
      </c>
      <c r="K7927" s="23" t="s">
        <v>34</v>
      </c>
      <c r="L7927" s="25">
        <v>40143.13081018518</v>
      </c>
      <c r="M7927" s="26" t="s">
        <v>17582</v>
      </c>
      <c r="N7927" s="26" t="s">
        <v>17583</v>
      </c>
      <c r="O7927" s="22" t="str">
        <f>HYPERLINK("https://pbs.twimg.com/profile_images/896950873992994817/1ZXqo2Af_normal.jpg","View")</f>
        <v>View</v>
      </c>
      <c r="P7927" s="27"/>
    </row>
    <row r="7928">
      <c r="A7928" s="14">
        <v>43031.69952546296</v>
      </c>
      <c r="B7928" s="20" t="str">
        <f>HYPERLINK("https://twitter.com/breaking_news_4","@breaking_news_4")</f>
        <v>@breaking_news_4</v>
      </c>
      <c r="C7928" s="21" t="s">
        <v>5830</v>
      </c>
      <c r="D7928" s="21" t="s">
        <v>17584</v>
      </c>
      <c r="E7928" s="22" t="str">
        <f>HYPERLINK("https://twitter.com/breaking_news_4/status/922610416550891525","922610416550891525")</f>
        <v>922610416550891525</v>
      </c>
      <c r="F7928" s="23" t="s">
        <v>187</v>
      </c>
      <c r="G7928" s="24">
        <v>1564.0</v>
      </c>
      <c r="H7928" s="24">
        <v>168.0</v>
      </c>
      <c r="I7928" s="24">
        <v>0.0</v>
      </c>
      <c r="J7928" s="24">
        <v>0.0</v>
      </c>
      <c r="K7928" s="23" t="s">
        <v>34</v>
      </c>
      <c r="L7928" s="25">
        <v>41323.59861111111</v>
      </c>
      <c r="M7928" s="28"/>
      <c r="N7928" s="28"/>
      <c r="O7928" s="22" t="str">
        <f>HYPERLINK("https://pbs.twimg.com/profile_images/3506234829/a38e573d69ee71fcc25830b97d00c179_normal.png","View")</f>
        <v>View</v>
      </c>
      <c r="P7928" s="27"/>
    </row>
    <row r="7929">
      <c r="A7929" s="14">
        <v>43031.699583333335</v>
      </c>
      <c r="B7929" s="20" t="str">
        <f>HYPERLINK("https://twitter.com/r_khanduri","@r_khanduri")</f>
        <v>@r_khanduri</v>
      </c>
      <c r="C7929" s="21" t="s">
        <v>17585</v>
      </c>
      <c r="D7929" s="21" t="s">
        <v>42</v>
      </c>
      <c r="E7929" s="22" t="str">
        <f>HYPERLINK("https://twitter.com/r_khanduri/status/922610437195042816","922610437195042816")</f>
        <v>922610437195042816</v>
      </c>
      <c r="F7929" s="23" t="s">
        <v>33</v>
      </c>
      <c r="G7929" s="24">
        <v>8.0</v>
      </c>
      <c r="H7929" s="24">
        <v>116.0</v>
      </c>
      <c r="I7929" s="24">
        <v>8501.0</v>
      </c>
      <c r="J7929" s="24">
        <v>0.0</v>
      </c>
      <c r="K7929" s="23" t="s">
        <v>34</v>
      </c>
      <c r="L7929" s="25">
        <v>42978.83391203704</v>
      </c>
      <c r="M7929" s="26" t="s">
        <v>17586</v>
      </c>
      <c r="N7929" s="26" t="s">
        <v>17587</v>
      </c>
      <c r="O7929" s="22" t="str">
        <f>HYPERLINK("https://pbs.twimg.com/profile_images/903456071859048448/Hd5TyVV-_normal.jpg","View")</f>
        <v>View</v>
      </c>
      <c r="P7929" s="27"/>
    </row>
    <row r="7930">
      <c r="A7930" s="14">
        <v>43031.700011574074</v>
      </c>
      <c r="B7930" s="20" t="str">
        <f>HYPERLINK("https://twitter.com/ColinFTownson","@ColinFTownson")</f>
        <v>@ColinFTownson</v>
      </c>
      <c r="C7930" s="21" t="s">
        <v>17588</v>
      </c>
      <c r="D7930" s="21" t="s">
        <v>17589</v>
      </c>
      <c r="E7930" s="22" t="str">
        <f>HYPERLINK("https://twitter.com/ColinFTownson/status/922610592560553984","922610592560553984")</f>
        <v>922610592560553984</v>
      </c>
      <c r="F7930" s="23" t="s">
        <v>55</v>
      </c>
      <c r="G7930" s="24">
        <v>2352.0</v>
      </c>
      <c r="H7930" s="24">
        <v>3373.0</v>
      </c>
      <c r="I7930" s="24">
        <v>1.0</v>
      </c>
      <c r="J7930" s="24">
        <v>0.0</v>
      </c>
      <c r="K7930" s="23" t="s">
        <v>34</v>
      </c>
      <c r="L7930" s="25">
        <v>41527.31667824074</v>
      </c>
      <c r="M7930" s="26" t="s">
        <v>11738</v>
      </c>
      <c r="N7930" s="26" t="s">
        <v>17590</v>
      </c>
      <c r="O7930" s="22" t="str">
        <f>HYPERLINK("https://pbs.twimg.com/profile_images/797434855164440576/5pZ7dBmw_normal.jpg","View")</f>
        <v>View</v>
      </c>
      <c r="P7930" s="27"/>
    </row>
    <row r="7931">
      <c r="A7931" s="14">
        <v>43031.700891203705</v>
      </c>
      <c r="B7931" s="20" t="str">
        <f>HYPERLINK("https://twitter.com/EconomistOnce","@EconomistOnce")</f>
        <v>@EconomistOnce</v>
      </c>
      <c r="C7931" s="21" t="s">
        <v>17591</v>
      </c>
      <c r="D7931" s="21" t="s">
        <v>17592</v>
      </c>
      <c r="E7931" s="22" t="str">
        <f>HYPERLINK("https://twitter.com/EconomistOnce/status/922610911885582336","922610911885582336")</f>
        <v>922610911885582336</v>
      </c>
      <c r="F7931" s="23" t="s">
        <v>1103</v>
      </c>
      <c r="G7931" s="24">
        <v>45211.0</v>
      </c>
      <c r="H7931" s="24">
        <v>1.0</v>
      </c>
      <c r="I7931" s="24">
        <v>1.0</v>
      </c>
      <c r="J7931" s="24">
        <v>2.0</v>
      </c>
      <c r="K7931" s="23" t="s">
        <v>34</v>
      </c>
      <c r="L7931" s="25">
        <v>42201.1700925926</v>
      </c>
      <c r="M7931" s="28"/>
      <c r="N7931" s="28"/>
      <c r="O7931" s="22" t="str">
        <f>HYPERLINK("https://pbs.twimg.com/profile_images/879367721569452033/HwC6EIaw_normal.jpg","View")</f>
        <v>View</v>
      </c>
      <c r="P7931" s="27"/>
    </row>
    <row r="7932">
      <c r="A7932" s="14">
        <v>43031.70123842593</v>
      </c>
      <c r="B7932" s="20" t="str">
        <f>HYPERLINK("https://twitter.com/miro_bey","@miro_bey")</f>
        <v>@miro_bey</v>
      </c>
      <c r="C7932" s="21" t="s">
        <v>17593</v>
      </c>
      <c r="D7932" s="21" t="s">
        <v>17192</v>
      </c>
      <c r="E7932" s="22" t="str">
        <f>HYPERLINK("https://twitter.com/miro_bey/status/922611039350476801","922611039350476801")</f>
        <v>922611039350476801</v>
      </c>
      <c r="F7932" s="23" t="s">
        <v>39</v>
      </c>
      <c r="G7932" s="24">
        <v>1092.0</v>
      </c>
      <c r="H7932" s="24">
        <v>456.0</v>
      </c>
      <c r="I7932" s="24">
        <v>3.0</v>
      </c>
      <c r="J7932" s="24">
        <v>0.0</v>
      </c>
      <c r="K7932" s="23" t="s">
        <v>34</v>
      </c>
      <c r="L7932" s="25">
        <v>41634.72525462963</v>
      </c>
      <c r="M7932" s="28"/>
      <c r="N7932" s="26" t="s">
        <v>17594</v>
      </c>
      <c r="O7932" s="22" t="str">
        <f>HYPERLINK("https://pbs.twimg.com/profile_images/912392692470083584/OQf6pA1F_normal.jpg","View")</f>
        <v>View</v>
      </c>
      <c r="P7932" s="27"/>
    </row>
    <row r="7933">
      <c r="A7933" s="14">
        <v>43031.701574074075</v>
      </c>
      <c r="B7933" s="20" t="str">
        <f>HYPERLINK("https://twitter.com/WorldNewsNgayon","@WorldNewsNgayon")</f>
        <v>@WorldNewsNgayon</v>
      </c>
      <c r="C7933" s="21" t="s">
        <v>4889</v>
      </c>
      <c r="D7933" s="21" t="s">
        <v>17595</v>
      </c>
      <c r="E7933" s="22" t="str">
        <f>HYPERLINK("https://twitter.com/WorldNewsNgayon/status/922611160083501056","922611160083501056")</f>
        <v>922611160083501056</v>
      </c>
      <c r="F7933" s="23" t="s">
        <v>187</v>
      </c>
      <c r="G7933" s="24">
        <v>1177.0</v>
      </c>
      <c r="H7933" s="24">
        <v>9.0</v>
      </c>
      <c r="I7933" s="24">
        <v>0.0</v>
      </c>
      <c r="J7933" s="24">
        <v>0.0</v>
      </c>
      <c r="K7933" s="23" t="s">
        <v>34</v>
      </c>
      <c r="L7933" s="25">
        <v>41174.847233796296</v>
      </c>
      <c r="M7933" s="26" t="s">
        <v>3507</v>
      </c>
      <c r="N7933" s="26" t="s">
        <v>4891</v>
      </c>
      <c r="O7933" s="22" t="str">
        <f>HYPERLINK("https://pbs.twimg.com/profile_images/425420772534784000/_u4Vu6V1_normal.jpeg","View")</f>
        <v>View</v>
      </c>
      <c r="P7933" s="27"/>
    </row>
    <row r="7934">
      <c r="A7934" s="14">
        <v>43031.70159722222</v>
      </c>
      <c r="B7934" s="20" t="str">
        <f>HYPERLINK("https://twitter.com/teburemeijin","@teburemeijin")</f>
        <v>@teburemeijin</v>
      </c>
      <c r="C7934" s="21" t="s">
        <v>17596</v>
      </c>
      <c r="D7934" s="21" t="s">
        <v>17597</v>
      </c>
      <c r="E7934" s="22" t="str">
        <f>HYPERLINK("https://twitter.com/teburemeijin/status/922611166987341829","922611166987341829")</f>
        <v>922611166987341829</v>
      </c>
      <c r="F7934" s="23" t="s">
        <v>4619</v>
      </c>
      <c r="G7934" s="24">
        <v>1196.0</v>
      </c>
      <c r="H7934" s="24">
        <v>1192.0</v>
      </c>
      <c r="I7934" s="24">
        <v>0.0</v>
      </c>
      <c r="J7934" s="24">
        <v>0.0</v>
      </c>
      <c r="K7934" s="23" t="s">
        <v>34</v>
      </c>
      <c r="L7934" s="25">
        <v>40267.21142361111</v>
      </c>
      <c r="M7934" s="26" t="s">
        <v>17598</v>
      </c>
      <c r="N7934" s="26" t="s">
        <v>17599</v>
      </c>
      <c r="O7934" s="22" t="str">
        <f>HYPERLINK("https://pbs.twimg.com/profile_images/908216346520936448/m1iz9YFB_normal.jpg","View")</f>
        <v>View</v>
      </c>
      <c r="P7934" s="27"/>
    </row>
    <row r="7935">
      <c r="A7935" s="14">
        <v>43031.70185185185</v>
      </c>
      <c r="B7935" s="20" t="str">
        <f>HYPERLINK("https://twitter.com/rguezcheca","@rguezcheca")</f>
        <v>@rguezcheca</v>
      </c>
      <c r="C7935" s="21" t="s">
        <v>17600</v>
      </c>
      <c r="D7935" s="21" t="s">
        <v>17601</v>
      </c>
      <c r="E7935" s="22" t="str">
        <f>HYPERLINK("https://twitter.com/rguezcheca/status/922611261086552066","922611261086552066")</f>
        <v>922611261086552066</v>
      </c>
      <c r="F7935" s="23" t="s">
        <v>230</v>
      </c>
      <c r="G7935" s="24">
        <v>5337.0</v>
      </c>
      <c r="H7935" s="24">
        <v>594.0</v>
      </c>
      <c r="I7935" s="24">
        <v>1.0</v>
      </c>
      <c r="J7935" s="24">
        <v>0.0</v>
      </c>
      <c r="K7935" s="23" t="s">
        <v>34</v>
      </c>
      <c r="L7935" s="25">
        <v>40163.337858796294</v>
      </c>
      <c r="M7935" s="26" t="s">
        <v>17602</v>
      </c>
      <c r="N7935" s="26" t="s">
        <v>17603</v>
      </c>
      <c r="O7935" s="22" t="str">
        <f>HYPERLINK("https://pbs.twimg.com/profile_images/912403458539622400/qXzcKAi3_normal.jpg","View")</f>
        <v>View</v>
      </c>
      <c r="P7935" s="27"/>
    </row>
    <row r="7936">
      <c r="A7936" s="14">
        <v>43031.70208333334</v>
      </c>
      <c r="B7936" s="20" t="str">
        <f>HYPERLINK("https://twitter.com/hamassenger","@hamassenger")</f>
        <v>@hamassenger</v>
      </c>
      <c r="C7936" s="29" t="s">
        <v>13344</v>
      </c>
      <c r="D7936" s="21" t="s">
        <v>17604</v>
      </c>
      <c r="E7936" s="22" t="str">
        <f>HYPERLINK("https://twitter.com/hamassenger/status/922611346021240832","922611346021240832")</f>
        <v>922611346021240832</v>
      </c>
      <c r="F7936" s="30" t="s">
        <v>13344</v>
      </c>
      <c r="G7936" s="24">
        <v>1430.0</v>
      </c>
      <c r="H7936" s="24">
        <v>2019.0</v>
      </c>
      <c r="I7936" s="24">
        <v>0.0</v>
      </c>
      <c r="J7936" s="24">
        <v>0.0</v>
      </c>
      <c r="K7936" s="23" t="s">
        <v>34</v>
      </c>
      <c r="L7936" s="25">
        <v>39872.04739583333</v>
      </c>
      <c r="M7936" s="26" t="s">
        <v>1840</v>
      </c>
      <c r="N7936" s="26" t="s">
        <v>13346</v>
      </c>
      <c r="O7936" s="22" t="str">
        <f>HYPERLINK("https://pbs.twimg.com/profile_images/1057889562/green_5459_green_2196_Picture_3_normal.jpg","View")</f>
        <v>View</v>
      </c>
      <c r="P7936" s="27"/>
    </row>
    <row r="7937">
      <c r="A7937" s="14">
        <v>43031.70273148148</v>
      </c>
      <c r="B7937" s="20" t="str">
        <f>HYPERLINK("https://twitter.com/TraderTokyo","@TraderTokyo")</f>
        <v>@TraderTokyo</v>
      </c>
      <c r="C7937" s="21" t="s">
        <v>17605</v>
      </c>
      <c r="D7937" s="21" t="s">
        <v>17606</v>
      </c>
      <c r="E7937" s="22" t="str">
        <f>HYPERLINK("https://twitter.com/TraderTokyo/status/922611580591857664","922611580591857664")</f>
        <v>922611580591857664</v>
      </c>
      <c r="F7937" s="23" t="s">
        <v>55</v>
      </c>
      <c r="G7937" s="24">
        <v>6.0</v>
      </c>
      <c r="H7937" s="24">
        <v>75.0</v>
      </c>
      <c r="I7937" s="24">
        <v>1.0</v>
      </c>
      <c r="J7937" s="24">
        <v>0.0</v>
      </c>
      <c r="K7937" s="23" t="s">
        <v>34</v>
      </c>
      <c r="L7937" s="25">
        <v>43000.85265046296</v>
      </c>
      <c r="M7937" s="26" t="s">
        <v>3693</v>
      </c>
      <c r="N7937" s="26" t="s">
        <v>17607</v>
      </c>
      <c r="O7937" s="22" t="str">
        <f>HYPERLINK("https://pbs.twimg.com/profile_images/911437509971861504/ro6KHtVD_normal.jpg","View")</f>
        <v>View</v>
      </c>
      <c r="P7937" s="27"/>
    </row>
    <row r="7938">
      <c r="A7938" s="14">
        <v>43031.70313657407</v>
      </c>
      <c r="B7938" s="20" t="str">
        <f>HYPERLINK("https://twitter.com/QJCCI","@QJCCI")</f>
        <v>@QJCCI</v>
      </c>
      <c r="C7938" s="21" t="s">
        <v>17608</v>
      </c>
      <c r="D7938" s="21" t="s">
        <v>13131</v>
      </c>
      <c r="E7938" s="22" t="str">
        <f>HYPERLINK("https://twitter.com/QJCCI/status/922611726968696832","922611726968696832")</f>
        <v>922611726968696832</v>
      </c>
      <c r="F7938" s="23" t="s">
        <v>39</v>
      </c>
      <c r="G7938" s="24">
        <v>423.0</v>
      </c>
      <c r="H7938" s="24">
        <v>648.0</v>
      </c>
      <c r="I7938" s="24">
        <v>5.0</v>
      </c>
      <c r="J7938" s="24">
        <v>0.0</v>
      </c>
      <c r="K7938" s="23" t="s">
        <v>34</v>
      </c>
      <c r="L7938" s="25">
        <v>41224.76788194444</v>
      </c>
      <c r="M7938" s="26" t="s">
        <v>6425</v>
      </c>
      <c r="N7938" s="26" t="s">
        <v>17609</v>
      </c>
      <c r="O7938" s="22" t="str">
        <f>HYPERLINK("https://pbs.twimg.com/profile_images/2961027672/dca28ba251ceb7a88531cbcf42fd892d_normal.jpeg","View")</f>
        <v>View</v>
      </c>
      <c r="P7938" s="27"/>
    </row>
    <row r="7939">
      <c r="A7939" s="14">
        <v>43031.70315972222</v>
      </c>
      <c r="B7939" s="20" t="str">
        <f>HYPERLINK("https://twitter.com/hawt_lady","@hawt_lady")</f>
        <v>@hawt_lady</v>
      </c>
      <c r="C7939" s="21" t="s">
        <v>17610</v>
      </c>
      <c r="D7939" s="21" t="s">
        <v>16537</v>
      </c>
      <c r="E7939" s="22" t="str">
        <f>HYPERLINK("https://twitter.com/hawt_lady/status/922611735554658305","922611735554658305")</f>
        <v>922611735554658305</v>
      </c>
      <c r="F7939" s="23" t="s">
        <v>33</v>
      </c>
      <c r="G7939" s="24">
        <v>172.0</v>
      </c>
      <c r="H7939" s="24">
        <v>442.0</v>
      </c>
      <c r="I7939" s="24">
        <v>242.0</v>
      </c>
      <c r="J7939" s="24">
        <v>0.0</v>
      </c>
      <c r="K7939" s="23" t="s">
        <v>34</v>
      </c>
      <c r="L7939" s="25">
        <v>42730.79194444444</v>
      </c>
      <c r="M7939" s="28"/>
      <c r="N7939" s="26" t="s">
        <v>17611</v>
      </c>
      <c r="O7939" s="22" t="str">
        <f>HYPERLINK("https://pbs.twimg.com/profile_images/861427690930413568/erBpOW28_normal.jpg","View")</f>
        <v>View</v>
      </c>
      <c r="P7939" s="27"/>
    </row>
    <row r="7940">
      <c r="A7940" s="14">
        <v>43031.70351851852</v>
      </c>
      <c r="B7940" s="20" t="str">
        <f>HYPERLINK("https://twitter.com/GauravRIRAG","@GauravRIRAG")</f>
        <v>@GauravRIRAG</v>
      </c>
      <c r="C7940" s="21" t="s">
        <v>17612</v>
      </c>
      <c r="D7940" s="21" t="s">
        <v>42</v>
      </c>
      <c r="E7940" s="22" t="str">
        <f>HYPERLINK("https://twitter.com/GauravRIRAG/status/922611862755094528","922611862755094528")</f>
        <v>922611862755094528</v>
      </c>
      <c r="F7940" s="23" t="s">
        <v>33</v>
      </c>
      <c r="G7940" s="24">
        <v>273.0</v>
      </c>
      <c r="H7940" s="24">
        <v>665.0</v>
      </c>
      <c r="I7940" s="24">
        <v>8501.0</v>
      </c>
      <c r="J7940" s="24">
        <v>0.0</v>
      </c>
      <c r="K7940" s="23" t="s">
        <v>34</v>
      </c>
      <c r="L7940" s="25">
        <v>40282.302083333336</v>
      </c>
      <c r="M7940" s="26" t="s">
        <v>7787</v>
      </c>
      <c r="N7940" s="26" t="s">
        <v>17613</v>
      </c>
      <c r="O7940" s="22" t="str">
        <f>HYPERLINK("https://pbs.twimg.com/profile_images/895689699406303239/tEp3z6Ie_normal.jpg","View")</f>
        <v>View</v>
      </c>
      <c r="P7940" s="27"/>
    </row>
    <row r="7941">
      <c r="A7941" s="14">
        <v>43031.70384259259</v>
      </c>
      <c r="B7941" s="20" t="str">
        <f>HYPERLINK("https://twitter.com/Marketnomics","@Marketnomics")</f>
        <v>@Marketnomics</v>
      </c>
      <c r="C7941" s="21" t="s">
        <v>17614</v>
      </c>
      <c r="D7941" s="21" t="s">
        <v>17615</v>
      </c>
      <c r="E7941" s="22" t="str">
        <f>HYPERLINK("https://twitter.com/Marketnomics/status/922611982729179136","922611982729179136")</f>
        <v>922611982729179136</v>
      </c>
      <c r="F7941" s="23" t="s">
        <v>187</v>
      </c>
      <c r="G7941" s="24">
        <v>285.0</v>
      </c>
      <c r="H7941" s="24">
        <v>16.0</v>
      </c>
      <c r="I7941" s="24">
        <v>0.0</v>
      </c>
      <c r="J7941" s="24">
        <v>0.0</v>
      </c>
      <c r="K7941" s="23" t="s">
        <v>34</v>
      </c>
      <c r="L7941" s="25">
        <v>42735.70476851852</v>
      </c>
      <c r="M7941" s="26" t="s">
        <v>3715</v>
      </c>
      <c r="N7941" s="26" t="s">
        <v>17616</v>
      </c>
      <c r="O7941" s="22" t="str">
        <f>HYPERLINK("https://pbs.twimg.com/profile_images/912806819088752641/ekuu9A39_normal.jpg","View")</f>
        <v>View</v>
      </c>
      <c r="P7941" s="27"/>
    </row>
    <row r="7942">
      <c r="A7942" s="14">
        <v>43031.70386574074</v>
      </c>
      <c r="B7942" s="20" t="str">
        <f>HYPERLINK("https://twitter.com/frankebele","@frankebele")</f>
        <v>@frankebele</v>
      </c>
      <c r="C7942" s="21" t="s">
        <v>17617</v>
      </c>
      <c r="D7942" s="21" t="s">
        <v>17618</v>
      </c>
      <c r="E7942" s="22" t="str">
        <f>HYPERLINK("https://twitter.com/frankebele/status/922611991537123333","922611991537123333")</f>
        <v>922611991537123333</v>
      </c>
      <c r="F7942" s="23" t="s">
        <v>187</v>
      </c>
      <c r="G7942" s="24">
        <v>74.0</v>
      </c>
      <c r="H7942" s="24">
        <v>17.0</v>
      </c>
      <c r="I7942" s="24">
        <v>0.0</v>
      </c>
      <c r="J7942" s="24">
        <v>0.0</v>
      </c>
      <c r="K7942" s="23" t="s">
        <v>34</v>
      </c>
      <c r="L7942" s="25">
        <v>40014.61565972222</v>
      </c>
      <c r="M7942" s="28"/>
      <c r="N7942" s="26" t="s">
        <v>17619</v>
      </c>
      <c r="O7942" s="22" t="str">
        <f>HYPERLINK("https://pbs.twimg.com/profile_images/876381201476587521/GXTKuAHV_normal.jpg","View")</f>
        <v>View</v>
      </c>
      <c r="P7942" s="27"/>
    </row>
    <row r="7943">
      <c r="A7943" s="14">
        <v>43031.70407407408</v>
      </c>
      <c r="B7943" s="20" t="str">
        <f>HYPERLINK("https://twitter.com/staronline","@staronline")</f>
        <v>@staronline</v>
      </c>
      <c r="C7943" s="21" t="s">
        <v>17620</v>
      </c>
      <c r="D7943" s="21" t="s">
        <v>17621</v>
      </c>
      <c r="E7943" s="22" t="str">
        <f>HYPERLINK("https://twitter.com/staronline/status/922612064207568896","922612064207568896")</f>
        <v>922612064207568896</v>
      </c>
      <c r="F7943" s="23" t="s">
        <v>17622</v>
      </c>
      <c r="G7943" s="24">
        <v>1306610.0</v>
      </c>
      <c r="H7943" s="24">
        <v>110.0</v>
      </c>
      <c r="I7943" s="24">
        <v>8.0</v>
      </c>
      <c r="J7943" s="24">
        <v>4.0</v>
      </c>
      <c r="K7943" s="23" t="s">
        <v>34</v>
      </c>
      <c r="L7943" s="25">
        <v>39874.929861111115</v>
      </c>
      <c r="M7943" s="26" t="s">
        <v>17623</v>
      </c>
      <c r="N7943" s="26" t="s">
        <v>17624</v>
      </c>
      <c r="O7943" s="22" t="str">
        <f>HYPERLINK("https://pbs.twimg.com/profile_images/906934922392117248/QkmHyTW5_normal.jpg","View")</f>
        <v>View</v>
      </c>
      <c r="P7943" s="27"/>
    </row>
    <row r="7944">
      <c r="A7944" s="14">
        <v>43031.704293981486</v>
      </c>
      <c r="B7944" s="20" t="str">
        <f>HYPERLINK("https://twitter.com/mahesh10816","@mahesh10816")</f>
        <v>@mahesh10816</v>
      </c>
      <c r="C7944" s="21" t="s">
        <v>17625</v>
      </c>
      <c r="D7944" s="21" t="s">
        <v>42</v>
      </c>
      <c r="E7944" s="22" t="str">
        <f>HYPERLINK("https://twitter.com/mahesh10816/status/922612146864660480","922612146864660480")</f>
        <v>922612146864660480</v>
      </c>
      <c r="F7944" s="23" t="s">
        <v>33</v>
      </c>
      <c r="G7944" s="24">
        <v>11566.0</v>
      </c>
      <c r="H7944" s="24">
        <v>3594.0</v>
      </c>
      <c r="I7944" s="24">
        <v>8501.0</v>
      </c>
      <c r="J7944" s="24">
        <v>0.0</v>
      </c>
      <c r="K7944" s="23" t="s">
        <v>34</v>
      </c>
      <c r="L7944" s="25">
        <v>40302.21083333333</v>
      </c>
      <c r="M7944" s="26" t="s">
        <v>17626</v>
      </c>
      <c r="N7944" s="26" t="s">
        <v>17627</v>
      </c>
      <c r="O7944" s="22" t="str">
        <f>HYPERLINK("https://pbs.twimg.com/profile_images/922727686690054144/5pBk3YS-_normal.jpg","View")</f>
        <v>View</v>
      </c>
      <c r="P7944" s="27"/>
    </row>
    <row r="7945">
      <c r="A7945" s="14">
        <v>43031.70432870371</v>
      </c>
      <c r="B7945" s="20" t="str">
        <f>HYPERLINK("https://twitter.com/InTheLionsDen_","@InTheLionsDen_")</f>
        <v>@InTheLionsDen_</v>
      </c>
      <c r="C7945" s="21" t="s">
        <v>17628</v>
      </c>
      <c r="D7945" s="21" t="s">
        <v>12974</v>
      </c>
      <c r="E7945" s="22" t="str">
        <f>HYPERLINK("https://twitter.com/InTheLionsDen_/status/922612157686087680","922612157686087680")</f>
        <v>922612157686087680</v>
      </c>
      <c r="F7945" s="23" t="s">
        <v>55</v>
      </c>
      <c r="G7945" s="24">
        <v>1878.0</v>
      </c>
      <c r="H7945" s="24">
        <v>2635.0</v>
      </c>
      <c r="I7945" s="24">
        <v>110.0</v>
      </c>
      <c r="J7945" s="24">
        <v>0.0</v>
      </c>
      <c r="K7945" s="23" t="s">
        <v>34</v>
      </c>
      <c r="L7945" s="25">
        <v>41165.5321875</v>
      </c>
      <c r="M7945" s="26" t="s">
        <v>17629</v>
      </c>
      <c r="N7945" s="26" t="s">
        <v>17630</v>
      </c>
      <c r="O7945" s="22" t="str">
        <f>HYPERLINK("https://pbs.twimg.com/profile_images/919941871656464384/6xlTgmNy_normal.jpg","View")</f>
        <v>View</v>
      </c>
      <c r="P7945" s="27"/>
    </row>
    <row r="7946">
      <c r="A7946" s="14">
        <v>43031.70445601852</v>
      </c>
      <c r="B7946" s="20" t="str">
        <f>HYPERLINK("https://twitter.com/AziziOthmanMY","@AziziOthmanMY")</f>
        <v>@AziziOthmanMY</v>
      </c>
      <c r="C7946" s="21" t="s">
        <v>17631</v>
      </c>
      <c r="D7946" s="21" t="s">
        <v>17632</v>
      </c>
      <c r="E7946" s="22" t="str">
        <f>HYPERLINK("https://twitter.com/AziziOthmanMY/status/922612204905684992","922612204905684992")</f>
        <v>922612204905684992</v>
      </c>
      <c r="F7946" s="23" t="s">
        <v>187</v>
      </c>
      <c r="G7946" s="24">
        <v>1963.0</v>
      </c>
      <c r="H7946" s="24">
        <v>0.0</v>
      </c>
      <c r="I7946" s="24">
        <v>0.0</v>
      </c>
      <c r="J7946" s="24">
        <v>0.0</v>
      </c>
      <c r="K7946" s="23" t="s">
        <v>34</v>
      </c>
      <c r="L7946" s="25">
        <v>39866.43491898148</v>
      </c>
      <c r="M7946" s="26" t="s">
        <v>17623</v>
      </c>
      <c r="N7946" s="26" t="s">
        <v>17633</v>
      </c>
      <c r="O7946" s="22" t="str">
        <f>HYPERLINK("https://pbs.twimg.com/profile_images/887957502561669120/VOBE62yx_normal.jpg","View")</f>
        <v>View</v>
      </c>
      <c r="P7946" s="27"/>
    </row>
    <row r="7947">
      <c r="A7947" s="14">
        <v>43031.70446759259</v>
      </c>
      <c r="B7947" s="20" t="str">
        <f>HYPERLINK("https://twitter.com/InTheLionsDen_","@InTheLionsDen_")</f>
        <v>@InTheLionsDen_</v>
      </c>
      <c r="C7947" s="21" t="s">
        <v>17628</v>
      </c>
      <c r="D7947" s="21" t="s">
        <v>16537</v>
      </c>
      <c r="E7947" s="22" t="str">
        <f>HYPERLINK("https://twitter.com/InTheLionsDen_/status/922612210521837568","922612210521837568")</f>
        <v>922612210521837568</v>
      </c>
      <c r="F7947" s="23" t="s">
        <v>55</v>
      </c>
      <c r="G7947" s="24">
        <v>1878.0</v>
      </c>
      <c r="H7947" s="24">
        <v>2635.0</v>
      </c>
      <c r="I7947" s="24">
        <v>242.0</v>
      </c>
      <c r="J7947" s="24">
        <v>0.0</v>
      </c>
      <c r="K7947" s="23" t="s">
        <v>34</v>
      </c>
      <c r="L7947" s="25">
        <v>41165.5321875</v>
      </c>
      <c r="M7947" s="26" t="s">
        <v>17629</v>
      </c>
      <c r="N7947" s="26" t="s">
        <v>17630</v>
      </c>
      <c r="O7947" s="22" t="str">
        <f>HYPERLINK("https://pbs.twimg.com/profile_images/919941871656464384/6xlTgmNy_normal.jpg","View")</f>
        <v>View</v>
      </c>
      <c r="P7947" s="27"/>
    </row>
    <row r="7948">
      <c r="A7948" s="14">
        <v>43031.70517361111</v>
      </c>
      <c r="B7948" s="20" t="str">
        <f>HYPERLINK("https://twitter.com/MarketOrg","@MarketOrg")</f>
        <v>@MarketOrg</v>
      </c>
      <c r="C7948" s="21" t="s">
        <v>17634</v>
      </c>
      <c r="D7948" s="21" t="s">
        <v>17635</v>
      </c>
      <c r="E7948" s="22" t="str">
        <f>HYPERLINK("https://twitter.com/MarketOrg/status/922612465720012800","922612465720012800")</f>
        <v>922612465720012800</v>
      </c>
      <c r="F7948" s="23" t="s">
        <v>187</v>
      </c>
      <c r="G7948" s="24">
        <v>260.0</v>
      </c>
      <c r="H7948" s="24">
        <v>16.0</v>
      </c>
      <c r="I7948" s="24">
        <v>0.0</v>
      </c>
      <c r="J7948" s="24">
        <v>0.0</v>
      </c>
      <c r="K7948" s="23" t="s">
        <v>34</v>
      </c>
      <c r="L7948" s="25">
        <v>42588.45358796296</v>
      </c>
      <c r="M7948" s="26" t="s">
        <v>6382</v>
      </c>
      <c r="N7948" s="26" t="s">
        <v>17636</v>
      </c>
      <c r="O7948" s="22" t="str">
        <f>HYPERLINK("https://pbs.twimg.com/profile_images/801546644147896320/JYiGtClx_normal.jpg","View")</f>
        <v>View</v>
      </c>
      <c r="P7948" s="27"/>
    </row>
    <row r="7949">
      <c r="A7949" s="14">
        <v>43031.7052662037</v>
      </c>
      <c r="B7949" s="20" t="str">
        <f>HYPERLINK("https://twitter.com/mattakaneko","@mattakaneko")</f>
        <v>@mattakaneko</v>
      </c>
      <c r="C7949" s="21" t="s">
        <v>10851</v>
      </c>
      <c r="D7949" s="21" t="s">
        <v>17637</v>
      </c>
      <c r="E7949" s="22" t="str">
        <f>HYPERLINK("https://twitter.com/mattakaneko/status/922612497101873153","922612497101873153")</f>
        <v>922612497101873153</v>
      </c>
      <c r="F7949" s="23" t="s">
        <v>55</v>
      </c>
      <c r="G7949" s="24">
        <v>211.0</v>
      </c>
      <c r="H7949" s="24">
        <v>448.0</v>
      </c>
      <c r="I7949" s="24">
        <v>0.0</v>
      </c>
      <c r="J7949" s="24">
        <v>4.0</v>
      </c>
      <c r="K7949" s="23" t="s">
        <v>34</v>
      </c>
      <c r="L7949" s="25">
        <v>41631.97341435185</v>
      </c>
      <c r="M7949" s="26" t="s">
        <v>10853</v>
      </c>
      <c r="N7949" s="26" t="s">
        <v>10854</v>
      </c>
      <c r="O7949" s="22" t="str">
        <f>HYPERLINK("https://pbs.twimg.com/profile_images/919868903165186048/7OpJaFa2_normal.jpg","View")</f>
        <v>View</v>
      </c>
      <c r="P7949" s="27"/>
    </row>
    <row r="7950">
      <c r="A7950" s="14">
        <v>43031.70568287037</v>
      </c>
      <c r="B7950" s="20" t="str">
        <f>HYPERLINK("https://twitter.com/WorldNewsGPS","@WorldNewsGPS")</f>
        <v>@WorldNewsGPS</v>
      </c>
      <c r="C7950" s="21" t="s">
        <v>2935</v>
      </c>
      <c r="D7950" s="21" t="s">
        <v>17638</v>
      </c>
      <c r="E7950" s="22" t="str">
        <f>HYPERLINK("https://twitter.com/WorldNewsGPS/status/922612649795317762","922612649795317762")</f>
        <v>922612649795317762</v>
      </c>
      <c r="F7950" s="30" t="s">
        <v>411</v>
      </c>
      <c r="G7950" s="24">
        <v>5140.0</v>
      </c>
      <c r="H7950" s="24">
        <v>3552.0</v>
      </c>
      <c r="I7950" s="24">
        <v>0.0</v>
      </c>
      <c r="J7950" s="24">
        <v>0.0</v>
      </c>
      <c r="K7950" s="23" t="s">
        <v>34</v>
      </c>
      <c r="L7950" s="25">
        <v>41855.64482638889</v>
      </c>
      <c r="M7950" s="26" t="s">
        <v>2937</v>
      </c>
      <c r="N7950" s="26" t="s">
        <v>2938</v>
      </c>
      <c r="O7950" s="22" t="str">
        <f>HYPERLINK("https://pbs.twimg.com/profile_images/922888721292075008/5HmBrNXR_normal.jpg","View")</f>
        <v>View</v>
      </c>
      <c r="P7950" s="27"/>
    </row>
    <row r="7951">
      <c r="A7951" s="14">
        <v>43031.70655092593</v>
      </c>
      <c r="B7951" s="20" t="str">
        <f>HYPERLINK("https://twitter.com/MichaelTCucek","@MichaelTCucek")</f>
        <v>@MichaelTCucek</v>
      </c>
      <c r="C7951" s="21" t="s">
        <v>17639</v>
      </c>
      <c r="D7951" s="21" t="s">
        <v>17640</v>
      </c>
      <c r="E7951" s="22" t="str">
        <f>HYPERLINK("https://twitter.com/MichaelTCucek/status/922612964875579392","922612964875579392")</f>
        <v>922612964875579392</v>
      </c>
      <c r="F7951" s="23" t="s">
        <v>55</v>
      </c>
      <c r="G7951" s="24">
        <v>3295.0</v>
      </c>
      <c r="H7951" s="24">
        <v>296.0</v>
      </c>
      <c r="I7951" s="24">
        <v>13.0</v>
      </c>
      <c r="J7951" s="24">
        <v>21.0</v>
      </c>
      <c r="K7951" s="23" t="s">
        <v>34</v>
      </c>
      <c r="L7951" s="25">
        <v>41664.11918981482</v>
      </c>
      <c r="M7951" s="26" t="s">
        <v>5509</v>
      </c>
      <c r="N7951" s="26" t="s">
        <v>17641</v>
      </c>
      <c r="O7951" s="22" t="str">
        <f>HYPERLINK("https://pbs.twimg.com/profile_images/617218303669374980/1wlqVfmD_normal.jpg","View")</f>
        <v>View</v>
      </c>
      <c r="P7951" s="27"/>
    </row>
    <row r="7952">
      <c r="A7952" s="14">
        <v>43031.70680555556</v>
      </c>
      <c r="B7952" s="20" t="str">
        <f>HYPERLINK("https://twitter.com/Aus_RichAlex","@Aus_RichAlex")</f>
        <v>@Aus_RichAlex</v>
      </c>
      <c r="C7952" s="21" t="s">
        <v>17642</v>
      </c>
      <c r="D7952" s="21" t="s">
        <v>17363</v>
      </c>
      <c r="E7952" s="22" t="str">
        <f>HYPERLINK("https://twitter.com/Aus_RichAlex/status/922613055011266560","922613055011266560")</f>
        <v>922613055011266560</v>
      </c>
      <c r="F7952" s="23" t="s">
        <v>33</v>
      </c>
      <c r="G7952" s="24">
        <v>762.0</v>
      </c>
      <c r="H7952" s="24">
        <v>591.0</v>
      </c>
      <c r="I7952" s="24">
        <v>17.0</v>
      </c>
      <c r="J7952" s="24">
        <v>0.0</v>
      </c>
      <c r="K7952" s="23" t="s">
        <v>34</v>
      </c>
      <c r="L7952" s="25">
        <v>41389.85144675926</v>
      </c>
      <c r="M7952" s="26" t="s">
        <v>92</v>
      </c>
      <c r="N7952" s="26" t="s">
        <v>17643</v>
      </c>
      <c r="O7952" s="22" t="str">
        <f>HYPERLINK("https://pbs.twimg.com/profile_images/3575567315/6c4cafe15bf842081c482c0449ea9eb6_normal.jpeg","View")</f>
        <v>View</v>
      </c>
      <c r="P7952" s="27"/>
    </row>
    <row r="7953">
      <c r="A7953" s="14">
        <v>43031.70690972223</v>
      </c>
      <c r="B7953" s="20" t="str">
        <f>HYPERLINK("https://twitter.com/fhisozeb","@fhisozeb")</f>
        <v>@fhisozeb</v>
      </c>
      <c r="C7953" s="21" t="s">
        <v>17644</v>
      </c>
      <c r="D7953" s="21" t="s">
        <v>17645</v>
      </c>
      <c r="E7953" s="22" t="str">
        <f>HYPERLINK("https://twitter.com/fhisozeb/status/922613091791118336","922613091791118336")</f>
        <v>922613091791118336</v>
      </c>
      <c r="F7953" s="23" t="s">
        <v>33</v>
      </c>
      <c r="G7953" s="24">
        <v>20.0</v>
      </c>
      <c r="H7953" s="24">
        <v>147.0</v>
      </c>
      <c r="I7953" s="24">
        <v>8.0</v>
      </c>
      <c r="J7953" s="24">
        <v>0.0</v>
      </c>
      <c r="K7953" s="23" t="s">
        <v>34</v>
      </c>
      <c r="L7953" s="25">
        <v>41400.15326388889</v>
      </c>
      <c r="M7953" s="26" t="s">
        <v>17646</v>
      </c>
      <c r="N7953" s="26" t="s">
        <v>17647</v>
      </c>
      <c r="O7953" s="22" t="str">
        <f>HYPERLINK("https://pbs.twimg.com/profile_images/3621613624/e5327cfb3d97c444cc1a167268048451_normal.jpeg","View")</f>
        <v>View</v>
      </c>
      <c r="P7953" s="27"/>
    </row>
    <row r="7954">
      <c r="A7954" s="14">
        <v>43031.70696759259</v>
      </c>
      <c r="B7954" s="20" t="str">
        <f>HYPERLINK("https://twitter.com/genesisdecorate","@genesisdecorate")</f>
        <v>@genesisdecorate</v>
      </c>
      <c r="C7954" s="21" t="s">
        <v>17648</v>
      </c>
      <c r="D7954" s="21" t="s">
        <v>17649</v>
      </c>
      <c r="E7954" s="22" t="str">
        <f>HYPERLINK("https://twitter.com/genesisdecorate/status/922613113345773568","922613113345773568")</f>
        <v>922613113345773568</v>
      </c>
      <c r="F7954" s="23" t="s">
        <v>48</v>
      </c>
      <c r="G7954" s="24">
        <v>261.0</v>
      </c>
      <c r="H7954" s="24">
        <v>313.0</v>
      </c>
      <c r="I7954" s="24">
        <v>0.0</v>
      </c>
      <c r="J7954" s="24">
        <v>0.0</v>
      </c>
      <c r="K7954" s="23" t="s">
        <v>34</v>
      </c>
      <c r="L7954" s="25">
        <v>40574.42722222222</v>
      </c>
      <c r="M7954" s="26" t="s">
        <v>17650</v>
      </c>
      <c r="N7954" s="26" t="s">
        <v>17651</v>
      </c>
      <c r="O7954" s="22" t="str">
        <f>HYPERLINK("https://pbs.twimg.com/profile_images/660183298878996480/EkM-Xg4X_normal.jpg","View")</f>
        <v>View</v>
      </c>
      <c r="P7954" s="27"/>
    </row>
    <row r="7955">
      <c r="A7955" s="14">
        <v>43031.707025462965</v>
      </c>
      <c r="B7955" s="20" t="str">
        <f>HYPERLINK("https://twitter.com/ultrascanhumint","@ultrascanhumint")</f>
        <v>@ultrascanhumint</v>
      </c>
      <c r="C7955" s="21" t="s">
        <v>17652</v>
      </c>
      <c r="D7955" s="21" t="s">
        <v>17653</v>
      </c>
      <c r="E7955" s="22" t="str">
        <f>HYPERLINK("https://twitter.com/ultrascanhumint/status/922613135558656001","922613135558656001")</f>
        <v>922613135558656001</v>
      </c>
      <c r="F7955" s="30" t="s">
        <v>411</v>
      </c>
      <c r="G7955" s="24">
        <v>2616.0</v>
      </c>
      <c r="H7955" s="24">
        <v>1605.0</v>
      </c>
      <c r="I7955" s="24">
        <v>1.0</v>
      </c>
      <c r="J7955" s="24">
        <v>0.0</v>
      </c>
      <c r="K7955" s="23" t="s">
        <v>34</v>
      </c>
      <c r="L7955" s="25">
        <v>41540.47662037037</v>
      </c>
      <c r="M7955" s="28"/>
      <c r="N7955" s="26" t="s">
        <v>17654</v>
      </c>
      <c r="O7955" s="22" t="str">
        <f>HYPERLINK("https://pbs.twimg.com/profile_images/543113984136581120/ZH_XpJ3h_normal.png","View")</f>
        <v>View</v>
      </c>
      <c r="P7955" s="27"/>
    </row>
    <row r="7956">
      <c r="A7956" s="14">
        <v>43031.70709490741</v>
      </c>
      <c r="B7956" s="20" t="str">
        <f>HYPERLINK("https://twitter.com/danielylhuang","@danielylhuang")</f>
        <v>@danielylhuang</v>
      </c>
      <c r="C7956" s="21" t="s">
        <v>17655</v>
      </c>
      <c r="D7956" s="21" t="s">
        <v>17656</v>
      </c>
      <c r="E7956" s="22" t="str">
        <f>HYPERLINK("https://twitter.com/danielylhuang/status/922613159818559488","922613159818559488")</f>
        <v>922613159818559488</v>
      </c>
      <c r="F7956" s="23" t="s">
        <v>39</v>
      </c>
      <c r="G7956" s="24">
        <v>165.0</v>
      </c>
      <c r="H7956" s="24">
        <v>935.0</v>
      </c>
      <c r="I7956" s="24">
        <v>2.0</v>
      </c>
      <c r="J7956" s="24">
        <v>0.0</v>
      </c>
      <c r="K7956" s="23" t="s">
        <v>34</v>
      </c>
      <c r="L7956" s="25">
        <v>41469.51056712963</v>
      </c>
      <c r="M7956" s="26" t="s">
        <v>17657</v>
      </c>
      <c r="N7956" s="26" t="s">
        <v>17658</v>
      </c>
      <c r="O7956" s="22" t="str">
        <f>HYPERLINK("https://pbs.twimg.com/profile_images/611699012014632960/yhiKlCZg_normal.jpg","View")</f>
        <v>View</v>
      </c>
      <c r="P7956" s="27"/>
    </row>
    <row r="7957">
      <c r="A7957" s="14">
        <v>43031.70721064815</v>
      </c>
      <c r="B7957" s="20" t="str">
        <f>HYPERLINK("https://twitter.com/ThuPham64874349","@ThuPham64874349")</f>
        <v>@ThuPham64874349</v>
      </c>
      <c r="C7957" s="21" t="s">
        <v>17659</v>
      </c>
      <c r="D7957" s="21" t="s">
        <v>17660</v>
      </c>
      <c r="E7957" s="22" t="str">
        <f>HYPERLINK("https://twitter.com/ThuPham64874349/status/922613201493200899","922613201493200899")</f>
        <v>922613201493200899</v>
      </c>
      <c r="F7957" s="23" t="s">
        <v>39</v>
      </c>
      <c r="G7957" s="24">
        <v>7.0</v>
      </c>
      <c r="H7957" s="24">
        <v>209.0</v>
      </c>
      <c r="I7957" s="24">
        <v>2.0</v>
      </c>
      <c r="J7957" s="24">
        <v>0.0</v>
      </c>
      <c r="K7957" s="23" t="s">
        <v>34</v>
      </c>
      <c r="L7957" s="25">
        <v>41821.38043981481</v>
      </c>
      <c r="M7957" s="28"/>
      <c r="N7957" s="28"/>
      <c r="O7957" s="22" t="str">
        <f>HYPERLINK("https://abs.twimg.com/sticky/default_profile_images/default_profile_normal.png","View")</f>
        <v>View</v>
      </c>
      <c r="P7957" s="27"/>
    </row>
    <row r="7958">
      <c r="A7958" s="14">
        <v>43031.707766203705</v>
      </c>
      <c r="B7958" s="20" t="str">
        <f>HYPERLINK("https://twitter.com/Biagio960","@Biagio960")</f>
        <v>@Biagio960</v>
      </c>
      <c r="C7958" s="21" t="s">
        <v>17661</v>
      </c>
      <c r="D7958" s="21" t="s">
        <v>17662</v>
      </c>
      <c r="E7958" s="22" t="str">
        <f>HYPERLINK("https://twitter.com/Biagio960/status/922613402006097920","922613402006097920")</f>
        <v>922613402006097920</v>
      </c>
      <c r="F7958" s="23" t="s">
        <v>230</v>
      </c>
      <c r="G7958" s="24">
        <v>45170.0</v>
      </c>
      <c r="H7958" s="24">
        <v>43544.0</v>
      </c>
      <c r="I7958" s="24">
        <v>23.0</v>
      </c>
      <c r="J7958" s="24">
        <v>27.0</v>
      </c>
      <c r="K7958" s="23" t="s">
        <v>34</v>
      </c>
      <c r="L7958" s="25">
        <v>40946.07506944444</v>
      </c>
      <c r="M7958" s="28"/>
      <c r="N7958" s="26" t="s">
        <v>17663</v>
      </c>
      <c r="O7958" s="22" t="str">
        <f>HYPERLINK("https://pbs.twimg.com/profile_images/839102897069699073/9APwl0qA_normal.jpg","View")</f>
        <v>View</v>
      </c>
      <c r="P7958" s="27"/>
    </row>
    <row r="7959">
      <c r="A7959" s="14">
        <v>43031.70829861111</v>
      </c>
      <c r="B7959" s="20" t="str">
        <f>HYPERLINK("https://twitter.com/mizukilari","@mizukilari")</f>
        <v>@mizukilari</v>
      </c>
      <c r="C7959" s="21" t="s">
        <v>17664</v>
      </c>
      <c r="D7959" s="21" t="s">
        <v>6403</v>
      </c>
      <c r="E7959" s="22" t="str">
        <f>HYPERLINK("https://twitter.com/mizukilari/status/922613597141835776","922613597141835776")</f>
        <v>922613597141835776</v>
      </c>
      <c r="F7959" s="23" t="s">
        <v>55</v>
      </c>
      <c r="G7959" s="24">
        <v>329.0</v>
      </c>
      <c r="H7959" s="24">
        <v>262.0</v>
      </c>
      <c r="I7959" s="24">
        <v>97.0</v>
      </c>
      <c r="J7959" s="24">
        <v>0.0</v>
      </c>
      <c r="K7959" s="23" t="s">
        <v>34</v>
      </c>
      <c r="L7959" s="25">
        <v>40445.38706018518</v>
      </c>
      <c r="M7959" s="28"/>
      <c r="N7959" s="26" t="s">
        <v>17665</v>
      </c>
      <c r="O7959" s="22" t="str">
        <f>HYPERLINK("https://pbs.twimg.com/profile_images/910377080487104512/oMLQ8PEI_normal.jpg","View")</f>
        <v>View</v>
      </c>
      <c r="P7959" s="27"/>
    </row>
    <row r="7960">
      <c r="A7960" s="14">
        <v>43031.7085300926</v>
      </c>
      <c r="B7960" s="20" t="str">
        <f>HYPERLINK("https://twitter.com/Ernie33Ns","@Ernie33Ns")</f>
        <v>@Ernie33Ns</v>
      </c>
      <c r="C7960" s="21" t="s">
        <v>17666</v>
      </c>
      <c r="D7960" s="21" t="s">
        <v>8782</v>
      </c>
      <c r="E7960" s="22" t="str">
        <f>HYPERLINK("https://twitter.com/Ernie33Ns/status/922613679190708224","922613679190708224")</f>
        <v>922613679190708224</v>
      </c>
      <c r="F7960" s="23" t="s">
        <v>33</v>
      </c>
      <c r="G7960" s="24">
        <v>174.0</v>
      </c>
      <c r="H7960" s="24">
        <v>299.0</v>
      </c>
      <c r="I7960" s="24">
        <v>20.0</v>
      </c>
      <c r="J7960" s="24">
        <v>0.0</v>
      </c>
      <c r="K7960" s="23" t="s">
        <v>34</v>
      </c>
      <c r="L7960" s="25">
        <v>41672.148043981484</v>
      </c>
      <c r="M7960" s="28"/>
      <c r="N7960" s="28"/>
      <c r="O7960" s="22" t="str">
        <f>HYPERLINK("https://pbs.twimg.com/profile_images/520874158394068992/Gb3x1nQa_normal.jpeg","View")</f>
        <v>View</v>
      </c>
      <c r="P7960" s="27"/>
    </row>
    <row r="7961">
      <c r="A7961" s="14">
        <v>43031.70856481481</v>
      </c>
      <c r="B7961" s="20" t="str">
        <f>HYPERLINK("https://twitter.com/PIMCO","@PIMCO")</f>
        <v>@PIMCO</v>
      </c>
      <c r="C7961" s="21" t="s">
        <v>17667</v>
      </c>
      <c r="D7961" s="21" t="s">
        <v>17668</v>
      </c>
      <c r="E7961" s="22" t="str">
        <f>HYPERLINK("https://twitter.com/PIMCO/status/922613695116709894","922613695116709894")</f>
        <v>922613695116709894</v>
      </c>
      <c r="F7961" s="23" t="s">
        <v>17669</v>
      </c>
      <c r="G7961" s="24">
        <v>239310.0</v>
      </c>
      <c r="H7961" s="24">
        <v>22.0</v>
      </c>
      <c r="I7961" s="24">
        <v>7.0</v>
      </c>
      <c r="J7961" s="24">
        <v>9.0</v>
      </c>
      <c r="K7961" s="23" t="s">
        <v>34</v>
      </c>
      <c r="L7961" s="25">
        <v>39902.513125</v>
      </c>
      <c r="M7961" s="26" t="s">
        <v>17670</v>
      </c>
      <c r="N7961" s="26" t="s">
        <v>17671</v>
      </c>
      <c r="O7961" s="22" t="str">
        <f>HYPERLINK("https://pbs.twimg.com/profile_images/427839905390022656/_MXkv9vZ_normal.jpeg","View")</f>
        <v>View</v>
      </c>
      <c r="P7961" s="27"/>
    </row>
    <row r="7962">
      <c r="A7962" s="14">
        <v>43031.70863425926</v>
      </c>
      <c r="B7962" s="20" t="str">
        <f>HYPERLINK("https://twitter.com/CBCNews","@CBCNews")</f>
        <v>@CBCNews</v>
      </c>
      <c r="C7962" s="21" t="s">
        <v>17672</v>
      </c>
      <c r="D7962" s="21" t="s">
        <v>17673</v>
      </c>
      <c r="E7962" s="22" t="str">
        <f>HYPERLINK("https://twitter.com/CBCNews/status/922613720492269568","922613720492269568")</f>
        <v>922613720492269568</v>
      </c>
      <c r="F7962" s="23" t="s">
        <v>4619</v>
      </c>
      <c r="G7962" s="24">
        <v>2460161.0</v>
      </c>
      <c r="H7962" s="24">
        <v>2702.0</v>
      </c>
      <c r="I7962" s="24">
        <v>18.0</v>
      </c>
      <c r="J7962" s="24">
        <v>22.0</v>
      </c>
      <c r="K7962" s="23" t="s">
        <v>34</v>
      </c>
      <c r="L7962" s="25">
        <v>39231.93100694445</v>
      </c>
      <c r="M7962" s="26" t="s">
        <v>920</v>
      </c>
      <c r="N7962" s="26" t="s">
        <v>17674</v>
      </c>
      <c r="O7962" s="22" t="str">
        <f>HYPERLINK("https://pbs.twimg.com/profile_images/892416234771275777/23LkpO-n_normal.jpg","View")</f>
        <v>View</v>
      </c>
      <c r="P7962" s="27"/>
    </row>
    <row r="7963">
      <c r="A7963" s="14">
        <v>43031.70925925926</v>
      </c>
      <c r="B7963" s="20" t="str">
        <f>HYPERLINK("https://twitter.com/adamfwalsh","@adamfwalsh")</f>
        <v>@adamfwalsh</v>
      </c>
      <c r="C7963" s="21" t="s">
        <v>17485</v>
      </c>
      <c r="D7963" s="21" t="s">
        <v>17675</v>
      </c>
      <c r="E7963" s="22" t="str">
        <f>HYPERLINK("https://twitter.com/adamfwalsh/status/922613946120581120","922613946120581120")</f>
        <v>922613946120581120</v>
      </c>
      <c r="F7963" s="23" t="s">
        <v>55</v>
      </c>
      <c r="G7963" s="24">
        <v>8734.0</v>
      </c>
      <c r="H7963" s="24">
        <v>5899.0</v>
      </c>
      <c r="I7963" s="24">
        <v>18.0</v>
      </c>
      <c r="J7963" s="24">
        <v>0.0</v>
      </c>
      <c r="K7963" s="23" t="s">
        <v>34</v>
      </c>
      <c r="L7963" s="25">
        <v>40639.73148148148</v>
      </c>
      <c r="M7963" s="26" t="s">
        <v>853</v>
      </c>
      <c r="N7963" s="26" t="s">
        <v>17486</v>
      </c>
      <c r="O7963" s="22" t="str">
        <f>HYPERLINK("https://pbs.twimg.com/profile_images/664459266783387648/hVHHF38B_normal.jpg","View")</f>
        <v>View</v>
      </c>
      <c r="P7963" s="27"/>
    </row>
    <row r="7964">
      <c r="A7964" s="14">
        <v>43031.70931712963</v>
      </c>
      <c r="B7964" s="20" t="str">
        <f>HYPERLINK("https://twitter.com/jlewr","@jlewr")</f>
        <v>@jlewr</v>
      </c>
      <c r="C7964" s="21" t="s">
        <v>17676</v>
      </c>
      <c r="D7964" s="21" t="s">
        <v>17677</v>
      </c>
      <c r="E7964" s="22" t="str">
        <f>HYPERLINK("https://twitter.com/jlewr/status/922613967813570565","922613967813570565")</f>
        <v>922613967813570565</v>
      </c>
      <c r="F7964" s="23" t="s">
        <v>55</v>
      </c>
      <c r="G7964" s="24">
        <v>1009.0</v>
      </c>
      <c r="H7964" s="24">
        <v>678.0</v>
      </c>
      <c r="I7964" s="24">
        <v>13.0</v>
      </c>
      <c r="J7964" s="24">
        <v>0.0</v>
      </c>
      <c r="K7964" s="23" t="s">
        <v>34</v>
      </c>
      <c r="L7964" s="25">
        <v>39874.547581018516</v>
      </c>
      <c r="M7964" s="26" t="s">
        <v>221</v>
      </c>
      <c r="N7964" s="26" t="s">
        <v>17678</v>
      </c>
      <c r="O7964" s="22" t="str">
        <f>HYPERLINK("https://pbs.twimg.com/profile_images/885279235564347393/l45WzylP_normal.jpg","View")</f>
        <v>View</v>
      </c>
      <c r="P7964" s="27"/>
    </row>
    <row r="7965">
      <c r="A7965" s="14">
        <v>43031.70943287037</v>
      </c>
      <c r="B7965" s="20" t="str">
        <f>HYPERLINK("https://twitter.com/notrowanpaulsen","@notrowanpaulsen")</f>
        <v>@notrowanpaulsen</v>
      </c>
      <c r="C7965" s="21" t="s">
        <v>17679</v>
      </c>
      <c r="D7965" s="21" t="s">
        <v>17675</v>
      </c>
      <c r="E7965" s="22" t="str">
        <f>HYPERLINK("https://twitter.com/notrowanpaulsen/status/922614006266957824","922614006266957824")</f>
        <v>922614006266957824</v>
      </c>
      <c r="F7965" s="23" t="s">
        <v>43</v>
      </c>
      <c r="G7965" s="24">
        <v>107.0</v>
      </c>
      <c r="H7965" s="24">
        <v>374.0</v>
      </c>
      <c r="I7965" s="24">
        <v>18.0</v>
      </c>
      <c r="J7965" s="24">
        <v>0.0</v>
      </c>
      <c r="K7965" s="23" t="s">
        <v>34</v>
      </c>
      <c r="L7965" s="25">
        <v>41373.42737268518</v>
      </c>
      <c r="M7965" s="28"/>
      <c r="N7965" s="26" t="s">
        <v>17680</v>
      </c>
      <c r="O7965" s="22" t="str">
        <f>HYPERLINK("https://pbs.twimg.com/profile_images/920485695201800192/6tx6Wpy3_normal.jpg","View")</f>
        <v>View</v>
      </c>
      <c r="P7965" s="27"/>
    </row>
    <row r="7966">
      <c r="A7966" s="14">
        <v>43031.70993055556</v>
      </c>
      <c r="B7966" s="20" t="str">
        <f>HYPERLINK("https://twitter.com/MekMolly","@MekMolly")</f>
        <v>@MekMolly</v>
      </c>
      <c r="C7966" s="21" t="s">
        <v>17681</v>
      </c>
      <c r="D7966" s="21" t="s">
        <v>17645</v>
      </c>
      <c r="E7966" s="22" t="str">
        <f>HYPERLINK("https://twitter.com/MekMolly/status/922614186298916864","922614186298916864")</f>
        <v>922614186298916864</v>
      </c>
      <c r="F7966" s="23" t="s">
        <v>39</v>
      </c>
      <c r="G7966" s="24">
        <v>1318.0</v>
      </c>
      <c r="H7966" s="24">
        <v>501.0</v>
      </c>
      <c r="I7966" s="24">
        <v>8.0</v>
      </c>
      <c r="J7966" s="24">
        <v>0.0</v>
      </c>
      <c r="K7966" s="23" t="s">
        <v>34</v>
      </c>
      <c r="L7966" s="25">
        <v>40387.07613425926</v>
      </c>
      <c r="M7966" s="28"/>
      <c r="N7966" s="26" t="s">
        <v>17682</v>
      </c>
      <c r="O7966" s="22" t="str">
        <f>HYPERLINK("https://pbs.twimg.com/profile_images/900564849482096640/AOykilSB_normal.jpg","View")</f>
        <v>View</v>
      </c>
      <c r="P7966" s="27"/>
    </row>
    <row r="7967">
      <c r="A7967" s="14">
        <v>43031.710023148145</v>
      </c>
      <c r="B7967" s="20" t="str">
        <f>HYPERLINK("https://twitter.com/starmobileteam","@starmobileteam")</f>
        <v>@starmobileteam</v>
      </c>
      <c r="C7967" s="21" t="s">
        <v>17683</v>
      </c>
      <c r="D7967" s="21" t="s">
        <v>17684</v>
      </c>
      <c r="E7967" s="22" t="str">
        <f>HYPERLINK("https://twitter.com/starmobileteam/status/922614219882643456","922614219882643456")</f>
        <v>922614219882643456</v>
      </c>
      <c r="F7967" s="23" t="s">
        <v>17685</v>
      </c>
      <c r="G7967" s="24">
        <v>3.0</v>
      </c>
      <c r="H7967" s="24">
        <v>1.0</v>
      </c>
      <c r="I7967" s="24">
        <v>0.0</v>
      </c>
      <c r="J7967" s="24">
        <v>0.0</v>
      </c>
      <c r="K7967" s="23" t="s">
        <v>34</v>
      </c>
      <c r="L7967" s="25">
        <v>42589.856562500005</v>
      </c>
      <c r="M7967" s="28"/>
      <c r="N7967" s="28"/>
      <c r="O7967" s="22" t="str">
        <f>HYPERLINK("https://abs.twimg.com/sticky/default_profile_images/default_profile_normal.png","View")</f>
        <v>View</v>
      </c>
      <c r="P7967" s="27"/>
    </row>
    <row r="7968">
      <c r="A7968" s="14">
        <v>43031.7100462963</v>
      </c>
      <c r="B7968" s="20" t="str">
        <f>HYPERLINK("https://twitter.com/ChinaInsiders","@ChinaInsiders")</f>
        <v>@ChinaInsiders</v>
      </c>
      <c r="C7968" s="21" t="s">
        <v>17686</v>
      </c>
      <c r="D7968" s="21" t="s">
        <v>17363</v>
      </c>
      <c r="E7968" s="22" t="str">
        <f>HYPERLINK("https://twitter.com/ChinaInsiders/status/922614232193032192","922614232193032192")</f>
        <v>922614232193032192</v>
      </c>
      <c r="F7968" s="23" t="s">
        <v>17687</v>
      </c>
      <c r="G7968" s="24">
        <v>89.0</v>
      </c>
      <c r="H7968" s="24">
        <v>172.0</v>
      </c>
      <c r="I7968" s="24">
        <v>17.0</v>
      </c>
      <c r="J7968" s="24">
        <v>0.0</v>
      </c>
      <c r="K7968" s="23" t="s">
        <v>34</v>
      </c>
      <c r="L7968" s="25">
        <v>42596.51760416667</v>
      </c>
      <c r="M7968" s="26" t="s">
        <v>68</v>
      </c>
      <c r="N7968" s="26" t="s">
        <v>17688</v>
      </c>
      <c r="O7968" s="22" t="str">
        <f>HYPERLINK("https://pbs.twimg.com/profile_images/764906055709044736/ZK5lRCVe_normal.jpg","View")</f>
        <v>View</v>
      </c>
      <c r="P7968" s="27"/>
    </row>
    <row r="7969">
      <c r="A7969" s="14">
        <v>43031.710393518515</v>
      </c>
      <c r="B7969" s="20" t="str">
        <f>HYPERLINK("https://twitter.com/asuka_250","@asuka_250")</f>
        <v>@asuka_250</v>
      </c>
      <c r="C7969" s="21" t="s">
        <v>8584</v>
      </c>
      <c r="D7969" s="21" t="s">
        <v>16208</v>
      </c>
      <c r="E7969" s="22" t="str">
        <f>HYPERLINK("https://twitter.com/asuka_250/status/922614354847002625","922614354847002625")</f>
        <v>922614354847002625</v>
      </c>
      <c r="F7969" s="23" t="s">
        <v>33</v>
      </c>
      <c r="G7969" s="24">
        <v>30812.0</v>
      </c>
      <c r="H7969" s="24">
        <v>30482.0</v>
      </c>
      <c r="I7969" s="24">
        <v>41.0</v>
      </c>
      <c r="J7969" s="24">
        <v>0.0</v>
      </c>
      <c r="K7969" s="23" t="s">
        <v>34</v>
      </c>
      <c r="L7969" s="25">
        <v>41943.172476851854</v>
      </c>
      <c r="M7969" s="26" t="s">
        <v>1224</v>
      </c>
      <c r="N7969" s="26" t="s">
        <v>8586</v>
      </c>
      <c r="O7969" s="22" t="str">
        <f>HYPERLINK("https://pbs.twimg.com/profile_images/576284037486014464/dhYtI1qZ_normal.jpeg","View")</f>
        <v>View</v>
      </c>
      <c r="P7969" s="27"/>
    </row>
    <row r="7970">
      <c r="A7970" s="14">
        <v>43031.71055555556</v>
      </c>
      <c r="B7970" s="20" t="str">
        <f>HYPERLINK("https://twitter.com/CapSpaulding01","@CapSpaulding01")</f>
        <v>@CapSpaulding01</v>
      </c>
      <c r="C7970" s="21" t="s">
        <v>17689</v>
      </c>
      <c r="D7970" s="21" t="s">
        <v>17690</v>
      </c>
      <c r="E7970" s="22" t="str">
        <f>HYPERLINK("https://twitter.com/CapSpaulding01/status/922614413911347200","922614413911347200")</f>
        <v>922614413911347200</v>
      </c>
      <c r="F7970" s="23" t="s">
        <v>230</v>
      </c>
      <c r="G7970" s="24">
        <v>2553.0</v>
      </c>
      <c r="H7970" s="24">
        <v>4995.0</v>
      </c>
      <c r="I7970" s="24">
        <v>7.0</v>
      </c>
      <c r="J7970" s="24">
        <v>0.0</v>
      </c>
      <c r="K7970" s="23" t="s">
        <v>34</v>
      </c>
      <c r="L7970" s="25">
        <v>40621.864907407406</v>
      </c>
      <c r="M7970" s="28"/>
      <c r="N7970" s="26" t="s">
        <v>17691</v>
      </c>
      <c r="O7970" s="22" t="str">
        <f>HYPERLINK("https://pbs.twimg.com/profile_images/497278513939234816/GzJKhh-t_normal.jpeg","View")</f>
        <v>View</v>
      </c>
      <c r="P7970" s="27"/>
    </row>
    <row r="7971">
      <c r="A7971" s="14">
        <v>43031.71079861111</v>
      </c>
      <c r="B7971" s="20" t="str">
        <f>HYPERLINK("https://twitter.com/nikhilsureka","@nikhilsureka")</f>
        <v>@nikhilsureka</v>
      </c>
      <c r="C7971" s="21" t="s">
        <v>17692</v>
      </c>
      <c r="D7971" s="21" t="s">
        <v>42</v>
      </c>
      <c r="E7971" s="22" t="str">
        <f>HYPERLINK("https://twitter.com/nikhilsureka/status/922614501425299456","922614501425299456")</f>
        <v>922614501425299456</v>
      </c>
      <c r="F7971" s="23" t="s">
        <v>33</v>
      </c>
      <c r="G7971" s="24">
        <v>828.0</v>
      </c>
      <c r="H7971" s="24">
        <v>755.0</v>
      </c>
      <c r="I7971" s="24">
        <v>8501.0</v>
      </c>
      <c r="J7971" s="24">
        <v>0.0</v>
      </c>
      <c r="K7971" s="23" t="s">
        <v>34</v>
      </c>
      <c r="L7971" s="25">
        <v>40184.89545138889</v>
      </c>
      <c r="M7971" s="26" t="s">
        <v>593</v>
      </c>
      <c r="N7971" s="26" t="s">
        <v>17693</v>
      </c>
      <c r="O7971" s="22" t="str">
        <f>HYPERLINK("https://pbs.twimg.com/profile_images/866693807626227713/15wIN8_V_normal.jpg","View")</f>
        <v>View</v>
      </c>
      <c r="P7971" s="27"/>
    </row>
    <row r="7972">
      <c r="A7972" s="14">
        <v>43031.71116898148</v>
      </c>
      <c r="B7972" s="20" t="str">
        <f>HYPERLINK("https://twitter.com/ruralmanav","@ruralmanav")</f>
        <v>@ruralmanav</v>
      </c>
      <c r="C7972" s="21" t="s">
        <v>17694</v>
      </c>
      <c r="D7972" s="21" t="s">
        <v>163</v>
      </c>
      <c r="E7972" s="22" t="str">
        <f>HYPERLINK("https://twitter.com/ruralmanav/status/922614637840994304","922614637840994304")</f>
        <v>922614637840994304</v>
      </c>
      <c r="F7972" s="23" t="s">
        <v>39</v>
      </c>
      <c r="G7972" s="24">
        <v>431.0</v>
      </c>
      <c r="H7972" s="24">
        <v>136.0</v>
      </c>
      <c r="I7972" s="24">
        <v>1005.0</v>
      </c>
      <c r="J7972" s="24">
        <v>0.0</v>
      </c>
      <c r="K7972" s="23" t="s">
        <v>34</v>
      </c>
      <c r="L7972" s="25">
        <v>39985.656539351854</v>
      </c>
      <c r="M7972" s="26" t="s">
        <v>12184</v>
      </c>
      <c r="N7972" s="26" t="s">
        <v>17695</v>
      </c>
      <c r="O7972" s="22" t="str">
        <f>HYPERLINK("https://pbs.twimg.com/profile_images/592232108040581120/rwnVvKHk_normal.jpg","View")</f>
        <v>View</v>
      </c>
      <c r="P7972" s="27"/>
    </row>
    <row r="7973">
      <c r="A7973" s="14">
        <v>43031.71119212963</v>
      </c>
      <c r="B7973" s="20" t="str">
        <f>HYPERLINK("https://twitter.com/bennyavni","@bennyavni")</f>
        <v>@bennyavni</v>
      </c>
      <c r="C7973" s="21" t="s">
        <v>17696</v>
      </c>
      <c r="D7973" s="21" t="s">
        <v>17697</v>
      </c>
      <c r="E7973" s="22" t="str">
        <f>HYPERLINK("https://twitter.com/bennyavni/status/922614644971368449","922614644971368449")</f>
        <v>922614644971368449</v>
      </c>
      <c r="F7973" s="23" t="s">
        <v>230</v>
      </c>
      <c r="G7973" s="24">
        <v>1759.0</v>
      </c>
      <c r="H7973" s="24">
        <v>514.0</v>
      </c>
      <c r="I7973" s="24">
        <v>0.0</v>
      </c>
      <c r="J7973" s="24">
        <v>0.0</v>
      </c>
      <c r="K7973" s="23" t="s">
        <v>34</v>
      </c>
      <c r="L7973" s="25">
        <v>40241.53445601852</v>
      </c>
      <c r="M7973" s="26" t="s">
        <v>17698</v>
      </c>
      <c r="N7973" s="26" t="s">
        <v>17699</v>
      </c>
      <c r="O7973" s="22" t="str">
        <f>HYPERLINK("https://pbs.twimg.com/profile_images/1326691990/image_normal.jpeg","View")</f>
        <v>View</v>
      </c>
      <c r="P7973" s="27"/>
    </row>
    <row r="7974">
      <c r="A7974" s="14">
        <v>43031.71133101852</v>
      </c>
      <c r="B7974" s="20" t="str">
        <f>HYPERLINK("https://twitter.com/Rayakansha","@Rayakansha")</f>
        <v>@Rayakansha</v>
      </c>
      <c r="C7974" s="21" t="s">
        <v>17700</v>
      </c>
      <c r="D7974" s="21" t="s">
        <v>42</v>
      </c>
      <c r="E7974" s="22" t="str">
        <f>HYPERLINK("https://twitter.com/Rayakansha/status/922614694514429952","922614694514429952")</f>
        <v>922614694514429952</v>
      </c>
      <c r="F7974" s="23" t="s">
        <v>39</v>
      </c>
      <c r="G7974" s="24">
        <v>1647.0</v>
      </c>
      <c r="H7974" s="24">
        <v>404.0</v>
      </c>
      <c r="I7974" s="24">
        <v>8501.0</v>
      </c>
      <c r="J7974" s="24">
        <v>0.0</v>
      </c>
      <c r="K7974" s="23" t="s">
        <v>34</v>
      </c>
      <c r="L7974" s="25">
        <v>42015.100023148145</v>
      </c>
      <c r="M7974" s="26" t="s">
        <v>575</v>
      </c>
      <c r="N7974" s="26" t="s">
        <v>17701</v>
      </c>
      <c r="O7974" s="22" t="str">
        <f>HYPERLINK("https://pbs.twimg.com/profile_images/917881677615005696/fb6o3ZKq_normal.jpg","View")</f>
        <v>View</v>
      </c>
      <c r="P7974" s="27"/>
    </row>
    <row r="7975">
      <c r="A7975" s="14">
        <v>43031.71144675926</v>
      </c>
      <c r="B7975" s="20" t="str">
        <f>HYPERLINK("https://twitter.com/O_mi_alma","@O_mi_alma")</f>
        <v>@O_mi_alma</v>
      </c>
      <c r="C7975" s="21" t="s">
        <v>17702</v>
      </c>
      <c r="D7975" s="21" t="s">
        <v>17703</v>
      </c>
      <c r="E7975" s="22" t="str">
        <f>HYPERLINK("https://twitter.com/O_mi_alma/status/922614736168144896","922614736168144896")</f>
        <v>922614736168144896</v>
      </c>
      <c r="F7975" s="23" t="s">
        <v>33</v>
      </c>
      <c r="G7975" s="24">
        <v>4536.0</v>
      </c>
      <c r="H7975" s="24">
        <v>1733.0</v>
      </c>
      <c r="I7975" s="24">
        <v>23.0</v>
      </c>
      <c r="J7975" s="24">
        <v>0.0</v>
      </c>
      <c r="K7975" s="23" t="s">
        <v>34</v>
      </c>
      <c r="L7975" s="25">
        <v>42599.36778935185</v>
      </c>
      <c r="M7975" s="26" t="s">
        <v>17704</v>
      </c>
      <c r="N7975" s="26" t="s">
        <v>17705</v>
      </c>
      <c r="O7975" s="22" t="str">
        <f>HYPERLINK("https://pbs.twimg.com/profile_images/921748883344117760/9lMkSrQj_normal.jpg","View")</f>
        <v>View</v>
      </c>
      <c r="P7975" s="27"/>
    </row>
    <row r="7976">
      <c r="A7976" s="14">
        <v>43031.71166666667</v>
      </c>
      <c r="B7976" s="20" t="str">
        <f>HYPERLINK("https://twitter.com/asuka_250","@asuka_250")</f>
        <v>@asuka_250</v>
      </c>
      <c r="C7976" s="21" t="s">
        <v>8584</v>
      </c>
      <c r="D7976" s="21" t="s">
        <v>17706</v>
      </c>
      <c r="E7976" s="22" t="str">
        <f>HYPERLINK("https://twitter.com/asuka_250/status/922614816220487680","922614816220487680")</f>
        <v>922614816220487680</v>
      </c>
      <c r="F7976" s="23" t="s">
        <v>33</v>
      </c>
      <c r="G7976" s="24">
        <v>30812.0</v>
      </c>
      <c r="H7976" s="24">
        <v>30482.0</v>
      </c>
      <c r="I7976" s="24">
        <v>3.0</v>
      </c>
      <c r="J7976" s="24">
        <v>0.0</v>
      </c>
      <c r="K7976" s="23" t="s">
        <v>34</v>
      </c>
      <c r="L7976" s="25">
        <v>41943.172476851854</v>
      </c>
      <c r="M7976" s="26" t="s">
        <v>1224</v>
      </c>
      <c r="N7976" s="26" t="s">
        <v>8586</v>
      </c>
      <c r="O7976" s="22" t="str">
        <f>HYPERLINK("https://pbs.twimg.com/profile_images/576284037486014464/dhYtI1qZ_normal.jpeg","View")</f>
        <v>View</v>
      </c>
      <c r="P7976" s="27"/>
    </row>
    <row r="7977">
      <c r="A7977" s="14">
        <v>43031.71251157408</v>
      </c>
      <c r="B7977" s="20" t="str">
        <f>HYPERLINK("https://twitter.com/charajunpei","@charajunpei")</f>
        <v>@charajunpei</v>
      </c>
      <c r="C7977" s="21" t="s">
        <v>17707</v>
      </c>
      <c r="D7977" s="21" t="s">
        <v>1642</v>
      </c>
      <c r="E7977" s="22" t="str">
        <f>HYPERLINK("https://twitter.com/charajunpei/status/922615125156253696","922615125156253696")</f>
        <v>922615125156253696</v>
      </c>
      <c r="F7977" s="23" t="s">
        <v>55</v>
      </c>
      <c r="G7977" s="24">
        <v>536.0</v>
      </c>
      <c r="H7977" s="24">
        <v>797.0</v>
      </c>
      <c r="I7977" s="24">
        <v>199.0</v>
      </c>
      <c r="J7977" s="24">
        <v>0.0</v>
      </c>
      <c r="K7977" s="23" t="s">
        <v>34</v>
      </c>
      <c r="L7977" s="25">
        <v>40216.1490625</v>
      </c>
      <c r="M7977" s="26" t="s">
        <v>17708</v>
      </c>
      <c r="N7977" s="26" t="s">
        <v>17709</v>
      </c>
      <c r="O7977" s="22" t="str">
        <f>HYPERLINK("https://pbs.twimg.com/profile_images/773311111/_____normal.jpg","View")</f>
        <v>View</v>
      </c>
      <c r="P7977" s="27"/>
    </row>
    <row r="7978">
      <c r="A7978" s="14">
        <v>43031.7127662037</v>
      </c>
      <c r="B7978" s="20" t="str">
        <f>HYPERLINK("https://twitter.com/emakpabio","@emakpabio")</f>
        <v>@emakpabio</v>
      </c>
      <c r="C7978" s="21" t="s">
        <v>17710</v>
      </c>
      <c r="D7978" s="21" t="s">
        <v>14748</v>
      </c>
      <c r="E7978" s="22" t="str">
        <f>HYPERLINK("https://twitter.com/emakpabio/status/922615216424275968","922615216424275968")</f>
        <v>922615216424275968</v>
      </c>
      <c r="F7978" s="23" t="s">
        <v>230</v>
      </c>
      <c r="G7978" s="24">
        <v>186.0</v>
      </c>
      <c r="H7978" s="24">
        <v>88.0</v>
      </c>
      <c r="I7978" s="24">
        <v>46.0</v>
      </c>
      <c r="J7978" s="24">
        <v>0.0</v>
      </c>
      <c r="K7978" s="23" t="s">
        <v>34</v>
      </c>
      <c r="L7978" s="25">
        <v>41087.456655092596</v>
      </c>
      <c r="M7978" s="26" t="s">
        <v>4424</v>
      </c>
      <c r="N7978" s="28"/>
      <c r="O7978" s="22" t="str">
        <f>HYPERLINK("https://pbs.twimg.com/profile_images/475590209300480000/EewVEhIF_normal.jpeg","View")</f>
        <v>View</v>
      </c>
      <c r="P7978" s="27"/>
    </row>
    <row r="7979">
      <c r="A7979" s="14">
        <v>43031.71314814815</v>
      </c>
      <c r="B7979" s="20" t="str">
        <f>HYPERLINK("https://twitter.com/trouseredapes","@trouseredapes")</f>
        <v>@trouseredapes</v>
      </c>
      <c r="C7979" s="21" t="s">
        <v>17711</v>
      </c>
      <c r="D7979" s="21" t="s">
        <v>17675</v>
      </c>
      <c r="E7979" s="22" t="str">
        <f>HYPERLINK("https://twitter.com/trouseredapes/status/922615355545194498","922615355545194498")</f>
        <v>922615355545194498</v>
      </c>
      <c r="F7979" s="23" t="s">
        <v>39</v>
      </c>
      <c r="G7979" s="24">
        <v>892.0</v>
      </c>
      <c r="H7979" s="24">
        <v>2188.0</v>
      </c>
      <c r="I7979" s="24">
        <v>18.0</v>
      </c>
      <c r="J7979" s="24">
        <v>0.0</v>
      </c>
      <c r="K7979" s="23" t="s">
        <v>34</v>
      </c>
      <c r="L7979" s="25">
        <v>41698.67255787037</v>
      </c>
      <c r="M7979" s="28"/>
      <c r="N7979" s="26" t="s">
        <v>17712</v>
      </c>
      <c r="O7979" s="22" t="str">
        <f>HYPERLINK("https://pbs.twimg.com/profile_images/888793332981395456/YVfY8zgT_normal.jpg","View")</f>
        <v>View</v>
      </c>
      <c r="P7979" s="27"/>
    </row>
    <row r="7980">
      <c r="A7980" s="14">
        <v>43031.713217592594</v>
      </c>
      <c r="B7980" s="20" t="str">
        <f>HYPERLINK("https://twitter.com/JapanFocus","@JapanFocus")</f>
        <v>@JapanFocus</v>
      </c>
      <c r="C7980" s="21" t="s">
        <v>17713</v>
      </c>
      <c r="D7980" s="21" t="s">
        <v>17714</v>
      </c>
      <c r="E7980" s="22" t="str">
        <f>HYPERLINK("https://twitter.com/JapanFocus/status/922615378114678785","922615378114678785")</f>
        <v>922615378114678785</v>
      </c>
      <c r="F7980" s="23" t="s">
        <v>4619</v>
      </c>
      <c r="G7980" s="24">
        <v>6754.0</v>
      </c>
      <c r="H7980" s="24">
        <v>792.0</v>
      </c>
      <c r="I7980" s="24">
        <v>6.0</v>
      </c>
      <c r="J7980" s="24">
        <v>2.0</v>
      </c>
      <c r="K7980" s="23" t="s">
        <v>34</v>
      </c>
      <c r="L7980" s="25">
        <v>40194.34113425926</v>
      </c>
      <c r="M7980" s="26" t="s">
        <v>2068</v>
      </c>
      <c r="N7980" s="26" t="s">
        <v>17715</v>
      </c>
      <c r="O7980" s="22" t="str">
        <f>HYPERLINK("https://pbs.twimg.com/profile_images/637198771/1284_bird_normal.jpg","View")</f>
        <v>View</v>
      </c>
      <c r="P7980" s="27"/>
    </row>
    <row r="7981">
      <c r="A7981" s="14">
        <v>43031.71328703704</v>
      </c>
      <c r="B7981" s="20" t="str">
        <f>HYPERLINK("https://twitter.com/asuka_250","@asuka_250")</f>
        <v>@asuka_250</v>
      </c>
      <c r="C7981" s="21" t="s">
        <v>8584</v>
      </c>
      <c r="D7981" s="21" t="s">
        <v>17716</v>
      </c>
      <c r="E7981" s="22" t="str">
        <f>HYPERLINK("https://twitter.com/asuka_250/status/922615405419655169","922615405419655169")</f>
        <v>922615405419655169</v>
      </c>
      <c r="F7981" s="23" t="s">
        <v>33</v>
      </c>
      <c r="G7981" s="24">
        <v>30812.0</v>
      </c>
      <c r="H7981" s="24">
        <v>30482.0</v>
      </c>
      <c r="I7981" s="24">
        <v>1.0</v>
      </c>
      <c r="J7981" s="24">
        <v>0.0</v>
      </c>
      <c r="K7981" s="23" t="s">
        <v>34</v>
      </c>
      <c r="L7981" s="25">
        <v>41943.172476851854</v>
      </c>
      <c r="M7981" s="26" t="s">
        <v>1224</v>
      </c>
      <c r="N7981" s="26" t="s">
        <v>8586</v>
      </c>
      <c r="O7981" s="22" t="str">
        <f>HYPERLINK("https://pbs.twimg.com/profile_images/576284037486014464/dhYtI1qZ_normal.jpeg","View")</f>
        <v>View</v>
      </c>
      <c r="P7981" s="27"/>
    </row>
    <row r="7982">
      <c r="A7982" s="14">
        <v>43031.71362268519</v>
      </c>
      <c r="B7982" s="20" t="str">
        <f>HYPERLINK("https://twitter.com/vijaytikoo1","@vijaytikoo1")</f>
        <v>@vijaytikoo1</v>
      </c>
      <c r="C7982" s="21" t="s">
        <v>17717</v>
      </c>
      <c r="D7982" s="21" t="s">
        <v>163</v>
      </c>
      <c r="E7982" s="22" t="str">
        <f>HYPERLINK("https://twitter.com/vijaytikoo1/status/922615527826001920","922615527826001920")</f>
        <v>922615527826001920</v>
      </c>
      <c r="F7982" s="23" t="s">
        <v>43</v>
      </c>
      <c r="G7982" s="24">
        <v>458.0</v>
      </c>
      <c r="H7982" s="24">
        <v>356.0</v>
      </c>
      <c r="I7982" s="24">
        <v>1005.0</v>
      </c>
      <c r="J7982" s="24">
        <v>0.0</v>
      </c>
      <c r="K7982" s="23" t="s">
        <v>34</v>
      </c>
      <c r="L7982" s="25">
        <v>41317.85538194444</v>
      </c>
      <c r="M7982" s="26" t="s">
        <v>164</v>
      </c>
      <c r="N7982" s="26" t="s">
        <v>17718</v>
      </c>
      <c r="O7982" s="22" t="str">
        <f>HYPERLINK("https://pbs.twimg.com/profile_images/620779213717504001/nTJytaOc_normal.jpg","View")</f>
        <v>View</v>
      </c>
      <c r="P7982" s="27"/>
    </row>
    <row r="7983">
      <c r="A7983" s="14">
        <v>43031.713842592595</v>
      </c>
      <c r="B7983" s="20" t="str">
        <f>HYPERLINK("https://twitter.com/kelvinchengyu","@kelvinchengyu")</f>
        <v>@kelvinchengyu</v>
      </c>
      <c r="C7983" s="21" t="s">
        <v>17719</v>
      </c>
      <c r="D7983" s="21" t="s">
        <v>17645</v>
      </c>
      <c r="E7983" s="22" t="str">
        <f>HYPERLINK("https://twitter.com/kelvinchengyu/status/922615605655736320","922615605655736320")</f>
        <v>922615605655736320</v>
      </c>
      <c r="F7983" s="23" t="s">
        <v>86</v>
      </c>
      <c r="G7983" s="24">
        <v>1188.0</v>
      </c>
      <c r="H7983" s="24">
        <v>2124.0</v>
      </c>
      <c r="I7983" s="24">
        <v>8.0</v>
      </c>
      <c r="J7983" s="24">
        <v>0.0</v>
      </c>
      <c r="K7983" s="23" t="s">
        <v>34</v>
      </c>
      <c r="L7983" s="25">
        <v>42590.18119212963</v>
      </c>
      <c r="M7983" s="28"/>
      <c r="N7983" s="26" t="s">
        <v>17720</v>
      </c>
      <c r="O7983" s="22" t="str">
        <f>HYPERLINK("https://abs.twimg.com/sticky/default_profile_images/default_profile_normal.png","View")</f>
        <v>View</v>
      </c>
      <c r="P7983" s="27"/>
    </row>
    <row r="7984">
      <c r="A7984" s="14">
        <v>43031.714270833334</v>
      </c>
      <c r="B7984" s="20" t="str">
        <f>HYPERLINK("https://twitter.com/ykrusu","@ykrusu")</f>
        <v>@ykrusu</v>
      </c>
      <c r="C7984" s="21" t="s">
        <v>17721</v>
      </c>
      <c r="D7984" s="21" t="s">
        <v>16208</v>
      </c>
      <c r="E7984" s="22" t="str">
        <f>HYPERLINK("https://twitter.com/ykrusu/status/922615760526114816","922615760526114816")</f>
        <v>922615760526114816</v>
      </c>
      <c r="F7984" s="23" t="s">
        <v>33</v>
      </c>
      <c r="G7984" s="24">
        <v>835.0</v>
      </c>
      <c r="H7984" s="24">
        <v>1331.0</v>
      </c>
      <c r="I7984" s="24">
        <v>41.0</v>
      </c>
      <c r="J7984" s="24">
        <v>0.0</v>
      </c>
      <c r="K7984" s="23" t="s">
        <v>34</v>
      </c>
      <c r="L7984" s="25">
        <v>40620.70243055555</v>
      </c>
      <c r="M7984" s="26" t="s">
        <v>17722</v>
      </c>
      <c r="N7984" s="26" t="s">
        <v>17723</v>
      </c>
      <c r="O7984" s="22" t="str">
        <f>HYPERLINK("https://pbs.twimg.com/profile_images/3680623584/f59225b9b7b8b3268c584f0783954bae_normal.jpeg","View")</f>
        <v>View</v>
      </c>
      <c r="P7984" s="27"/>
    </row>
    <row r="7985">
      <c r="A7985" s="14">
        <v>43031.71438657407</v>
      </c>
      <c r="B7985" s="20" t="str">
        <f>HYPERLINK("https://twitter.com/BellzWebster","@BellzWebster")</f>
        <v>@BellzWebster</v>
      </c>
      <c r="C7985" s="21" t="s">
        <v>17724</v>
      </c>
      <c r="D7985" s="21" t="s">
        <v>17675</v>
      </c>
      <c r="E7985" s="22" t="str">
        <f>HYPERLINK("https://twitter.com/BellzWebster/status/922615804469710848","922615804469710848")</f>
        <v>922615804469710848</v>
      </c>
      <c r="F7985" s="23" t="s">
        <v>55</v>
      </c>
      <c r="G7985" s="24">
        <v>1347.0</v>
      </c>
      <c r="H7985" s="24">
        <v>862.0</v>
      </c>
      <c r="I7985" s="24">
        <v>18.0</v>
      </c>
      <c r="J7985" s="24">
        <v>0.0</v>
      </c>
      <c r="K7985" s="23" t="s">
        <v>34</v>
      </c>
      <c r="L7985" s="25">
        <v>41048.909537037034</v>
      </c>
      <c r="M7985" s="26" t="s">
        <v>3011</v>
      </c>
      <c r="N7985" s="26" t="s">
        <v>17725</v>
      </c>
      <c r="O7985" s="22" t="str">
        <f>HYPERLINK("https://pbs.twimg.com/profile_images/915401027221725184/Q-ODz9f-_normal.jpg","View")</f>
        <v>View</v>
      </c>
      <c r="P7985" s="27"/>
    </row>
    <row r="7986">
      <c r="A7986" s="14">
        <v>43031.714837962965</v>
      </c>
      <c r="B7986" s="20" t="str">
        <f>HYPERLINK("https://twitter.com/AlphaTribune","@AlphaTribune")</f>
        <v>@AlphaTribune</v>
      </c>
      <c r="C7986" s="21" t="s">
        <v>17726</v>
      </c>
      <c r="D7986" s="21" t="s">
        <v>17727</v>
      </c>
      <c r="E7986" s="22" t="str">
        <f>HYPERLINK("https://twitter.com/AlphaTribune/status/922615965543780353","922615965543780353")</f>
        <v>922615965543780353</v>
      </c>
      <c r="F7986" s="23" t="s">
        <v>187</v>
      </c>
      <c r="G7986" s="24">
        <v>322.0</v>
      </c>
      <c r="H7986" s="24">
        <v>16.0</v>
      </c>
      <c r="I7986" s="24">
        <v>0.0</v>
      </c>
      <c r="J7986" s="24">
        <v>0.0</v>
      </c>
      <c r="K7986" s="23" t="s">
        <v>34</v>
      </c>
      <c r="L7986" s="25">
        <v>42540.37981481482</v>
      </c>
      <c r="M7986" s="26" t="s">
        <v>17728</v>
      </c>
      <c r="N7986" s="26" t="s">
        <v>17729</v>
      </c>
      <c r="O7986" s="22" t="str">
        <f>HYPERLINK("https://pbs.twimg.com/profile_images/770808527736545280/G_voz2do_normal.jpg","View")</f>
        <v>View</v>
      </c>
      <c r="P7986" s="27"/>
    </row>
    <row r="7987">
      <c r="A7987" s="14">
        <v>43031.715219907404</v>
      </c>
      <c r="B7987" s="20" t="str">
        <f>HYPERLINK("https://twitter.com/ShebKumar","@ShebKumar")</f>
        <v>@ShebKumar</v>
      </c>
      <c r="C7987" s="21" t="s">
        <v>17730</v>
      </c>
      <c r="D7987" s="21" t="s">
        <v>430</v>
      </c>
      <c r="E7987" s="22" t="str">
        <f>HYPERLINK("https://twitter.com/ShebKumar/status/922616106992488448","922616106992488448")</f>
        <v>922616106992488448</v>
      </c>
      <c r="F7987" s="23" t="s">
        <v>33</v>
      </c>
      <c r="G7987" s="24">
        <v>9.0</v>
      </c>
      <c r="H7987" s="24">
        <v>208.0</v>
      </c>
      <c r="I7987" s="24">
        <v>62.0</v>
      </c>
      <c r="J7987" s="24">
        <v>0.0</v>
      </c>
      <c r="K7987" s="23" t="s">
        <v>34</v>
      </c>
      <c r="L7987" s="25">
        <v>43026.356192129635</v>
      </c>
      <c r="M7987" s="28"/>
      <c r="N7987" s="28"/>
      <c r="O7987" s="22" t="str">
        <f>HYPERLINK("https://abs.twimg.com/sticky/default_profile_images/default_profile_normal.png","View")</f>
        <v>View</v>
      </c>
      <c r="P7987" s="27"/>
    </row>
    <row r="7988">
      <c r="A7988" s="14">
        <v>43031.71532407407</v>
      </c>
      <c r="B7988" s="20" t="str">
        <f>HYPERLINK("https://twitter.com/martin_koelling","@martin_koelling")</f>
        <v>@martin_koelling</v>
      </c>
      <c r="C7988" s="21" t="s">
        <v>17731</v>
      </c>
      <c r="D7988" s="21" t="s">
        <v>17732</v>
      </c>
      <c r="E7988" s="22" t="str">
        <f>HYPERLINK("https://twitter.com/martin_koelling/status/922616144758038529","922616144758038529")</f>
        <v>922616144758038529</v>
      </c>
      <c r="F7988" s="23" t="s">
        <v>4619</v>
      </c>
      <c r="G7988" s="24">
        <v>585.0</v>
      </c>
      <c r="H7988" s="24">
        <v>285.0</v>
      </c>
      <c r="I7988" s="24">
        <v>0.0</v>
      </c>
      <c r="J7988" s="24">
        <v>0.0</v>
      </c>
      <c r="K7988" s="23" t="s">
        <v>34</v>
      </c>
      <c r="L7988" s="25">
        <v>40487.19233796296</v>
      </c>
      <c r="M7988" s="26" t="s">
        <v>853</v>
      </c>
      <c r="N7988" s="26" t="s">
        <v>17733</v>
      </c>
      <c r="O7988" s="22" t="str">
        <f>HYPERLINK("https://pbs.twimg.com/profile_images/1160205490/Koelling.Martin_normal.JPG","View")</f>
        <v>View</v>
      </c>
      <c r="P7988" s="27"/>
    </row>
    <row r="7989">
      <c r="A7989" s="14">
        <v>43031.71540509259</v>
      </c>
      <c r="B7989" s="20" t="str">
        <f>HYPERLINK("https://twitter.com/SumaPath","@SumaPath")</f>
        <v>@SumaPath</v>
      </c>
      <c r="C7989" s="21" t="s">
        <v>17734</v>
      </c>
      <c r="D7989" s="21" t="s">
        <v>42</v>
      </c>
      <c r="E7989" s="22" t="str">
        <f>HYPERLINK("https://twitter.com/SumaPath/status/922616173203619840","922616173203619840")</f>
        <v>922616173203619840</v>
      </c>
      <c r="F7989" s="23" t="s">
        <v>39</v>
      </c>
      <c r="G7989" s="24">
        <v>357.0</v>
      </c>
      <c r="H7989" s="24">
        <v>171.0</v>
      </c>
      <c r="I7989" s="24">
        <v>8501.0</v>
      </c>
      <c r="J7989" s="24">
        <v>0.0</v>
      </c>
      <c r="K7989" s="23" t="s">
        <v>34</v>
      </c>
      <c r="L7989" s="25">
        <v>40520.03393518519</v>
      </c>
      <c r="M7989" s="26" t="s">
        <v>1991</v>
      </c>
      <c r="N7989" s="26" t="s">
        <v>17735</v>
      </c>
      <c r="O7989" s="22" t="str">
        <f>HYPERLINK("https://pbs.twimg.com/profile_images/915159198505222144/rniZMIW2_normal.jpg","View")</f>
        <v>View</v>
      </c>
      <c r="P7989" s="27"/>
    </row>
    <row r="7990">
      <c r="A7990" s="14">
        <v>43031.71542824074</v>
      </c>
      <c r="B7990" s="20" t="str">
        <f>HYPERLINK("https://twitter.com/pkspathi","@pkspathi")</f>
        <v>@pkspathi</v>
      </c>
      <c r="C7990" s="21" t="s">
        <v>17736</v>
      </c>
      <c r="D7990" s="21" t="s">
        <v>163</v>
      </c>
      <c r="E7990" s="22" t="str">
        <f>HYPERLINK("https://twitter.com/pkspathi/status/922616178786181120","922616178786181120")</f>
        <v>922616178786181120</v>
      </c>
      <c r="F7990" s="23" t="s">
        <v>33</v>
      </c>
      <c r="G7990" s="24">
        <v>927.0</v>
      </c>
      <c r="H7990" s="24">
        <v>253.0</v>
      </c>
      <c r="I7990" s="24">
        <v>1005.0</v>
      </c>
      <c r="J7990" s="24">
        <v>0.0</v>
      </c>
      <c r="K7990" s="23" t="s">
        <v>34</v>
      </c>
      <c r="L7990" s="25">
        <v>41163.25152777778</v>
      </c>
      <c r="M7990" s="28"/>
      <c r="N7990" s="26" t="s">
        <v>17737</v>
      </c>
      <c r="O7990" s="22" t="str">
        <f>HYPERLINK("https://pbs.twimg.com/profile_images/507039485641510912/_aHac8yL_normal.jpeg","View")</f>
        <v>View</v>
      </c>
      <c r="P7990" s="27"/>
    </row>
    <row r="7991">
      <c r="A7991" s="14">
        <v>43031.715474537035</v>
      </c>
      <c r="B7991" s="20" t="str">
        <f>HYPERLINK("https://twitter.com/zhouminqin007","@zhouminqin007")</f>
        <v>@zhouminqin007</v>
      </c>
      <c r="C7991" s="21" t="s">
        <v>17738</v>
      </c>
      <c r="D7991" s="21" t="s">
        <v>16208</v>
      </c>
      <c r="E7991" s="22" t="str">
        <f>HYPERLINK("https://twitter.com/zhouminqin007/status/922616195538448384","922616195538448384")</f>
        <v>922616195538448384</v>
      </c>
      <c r="F7991" s="23" t="s">
        <v>33</v>
      </c>
      <c r="G7991" s="24">
        <v>14.0</v>
      </c>
      <c r="H7991" s="24">
        <v>245.0</v>
      </c>
      <c r="I7991" s="24">
        <v>41.0</v>
      </c>
      <c r="J7991" s="24">
        <v>0.0</v>
      </c>
      <c r="K7991" s="23" t="s">
        <v>34</v>
      </c>
      <c r="L7991" s="25">
        <v>43026.01398148148</v>
      </c>
      <c r="M7991" s="28"/>
      <c r="N7991" s="26" t="s">
        <v>17739</v>
      </c>
      <c r="O7991" s="22" t="str">
        <f>HYPERLINK("https://pbs.twimg.com/profile_images/921163301903618048/Jbo5-zAA_normal.jpg","View")</f>
        <v>View</v>
      </c>
      <c r="P7991" s="27"/>
    </row>
    <row r="7992">
      <c r="A7992" s="14">
        <v>43031.71564814815</v>
      </c>
      <c r="B7992" s="20" t="str">
        <f>HYPERLINK("https://twitter.com/MarketOrg","@MarketOrg")</f>
        <v>@MarketOrg</v>
      </c>
      <c r="C7992" s="21" t="s">
        <v>17634</v>
      </c>
      <c r="D7992" s="21" t="s">
        <v>17740</v>
      </c>
      <c r="E7992" s="22" t="str">
        <f>HYPERLINK("https://twitter.com/MarketOrg/status/922616260931833858","922616260931833858")</f>
        <v>922616260931833858</v>
      </c>
      <c r="F7992" s="23" t="s">
        <v>187</v>
      </c>
      <c r="G7992" s="24">
        <v>260.0</v>
      </c>
      <c r="H7992" s="24">
        <v>16.0</v>
      </c>
      <c r="I7992" s="24">
        <v>0.0</v>
      </c>
      <c r="J7992" s="24">
        <v>0.0</v>
      </c>
      <c r="K7992" s="23" t="s">
        <v>34</v>
      </c>
      <c r="L7992" s="25">
        <v>42588.45358796296</v>
      </c>
      <c r="M7992" s="26" t="s">
        <v>6382</v>
      </c>
      <c r="N7992" s="26" t="s">
        <v>17636</v>
      </c>
      <c r="O7992" s="22" t="str">
        <f>HYPERLINK("https://pbs.twimg.com/profile_images/801546644147896320/JYiGtClx_normal.jpg","View")</f>
        <v>View</v>
      </c>
      <c r="P7992" s="27"/>
    </row>
    <row r="7993">
      <c r="A7993" s="14">
        <v>43031.715682870374</v>
      </c>
      <c r="B7993" s="20" t="str">
        <f>HYPERLINK("https://twitter.com/zhouminqin007","@zhouminqin007")</f>
        <v>@zhouminqin007</v>
      </c>
      <c r="C7993" s="21" t="s">
        <v>17738</v>
      </c>
      <c r="D7993" s="21" t="s">
        <v>14748</v>
      </c>
      <c r="E7993" s="22" t="str">
        <f>HYPERLINK("https://twitter.com/zhouminqin007/status/922616272487149570","922616272487149570")</f>
        <v>922616272487149570</v>
      </c>
      <c r="F7993" s="23" t="s">
        <v>33</v>
      </c>
      <c r="G7993" s="24">
        <v>14.0</v>
      </c>
      <c r="H7993" s="24">
        <v>245.0</v>
      </c>
      <c r="I7993" s="24">
        <v>46.0</v>
      </c>
      <c r="J7993" s="24">
        <v>0.0</v>
      </c>
      <c r="K7993" s="23" t="s">
        <v>34</v>
      </c>
      <c r="L7993" s="25">
        <v>43026.01398148148</v>
      </c>
      <c r="M7993" s="28"/>
      <c r="N7993" s="26" t="s">
        <v>17739</v>
      </c>
      <c r="O7993" s="22" t="str">
        <f>HYPERLINK("https://pbs.twimg.com/profile_images/921163301903618048/Jbo5-zAA_normal.jpg","View")</f>
        <v>View</v>
      </c>
      <c r="P7993" s="27"/>
    </row>
    <row r="7994">
      <c r="A7994" s="14">
        <v>43031.71569444444</v>
      </c>
      <c r="B7994" s="20" t="str">
        <f>HYPERLINK("https://twitter.com/QxNews","@QxNews")</f>
        <v>@QxNews</v>
      </c>
      <c r="C7994" s="21" t="s">
        <v>3818</v>
      </c>
      <c r="D7994" s="21" t="s">
        <v>17741</v>
      </c>
      <c r="E7994" s="22" t="str">
        <f>HYPERLINK("https://twitter.com/QxNews/status/922616277696438273","922616277696438273")</f>
        <v>922616277696438273</v>
      </c>
      <c r="F7994" s="23" t="s">
        <v>3819</v>
      </c>
      <c r="G7994" s="24">
        <v>3220.0</v>
      </c>
      <c r="H7994" s="24">
        <v>271.0</v>
      </c>
      <c r="I7994" s="24">
        <v>1.0</v>
      </c>
      <c r="J7994" s="24">
        <v>0.0</v>
      </c>
      <c r="K7994" s="23" t="s">
        <v>34</v>
      </c>
      <c r="L7994" s="25">
        <v>41497.85806712963</v>
      </c>
      <c r="M7994" s="26" t="s">
        <v>905</v>
      </c>
      <c r="N7994" s="26" t="s">
        <v>3820</v>
      </c>
      <c r="O7994" s="22" t="str">
        <f>HYPERLINK("https://pbs.twimg.com/profile_images/597288578092240896/ePlmSYCH_normal.png","View")</f>
        <v>View</v>
      </c>
      <c r="P7994" s="27"/>
    </row>
    <row r="7995">
      <c r="A7995" s="14">
        <v>43031.71605324074</v>
      </c>
      <c r="B7995" s="20" t="str">
        <f>HYPERLINK("https://twitter.com/Montreal_Cane","@Montreal_Cane")</f>
        <v>@Montreal_Cane</v>
      </c>
      <c r="C7995" s="21" t="s">
        <v>17742</v>
      </c>
      <c r="D7995" s="21" t="s">
        <v>17675</v>
      </c>
      <c r="E7995" s="22" t="str">
        <f>HYPERLINK("https://twitter.com/Montreal_Cane/status/922616407103365123","922616407103365123")</f>
        <v>922616407103365123</v>
      </c>
      <c r="F7995" s="23" t="s">
        <v>55</v>
      </c>
      <c r="G7995" s="24">
        <v>592.0</v>
      </c>
      <c r="H7995" s="24">
        <v>601.0</v>
      </c>
      <c r="I7995" s="24">
        <v>18.0</v>
      </c>
      <c r="J7995" s="24">
        <v>0.0</v>
      </c>
      <c r="K7995" s="23" t="s">
        <v>34</v>
      </c>
      <c r="L7995" s="25">
        <v>40546.51452546296</v>
      </c>
      <c r="M7995" s="26" t="s">
        <v>17743</v>
      </c>
      <c r="N7995" s="26" t="s">
        <v>17744</v>
      </c>
      <c r="O7995" s="22" t="str">
        <f>HYPERLINK("https://pbs.twimg.com/profile_images/744436651137568769/Wt2PubbB_normal.jpg","View")</f>
        <v>View</v>
      </c>
      <c r="P7995" s="27"/>
    </row>
    <row r="7996">
      <c r="A7996" s="14">
        <v>43031.71606481481</v>
      </c>
      <c r="B7996" s="20" t="str">
        <f>HYPERLINK("https://twitter.com/SeriousTom1","@SeriousTom1")</f>
        <v>@SeriousTom1</v>
      </c>
      <c r="C7996" s="21" t="s">
        <v>17745</v>
      </c>
      <c r="D7996" s="21" t="s">
        <v>17706</v>
      </c>
      <c r="E7996" s="22" t="str">
        <f>HYPERLINK("https://twitter.com/SeriousTom1/status/922616411926749184","922616411926749184")</f>
        <v>922616411926749184</v>
      </c>
      <c r="F7996" s="23" t="s">
        <v>39</v>
      </c>
      <c r="G7996" s="24">
        <v>15693.0</v>
      </c>
      <c r="H7996" s="24">
        <v>15696.0</v>
      </c>
      <c r="I7996" s="24">
        <v>3.0</v>
      </c>
      <c r="J7996" s="24">
        <v>0.0</v>
      </c>
      <c r="K7996" s="23" t="s">
        <v>34</v>
      </c>
      <c r="L7996" s="25">
        <v>40872.64434027778</v>
      </c>
      <c r="M7996" s="26" t="s">
        <v>4665</v>
      </c>
      <c r="N7996" s="26" t="s">
        <v>17746</v>
      </c>
      <c r="O7996" s="22" t="str">
        <f>HYPERLINK("https://pbs.twimg.com/profile_images/1986196602/6P4sDeER_normal","View")</f>
        <v>View</v>
      </c>
      <c r="P7996" s="27"/>
    </row>
    <row r="7997">
      <c r="A7997" s="14">
        <v>43031.71622685185</v>
      </c>
      <c r="B7997" s="20" t="str">
        <f>HYPERLINK("https://twitter.com/martinlavender","@martinlavender")</f>
        <v>@martinlavender</v>
      </c>
      <c r="C7997" s="21" t="s">
        <v>17747</v>
      </c>
      <c r="D7997" s="21" t="s">
        <v>17675</v>
      </c>
      <c r="E7997" s="22" t="str">
        <f>HYPERLINK("https://twitter.com/martinlavender/status/922616468780539904","922616468780539904")</f>
        <v>922616468780539904</v>
      </c>
      <c r="F7997" s="23" t="s">
        <v>33</v>
      </c>
      <c r="G7997" s="24">
        <v>81.0</v>
      </c>
      <c r="H7997" s="24">
        <v>449.0</v>
      </c>
      <c r="I7997" s="24">
        <v>18.0</v>
      </c>
      <c r="J7997" s="24">
        <v>0.0</v>
      </c>
      <c r="K7997" s="23" t="s">
        <v>34</v>
      </c>
      <c r="L7997" s="25">
        <v>40674.56903935185</v>
      </c>
      <c r="M7997" s="26" t="s">
        <v>17748</v>
      </c>
      <c r="N7997" s="26" t="s">
        <v>17749</v>
      </c>
      <c r="O7997" s="22" t="str">
        <f>HYPERLINK("https://pbs.twimg.com/profile_images/1691258160/gibraltar5f_normal.jpg","View")</f>
        <v>View</v>
      </c>
      <c r="P7997" s="27"/>
    </row>
    <row r="7998">
      <c r="A7998" s="14">
        <v>43031.71643518518</v>
      </c>
      <c r="B7998" s="20" t="str">
        <f>HYPERLINK("https://twitter.com/nmfansm","@nmfansm")</f>
        <v>@nmfansm</v>
      </c>
      <c r="C7998" s="21" t="s">
        <v>17750</v>
      </c>
      <c r="D7998" s="21" t="s">
        <v>42</v>
      </c>
      <c r="E7998" s="22" t="str">
        <f>HYPERLINK("https://twitter.com/nmfansm/status/922616547427860481","922616547427860481")</f>
        <v>922616547427860481</v>
      </c>
      <c r="F7998" s="23" t="s">
        <v>39</v>
      </c>
      <c r="G7998" s="24">
        <v>264.0</v>
      </c>
      <c r="H7998" s="24">
        <v>902.0</v>
      </c>
      <c r="I7998" s="24">
        <v>8501.0</v>
      </c>
      <c r="J7998" s="24">
        <v>0.0</v>
      </c>
      <c r="K7998" s="23" t="s">
        <v>34</v>
      </c>
      <c r="L7998" s="25">
        <v>40252.80179398148</v>
      </c>
      <c r="M7998" s="28"/>
      <c r="N7998" s="26" t="s">
        <v>17751</v>
      </c>
      <c r="O7998" s="22" t="str">
        <f t="shared" ref="O7998:O7999" si="138">HYPERLINK("https://abs.twimg.com/sticky/default_profile_images/default_profile_normal.png","View")</f>
        <v>View</v>
      </c>
      <c r="P7998" s="27"/>
    </row>
    <row r="7999">
      <c r="A7999" s="14">
        <v>43031.71662037037</v>
      </c>
      <c r="B7999" s="20" t="str">
        <f>HYPERLINK("https://twitter.com/LLOYDWALLACE2","@LLOYDWALLACE2")</f>
        <v>@LLOYDWALLACE2</v>
      </c>
      <c r="C7999" s="21" t="s">
        <v>17752</v>
      </c>
      <c r="D7999" s="21" t="s">
        <v>16537</v>
      </c>
      <c r="E7999" s="22" t="str">
        <f>HYPERLINK("https://twitter.com/LLOYDWALLACE2/status/922616613035216903","922616613035216903")</f>
        <v>922616613035216903</v>
      </c>
      <c r="F7999" s="23" t="s">
        <v>39</v>
      </c>
      <c r="G7999" s="24">
        <v>18.0</v>
      </c>
      <c r="H7999" s="24">
        <v>116.0</v>
      </c>
      <c r="I7999" s="24">
        <v>242.0</v>
      </c>
      <c r="J7999" s="24">
        <v>0.0</v>
      </c>
      <c r="K7999" s="23" t="s">
        <v>34</v>
      </c>
      <c r="L7999" s="25">
        <v>41190.53671296296</v>
      </c>
      <c r="M7999" s="28"/>
      <c r="N7999" s="28"/>
      <c r="O7999" s="22" t="str">
        <f t="shared" si="138"/>
        <v>View</v>
      </c>
      <c r="P7999" s="27"/>
    </row>
    <row r="8000">
      <c r="A8000" s="14">
        <v>43031.71675925926</v>
      </c>
      <c r="B8000" s="20" t="str">
        <f>HYPERLINK("https://twitter.com/quailcrown","@quailcrown")</f>
        <v>@quailcrown</v>
      </c>
      <c r="C8000" s="21" t="s">
        <v>17753</v>
      </c>
      <c r="D8000" s="21" t="s">
        <v>17300</v>
      </c>
      <c r="E8000" s="22" t="str">
        <f>HYPERLINK("https://twitter.com/quailcrown/status/922616662439886848","922616662439886848")</f>
        <v>922616662439886848</v>
      </c>
      <c r="F8000" s="23" t="s">
        <v>39</v>
      </c>
      <c r="G8000" s="24">
        <v>1329.0</v>
      </c>
      <c r="H8000" s="24">
        <v>4993.0</v>
      </c>
      <c r="I8000" s="24">
        <v>7.0</v>
      </c>
      <c r="J8000" s="24">
        <v>0.0</v>
      </c>
      <c r="K8000" s="23" t="s">
        <v>34</v>
      </c>
      <c r="L8000" s="25">
        <v>40258.843090277776</v>
      </c>
      <c r="M8000" s="26" t="s">
        <v>974</v>
      </c>
      <c r="N8000" s="26" t="s">
        <v>17754</v>
      </c>
      <c r="O8000" s="22" t="str">
        <f>HYPERLINK("https://pbs.twimg.com/profile_images/492526779295203329/OMWEEmax_normal.jpeg","View")</f>
        <v>View</v>
      </c>
      <c r="P8000" s="27"/>
    </row>
    <row r="8001">
      <c r="A8001" s="14">
        <v>43031.71703703704</v>
      </c>
      <c r="B8001" s="20" t="str">
        <f>HYPERLINK("https://twitter.com/iMughalMunaf","@iMughalMunaf")</f>
        <v>@iMughalMunaf</v>
      </c>
      <c r="C8001" s="21" t="s">
        <v>17755</v>
      </c>
      <c r="D8001" s="21" t="s">
        <v>17756</v>
      </c>
      <c r="E8001" s="22" t="str">
        <f>HYPERLINK("https://twitter.com/iMughalMunaf/status/922616762927079424","922616762927079424")</f>
        <v>922616762927079424</v>
      </c>
      <c r="F8001" s="23" t="s">
        <v>187</v>
      </c>
      <c r="G8001" s="24">
        <v>278.0</v>
      </c>
      <c r="H8001" s="24">
        <v>783.0</v>
      </c>
      <c r="I8001" s="24">
        <v>0.0</v>
      </c>
      <c r="J8001" s="24">
        <v>0.0</v>
      </c>
      <c r="K8001" s="23" t="s">
        <v>34</v>
      </c>
      <c r="L8001" s="25">
        <v>41682.63998842593</v>
      </c>
      <c r="M8001" s="26" t="s">
        <v>920</v>
      </c>
      <c r="N8001" s="28"/>
      <c r="O8001" s="22" t="str">
        <f>HYPERLINK("https://pbs.twimg.com/profile_images/453362597266333696/AHafmVwT_normal.jpeg","View")</f>
        <v>View</v>
      </c>
      <c r="P8001" s="27"/>
    </row>
    <row r="8002">
      <c r="A8002" s="14">
        <v>43031.717314814814</v>
      </c>
      <c r="B8002" s="20" t="str">
        <f>HYPERLINK("https://twitter.com/newsbreak","@newsbreak")</f>
        <v>@newsbreak</v>
      </c>
      <c r="C8002" s="21" t="s">
        <v>5830</v>
      </c>
      <c r="D8002" s="21" t="s">
        <v>17757</v>
      </c>
      <c r="E8002" s="22" t="str">
        <f>HYPERLINK("https://twitter.com/newsbreak/status/922616863540031488","922616863540031488")</f>
        <v>922616863540031488</v>
      </c>
      <c r="F8002" s="23" t="s">
        <v>91</v>
      </c>
      <c r="G8002" s="24">
        <v>620.0</v>
      </c>
      <c r="H8002" s="24">
        <v>7.0</v>
      </c>
      <c r="I8002" s="24">
        <v>0.0</v>
      </c>
      <c r="J8002" s="24">
        <v>0.0</v>
      </c>
      <c r="K8002" s="23" t="s">
        <v>34</v>
      </c>
      <c r="L8002" s="25">
        <v>39530.690300925926</v>
      </c>
      <c r="M8002" s="26" t="s">
        <v>17758</v>
      </c>
      <c r="N8002" s="26" t="s">
        <v>17759</v>
      </c>
      <c r="O8002" s="22" t="str">
        <f>HYPERLINK("https://pbs.twimg.com/profile_images/1274658033/newsbreaksmall_normal.gif","View")</f>
        <v>View</v>
      </c>
      <c r="P8002" s="27"/>
    </row>
    <row r="8003">
      <c r="A8003" s="14">
        <v>43031.71733796297</v>
      </c>
      <c r="B8003" s="20" t="str">
        <f>HYPERLINK("https://twitter.com/ved_nidhi","@ved_nidhi")</f>
        <v>@ved_nidhi</v>
      </c>
      <c r="C8003" s="21" t="s">
        <v>17760</v>
      </c>
      <c r="D8003" s="21" t="s">
        <v>42</v>
      </c>
      <c r="E8003" s="22" t="str">
        <f>HYPERLINK("https://twitter.com/ved_nidhi/status/922616872612216832","922616872612216832")</f>
        <v>922616872612216832</v>
      </c>
      <c r="F8003" s="23" t="s">
        <v>33</v>
      </c>
      <c r="G8003" s="24">
        <v>143.0</v>
      </c>
      <c r="H8003" s="24">
        <v>98.0</v>
      </c>
      <c r="I8003" s="24">
        <v>8501.0</v>
      </c>
      <c r="J8003" s="24">
        <v>0.0</v>
      </c>
      <c r="K8003" s="23" t="s">
        <v>34</v>
      </c>
      <c r="L8003" s="25">
        <v>40687.24481481481</v>
      </c>
      <c r="M8003" s="26" t="s">
        <v>6173</v>
      </c>
      <c r="N8003" s="26" t="s">
        <v>17761</v>
      </c>
      <c r="O8003" s="22" t="str">
        <f>HYPERLINK("https://pbs.twimg.com/profile_images/918091401199415296/GkJ9D2nu_normal.jpg","View")</f>
        <v>View</v>
      </c>
      <c r="P8003" s="27"/>
    </row>
    <row r="8004">
      <c r="A8004" s="14">
        <v>43031.71738425926</v>
      </c>
      <c r="B8004" s="20" t="str">
        <f>HYPERLINK("https://twitter.com/Amaresh80","@Amaresh80")</f>
        <v>@Amaresh80</v>
      </c>
      <c r="C8004" s="21" t="s">
        <v>17762</v>
      </c>
      <c r="D8004" s="21" t="s">
        <v>42</v>
      </c>
      <c r="E8004" s="22" t="str">
        <f>HYPERLINK("https://twitter.com/Amaresh80/status/922616890739920897","922616890739920897")</f>
        <v>922616890739920897</v>
      </c>
      <c r="F8004" s="23" t="s">
        <v>33</v>
      </c>
      <c r="G8004" s="24">
        <v>996.0</v>
      </c>
      <c r="H8004" s="24">
        <v>456.0</v>
      </c>
      <c r="I8004" s="24">
        <v>8501.0</v>
      </c>
      <c r="J8004" s="24">
        <v>0.0</v>
      </c>
      <c r="K8004" s="23" t="s">
        <v>34</v>
      </c>
      <c r="L8004" s="25">
        <v>40118.66679398148</v>
      </c>
      <c r="M8004" s="26" t="s">
        <v>17763</v>
      </c>
      <c r="N8004" s="26" t="s">
        <v>17764</v>
      </c>
      <c r="O8004" s="22" t="str">
        <f>HYPERLINK("https://pbs.twimg.com/profile_images/906322469614632960/44aRhShC_normal.jpg","View")</f>
        <v>View</v>
      </c>
      <c r="P8004" s="27"/>
    </row>
    <row r="8005">
      <c r="A8005" s="14">
        <v>43031.71743055555</v>
      </c>
      <c r="B8005" s="20" t="str">
        <f>HYPERLINK("https://twitter.com/Japan_Guide1","@Japan_Guide1")</f>
        <v>@Japan_Guide1</v>
      </c>
      <c r="C8005" s="21" t="s">
        <v>17765</v>
      </c>
      <c r="D8005" s="21" t="s">
        <v>17766</v>
      </c>
      <c r="E8005" s="22" t="str">
        <f>HYPERLINK("https://twitter.com/Japan_Guide1/status/922616906938335232","922616906938335232")</f>
        <v>922616906938335232</v>
      </c>
      <c r="F8005" s="23" t="s">
        <v>55</v>
      </c>
      <c r="G8005" s="24">
        <v>129.0</v>
      </c>
      <c r="H8005" s="24">
        <v>7.0</v>
      </c>
      <c r="I8005" s="24">
        <v>0.0</v>
      </c>
      <c r="J8005" s="24">
        <v>0.0</v>
      </c>
      <c r="K8005" s="23" t="s">
        <v>34</v>
      </c>
      <c r="L8005" s="25">
        <v>41757.85288194445</v>
      </c>
      <c r="M8005" s="26" t="s">
        <v>271</v>
      </c>
      <c r="N8005" s="26" t="s">
        <v>17767</v>
      </c>
      <c r="O8005" s="22" t="str">
        <f>HYPERLINK("https://pbs.twimg.com/profile_images/461037999447240704/PtnAzrJz_normal.jpeg","View")</f>
        <v>View</v>
      </c>
      <c r="P8005" s="27"/>
    </row>
    <row r="8006">
      <c r="A8006" s="14">
        <v>43031.71754629629</v>
      </c>
      <c r="B8006" s="20" t="str">
        <f>HYPERLINK("https://twitter.com/Marketnomics","@Marketnomics")</f>
        <v>@Marketnomics</v>
      </c>
      <c r="C8006" s="21" t="s">
        <v>17614</v>
      </c>
      <c r="D8006" s="21" t="s">
        <v>17768</v>
      </c>
      <c r="E8006" s="22" t="str">
        <f>HYPERLINK("https://twitter.com/Marketnomics/status/922616947598135299","922616947598135299")</f>
        <v>922616947598135299</v>
      </c>
      <c r="F8006" s="23" t="s">
        <v>187</v>
      </c>
      <c r="G8006" s="24">
        <v>285.0</v>
      </c>
      <c r="H8006" s="24">
        <v>16.0</v>
      </c>
      <c r="I8006" s="24">
        <v>0.0</v>
      </c>
      <c r="J8006" s="24">
        <v>0.0</v>
      </c>
      <c r="K8006" s="23" t="s">
        <v>34</v>
      </c>
      <c r="L8006" s="25">
        <v>42735.70476851852</v>
      </c>
      <c r="M8006" s="26" t="s">
        <v>3715</v>
      </c>
      <c r="N8006" s="26" t="s">
        <v>17616</v>
      </c>
      <c r="O8006" s="22" t="str">
        <f>HYPERLINK("https://pbs.twimg.com/profile_images/912806819088752641/ekuu9A39_normal.jpg","View")</f>
        <v>View</v>
      </c>
      <c r="P8006" s="27"/>
    </row>
    <row r="8007">
      <c r="A8007" s="14">
        <v>43031.71780092592</v>
      </c>
      <c r="B8007" s="20" t="str">
        <f>HYPERLINK("https://twitter.com/CBC_Michael","@CBC_Michael")</f>
        <v>@CBC_Michael</v>
      </c>
      <c r="C8007" s="21" t="s">
        <v>17769</v>
      </c>
      <c r="D8007" s="21" t="s">
        <v>17675</v>
      </c>
      <c r="E8007" s="22" t="str">
        <f>HYPERLINK("https://twitter.com/CBC_Michael/status/922617041294675970","922617041294675970")</f>
        <v>922617041294675970</v>
      </c>
      <c r="F8007" s="23" t="s">
        <v>39</v>
      </c>
      <c r="G8007" s="24">
        <v>1471.0</v>
      </c>
      <c r="H8007" s="24">
        <v>1017.0</v>
      </c>
      <c r="I8007" s="24">
        <v>18.0</v>
      </c>
      <c r="J8007" s="24">
        <v>0.0</v>
      </c>
      <c r="K8007" s="23" t="s">
        <v>34</v>
      </c>
      <c r="L8007" s="25">
        <v>39899.321388888886</v>
      </c>
      <c r="M8007" s="26" t="s">
        <v>17770</v>
      </c>
      <c r="N8007" s="26" t="s">
        <v>17771</v>
      </c>
      <c r="O8007" s="22" t="str">
        <f>HYPERLINK("https://pbs.twimg.com/profile_images/1792866547/IMG-20110827-00003_normal.jpg","View")</f>
        <v>View</v>
      </c>
      <c r="P8007" s="27"/>
    </row>
    <row r="8008">
      <c r="A8008" s="14">
        <v>43031.71790509259</v>
      </c>
      <c r="B8008" s="20" t="str">
        <f>HYPERLINK("https://twitter.com/meramkumar2017","@meramkumar2017")</f>
        <v>@meramkumar2017</v>
      </c>
      <c r="C8008" s="21" t="s">
        <v>17772</v>
      </c>
      <c r="D8008" s="21" t="s">
        <v>42</v>
      </c>
      <c r="E8008" s="22" t="str">
        <f>HYPERLINK("https://twitter.com/meramkumar2017/status/922617078036623360","922617078036623360")</f>
        <v>922617078036623360</v>
      </c>
      <c r="F8008" s="23" t="s">
        <v>33</v>
      </c>
      <c r="G8008" s="24">
        <v>7.0</v>
      </c>
      <c r="H8008" s="24">
        <v>247.0</v>
      </c>
      <c r="I8008" s="24">
        <v>8501.0</v>
      </c>
      <c r="J8008" s="24">
        <v>0.0</v>
      </c>
      <c r="K8008" s="23" t="s">
        <v>34</v>
      </c>
      <c r="L8008" s="25">
        <v>42926.87173611111</v>
      </c>
      <c r="M8008" s="26" t="s">
        <v>17773</v>
      </c>
      <c r="N8008" s="28"/>
      <c r="O8008" s="22" t="str">
        <f>HYPERLINK("https://pbs.twimg.com/profile_images/884629648512081920/cpSXPhtd_normal.jpg","View")</f>
        <v>View</v>
      </c>
      <c r="P8008" s="27"/>
    </row>
    <row r="8009">
      <c r="A8009" s="14">
        <v>43031.718298611115</v>
      </c>
      <c r="B8009" s="20" t="str">
        <f>HYPERLINK("https://twitter.com/BigMoneyTraders","@BigMoneyTraders")</f>
        <v>@BigMoneyTraders</v>
      </c>
      <c r="C8009" s="21" t="s">
        <v>5628</v>
      </c>
      <c r="D8009" s="21" t="s">
        <v>17774</v>
      </c>
      <c r="E8009" s="22" t="str">
        <f>HYPERLINK("https://twitter.com/BigMoneyTraders/status/922617220261384192","922617220261384192")</f>
        <v>922617220261384192</v>
      </c>
      <c r="F8009" s="23" t="s">
        <v>187</v>
      </c>
      <c r="G8009" s="24">
        <v>5398.0</v>
      </c>
      <c r="H8009" s="24">
        <v>5658.0</v>
      </c>
      <c r="I8009" s="24">
        <v>0.0</v>
      </c>
      <c r="J8009" s="24">
        <v>0.0</v>
      </c>
      <c r="K8009" s="23" t="s">
        <v>34</v>
      </c>
      <c r="L8009" s="25">
        <v>41845.68021990741</v>
      </c>
      <c r="M8009" s="26" t="s">
        <v>5630</v>
      </c>
      <c r="N8009" s="26" t="s">
        <v>5631</v>
      </c>
      <c r="O8009" s="22" t="str">
        <f>HYPERLINK("https://pbs.twimg.com/profile_images/743984165763321856/nbpig-6O_normal.jpg","View")</f>
        <v>View</v>
      </c>
      <c r="P8009" s="27"/>
    </row>
    <row r="8010">
      <c r="A8010" s="14">
        <v>43031.71849537037</v>
      </c>
      <c r="B8010" s="20" t="str">
        <f>HYPERLINK("https://twitter.com/vibha_ji","@vibha_ji")</f>
        <v>@vibha_ji</v>
      </c>
      <c r="C8010" s="21" t="s">
        <v>17775</v>
      </c>
      <c r="D8010" s="21" t="s">
        <v>42</v>
      </c>
      <c r="E8010" s="22" t="str">
        <f>HYPERLINK("https://twitter.com/vibha_ji/status/922617293275877376","922617293275877376")</f>
        <v>922617293275877376</v>
      </c>
      <c r="F8010" s="23" t="s">
        <v>33</v>
      </c>
      <c r="G8010" s="24">
        <v>3166.0</v>
      </c>
      <c r="H8010" s="24">
        <v>3345.0</v>
      </c>
      <c r="I8010" s="24">
        <v>8501.0</v>
      </c>
      <c r="J8010" s="24">
        <v>0.0</v>
      </c>
      <c r="K8010" s="23" t="s">
        <v>34</v>
      </c>
      <c r="L8010" s="25">
        <v>42623.948599537034</v>
      </c>
      <c r="M8010" s="26" t="s">
        <v>394</v>
      </c>
      <c r="N8010" s="26" t="s">
        <v>17776</v>
      </c>
      <c r="O8010" s="22" t="str">
        <f>HYPERLINK("https://pbs.twimg.com/profile_images/909655676980363264/EpISHLqm_normal.jpg","View")</f>
        <v>View</v>
      </c>
      <c r="P8010" s="27"/>
    </row>
    <row r="8011">
      <c r="A8011" s="14">
        <v>43031.71849537037</v>
      </c>
      <c r="B8011" s="20" t="str">
        <f>HYPERLINK("https://twitter.com/FlyinFreeman","@FlyinFreeman")</f>
        <v>@FlyinFreeman</v>
      </c>
      <c r="C8011" s="21" t="s">
        <v>17777</v>
      </c>
      <c r="D8011" s="21" t="s">
        <v>17645</v>
      </c>
      <c r="E8011" s="22" t="str">
        <f>HYPERLINK("https://twitter.com/FlyinFreeman/status/922617293972168704","922617293972168704")</f>
        <v>922617293972168704</v>
      </c>
      <c r="F8011" s="23" t="s">
        <v>39</v>
      </c>
      <c r="G8011" s="24">
        <v>195.0</v>
      </c>
      <c r="H8011" s="24">
        <v>617.0</v>
      </c>
      <c r="I8011" s="24">
        <v>8.0</v>
      </c>
      <c r="J8011" s="24">
        <v>0.0</v>
      </c>
      <c r="K8011" s="23" t="s">
        <v>34</v>
      </c>
      <c r="L8011" s="25">
        <v>40055.82392361111</v>
      </c>
      <c r="M8011" s="26" t="s">
        <v>17778</v>
      </c>
      <c r="N8011" s="26" t="s">
        <v>17779</v>
      </c>
      <c r="O8011" s="22" t="str">
        <f>HYPERLINK("https://pbs.twimg.com/profile_images/558263369963028481/osVFMs9X_normal.jpeg","View")</f>
        <v>View</v>
      </c>
      <c r="P8011" s="27"/>
    </row>
    <row r="8012">
      <c r="A8012" s="14">
        <v>43031.71854166666</v>
      </c>
      <c r="B8012" s="20" t="str">
        <f>HYPERLINK("https://twitter.com/tenpalmtrees","@tenpalmtrees")</f>
        <v>@tenpalmtrees</v>
      </c>
      <c r="C8012" s="21" t="s">
        <v>17780</v>
      </c>
      <c r="D8012" s="21" t="s">
        <v>16537</v>
      </c>
      <c r="E8012" s="22" t="str">
        <f>HYPERLINK("https://twitter.com/tenpalmtrees/status/922617308203319296","922617308203319296")</f>
        <v>922617308203319296</v>
      </c>
      <c r="F8012" s="23" t="s">
        <v>33</v>
      </c>
      <c r="G8012" s="24">
        <v>80.0</v>
      </c>
      <c r="H8012" s="24">
        <v>284.0</v>
      </c>
      <c r="I8012" s="24">
        <v>242.0</v>
      </c>
      <c r="J8012" s="24">
        <v>0.0</v>
      </c>
      <c r="K8012" s="23" t="s">
        <v>34</v>
      </c>
      <c r="L8012" s="25">
        <v>40825.42952546296</v>
      </c>
      <c r="M8012" s="28"/>
      <c r="N8012" s="28"/>
      <c r="O8012" s="22" t="str">
        <f>HYPERLINK("https://pbs.twimg.com/profile_images/888624584852983813/VCUbO1b__normal.jpg","View")</f>
        <v>View</v>
      </c>
      <c r="P8012" s="27"/>
    </row>
    <row r="8013">
      <c r="A8013" s="14">
        <v>43031.71864583333</v>
      </c>
      <c r="B8013" s="20" t="str">
        <f>HYPERLINK("https://twitter.com/Follow_Finance","@Follow_Finance")</f>
        <v>@Follow_Finance</v>
      </c>
      <c r="C8013" s="21" t="s">
        <v>16682</v>
      </c>
      <c r="D8013" s="21" t="s">
        <v>17781</v>
      </c>
      <c r="E8013" s="22" t="str">
        <f>HYPERLINK("https://twitter.com/Follow_Finance/status/922617347852128256","922617347852128256")</f>
        <v>922617347852128256</v>
      </c>
      <c r="F8013" s="23" t="s">
        <v>16682</v>
      </c>
      <c r="G8013" s="24">
        <v>2403.0</v>
      </c>
      <c r="H8013" s="24">
        <v>1918.0</v>
      </c>
      <c r="I8013" s="24">
        <v>0.0</v>
      </c>
      <c r="J8013" s="24">
        <v>0.0</v>
      </c>
      <c r="K8013" s="23" t="s">
        <v>34</v>
      </c>
      <c r="L8013" s="25">
        <v>41033.22769675926</v>
      </c>
      <c r="M8013" s="26" t="s">
        <v>1840</v>
      </c>
      <c r="N8013" s="26" t="s">
        <v>16684</v>
      </c>
      <c r="O8013" s="22" t="str">
        <f>HYPERLINK("https://pbs.twimg.com/profile_images/2214795357/money_50_normal.png","View")</f>
        <v>View</v>
      </c>
      <c r="P8013" s="27"/>
    </row>
    <row r="8014">
      <c r="A8014" s="14">
        <v>43031.71870370371</v>
      </c>
      <c r="B8014" s="20" t="str">
        <f>HYPERLINK("https://twitter.com/cestleiden","@cestleiden")</f>
        <v>@cestleiden</v>
      </c>
      <c r="C8014" s="21" t="s">
        <v>17782</v>
      </c>
      <c r="D8014" s="21" t="s">
        <v>17783</v>
      </c>
      <c r="E8014" s="22" t="str">
        <f>HYPERLINK("https://twitter.com/cestleiden/status/922617367426822144","922617367426822144")</f>
        <v>922617367426822144</v>
      </c>
      <c r="F8014" s="23" t="s">
        <v>55</v>
      </c>
      <c r="G8014" s="24">
        <v>20.0</v>
      </c>
      <c r="H8014" s="24">
        <v>203.0</v>
      </c>
      <c r="I8014" s="24">
        <v>0.0</v>
      </c>
      <c r="J8014" s="24">
        <v>0.0</v>
      </c>
      <c r="K8014" s="23" t="s">
        <v>34</v>
      </c>
      <c r="L8014" s="25">
        <v>41517.18256944444</v>
      </c>
      <c r="M8014" s="28"/>
      <c r="N8014" s="28"/>
      <c r="O8014" s="22" t="str">
        <f>HYPERLINK("https://pbs.twimg.com/profile_images/537586077511340034/gSMzcNbz_normal.jpeg","View")</f>
        <v>View</v>
      </c>
      <c r="P8014" s="27"/>
    </row>
    <row r="8015">
      <c r="A8015" s="14">
        <v>43031.71877314815</v>
      </c>
      <c r="B8015" s="20" t="str">
        <f>HYPERLINK("https://twitter.com/worldanglr","@worldanglr")</f>
        <v>@worldanglr</v>
      </c>
      <c r="C8015" s="21" t="s">
        <v>17784</v>
      </c>
      <c r="D8015" s="21" t="s">
        <v>17785</v>
      </c>
      <c r="E8015" s="22" t="str">
        <f>HYPERLINK("https://twitter.com/worldanglr/status/922617393473564672","922617393473564672")</f>
        <v>922617393473564672</v>
      </c>
      <c r="F8015" s="23" t="s">
        <v>17786</v>
      </c>
      <c r="G8015" s="24">
        <v>1378.0</v>
      </c>
      <c r="H8015" s="24">
        <v>0.0</v>
      </c>
      <c r="I8015" s="24">
        <v>1.0</v>
      </c>
      <c r="J8015" s="24">
        <v>0.0</v>
      </c>
      <c r="K8015" s="23" t="s">
        <v>34</v>
      </c>
      <c r="L8015" s="25">
        <v>42179.31699074074</v>
      </c>
      <c r="M8015" s="28"/>
      <c r="N8015" s="26" t="s">
        <v>17787</v>
      </c>
      <c r="O8015" s="22" t="str">
        <f>HYPERLINK("https://pbs.twimg.com/profile_images/683957977011871744/AfjgbFLL_normal.png","View")</f>
        <v>View</v>
      </c>
      <c r="P8015" s="27"/>
    </row>
    <row r="8016">
      <c r="A8016" s="14">
        <v>43031.718819444446</v>
      </c>
      <c r="B8016" s="20" t="str">
        <f>HYPERLINK("https://twitter.com/Follow_Finance","@Follow_Finance")</f>
        <v>@Follow_Finance</v>
      </c>
      <c r="C8016" s="21" t="s">
        <v>16682</v>
      </c>
      <c r="D8016" s="21" t="s">
        <v>17788</v>
      </c>
      <c r="E8016" s="22" t="str">
        <f>HYPERLINK("https://twitter.com/Follow_Finance/status/922617408073936896","922617408073936896")</f>
        <v>922617408073936896</v>
      </c>
      <c r="F8016" s="23" t="s">
        <v>16682</v>
      </c>
      <c r="G8016" s="24">
        <v>2403.0</v>
      </c>
      <c r="H8016" s="24">
        <v>1918.0</v>
      </c>
      <c r="I8016" s="24">
        <v>0.0</v>
      </c>
      <c r="J8016" s="24">
        <v>0.0</v>
      </c>
      <c r="K8016" s="23" t="s">
        <v>34</v>
      </c>
      <c r="L8016" s="25">
        <v>41033.22769675926</v>
      </c>
      <c r="M8016" s="26" t="s">
        <v>1840</v>
      </c>
      <c r="N8016" s="26" t="s">
        <v>16684</v>
      </c>
      <c r="O8016" s="22" t="str">
        <f>HYPERLINK("https://pbs.twimg.com/profile_images/2214795357/money_50_normal.png","View")</f>
        <v>View</v>
      </c>
      <c r="P8016" s="27"/>
    </row>
    <row r="8017">
      <c r="A8017" s="14">
        <v>43031.71885416667</v>
      </c>
      <c r="B8017" s="20" t="str">
        <f>HYPERLINK("https://twitter.com/GarthGodsman","@GarthGodsman")</f>
        <v>@GarthGodsman</v>
      </c>
      <c r="C8017" s="21" t="s">
        <v>17789</v>
      </c>
      <c r="D8017" s="21" t="s">
        <v>2313</v>
      </c>
      <c r="E8017" s="22" t="str">
        <f>HYPERLINK("https://twitter.com/GarthGodsman/status/922617423022264320","922617423022264320")</f>
        <v>922617423022264320</v>
      </c>
      <c r="F8017" s="23" t="s">
        <v>39</v>
      </c>
      <c r="G8017" s="24">
        <v>3493.0</v>
      </c>
      <c r="H8017" s="24">
        <v>2331.0</v>
      </c>
      <c r="I8017" s="24">
        <v>10.0</v>
      </c>
      <c r="J8017" s="24">
        <v>0.0</v>
      </c>
      <c r="K8017" s="23" t="s">
        <v>34</v>
      </c>
      <c r="L8017" s="25">
        <v>39691.75849537037</v>
      </c>
      <c r="M8017" s="26" t="s">
        <v>8685</v>
      </c>
      <c r="N8017" s="26" t="s">
        <v>17790</v>
      </c>
      <c r="O8017" s="22" t="str">
        <f>HYPERLINK("https://pbs.twimg.com/profile_images/577789731267702784/66_PbUNw_normal.jpeg","View")</f>
        <v>View</v>
      </c>
      <c r="P8017" s="27"/>
    </row>
    <row r="8018">
      <c r="A8018" s="14">
        <v>43031.71908564815</v>
      </c>
      <c r="B8018" s="20" t="str">
        <f>HYPERLINK("https://twitter.com/Edomka","@Edomka")</f>
        <v>@Edomka</v>
      </c>
      <c r="C8018" s="21" t="s">
        <v>17791</v>
      </c>
      <c r="D8018" s="21" t="s">
        <v>17792</v>
      </c>
      <c r="E8018" s="22" t="str">
        <f>HYPERLINK("https://twitter.com/Edomka/status/922617507550253056","922617507550253056")</f>
        <v>922617507550253056</v>
      </c>
      <c r="F8018" s="23" t="s">
        <v>55</v>
      </c>
      <c r="G8018" s="24">
        <v>3999.0</v>
      </c>
      <c r="H8018" s="24">
        <v>840.0</v>
      </c>
      <c r="I8018" s="24">
        <v>0.0</v>
      </c>
      <c r="J8018" s="24">
        <v>0.0</v>
      </c>
      <c r="K8018" s="23" t="s">
        <v>34</v>
      </c>
      <c r="L8018" s="25">
        <v>41021.60325231482</v>
      </c>
      <c r="M8018" s="26" t="s">
        <v>17793</v>
      </c>
      <c r="N8018" s="26" t="s">
        <v>17794</v>
      </c>
      <c r="O8018" s="22" t="str">
        <f>HYPERLINK("https://pbs.twimg.com/profile_images/886759969240096768/wYpOqC7R_normal.jpg","View")</f>
        <v>View</v>
      </c>
      <c r="P8018" s="27"/>
    </row>
    <row r="8019">
      <c r="A8019" s="14">
        <v>43031.71942129629</v>
      </c>
      <c r="B8019" s="20" t="str">
        <f>HYPERLINK("https://twitter.com/BN365","@BN365")</f>
        <v>@BN365</v>
      </c>
      <c r="C8019" s="21" t="s">
        <v>5830</v>
      </c>
      <c r="D8019" s="21" t="s">
        <v>17795</v>
      </c>
      <c r="E8019" s="22" t="str">
        <f>HYPERLINK("https://twitter.com/BN365/status/922617629034139648","922617629034139648")</f>
        <v>922617629034139648</v>
      </c>
      <c r="F8019" s="23" t="s">
        <v>187</v>
      </c>
      <c r="G8019" s="24">
        <v>470.0</v>
      </c>
      <c r="H8019" s="24">
        <v>25.0</v>
      </c>
      <c r="I8019" s="24">
        <v>0.0</v>
      </c>
      <c r="J8019" s="24">
        <v>0.0</v>
      </c>
      <c r="K8019" s="23" t="s">
        <v>34</v>
      </c>
      <c r="L8019" s="25">
        <v>42265.8858912037</v>
      </c>
      <c r="M8019" s="26" t="s">
        <v>17796</v>
      </c>
      <c r="N8019" s="26" t="s">
        <v>17797</v>
      </c>
      <c r="O8019" s="22" t="str">
        <f>HYPERLINK("https://pbs.twimg.com/profile_images/663231525345996800/5lNUuXDr_normal.jpg","View")</f>
        <v>View</v>
      </c>
      <c r="P8019" s="27"/>
    </row>
    <row r="8020">
      <c r="A8020" s="14">
        <v>43031.719502314816</v>
      </c>
      <c r="B8020" s="20" t="str">
        <f>HYPERLINK("https://twitter.com/OccuWorld","@OccuWorld")</f>
        <v>@OccuWorld</v>
      </c>
      <c r="C8020" s="21" t="s">
        <v>929</v>
      </c>
      <c r="D8020" s="21" t="s">
        <v>17798</v>
      </c>
      <c r="E8020" s="22" t="str">
        <f>HYPERLINK("https://twitter.com/OccuWorld/status/922617656880123905","922617656880123905")</f>
        <v>922617656880123905</v>
      </c>
      <c r="F8020" s="23" t="s">
        <v>931</v>
      </c>
      <c r="G8020" s="24">
        <v>7744.0</v>
      </c>
      <c r="H8020" s="24">
        <v>981.0</v>
      </c>
      <c r="I8020" s="24">
        <v>0.0</v>
      </c>
      <c r="J8020" s="24">
        <v>0.0</v>
      </c>
      <c r="K8020" s="23" t="s">
        <v>34</v>
      </c>
      <c r="L8020" s="25">
        <v>41319.360625</v>
      </c>
      <c r="M8020" s="26" t="s">
        <v>92</v>
      </c>
      <c r="N8020" s="26" t="s">
        <v>932</v>
      </c>
      <c r="O8020" s="22" t="str">
        <f>HYPERLINK("https://pbs.twimg.com/profile_images/563724232287211520/sEoE-N6j_normal.jpeg","View")</f>
        <v>View</v>
      </c>
      <c r="P8020" s="27"/>
    </row>
    <row r="8021">
      <c r="A8021" s="14">
        <v>43031.719722222224</v>
      </c>
      <c r="B8021" s="20" t="str">
        <f>HYPERLINK("https://twitter.com/mit_obe","@mit_obe")</f>
        <v>@mit_obe</v>
      </c>
      <c r="C8021" s="21" t="s">
        <v>10397</v>
      </c>
      <c r="D8021" s="21" t="s">
        <v>6917</v>
      </c>
      <c r="E8021" s="22" t="str">
        <f>HYPERLINK("https://twitter.com/mit_obe/status/922617735380574208","922617735380574208")</f>
        <v>922617735380574208</v>
      </c>
      <c r="F8021" s="23" t="s">
        <v>39</v>
      </c>
      <c r="G8021" s="24">
        <v>1494.0</v>
      </c>
      <c r="H8021" s="24">
        <v>299.0</v>
      </c>
      <c r="I8021" s="24">
        <v>8.0</v>
      </c>
      <c r="J8021" s="24">
        <v>0.0</v>
      </c>
      <c r="K8021" s="23" t="s">
        <v>34</v>
      </c>
      <c r="L8021" s="25">
        <v>41472.72362268518</v>
      </c>
      <c r="M8021" s="26" t="s">
        <v>3693</v>
      </c>
      <c r="N8021" s="26" t="s">
        <v>10399</v>
      </c>
      <c r="O8021" s="22" t="str">
        <f>HYPERLINK("https://pbs.twimg.com/profile_images/912457089007575041/iunAue57_normal.jpg","View")</f>
        <v>View</v>
      </c>
      <c r="P8021" s="27"/>
    </row>
    <row r="8022">
      <c r="A8022" s="14">
        <v>43031.719826388886</v>
      </c>
      <c r="B8022" s="20" t="str">
        <f>HYPERLINK("https://twitter.com/ArmorCavSpin","@ArmorCavSpin")</f>
        <v>@ArmorCavSpin</v>
      </c>
      <c r="C8022" s="21" t="s">
        <v>17799</v>
      </c>
      <c r="D8022" s="21" t="s">
        <v>17800</v>
      </c>
      <c r="E8022" s="22" t="str">
        <f>HYPERLINK("https://twitter.com/ArmorCavSpin/status/922617775545135104","922617775545135104")</f>
        <v>922617775545135104</v>
      </c>
      <c r="F8022" s="23" t="s">
        <v>55</v>
      </c>
      <c r="G8022" s="24">
        <v>13838.0</v>
      </c>
      <c r="H8022" s="24">
        <v>12346.0</v>
      </c>
      <c r="I8022" s="24">
        <v>0.0</v>
      </c>
      <c r="J8022" s="24">
        <v>0.0</v>
      </c>
      <c r="K8022" s="23" t="s">
        <v>34</v>
      </c>
      <c r="L8022" s="25">
        <v>39948.59069444444</v>
      </c>
      <c r="M8022" s="26" t="s">
        <v>17801</v>
      </c>
      <c r="N8022" s="26" t="s">
        <v>17802</v>
      </c>
      <c r="O8022" s="22" t="str">
        <f>HYPERLINK("https://pbs.twimg.com/profile_images/2761357740/ea6911700058c078018367dea110654c_normal.jpeg","View")</f>
        <v>View</v>
      </c>
      <c r="P8022" s="27"/>
    </row>
    <row r="8023">
      <c r="A8023" s="14">
        <v>43031.71989583333</v>
      </c>
      <c r="B8023" s="20" t="str">
        <f>HYPERLINK("https://twitter.com/TheMediaIgnores","@TheMediaIgnores")</f>
        <v>@TheMediaIgnores</v>
      </c>
      <c r="C8023" s="21" t="s">
        <v>1369</v>
      </c>
      <c r="D8023" s="21" t="s">
        <v>17803</v>
      </c>
      <c r="E8023" s="22" t="str">
        <f>HYPERLINK("https://twitter.com/TheMediaIgnores/status/922617798710448130","922617798710448130")</f>
        <v>922617798710448130</v>
      </c>
      <c r="F8023" s="23" t="s">
        <v>187</v>
      </c>
      <c r="G8023" s="24">
        <v>4167.0</v>
      </c>
      <c r="H8023" s="24">
        <v>3931.0</v>
      </c>
      <c r="I8023" s="24">
        <v>0.0</v>
      </c>
      <c r="J8023" s="24">
        <v>0.0</v>
      </c>
      <c r="K8023" s="23" t="s">
        <v>34</v>
      </c>
      <c r="L8023" s="25">
        <v>39989.104375</v>
      </c>
      <c r="M8023" s="28"/>
      <c r="N8023" s="28"/>
      <c r="O8023" s="22" t="str">
        <f>HYPERLINK("https://pbs.twimg.com/profile_images/580918345215688704/RY-H6QSt_normal.jpg","View")</f>
        <v>View</v>
      </c>
      <c r="P8023" s="27"/>
    </row>
    <row r="8024">
      <c r="A8024" s="14">
        <v>43031.72016203703</v>
      </c>
      <c r="B8024" s="20" t="str">
        <f>HYPERLINK("https://twitter.com/offishall_Maak","@offishall_Maak")</f>
        <v>@offishall_Maak</v>
      </c>
      <c r="C8024" s="21" t="s">
        <v>17804</v>
      </c>
      <c r="D8024" s="21" t="s">
        <v>17805</v>
      </c>
      <c r="E8024" s="22" t="str">
        <f>HYPERLINK("https://twitter.com/offishall_Maak/status/922617895443750912","922617895443750912")</f>
        <v>922617895443750912</v>
      </c>
      <c r="F8024" s="23" t="s">
        <v>91</v>
      </c>
      <c r="G8024" s="24">
        <v>830.0</v>
      </c>
      <c r="H8024" s="24">
        <v>105.0</v>
      </c>
      <c r="I8024" s="24">
        <v>0.0</v>
      </c>
      <c r="J8024" s="24">
        <v>0.0</v>
      </c>
      <c r="K8024" s="23" t="s">
        <v>34</v>
      </c>
      <c r="L8024" s="25">
        <v>41464.24815972222</v>
      </c>
      <c r="M8024" s="26" t="s">
        <v>17806</v>
      </c>
      <c r="N8024" s="26" t="s">
        <v>17807</v>
      </c>
      <c r="O8024" s="22" t="str">
        <f>HYPERLINK("https://pbs.twimg.com/profile_images/790652557672714240/FG4X5s_x_normal.jpg","View")</f>
        <v>View</v>
      </c>
      <c r="P8024" s="27"/>
    </row>
    <row r="8025">
      <c r="A8025" s="14">
        <v>43031.7205787037</v>
      </c>
      <c r="B8025" s="20" t="str">
        <f>HYPERLINK("https://twitter.com/henrirouen","@henrirouen")</f>
        <v>@henrirouen</v>
      </c>
      <c r="C8025" s="21" t="s">
        <v>17808</v>
      </c>
      <c r="D8025" s="21" t="s">
        <v>17703</v>
      </c>
      <c r="E8025" s="22" t="str">
        <f>HYPERLINK("https://twitter.com/henrirouen/status/922618045893312513","922618045893312513")</f>
        <v>922618045893312513</v>
      </c>
      <c r="F8025" s="23" t="s">
        <v>33</v>
      </c>
      <c r="G8025" s="24">
        <v>29978.0</v>
      </c>
      <c r="H8025" s="24">
        <v>27379.0</v>
      </c>
      <c r="I8025" s="24">
        <v>23.0</v>
      </c>
      <c r="J8025" s="24">
        <v>0.0</v>
      </c>
      <c r="K8025" s="23" t="s">
        <v>34</v>
      </c>
      <c r="L8025" s="25">
        <v>40245.434328703705</v>
      </c>
      <c r="M8025" s="26" t="s">
        <v>17809</v>
      </c>
      <c r="N8025" s="26" t="s">
        <v>17810</v>
      </c>
      <c r="O8025" s="22" t="str">
        <f>HYPERLINK("https://pbs.twimg.com/profile_images/750440709/Image_1_normal.jpg","View")</f>
        <v>View</v>
      </c>
      <c r="P8025" s="27"/>
    </row>
    <row r="8026">
      <c r="A8026" s="14">
        <v>43031.72064814815</v>
      </c>
      <c r="B8026" s="20" t="str">
        <f>HYPERLINK("https://twitter.com/sharebossindia","@sharebossindia")</f>
        <v>@sharebossindia</v>
      </c>
      <c r="C8026" s="29" t="s">
        <v>17811</v>
      </c>
      <c r="D8026" s="21" t="s">
        <v>17812</v>
      </c>
      <c r="E8026" s="22" t="str">
        <f>HYPERLINK("https://twitter.com/sharebossindia/status/922618073173057536","922618073173057536")</f>
        <v>922618073173057536</v>
      </c>
      <c r="F8026" s="23" t="s">
        <v>17813</v>
      </c>
      <c r="G8026" s="24">
        <v>1209.0</v>
      </c>
      <c r="H8026" s="24">
        <v>1.0</v>
      </c>
      <c r="I8026" s="24">
        <v>0.0</v>
      </c>
      <c r="J8026" s="24">
        <v>0.0</v>
      </c>
      <c r="K8026" s="23" t="s">
        <v>34</v>
      </c>
      <c r="L8026" s="25">
        <v>42262.322430555556</v>
      </c>
      <c r="M8026" s="28"/>
      <c r="N8026" s="26" t="s">
        <v>17814</v>
      </c>
      <c r="O8026" s="22" t="str">
        <f>HYPERLINK("https://pbs.twimg.com/profile_images/691477939880202244/-eW65KbB_normal.jpg","View")</f>
        <v>View</v>
      </c>
      <c r="P8026" s="27"/>
    </row>
    <row r="8027">
      <c r="A8027" s="14">
        <v>43031.72109953704</v>
      </c>
      <c r="B8027" s="20" t="str">
        <f>HYPERLINK("https://twitter.com/AshtonTokyo","@AshtonTokyo")</f>
        <v>@AshtonTokyo</v>
      </c>
      <c r="C8027" s="21" t="s">
        <v>17815</v>
      </c>
      <c r="D8027" s="21" t="s">
        <v>17816</v>
      </c>
      <c r="E8027" s="22" t="str">
        <f>HYPERLINK("https://twitter.com/AshtonTokyo/status/922618235320541184","922618235320541184")</f>
        <v>922618235320541184</v>
      </c>
      <c r="F8027" s="23" t="s">
        <v>55</v>
      </c>
      <c r="G8027" s="24">
        <v>140.0</v>
      </c>
      <c r="H8027" s="24">
        <v>81.0</v>
      </c>
      <c r="I8027" s="24">
        <v>0.0</v>
      </c>
      <c r="J8027" s="24">
        <v>0.0</v>
      </c>
      <c r="K8027" s="23" t="s">
        <v>34</v>
      </c>
      <c r="L8027" s="25">
        <v>40812.016909722224</v>
      </c>
      <c r="M8027" s="26" t="s">
        <v>17817</v>
      </c>
      <c r="N8027" s="26" t="s">
        <v>17818</v>
      </c>
      <c r="O8027" s="22" t="str">
        <f>HYPERLINK("https://pbs.twimg.com/profile_images/687830979860238336/2pzUtBUe_normal.png","View")</f>
        <v>View</v>
      </c>
      <c r="P8027" s="27"/>
    </row>
    <row r="8028">
      <c r="A8028" s="14">
        <v>43031.72116898149</v>
      </c>
      <c r="B8028" s="20" t="str">
        <f>HYPERLINK("https://twitter.com/manafon_df","@manafon_df")</f>
        <v>@manafon_df</v>
      </c>
      <c r="C8028" s="21" t="s">
        <v>17819</v>
      </c>
      <c r="D8028" s="21" t="s">
        <v>42</v>
      </c>
      <c r="E8028" s="22" t="str">
        <f>HYPERLINK("https://twitter.com/manafon_df/status/922618260956241920","922618260956241920")</f>
        <v>922618260956241920</v>
      </c>
      <c r="F8028" s="23" t="s">
        <v>39</v>
      </c>
      <c r="G8028" s="24">
        <v>205.0</v>
      </c>
      <c r="H8028" s="24">
        <v>226.0</v>
      </c>
      <c r="I8028" s="24">
        <v>8501.0</v>
      </c>
      <c r="J8028" s="24">
        <v>0.0</v>
      </c>
      <c r="K8028" s="23" t="s">
        <v>34</v>
      </c>
      <c r="L8028" s="25">
        <v>40634.39221064815</v>
      </c>
      <c r="M8028" s="26" t="s">
        <v>17820</v>
      </c>
      <c r="N8028" s="28"/>
      <c r="O8028" s="22" t="str">
        <f>HYPERLINK("https://pbs.twimg.com/profile_images/864412676234936321/J2HpCNI3_normal.jpg","View")</f>
        <v>View</v>
      </c>
      <c r="P8028" s="27"/>
    </row>
    <row r="8029">
      <c r="A8029" s="14">
        <v>43031.721180555556</v>
      </c>
      <c r="B8029" s="20" t="str">
        <f>HYPERLINK("https://twitter.com/copyright1011","@copyright1011")</f>
        <v>@copyright1011</v>
      </c>
      <c r="C8029" s="21" t="s">
        <v>17821</v>
      </c>
      <c r="D8029" s="21" t="s">
        <v>16946</v>
      </c>
      <c r="E8029" s="22" t="str">
        <f>HYPERLINK("https://twitter.com/copyright1011/status/922618266492715008","922618266492715008")</f>
        <v>922618266492715008</v>
      </c>
      <c r="F8029" s="23" t="s">
        <v>39</v>
      </c>
      <c r="G8029" s="24">
        <v>268.0</v>
      </c>
      <c r="H8029" s="24">
        <v>48.0</v>
      </c>
      <c r="I8029" s="24">
        <v>6.0</v>
      </c>
      <c r="J8029" s="24">
        <v>0.0</v>
      </c>
      <c r="K8029" s="23" t="s">
        <v>34</v>
      </c>
      <c r="L8029" s="25">
        <v>40294.00351851852</v>
      </c>
      <c r="M8029" s="28"/>
      <c r="N8029" s="26" t="s">
        <v>17822</v>
      </c>
      <c r="O8029" s="22" t="str">
        <f>HYPERLINK("https://pbs.twimg.com/profile_images/852347646/cm1_normal.jpg","View")</f>
        <v>View</v>
      </c>
      <c r="P8029" s="27"/>
    </row>
    <row r="8030">
      <c r="A8030" s="14">
        <v>43031.72188657407</v>
      </c>
      <c r="B8030" s="20" t="str">
        <f>HYPERLINK("https://twitter.com/tgrayeb","@tgrayeb")</f>
        <v>@tgrayeb</v>
      </c>
      <c r="C8030" s="21" t="s">
        <v>17823</v>
      </c>
      <c r="D8030" s="21" t="s">
        <v>17677</v>
      </c>
      <c r="E8030" s="22" t="str">
        <f>HYPERLINK("https://twitter.com/tgrayeb/status/922618520806019072","922618520806019072")</f>
        <v>922618520806019072</v>
      </c>
      <c r="F8030" s="23" t="s">
        <v>33</v>
      </c>
      <c r="G8030" s="24">
        <v>121.0</v>
      </c>
      <c r="H8030" s="24">
        <v>171.0</v>
      </c>
      <c r="I8030" s="24">
        <v>13.0</v>
      </c>
      <c r="J8030" s="24">
        <v>0.0</v>
      </c>
      <c r="K8030" s="23" t="s">
        <v>34</v>
      </c>
      <c r="L8030" s="25">
        <v>41182.29875</v>
      </c>
      <c r="M8030" s="26" t="s">
        <v>17824</v>
      </c>
      <c r="N8030" s="26" t="s">
        <v>17825</v>
      </c>
      <c r="O8030" s="22" t="str">
        <f>HYPERLINK("https://pbs.twimg.com/profile_images/635482375279898625/3wduXPo-_normal.jpg","View")</f>
        <v>View</v>
      </c>
      <c r="P8030" s="27"/>
    </row>
    <row r="8031">
      <c r="A8031" s="14">
        <v>43031.72219907407</v>
      </c>
      <c r="B8031" s="20" t="str">
        <f>HYPERLINK("https://twitter.com/ChristianLongs2","@ChristianLongs2")</f>
        <v>@ChristianLongs2</v>
      </c>
      <c r="C8031" s="21" t="s">
        <v>9263</v>
      </c>
      <c r="D8031" s="21" t="s">
        <v>16537</v>
      </c>
      <c r="E8031" s="22" t="str">
        <f>HYPERLINK("https://twitter.com/ChristianLongs2/status/922618636208021504","922618636208021504")</f>
        <v>922618636208021504</v>
      </c>
      <c r="F8031" s="23" t="s">
        <v>43</v>
      </c>
      <c r="G8031" s="24">
        <v>1251.0</v>
      </c>
      <c r="H8031" s="24">
        <v>5001.0</v>
      </c>
      <c r="I8031" s="24">
        <v>242.0</v>
      </c>
      <c r="J8031" s="24">
        <v>0.0</v>
      </c>
      <c r="K8031" s="23" t="s">
        <v>34</v>
      </c>
      <c r="L8031" s="25">
        <v>41436.38704861111</v>
      </c>
      <c r="M8031" s="26" t="s">
        <v>17826</v>
      </c>
      <c r="N8031" s="26" t="s">
        <v>17827</v>
      </c>
      <c r="O8031" s="22" t="str">
        <f>HYPERLINK("https://pbs.twimg.com/profile_images/921452033357447168/pQBFkhn5_normal.jpg","View")</f>
        <v>View</v>
      </c>
      <c r="P8031" s="27"/>
    </row>
    <row r="8032">
      <c r="A8032" s="14">
        <v>43031.72226851852</v>
      </c>
      <c r="B8032" s="20" t="str">
        <f>HYPERLINK("https://twitter.com/newsanglr","@newsanglr")</f>
        <v>@newsanglr</v>
      </c>
      <c r="C8032" s="21" t="s">
        <v>5478</v>
      </c>
      <c r="D8032" s="21" t="s">
        <v>17828</v>
      </c>
      <c r="E8032" s="22" t="str">
        <f>HYPERLINK("https://twitter.com/newsanglr/status/922618659499053056","922618659499053056")</f>
        <v>922618659499053056</v>
      </c>
      <c r="F8032" s="23" t="s">
        <v>5480</v>
      </c>
      <c r="G8032" s="24">
        <v>2106.0</v>
      </c>
      <c r="H8032" s="24">
        <v>265.0</v>
      </c>
      <c r="I8032" s="24">
        <v>1.0</v>
      </c>
      <c r="J8032" s="24">
        <v>0.0</v>
      </c>
      <c r="K8032" s="23" t="s">
        <v>34</v>
      </c>
      <c r="L8032" s="25">
        <v>41667.26959490741</v>
      </c>
      <c r="M8032" s="28"/>
      <c r="N8032" s="26" t="s">
        <v>5481</v>
      </c>
      <c r="O8032" s="22" t="str">
        <f>HYPERLINK("https://pbs.twimg.com/profile_images/677516543228559361/HLqgnwgL_normal.png","View")</f>
        <v>View</v>
      </c>
      <c r="P8032" s="27"/>
    </row>
    <row r="8033">
      <c r="A8033" s="14">
        <v>43031.72256944445</v>
      </c>
      <c r="B8033" s="20" t="str">
        <f>HYPERLINK("https://twitter.com/JoyNott","@JoyNott")</f>
        <v>@JoyNott</v>
      </c>
      <c r="C8033" s="21" t="s">
        <v>17829</v>
      </c>
      <c r="D8033" s="21" t="s">
        <v>17675</v>
      </c>
      <c r="E8033" s="22" t="str">
        <f>HYPERLINK("https://twitter.com/JoyNott/status/922618769452781569","922618769452781569")</f>
        <v>922618769452781569</v>
      </c>
      <c r="F8033" s="23" t="s">
        <v>230</v>
      </c>
      <c r="G8033" s="24">
        <v>182.0</v>
      </c>
      <c r="H8033" s="24">
        <v>245.0</v>
      </c>
      <c r="I8033" s="24">
        <v>18.0</v>
      </c>
      <c r="J8033" s="24">
        <v>0.0</v>
      </c>
      <c r="K8033" s="23" t="s">
        <v>34</v>
      </c>
      <c r="L8033" s="25">
        <v>40885.787569444445</v>
      </c>
      <c r="M8033" s="26" t="s">
        <v>1961</v>
      </c>
      <c r="N8033" s="26" t="s">
        <v>17830</v>
      </c>
      <c r="O8033" s="22" t="str">
        <f>HYPERLINK("https://pbs.twimg.com/profile_images/606138901980274688/-V1YtD5o_normal.jpg","View")</f>
        <v>View</v>
      </c>
      <c r="P8033" s="27"/>
    </row>
    <row r="8034">
      <c r="A8034" s="14">
        <v>43031.722858796296</v>
      </c>
      <c r="B8034" s="20" t="str">
        <f>HYPERLINK("https://twitter.com/rokiloki13","@rokiloki13")</f>
        <v>@rokiloki13</v>
      </c>
      <c r="C8034" s="21" t="s">
        <v>17831</v>
      </c>
      <c r="D8034" s="21" t="s">
        <v>17832</v>
      </c>
      <c r="E8034" s="22" t="str">
        <f>HYPERLINK("https://twitter.com/rokiloki13/status/922618873479700480","922618873479700480")</f>
        <v>922618873479700480</v>
      </c>
      <c r="F8034" s="23" t="s">
        <v>55</v>
      </c>
      <c r="G8034" s="24">
        <v>336.0</v>
      </c>
      <c r="H8034" s="24">
        <v>307.0</v>
      </c>
      <c r="I8034" s="24">
        <v>6.0</v>
      </c>
      <c r="J8034" s="24">
        <v>0.0</v>
      </c>
      <c r="K8034" s="23" t="s">
        <v>34</v>
      </c>
      <c r="L8034" s="25">
        <v>42376.22915509259</v>
      </c>
      <c r="M8034" s="28"/>
      <c r="N8034" s="26" t="s">
        <v>17833</v>
      </c>
      <c r="O8034" s="22" t="str">
        <f>HYPERLINK("https://pbs.twimg.com/profile_images/685091732443115521/z94YPlXZ_normal.jpg","View")</f>
        <v>View</v>
      </c>
      <c r="P8034" s="27"/>
    </row>
    <row r="8035">
      <c r="A8035" s="14">
        <v>43031.72310185185</v>
      </c>
      <c r="B8035" s="20" t="str">
        <f t="shared" ref="B8035:B8036" si="139">HYPERLINK("https://twitter.com/Japan_Guide1","@Japan_Guide1")</f>
        <v>@Japan_Guide1</v>
      </c>
      <c r="C8035" s="21" t="s">
        <v>17765</v>
      </c>
      <c r="D8035" s="21" t="s">
        <v>17834</v>
      </c>
      <c r="E8035" s="22" t="str">
        <f>HYPERLINK("https://twitter.com/Japan_Guide1/status/922618959513423877","922618959513423877")</f>
        <v>922618959513423877</v>
      </c>
      <c r="F8035" s="23" t="s">
        <v>1570</v>
      </c>
      <c r="G8035" s="24">
        <v>129.0</v>
      </c>
      <c r="H8035" s="24">
        <v>7.0</v>
      </c>
      <c r="I8035" s="24">
        <v>0.0</v>
      </c>
      <c r="J8035" s="24">
        <v>0.0</v>
      </c>
      <c r="K8035" s="23" t="s">
        <v>34</v>
      </c>
      <c r="L8035" s="25">
        <v>41757.85288194445</v>
      </c>
      <c r="M8035" s="26" t="s">
        <v>271</v>
      </c>
      <c r="N8035" s="26" t="s">
        <v>17767</v>
      </c>
      <c r="O8035" s="22" t="str">
        <f t="shared" ref="O8035:O8036" si="140">HYPERLINK("https://pbs.twimg.com/profile_images/461037999447240704/PtnAzrJz_normal.jpeg","View")</f>
        <v>View</v>
      </c>
      <c r="P8035" s="27"/>
    </row>
    <row r="8036">
      <c r="A8036" s="14">
        <v>43031.72332175926</v>
      </c>
      <c r="B8036" s="20" t="str">
        <f t="shared" si="139"/>
        <v>@Japan_Guide1</v>
      </c>
      <c r="C8036" s="21" t="s">
        <v>17765</v>
      </c>
      <c r="D8036" s="21" t="s">
        <v>17835</v>
      </c>
      <c r="E8036" s="22" t="str">
        <f>HYPERLINK("https://twitter.com/Japan_Guide1/status/922619042829086722","922619042829086722")</f>
        <v>922619042829086722</v>
      </c>
      <c r="F8036" s="23" t="s">
        <v>55</v>
      </c>
      <c r="G8036" s="24">
        <v>129.0</v>
      </c>
      <c r="H8036" s="24">
        <v>7.0</v>
      </c>
      <c r="I8036" s="24">
        <v>0.0</v>
      </c>
      <c r="J8036" s="24">
        <v>0.0</v>
      </c>
      <c r="K8036" s="23" t="s">
        <v>34</v>
      </c>
      <c r="L8036" s="25">
        <v>41757.85288194445</v>
      </c>
      <c r="M8036" s="26" t="s">
        <v>271</v>
      </c>
      <c r="N8036" s="26" t="s">
        <v>17767</v>
      </c>
      <c r="O8036" s="22" t="str">
        <f t="shared" si="140"/>
        <v>View</v>
      </c>
      <c r="P8036" s="27"/>
    </row>
    <row r="8037">
      <c r="A8037" s="14">
        <v>43031.723391203705</v>
      </c>
      <c r="B8037" s="20" t="str">
        <f>HYPERLINK("https://twitter.com/1eddieameh","@1eddieameh")</f>
        <v>@1eddieameh</v>
      </c>
      <c r="C8037" s="21" t="s">
        <v>17836</v>
      </c>
      <c r="D8037" s="21" t="s">
        <v>17675</v>
      </c>
      <c r="E8037" s="22" t="str">
        <f>HYPERLINK("https://twitter.com/1eddieameh/status/922619066770079745","922619066770079745")</f>
        <v>922619066770079745</v>
      </c>
      <c r="F8037" s="23" t="s">
        <v>33</v>
      </c>
      <c r="G8037" s="24">
        <v>288.0</v>
      </c>
      <c r="H8037" s="24">
        <v>567.0</v>
      </c>
      <c r="I8037" s="24">
        <v>18.0</v>
      </c>
      <c r="J8037" s="24">
        <v>0.0</v>
      </c>
      <c r="K8037" s="23" t="s">
        <v>34</v>
      </c>
      <c r="L8037" s="25">
        <v>40686.063796296294</v>
      </c>
      <c r="M8037" s="26" t="s">
        <v>11738</v>
      </c>
      <c r="N8037" s="26" t="s">
        <v>17837</v>
      </c>
      <c r="O8037" s="22" t="str">
        <f>HYPERLINK("https://pbs.twimg.com/profile_images/529824243551182848/rUcFI9VA_normal.jpeg","View")</f>
        <v>View</v>
      </c>
      <c r="P8037" s="27"/>
    </row>
    <row r="8038">
      <c r="A8038" s="14">
        <v>43031.723703703705</v>
      </c>
      <c r="B8038" s="20" t="str">
        <f>HYPERLINK("https://twitter.com/don_osaheni","@don_osaheni")</f>
        <v>@don_osaheni</v>
      </c>
      <c r="C8038" s="21" t="s">
        <v>17838</v>
      </c>
      <c r="D8038" s="21" t="s">
        <v>17839</v>
      </c>
      <c r="E8038" s="22" t="str">
        <f>HYPERLINK("https://twitter.com/don_osaheni/status/922619180905615360","922619180905615360")</f>
        <v>922619180905615360</v>
      </c>
      <c r="F8038" s="23" t="s">
        <v>55</v>
      </c>
      <c r="G8038" s="24">
        <v>55.0</v>
      </c>
      <c r="H8038" s="24">
        <v>174.0</v>
      </c>
      <c r="I8038" s="24">
        <v>0.0</v>
      </c>
      <c r="J8038" s="24">
        <v>0.0</v>
      </c>
      <c r="K8038" s="23" t="s">
        <v>34</v>
      </c>
      <c r="L8038" s="25">
        <v>42657.93616898148</v>
      </c>
      <c r="M8038" s="26" t="s">
        <v>17840</v>
      </c>
      <c r="N8038" s="26" t="s">
        <v>17841</v>
      </c>
      <c r="O8038" s="22" t="str">
        <f>HYPERLINK("https://pbs.twimg.com/profile_images/828138385764184064/SLofAh9R_normal.jpg","View")</f>
        <v>View</v>
      </c>
      <c r="P8038" s="27"/>
    </row>
    <row r="8039">
      <c r="A8039" s="14">
        <v>43031.72400462963</v>
      </c>
      <c r="B8039" s="20" t="str">
        <f>HYPERLINK("https://twitter.com/ofbjp_mi","@ofbjp_mi")</f>
        <v>@ofbjp_mi</v>
      </c>
      <c r="C8039" s="21" t="s">
        <v>17842</v>
      </c>
      <c r="D8039" s="21" t="s">
        <v>42</v>
      </c>
      <c r="E8039" s="22" t="str">
        <f>HYPERLINK("https://twitter.com/ofbjp_mi/status/922619286665007104","922619286665007104")</f>
        <v>922619286665007104</v>
      </c>
      <c r="F8039" s="23" t="s">
        <v>39</v>
      </c>
      <c r="G8039" s="24">
        <v>64.0</v>
      </c>
      <c r="H8039" s="24">
        <v>50.0</v>
      </c>
      <c r="I8039" s="24">
        <v>8501.0</v>
      </c>
      <c r="J8039" s="24">
        <v>0.0</v>
      </c>
      <c r="K8039" s="23" t="s">
        <v>34</v>
      </c>
      <c r="L8039" s="25">
        <v>42904.876168981486</v>
      </c>
      <c r="M8039" s="26" t="s">
        <v>6281</v>
      </c>
      <c r="N8039" s="26" t="s">
        <v>17843</v>
      </c>
      <c r="O8039" s="22" t="str">
        <f>HYPERLINK("https://pbs.twimg.com/profile_images/876653542328619008/NatDFHqd_normal.jpg","View")</f>
        <v>View</v>
      </c>
      <c r="P8039" s="27"/>
    </row>
    <row r="8040">
      <c r="A8040" s="14">
        <v>43031.72408564815</v>
      </c>
      <c r="B8040" s="20" t="str">
        <f>HYPERLINK("https://twitter.com/TraderTokyo","@TraderTokyo")</f>
        <v>@TraderTokyo</v>
      </c>
      <c r="C8040" s="21" t="s">
        <v>17605</v>
      </c>
      <c r="D8040" s="21" t="s">
        <v>17844</v>
      </c>
      <c r="E8040" s="22" t="str">
        <f>HYPERLINK("https://twitter.com/TraderTokyo/status/922619317258252288","922619317258252288")</f>
        <v>922619317258252288</v>
      </c>
      <c r="F8040" s="23" t="s">
        <v>55</v>
      </c>
      <c r="G8040" s="24">
        <v>6.0</v>
      </c>
      <c r="H8040" s="24">
        <v>75.0</v>
      </c>
      <c r="I8040" s="24">
        <v>0.0</v>
      </c>
      <c r="J8040" s="24">
        <v>0.0</v>
      </c>
      <c r="K8040" s="23" t="s">
        <v>34</v>
      </c>
      <c r="L8040" s="25">
        <v>43000.85265046296</v>
      </c>
      <c r="M8040" s="26" t="s">
        <v>3693</v>
      </c>
      <c r="N8040" s="26" t="s">
        <v>17607</v>
      </c>
      <c r="O8040" s="22" t="str">
        <f>HYPERLINK("https://pbs.twimg.com/profile_images/911437509971861504/ro6KHtVD_normal.jpg","View")</f>
        <v>View</v>
      </c>
      <c r="P8040" s="27"/>
    </row>
    <row r="8041">
      <c r="A8041" s="14">
        <v>43031.72436342592</v>
      </c>
      <c r="B8041" s="20" t="str">
        <f>HYPERLINK("https://twitter.com/kotrch_ryan","@kotrch_ryan")</f>
        <v>@kotrch_ryan</v>
      </c>
      <c r="C8041" s="21" t="s">
        <v>17845</v>
      </c>
      <c r="D8041" s="21" t="s">
        <v>16537</v>
      </c>
      <c r="E8041" s="22" t="str">
        <f>HYPERLINK("https://twitter.com/kotrch_ryan/status/922619418835812354","922619418835812354")</f>
        <v>922619418835812354</v>
      </c>
      <c r="F8041" s="23" t="s">
        <v>33</v>
      </c>
      <c r="G8041" s="24">
        <v>166.0</v>
      </c>
      <c r="H8041" s="24">
        <v>179.0</v>
      </c>
      <c r="I8041" s="24">
        <v>242.0</v>
      </c>
      <c r="J8041" s="24">
        <v>0.0</v>
      </c>
      <c r="K8041" s="23" t="s">
        <v>34</v>
      </c>
      <c r="L8041" s="25">
        <v>41596.59674768519</v>
      </c>
      <c r="M8041" s="28"/>
      <c r="N8041" s="26" t="s">
        <v>17846</v>
      </c>
      <c r="O8041" s="22" t="str">
        <f>HYPERLINK("https://pbs.twimg.com/profile_images/887943842649051140/3YRRHEY__normal.jpg","View")</f>
        <v>View</v>
      </c>
      <c r="P8041" s="27"/>
    </row>
    <row r="8042">
      <c r="A8042" s="14">
        <v>43031.72456018519</v>
      </c>
      <c r="B8042" s="20" t="str">
        <f>HYPERLINK("https://twitter.com/Japan_Guide1","@Japan_Guide1")</f>
        <v>@Japan_Guide1</v>
      </c>
      <c r="C8042" s="21" t="s">
        <v>17765</v>
      </c>
      <c r="D8042" s="21" t="s">
        <v>17847</v>
      </c>
      <c r="E8042" s="22" t="str">
        <f>HYPERLINK("https://twitter.com/Japan_Guide1/status/922619488163565569","922619488163565569")</f>
        <v>922619488163565569</v>
      </c>
      <c r="F8042" s="23" t="s">
        <v>1570</v>
      </c>
      <c r="G8042" s="24">
        <v>129.0</v>
      </c>
      <c r="H8042" s="24">
        <v>7.0</v>
      </c>
      <c r="I8042" s="24">
        <v>0.0</v>
      </c>
      <c r="J8042" s="24">
        <v>0.0</v>
      </c>
      <c r="K8042" s="23" t="s">
        <v>34</v>
      </c>
      <c r="L8042" s="25">
        <v>41757.85288194445</v>
      </c>
      <c r="M8042" s="26" t="s">
        <v>271</v>
      </c>
      <c r="N8042" s="26" t="s">
        <v>17767</v>
      </c>
      <c r="O8042" s="22" t="str">
        <f>HYPERLINK("https://pbs.twimg.com/profile_images/461037999447240704/PtnAzrJz_normal.jpeg","View")</f>
        <v>View</v>
      </c>
      <c r="P8042" s="27"/>
    </row>
    <row r="8043">
      <c r="A8043" s="14">
        <v>43031.72458333333</v>
      </c>
      <c r="B8043" s="20" t="str">
        <f>HYPERLINK("https://twitter.com/NJ77","@NJ77")</f>
        <v>@NJ77</v>
      </c>
      <c r="C8043" s="21" t="s">
        <v>17848</v>
      </c>
      <c r="D8043" s="21" t="s">
        <v>9940</v>
      </c>
      <c r="E8043" s="22" t="str">
        <f>HYPERLINK("https://twitter.com/NJ77/status/922619499911639040","922619499911639040")</f>
        <v>922619499911639040</v>
      </c>
      <c r="F8043" s="23" t="s">
        <v>39</v>
      </c>
      <c r="G8043" s="24">
        <v>373.0</v>
      </c>
      <c r="H8043" s="24">
        <v>1311.0</v>
      </c>
      <c r="I8043" s="24">
        <v>27.0</v>
      </c>
      <c r="J8043" s="24">
        <v>0.0</v>
      </c>
      <c r="K8043" s="23" t="s">
        <v>34</v>
      </c>
      <c r="L8043" s="25">
        <v>39980.94519675926</v>
      </c>
      <c r="M8043" s="26" t="s">
        <v>923</v>
      </c>
      <c r="N8043" s="26" t="s">
        <v>17849</v>
      </c>
      <c r="O8043" s="22" t="str">
        <f>HYPERLINK("https://pbs.twimg.com/profile_images/420769666315735040/zx2TXMw__normal.jpeg","View")</f>
        <v>View</v>
      </c>
      <c r="P8043" s="27"/>
    </row>
    <row r="8044">
      <c r="A8044" s="14">
        <v>43031.724745370375</v>
      </c>
      <c r="B8044" s="20" t="str">
        <f>HYPERLINK("https://twitter.com/nocchi99","@nocchi99")</f>
        <v>@nocchi99</v>
      </c>
      <c r="C8044" s="21" t="s">
        <v>17850</v>
      </c>
      <c r="D8044" s="21" t="s">
        <v>1642</v>
      </c>
      <c r="E8044" s="22" t="str">
        <f>HYPERLINK("https://twitter.com/nocchi99/status/922619556769751040","922619556769751040")</f>
        <v>922619556769751040</v>
      </c>
      <c r="F8044" s="23" t="s">
        <v>39</v>
      </c>
      <c r="G8044" s="24">
        <v>2974.0</v>
      </c>
      <c r="H8044" s="24">
        <v>1658.0</v>
      </c>
      <c r="I8044" s="24">
        <v>199.0</v>
      </c>
      <c r="J8044" s="24">
        <v>0.0</v>
      </c>
      <c r="K8044" s="23" t="s">
        <v>34</v>
      </c>
      <c r="L8044" s="25">
        <v>39905.89666666667</v>
      </c>
      <c r="M8044" s="26" t="s">
        <v>17851</v>
      </c>
      <c r="N8044" s="26" t="s">
        <v>17852</v>
      </c>
      <c r="O8044" s="22" t="str">
        <f>HYPERLINK("https://pbs.twimg.com/profile_images/907012874379206656/rHDcXsMB_normal.jpg","View")</f>
        <v>View</v>
      </c>
      <c r="P8044" s="27"/>
    </row>
    <row r="8045">
      <c r="A8045" s="14">
        <v>43031.724814814814</v>
      </c>
      <c r="B8045" s="20" t="str">
        <f>HYPERLINK("https://twitter.com/allstartupsin","@allstartupsin")</f>
        <v>@allstartupsin</v>
      </c>
      <c r="C8045" s="29" t="s">
        <v>11609</v>
      </c>
      <c r="D8045" s="21" t="s">
        <v>17853</v>
      </c>
      <c r="E8045" s="22" t="str">
        <f>HYPERLINK("https://twitter.com/allstartupsin/status/922619582791200768","922619582791200768")</f>
        <v>922619582791200768</v>
      </c>
      <c r="F8045" s="23" t="s">
        <v>187</v>
      </c>
      <c r="G8045" s="24">
        <v>1607.0</v>
      </c>
      <c r="H8045" s="24">
        <v>1993.0</v>
      </c>
      <c r="I8045" s="24">
        <v>0.0</v>
      </c>
      <c r="J8045" s="24">
        <v>0.0</v>
      </c>
      <c r="K8045" s="23" t="s">
        <v>34</v>
      </c>
      <c r="L8045" s="25">
        <v>41453.370046296295</v>
      </c>
      <c r="M8045" s="26" t="s">
        <v>204</v>
      </c>
      <c r="N8045" s="26" t="s">
        <v>11611</v>
      </c>
      <c r="O8045" s="22" t="str">
        <f>HYPERLINK("https://pbs.twimg.com/profile_images/770675004446941184/DgZiAFjn_normal.jpg","View")</f>
        <v>View</v>
      </c>
      <c r="P8045" s="27"/>
    </row>
    <row r="8046">
      <c r="A8046" s="14">
        <v>43031.72487268518</v>
      </c>
      <c r="B8046" s="20" t="str">
        <f t="shared" ref="B8046:B8047" si="141">HYPERLINK("https://twitter.com/NewsBossIndia","@NewsBossIndia")</f>
        <v>@NewsBossIndia</v>
      </c>
      <c r="C8046" s="29" t="s">
        <v>148</v>
      </c>
      <c r="D8046" s="21" t="s">
        <v>17854</v>
      </c>
      <c r="E8046" s="22" t="str">
        <f>HYPERLINK("https://twitter.com/NewsBossIndia/status/922619602386874368","922619602386874368")</f>
        <v>922619602386874368</v>
      </c>
      <c r="F8046" s="30" t="s">
        <v>148</v>
      </c>
      <c r="G8046" s="24">
        <v>991.0</v>
      </c>
      <c r="H8046" s="24">
        <v>1.0</v>
      </c>
      <c r="I8046" s="24">
        <v>0.0</v>
      </c>
      <c r="J8046" s="24">
        <v>0.0</v>
      </c>
      <c r="K8046" s="23" t="s">
        <v>34</v>
      </c>
      <c r="L8046" s="25">
        <v>42564.38061342592</v>
      </c>
      <c r="M8046" s="28"/>
      <c r="N8046" s="26" t="s">
        <v>150</v>
      </c>
      <c r="O8046" s="22" t="str">
        <f t="shared" ref="O8046:O8047" si="142">HYPERLINK("https://pbs.twimg.com/profile_images/753260679692333057/AS4Xiw4q_normal.jpg","View")</f>
        <v>View</v>
      </c>
      <c r="P8046" s="27"/>
    </row>
    <row r="8047">
      <c r="A8047" s="14">
        <v>43031.72489583334</v>
      </c>
      <c r="B8047" s="20" t="str">
        <f t="shared" si="141"/>
        <v>@NewsBossIndia</v>
      </c>
      <c r="C8047" s="29" t="s">
        <v>148</v>
      </c>
      <c r="D8047" s="21" t="s">
        <v>149</v>
      </c>
      <c r="E8047" s="22" t="str">
        <f>HYPERLINK("https://twitter.com/NewsBossIndia/status/922619611408769024","922619611408769024")</f>
        <v>922619611408769024</v>
      </c>
      <c r="F8047" s="30" t="s">
        <v>148</v>
      </c>
      <c r="G8047" s="24">
        <v>991.0</v>
      </c>
      <c r="H8047" s="24">
        <v>1.0</v>
      </c>
      <c r="I8047" s="24">
        <v>0.0</v>
      </c>
      <c r="J8047" s="24">
        <v>0.0</v>
      </c>
      <c r="K8047" s="23" t="s">
        <v>34</v>
      </c>
      <c r="L8047" s="25">
        <v>42564.38061342592</v>
      </c>
      <c r="M8047" s="28"/>
      <c r="N8047" s="26" t="s">
        <v>150</v>
      </c>
      <c r="O8047" s="22" t="str">
        <f t="shared" si="142"/>
        <v>View</v>
      </c>
      <c r="P8047" s="27"/>
    </row>
    <row r="8048">
      <c r="A8048" s="14">
        <v>43031.72546296296</v>
      </c>
      <c r="B8048" s="20" t="str">
        <f>HYPERLINK("https://twitter.com/harshitdwivedi_","@harshitdwivedi_")</f>
        <v>@harshitdwivedi_</v>
      </c>
      <c r="C8048" s="21" t="s">
        <v>17855</v>
      </c>
      <c r="D8048" s="21" t="s">
        <v>42</v>
      </c>
      <c r="E8048" s="22" t="str">
        <f>HYPERLINK("https://twitter.com/harshitdwivedi_/status/922619816573308928","922619816573308928")</f>
        <v>922619816573308928</v>
      </c>
      <c r="F8048" s="23" t="s">
        <v>33</v>
      </c>
      <c r="G8048" s="24">
        <v>102.0</v>
      </c>
      <c r="H8048" s="24">
        <v>125.0</v>
      </c>
      <c r="I8048" s="24">
        <v>8501.0</v>
      </c>
      <c r="J8048" s="24">
        <v>0.0</v>
      </c>
      <c r="K8048" s="23" t="s">
        <v>34</v>
      </c>
      <c r="L8048" s="25">
        <v>42912.40194444444</v>
      </c>
      <c r="M8048" s="26" t="s">
        <v>204</v>
      </c>
      <c r="N8048" s="26" t="s">
        <v>17856</v>
      </c>
      <c r="O8048" s="22" t="str">
        <f>HYPERLINK("https://pbs.twimg.com/profile_images/917364606196113409/o0ZNIO9c_normal.jpg","View")</f>
        <v>View</v>
      </c>
      <c r="P8048" s="27"/>
    </row>
    <row r="8049">
      <c r="A8049" s="14">
        <v>43031.72577546297</v>
      </c>
      <c r="B8049" s="20" t="str">
        <f>HYPERLINK("https://twitter.com/BhakarKishn","@BhakarKishn")</f>
        <v>@BhakarKishn</v>
      </c>
      <c r="C8049" s="21" t="s">
        <v>17857</v>
      </c>
      <c r="D8049" s="21" t="s">
        <v>42</v>
      </c>
      <c r="E8049" s="22" t="str">
        <f>HYPERLINK("https://twitter.com/BhakarKishn/status/922619931744657408","922619931744657408")</f>
        <v>922619931744657408</v>
      </c>
      <c r="F8049" s="23" t="s">
        <v>33</v>
      </c>
      <c r="G8049" s="24">
        <v>81.0</v>
      </c>
      <c r="H8049" s="24">
        <v>154.0</v>
      </c>
      <c r="I8049" s="24">
        <v>8501.0</v>
      </c>
      <c r="J8049" s="24">
        <v>0.0</v>
      </c>
      <c r="K8049" s="23" t="s">
        <v>34</v>
      </c>
      <c r="L8049" s="25">
        <v>42587.81180555555</v>
      </c>
      <c r="M8049" s="26" t="s">
        <v>17858</v>
      </c>
      <c r="N8049" s="26" t="s">
        <v>17859</v>
      </c>
      <c r="O8049" s="22" t="str">
        <f>HYPERLINK("https://pbs.twimg.com/profile_images/891314131546107904/3ZMLog2W_normal.jpg","View")</f>
        <v>View</v>
      </c>
      <c r="P8049" s="27"/>
    </row>
    <row r="8050">
      <c r="A8050" s="14">
        <v>43031.72589120371</v>
      </c>
      <c r="B8050" s="20" t="str">
        <f>HYPERLINK("https://twitter.com/3NovicesAfrican","@3NovicesAfrican")</f>
        <v>@3NovicesAfrican</v>
      </c>
      <c r="C8050" s="21" t="s">
        <v>17860</v>
      </c>
      <c r="D8050" s="21" t="s">
        <v>17861</v>
      </c>
      <c r="E8050" s="22" t="str">
        <f>HYPERLINK("https://twitter.com/3NovicesAfrican/status/922619972718858240","922619972718858240")</f>
        <v>922619972718858240</v>
      </c>
      <c r="F8050" s="23" t="s">
        <v>187</v>
      </c>
      <c r="G8050" s="24">
        <v>442.0</v>
      </c>
      <c r="H8050" s="24">
        <v>810.0</v>
      </c>
      <c r="I8050" s="24">
        <v>0.0</v>
      </c>
      <c r="J8050" s="24">
        <v>0.0</v>
      </c>
      <c r="K8050" s="23" t="s">
        <v>34</v>
      </c>
      <c r="L8050" s="25">
        <v>42275.05893518518</v>
      </c>
      <c r="M8050" s="26" t="s">
        <v>4198</v>
      </c>
      <c r="N8050" s="26" t="s">
        <v>17862</v>
      </c>
      <c r="O8050" s="22" t="str">
        <f>HYPERLINK("https://pbs.twimg.com/profile_images/648413346555817984/9nzzRN3s_normal.jpg","View")</f>
        <v>View</v>
      </c>
      <c r="P8050" s="27"/>
    </row>
    <row r="8051">
      <c r="A8051" s="14">
        <v>43031.725902777776</v>
      </c>
      <c r="B8051" s="20" t="str">
        <f>HYPERLINK("https://twitter.com/yukamama","@yukamama")</f>
        <v>@yukamama</v>
      </c>
      <c r="C8051" s="21" t="s">
        <v>17863</v>
      </c>
      <c r="D8051" s="21" t="s">
        <v>17864</v>
      </c>
      <c r="E8051" s="22" t="str">
        <f>HYPERLINK("https://twitter.com/yukamama/status/922619976896393216","922619976896393216")</f>
        <v>922619976896393216</v>
      </c>
      <c r="F8051" s="23" t="s">
        <v>55</v>
      </c>
      <c r="G8051" s="24">
        <v>332.0</v>
      </c>
      <c r="H8051" s="24">
        <v>288.0</v>
      </c>
      <c r="I8051" s="24">
        <v>0.0</v>
      </c>
      <c r="J8051" s="24">
        <v>0.0</v>
      </c>
      <c r="K8051" s="23" t="s">
        <v>34</v>
      </c>
      <c r="L8051" s="25">
        <v>39686.33018518519</v>
      </c>
      <c r="M8051" s="26" t="s">
        <v>17865</v>
      </c>
      <c r="N8051" s="26" t="s">
        <v>17866</v>
      </c>
      <c r="O8051" s="22" t="str">
        <f>HYPERLINK("https://pbs.twimg.com/profile_images/1010897383/603b7aef-3df4-4ece-9187-dba7d942df73_normal.png","View")</f>
        <v>View</v>
      </c>
      <c r="P8051" s="27"/>
    </row>
    <row r="8052">
      <c r="A8052" s="14">
        <v>43031.72605324074</v>
      </c>
      <c r="B8052" s="20" t="str">
        <f>HYPERLINK("https://twitter.com/bllshbrsh","@bllshbrsh")</f>
        <v>@bllshbrsh</v>
      </c>
      <c r="C8052" s="21" t="s">
        <v>138</v>
      </c>
      <c r="D8052" s="21" t="s">
        <v>17867</v>
      </c>
      <c r="E8052" s="22" t="str">
        <f>HYPERLINK("https://twitter.com/bllshbrsh/status/922620029853724672","922620029853724672")</f>
        <v>922620029853724672</v>
      </c>
      <c r="F8052" s="23" t="s">
        <v>140</v>
      </c>
      <c r="G8052" s="24">
        <v>6148.0</v>
      </c>
      <c r="H8052" s="24">
        <v>6416.0</v>
      </c>
      <c r="I8052" s="24">
        <v>0.0</v>
      </c>
      <c r="J8052" s="24">
        <v>0.0</v>
      </c>
      <c r="K8052" s="23" t="s">
        <v>34</v>
      </c>
      <c r="L8052" s="25">
        <v>42682.29137731482</v>
      </c>
      <c r="M8052" s="28"/>
      <c r="N8052" s="28"/>
      <c r="O8052" s="22" t="str">
        <f>HYPERLINK("https://pbs.twimg.com/profile_images/825303907752673284/OSI50AgE_normal.jpg","View")</f>
        <v>View</v>
      </c>
      <c r="P8052" s="27"/>
    </row>
    <row r="8053">
      <c r="A8053" s="14">
        <v>43031.7262962963</v>
      </c>
      <c r="B8053" s="20" t="str">
        <f>HYPERLINK("https://twitter.com/GregoryWagiro","@GregoryWagiro")</f>
        <v>@GregoryWagiro</v>
      </c>
      <c r="C8053" s="21" t="s">
        <v>17868</v>
      </c>
      <c r="D8053" s="21" t="s">
        <v>99</v>
      </c>
      <c r="E8053" s="22" t="str">
        <f>HYPERLINK("https://twitter.com/GregoryWagiro/status/922620119670386688","922620119670386688")</f>
        <v>922620119670386688</v>
      </c>
      <c r="F8053" s="23" t="s">
        <v>33</v>
      </c>
      <c r="G8053" s="24">
        <v>315.0</v>
      </c>
      <c r="H8053" s="24">
        <v>76.0</v>
      </c>
      <c r="I8053" s="24">
        <v>72.0</v>
      </c>
      <c r="J8053" s="24">
        <v>0.0</v>
      </c>
      <c r="K8053" s="23" t="s">
        <v>34</v>
      </c>
      <c r="L8053" s="25">
        <v>40334.39210648148</v>
      </c>
      <c r="M8053" s="26" t="s">
        <v>17232</v>
      </c>
      <c r="N8053" s="26" t="s">
        <v>17869</v>
      </c>
      <c r="O8053" s="22" t="str">
        <f>HYPERLINK("https://pbs.twimg.com/profile_images/610473485266059265/rTcnTX___normal.jpg","View")</f>
        <v>View</v>
      </c>
      <c r="P8053" s="27"/>
    </row>
    <row r="8054">
      <c r="A8054" s="14">
        <v>43031.72650462963</v>
      </c>
      <c r="B8054" s="20" t="str">
        <f>HYPERLINK("https://twitter.com/NagendraThatha","@NagendraThatha")</f>
        <v>@NagendraThatha</v>
      </c>
      <c r="C8054" s="21" t="s">
        <v>17870</v>
      </c>
      <c r="D8054" s="21" t="s">
        <v>42</v>
      </c>
      <c r="E8054" s="22" t="str">
        <f>HYPERLINK("https://twitter.com/NagendraThatha/status/922620192881967104","922620192881967104")</f>
        <v>922620192881967104</v>
      </c>
      <c r="F8054" s="23" t="s">
        <v>39</v>
      </c>
      <c r="G8054" s="24">
        <v>0.0</v>
      </c>
      <c r="H8054" s="24">
        <v>16.0</v>
      </c>
      <c r="I8054" s="24">
        <v>8501.0</v>
      </c>
      <c r="J8054" s="24">
        <v>0.0</v>
      </c>
      <c r="K8054" s="23" t="s">
        <v>34</v>
      </c>
      <c r="L8054" s="25">
        <v>43004.998252314814</v>
      </c>
      <c r="M8054" s="28"/>
      <c r="N8054" s="28"/>
      <c r="O8054" s="22" t="str">
        <f>HYPERLINK("https://abs.twimg.com/sticky/default_profile_images/default_profile_normal.png","View")</f>
        <v>View</v>
      </c>
      <c r="P8054" s="27"/>
    </row>
    <row r="8055">
      <c r="A8055" s="14">
        <v>43031.72716435185</v>
      </c>
      <c r="B8055" s="20" t="str">
        <f>HYPERLINK("https://twitter.com/JSuk","@JSuk")</f>
        <v>@JSuk</v>
      </c>
      <c r="C8055" s="21" t="s">
        <v>17871</v>
      </c>
      <c r="D8055" s="21" t="s">
        <v>67</v>
      </c>
      <c r="E8055" s="22" t="str">
        <f>HYPERLINK("https://twitter.com/JSuk/status/922620435015131142","922620435015131142")</f>
        <v>922620435015131142</v>
      </c>
      <c r="F8055" s="23" t="s">
        <v>39</v>
      </c>
      <c r="G8055" s="24">
        <v>655.0</v>
      </c>
      <c r="H8055" s="24">
        <v>656.0</v>
      </c>
      <c r="I8055" s="24">
        <v>169.0</v>
      </c>
      <c r="J8055" s="24">
        <v>0.0</v>
      </c>
      <c r="K8055" s="23" t="s">
        <v>34</v>
      </c>
      <c r="L8055" s="25">
        <v>39861.71947916667</v>
      </c>
      <c r="M8055" s="26" t="s">
        <v>389</v>
      </c>
      <c r="N8055" s="26" t="s">
        <v>17872</v>
      </c>
      <c r="O8055" s="22" t="str">
        <f>HYPERLINK("https://pbs.twimg.com/profile_images/861645831937564672/6GH29zgj_normal.jpg","View")</f>
        <v>View</v>
      </c>
      <c r="P8055" s="27"/>
    </row>
    <row r="8056">
      <c r="A8056" s="14">
        <v>43031.72717592593</v>
      </c>
      <c r="B8056" s="20" t="str">
        <f>HYPERLINK("https://twitter.com/couriermail","@couriermail")</f>
        <v>@couriermail</v>
      </c>
      <c r="C8056" s="21" t="s">
        <v>17873</v>
      </c>
      <c r="D8056" s="34" t="s">
        <v>17874</v>
      </c>
      <c r="E8056" s="22" t="str">
        <f>HYPERLINK("https://twitter.com/couriermail/status/922620438622167040","922620438622167040")</f>
        <v>922620438622167040</v>
      </c>
      <c r="F8056" s="23" t="s">
        <v>1103</v>
      </c>
      <c r="G8056" s="24">
        <v>142638.0</v>
      </c>
      <c r="H8056" s="24">
        <v>1151.0</v>
      </c>
      <c r="I8056" s="24">
        <v>3.0</v>
      </c>
      <c r="J8056" s="24">
        <v>0.0</v>
      </c>
      <c r="K8056" s="23" t="s">
        <v>34</v>
      </c>
      <c r="L8056" s="25">
        <v>39377.691828703704</v>
      </c>
      <c r="M8056" s="26" t="s">
        <v>17875</v>
      </c>
      <c r="N8056" s="26" t="s">
        <v>17876</v>
      </c>
      <c r="O8056" s="22" t="str">
        <f>HYPERLINK("https://pbs.twimg.com/profile_images/846231081284087808/ZnYm7dwY_normal.jpg","View")</f>
        <v>View</v>
      </c>
      <c r="P8056" s="27"/>
    </row>
    <row r="8057">
      <c r="A8057" s="14">
        <v>43031.72765046296</v>
      </c>
      <c r="B8057" s="20" t="str">
        <f>HYPERLINK("https://twitter.com/OptionsTip","@OptionsTip")</f>
        <v>@OptionsTip</v>
      </c>
      <c r="C8057" s="21" t="s">
        <v>8346</v>
      </c>
      <c r="D8057" s="21" t="s">
        <v>17877</v>
      </c>
      <c r="E8057" s="22" t="str">
        <f>HYPERLINK("https://twitter.com/OptionsTip/status/922620609506545669","922620609506545669")</f>
        <v>922620609506545669</v>
      </c>
      <c r="F8057" s="23" t="s">
        <v>8348</v>
      </c>
      <c r="G8057" s="24">
        <v>679.0</v>
      </c>
      <c r="H8057" s="24">
        <v>956.0</v>
      </c>
      <c r="I8057" s="24">
        <v>0.0</v>
      </c>
      <c r="J8057" s="24">
        <v>0.0</v>
      </c>
      <c r="K8057" s="23" t="s">
        <v>34</v>
      </c>
      <c r="L8057" s="25">
        <v>40034.77528935185</v>
      </c>
      <c r="M8057" s="26" t="s">
        <v>204</v>
      </c>
      <c r="N8057" s="28"/>
      <c r="O8057" s="22" t="str">
        <f>HYPERLINK("https://pbs.twimg.com/profile_images/3698484594/e5ae6371e9d39a2561f3815c47b6b5db_normal.jpeg","View")</f>
        <v>View</v>
      </c>
      <c r="P8057" s="27"/>
    </row>
    <row r="8058">
      <c r="A8058" s="14">
        <v>43031.72783564815</v>
      </c>
      <c r="B8058" s="20" t="str">
        <f>HYPERLINK("https://twitter.com/Vzladream","@Vzladream")</f>
        <v>@Vzladream</v>
      </c>
      <c r="C8058" s="21" t="s">
        <v>17878</v>
      </c>
      <c r="D8058" s="21" t="s">
        <v>17879</v>
      </c>
      <c r="E8058" s="22" t="str">
        <f>HYPERLINK("https://twitter.com/Vzladream/status/922620675197726722","922620675197726722")</f>
        <v>922620675197726722</v>
      </c>
      <c r="F8058" s="23" t="s">
        <v>39</v>
      </c>
      <c r="G8058" s="24">
        <v>2040.0</v>
      </c>
      <c r="H8058" s="24">
        <v>1658.0</v>
      </c>
      <c r="I8058" s="24">
        <v>0.0</v>
      </c>
      <c r="J8058" s="24">
        <v>0.0</v>
      </c>
      <c r="K8058" s="23" t="s">
        <v>34</v>
      </c>
      <c r="L8058" s="25">
        <v>41126.689930555556</v>
      </c>
      <c r="M8058" s="26" t="s">
        <v>905</v>
      </c>
      <c r="N8058" s="26" t="s">
        <v>17880</v>
      </c>
      <c r="O8058" s="22" t="str">
        <f>HYPERLINK("https://pbs.twimg.com/profile_images/809955394877620224/LJBzHbkS_normal.jpg","View")</f>
        <v>View</v>
      </c>
      <c r="P8058" s="27"/>
    </row>
    <row r="8059">
      <c r="A8059" s="14">
        <v>43031.72791666667</v>
      </c>
      <c r="B8059" s="20" t="str">
        <f>HYPERLINK("https://twitter.com/Japan_Guide1","@Japan_Guide1")</f>
        <v>@Japan_Guide1</v>
      </c>
      <c r="C8059" s="21" t="s">
        <v>17765</v>
      </c>
      <c r="D8059" s="21" t="s">
        <v>17881</v>
      </c>
      <c r="E8059" s="22" t="str">
        <f>HYPERLINK("https://twitter.com/Japan_Guide1/status/922620707971874816","922620707971874816")</f>
        <v>922620707971874816</v>
      </c>
      <c r="F8059" s="23" t="s">
        <v>55</v>
      </c>
      <c r="G8059" s="24">
        <v>129.0</v>
      </c>
      <c r="H8059" s="24">
        <v>7.0</v>
      </c>
      <c r="I8059" s="24">
        <v>0.0</v>
      </c>
      <c r="J8059" s="24">
        <v>0.0</v>
      </c>
      <c r="K8059" s="23" t="s">
        <v>34</v>
      </c>
      <c r="L8059" s="25">
        <v>41757.85288194445</v>
      </c>
      <c r="M8059" s="26" t="s">
        <v>271</v>
      </c>
      <c r="N8059" s="26" t="s">
        <v>17767</v>
      </c>
      <c r="O8059" s="22" t="str">
        <f>HYPERLINK("https://pbs.twimg.com/profile_images/461037999447240704/PtnAzrJz_normal.jpeg","View")</f>
        <v>View</v>
      </c>
      <c r="P8059" s="27"/>
    </row>
    <row r="8060">
      <c r="A8060" s="14">
        <v>43031.72792824074</v>
      </c>
      <c r="B8060" s="20" t="str">
        <f>HYPERLINK("https://twitter.com/apkaanand","@apkaanand")</f>
        <v>@apkaanand</v>
      </c>
      <c r="C8060" s="21" t="s">
        <v>17882</v>
      </c>
      <c r="D8060" s="21" t="s">
        <v>42</v>
      </c>
      <c r="E8060" s="22" t="str">
        <f>HYPERLINK("https://twitter.com/apkaanand/status/922620709913821184","922620709913821184")</f>
        <v>922620709913821184</v>
      </c>
      <c r="F8060" s="23" t="s">
        <v>33</v>
      </c>
      <c r="G8060" s="24">
        <v>290.0</v>
      </c>
      <c r="H8060" s="24">
        <v>303.0</v>
      </c>
      <c r="I8060" s="24">
        <v>8501.0</v>
      </c>
      <c r="J8060" s="24">
        <v>0.0</v>
      </c>
      <c r="K8060" s="23" t="s">
        <v>34</v>
      </c>
      <c r="L8060" s="25">
        <v>42758.1658449074</v>
      </c>
      <c r="M8060" s="28"/>
      <c r="N8060" s="26" t="s">
        <v>17883</v>
      </c>
      <c r="O8060" s="22" t="str">
        <f>HYPERLINK("https://pbs.twimg.com/profile_images/871080993888673793/NmSKGct-_normal.jpg","View")</f>
        <v>View</v>
      </c>
      <c r="P8060" s="27"/>
    </row>
    <row r="8061">
      <c r="A8061" s="14">
        <v>43031.72796296296</v>
      </c>
      <c r="B8061" s="20" t="str">
        <f>HYPERLINK("https://twitter.com/Japan_Guide1","@Japan_Guide1")</f>
        <v>@Japan_Guide1</v>
      </c>
      <c r="C8061" s="21" t="s">
        <v>17765</v>
      </c>
      <c r="D8061" s="21" t="s">
        <v>17884</v>
      </c>
      <c r="E8061" s="22" t="str">
        <f>HYPERLINK("https://twitter.com/Japan_Guide1/status/922620723981627392","922620723981627392")</f>
        <v>922620723981627392</v>
      </c>
      <c r="F8061" s="23" t="s">
        <v>1570</v>
      </c>
      <c r="G8061" s="24">
        <v>129.0</v>
      </c>
      <c r="H8061" s="24">
        <v>7.0</v>
      </c>
      <c r="I8061" s="24">
        <v>0.0</v>
      </c>
      <c r="J8061" s="24">
        <v>0.0</v>
      </c>
      <c r="K8061" s="23" t="s">
        <v>34</v>
      </c>
      <c r="L8061" s="25">
        <v>41757.85288194445</v>
      </c>
      <c r="M8061" s="26" t="s">
        <v>271</v>
      </c>
      <c r="N8061" s="26" t="s">
        <v>17767</v>
      </c>
      <c r="O8061" s="22" t="str">
        <f>HYPERLINK("https://pbs.twimg.com/profile_images/461037999447240704/PtnAzrJz_normal.jpeg","View")</f>
        <v>View</v>
      </c>
      <c r="P8061" s="27"/>
    </row>
    <row r="8062">
      <c r="A8062" s="14">
        <v>43031.72833333333</v>
      </c>
      <c r="B8062" s="20" t="str">
        <f>HYPERLINK("https://twitter.com/danceyouin2day","@danceyouin2day")</f>
        <v>@danceyouin2day</v>
      </c>
      <c r="C8062" s="21" t="s">
        <v>17885</v>
      </c>
      <c r="D8062" s="21" t="s">
        <v>67</v>
      </c>
      <c r="E8062" s="22" t="str">
        <f>HYPERLINK("https://twitter.com/danceyouin2day/status/922620855460360192","922620855460360192")</f>
        <v>922620855460360192</v>
      </c>
      <c r="F8062" s="23" t="s">
        <v>55</v>
      </c>
      <c r="G8062" s="24">
        <v>46.0</v>
      </c>
      <c r="H8062" s="24">
        <v>440.0</v>
      </c>
      <c r="I8062" s="24">
        <v>169.0</v>
      </c>
      <c r="J8062" s="24">
        <v>0.0</v>
      </c>
      <c r="K8062" s="23" t="s">
        <v>34</v>
      </c>
      <c r="L8062" s="25">
        <v>41029.8247337963</v>
      </c>
      <c r="M8062" s="28"/>
      <c r="N8062" s="28"/>
      <c r="O8062" s="22" t="str">
        <f>HYPERLINK("https://pbs.twimg.com/profile_images/840028356116586496/LiWZ6VxK_normal.jpg","View")</f>
        <v>View</v>
      </c>
      <c r="P8062" s="27"/>
    </row>
    <row r="8063">
      <c r="A8063" s="14">
        <v>43031.72851851852</v>
      </c>
      <c r="B8063" s="20" t="str">
        <f>HYPERLINK("https://twitter.com/UKguy4justice","@UKguy4justice")</f>
        <v>@UKguy4justice</v>
      </c>
      <c r="C8063" s="21" t="s">
        <v>17886</v>
      </c>
      <c r="D8063" s="21" t="s">
        <v>17887</v>
      </c>
      <c r="E8063" s="22" t="str">
        <f>HYPERLINK("https://twitter.com/UKguy4justice/status/922620926050652161","922620926050652161")</f>
        <v>922620926050652161</v>
      </c>
      <c r="F8063" s="23" t="s">
        <v>39</v>
      </c>
      <c r="G8063" s="24">
        <v>612.0</v>
      </c>
      <c r="H8063" s="24">
        <v>333.0</v>
      </c>
      <c r="I8063" s="24">
        <v>3.0</v>
      </c>
      <c r="J8063" s="24">
        <v>0.0</v>
      </c>
      <c r="K8063" s="23" t="s">
        <v>34</v>
      </c>
      <c r="L8063" s="25">
        <v>40570.62961805556</v>
      </c>
      <c r="M8063" s="28"/>
      <c r="N8063" s="28"/>
      <c r="O8063" s="22" t="str">
        <f>HYPERLINK("https://pbs.twimg.com/profile_images/1267670978/image_normal.jpg","View")</f>
        <v>View</v>
      </c>
      <c r="P8063" s="27"/>
    </row>
    <row r="8064">
      <c r="A8064" s="14">
        <v>43031.72887731482</v>
      </c>
      <c r="B8064" s="20" t="str">
        <f>HYPERLINK("https://twitter.com/AcerPalmatum123","@AcerPalmatum123")</f>
        <v>@AcerPalmatum123</v>
      </c>
      <c r="C8064" s="21" t="s">
        <v>17888</v>
      </c>
      <c r="D8064" s="21" t="s">
        <v>42</v>
      </c>
      <c r="E8064" s="22" t="str">
        <f>HYPERLINK("https://twitter.com/AcerPalmatum123/status/922621054471852033","922621054471852033")</f>
        <v>922621054471852033</v>
      </c>
      <c r="F8064" s="23" t="s">
        <v>33</v>
      </c>
      <c r="G8064" s="24">
        <v>195.0</v>
      </c>
      <c r="H8064" s="24">
        <v>255.0</v>
      </c>
      <c r="I8064" s="24">
        <v>8501.0</v>
      </c>
      <c r="J8064" s="24">
        <v>0.0</v>
      </c>
      <c r="K8064" s="23" t="s">
        <v>34</v>
      </c>
      <c r="L8064" s="25">
        <v>42958.00975694445</v>
      </c>
      <c r="M8064" s="28"/>
      <c r="N8064" s="28"/>
      <c r="O8064" s="22" t="str">
        <f>HYPERLINK("https://pbs.twimg.com/profile_images/921337199831924736/42udVsPK_normal.jpg","View")</f>
        <v>View</v>
      </c>
      <c r="P8064" s="27"/>
    </row>
    <row r="8065">
      <c r="A8065" s="14">
        <v>43031.728900462964</v>
      </c>
      <c r="B8065" s="20" t="str">
        <f t="shared" ref="B8065:B8067" si="143">HYPERLINK("https://twitter.com/Japan_Guide1","@Japan_Guide1")</f>
        <v>@Japan_Guide1</v>
      </c>
      <c r="C8065" s="21" t="s">
        <v>17765</v>
      </c>
      <c r="D8065" s="21" t="s">
        <v>17889</v>
      </c>
      <c r="E8065" s="22" t="str">
        <f>HYPERLINK("https://twitter.com/Japan_Guide1/status/922621063682408449","922621063682408449")</f>
        <v>922621063682408449</v>
      </c>
      <c r="F8065" s="23" t="s">
        <v>55</v>
      </c>
      <c r="G8065" s="24">
        <v>129.0</v>
      </c>
      <c r="H8065" s="24">
        <v>7.0</v>
      </c>
      <c r="I8065" s="24">
        <v>0.0</v>
      </c>
      <c r="J8065" s="24">
        <v>0.0</v>
      </c>
      <c r="K8065" s="23" t="s">
        <v>34</v>
      </c>
      <c r="L8065" s="25">
        <v>41757.85288194445</v>
      </c>
      <c r="M8065" s="26" t="s">
        <v>271</v>
      </c>
      <c r="N8065" s="26" t="s">
        <v>17767</v>
      </c>
      <c r="O8065" s="22" t="str">
        <f t="shared" ref="O8065:O8067" si="144">HYPERLINK("https://pbs.twimg.com/profile_images/461037999447240704/PtnAzrJz_normal.jpeg","View")</f>
        <v>View</v>
      </c>
      <c r="P8065" s="27"/>
    </row>
    <row r="8066">
      <c r="A8066" s="14">
        <v>43031.72913194445</v>
      </c>
      <c r="B8066" s="20" t="str">
        <f t="shared" si="143"/>
        <v>@Japan_Guide1</v>
      </c>
      <c r="C8066" s="21" t="s">
        <v>17765</v>
      </c>
      <c r="D8066" s="21" t="s">
        <v>17890</v>
      </c>
      <c r="E8066" s="22" t="str">
        <f>HYPERLINK("https://twitter.com/Japan_Guide1/status/922621148302635009","922621148302635009")</f>
        <v>922621148302635009</v>
      </c>
      <c r="F8066" s="23" t="s">
        <v>1570</v>
      </c>
      <c r="G8066" s="24">
        <v>129.0</v>
      </c>
      <c r="H8066" s="24">
        <v>7.0</v>
      </c>
      <c r="I8066" s="24">
        <v>0.0</v>
      </c>
      <c r="J8066" s="24">
        <v>0.0</v>
      </c>
      <c r="K8066" s="23" t="s">
        <v>34</v>
      </c>
      <c r="L8066" s="25">
        <v>41757.85288194445</v>
      </c>
      <c r="M8066" s="26" t="s">
        <v>271</v>
      </c>
      <c r="N8066" s="26" t="s">
        <v>17767</v>
      </c>
      <c r="O8066" s="22" t="str">
        <f t="shared" si="144"/>
        <v>View</v>
      </c>
      <c r="P8066" s="27"/>
    </row>
    <row r="8067">
      <c r="A8067" s="14">
        <v>43031.72920138889</v>
      </c>
      <c r="B8067" s="20" t="str">
        <f t="shared" si="143"/>
        <v>@Japan_Guide1</v>
      </c>
      <c r="C8067" s="21" t="s">
        <v>17765</v>
      </c>
      <c r="D8067" s="21" t="s">
        <v>17891</v>
      </c>
      <c r="E8067" s="22" t="str">
        <f>HYPERLINK("https://twitter.com/Japan_Guide1/status/922621169940832256","922621169940832256")</f>
        <v>922621169940832256</v>
      </c>
      <c r="F8067" s="23" t="s">
        <v>55</v>
      </c>
      <c r="G8067" s="24">
        <v>129.0</v>
      </c>
      <c r="H8067" s="24">
        <v>7.0</v>
      </c>
      <c r="I8067" s="24">
        <v>0.0</v>
      </c>
      <c r="J8067" s="24">
        <v>0.0</v>
      </c>
      <c r="K8067" s="23" t="s">
        <v>34</v>
      </c>
      <c r="L8067" s="25">
        <v>41757.85288194445</v>
      </c>
      <c r="M8067" s="26" t="s">
        <v>271</v>
      </c>
      <c r="N8067" s="26" t="s">
        <v>17767</v>
      </c>
      <c r="O8067" s="22" t="str">
        <f t="shared" si="144"/>
        <v>View</v>
      </c>
      <c r="P8067" s="27"/>
    </row>
    <row r="8068">
      <c r="A8068" s="14">
        <v>43031.72923611111</v>
      </c>
      <c r="B8068" s="20" t="str">
        <f>HYPERLINK("https://twitter.com/nautankiking","@nautankiking")</f>
        <v>@nautankiking</v>
      </c>
      <c r="C8068" s="21" t="s">
        <v>17892</v>
      </c>
      <c r="D8068" s="21" t="s">
        <v>42</v>
      </c>
      <c r="E8068" s="22" t="str">
        <f>HYPERLINK("https://twitter.com/nautankiking/status/922621183987556352","922621183987556352")</f>
        <v>922621183987556352</v>
      </c>
      <c r="F8068" s="23" t="s">
        <v>55</v>
      </c>
      <c r="G8068" s="24">
        <v>33.0</v>
      </c>
      <c r="H8068" s="24">
        <v>92.0</v>
      </c>
      <c r="I8068" s="24">
        <v>8501.0</v>
      </c>
      <c r="J8068" s="24">
        <v>0.0</v>
      </c>
      <c r="K8068" s="23" t="s">
        <v>34</v>
      </c>
      <c r="L8068" s="25">
        <v>41729.3221412037</v>
      </c>
      <c r="M8068" s="28"/>
      <c r="N8068" s="28"/>
      <c r="O8068" s="22" t="str">
        <f>HYPERLINK("https://pbs.twimg.com/profile_images/710857554104942592/uGocaXNM_normal.jpg","View")</f>
        <v>View</v>
      </c>
      <c r="P8068" s="27"/>
    </row>
    <row r="8069">
      <c r="A8069" s="14">
        <v>43031.72930555556</v>
      </c>
      <c r="B8069" s="20" t="str">
        <f>HYPERLINK("https://twitter.com/airair_head","@airair_head")</f>
        <v>@airair_head</v>
      </c>
      <c r="C8069" s="21" t="s">
        <v>17893</v>
      </c>
      <c r="D8069" s="21" t="s">
        <v>1642</v>
      </c>
      <c r="E8069" s="22" t="str">
        <f>HYPERLINK("https://twitter.com/airair_head/status/922621209724014593","922621209724014593")</f>
        <v>922621209724014593</v>
      </c>
      <c r="F8069" s="23" t="s">
        <v>55</v>
      </c>
      <c r="G8069" s="24">
        <v>84.0</v>
      </c>
      <c r="H8069" s="24">
        <v>316.0</v>
      </c>
      <c r="I8069" s="24">
        <v>199.0</v>
      </c>
      <c r="J8069" s="24">
        <v>0.0</v>
      </c>
      <c r="K8069" s="23" t="s">
        <v>34</v>
      </c>
      <c r="L8069" s="25">
        <v>42958.633738425924</v>
      </c>
      <c r="M8069" s="26" t="s">
        <v>17894</v>
      </c>
      <c r="N8069" s="26" t="s">
        <v>17895</v>
      </c>
      <c r="O8069" s="22" t="str">
        <f>HYPERLINK("https://pbs.twimg.com/profile_images/921754738898518016/avem1HZ0_normal.jpg","View")</f>
        <v>View</v>
      </c>
      <c r="P8069" s="27"/>
    </row>
    <row r="8070">
      <c r="A8070" s="14">
        <v>43031.72930555556</v>
      </c>
      <c r="B8070" s="20" t="str">
        <f>HYPERLINK("https://twitter.com/Tedshittypants","@Tedshittypants")</f>
        <v>@Tedshittypants</v>
      </c>
      <c r="C8070" s="21" t="s">
        <v>17896</v>
      </c>
      <c r="D8070" s="21" t="s">
        <v>17897</v>
      </c>
      <c r="E8070" s="22" t="str">
        <f>HYPERLINK("https://twitter.com/Tedshittypants/status/922621209799479296","922621209799479296")</f>
        <v>922621209799479296</v>
      </c>
      <c r="F8070" s="23" t="s">
        <v>55</v>
      </c>
      <c r="G8070" s="24">
        <v>4843.0</v>
      </c>
      <c r="H8070" s="24">
        <v>4963.0</v>
      </c>
      <c r="I8070" s="24">
        <v>0.0</v>
      </c>
      <c r="J8070" s="24">
        <v>0.0</v>
      </c>
      <c r="K8070" s="23" t="s">
        <v>34</v>
      </c>
      <c r="L8070" s="25">
        <v>42422.12023148148</v>
      </c>
      <c r="M8070" s="28"/>
      <c r="N8070" s="26" t="s">
        <v>17898</v>
      </c>
      <c r="O8070" s="22" t="str">
        <f>HYPERLINK("https://pbs.twimg.com/profile_images/701724902156595201/AcUHavoF_normal.jpg","View")</f>
        <v>View</v>
      </c>
      <c r="P8070" s="27"/>
    </row>
    <row r="8071">
      <c r="A8071" s="14">
        <v>43031.72938657408</v>
      </c>
      <c r="B8071" s="20" t="str">
        <f>HYPERLINK("https://twitter.com/mickietcwong","@mickietcwong")</f>
        <v>@mickietcwong</v>
      </c>
      <c r="C8071" s="21" t="s">
        <v>17899</v>
      </c>
      <c r="D8071" s="21" t="s">
        <v>12974</v>
      </c>
      <c r="E8071" s="22" t="str">
        <f>HYPERLINK("https://twitter.com/mickietcwong/status/922621238698065922","922621238698065922")</f>
        <v>922621238698065922</v>
      </c>
      <c r="F8071" s="23" t="s">
        <v>39</v>
      </c>
      <c r="G8071" s="24">
        <v>335.0</v>
      </c>
      <c r="H8071" s="24">
        <v>851.0</v>
      </c>
      <c r="I8071" s="24">
        <v>110.0</v>
      </c>
      <c r="J8071" s="24">
        <v>0.0</v>
      </c>
      <c r="K8071" s="23" t="s">
        <v>34</v>
      </c>
      <c r="L8071" s="25">
        <v>40883.04043981482</v>
      </c>
      <c r="M8071" s="26" t="s">
        <v>2185</v>
      </c>
      <c r="N8071" s="26" t="s">
        <v>17900</v>
      </c>
      <c r="O8071" s="22" t="str">
        <f>HYPERLINK("https://pbs.twimg.com/profile_images/716479995594416128/dXUigXCk_normal.jpg","View")</f>
        <v>View</v>
      </c>
      <c r="P8071" s="27"/>
    </row>
    <row r="8072">
      <c r="A8072" s="14">
        <v>43031.729571759264</v>
      </c>
      <c r="B8072" s="20" t="str">
        <f>HYPERLINK("https://twitter.com/my19670824","@my19670824")</f>
        <v>@my19670824</v>
      </c>
      <c r="C8072" s="21" t="s">
        <v>17901</v>
      </c>
      <c r="D8072" s="21" t="s">
        <v>1474</v>
      </c>
      <c r="E8072" s="22" t="str">
        <f>HYPERLINK("https://twitter.com/my19670824/status/922621305085743104","922621305085743104")</f>
        <v>922621305085743104</v>
      </c>
      <c r="F8072" s="23" t="s">
        <v>33</v>
      </c>
      <c r="G8072" s="24">
        <v>959.0</v>
      </c>
      <c r="H8072" s="24">
        <v>576.0</v>
      </c>
      <c r="I8072" s="24">
        <v>29.0</v>
      </c>
      <c r="J8072" s="24">
        <v>0.0</v>
      </c>
      <c r="K8072" s="23" t="s">
        <v>34</v>
      </c>
      <c r="L8072" s="25">
        <v>41953.11797453703</v>
      </c>
      <c r="M8072" s="28"/>
      <c r="N8072" s="26" t="s">
        <v>17902</v>
      </c>
      <c r="O8072" s="22" t="str">
        <f>HYPERLINK("https://pbs.twimg.com/profile_images/922827591592972288/Ure0q85N_normal.jpg","View")</f>
        <v>View</v>
      </c>
      <c r="P8072" s="27"/>
    </row>
    <row r="8073">
      <c r="A8073" s="14">
        <v>43031.729629629626</v>
      </c>
      <c r="B8073" s="20" t="str">
        <f>HYPERLINK("https://twitter.com/mybodyGG","@mybodyGG")</f>
        <v>@mybodyGG</v>
      </c>
      <c r="C8073" s="21" t="s">
        <v>17903</v>
      </c>
      <c r="D8073" s="21" t="s">
        <v>17904</v>
      </c>
      <c r="E8073" s="22" t="str">
        <f>HYPERLINK("https://twitter.com/mybodyGG/status/922621327499870208","922621327499870208")</f>
        <v>922621327499870208</v>
      </c>
      <c r="F8073" s="23" t="s">
        <v>55</v>
      </c>
      <c r="G8073" s="24">
        <v>2690.0</v>
      </c>
      <c r="H8073" s="24">
        <v>2950.0</v>
      </c>
      <c r="I8073" s="24">
        <v>18.0</v>
      </c>
      <c r="J8073" s="24">
        <v>35.0</v>
      </c>
      <c r="K8073" s="23" t="s">
        <v>34</v>
      </c>
      <c r="L8073" s="25">
        <v>41945.91949074074</v>
      </c>
      <c r="M8073" s="26" t="s">
        <v>17905</v>
      </c>
      <c r="N8073" s="26" t="s">
        <v>17906</v>
      </c>
      <c r="O8073" s="22" t="str">
        <f>HYPERLINK("https://pbs.twimg.com/profile_images/880874847026397184/yZY4QmDu_normal.jpg","View")</f>
        <v>View</v>
      </c>
      <c r="P8073" s="27"/>
    </row>
    <row r="8074">
      <c r="A8074" s="14">
        <v>43031.72971064815</v>
      </c>
      <c r="B8074" s="20" t="str">
        <f t="shared" ref="B8074:B8075" si="145">HYPERLINK("https://twitter.com/Japan_Guide1","@Japan_Guide1")</f>
        <v>@Japan_Guide1</v>
      </c>
      <c r="C8074" s="21" t="s">
        <v>17765</v>
      </c>
      <c r="D8074" s="21" t="s">
        <v>17907</v>
      </c>
      <c r="E8074" s="22" t="str">
        <f>HYPERLINK("https://twitter.com/Japan_Guide1/status/922621357833277441","922621357833277441")</f>
        <v>922621357833277441</v>
      </c>
      <c r="F8074" s="23" t="s">
        <v>1570</v>
      </c>
      <c r="G8074" s="24">
        <v>129.0</v>
      </c>
      <c r="H8074" s="24">
        <v>7.0</v>
      </c>
      <c r="I8074" s="24">
        <v>0.0</v>
      </c>
      <c r="J8074" s="24">
        <v>0.0</v>
      </c>
      <c r="K8074" s="23" t="s">
        <v>34</v>
      </c>
      <c r="L8074" s="25">
        <v>41757.85288194445</v>
      </c>
      <c r="M8074" s="26" t="s">
        <v>271</v>
      </c>
      <c r="N8074" s="26" t="s">
        <v>17767</v>
      </c>
      <c r="O8074" s="22" t="str">
        <f t="shared" ref="O8074:O8075" si="146">HYPERLINK("https://pbs.twimg.com/profile_images/461037999447240704/PtnAzrJz_normal.jpeg","View")</f>
        <v>View</v>
      </c>
      <c r="P8074" s="27"/>
    </row>
    <row r="8075">
      <c r="A8075" s="14">
        <v>43031.729733796295</v>
      </c>
      <c r="B8075" s="20" t="str">
        <f t="shared" si="145"/>
        <v>@Japan_Guide1</v>
      </c>
      <c r="C8075" s="21" t="s">
        <v>17765</v>
      </c>
      <c r="D8075" s="21" t="s">
        <v>17908</v>
      </c>
      <c r="E8075" s="22" t="str">
        <f>HYPERLINK("https://twitter.com/Japan_Guide1/status/922621364758040581","922621364758040581")</f>
        <v>922621364758040581</v>
      </c>
      <c r="F8075" s="23" t="s">
        <v>55</v>
      </c>
      <c r="G8075" s="24">
        <v>129.0</v>
      </c>
      <c r="H8075" s="24">
        <v>7.0</v>
      </c>
      <c r="I8075" s="24">
        <v>0.0</v>
      </c>
      <c r="J8075" s="24">
        <v>0.0</v>
      </c>
      <c r="K8075" s="23" t="s">
        <v>34</v>
      </c>
      <c r="L8075" s="25">
        <v>41757.85288194445</v>
      </c>
      <c r="M8075" s="26" t="s">
        <v>271</v>
      </c>
      <c r="N8075" s="26" t="s">
        <v>17767</v>
      </c>
      <c r="O8075" s="22" t="str">
        <f t="shared" si="146"/>
        <v>View</v>
      </c>
      <c r="P8075" s="27"/>
    </row>
    <row r="8076">
      <c r="A8076" s="14">
        <v>43031.72975694445</v>
      </c>
      <c r="B8076" s="20" t="str">
        <f>HYPERLINK("https://twitter.com/IAS_Gurukul","@IAS_Gurukul")</f>
        <v>@IAS_Gurukul</v>
      </c>
      <c r="C8076" s="21" t="s">
        <v>11574</v>
      </c>
      <c r="D8076" s="21" t="s">
        <v>17909</v>
      </c>
      <c r="E8076" s="22" t="str">
        <f>HYPERLINK("https://twitter.com/IAS_Gurukul/status/922621374790881280","922621374790881280")</f>
        <v>922621374790881280</v>
      </c>
      <c r="F8076" s="23" t="s">
        <v>187</v>
      </c>
      <c r="G8076" s="24">
        <v>160.0</v>
      </c>
      <c r="H8076" s="24">
        <v>70.0</v>
      </c>
      <c r="I8076" s="24">
        <v>0.0</v>
      </c>
      <c r="J8076" s="24">
        <v>0.0</v>
      </c>
      <c r="K8076" s="23" t="s">
        <v>34</v>
      </c>
      <c r="L8076" s="25">
        <v>42635.83704861111</v>
      </c>
      <c r="M8076" s="26" t="s">
        <v>575</v>
      </c>
      <c r="N8076" s="26" t="s">
        <v>11576</v>
      </c>
      <c r="O8076" s="22" t="str">
        <f>HYPERLINK("https://pbs.twimg.com/profile_images/898138063557214209/uxDcvkn3_normal.jpg","View")</f>
        <v>View</v>
      </c>
      <c r="P8076" s="27"/>
    </row>
    <row r="8077">
      <c r="A8077" s="14">
        <v>43031.72981481481</v>
      </c>
      <c r="B8077" s="20" t="str">
        <f>HYPERLINK("https://twitter.com/falcopretty","@falcopretty")</f>
        <v>@falcopretty</v>
      </c>
      <c r="C8077" s="21" t="s">
        <v>17910</v>
      </c>
      <c r="D8077" s="21" t="s">
        <v>9888</v>
      </c>
      <c r="E8077" s="22" t="str">
        <f>HYPERLINK("https://twitter.com/falcopretty/status/922621395770544128","922621395770544128")</f>
        <v>922621395770544128</v>
      </c>
      <c r="F8077" s="23" t="s">
        <v>33</v>
      </c>
      <c r="G8077" s="24">
        <v>117.0</v>
      </c>
      <c r="H8077" s="24">
        <v>464.0</v>
      </c>
      <c r="I8077" s="24">
        <v>13.0</v>
      </c>
      <c r="J8077" s="24">
        <v>0.0</v>
      </c>
      <c r="K8077" s="23" t="s">
        <v>34</v>
      </c>
      <c r="L8077" s="25">
        <v>42706.402094907404</v>
      </c>
      <c r="M8077" s="26" t="s">
        <v>17911</v>
      </c>
      <c r="N8077" s="26" t="s">
        <v>17912</v>
      </c>
      <c r="O8077" s="22" t="str">
        <f>HYPERLINK("https://pbs.twimg.com/profile_images/862319506017837057/PStceXf3_normal.jpg","View")</f>
        <v>View</v>
      </c>
      <c r="P8077" s="27"/>
    </row>
    <row r="8078">
      <c r="A8078" s="14">
        <v>43031.73033564815</v>
      </c>
      <c r="B8078" s="20" t="str">
        <f>HYPERLINK("https://twitter.com/EssentiallyLtd","@EssentiallyLtd")</f>
        <v>@EssentiallyLtd</v>
      </c>
      <c r="C8078" s="21" t="s">
        <v>15042</v>
      </c>
      <c r="D8078" s="21" t="s">
        <v>17913</v>
      </c>
      <c r="E8078" s="22" t="str">
        <f>HYPERLINK("https://twitter.com/EssentiallyLtd/status/922621581100306433","922621581100306433")</f>
        <v>922621581100306433</v>
      </c>
      <c r="F8078" s="23" t="s">
        <v>427</v>
      </c>
      <c r="G8078" s="24">
        <v>742.0</v>
      </c>
      <c r="H8078" s="24">
        <v>723.0</v>
      </c>
      <c r="I8078" s="24">
        <v>0.0</v>
      </c>
      <c r="J8078" s="24">
        <v>0.0</v>
      </c>
      <c r="K8078" s="23" t="s">
        <v>34</v>
      </c>
      <c r="L8078" s="25">
        <v>41386.400671296295</v>
      </c>
      <c r="M8078" s="26" t="s">
        <v>15044</v>
      </c>
      <c r="N8078" s="26" t="s">
        <v>15045</v>
      </c>
      <c r="O8078" s="22" t="str">
        <f>HYPERLINK("https://pbs.twimg.com/profile_images/702416092371795968/da0lKxnO_normal.jpg","View")</f>
        <v>View</v>
      </c>
      <c r="P8078" s="27"/>
    </row>
    <row r="8079">
      <c r="A8079" s="14">
        <v>43031.73059027777</v>
      </c>
      <c r="B8079" s="20" t="str">
        <f>HYPERLINK("https://twitter.com/Japan_Guide1","@Japan_Guide1")</f>
        <v>@Japan_Guide1</v>
      </c>
      <c r="C8079" s="21" t="s">
        <v>17765</v>
      </c>
      <c r="D8079" s="21" t="s">
        <v>17914</v>
      </c>
      <c r="E8079" s="22" t="str">
        <f>HYPERLINK("https://twitter.com/Japan_Guide1/status/922621676243660800","922621676243660800")</f>
        <v>922621676243660800</v>
      </c>
      <c r="F8079" s="23" t="s">
        <v>55</v>
      </c>
      <c r="G8079" s="24">
        <v>129.0</v>
      </c>
      <c r="H8079" s="24">
        <v>7.0</v>
      </c>
      <c r="I8079" s="24">
        <v>0.0</v>
      </c>
      <c r="J8079" s="24">
        <v>0.0</v>
      </c>
      <c r="K8079" s="23" t="s">
        <v>34</v>
      </c>
      <c r="L8079" s="25">
        <v>41757.85288194445</v>
      </c>
      <c r="M8079" s="26" t="s">
        <v>271</v>
      </c>
      <c r="N8079" s="26" t="s">
        <v>17767</v>
      </c>
      <c r="O8079" s="22" t="str">
        <f>HYPERLINK("https://pbs.twimg.com/profile_images/461037999447240704/PtnAzrJz_normal.jpeg","View")</f>
        <v>View</v>
      </c>
      <c r="P8079" s="27"/>
    </row>
    <row r="8080">
      <c r="A8080" s="14">
        <v>43031.730671296296</v>
      </c>
      <c r="B8080" s="20" t="str">
        <f>HYPERLINK("https://twitter.com/RTGWorld","@RTGWorld")</f>
        <v>@RTGWorld</v>
      </c>
      <c r="C8080" s="21" t="s">
        <v>6267</v>
      </c>
      <c r="D8080" s="21" t="s">
        <v>6268</v>
      </c>
      <c r="E8080" s="22" t="str">
        <f>HYPERLINK("https://twitter.com/RTGWorld/status/922621705792774145","922621705792774145")</f>
        <v>922621705792774145</v>
      </c>
      <c r="F8080" s="23" t="s">
        <v>187</v>
      </c>
      <c r="G8080" s="24">
        <v>350.0</v>
      </c>
      <c r="H8080" s="24">
        <v>5.0</v>
      </c>
      <c r="I8080" s="24">
        <v>0.0</v>
      </c>
      <c r="J8080" s="24">
        <v>0.0</v>
      </c>
      <c r="K8080" s="23" t="s">
        <v>34</v>
      </c>
      <c r="L8080" s="25">
        <v>42111.125497685185</v>
      </c>
      <c r="M8080" s="28"/>
      <c r="N8080" s="28"/>
      <c r="O8080" s="22" t="str">
        <f>HYPERLINK("https://pbs.twimg.com/profile_images/621177630109249536/Dn9SiFvI_normal.png","View")</f>
        <v>View</v>
      </c>
      <c r="P8080" s="27"/>
    </row>
    <row r="8081">
      <c r="A8081" s="14">
        <v>43031.73074074074</v>
      </c>
      <c r="B8081" s="20" t="str">
        <f>HYPERLINK("https://twitter.com/Japan_Guide1","@Japan_Guide1")</f>
        <v>@Japan_Guide1</v>
      </c>
      <c r="C8081" s="21" t="s">
        <v>17765</v>
      </c>
      <c r="D8081" s="21" t="s">
        <v>17915</v>
      </c>
      <c r="E8081" s="22" t="str">
        <f>HYPERLINK("https://twitter.com/Japan_Guide1/status/922621731218644992","922621731218644992")</f>
        <v>922621731218644992</v>
      </c>
      <c r="F8081" s="23" t="s">
        <v>1570</v>
      </c>
      <c r="G8081" s="24">
        <v>129.0</v>
      </c>
      <c r="H8081" s="24">
        <v>7.0</v>
      </c>
      <c r="I8081" s="24">
        <v>0.0</v>
      </c>
      <c r="J8081" s="24">
        <v>0.0</v>
      </c>
      <c r="K8081" s="23" t="s">
        <v>34</v>
      </c>
      <c r="L8081" s="25">
        <v>41757.85288194445</v>
      </c>
      <c r="M8081" s="26" t="s">
        <v>271</v>
      </c>
      <c r="N8081" s="26" t="s">
        <v>17767</v>
      </c>
      <c r="O8081" s="22" t="str">
        <f>HYPERLINK("https://pbs.twimg.com/profile_images/461037999447240704/PtnAzrJz_normal.jpeg","View")</f>
        <v>View</v>
      </c>
      <c r="P8081" s="27"/>
    </row>
    <row r="8082">
      <c r="A8082" s="14">
        <v>43031.73097222223</v>
      </c>
      <c r="B8082" s="20" t="str">
        <f>HYPERLINK("https://twitter.com/friendmoscow","@friendmoscow")</f>
        <v>@friendmoscow</v>
      </c>
      <c r="C8082" s="21" t="s">
        <v>17916</v>
      </c>
      <c r="D8082" s="21" t="s">
        <v>13295</v>
      </c>
      <c r="E8082" s="22" t="str">
        <f>HYPERLINK("https://twitter.com/friendmoscow/status/922621812634034176","922621812634034176")</f>
        <v>922621812634034176</v>
      </c>
      <c r="F8082" s="23" t="s">
        <v>55</v>
      </c>
      <c r="G8082" s="24">
        <v>3238.0</v>
      </c>
      <c r="H8082" s="24">
        <v>6.0</v>
      </c>
      <c r="I8082" s="24">
        <v>19.0</v>
      </c>
      <c r="J8082" s="24">
        <v>0.0</v>
      </c>
      <c r="K8082" s="23" t="s">
        <v>34</v>
      </c>
      <c r="L8082" s="25">
        <v>40488.26332175926</v>
      </c>
      <c r="M8082" s="26" t="s">
        <v>6293</v>
      </c>
      <c r="N8082" s="28"/>
      <c r="O8082" s="22" t="str">
        <f>HYPERLINK("https://pbs.twimg.com/profile_images/859951345826013184/qu_1UYfi_normal.jpg","View")</f>
        <v>View</v>
      </c>
      <c r="P8082" s="27"/>
    </row>
    <row r="8083">
      <c r="A8083" s="14">
        <v>43031.73103009259</v>
      </c>
      <c r="B8083" s="20" t="str">
        <f>HYPERLINK("https://twitter.com/YasufumiSaito","@YasufumiSaito")</f>
        <v>@YasufumiSaito</v>
      </c>
      <c r="C8083" s="21" t="s">
        <v>17917</v>
      </c>
      <c r="D8083" s="21" t="s">
        <v>11747</v>
      </c>
      <c r="E8083" s="22" t="str">
        <f>HYPERLINK("https://twitter.com/YasufumiSaito/status/922621833266057217","922621833266057217")</f>
        <v>922621833266057217</v>
      </c>
      <c r="F8083" s="23" t="s">
        <v>39</v>
      </c>
      <c r="G8083" s="24">
        <v>258.0</v>
      </c>
      <c r="H8083" s="24">
        <v>360.0</v>
      </c>
      <c r="I8083" s="24">
        <v>6.0</v>
      </c>
      <c r="J8083" s="24">
        <v>0.0</v>
      </c>
      <c r="K8083" s="23" t="s">
        <v>34</v>
      </c>
      <c r="L8083" s="25">
        <v>40238.87462962963</v>
      </c>
      <c r="M8083" s="26" t="s">
        <v>2185</v>
      </c>
      <c r="N8083" s="26" t="s">
        <v>17918</v>
      </c>
      <c r="O8083" s="22" t="str">
        <f>HYPERLINK("https://pbs.twimg.com/profile_images/571841273372229632/dgrLzO-m_normal.jpeg","View")</f>
        <v>View</v>
      </c>
      <c r="P8083" s="27"/>
    </row>
    <row r="8084">
      <c r="A8084" s="14">
        <v>43031.731192129635</v>
      </c>
      <c r="B8084" s="20" t="str">
        <f>HYPERLINK("https://twitter.com/Kishan92159340","@Kishan92159340")</f>
        <v>@Kishan92159340</v>
      </c>
      <c r="C8084" s="21" t="s">
        <v>17919</v>
      </c>
      <c r="D8084" s="21" t="s">
        <v>42</v>
      </c>
      <c r="E8084" s="22" t="str">
        <f>HYPERLINK("https://twitter.com/Kishan92159340/status/922621893747838976","922621893747838976")</f>
        <v>922621893747838976</v>
      </c>
      <c r="F8084" s="23" t="s">
        <v>33</v>
      </c>
      <c r="G8084" s="24">
        <v>10.0</v>
      </c>
      <c r="H8084" s="24">
        <v>167.0</v>
      </c>
      <c r="I8084" s="24">
        <v>8501.0</v>
      </c>
      <c r="J8084" s="24">
        <v>0.0</v>
      </c>
      <c r="K8084" s="23" t="s">
        <v>34</v>
      </c>
      <c r="L8084" s="25">
        <v>42965.36376157407</v>
      </c>
      <c r="M8084" s="26" t="s">
        <v>17920</v>
      </c>
      <c r="N8084" s="26" t="s">
        <v>17921</v>
      </c>
      <c r="O8084" s="22" t="str">
        <f>HYPERLINK("https://pbs.twimg.com/profile_images/912309330417827840/jU70lRy__normal.jpg","View")</f>
        <v>View</v>
      </c>
      <c r="P8084" s="27"/>
    </row>
    <row r="8085">
      <c r="A8085" s="14">
        <v>43031.73199074074</v>
      </c>
      <c r="B8085" s="20" t="str">
        <f>HYPERLINK("https://twitter.com/smith_peter11","@smith_peter11")</f>
        <v>@smith_peter11</v>
      </c>
      <c r="C8085" s="21" t="s">
        <v>17922</v>
      </c>
      <c r="D8085" s="21" t="s">
        <v>16784</v>
      </c>
      <c r="E8085" s="22" t="str">
        <f>HYPERLINK("https://twitter.com/smith_peter11/status/922622181699477510","922622181699477510")</f>
        <v>922622181699477510</v>
      </c>
      <c r="F8085" s="23" t="s">
        <v>55</v>
      </c>
      <c r="G8085" s="24">
        <v>2043.0</v>
      </c>
      <c r="H8085" s="24">
        <v>393.0</v>
      </c>
      <c r="I8085" s="24">
        <v>17.0</v>
      </c>
      <c r="J8085" s="24">
        <v>0.0</v>
      </c>
      <c r="K8085" s="23" t="s">
        <v>34</v>
      </c>
      <c r="L8085" s="25">
        <v>42442.822175925925</v>
      </c>
      <c r="M8085" s="26" t="s">
        <v>4239</v>
      </c>
      <c r="N8085" s="26" t="s">
        <v>17923</v>
      </c>
      <c r="O8085" s="22" t="str">
        <f>HYPERLINK("https://pbs.twimg.com/profile_images/721074282650972164/9b5ZxNdq_normal.jpg","View")</f>
        <v>View</v>
      </c>
      <c r="P8085" s="27"/>
    </row>
    <row r="8086">
      <c r="A8086" s="14">
        <v>43031.73204861111</v>
      </c>
      <c r="B8086" s="20" t="str">
        <f>HYPERLINK("https://twitter.com/Japan_Guide1","@Japan_Guide1")</f>
        <v>@Japan_Guide1</v>
      </c>
      <c r="C8086" s="21" t="s">
        <v>17765</v>
      </c>
      <c r="D8086" s="21" t="s">
        <v>17924</v>
      </c>
      <c r="E8086" s="22" t="str">
        <f>HYPERLINK("https://twitter.com/Japan_Guide1/status/922622205086666752","922622205086666752")</f>
        <v>922622205086666752</v>
      </c>
      <c r="F8086" s="23" t="s">
        <v>55</v>
      </c>
      <c r="G8086" s="24">
        <v>129.0</v>
      </c>
      <c r="H8086" s="24">
        <v>7.0</v>
      </c>
      <c r="I8086" s="24">
        <v>0.0</v>
      </c>
      <c r="J8086" s="24">
        <v>0.0</v>
      </c>
      <c r="K8086" s="23" t="s">
        <v>34</v>
      </c>
      <c r="L8086" s="25">
        <v>41757.85288194445</v>
      </c>
      <c r="M8086" s="26" t="s">
        <v>271</v>
      </c>
      <c r="N8086" s="26" t="s">
        <v>17767</v>
      </c>
      <c r="O8086" s="22" t="str">
        <f>HYPERLINK("https://pbs.twimg.com/profile_images/461037999447240704/PtnAzrJz_normal.jpeg","View")</f>
        <v>View</v>
      </c>
      <c r="P8086" s="27"/>
    </row>
    <row r="8087">
      <c r="A8087" s="14">
        <v>43031.73206018518</v>
      </c>
      <c r="B8087" s="20" t="str">
        <f>HYPERLINK("https://twitter.com/theglobalworld","@theglobalworld")</f>
        <v>@theglobalworld</v>
      </c>
      <c r="C8087" s="21" t="s">
        <v>17925</v>
      </c>
      <c r="D8087" s="21" t="s">
        <v>17926</v>
      </c>
      <c r="E8087" s="22" t="str">
        <f>HYPERLINK("https://twitter.com/theglobalworld/status/922622207976763394","922622207976763394")</f>
        <v>922622207976763394</v>
      </c>
      <c r="F8087" s="23" t="s">
        <v>91</v>
      </c>
      <c r="G8087" s="24">
        <v>4466.0</v>
      </c>
      <c r="H8087" s="24">
        <v>5467.0</v>
      </c>
      <c r="I8087" s="24">
        <v>0.0</v>
      </c>
      <c r="J8087" s="24">
        <v>0.0</v>
      </c>
      <c r="K8087" s="23" t="s">
        <v>34</v>
      </c>
      <c r="L8087" s="25">
        <v>40610.6265162037</v>
      </c>
      <c r="M8087" s="26" t="s">
        <v>11404</v>
      </c>
      <c r="N8087" s="26" t="s">
        <v>17927</v>
      </c>
      <c r="O8087" s="22" t="str">
        <f>HYPERLINK("https://pbs.twimg.com/profile_images/1267111944/globalworld_normal.jpg","View")</f>
        <v>View</v>
      </c>
      <c r="P8087" s="27"/>
    </row>
    <row r="8088">
      <c r="A8088" s="14">
        <v>43031.73270833334</v>
      </c>
      <c r="B8088" s="20" t="str">
        <f>HYPERLINK("https://twitter.com/FTI_SC_Asia","@FTI_SC_Asia")</f>
        <v>@FTI_SC_Asia</v>
      </c>
      <c r="C8088" s="21" t="s">
        <v>17928</v>
      </c>
      <c r="D8088" s="21" t="s">
        <v>17929</v>
      </c>
      <c r="E8088" s="22" t="str">
        <f>HYPERLINK("https://twitter.com/FTI_SC_Asia/status/922622442425716742","922622442425716742")</f>
        <v>922622442425716742</v>
      </c>
      <c r="F8088" s="23" t="s">
        <v>427</v>
      </c>
      <c r="G8088" s="24">
        <v>29.0</v>
      </c>
      <c r="H8088" s="24">
        <v>30.0</v>
      </c>
      <c r="I8088" s="24">
        <v>0.0</v>
      </c>
      <c r="J8088" s="24">
        <v>0.0</v>
      </c>
      <c r="K8088" s="23" t="s">
        <v>34</v>
      </c>
      <c r="L8088" s="25">
        <v>42990.69369212963</v>
      </c>
      <c r="M8088" s="26" t="s">
        <v>3783</v>
      </c>
      <c r="N8088" s="26" t="s">
        <v>17930</v>
      </c>
      <c r="O8088" s="22" t="str">
        <f>HYPERLINK("https://pbs.twimg.com/profile_images/907751859649077248/nuBdolV8_normal.jpg","View")</f>
        <v>View</v>
      </c>
      <c r="P8088" s="27"/>
    </row>
    <row r="8089">
      <c r="A8089" s="14">
        <v>43031.73278935185</v>
      </c>
      <c r="B8089" s="20" t="str">
        <f>HYPERLINK("https://twitter.com/tsuda__takashi","@tsuda__takashi")</f>
        <v>@tsuda__takashi</v>
      </c>
      <c r="C8089" s="21" t="s">
        <v>17931</v>
      </c>
      <c r="D8089" s="21" t="s">
        <v>16784</v>
      </c>
      <c r="E8089" s="22" t="str">
        <f>HYPERLINK("https://twitter.com/tsuda__takashi/status/922622471647453190","922622471647453190")</f>
        <v>922622471647453190</v>
      </c>
      <c r="F8089" s="23" t="s">
        <v>55</v>
      </c>
      <c r="G8089" s="24">
        <v>32.0</v>
      </c>
      <c r="H8089" s="24">
        <v>369.0</v>
      </c>
      <c r="I8089" s="24">
        <v>17.0</v>
      </c>
      <c r="J8089" s="24">
        <v>0.0</v>
      </c>
      <c r="K8089" s="23" t="s">
        <v>34</v>
      </c>
      <c r="L8089" s="25">
        <v>42399.72709490741</v>
      </c>
      <c r="M8089" s="26" t="s">
        <v>853</v>
      </c>
      <c r="N8089" s="26" t="s">
        <v>17932</v>
      </c>
      <c r="O8089" s="22" t="str">
        <f>HYPERLINK("https://abs.twimg.com/sticky/default_profile_images/default_profile_normal.png","View")</f>
        <v>View</v>
      </c>
      <c r="P8089" s="27"/>
    </row>
    <row r="8090">
      <c r="A8090" s="14">
        <v>43031.73278935185</v>
      </c>
      <c r="B8090" s="20" t="str">
        <f>HYPERLINK("https://twitter.com/Japan_Guide1","@Japan_Guide1")</f>
        <v>@Japan_Guide1</v>
      </c>
      <c r="C8090" s="21" t="s">
        <v>17765</v>
      </c>
      <c r="D8090" s="21" t="s">
        <v>17933</v>
      </c>
      <c r="E8090" s="22" t="str">
        <f>HYPERLINK("https://twitter.com/Japan_Guide1/status/922622472607776768","922622472607776768")</f>
        <v>922622472607776768</v>
      </c>
      <c r="F8090" s="23" t="s">
        <v>55</v>
      </c>
      <c r="G8090" s="24">
        <v>129.0</v>
      </c>
      <c r="H8090" s="24">
        <v>7.0</v>
      </c>
      <c r="I8090" s="24">
        <v>0.0</v>
      </c>
      <c r="J8090" s="24">
        <v>0.0</v>
      </c>
      <c r="K8090" s="23" t="s">
        <v>34</v>
      </c>
      <c r="L8090" s="25">
        <v>41757.85288194445</v>
      </c>
      <c r="M8090" s="26" t="s">
        <v>271</v>
      </c>
      <c r="N8090" s="26" t="s">
        <v>17767</v>
      </c>
      <c r="O8090" s="22" t="str">
        <f>HYPERLINK("https://pbs.twimg.com/profile_images/461037999447240704/PtnAzrJz_normal.jpeg","View")</f>
        <v>View</v>
      </c>
      <c r="P8090" s="27"/>
    </row>
    <row r="8091">
      <c r="A8091" s="14">
        <v>43031.73284722222</v>
      </c>
      <c r="B8091" s="20" t="str">
        <f>HYPERLINK("https://twitter.com/newloc_security","@newloc_security")</f>
        <v>@newloc_security</v>
      </c>
      <c r="C8091" s="21" t="s">
        <v>17934</v>
      </c>
      <c r="D8091" s="21" t="s">
        <v>17935</v>
      </c>
      <c r="E8091" s="22" t="str">
        <f>HYPERLINK("https://twitter.com/newloc_security/status/922622493466267648","922622493466267648")</f>
        <v>922622493466267648</v>
      </c>
      <c r="F8091" s="23" t="s">
        <v>1020</v>
      </c>
      <c r="G8091" s="24">
        <v>1958.0</v>
      </c>
      <c r="H8091" s="24">
        <v>1964.0</v>
      </c>
      <c r="I8091" s="24">
        <v>0.0</v>
      </c>
      <c r="J8091" s="24">
        <v>0.0</v>
      </c>
      <c r="K8091" s="23" t="s">
        <v>34</v>
      </c>
      <c r="L8091" s="25">
        <v>41050.218993055554</v>
      </c>
      <c r="M8091" s="28"/>
      <c r="N8091" s="26" t="s">
        <v>17936</v>
      </c>
      <c r="O8091" s="22" t="str">
        <f>HYPERLINK("https://pbs.twimg.com/profile_images/2280368018/2cl89fdjgfw6466nin82_normal.png","View")</f>
        <v>View</v>
      </c>
      <c r="P8091" s="27"/>
    </row>
    <row r="8092">
      <c r="A8092" s="14">
        <v>43031.733449074076</v>
      </c>
      <c r="B8092" s="20" t="str">
        <f>HYPERLINK("https://twitter.com/stowlawn","@stowlawn")</f>
        <v>@stowlawn</v>
      </c>
      <c r="C8092" s="21" t="s">
        <v>17937</v>
      </c>
      <c r="D8092" s="21" t="s">
        <v>17938</v>
      </c>
      <c r="E8092" s="22" t="str">
        <f>HYPERLINK("https://twitter.com/stowlawn/status/922622709464485888","922622709464485888")</f>
        <v>922622709464485888</v>
      </c>
      <c r="F8092" s="23" t="s">
        <v>55</v>
      </c>
      <c r="G8092" s="24">
        <v>502.0</v>
      </c>
      <c r="H8092" s="24">
        <v>689.0</v>
      </c>
      <c r="I8092" s="24">
        <v>0.0</v>
      </c>
      <c r="J8092" s="24">
        <v>0.0</v>
      </c>
      <c r="K8092" s="23" t="s">
        <v>34</v>
      </c>
      <c r="L8092" s="25">
        <v>40006.242476851854</v>
      </c>
      <c r="M8092" s="26" t="s">
        <v>334</v>
      </c>
      <c r="N8092" s="26" t="s">
        <v>17939</v>
      </c>
      <c r="O8092" s="22" t="str">
        <f>HYPERLINK("https://pbs.twimg.com/profile_images/2357238606/64bgr8uzqktx6ankscqv_normal.jpeg","View")</f>
        <v>View</v>
      </c>
      <c r="P8092" s="27"/>
    </row>
    <row r="8093">
      <c r="A8093" s="14">
        <v>43031.73379629629</v>
      </c>
      <c r="B8093" s="20" t="str">
        <f>HYPERLINK("https://twitter.com/masakofukuisyd","@masakofukuisyd")</f>
        <v>@masakofukuisyd</v>
      </c>
      <c r="C8093" s="21" t="s">
        <v>8692</v>
      </c>
      <c r="D8093" s="21" t="s">
        <v>17832</v>
      </c>
      <c r="E8093" s="22" t="str">
        <f>HYPERLINK("https://twitter.com/masakofukuisyd/status/922622837667414017","922622837667414017")</f>
        <v>922622837667414017</v>
      </c>
      <c r="F8093" s="23" t="s">
        <v>55</v>
      </c>
      <c r="G8093" s="24">
        <v>664.0</v>
      </c>
      <c r="H8093" s="24">
        <v>1314.0</v>
      </c>
      <c r="I8093" s="24">
        <v>6.0</v>
      </c>
      <c r="J8093" s="24">
        <v>0.0</v>
      </c>
      <c r="K8093" s="23" t="s">
        <v>34</v>
      </c>
      <c r="L8093" s="25">
        <v>41017.661944444444</v>
      </c>
      <c r="M8093" s="28"/>
      <c r="N8093" s="26" t="s">
        <v>8694</v>
      </c>
      <c r="O8093" s="22" t="str">
        <f>HYPERLINK("https://pbs.twimg.com/profile_images/758212928327651328/EgnHVQKC_normal.jpg","View")</f>
        <v>View</v>
      </c>
      <c r="P8093" s="27"/>
    </row>
    <row r="8094">
      <c r="A8094" s="14">
        <v>43031.73423611111</v>
      </c>
      <c r="B8094" s="20" t="str">
        <f>HYPERLINK("https://twitter.com/haltemani_","@haltemani_")</f>
        <v>@haltemani_</v>
      </c>
      <c r="C8094" s="21" t="s">
        <v>17940</v>
      </c>
      <c r="D8094" s="21" t="s">
        <v>17941</v>
      </c>
      <c r="E8094" s="22" t="str">
        <f>HYPERLINK("https://twitter.com/haltemani_/status/922622996845617152","922622996845617152")</f>
        <v>922622996845617152</v>
      </c>
      <c r="F8094" s="23" t="s">
        <v>55</v>
      </c>
      <c r="G8094" s="24">
        <v>54.0</v>
      </c>
      <c r="H8094" s="24">
        <v>44.0</v>
      </c>
      <c r="I8094" s="24">
        <v>0.0</v>
      </c>
      <c r="J8094" s="24">
        <v>0.0</v>
      </c>
      <c r="K8094" s="23" t="s">
        <v>34</v>
      </c>
      <c r="L8094" s="25">
        <v>42913.44458333333</v>
      </c>
      <c r="M8094" s="26" t="s">
        <v>1124</v>
      </c>
      <c r="N8094" s="26" t="s">
        <v>17942</v>
      </c>
      <c r="O8094" s="22" t="str">
        <f>HYPERLINK("https://pbs.twimg.com/profile_images/898130709570867200/VKkB6Ugf_normal.jpg","View")</f>
        <v>View</v>
      </c>
      <c r="P8094" s="27"/>
    </row>
    <row r="8095">
      <c r="A8095" s="14">
        <v>43031.73471064815</v>
      </c>
      <c r="B8095" s="20" t="str">
        <f t="shared" ref="B8095:B8096" si="147">HYPERLINK("https://twitter.com/Japan_Guide1","@Japan_Guide1")</f>
        <v>@Japan_Guide1</v>
      </c>
      <c r="C8095" s="21" t="s">
        <v>17765</v>
      </c>
      <c r="D8095" s="21" t="s">
        <v>17943</v>
      </c>
      <c r="E8095" s="22" t="str">
        <f>HYPERLINK("https://twitter.com/Japan_Guide1/status/922623169143365632","922623169143365632")</f>
        <v>922623169143365632</v>
      </c>
      <c r="F8095" s="23" t="s">
        <v>55</v>
      </c>
      <c r="G8095" s="24">
        <v>129.0</v>
      </c>
      <c r="H8095" s="24">
        <v>7.0</v>
      </c>
      <c r="I8095" s="24">
        <v>0.0</v>
      </c>
      <c r="J8095" s="24">
        <v>0.0</v>
      </c>
      <c r="K8095" s="23" t="s">
        <v>34</v>
      </c>
      <c r="L8095" s="25">
        <v>41757.85288194445</v>
      </c>
      <c r="M8095" s="26" t="s">
        <v>271</v>
      </c>
      <c r="N8095" s="26" t="s">
        <v>17767</v>
      </c>
      <c r="O8095" s="22" t="str">
        <f t="shared" ref="O8095:O8096" si="148">HYPERLINK("https://pbs.twimg.com/profile_images/461037999447240704/PtnAzrJz_normal.jpeg","View")</f>
        <v>View</v>
      </c>
      <c r="P8095" s="27"/>
    </row>
    <row r="8096">
      <c r="A8096" s="14">
        <v>43031.73484953704</v>
      </c>
      <c r="B8096" s="20" t="str">
        <f t="shared" si="147"/>
        <v>@Japan_Guide1</v>
      </c>
      <c r="C8096" s="21" t="s">
        <v>17765</v>
      </c>
      <c r="D8096" s="21" t="s">
        <v>17944</v>
      </c>
      <c r="E8096" s="22" t="str">
        <f>HYPERLINK("https://twitter.com/Japan_Guide1/status/922623218535534593","922623218535534593")</f>
        <v>922623218535534593</v>
      </c>
      <c r="F8096" s="23" t="s">
        <v>1570</v>
      </c>
      <c r="G8096" s="24">
        <v>129.0</v>
      </c>
      <c r="H8096" s="24">
        <v>7.0</v>
      </c>
      <c r="I8096" s="24">
        <v>0.0</v>
      </c>
      <c r="J8096" s="24">
        <v>0.0</v>
      </c>
      <c r="K8096" s="23" t="s">
        <v>34</v>
      </c>
      <c r="L8096" s="25">
        <v>41757.85288194445</v>
      </c>
      <c r="M8096" s="26" t="s">
        <v>271</v>
      </c>
      <c r="N8096" s="26" t="s">
        <v>17767</v>
      </c>
      <c r="O8096" s="22" t="str">
        <f t="shared" si="148"/>
        <v>View</v>
      </c>
      <c r="P8096" s="27"/>
    </row>
    <row r="8097">
      <c r="A8097" s="14">
        <v>43031.73498842593</v>
      </c>
      <c r="B8097" s="20" t="str">
        <f>HYPERLINK("https://twitter.com/m1a9n8i2","@m1a9n8i2")</f>
        <v>@m1a9n8i2</v>
      </c>
      <c r="C8097" s="21" t="s">
        <v>17945</v>
      </c>
      <c r="D8097" s="21" t="s">
        <v>42</v>
      </c>
      <c r="E8097" s="22" t="str">
        <f>HYPERLINK("https://twitter.com/m1a9n8i2/status/922623267374075904","922623267374075904")</f>
        <v>922623267374075904</v>
      </c>
      <c r="F8097" s="23" t="s">
        <v>33</v>
      </c>
      <c r="G8097" s="24">
        <v>77.0</v>
      </c>
      <c r="H8097" s="24">
        <v>52.0</v>
      </c>
      <c r="I8097" s="24">
        <v>8501.0</v>
      </c>
      <c r="J8097" s="24">
        <v>0.0</v>
      </c>
      <c r="K8097" s="23" t="s">
        <v>34</v>
      </c>
      <c r="L8097" s="25">
        <v>41471.13148148148</v>
      </c>
      <c r="M8097" s="26" t="s">
        <v>17946</v>
      </c>
      <c r="N8097" s="26" t="s">
        <v>17947</v>
      </c>
      <c r="O8097" s="22" t="str">
        <f>HYPERLINK("https://pbs.twimg.com/profile_images/639483511867490304/Vc51DS0o_normal.jpg","View")</f>
        <v>View</v>
      </c>
      <c r="P8097" s="27"/>
    </row>
    <row r="8098">
      <c r="A8098" s="14">
        <v>43031.735393518524</v>
      </c>
      <c r="B8098" s="20" t="str">
        <f>HYPERLINK("https://twitter.com/rokyfitz","@rokyfitz")</f>
        <v>@rokyfitz</v>
      </c>
      <c r="C8098" s="21" t="s">
        <v>17948</v>
      </c>
      <c r="D8098" s="21" t="s">
        <v>17675</v>
      </c>
      <c r="E8098" s="22" t="str">
        <f>HYPERLINK("https://twitter.com/rokyfitz/status/922623416099790848","922623416099790848")</f>
        <v>922623416099790848</v>
      </c>
      <c r="F8098" s="23" t="s">
        <v>43</v>
      </c>
      <c r="G8098" s="24">
        <v>356.0</v>
      </c>
      <c r="H8098" s="24">
        <v>129.0</v>
      </c>
      <c r="I8098" s="24">
        <v>18.0</v>
      </c>
      <c r="J8098" s="24">
        <v>0.0</v>
      </c>
      <c r="K8098" s="23" t="s">
        <v>34</v>
      </c>
      <c r="L8098" s="25">
        <v>41833.05401620371</v>
      </c>
      <c r="M8098" s="26" t="s">
        <v>17949</v>
      </c>
      <c r="N8098" s="26" t="s">
        <v>17950</v>
      </c>
      <c r="O8098" s="22" t="str">
        <f>HYPERLINK("https://pbs.twimg.com/profile_images/492019056631742464/fQufOGpC_normal.jpeg","View")</f>
        <v>View</v>
      </c>
      <c r="P8098" s="27"/>
    </row>
    <row r="8099">
      <c r="A8099" s="14">
        <v>43031.73542824074</v>
      </c>
      <c r="B8099" s="20" t="str">
        <f>HYPERLINK("https://twitter.com/JustMadly","@JustMadly")</f>
        <v>@JustMadly</v>
      </c>
      <c r="C8099" s="21" t="s">
        <v>17951</v>
      </c>
      <c r="D8099" s="21" t="s">
        <v>16537</v>
      </c>
      <c r="E8099" s="22" t="str">
        <f>HYPERLINK("https://twitter.com/JustMadly/status/922623427541897216","922623427541897216")</f>
        <v>922623427541897216</v>
      </c>
      <c r="F8099" s="23" t="s">
        <v>55</v>
      </c>
      <c r="G8099" s="24">
        <v>1277.0</v>
      </c>
      <c r="H8099" s="24">
        <v>1268.0</v>
      </c>
      <c r="I8099" s="24">
        <v>242.0</v>
      </c>
      <c r="J8099" s="24">
        <v>0.0</v>
      </c>
      <c r="K8099" s="23" t="s">
        <v>34</v>
      </c>
      <c r="L8099" s="25">
        <v>42574.52491898148</v>
      </c>
      <c r="M8099" s="26" t="s">
        <v>17952</v>
      </c>
      <c r="N8099" s="26" t="s">
        <v>17953</v>
      </c>
      <c r="O8099" s="22" t="str">
        <f>HYPERLINK("https://pbs.twimg.com/profile_images/797601678862282752/D5uBxtjX_normal.jpg","View")</f>
        <v>View</v>
      </c>
      <c r="P8099" s="27"/>
    </row>
    <row r="8100">
      <c r="A8100" s="14">
        <v>43031.73559027778</v>
      </c>
      <c r="B8100" s="20" t="str">
        <f>HYPERLINK("https://twitter.com/on_and_under","@on_and_under")</f>
        <v>@on_and_under</v>
      </c>
      <c r="C8100" s="21" t="s">
        <v>17954</v>
      </c>
      <c r="D8100" s="21" t="s">
        <v>1642</v>
      </c>
      <c r="E8100" s="22" t="str">
        <f>HYPERLINK("https://twitter.com/on_and_under/status/922623485024669696","922623485024669696")</f>
        <v>922623485024669696</v>
      </c>
      <c r="F8100" s="23" t="s">
        <v>55</v>
      </c>
      <c r="G8100" s="24">
        <v>1873.0</v>
      </c>
      <c r="H8100" s="24">
        <v>992.0</v>
      </c>
      <c r="I8100" s="24">
        <v>199.0</v>
      </c>
      <c r="J8100" s="24">
        <v>0.0</v>
      </c>
      <c r="K8100" s="23" t="s">
        <v>34</v>
      </c>
      <c r="L8100" s="25">
        <v>40253.10126157408</v>
      </c>
      <c r="M8100" s="28"/>
      <c r="N8100" s="26" t="s">
        <v>17955</v>
      </c>
      <c r="O8100" s="22" t="str">
        <f>HYPERLINK("https://pbs.twimg.com/profile_images/759625448838103040/tF0OTCIy_normal.jpg","View")</f>
        <v>View</v>
      </c>
      <c r="P8100" s="27"/>
    </row>
    <row r="8101">
      <c r="A8101" s="14">
        <v>43031.73614583333</v>
      </c>
      <c r="B8101" s="20" t="str">
        <f>HYPERLINK("https://twitter.com/AlokG436","@AlokG436")</f>
        <v>@AlokG436</v>
      </c>
      <c r="C8101" s="21" t="s">
        <v>17956</v>
      </c>
      <c r="D8101" s="21" t="s">
        <v>42</v>
      </c>
      <c r="E8101" s="22" t="str">
        <f>HYPERLINK("https://twitter.com/AlokG436/status/922623688108683266","922623688108683266")</f>
        <v>922623688108683266</v>
      </c>
      <c r="F8101" s="23" t="s">
        <v>33</v>
      </c>
      <c r="G8101" s="24">
        <v>23.0</v>
      </c>
      <c r="H8101" s="24">
        <v>114.0</v>
      </c>
      <c r="I8101" s="24">
        <v>8501.0</v>
      </c>
      <c r="J8101" s="24">
        <v>0.0</v>
      </c>
      <c r="K8101" s="23" t="s">
        <v>34</v>
      </c>
      <c r="L8101" s="25">
        <v>43009.09045138889</v>
      </c>
      <c r="M8101" s="26" t="s">
        <v>17957</v>
      </c>
      <c r="N8101" s="26" t="s">
        <v>17958</v>
      </c>
      <c r="O8101" s="22" t="str">
        <f>HYPERLINK("https://pbs.twimg.com/profile_images/914418431994224640/cY9Jr1Jp_normal.jpg","View")</f>
        <v>View</v>
      </c>
      <c r="P8101" s="27"/>
    </row>
    <row r="8102">
      <c r="A8102" s="14">
        <v>43031.73631944445</v>
      </c>
      <c r="B8102" s="20" t="str">
        <f>HYPERLINK("https://twitter.com/atone_","@atone_")</f>
        <v>@atone_</v>
      </c>
      <c r="C8102" s="21" t="s">
        <v>17959</v>
      </c>
      <c r="D8102" s="21" t="s">
        <v>17645</v>
      </c>
      <c r="E8102" s="22" t="str">
        <f>HYPERLINK("https://twitter.com/atone_/status/922623749651709952","922623749651709952")</f>
        <v>922623749651709952</v>
      </c>
      <c r="F8102" s="23" t="s">
        <v>39</v>
      </c>
      <c r="G8102" s="24">
        <v>878.0</v>
      </c>
      <c r="H8102" s="24">
        <v>588.0</v>
      </c>
      <c r="I8102" s="24">
        <v>8.0</v>
      </c>
      <c r="J8102" s="24">
        <v>0.0</v>
      </c>
      <c r="K8102" s="23" t="s">
        <v>34</v>
      </c>
      <c r="L8102" s="25">
        <v>40015.38873842593</v>
      </c>
      <c r="M8102" s="26" t="s">
        <v>17960</v>
      </c>
      <c r="N8102" s="26" t="s">
        <v>17961</v>
      </c>
      <c r="O8102" s="22" t="str">
        <f>HYPERLINK("https://pbs.twimg.com/profile_images/893213954792579072/mOntZ8_8_normal.jpg","View")</f>
        <v>View</v>
      </c>
      <c r="P8102" s="27"/>
    </row>
    <row r="8103">
      <c r="A8103" s="14">
        <v>43031.736562499995</v>
      </c>
      <c r="B8103" s="20" t="str">
        <f>HYPERLINK("https://twitter.com/pangsb","@pangsb")</f>
        <v>@pangsb</v>
      </c>
      <c r="C8103" s="21" t="s">
        <v>17962</v>
      </c>
      <c r="D8103" s="21" t="s">
        <v>17963</v>
      </c>
      <c r="E8103" s="22" t="str">
        <f>HYPERLINK("https://twitter.com/pangsb/status/922623839481208833","922623839481208833")</f>
        <v>922623839481208833</v>
      </c>
      <c r="F8103" s="23" t="s">
        <v>33</v>
      </c>
      <c r="G8103" s="24">
        <v>57.0</v>
      </c>
      <c r="H8103" s="24">
        <v>312.0</v>
      </c>
      <c r="I8103" s="24">
        <v>0.0</v>
      </c>
      <c r="J8103" s="24">
        <v>0.0</v>
      </c>
      <c r="K8103" s="23" t="s">
        <v>34</v>
      </c>
      <c r="L8103" s="25">
        <v>39987.28733796296</v>
      </c>
      <c r="M8103" s="28"/>
      <c r="N8103" s="28"/>
      <c r="O8103" s="22" t="str">
        <f>HYPERLINK("https://abs.twimg.com/sticky/default_profile_images/default_profile_normal.png","View")</f>
        <v>View</v>
      </c>
      <c r="P8103" s="27"/>
    </row>
    <row r="8104">
      <c r="A8104" s="14">
        <v>43031.73663194444</v>
      </c>
      <c r="B8104" s="20" t="str">
        <f>HYPERLINK("https://twitter.com/AdityaNair20","@AdityaNair20")</f>
        <v>@AdityaNair20</v>
      </c>
      <c r="C8104" s="21" t="s">
        <v>17964</v>
      </c>
      <c r="D8104" s="21" t="s">
        <v>42</v>
      </c>
      <c r="E8104" s="22" t="str">
        <f>HYPERLINK("https://twitter.com/AdityaNair20/status/922623866563854337","922623866563854337")</f>
        <v>922623866563854337</v>
      </c>
      <c r="F8104" s="23" t="s">
        <v>33</v>
      </c>
      <c r="G8104" s="24">
        <v>940.0</v>
      </c>
      <c r="H8104" s="24">
        <v>35.0</v>
      </c>
      <c r="I8104" s="24">
        <v>8501.0</v>
      </c>
      <c r="J8104" s="24">
        <v>0.0</v>
      </c>
      <c r="K8104" s="23" t="s">
        <v>34</v>
      </c>
      <c r="L8104" s="25">
        <v>41180.40704861111</v>
      </c>
      <c r="M8104" s="26" t="s">
        <v>207</v>
      </c>
      <c r="N8104" s="26" t="s">
        <v>17965</v>
      </c>
      <c r="O8104" s="22" t="str">
        <f>HYPERLINK("https://pbs.twimg.com/profile_images/713294468581974016/i7ZbpuiV_normal.jpg","View")</f>
        <v>View</v>
      </c>
      <c r="P8104" s="27"/>
    </row>
    <row r="8105">
      <c r="A8105" s="14">
        <v>43031.73732638889</v>
      </c>
      <c r="B8105" s="20" t="str">
        <f>HYPERLINK("https://twitter.com/VishnuPathak999","@VishnuPathak999")</f>
        <v>@VishnuPathak999</v>
      </c>
      <c r="C8105" s="21" t="s">
        <v>17966</v>
      </c>
      <c r="D8105" s="21" t="s">
        <v>42</v>
      </c>
      <c r="E8105" s="22" t="str">
        <f>HYPERLINK("https://twitter.com/VishnuPathak999/status/922624116967972864","922624116967972864")</f>
        <v>922624116967972864</v>
      </c>
      <c r="F8105" s="23" t="s">
        <v>33</v>
      </c>
      <c r="G8105" s="24">
        <v>27.0</v>
      </c>
      <c r="H8105" s="24">
        <v>117.0</v>
      </c>
      <c r="I8105" s="24">
        <v>8501.0</v>
      </c>
      <c r="J8105" s="24">
        <v>0.0</v>
      </c>
      <c r="K8105" s="23" t="s">
        <v>34</v>
      </c>
      <c r="L8105" s="25">
        <v>41249.34149305556</v>
      </c>
      <c r="M8105" s="26" t="s">
        <v>11002</v>
      </c>
      <c r="N8105" s="26" t="s">
        <v>17967</v>
      </c>
      <c r="O8105" s="22" t="str">
        <f>HYPERLINK("https://pbs.twimg.com/profile_images/921766000520871936/SMaJHZFF_normal.jpg","View")</f>
        <v>View</v>
      </c>
      <c r="P8105" s="27"/>
    </row>
    <row r="8106">
      <c r="A8106" s="14">
        <v>43031.73762731481</v>
      </c>
      <c r="B8106" s="20" t="str">
        <f>HYPERLINK("https://twitter.com/nab_is_me","@nab_is_me")</f>
        <v>@nab_is_me</v>
      </c>
      <c r="C8106" s="21" t="s">
        <v>17968</v>
      </c>
      <c r="D8106" s="21" t="s">
        <v>17645</v>
      </c>
      <c r="E8106" s="22" t="str">
        <f>HYPERLINK("https://twitter.com/nab_is_me/status/922624226221101056","922624226221101056")</f>
        <v>922624226221101056</v>
      </c>
      <c r="F8106" s="23" t="s">
        <v>33</v>
      </c>
      <c r="G8106" s="24">
        <v>86.0</v>
      </c>
      <c r="H8106" s="24">
        <v>160.0</v>
      </c>
      <c r="I8106" s="24">
        <v>8.0</v>
      </c>
      <c r="J8106" s="24">
        <v>0.0</v>
      </c>
      <c r="K8106" s="23" t="s">
        <v>34</v>
      </c>
      <c r="L8106" s="25">
        <v>42623.08855324074</v>
      </c>
      <c r="M8106" s="26" t="s">
        <v>17969</v>
      </c>
      <c r="N8106" s="26" t="s">
        <v>17970</v>
      </c>
      <c r="O8106" s="22" t="str">
        <f>HYPERLINK("https://pbs.twimg.com/profile_images/911444064121131008/q9pGwKds_normal.jpg","View")</f>
        <v>View</v>
      </c>
      <c r="P8106" s="27"/>
    </row>
    <row r="8107">
      <c r="A8107" s="14">
        <v>43031.738032407404</v>
      </c>
      <c r="B8107" s="20" t="str">
        <f>HYPERLINK("https://twitter.com/Naga_Tamilan","@Naga_Tamilan")</f>
        <v>@Naga_Tamilan</v>
      </c>
      <c r="C8107" s="21" t="s">
        <v>17971</v>
      </c>
      <c r="D8107" s="21" t="s">
        <v>42</v>
      </c>
      <c r="E8107" s="22" t="str">
        <f>HYPERLINK("https://twitter.com/Naga_Tamilan/status/922624372585537536","922624372585537536")</f>
        <v>922624372585537536</v>
      </c>
      <c r="F8107" s="23" t="s">
        <v>33</v>
      </c>
      <c r="G8107" s="24">
        <v>349.0</v>
      </c>
      <c r="H8107" s="24">
        <v>465.0</v>
      </c>
      <c r="I8107" s="24">
        <v>8501.0</v>
      </c>
      <c r="J8107" s="24">
        <v>0.0</v>
      </c>
      <c r="K8107" s="23" t="s">
        <v>34</v>
      </c>
      <c r="L8107" s="25">
        <v>41223.75844907407</v>
      </c>
      <c r="M8107" s="26" t="s">
        <v>3144</v>
      </c>
      <c r="N8107" s="26" t="s">
        <v>17972</v>
      </c>
      <c r="O8107" s="22" t="str">
        <f>HYPERLINK("https://pbs.twimg.com/profile_images/897317909306908673/Sc5FMzQV_normal.jpg","View")</f>
        <v>View</v>
      </c>
      <c r="P8107" s="27"/>
    </row>
    <row r="8108">
      <c r="A8108" s="14">
        <v>43031.73804398148</v>
      </c>
      <c r="B8108" s="20" t="str">
        <f>HYPERLINK("https://twitter.com/nagystephen1","@nagystephen1")</f>
        <v>@nagystephen1</v>
      </c>
      <c r="C8108" s="21" t="s">
        <v>7197</v>
      </c>
      <c r="D8108" s="21" t="s">
        <v>17677</v>
      </c>
      <c r="E8108" s="22" t="str">
        <f>HYPERLINK("https://twitter.com/nagystephen1/status/922624378088468481","922624378088468481")</f>
        <v>922624378088468481</v>
      </c>
      <c r="F8108" s="23" t="s">
        <v>39</v>
      </c>
      <c r="G8108" s="24">
        <v>213.0</v>
      </c>
      <c r="H8108" s="24">
        <v>328.0</v>
      </c>
      <c r="I8108" s="24">
        <v>13.0</v>
      </c>
      <c r="J8108" s="24">
        <v>0.0</v>
      </c>
      <c r="K8108" s="23" t="s">
        <v>34</v>
      </c>
      <c r="L8108" s="25">
        <v>41987.76671296296</v>
      </c>
      <c r="M8108" s="26" t="s">
        <v>923</v>
      </c>
      <c r="N8108" s="26" t="s">
        <v>7199</v>
      </c>
      <c r="O8108" s="22" t="str">
        <f>HYPERLINK("https://pbs.twimg.com/profile_images/678484608560705536/xgJS_xuX_normal.jpg","View")</f>
        <v>View</v>
      </c>
      <c r="P8108" s="27"/>
    </row>
    <row r="8109">
      <c r="A8109" s="14">
        <v>43031.738125</v>
      </c>
      <c r="B8109" s="20" t="str">
        <f>HYPERLINK("https://twitter.com/laseptiemewilay","@laseptiemewilay")</f>
        <v>@laseptiemewilay</v>
      </c>
      <c r="C8109" s="21" t="s">
        <v>17973</v>
      </c>
      <c r="D8109" s="21" t="s">
        <v>17363</v>
      </c>
      <c r="E8109" s="22" t="str">
        <f>HYPERLINK("https://twitter.com/laseptiemewilay/status/922624403673927681","922624403673927681")</f>
        <v>922624403673927681</v>
      </c>
      <c r="F8109" s="23" t="s">
        <v>39</v>
      </c>
      <c r="G8109" s="24">
        <v>1861.0</v>
      </c>
      <c r="H8109" s="24">
        <v>1808.0</v>
      </c>
      <c r="I8109" s="24">
        <v>17.0</v>
      </c>
      <c r="J8109" s="24">
        <v>0.0</v>
      </c>
      <c r="K8109" s="23" t="s">
        <v>34</v>
      </c>
      <c r="L8109" s="25">
        <v>41054.612858796296</v>
      </c>
      <c r="M8109" s="28"/>
      <c r="N8109" s="26" t="s">
        <v>17974</v>
      </c>
      <c r="O8109" s="22" t="str">
        <f>HYPERLINK("https://pbs.twimg.com/profile_images/2249844860/261668_101753139919980_100002558831484_17047_1628493_n_normal.jpg","View")</f>
        <v>View</v>
      </c>
      <c r="P8109" s="27"/>
    </row>
    <row r="8110">
      <c r="A8110" s="14">
        <v>43031.738182870366</v>
      </c>
      <c r="B8110" s="20" t="str">
        <f>HYPERLINK("https://twitter.com/Ajaykum74918770","@Ajaykum74918770")</f>
        <v>@Ajaykum74918770</v>
      </c>
      <c r="C8110" s="21" t="s">
        <v>17975</v>
      </c>
      <c r="D8110" s="21" t="s">
        <v>42</v>
      </c>
      <c r="E8110" s="22" t="str">
        <f>HYPERLINK("https://twitter.com/Ajaykum74918770/status/922624426201423872","922624426201423872")</f>
        <v>922624426201423872</v>
      </c>
      <c r="F8110" s="23" t="s">
        <v>33</v>
      </c>
      <c r="G8110" s="24">
        <v>5.0</v>
      </c>
      <c r="H8110" s="24">
        <v>23.0</v>
      </c>
      <c r="I8110" s="24">
        <v>8501.0</v>
      </c>
      <c r="J8110" s="24">
        <v>0.0</v>
      </c>
      <c r="K8110" s="23" t="s">
        <v>34</v>
      </c>
      <c r="L8110" s="25">
        <v>42821.30263888889</v>
      </c>
      <c r="M8110" s="26" t="s">
        <v>3736</v>
      </c>
      <c r="N8110" s="28"/>
      <c r="O8110" s="22" t="str">
        <f>HYPERLINK("https://pbs.twimg.com/profile_images/916114266427551744/wMCD_zMp_normal.jpg","View")</f>
        <v>View</v>
      </c>
      <c r="P8110" s="27"/>
    </row>
    <row r="8111">
      <c r="A8111" s="14">
        <v>43031.73851851852</v>
      </c>
      <c r="B8111" s="20" t="str">
        <f>HYPERLINK("https://twitter.com/JungKirpal","@JungKirpal")</f>
        <v>@JungKirpal</v>
      </c>
      <c r="C8111" s="21" t="s">
        <v>17976</v>
      </c>
      <c r="D8111" s="21" t="s">
        <v>42</v>
      </c>
      <c r="E8111" s="22" t="str">
        <f>HYPERLINK("https://twitter.com/JungKirpal/status/922624550075957248","922624550075957248")</f>
        <v>922624550075957248</v>
      </c>
      <c r="F8111" s="23" t="s">
        <v>33</v>
      </c>
      <c r="G8111" s="24">
        <v>4.0</v>
      </c>
      <c r="H8111" s="24">
        <v>79.0</v>
      </c>
      <c r="I8111" s="24">
        <v>8501.0</v>
      </c>
      <c r="J8111" s="24">
        <v>0.0</v>
      </c>
      <c r="K8111" s="23" t="s">
        <v>34</v>
      </c>
      <c r="L8111" s="25">
        <v>42969.79200231482</v>
      </c>
      <c r="M8111" s="26" t="s">
        <v>12006</v>
      </c>
      <c r="N8111" s="28"/>
      <c r="O8111" s="22" t="str">
        <f>HYPERLINK("https://abs.twimg.com/sticky/default_profile_images/default_profile_normal.png","View")</f>
        <v>View</v>
      </c>
      <c r="P8111" s="27"/>
    </row>
    <row r="8112">
      <c r="A8112" s="14">
        <v>43031.73858796296</v>
      </c>
      <c r="B8112" s="20" t="str">
        <f>HYPERLINK("https://twitter.com/TrendlerNews","@TrendlerNews")</f>
        <v>@TrendlerNews</v>
      </c>
      <c r="C8112" s="21" t="s">
        <v>17977</v>
      </c>
      <c r="D8112" s="21" t="s">
        <v>17978</v>
      </c>
      <c r="E8112" s="22" t="str">
        <f>HYPERLINK("https://twitter.com/TrendlerNews/status/922624571882254336","922624571882254336")</f>
        <v>922624571882254336</v>
      </c>
      <c r="F8112" s="23" t="s">
        <v>39</v>
      </c>
      <c r="G8112" s="24">
        <v>8772.0</v>
      </c>
      <c r="H8112" s="24">
        <v>8554.0</v>
      </c>
      <c r="I8112" s="24">
        <v>1.0</v>
      </c>
      <c r="J8112" s="24">
        <v>1.0</v>
      </c>
      <c r="K8112" s="23" t="s">
        <v>34</v>
      </c>
      <c r="L8112" s="25">
        <v>42292.2362037037</v>
      </c>
      <c r="M8112" s="26" t="s">
        <v>1961</v>
      </c>
      <c r="N8112" s="26" t="s">
        <v>17979</v>
      </c>
      <c r="O8112" s="22" t="str">
        <f>HYPERLINK("https://pbs.twimg.com/profile_images/904521057574539264/_6U0FxbR_normal.jpg","View")</f>
        <v>View</v>
      </c>
      <c r="P8112" s="27"/>
    </row>
    <row r="8113">
      <c r="A8113" s="14">
        <v>43031.73863425926</v>
      </c>
      <c r="B8113" s="20" t="str">
        <f>HYPERLINK("https://twitter.com/EricLadny","@EricLadny")</f>
        <v>@EricLadny</v>
      </c>
      <c r="C8113" s="21" t="s">
        <v>17980</v>
      </c>
      <c r="D8113" s="21" t="s">
        <v>17981</v>
      </c>
      <c r="E8113" s="22" t="str">
        <f>HYPERLINK("https://twitter.com/EricLadny/status/922624588579778560","922624588579778560")</f>
        <v>922624588579778560</v>
      </c>
      <c r="F8113" s="23" t="s">
        <v>55</v>
      </c>
      <c r="G8113" s="24">
        <v>1280.0</v>
      </c>
      <c r="H8113" s="24">
        <v>618.0</v>
      </c>
      <c r="I8113" s="24">
        <v>0.0</v>
      </c>
      <c r="J8113" s="24">
        <v>0.0</v>
      </c>
      <c r="K8113" s="23" t="s">
        <v>34</v>
      </c>
      <c r="L8113" s="25">
        <v>39961.91427083333</v>
      </c>
      <c r="M8113" s="26" t="s">
        <v>68</v>
      </c>
      <c r="N8113" s="26" t="s">
        <v>17982</v>
      </c>
      <c r="O8113" s="22" t="str">
        <f>HYPERLINK("https://pbs.twimg.com/profile_images/854807840611028992/vV9gM5So_normal.jpg","View")</f>
        <v>View</v>
      </c>
      <c r="P8113" s="27"/>
    </row>
    <row r="8114">
      <c r="A8114" s="14">
        <v>43031.73869212963</v>
      </c>
      <c r="B8114" s="20" t="str">
        <f>HYPERLINK("https://twitter.com/Frednam","@Frednam")</f>
        <v>@Frednam</v>
      </c>
      <c r="C8114" s="21" t="s">
        <v>17983</v>
      </c>
      <c r="D8114" s="21" t="s">
        <v>17675</v>
      </c>
      <c r="E8114" s="22" t="str">
        <f>HYPERLINK("https://twitter.com/Frednam/status/922624609190477824","922624609190477824")</f>
        <v>922624609190477824</v>
      </c>
      <c r="F8114" s="23" t="s">
        <v>39</v>
      </c>
      <c r="G8114" s="24">
        <v>338.0</v>
      </c>
      <c r="H8114" s="24">
        <v>862.0</v>
      </c>
      <c r="I8114" s="24">
        <v>18.0</v>
      </c>
      <c r="J8114" s="24">
        <v>0.0</v>
      </c>
      <c r="K8114" s="23" t="s">
        <v>34</v>
      </c>
      <c r="L8114" s="25">
        <v>40216.4371875</v>
      </c>
      <c r="M8114" s="26" t="s">
        <v>11701</v>
      </c>
      <c r="N8114" s="26" t="s">
        <v>17984</v>
      </c>
      <c r="O8114" s="22" t="str">
        <f>HYPERLINK("https://pbs.twimg.com/profile_images/880658798406508544/gKFuHIf-_normal.jpg","View")</f>
        <v>View</v>
      </c>
      <c r="P8114" s="27"/>
    </row>
    <row r="8115">
      <c r="A8115" s="14">
        <v>43031.73894675926</v>
      </c>
      <c r="B8115" s="20" t="str">
        <f>HYPERLINK("https://twitter.com/JOHNJOSEPHDAUER","@JOHNJOSEPHDAUER")</f>
        <v>@JOHNJOSEPHDAUER</v>
      </c>
      <c r="C8115" s="21" t="s">
        <v>17985</v>
      </c>
      <c r="D8115" s="21" t="s">
        <v>16537</v>
      </c>
      <c r="E8115" s="22" t="str">
        <f>HYPERLINK("https://twitter.com/JOHNJOSEPHDAUER/status/922624703251980288","922624703251980288")</f>
        <v>922624703251980288</v>
      </c>
      <c r="F8115" s="23" t="s">
        <v>39</v>
      </c>
      <c r="G8115" s="24">
        <v>94.0</v>
      </c>
      <c r="H8115" s="24">
        <v>286.0</v>
      </c>
      <c r="I8115" s="24">
        <v>242.0</v>
      </c>
      <c r="J8115" s="24">
        <v>0.0</v>
      </c>
      <c r="K8115" s="23" t="s">
        <v>34</v>
      </c>
      <c r="L8115" s="25">
        <v>42063.72039351852</v>
      </c>
      <c r="M8115" s="26" t="s">
        <v>1563</v>
      </c>
      <c r="N8115" s="26" t="s">
        <v>17986</v>
      </c>
      <c r="O8115" s="22" t="str">
        <f>HYPERLINK("https://pbs.twimg.com/profile_images/887886797929238528/IAyctK02_normal.jpg","View")</f>
        <v>View</v>
      </c>
      <c r="P8115" s="27"/>
    </row>
    <row r="8116">
      <c r="A8116" s="14">
        <v>43031.73923611111</v>
      </c>
      <c r="B8116" s="20" t="str">
        <f>HYPERLINK("https://twitter.com/AlphaTribune","@AlphaTribune")</f>
        <v>@AlphaTribune</v>
      </c>
      <c r="C8116" s="21" t="s">
        <v>17726</v>
      </c>
      <c r="D8116" s="21" t="s">
        <v>17987</v>
      </c>
      <c r="E8116" s="22" t="str">
        <f>HYPERLINK("https://twitter.com/AlphaTribune/status/922624808386547712","922624808386547712")</f>
        <v>922624808386547712</v>
      </c>
      <c r="F8116" s="23" t="s">
        <v>187</v>
      </c>
      <c r="G8116" s="24">
        <v>322.0</v>
      </c>
      <c r="H8116" s="24">
        <v>16.0</v>
      </c>
      <c r="I8116" s="24">
        <v>0.0</v>
      </c>
      <c r="J8116" s="24">
        <v>0.0</v>
      </c>
      <c r="K8116" s="23" t="s">
        <v>34</v>
      </c>
      <c r="L8116" s="25">
        <v>42540.37981481482</v>
      </c>
      <c r="M8116" s="26" t="s">
        <v>17728</v>
      </c>
      <c r="N8116" s="26" t="s">
        <v>17729</v>
      </c>
      <c r="O8116" s="22" t="str">
        <f>HYPERLINK("https://pbs.twimg.com/profile_images/770808527736545280/G_voz2do_normal.jpg","View")</f>
        <v>View</v>
      </c>
      <c r="P8116" s="27"/>
    </row>
    <row r="8117">
      <c r="A8117" s="14">
        <v>43031.740023148144</v>
      </c>
      <c r="B8117" s="20" t="str">
        <f>HYPERLINK("https://twitter.com/bamo02","@bamo02")</f>
        <v>@bamo02</v>
      </c>
      <c r="C8117" s="21" t="s">
        <v>17988</v>
      </c>
      <c r="D8117" s="21" t="s">
        <v>42</v>
      </c>
      <c r="E8117" s="22" t="str">
        <f>HYPERLINK("https://twitter.com/bamo02/status/922625095239065600","922625095239065600")</f>
        <v>922625095239065600</v>
      </c>
      <c r="F8117" s="23" t="s">
        <v>230</v>
      </c>
      <c r="G8117" s="24">
        <v>1317.0</v>
      </c>
      <c r="H8117" s="24">
        <v>1289.0</v>
      </c>
      <c r="I8117" s="24">
        <v>8501.0</v>
      </c>
      <c r="J8117" s="24">
        <v>0.0</v>
      </c>
      <c r="K8117" s="23" t="s">
        <v>34</v>
      </c>
      <c r="L8117" s="25">
        <v>40136.96586805556</v>
      </c>
      <c r="M8117" s="26" t="s">
        <v>17989</v>
      </c>
      <c r="N8117" s="26" t="s">
        <v>17990</v>
      </c>
      <c r="O8117" s="22" t="str">
        <f>HYPERLINK("https://pbs.twimg.com/profile_images/916271734914871297/uCE_tnh5_normal.jpg","View")</f>
        <v>View</v>
      </c>
      <c r="P8117" s="27"/>
    </row>
    <row r="8118">
      <c r="A8118" s="14">
        <v>43031.7406712963</v>
      </c>
      <c r="B8118" s="20" t="str">
        <f>HYPERLINK("https://twitter.com/Shubham_techy","@Shubham_techy")</f>
        <v>@Shubham_techy</v>
      </c>
      <c r="C8118" s="21" t="s">
        <v>17991</v>
      </c>
      <c r="D8118" s="21" t="s">
        <v>42</v>
      </c>
      <c r="E8118" s="22" t="str">
        <f>HYPERLINK("https://twitter.com/Shubham_techy/status/922625329658605568","922625329658605568")</f>
        <v>922625329658605568</v>
      </c>
      <c r="F8118" s="23" t="s">
        <v>33</v>
      </c>
      <c r="G8118" s="24">
        <v>171.0</v>
      </c>
      <c r="H8118" s="24">
        <v>1299.0</v>
      </c>
      <c r="I8118" s="24">
        <v>8501.0</v>
      </c>
      <c r="J8118" s="24">
        <v>0.0</v>
      </c>
      <c r="K8118" s="23" t="s">
        <v>34</v>
      </c>
      <c r="L8118" s="25">
        <v>42173.83660879629</v>
      </c>
      <c r="M8118" s="26" t="s">
        <v>17992</v>
      </c>
      <c r="N8118" s="26" t="s">
        <v>17993</v>
      </c>
      <c r="O8118" s="22" t="str">
        <f>HYPERLINK("https://pbs.twimg.com/profile_images/918051281897340928/yz7SdJTj_normal.jpg","View")</f>
        <v>View</v>
      </c>
      <c r="P8118" s="27"/>
    </row>
    <row r="8119">
      <c r="A8119" s="14">
        <v>43031.740891203706</v>
      </c>
      <c r="B8119" s="20" t="str">
        <f>HYPERLINK("https://twitter.com/fatimaalisheikh","@fatimaalisheikh")</f>
        <v>@fatimaalisheikh</v>
      </c>
      <c r="C8119" s="21" t="s">
        <v>6228</v>
      </c>
      <c r="D8119" s="21" t="s">
        <v>12241</v>
      </c>
      <c r="E8119" s="22" t="str">
        <f>HYPERLINK("https://twitter.com/fatimaalisheikh/status/922625408062906368","922625408062906368")</f>
        <v>922625408062906368</v>
      </c>
      <c r="F8119" s="23" t="s">
        <v>33</v>
      </c>
      <c r="G8119" s="24">
        <v>171.0</v>
      </c>
      <c r="H8119" s="24">
        <v>1449.0</v>
      </c>
      <c r="I8119" s="24">
        <v>9.0</v>
      </c>
      <c r="J8119" s="24">
        <v>0.0</v>
      </c>
      <c r="K8119" s="23" t="s">
        <v>34</v>
      </c>
      <c r="L8119" s="25">
        <v>40943.30571759259</v>
      </c>
      <c r="M8119" s="26" t="s">
        <v>6229</v>
      </c>
      <c r="N8119" s="26" t="s">
        <v>6230</v>
      </c>
      <c r="O8119" s="22" t="str">
        <f>HYPERLINK("https://pbs.twimg.com/profile_images/891111642376884224/L1BiaesX_normal.jpg","View")</f>
        <v>View</v>
      </c>
      <c r="P8119" s="27"/>
    </row>
    <row r="8120">
      <c r="A8120" s="14">
        <v>43031.74157407407</v>
      </c>
      <c r="B8120" s="20" t="str">
        <f>HYPERLINK("https://twitter.com/nfsrockstar","@nfsrockstar")</f>
        <v>@nfsrockstar</v>
      </c>
      <c r="C8120" s="21" t="s">
        <v>17994</v>
      </c>
      <c r="D8120" s="21" t="s">
        <v>16537</v>
      </c>
      <c r="E8120" s="22" t="str">
        <f>HYPERLINK("https://twitter.com/nfsrockstar/status/922625656181190656","922625656181190656")</f>
        <v>922625656181190656</v>
      </c>
      <c r="F8120" s="23" t="s">
        <v>33</v>
      </c>
      <c r="G8120" s="24">
        <v>62.0</v>
      </c>
      <c r="H8120" s="24">
        <v>924.0</v>
      </c>
      <c r="I8120" s="24">
        <v>242.0</v>
      </c>
      <c r="J8120" s="24">
        <v>0.0</v>
      </c>
      <c r="K8120" s="23" t="s">
        <v>34</v>
      </c>
      <c r="L8120" s="25">
        <v>41605.84899305555</v>
      </c>
      <c r="M8120" s="28"/>
      <c r="N8120" s="28"/>
      <c r="O8120" s="22" t="str">
        <f>HYPERLINK("https://pbs.twimg.com/profile_images/480903396006694913/w2pBB_G6_normal.jpeg","View")</f>
        <v>View</v>
      </c>
      <c r="P8120" s="27"/>
    </row>
    <row r="8121">
      <c r="A8121" s="14">
        <v>43031.74180555556</v>
      </c>
      <c r="B8121" s="20" t="str">
        <f>HYPERLINK("https://twitter.com/AbleDart","@AbleDart")</f>
        <v>@AbleDart</v>
      </c>
      <c r="C8121" s="21" t="s">
        <v>17995</v>
      </c>
      <c r="D8121" s="21" t="s">
        <v>17677</v>
      </c>
      <c r="E8121" s="22" t="str">
        <f>HYPERLINK("https://twitter.com/AbleDart/status/922625738506780672","922625738506780672")</f>
        <v>922625738506780672</v>
      </c>
      <c r="F8121" s="23" t="s">
        <v>39</v>
      </c>
      <c r="G8121" s="24">
        <v>8396.0</v>
      </c>
      <c r="H8121" s="24">
        <v>3981.0</v>
      </c>
      <c r="I8121" s="24">
        <v>13.0</v>
      </c>
      <c r="J8121" s="24">
        <v>0.0</v>
      </c>
      <c r="K8121" s="23" t="s">
        <v>34</v>
      </c>
      <c r="L8121" s="25">
        <v>40056.83903935185</v>
      </c>
      <c r="M8121" s="26" t="s">
        <v>7414</v>
      </c>
      <c r="N8121" s="26" t="s">
        <v>17996</v>
      </c>
      <c r="O8121" s="22" t="str">
        <f>HYPERLINK("https://pbs.twimg.com/profile_images/709229795054235648/EerX4HUu_normal.jpg","View")</f>
        <v>View</v>
      </c>
      <c r="P8121" s="27"/>
    </row>
    <row r="8122">
      <c r="A8122" s="14">
        <v>43031.74190972222</v>
      </c>
      <c r="B8122" s="20" t="str">
        <f>HYPERLINK("https://twitter.com/06ba49c302ce465","@06ba49c302ce465")</f>
        <v>@06ba49c302ce465</v>
      </c>
      <c r="C8122" s="21" t="s">
        <v>17997</v>
      </c>
      <c r="D8122" s="21" t="s">
        <v>42</v>
      </c>
      <c r="E8122" s="22" t="str">
        <f>HYPERLINK("https://twitter.com/06ba49c302ce465/status/922625777153269760","922625777153269760")</f>
        <v>922625777153269760</v>
      </c>
      <c r="F8122" s="23" t="s">
        <v>33</v>
      </c>
      <c r="G8122" s="24">
        <v>144.0</v>
      </c>
      <c r="H8122" s="24">
        <v>169.0</v>
      </c>
      <c r="I8122" s="24">
        <v>8501.0</v>
      </c>
      <c r="J8122" s="24">
        <v>0.0</v>
      </c>
      <c r="K8122" s="23" t="s">
        <v>34</v>
      </c>
      <c r="L8122" s="25">
        <v>42403.6902662037</v>
      </c>
      <c r="M8122" s="26" t="s">
        <v>17998</v>
      </c>
      <c r="N8122" s="28"/>
      <c r="O8122" s="22" t="str">
        <f>HYPERLINK("https://pbs.twimg.com/profile_images/695042837457477634/KExjx0zC_normal.jpg","View")</f>
        <v>View</v>
      </c>
      <c r="P8122" s="27"/>
    </row>
    <row r="8123">
      <c r="A8123" s="14">
        <v>43031.741944444446</v>
      </c>
      <c r="B8123" s="20" t="str">
        <f>HYPERLINK("https://twitter.com/YamatotakeruI","@YamatotakeruI")</f>
        <v>@YamatotakeruI</v>
      </c>
      <c r="C8123" s="21" t="s">
        <v>17999</v>
      </c>
      <c r="D8123" s="21" t="s">
        <v>1642</v>
      </c>
      <c r="E8123" s="22" t="str">
        <f>HYPERLINK("https://twitter.com/YamatotakeruI/status/922625790411280384","922625790411280384")</f>
        <v>922625790411280384</v>
      </c>
      <c r="F8123" s="23" t="s">
        <v>33</v>
      </c>
      <c r="G8123" s="24">
        <v>1663.0</v>
      </c>
      <c r="H8123" s="24">
        <v>3807.0</v>
      </c>
      <c r="I8123" s="24">
        <v>199.0</v>
      </c>
      <c r="J8123" s="24">
        <v>0.0</v>
      </c>
      <c r="K8123" s="23" t="s">
        <v>34</v>
      </c>
      <c r="L8123" s="25">
        <v>42039.08534722222</v>
      </c>
      <c r="M8123" s="28"/>
      <c r="N8123" s="26" t="s">
        <v>18000</v>
      </c>
      <c r="O8123" s="22" t="str">
        <f>HYPERLINK("https://pbs.twimg.com/profile_images/564102223215337472/hBAKTkp5_normal.jpeg","View")</f>
        <v>View</v>
      </c>
      <c r="P8123" s="27"/>
    </row>
    <row r="8124">
      <c r="A8124" s="14">
        <v>43031.7424537037</v>
      </c>
      <c r="B8124" s="20" t="str">
        <f>HYPERLINK("https://twitter.com/koti_hamao","@koti_hamao")</f>
        <v>@koti_hamao</v>
      </c>
      <c r="C8124" s="21" t="s">
        <v>18001</v>
      </c>
      <c r="D8124" s="21" t="s">
        <v>1642</v>
      </c>
      <c r="E8124" s="22" t="str">
        <f>HYPERLINK("https://twitter.com/koti_hamao/status/922625976231632896","922625976231632896")</f>
        <v>922625976231632896</v>
      </c>
      <c r="F8124" s="23" t="s">
        <v>55</v>
      </c>
      <c r="G8124" s="24">
        <v>813.0</v>
      </c>
      <c r="H8124" s="24">
        <v>1235.0</v>
      </c>
      <c r="I8124" s="24">
        <v>199.0</v>
      </c>
      <c r="J8124" s="24">
        <v>0.0</v>
      </c>
      <c r="K8124" s="23" t="s">
        <v>34</v>
      </c>
      <c r="L8124" s="25">
        <v>40310.95071759259</v>
      </c>
      <c r="M8124" s="26" t="s">
        <v>18002</v>
      </c>
      <c r="N8124" s="26" t="s">
        <v>18003</v>
      </c>
      <c r="O8124" s="22" t="str">
        <f>HYPERLINK("https://pbs.twimg.com/profile_images/755795185464848384/LJGH0HLX_normal.jpg","View")</f>
        <v>View</v>
      </c>
      <c r="P8124" s="27"/>
    </row>
    <row r="8125">
      <c r="A8125" s="14">
        <v>43031.74252314815</v>
      </c>
      <c r="B8125" s="20" t="str">
        <f>HYPERLINK("https://twitter.com/harishS14059671","@harishS14059671")</f>
        <v>@harishS14059671</v>
      </c>
      <c r="C8125" s="21" t="s">
        <v>18004</v>
      </c>
      <c r="D8125" s="21" t="s">
        <v>42</v>
      </c>
      <c r="E8125" s="22" t="str">
        <f>HYPERLINK("https://twitter.com/harishS14059671/status/922626000550166528","922626000550166528")</f>
        <v>922626000550166528</v>
      </c>
      <c r="F8125" s="23" t="s">
        <v>33</v>
      </c>
      <c r="G8125" s="24">
        <v>8.0</v>
      </c>
      <c r="H8125" s="24">
        <v>107.0</v>
      </c>
      <c r="I8125" s="24">
        <v>8501.0</v>
      </c>
      <c r="J8125" s="24">
        <v>0.0</v>
      </c>
      <c r="K8125" s="23" t="s">
        <v>34</v>
      </c>
      <c r="L8125" s="25">
        <v>42824.1102662037</v>
      </c>
      <c r="M8125" s="26" t="s">
        <v>18005</v>
      </c>
      <c r="N8125" s="26" t="s">
        <v>15081</v>
      </c>
      <c r="O8125" s="22" t="str">
        <f>HYPERLINK("https://pbs.twimg.com/profile_images/876774400288329729/H9ujzVSv_normal.jpg","View")</f>
        <v>View</v>
      </c>
      <c r="P8125" s="27"/>
    </row>
    <row r="8126">
      <c r="A8126" s="14">
        <v>43031.742627314816</v>
      </c>
      <c r="B8126" s="20" t="str">
        <f>HYPERLINK("https://twitter.com/chrisdussault62","@chrisdussault62")</f>
        <v>@chrisdussault62</v>
      </c>
      <c r="C8126" s="21" t="s">
        <v>18006</v>
      </c>
      <c r="D8126" s="21" t="s">
        <v>18007</v>
      </c>
      <c r="E8126" s="22" t="str">
        <f>HYPERLINK("https://twitter.com/chrisdussault62/status/922626035924992002","922626035924992002")</f>
        <v>922626035924992002</v>
      </c>
      <c r="F8126" s="23" t="s">
        <v>33</v>
      </c>
      <c r="G8126" s="24">
        <v>645.0</v>
      </c>
      <c r="H8126" s="24">
        <v>4713.0</v>
      </c>
      <c r="I8126" s="24">
        <v>0.0</v>
      </c>
      <c r="J8126" s="24">
        <v>0.0</v>
      </c>
      <c r="K8126" s="23" t="s">
        <v>34</v>
      </c>
      <c r="L8126" s="25">
        <v>41282.85975694445</v>
      </c>
      <c r="M8126" s="26" t="s">
        <v>18008</v>
      </c>
      <c r="N8126" s="26" t="s">
        <v>18009</v>
      </c>
      <c r="O8126" s="22" t="str">
        <f>HYPERLINK("https://pbs.twimg.com/profile_images/3606221197/50e33a9044d0038a555e023367b3fd79_normal.jpeg","View")</f>
        <v>View</v>
      </c>
      <c r="P8126" s="27"/>
    </row>
    <row r="8127">
      <c r="A8127" s="14">
        <v>43031.7428125</v>
      </c>
      <c r="B8127" s="20" t="str">
        <f>HYPERLINK("https://twitter.com/slimchick1900","@slimchick1900")</f>
        <v>@slimchick1900</v>
      </c>
      <c r="C8127" s="21" t="s">
        <v>13860</v>
      </c>
      <c r="D8127" s="21" t="s">
        <v>17675</v>
      </c>
      <c r="E8127" s="22" t="str">
        <f>HYPERLINK("https://twitter.com/slimchick1900/status/922626102337601536","922626102337601536")</f>
        <v>922626102337601536</v>
      </c>
      <c r="F8127" s="23" t="s">
        <v>33</v>
      </c>
      <c r="G8127" s="24">
        <v>979.0</v>
      </c>
      <c r="H8127" s="24">
        <v>151.0</v>
      </c>
      <c r="I8127" s="24">
        <v>18.0</v>
      </c>
      <c r="J8127" s="24">
        <v>0.0</v>
      </c>
      <c r="K8127" s="23" t="s">
        <v>34</v>
      </c>
      <c r="L8127" s="25">
        <v>40205.15584490741</v>
      </c>
      <c r="M8127" s="26" t="s">
        <v>13861</v>
      </c>
      <c r="N8127" s="26" t="s">
        <v>13862</v>
      </c>
      <c r="O8127" s="22" t="str">
        <f>HYPERLINK("https://pbs.twimg.com/profile_images/1874796229/Natasha_pic_normal.jpg","View")</f>
        <v>View</v>
      </c>
      <c r="P8127" s="27"/>
    </row>
    <row r="8128">
      <c r="A8128" s="14">
        <v>43031.74296296296</v>
      </c>
      <c r="B8128" s="20" t="str">
        <f>HYPERLINK("https://twitter.com/tuzzi","@tuzzi")</f>
        <v>@tuzzi</v>
      </c>
      <c r="C8128" s="21" t="s">
        <v>18010</v>
      </c>
      <c r="D8128" s="21" t="s">
        <v>17656</v>
      </c>
      <c r="E8128" s="22" t="str">
        <f>HYPERLINK("https://twitter.com/tuzzi/status/922626158239260673","922626158239260673")</f>
        <v>922626158239260673</v>
      </c>
      <c r="F8128" s="23" t="s">
        <v>769</v>
      </c>
      <c r="G8128" s="24">
        <v>1108.0</v>
      </c>
      <c r="H8128" s="24">
        <v>323.0</v>
      </c>
      <c r="I8128" s="24">
        <v>2.0</v>
      </c>
      <c r="J8128" s="24">
        <v>0.0</v>
      </c>
      <c r="K8128" s="23" t="s">
        <v>34</v>
      </c>
      <c r="L8128" s="25">
        <v>39761.147199074076</v>
      </c>
      <c r="M8128" s="26" t="s">
        <v>5178</v>
      </c>
      <c r="N8128" s="28"/>
      <c r="O8128" s="22" t="str">
        <f>HYPERLINK("https://pbs.twimg.com/profile_images/870619309290147842/vJiTOohV_normal.jpg","View")</f>
        <v>View</v>
      </c>
      <c r="P8128" s="27"/>
    </row>
    <row r="8129">
      <c r="A8129" s="14">
        <v>43031.74297453703</v>
      </c>
      <c r="B8129" s="20" t="str">
        <f>HYPERLINK("https://twitter.com/Rocketnews1","@Rocketnews1")</f>
        <v>@Rocketnews1</v>
      </c>
      <c r="C8129" s="21" t="s">
        <v>18011</v>
      </c>
      <c r="D8129" s="21" t="s">
        <v>18012</v>
      </c>
      <c r="E8129" s="22" t="str">
        <f>HYPERLINK("https://twitter.com/Rocketnews1/status/922626165042565120","922626165042565120")</f>
        <v>922626165042565120</v>
      </c>
      <c r="F8129" s="23" t="s">
        <v>18013</v>
      </c>
      <c r="G8129" s="24">
        <v>171.0</v>
      </c>
      <c r="H8129" s="24">
        <v>15.0</v>
      </c>
      <c r="I8129" s="24">
        <v>0.0</v>
      </c>
      <c r="J8129" s="24">
        <v>0.0</v>
      </c>
      <c r="K8129" s="23" t="s">
        <v>34</v>
      </c>
      <c r="L8129" s="25">
        <v>41354.30741898148</v>
      </c>
      <c r="M8129" s="28"/>
      <c r="N8129" s="26" t="s">
        <v>18014</v>
      </c>
      <c r="O8129" s="22" t="str">
        <f>HYPERLINK("https://pbs.twimg.com/profile_images/3409516523/1b0e7afc97e354cf330487934ec5a462_normal.jpeg","View")</f>
        <v>View</v>
      </c>
      <c r="P8129" s="27"/>
    </row>
    <row r="8130">
      <c r="A8130" s="14">
        <v>43031.74344907407</v>
      </c>
      <c r="B8130" s="20" t="str">
        <f>HYPERLINK("https://twitter.com/thPottingShed","@thPottingShed")</f>
        <v>@thPottingShed</v>
      </c>
      <c r="C8130" s="21" t="s">
        <v>18015</v>
      </c>
      <c r="D8130" s="21" t="s">
        <v>17677</v>
      </c>
      <c r="E8130" s="22" t="str">
        <f>HYPERLINK("https://twitter.com/thPottingShed/status/922626336975347712","922626336975347712")</f>
        <v>922626336975347712</v>
      </c>
      <c r="F8130" s="23" t="s">
        <v>55</v>
      </c>
      <c r="G8130" s="24">
        <v>19.0</v>
      </c>
      <c r="H8130" s="24">
        <v>96.0</v>
      </c>
      <c r="I8130" s="24">
        <v>13.0</v>
      </c>
      <c r="J8130" s="24">
        <v>0.0</v>
      </c>
      <c r="K8130" s="23" t="s">
        <v>34</v>
      </c>
      <c r="L8130" s="25">
        <v>39902.98076388889</v>
      </c>
      <c r="M8130" s="26" t="s">
        <v>18016</v>
      </c>
      <c r="N8130" s="26" t="s">
        <v>18017</v>
      </c>
      <c r="O8130" s="22" t="str">
        <f>HYPERLINK("https://pbs.twimg.com/profile_images/441053208538918912/MUqtSysk_normal.jpeg","View")</f>
        <v>View</v>
      </c>
      <c r="P8130" s="27"/>
    </row>
    <row r="8131">
      <c r="A8131" s="14">
        <v>43031.74346064815</v>
      </c>
      <c r="B8131" s="20" t="str">
        <f>HYPERLINK("https://twitter.com/tk_takamura","@tk_takamura")</f>
        <v>@tk_takamura</v>
      </c>
      <c r="C8131" s="21" t="s">
        <v>18018</v>
      </c>
      <c r="D8131" s="21" t="s">
        <v>1642</v>
      </c>
      <c r="E8131" s="22" t="str">
        <f>HYPERLINK("https://twitter.com/tk_takamura/status/922626341165502464","922626341165502464")</f>
        <v>922626341165502464</v>
      </c>
      <c r="F8131" s="23" t="s">
        <v>55</v>
      </c>
      <c r="G8131" s="24">
        <v>2300.0</v>
      </c>
      <c r="H8131" s="24">
        <v>3887.0</v>
      </c>
      <c r="I8131" s="24">
        <v>199.0</v>
      </c>
      <c r="J8131" s="24">
        <v>0.0</v>
      </c>
      <c r="K8131" s="23" t="s">
        <v>34</v>
      </c>
      <c r="L8131" s="25">
        <v>41084.83320601852</v>
      </c>
      <c r="M8131" s="28"/>
      <c r="N8131" s="26" t="s">
        <v>18019</v>
      </c>
      <c r="O8131" s="22" t="str">
        <f>HYPERLINK("https://pbs.twimg.com/profile_images/2338552517/btv41g46xzvpk882sf91_normal.jpeg","View")</f>
        <v>View</v>
      </c>
      <c r="P8131" s="27"/>
    </row>
    <row r="8132">
      <c r="A8132" s="14">
        <v>43031.74349537037</v>
      </c>
      <c r="B8132" s="20" t="str">
        <f>HYPERLINK("https://twitter.com/JENI_L_","@JENI_L_")</f>
        <v>@JENI_L_</v>
      </c>
      <c r="C8132" s="21" t="s">
        <v>18020</v>
      </c>
      <c r="D8132" s="21" t="s">
        <v>1642</v>
      </c>
      <c r="E8132" s="22" t="str">
        <f>HYPERLINK("https://twitter.com/JENI_L_/status/922626352422928384","922626352422928384")</f>
        <v>922626352422928384</v>
      </c>
      <c r="F8132" s="23" t="s">
        <v>39</v>
      </c>
      <c r="G8132" s="24">
        <v>692.0</v>
      </c>
      <c r="H8132" s="24">
        <v>543.0</v>
      </c>
      <c r="I8132" s="24">
        <v>199.0</v>
      </c>
      <c r="J8132" s="24">
        <v>0.0</v>
      </c>
      <c r="K8132" s="23" t="s">
        <v>34</v>
      </c>
      <c r="L8132" s="25">
        <v>42475.16047453704</v>
      </c>
      <c r="M8132" s="26" t="s">
        <v>18021</v>
      </c>
      <c r="N8132" s="26" t="s">
        <v>18022</v>
      </c>
      <c r="O8132" s="22" t="str">
        <f>HYPERLINK("https://pbs.twimg.com/profile_images/853992628462825473/XVZafj8m_normal.jpg","View")</f>
        <v>View</v>
      </c>
      <c r="P8132" s="27"/>
    </row>
    <row r="8133">
      <c r="A8133" s="14">
        <v>43031.74356481481</v>
      </c>
      <c r="B8133" s="20" t="str">
        <f>HYPERLINK("https://twitter.com/moekomini","@moekomini")</f>
        <v>@moekomini</v>
      </c>
      <c r="C8133" s="21" t="s">
        <v>18023</v>
      </c>
      <c r="D8133" s="21" t="s">
        <v>1642</v>
      </c>
      <c r="E8133" s="22" t="str">
        <f>HYPERLINK("https://twitter.com/moekomini/status/922626377156771840","922626377156771840")</f>
        <v>922626377156771840</v>
      </c>
      <c r="F8133" s="23" t="s">
        <v>230</v>
      </c>
      <c r="G8133" s="24">
        <v>31.0</v>
      </c>
      <c r="H8133" s="24">
        <v>148.0</v>
      </c>
      <c r="I8133" s="24">
        <v>199.0</v>
      </c>
      <c r="J8133" s="24">
        <v>0.0</v>
      </c>
      <c r="K8133" s="23" t="s">
        <v>34</v>
      </c>
      <c r="L8133" s="25">
        <v>41112.68640046296</v>
      </c>
      <c r="M8133" s="26" t="s">
        <v>18024</v>
      </c>
      <c r="N8133" s="26" t="s">
        <v>18025</v>
      </c>
      <c r="O8133" s="22" t="str">
        <f>HYPERLINK("https://pbs.twimg.com/profile_images/2808807632/de30bad6bf5902a7d8b5273cd5bd0060_normal.jpeg","View")</f>
        <v>View</v>
      </c>
      <c r="P8133" s="27"/>
    </row>
    <row r="8134">
      <c r="A8134" s="14">
        <v>43031.74359953703</v>
      </c>
      <c r="B8134" s="20" t="str">
        <f>HYPERLINK("https://twitter.com/misererenobis2","@misererenobis2")</f>
        <v>@misererenobis2</v>
      </c>
      <c r="C8134" s="21" t="s">
        <v>18026</v>
      </c>
      <c r="D8134" s="21" t="s">
        <v>1642</v>
      </c>
      <c r="E8134" s="22" t="str">
        <f>HYPERLINK("https://twitter.com/misererenobis2/status/922626390616260609","922626390616260609")</f>
        <v>922626390616260609</v>
      </c>
      <c r="F8134" s="23" t="s">
        <v>39</v>
      </c>
      <c r="G8134" s="24">
        <v>1019.0</v>
      </c>
      <c r="H8134" s="24">
        <v>968.0</v>
      </c>
      <c r="I8134" s="24">
        <v>199.0</v>
      </c>
      <c r="J8134" s="24">
        <v>0.0</v>
      </c>
      <c r="K8134" s="23" t="s">
        <v>34</v>
      </c>
      <c r="L8134" s="25">
        <v>42234.12627314815</v>
      </c>
      <c r="M8134" s="28"/>
      <c r="N8134" s="26" t="s">
        <v>18027</v>
      </c>
      <c r="O8134" s="22" t="str">
        <f>HYPERLINK("https://pbs.twimg.com/profile_images/633594787245875200/7KzSRhlf_normal.jpg","View")</f>
        <v>View</v>
      </c>
      <c r="P8134" s="27"/>
    </row>
    <row r="8135">
      <c r="A8135" s="14">
        <v>43031.743634259255</v>
      </c>
      <c r="B8135" s="20" t="str">
        <f>HYPERLINK("https://twitter.com/Jrm21370023Jrm","@Jrm21370023Jrm")</f>
        <v>@Jrm21370023Jrm</v>
      </c>
      <c r="C8135" s="21" t="s">
        <v>18028</v>
      </c>
      <c r="D8135" s="21" t="s">
        <v>16537</v>
      </c>
      <c r="E8135" s="22" t="str">
        <f>HYPERLINK("https://twitter.com/Jrm21370023Jrm/status/922626403366924288","922626403366924288")</f>
        <v>922626403366924288</v>
      </c>
      <c r="F8135" s="23" t="s">
        <v>39</v>
      </c>
      <c r="G8135" s="24">
        <v>216.0</v>
      </c>
      <c r="H8135" s="24">
        <v>165.0</v>
      </c>
      <c r="I8135" s="24">
        <v>242.0</v>
      </c>
      <c r="J8135" s="24">
        <v>0.0</v>
      </c>
      <c r="K8135" s="23" t="s">
        <v>34</v>
      </c>
      <c r="L8135" s="25">
        <v>42465.94072916667</v>
      </c>
      <c r="M8135" s="28"/>
      <c r="N8135" s="26" t="s">
        <v>18029</v>
      </c>
      <c r="O8135" s="22" t="str">
        <f>HYPERLINK("https://pbs.twimg.com/profile_images/921724949093433345/7gpgYsHM_normal.jpg","View")</f>
        <v>View</v>
      </c>
      <c r="P8135" s="27"/>
    </row>
    <row r="8136">
      <c r="A8136" s="14">
        <v>43031.74366898148</v>
      </c>
      <c r="B8136" s="20" t="str">
        <f>HYPERLINK("https://twitter.com/Democrats100RE","@Democrats100RE")</f>
        <v>@Democrats100RE</v>
      </c>
      <c r="C8136" s="21" t="s">
        <v>18030</v>
      </c>
      <c r="D8136" s="21" t="s">
        <v>18031</v>
      </c>
      <c r="E8136" s="22" t="str">
        <f>HYPERLINK("https://twitter.com/Democrats100RE/status/922626415614418945","922626415614418945")</f>
        <v>922626415614418945</v>
      </c>
      <c r="F8136" s="23" t="s">
        <v>55</v>
      </c>
      <c r="G8136" s="24">
        <v>1096.0</v>
      </c>
      <c r="H8136" s="24">
        <v>3172.0</v>
      </c>
      <c r="I8136" s="24">
        <v>0.0</v>
      </c>
      <c r="J8136" s="24">
        <v>0.0</v>
      </c>
      <c r="K8136" s="23" t="s">
        <v>34</v>
      </c>
      <c r="L8136" s="25">
        <v>42690.86740740741</v>
      </c>
      <c r="M8136" s="26" t="s">
        <v>4239</v>
      </c>
      <c r="N8136" s="26" t="s">
        <v>18032</v>
      </c>
      <c r="O8136" s="22" t="str">
        <f>HYPERLINK("https://pbs.twimg.com/profile_images/919626388713373696/iFPktGCm_normal.jpg","View")</f>
        <v>View</v>
      </c>
      <c r="P8136" s="27"/>
    </row>
    <row r="8137">
      <c r="A8137" s="14">
        <v>43031.743842592594</v>
      </c>
      <c r="B8137" s="20" t="str">
        <f>HYPERLINK("https://twitter.com/Muskaan016","@Muskaan016")</f>
        <v>@Muskaan016</v>
      </c>
      <c r="C8137" s="21" t="s">
        <v>18033</v>
      </c>
      <c r="D8137" s="21" t="s">
        <v>42</v>
      </c>
      <c r="E8137" s="22" t="str">
        <f>HYPERLINK("https://twitter.com/Muskaan016/status/922626478767988737","922626478767988737")</f>
        <v>922626478767988737</v>
      </c>
      <c r="F8137" s="23" t="s">
        <v>33</v>
      </c>
      <c r="G8137" s="24">
        <v>823.0</v>
      </c>
      <c r="H8137" s="24">
        <v>636.0</v>
      </c>
      <c r="I8137" s="24">
        <v>8501.0</v>
      </c>
      <c r="J8137" s="24">
        <v>0.0</v>
      </c>
      <c r="K8137" s="23" t="s">
        <v>34</v>
      </c>
      <c r="L8137" s="25">
        <v>41546.60212962963</v>
      </c>
      <c r="M8137" s="28"/>
      <c r="N8137" s="28"/>
      <c r="O8137" s="22" t="str">
        <f>HYPERLINK("https://pbs.twimg.com/profile_images/614412328461860864/gmrfOEDL_normal.jpg","View")</f>
        <v>View</v>
      </c>
      <c r="P8137" s="27"/>
    </row>
    <row r="8138">
      <c r="A8138" s="14">
        <v>43031.74387731482</v>
      </c>
      <c r="B8138" s="20" t="str">
        <f>HYPERLINK("https://twitter.com/ShravanSaxena","@ShravanSaxena")</f>
        <v>@ShravanSaxena</v>
      </c>
      <c r="C8138" s="21" t="s">
        <v>18034</v>
      </c>
      <c r="D8138" s="21" t="s">
        <v>18035</v>
      </c>
      <c r="E8138" s="22" t="str">
        <f>HYPERLINK("https://twitter.com/ShravanSaxena/status/922626488410755072","922626488410755072")</f>
        <v>922626488410755072</v>
      </c>
      <c r="F8138" s="23" t="s">
        <v>55</v>
      </c>
      <c r="G8138" s="24">
        <v>205.0</v>
      </c>
      <c r="H8138" s="24">
        <v>27.0</v>
      </c>
      <c r="I8138" s="24">
        <v>0.0</v>
      </c>
      <c r="J8138" s="24">
        <v>0.0</v>
      </c>
      <c r="K8138" s="23" t="s">
        <v>34</v>
      </c>
      <c r="L8138" s="25">
        <v>40709.14003472222</v>
      </c>
      <c r="M8138" s="28"/>
      <c r="N8138" s="26" t="s">
        <v>18036</v>
      </c>
      <c r="O8138" s="22" t="str">
        <f>HYPERLINK("https://pbs.twimg.com/profile_images/897969469359759360/jKeltRek_normal.jpg","View")</f>
        <v>View</v>
      </c>
      <c r="P8138" s="27"/>
    </row>
    <row r="8139">
      <c r="A8139" s="14">
        <v>43031.74413194445</v>
      </c>
      <c r="B8139" s="20" t="str">
        <f>HYPERLINK("https://twitter.com/nsi_tw","@nsi_tw")</f>
        <v>@nsi_tw</v>
      </c>
      <c r="C8139" s="21" t="s">
        <v>18037</v>
      </c>
      <c r="D8139" s="21" t="s">
        <v>1642</v>
      </c>
      <c r="E8139" s="22" t="str">
        <f>HYPERLINK("https://twitter.com/nsi_tw/status/922626583046668288","922626583046668288")</f>
        <v>922626583046668288</v>
      </c>
      <c r="F8139" s="23" t="s">
        <v>18038</v>
      </c>
      <c r="G8139" s="24">
        <v>1409.0</v>
      </c>
      <c r="H8139" s="24">
        <v>1625.0</v>
      </c>
      <c r="I8139" s="24">
        <v>199.0</v>
      </c>
      <c r="J8139" s="24">
        <v>0.0</v>
      </c>
      <c r="K8139" s="23" t="s">
        <v>34</v>
      </c>
      <c r="L8139" s="25">
        <v>39361.263969907406</v>
      </c>
      <c r="M8139" s="26" t="s">
        <v>18039</v>
      </c>
      <c r="N8139" s="26" t="s">
        <v>18040</v>
      </c>
      <c r="O8139" s="22" t="str">
        <f>HYPERLINK("https://pbs.twimg.com/profile_images/429892508626079744/epRddPGf_normal.jpeg","View")</f>
        <v>View</v>
      </c>
      <c r="P8139" s="27"/>
    </row>
    <row r="8140">
      <c r="A8140" s="14">
        <v>43031.74456018519</v>
      </c>
      <c r="B8140" s="20" t="str">
        <f>HYPERLINK("https://twitter.com/RadioMaw","@RadioMaw")</f>
        <v>@RadioMaw</v>
      </c>
      <c r="C8140" s="21" t="s">
        <v>18041</v>
      </c>
      <c r="D8140" s="21" t="s">
        <v>1642</v>
      </c>
      <c r="E8140" s="22" t="str">
        <f>HYPERLINK("https://twitter.com/RadioMaw/status/922626735606177792","922626735606177792")</f>
        <v>922626735606177792</v>
      </c>
      <c r="F8140" s="23" t="s">
        <v>769</v>
      </c>
      <c r="G8140" s="24">
        <v>405.0</v>
      </c>
      <c r="H8140" s="24">
        <v>1121.0</v>
      </c>
      <c r="I8140" s="24">
        <v>199.0</v>
      </c>
      <c r="J8140" s="24">
        <v>0.0</v>
      </c>
      <c r="K8140" s="23" t="s">
        <v>34</v>
      </c>
      <c r="L8140" s="25">
        <v>39981.023726851854</v>
      </c>
      <c r="M8140" s="26" t="s">
        <v>18042</v>
      </c>
      <c r="N8140" s="26" t="s">
        <v>18043</v>
      </c>
      <c r="O8140" s="22" t="str">
        <f>HYPERLINK("https://pbs.twimg.com/profile_images/522792807581249536/BYWuPDm7_normal.jpeg","View")</f>
        <v>View</v>
      </c>
      <c r="P8140" s="27"/>
    </row>
    <row r="8141">
      <c r="A8141" s="14">
        <v>43031.74460648149</v>
      </c>
      <c r="B8141" s="20" t="str">
        <f>HYPERLINK("https://twitter.com/BeccaTauscher10","@BeccaTauscher10")</f>
        <v>@BeccaTauscher10</v>
      </c>
      <c r="C8141" s="21" t="s">
        <v>18044</v>
      </c>
      <c r="D8141" s="21" t="s">
        <v>18045</v>
      </c>
      <c r="E8141" s="22" t="str">
        <f>HYPERLINK("https://twitter.com/BeccaTauscher10/status/922626756196126720","922626756196126720")</f>
        <v>922626756196126720</v>
      </c>
      <c r="F8141" s="23" t="s">
        <v>33</v>
      </c>
      <c r="G8141" s="24">
        <v>55.0</v>
      </c>
      <c r="H8141" s="24">
        <v>1486.0</v>
      </c>
      <c r="I8141" s="24">
        <v>1.0</v>
      </c>
      <c r="J8141" s="24">
        <v>0.0</v>
      </c>
      <c r="K8141" s="23" t="s">
        <v>34</v>
      </c>
      <c r="L8141" s="25">
        <v>41743.828668981485</v>
      </c>
      <c r="M8141" s="26" t="s">
        <v>18046</v>
      </c>
      <c r="N8141" s="26" t="s">
        <v>18047</v>
      </c>
      <c r="O8141" s="22" t="str">
        <f>HYPERLINK("https://pbs.twimg.com/profile_images/749761685859266560/AyDtuo60_normal.jpg","View")</f>
        <v>View</v>
      </c>
      <c r="P8141" s="27"/>
    </row>
    <row r="8142">
      <c r="A8142" s="14">
        <v>43031.744722222225</v>
      </c>
      <c r="B8142" s="20" t="str">
        <f>HYPERLINK("https://twitter.com/takuyami","@takuyami")</f>
        <v>@takuyami</v>
      </c>
      <c r="C8142" s="21" t="s">
        <v>18048</v>
      </c>
      <c r="D8142" s="21" t="s">
        <v>1642</v>
      </c>
      <c r="E8142" s="22" t="str">
        <f>HYPERLINK("https://twitter.com/takuyami/status/922626795353993216","922626795353993216")</f>
        <v>922626795353993216</v>
      </c>
      <c r="F8142" s="23" t="s">
        <v>39</v>
      </c>
      <c r="G8142" s="24">
        <v>19.0</v>
      </c>
      <c r="H8142" s="24">
        <v>63.0</v>
      </c>
      <c r="I8142" s="24">
        <v>199.0</v>
      </c>
      <c r="J8142" s="24">
        <v>0.0</v>
      </c>
      <c r="K8142" s="23" t="s">
        <v>34</v>
      </c>
      <c r="L8142" s="25">
        <v>40225.03266203704</v>
      </c>
      <c r="M8142" s="28"/>
      <c r="N8142" s="26" t="s">
        <v>18049</v>
      </c>
      <c r="O8142" s="22" t="str">
        <f>HYPERLINK("https://pbs.twimg.com/profile_images/740232853/1124_normal.jpg","View")</f>
        <v>View</v>
      </c>
      <c r="P8142" s="27"/>
    </row>
    <row r="8143">
      <c r="A8143" s="14">
        <v>43031.74476851852</v>
      </c>
      <c r="B8143" s="20" t="str">
        <f>HYPERLINK("https://twitter.com/imakino","@imakino")</f>
        <v>@imakino</v>
      </c>
      <c r="C8143" s="21" t="s">
        <v>18050</v>
      </c>
      <c r="D8143" s="21" t="s">
        <v>1642</v>
      </c>
      <c r="E8143" s="22" t="str">
        <f>HYPERLINK("https://twitter.com/imakino/status/922626814714961920","922626814714961920")</f>
        <v>922626814714961920</v>
      </c>
      <c r="F8143" s="23" t="s">
        <v>39</v>
      </c>
      <c r="G8143" s="24">
        <v>275.0</v>
      </c>
      <c r="H8143" s="24">
        <v>164.0</v>
      </c>
      <c r="I8143" s="24">
        <v>199.0</v>
      </c>
      <c r="J8143" s="24">
        <v>0.0</v>
      </c>
      <c r="K8143" s="23" t="s">
        <v>34</v>
      </c>
      <c r="L8143" s="25">
        <v>39945.11009259259</v>
      </c>
      <c r="M8143" s="26" t="s">
        <v>18051</v>
      </c>
      <c r="N8143" s="26" t="s">
        <v>18052</v>
      </c>
      <c r="O8143" s="22" t="str">
        <f>HYPERLINK("https://pbs.twimg.com/profile_images/662072008822255616/H1woEw8l_normal.jpg","View")</f>
        <v>View</v>
      </c>
      <c r="P8143" s="27"/>
    </row>
    <row r="8144">
      <c r="A8144" s="14">
        <v>43031.74480324074</v>
      </c>
      <c r="B8144" s="20" t="str">
        <f t="shared" ref="B8144:B8146" si="149">HYPERLINK("https://twitter.com/RinconIntlNews","@RinconIntlNews")</f>
        <v>@RinconIntlNews</v>
      </c>
      <c r="C8144" s="21" t="s">
        <v>18053</v>
      </c>
      <c r="D8144" s="21" t="s">
        <v>18054</v>
      </c>
      <c r="E8144" s="22" t="str">
        <f>HYPERLINK("https://twitter.com/RinconIntlNews/status/922626827285336064","922626827285336064")</f>
        <v>922626827285336064</v>
      </c>
      <c r="F8144" s="23" t="s">
        <v>18055</v>
      </c>
      <c r="G8144" s="24">
        <v>16599.0</v>
      </c>
      <c r="H8144" s="24">
        <v>14568.0</v>
      </c>
      <c r="I8144" s="24">
        <v>0.0</v>
      </c>
      <c r="J8144" s="24">
        <v>0.0</v>
      </c>
      <c r="K8144" s="23" t="s">
        <v>34</v>
      </c>
      <c r="L8144" s="25">
        <v>42656.40520833334</v>
      </c>
      <c r="M8144" s="26" t="s">
        <v>1563</v>
      </c>
      <c r="N8144" s="26" t="s">
        <v>18056</v>
      </c>
      <c r="O8144" s="22" t="str">
        <f t="shared" ref="O8144:O8146" si="150">HYPERLINK("https://pbs.twimg.com/profile_images/786609884770934784/o4X_5806_normal.jpg","View")</f>
        <v>View</v>
      </c>
      <c r="P8144" s="27"/>
    </row>
    <row r="8145">
      <c r="A8145" s="14">
        <v>43031.74489583333</v>
      </c>
      <c r="B8145" s="20" t="str">
        <f t="shared" si="149"/>
        <v>@RinconIntlNews</v>
      </c>
      <c r="C8145" s="21" t="s">
        <v>18053</v>
      </c>
      <c r="D8145" s="21" t="s">
        <v>18057</v>
      </c>
      <c r="E8145" s="22" t="str">
        <f>HYPERLINK("https://twitter.com/RinconIntlNews/status/922626859858386945","922626859858386945")</f>
        <v>922626859858386945</v>
      </c>
      <c r="F8145" s="23" t="s">
        <v>18055</v>
      </c>
      <c r="G8145" s="24">
        <v>16599.0</v>
      </c>
      <c r="H8145" s="24">
        <v>14568.0</v>
      </c>
      <c r="I8145" s="24">
        <v>0.0</v>
      </c>
      <c r="J8145" s="24">
        <v>0.0</v>
      </c>
      <c r="K8145" s="23" t="s">
        <v>34</v>
      </c>
      <c r="L8145" s="25">
        <v>42656.40520833334</v>
      </c>
      <c r="M8145" s="26" t="s">
        <v>1563</v>
      </c>
      <c r="N8145" s="26" t="s">
        <v>18056</v>
      </c>
      <c r="O8145" s="22" t="str">
        <f t="shared" si="150"/>
        <v>View</v>
      </c>
      <c r="P8145" s="27"/>
    </row>
    <row r="8146">
      <c r="A8146" s="14">
        <v>43031.74493055556</v>
      </c>
      <c r="B8146" s="20" t="str">
        <f t="shared" si="149"/>
        <v>@RinconIntlNews</v>
      </c>
      <c r="C8146" s="21" t="s">
        <v>18053</v>
      </c>
      <c r="D8146" s="21" t="s">
        <v>18058</v>
      </c>
      <c r="E8146" s="22" t="str">
        <f>HYPERLINK("https://twitter.com/RinconIntlNews/status/922626870780284929","922626870780284929")</f>
        <v>922626870780284929</v>
      </c>
      <c r="F8146" s="23" t="s">
        <v>18055</v>
      </c>
      <c r="G8146" s="24">
        <v>16599.0</v>
      </c>
      <c r="H8146" s="24">
        <v>14568.0</v>
      </c>
      <c r="I8146" s="24">
        <v>1.0</v>
      </c>
      <c r="J8146" s="24">
        <v>1.0</v>
      </c>
      <c r="K8146" s="23" t="s">
        <v>34</v>
      </c>
      <c r="L8146" s="25">
        <v>42656.40520833334</v>
      </c>
      <c r="M8146" s="26" t="s">
        <v>1563</v>
      </c>
      <c r="N8146" s="26" t="s">
        <v>18056</v>
      </c>
      <c r="O8146" s="22" t="str">
        <f t="shared" si="150"/>
        <v>View</v>
      </c>
      <c r="P8146" s="27"/>
    </row>
    <row r="8147">
      <c r="A8147" s="14">
        <v>43031.744988425926</v>
      </c>
      <c r="B8147" s="20" t="str">
        <f>HYPERLINK("https://twitter.com/CAG39478345","@CAG39478345")</f>
        <v>@CAG39478345</v>
      </c>
      <c r="C8147" s="21" t="s">
        <v>18059</v>
      </c>
      <c r="D8147" s="21" t="s">
        <v>1642</v>
      </c>
      <c r="E8147" s="22" t="str">
        <f>HYPERLINK("https://twitter.com/CAG39478345/status/922626891005140992","922626891005140992")</f>
        <v>922626891005140992</v>
      </c>
      <c r="F8147" s="23" t="s">
        <v>39</v>
      </c>
      <c r="G8147" s="24">
        <v>431.0</v>
      </c>
      <c r="H8147" s="24">
        <v>879.0</v>
      </c>
      <c r="I8147" s="24">
        <v>199.0</v>
      </c>
      <c r="J8147" s="24">
        <v>0.0</v>
      </c>
      <c r="K8147" s="23" t="s">
        <v>34</v>
      </c>
      <c r="L8147" s="25">
        <v>42789.77030092593</v>
      </c>
      <c r="M8147" s="28"/>
      <c r="N8147" s="26" t="s">
        <v>18060</v>
      </c>
      <c r="O8147" s="22" t="str">
        <f>HYPERLINK("https://abs.twimg.com/sticky/default_profile_images/default_profile_normal.png","View")</f>
        <v>View</v>
      </c>
      <c r="P8147" s="27"/>
    </row>
    <row r="8148">
      <c r="A8148" s="14">
        <v>43031.74511574074</v>
      </c>
      <c r="B8148" s="20" t="str">
        <f>HYPERLINK("https://twitter.com/balgaa","@balgaa")</f>
        <v>@balgaa</v>
      </c>
      <c r="C8148" s="21" t="s">
        <v>18061</v>
      </c>
      <c r="D8148" s="21" t="s">
        <v>8665</v>
      </c>
      <c r="E8148" s="22" t="str">
        <f>HYPERLINK("https://twitter.com/balgaa/status/922626940338626560","922626940338626560")</f>
        <v>922626940338626560</v>
      </c>
      <c r="F8148" s="23" t="s">
        <v>55</v>
      </c>
      <c r="G8148" s="24">
        <v>11716.0</v>
      </c>
      <c r="H8148" s="24">
        <v>3116.0</v>
      </c>
      <c r="I8148" s="24">
        <v>67.0</v>
      </c>
      <c r="J8148" s="24">
        <v>0.0</v>
      </c>
      <c r="K8148" s="23" t="s">
        <v>34</v>
      </c>
      <c r="L8148" s="25">
        <v>40034.83471064815</v>
      </c>
      <c r="M8148" s="26" t="s">
        <v>18062</v>
      </c>
      <c r="N8148" s="26" t="s">
        <v>18063</v>
      </c>
      <c r="O8148" s="22" t="str">
        <f>HYPERLINK("https://pbs.twimg.com/profile_images/2356499645/wwis9sxnl89ijk4hiy7b_normal.jpeg","View")</f>
        <v>View</v>
      </c>
      <c r="P8148" s="27"/>
    </row>
    <row r="8149">
      <c r="A8149" s="14">
        <v>43031.74516203704</v>
      </c>
      <c r="B8149" s="20" t="str">
        <f>HYPERLINK("https://twitter.com/mstensionless1","@mstensionless1")</f>
        <v>@mstensionless1</v>
      </c>
      <c r="C8149" s="21" t="s">
        <v>18064</v>
      </c>
      <c r="D8149" s="21" t="s">
        <v>42</v>
      </c>
      <c r="E8149" s="22" t="str">
        <f>HYPERLINK("https://twitter.com/mstensionless1/status/922626957702922240","922626957702922240")</f>
        <v>922626957702922240</v>
      </c>
      <c r="F8149" s="23" t="s">
        <v>43</v>
      </c>
      <c r="G8149" s="24">
        <v>80.0</v>
      </c>
      <c r="H8149" s="24">
        <v>89.0</v>
      </c>
      <c r="I8149" s="24">
        <v>8501.0</v>
      </c>
      <c r="J8149" s="24">
        <v>0.0</v>
      </c>
      <c r="K8149" s="23" t="s">
        <v>34</v>
      </c>
      <c r="L8149" s="25">
        <v>42766.81104166667</v>
      </c>
      <c r="M8149" s="28"/>
      <c r="N8149" s="28"/>
      <c r="O8149" s="22" t="str">
        <f>HYPERLINK("https://pbs.twimg.com/profile_images/880329398343225345/4SlJxkMz_normal.jpg","View")</f>
        <v>View</v>
      </c>
      <c r="P8149" s="27"/>
    </row>
    <row r="8150">
      <c r="A8150" s="14">
        <v>43031.74554398148</v>
      </c>
      <c r="B8150" s="20" t="str">
        <f>HYPERLINK("https://twitter.com/kz_rshass","@kz_rshass")</f>
        <v>@kz_rshass</v>
      </c>
      <c r="C8150" s="21" t="s">
        <v>18065</v>
      </c>
      <c r="D8150" s="21" t="s">
        <v>1642</v>
      </c>
      <c r="E8150" s="22" t="str">
        <f>HYPERLINK("https://twitter.com/kz_rshass/status/922627092411383809","922627092411383809")</f>
        <v>922627092411383809</v>
      </c>
      <c r="F8150" s="23" t="s">
        <v>18066</v>
      </c>
      <c r="G8150" s="24">
        <v>409.0</v>
      </c>
      <c r="H8150" s="24">
        <v>404.0</v>
      </c>
      <c r="I8150" s="24">
        <v>199.0</v>
      </c>
      <c r="J8150" s="24">
        <v>0.0</v>
      </c>
      <c r="K8150" s="23" t="s">
        <v>34</v>
      </c>
      <c r="L8150" s="25">
        <v>41162.079409722224</v>
      </c>
      <c r="M8150" s="26" t="s">
        <v>18067</v>
      </c>
      <c r="N8150" s="26" t="s">
        <v>18068</v>
      </c>
      <c r="O8150" s="22" t="str">
        <f>HYPERLINK("https://pbs.twimg.com/profile_images/682586586320515072/QFIwiKR4_normal.jpg","View")</f>
        <v>View</v>
      </c>
      <c r="P8150" s="27"/>
    </row>
    <row r="8151">
      <c r="A8151" s="14">
        <v>43031.74563657407</v>
      </c>
      <c r="B8151" s="20" t="str">
        <f>HYPERLINK("https://twitter.com/tada_wo","@tada_wo")</f>
        <v>@tada_wo</v>
      </c>
      <c r="C8151" s="21" t="s">
        <v>18069</v>
      </c>
      <c r="D8151" s="21" t="s">
        <v>1642</v>
      </c>
      <c r="E8151" s="22" t="str">
        <f>HYPERLINK("https://twitter.com/tada_wo/status/922627128247468032","922627128247468032")</f>
        <v>922627128247468032</v>
      </c>
      <c r="F8151" s="23" t="s">
        <v>39</v>
      </c>
      <c r="G8151" s="24">
        <v>1109.0</v>
      </c>
      <c r="H8151" s="24">
        <v>409.0</v>
      </c>
      <c r="I8151" s="24">
        <v>199.0</v>
      </c>
      <c r="J8151" s="24">
        <v>0.0</v>
      </c>
      <c r="K8151" s="23" t="s">
        <v>34</v>
      </c>
      <c r="L8151" s="25">
        <v>39287.81334490741</v>
      </c>
      <c r="M8151" s="26" t="s">
        <v>10117</v>
      </c>
      <c r="N8151" s="26" t="s">
        <v>18070</v>
      </c>
      <c r="O8151" s="22" t="str">
        <f>HYPERLINK("https://pbs.twimg.com/profile_images/916216438368591872/r1F6zZck_normal.jpg","View")</f>
        <v>View</v>
      </c>
      <c r="P8151" s="27"/>
    </row>
    <row r="8152">
      <c r="A8152" s="14">
        <v>43031.74612268519</v>
      </c>
      <c r="B8152" s="20" t="str">
        <f>HYPERLINK("https://twitter.com/TanbirK","@TanbirK")</f>
        <v>@TanbirK</v>
      </c>
      <c r="C8152" s="21" t="s">
        <v>18071</v>
      </c>
      <c r="D8152" s="21" t="s">
        <v>42</v>
      </c>
      <c r="E8152" s="22" t="str">
        <f>HYPERLINK("https://twitter.com/TanbirK/status/922627304290791424","922627304290791424")</f>
        <v>922627304290791424</v>
      </c>
      <c r="F8152" s="23" t="s">
        <v>33</v>
      </c>
      <c r="G8152" s="24">
        <v>293.0</v>
      </c>
      <c r="H8152" s="24">
        <v>441.0</v>
      </c>
      <c r="I8152" s="24">
        <v>8501.0</v>
      </c>
      <c r="J8152" s="24">
        <v>0.0</v>
      </c>
      <c r="K8152" s="23" t="s">
        <v>34</v>
      </c>
      <c r="L8152" s="25">
        <v>40847.12756944445</v>
      </c>
      <c r="M8152" s="26" t="s">
        <v>18072</v>
      </c>
      <c r="N8152" s="26" t="s">
        <v>18073</v>
      </c>
      <c r="O8152" s="22" t="str">
        <f>HYPERLINK("https://pbs.twimg.com/profile_images/911523139800096770/Npqrzyiy_normal.jpg","View")</f>
        <v>View</v>
      </c>
      <c r="P8152" s="27"/>
    </row>
    <row r="8153">
      <c r="A8153" s="14">
        <v>43031.74689814815</v>
      </c>
      <c r="B8153" s="20" t="str">
        <f>HYPERLINK("https://twitter.com/Vinod846","@Vinod846")</f>
        <v>@Vinod846</v>
      </c>
      <c r="C8153" s="21" t="s">
        <v>18074</v>
      </c>
      <c r="D8153" s="21" t="s">
        <v>42</v>
      </c>
      <c r="E8153" s="22" t="str">
        <f>HYPERLINK("https://twitter.com/Vinod846/status/922627585002971136","922627585002971136")</f>
        <v>922627585002971136</v>
      </c>
      <c r="F8153" s="23" t="s">
        <v>33</v>
      </c>
      <c r="G8153" s="24">
        <v>23.0</v>
      </c>
      <c r="H8153" s="24">
        <v>33.0</v>
      </c>
      <c r="I8153" s="24">
        <v>8501.0</v>
      </c>
      <c r="J8153" s="24">
        <v>0.0</v>
      </c>
      <c r="K8153" s="23" t="s">
        <v>34</v>
      </c>
      <c r="L8153" s="25">
        <v>40735.169907407406</v>
      </c>
      <c r="M8153" s="28"/>
      <c r="N8153" s="28"/>
      <c r="O8153" s="22" t="str">
        <f>HYPERLINK("https://pbs.twimg.com/profile_images/558279484009226240/QGuvg_s7_normal.jpeg","View")</f>
        <v>View</v>
      </c>
      <c r="P8153" s="27"/>
    </row>
    <row r="8154">
      <c r="A8154" s="14">
        <v>43031.74799768519</v>
      </c>
      <c r="B8154" s="20" t="str">
        <f>HYPERLINK("https://twitter.com/Phq64aDrFukAPlV","@Phq64aDrFukAPlV")</f>
        <v>@Phq64aDrFukAPlV</v>
      </c>
      <c r="C8154" s="21" t="s">
        <v>18075</v>
      </c>
      <c r="D8154" s="21" t="s">
        <v>42</v>
      </c>
      <c r="E8154" s="22" t="str">
        <f>HYPERLINK("https://twitter.com/Phq64aDrFukAPlV/status/922627981901565952","922627981901565952")</f>
        <v>922627981901565952</v>
      </c>
      <c r="F8154" s="23" t="s">
        <v>43</v>
      </c>
      <c r="G8154" s="24">
        <v>268.0</v>
      </c>
      <c r="H8154" s="24">
        <v>379.0</v>
      </c>
      <c r="I8154" s="24">
        <v>8501.0</v>
      </c>
      <c r="J8154" s="24">
        <v>0.0</v>
      </c>
      <c r="K8154" s="23" t="s">
        <v>34</v>
      </c>
      <c r="L8154" s="25">
        <v>42475.00170138889</v>
      </c>
      <c r="M8154" s="28"/>
      <c r="N8154" s="26" t="s">
        <v>18076</v>
      </c>
      <c r="O8154" s="22" t="str">
        <f>HYPERLINK("https://abs.twimg.com/sticky/default_profile_images/default_profile_normal.png","View")</f>
        <v>View</v>
      </c>
      <c r="P8154" s="27"/>
    </row>
    <row r="8155">
      <c r="A8155" s="14">
        <v>43031.74827546296</v>
      </c>
      <c r="B8155" s="20" t="str">
        <f>HYPERLINK("https://twitter.com/Hiten_2501","@Hiten_2501")</f>
        <v>@Hiten_2501</v>
      </c>
      <c r="C8155" s="21" t="s">
        <v>18077</v>
      </c>
      <c r="D8155" s="21" t="s">
        <v>42</v>
      </c>
      <c r="E8155" s="22" t="str">
        <f>HYPERLINK("https://twitter.com/Hiten_2501/status/922628083701579776","922628083701579776")</f>
        <v>922628083701579776</v>
      </c>
      <c r="F8155" s="23" t="s">
        <v>33</v>
      </c>
      <c r="G8155" s="24">
        <v>210.0</v>
      </c>
      <c r="H8155" s="24">
        <v>326.0</v>
      </c>
      <c r="I8155" s="24">
        <v>8501.0</v>
      </c>
      <c r="J8155" s="24">
        <v>0.0</v>
      </c>
      <c r="K8155" s="23" t="s">
        <v>34</v>
      </c>
      <c r="L8155" s="25">
        <v>41628.81275462963</v>
      </c>
      <c r="M8155" s="28"/>
      <c r="N8155" s="28"/>
      <c r="O8155" s="22" t="str">
        <f>HYPERLINK("https://pbs.twimg.com/profile_images/889181746704637952/tgL9sBbK_normal.jpg","View")</f>
        <v>View</v>
      </c>
      <c r="P8155" s="27"/>
    </row>
    <row r="8156">
      <c r="A8156" s="14">
        <v>43031.74829861111</v>
      </c>
      <c r="B8156" s="20" t="str">
        <f>HYPERLINK("https://twitter.com/kunu4urkl","@kunu4urkl")</f>
        <v>@kunu4urkl</v>
      </c>
      <c r="C8156" s="21" t="s">
        <v>18078</v>
      </c>
      <c r="D8156" s="21" t="s">
        <v>42</v>
      </c>
      <c r="E8156" s="22" t="str">
        <f>HYPERLINK("https://twitter.com/kunu4urkl/status/922628091645530112","922628091645530112")</f>
        <v>922628091645530112</v>
      </c>
      <c r="F8156" s="23" t="s">
        <v>33</v>
      </c>
      <c r="G8156" s="24">
        <v>6.0</v>
      </c>
      <c r="H8156" s="24">
        <v>25.0</v>
      </c>
      <c r="I8156" s="24">
        <v>8501.0</v>
      </c>
      <c r="J8156" s="24">
        <v>0.0</v>
      </c>
      <c r="K8156" s="23" t="s">
        <v>34</v>
      </c>
      <c r="L8156" s="25">
        <v>40220.94568287037</v>
      </c>
      <c r="M8156" s="26" t="s">
        <v>18079</v>
      </c>
      <c r="N8156" s="26" t="s">
        <v>18080</v>
      </c>
      <c r="O8156" s="22" t="str">
        <f>HYPERLINK("https://pbs.twimg.com/profile_images/875206622770888704/CoY7wMsk_normal.jpg","View")</f>
        <v>View</v>
      </c>
      <c r="P8156" s="27"/>
    </row>
    <row r="8157">
      <c r="A8157" s="14">
        <v>43031.748831018514</v>
      </c>
      <c r="B8157" s="20" t="str">
        <f>HYPERLINK("https://twitter.com/HamishCapital","@HamishCapital")</f>
        <v>@HamishCapital</v>
      </c>
      <c r="C8157" s="21" t="s">
        <v>18081</v>
      </c>
      <c r="D8157" s="21" t="s">
        <v>4284</v>
      </c>
      <c r="E8157" s="22" t="str">
        <f>HYPERLINK("https://twitter.com/HamishCapital/status/922628286718517250","922628286718517250")</f>
        <v>922628286718517250</v>
      </c>
      <c r="F8157" s="23" t="s">
        <v>33</v>
      </c>
      <c r="G8157" s="24">
        <v>178.0</v>
      </c>
      <c r="H8157" s="24">
        <v>180.0</v>
      </c>
      <c r="I8157" s="24">
        <v>4.0</v>
      </c>
      <c r="J8157" s="24">
        <v>0.0</v>
      </c>
      <c r="K8157" s="23" t="s">
        <v>34</v>
      </c>
      <c r="L8157" s="25">
        <v>42504.62747685185</v>
      </c>
      <c r="M8157" s="28"/>
      <c r="N8157" s="28"/>
      <c r="O8157" s="22" t="str">
        <f>HYPERLINK("https://pbs.twimg.com/profile_images/892882642504302593/dEHGg_Th_normal.jpg","View")</f>
        <v>View</v>
      </c>
      <c r="P8157" s="27"/>
    </row>
    <row r="8158">
      <c r="A8158" s="14">
        <v>43031.748981481476</v>
      </c>
      <c r="B8158" s="20" t="str">
        <f>HYPERLINK("https://twitter.com/ianilraj01","@ianilraj01")</f>
        <v>@ianilraj01</v>
      </c>
      <c r="C8158" s="21" t="s">
        <v>18082</v>
      </c>
      <c r="D8158" s="21" t="s">
        <v>18083</v>
      </c>
      <c r="E8158" s="22" t="str">
        <f>HYPERLINK("https://twitter.com/ianilraj01/status/922628341848457216","922628341848457216")</f>
        <v>922628341848457216</v>
      </c>
      <c r="F8158" s="23" t="s">
        <v>33</v>
      </c>
      <c r="G8158" s="24">
        <v>310.0</v>
      </c>
      <c r="H8158" s="24">
        <v>106.0</v>
      </c>
      <c r="I8158" s="24">
        <v>0.0</v>
      </c>
      <c r="J8158" s="24">
        <v>1.0</v>
      </c>
      <c r="K8158" s="23" t="s">
        <v>34</v>
      </c>
      <c r="L8158" s="25">
        <v>41992.03260416667</v>
      </c>
      <c r="M8158" s="26" t="s">
        <v>575</v>
      </c>
      <c r="N8158" s="26" t="s">
        <v>18084</v>
      </c>
      <c r="O8158" s="22" t="str">
        <f>HYPERLINK("https://pbs.twimg.com/profile_images/914319681544011776/JwsVJ019_normal.jpg","View")</f>
        <v>View</v>
      </c>
      <c r="P8158" s="27"/>
    </row>
    <row r="8159">
      <c r="A8159" s="14">
        <v>43031.749189814815</v>
      </c>
      <c r="B8159" s="20" t="str">
        <f>HYPERLINK("https://twitter.com/Rajnish_Sood_","@Rajnish_Sood_")</f>
        <v>@Rajnish_Sood_</v>
      </c>
      <c r="C8159" s="21" t="s">
        <v>18085</v>
      </c>
      <c r="D8159" s="21" t="s">
        <v>42</v>
      </c>
      <c r="E8159" s="22" t="str">
        <f>HYPERLINK("https://twitter.com/Rajnish_Sood_/status/922628413369622528","922628413369622528")</f>
        <v>922628413369622528</v>
      </c>
      <c r="F8159" s="23" t="s">
        <v>33</v>
      </c>
      <c r="G8159" s="24">
        <v>18286.0</v>
      </c>
      <c r="H8159" s="24">
        <v>11277.0</v>
      </c>
      <c r="I8159" s="24">
        <v>8501.0</v>
      </c>
      <c r="J8159" s="24">
        <v>0.0</v>
      </c>
      <c r="K8159" s="23" t="s">
        <v>34</v>
      </c>
      <c r="L8159" s="25">
        <v>41418.30980324074</v>
      </c>
      <c r="M8159" s="26" t="s">
        <v>2310</v>
      </c>
      <c r="N8159" s="26" t="s">
        <v>18086</v>
      </c>
      <c r="O8159" s="22" t="str">
        <f>HYPERLINK("https://pbs.twimg.com/profile_images/871054732395196417/FT7JoLbh_normal.jpg","View")</f>
        <v>View</v>
      </c>
      <c r="P8159" s="27"/>
    </row>
    <row r="8160">
      <c r="A8160" s="14">
        <v>43031.7496875</v>
      </c>
      <c r="B8160" s="20" t="str">
        <f>HYPERLINK("https://twitter.com/cosimo_23","@cosimo_23")</f>
        <v>@cosimo_23</v>
      </c>
      <c r="C8160" s="21" t="s">
        <v>18087</v>
      </c>
      <c r="D8160" s="21" t="s">
        <v>18088</v>
      </c>
      <c r="E8160" s="22" t="str">
        <f>HYPERLINK("https://twitter.com/cosimo_23/status/922628597231255552","922628597231255552")</f>
        <v>922628597231255552</v>
      </c>
      <c r="F8160" s="23" t="s">
        <v>39</v>
      </c>
      <c r="G8160" s="24">
        <v>1.0</v>
      </c>
      <c r="H8160" s="24">
        <v>36.0</v>
      </c>
      <c r="I8160" s="24">
        <v>0.0</v>
      </c>
      <c r="J8160" s="24">
        <v>0.0</v>
      </c>
      <c r="K8160" s="23" t="s">
        <v>34</v>
      </c>
      <c r="L8160" s="25">
        <v>42569.22050925926</v>
      </c>
      <c r="M8160" s="28"/>
      <c r="N8160" s="26" t="s">
        <v>18089</v>
      </c>
      <c r="O8160" s="22" t="str">
        <f>HYPERLINK("https://abs.twimg.com/sticky/default_profile_images/default_profile_normal.png","View")</f>
        <v>View</v>
      </c>
      <c r="P8160" s="27"/>
    </row>
    <row r="8161">
      <c r="A8161" s="14">
        <v>43031.74994212963</v>
      </c>
      <c r="B8161" s="20" t="str">
        <f>HYPERLINK("https://twitter.com/Creators_Lounge","@Creators_Lounge")</f>
        <v>@Creators_Lounge</v>
      </c>
      <c r="C8161" s="21" t="s">
        <v>18090</v>
      </c>
      <c r="D8161" s="21" t="s">
        <v>10614</v>
      </c>
      <c r="E8161" s="22" t="str">
        <f>HYPERLINK("https://twitter.com/Creators_Lounge/status/922628686343430146","922628686343430146")</f>
        <v>922628686343430146</v>
      </c>
      <c r="F8161" s="23" t="s">
        <v>55</v>
      </c>
      <c r="G8161" s="24">
        <v>3236.0</v>
      </c>
      <c r="H8161" s="24">
        <v>3737.0</v>
      </c>
      <c r="I8161" s="24">
        <v>159.0</v>
      </c>
      <c r="J8161" s="24">
        <v>0.0</v>
      </c>
      <c r="K8161" s="23" t="s">
        <v>34</v>
      </c>
      <c r="L8161" s="25">
        <v>41268.59923611111</v>
      </c>
      <c r="M8161" s="26" t="s">
        <v>3187</v>
      </c>
      <c r="N8161" s="26" t="s">
        <v>18091</v>
      </c>
      <c r="O8161" s="22" t="str">
        <f>HYPERLINK("https://pbs.twimg.com/profile_images/476759895165767681/E1rzwNAp_normal.jpeg","View")</f>
        <v>View</v>
      </c>
      <c r="P8161" s="27"/>
    </row>
    <row r="8162">
      <c r="A8162" s="14">
        <v>43031.75002314815</v>
      </c>
      <c r="B8162" s="20" t="str">
        <f>HYPERLINK("https://twitter.com/NagrathRob","@NagrathRob")</f>
        <v>@NagrathRob</v>
      </c>
      <c r="C8162" s="21" t="s">
        <v>1112</v>
      </c>
      <c r="D8162" s="21" t="s">
        <v>42</v>
      </c>
      <c r="E8162" s="22" t="str">
        <f>HYPERLINK("https://twitter.com/NagrathRob/status/922628719033778177","922628719033778177")</f>
        <v>922628719033778177</v>
      </c>
      <c r="F8162" s="23" t="s">
        <v>39</v>
      </c>
      <c r="G8162" s="24">
        <v>222.0</v>
      </c>
      <c r="H8162" s="24">
        <v>30.0</v>
      </c>
      <c r="I8162" s="24">
        <v>8501.0</v>
      </c>
      <c r="J8162" s="24">
        <v>0.0</v>
      </c>
      <c r="K8162" s="23" t="s">
        <v>34</v>
      </c>
      <c r="L8162" s="25">
        <v>42083.74023148148</v>
      </c>
      <c r="M8162" s="28"/>
      <c r="N8162" s="26" t="s">
        <v>1113</v>
      </c>
      <c r="O8162" s="22" t="str">
        <f>HYPERLINK("https://pbs.twimg.com/profile_images/905034890185326592/PfmPt-Zw_normal.jpg","View")</f>
        <v>View</v>
      </c>
      <c r="P8162" s="27"/>
    </row>
    <row r="8163">
      <c r="A8163" s="14">
        <v>43031.750289351854</v>
      </c>
      <c r="B8163" s="20" t="str">
        <f>HYPERLINK("https://twitter.com/pmi_ky","@pmi_ky")</f>
        <v>@pmi_ky</v>
      </c>
      <c r="C8163" s="21" t="s">
        <v>18092</v>
      </c>
      <c r="D8163" s="21" t="s">
        <v>18093</v>
      </c>
      <c r="E8163" s="22" t="str">
        <f>HYPERLINK("https://twitter.com/pmi_ky/status/922628814513033216","922628814513033216")</f>
        <v>922628814513033216</v>
      </c>
      <c r="F8163" s="23" t="s">
        <v>427</v>
      </c>
      <c r="G8163" s="24">
        <v>165.0</v>
      </c>
      <c r="H8163" s="24">
        <v>137.0</v>
      </c>
      <c r="I8163" s="24">
        <v>1.0</v>
      </c>
      <c r="J8163" s="24">
        <v>1.0</v>
      </c>
      <c r="K8163" s="23" t="s">
        <v>34</v>
      </c>
      <c r="L8163" s="25">
        <v>42121.666238425925</v>
      </c>
      <c r="M8163" s="26" t="s">
        <v>18094</v>
      </c>
      <c r="N8163" s="26" t="s">
        <v>18095</v>
      </c>
      <c r="O8163" s="22" t="str">
        <f>HYPERLINK("https://pbs.twimg.com/profile_images/837699845553074176/E8qeaWcb_normal.jpg","View")</f>
        <v>View</v>
      </c>
      <c r="P8163" s="27"/>
    </row>
    <row r="8164">
      <c r="A8164" s="14">
        <v>43031.75047453704</v>
      </c>
      <c r="B8164" s="20" t="str">
        <f>HYPERLINK("https://twitter.com/ABauer_ATR","@ABauer_ATR")</f>
        <v>@ABauer_ATR</v>
      </c>
      <c r="C8164" s="21" t="s">
        <v>18096</v>
      </c>
      <c r="D8164" s="21" t="s">
        <v>18097</v>
      </c>
      <c r="E8164" s="22" t="str">
        <f>HYPERLINK("https://twitter.com/ABauer_ATR/status/922628881936416769","922628881936416769")</f>
        <v>922628881936416769</v>
      </c>
      <c r="F8164" s="23" t="s">
        <v>427</v>
      </c>
      <c r="G8164" s="24">
        <v>1319.0</v>
      </c>
      <c r="H8164" s="24">
        <v>635.0</v>
      </c>
      <c r="I8164" s="24">
        <v>0.0</v>
      </c>
      <c r="J8164" s="24">
        <v>0.0</v>
      </c>
      <c r="K8164" s="23" t="s">
        <v>34</v>
      </c>
      <c r="L8164" s="25">
        <v>41093.28393518519</v>
      </c>
      <c r="M8164" s="26" t="s">
        <v>4083</v>
      </c>
      <c r="N8164" s="26" t="s">
        <v>18098</v>
      </c>
      <c r="O8164" s="22" t="str">
        <f>HYPERLINK("https://pbs.twimg.com/profile_images/794973649249992704/nGcOS6Qe_normal.jpg","View")</f>
        <v>View</v>
      </c>
      <c r="P8164" s="27"/>
    </row>
    <row r="8165">
      <c r="A8165" s="14">
        <v>43031.75050925926</v>
      </c>
      <c r="B8165" s="20" t="str">
        <f>HYPERLINK("https://twitter.com/AroundTheRings","@AroundTheRings")</f>
        <v>@AroundTheRings</v>
      </c>
      <c r="C8165" s="21" t="s">
        <v>18099</v>
      </c>
      <c r="D8165" s="21" t="s">
        <v>18100</v>
      </c>
      <c r="E8165" s="22" t="str">
        <f>HYPERLINK("https://twitter.com/AroundTheRings/status/922628895450558464","922628895450558464")</f>
        <v>922628895450558464</v>
      </c>
      <c r="F8165" s="23" t="s">
        <v>427</v>
      </c>
      <c r="G8165" s="24">
        <v>23539.0</v>
      </c>
      <c r="H8165" s="24">
        <v>10345.0</v>
      </c>
      <c r="I8165" s="24">
        <v>2.0</v>
      </c>
      <c r="J8165" s="24">
        <v>0.0</v>
      </c>
      <c r="K8165" s="23" t="s">
        <v>34</v>
      </c>
      <c r="L8165" s="25">
        <v>39833.41166666667</v>
      </c>
      <c r="M8165" s="26" t="s">
        <v>18101</v>
      </c>
      <c r="N8165" s="26" t="s">
        <v>18102</v>
      </c>
      <c r="O8165" s="22" t="str">
        <f>HYPERLINK("https://pbs.twimg.com/profile_images/902170257674067972/9AmNe3KF_normal.jpg","View")</f>
        <v>View</v>
      </c>
      <c r="P8165" s="27"/>
    </row>
    <row r="8166">
      <c r="A8166" s="14">
        <v>43031.75063657407</v>
      </c>
      <c r="B8166" s="20" t="str">
        <f>HYPERLINK("https://twitter.com/allureallurek","@allureallurek")</f>
        <v>@allureallurek</v>
      </c>
      <c r="C8166" s="21" t="s">
        <v>18103</v>
      </c>
      <c r="D8166" s="21" t="s">
        <v>12974</v>
      </c>
      <c r="E8166" s="22" t="str">
        <f>HYPERLINK("https://twitter.com/allureallurek/status/922628939024973824","922628939024973824")</f>
        <v>922628939024973824</v>
      </c>
      <c r="F8166" s="23" t="s">
        <v>230</v>
      </c>
      <c r="G8166" s="24">
        <v>1156.0</v>
      </c>
      <c r="H8166" s="24">
        <v>878.0</v>
      </c>
      <c r="I8166" s="24">
        <v>110.0</v>
      </c>
      <c r="J8166" s="24">
        <v>0.0</v>
      </c>
      <c r="K8166" s="23" t="s">
        <v>34</v>
      </c>
      <c r="L8166" s="25">
        <v>40482.337060185186</v>
      </c>
      <c r="M8166" s="28"/>
      <c r="N8166" s="26" t="s">
        <v>18104</v>
      </c>
      <c r="O8166" s="22" t="str">
        <f>HYPERLINK("https://pbs.twimg.com/profile_images/1160272929/201011042237000_normal.jpg","View")</f>
        <v>View</v>
      </c>
      <c r="P8166" s="27"/>
    </row>
    <row r="8167">
      <c r="A8167" s="14">
        <v>43031.751018518524</v>
      </c>
      <c r="B8167" s="20" t="str">
        <f>HYPERLINK("https://twitter.com/ShravanSaxena","@ShravanSaxena")</f>
        <v>@ShravanSaxena</v>
      </c>
      <c r="C8167" s="21" t="s">
        <v>18034</v>
      </c>
      <c r="D8167" s="21" t="s">
        <v>18105</v>
      </c>
      <c r="E8167" s="22" t="str">
        <f>HYPERLINK("https://twitter.com/ShravanSaxena/status/922629077143613440","922629077143613440")</f>
        <v>922629077143613440</v>
      </c>
      <c r="F8167" s="23" t="s">
        <v>55</v>
      </c>
      <c r="G8167" s="24">
        <v>205.0</v>
      </c>
      <c r="H8167" s="24">
        <v>27.0</v>
      </c>
      <c r="I8167" s="24">
        <v>0.0</v>
      </c>
      <c r="J8167" s="24">
        <v>0.0</v>
      </c>
      <c r="K8167" s="23" t="s">
        <v>34</v>
      </c>
      <c r="L8167" s="25">
        <v>40709.14003472222</v>
      </c>
      <c r="M8167" s="28"/>
      <c r="N8167" s="26" t="s">
        <v>18036</v>
      </c>
      <c r="O8167" s="22" t="str">
        <f>HYPERLINK("https://pbs.twimg.com/profile_images/897969469359759360/jKeltRek_normal.jpg","View")</f>
        <v>View</v>
      </c>
      <c r="P8167" s="27"/>
    </row>
    <row r="8168">
      <c r="A8168" s="14">
        <v>43031.75130787037</v>
      </c>
      <c r="B8168" s="20" t="str">
        <f>HYPERLINK("https://twitter.com/peterkonnecke","@peterkonnecke")</f>
        <v>@peterkonnecke</v>
      </c>
      <c r="C8168" s="21" t="s">
        <v>18106</v>
      </c>
      <c r="D8168" s="21" t="s">
        <v>18107</v>
      </c>
      <c r="E8168" s="22" t="str">
        <f>HYPERLINK("https://twitter.com/peterkonnecke/status/922629184710742016","922629184710742016")</f>
        <v>922629184710742016</v>
      </c>
      <c r="F8168" s="23" t="s">
        <v>187</v>
      </c>
      <c r="G8168" s="24">
        <v>838.0</v>
      </c>
      <c r="H8168" s="24">
        <v>2121.0</v>
      </c>
      <c r="I8168" s="24">
        <v>0.0</v>
      </c>
      <c r="J8168" s="24">
        <v>0.0</v>
      </c>
      <c r="K8168" s="23" t="s">
        <v>34</v>
      </c>
      <c r="L8168" s="25">
        <v>39494.6550462963</v>
      </c>
      <c r="M8168" s="26" t="s">
        <v>18108</v>
      </c>
      <c r="N8168" s="26" t="s">
        <v>18109</v>
      </c>
      <c r="O8168" s="22" t="str">
        <f>HYPERLINK("https://pbs.twimg.com/profile_images/832401808169381888/pkJH9LBJ_normal.jpg","View")</f>
        <v>View</v>
      </c>
      <c r="P8168" s="27"/>
    </row>
    <row r="8169">
      <c r="A8169" s="14">
        <v>43031.7515625</v>
      </c>
      <c r="B8169" s="20" t="str">
        <f t="shared" ref="B8169:B8170" si="151">HYPERLINK("https://twitter.com/globnewsen","@globnewsen")</f>
        <v>@globnewsen</v>
      </c>
      <c r="C8169" s="21" t="s">
        <v>17207</v>
      </c>
      <c r="D8169" s="21" t="s">
        <v>18110</v>
      </c>
      <c r="E8169" s="22" t="str">
        <f>HYPERLINK("https://twitter.com/globnewsen/status/922629273550286848","922629273550286848")</f>
        <v>922629273550286848</v>
      </c>
      <c r="F8169" s="23" t="s">
        <v>187</v>
      </c>
      <c r="G8169" s="24">
        <v>543.0</v>
      </c>
      <c r="H8169" s="24">
        <v>0.0</v>
      </c>
      <c r="I8169" s="24">
        <v>0.0</v>
      </c>
      <c r="J8169" s="24">
        <v>0.0</v>
      </c>
      <c r="K8169" s="23" t="s">
        <v>34</v>
      </c>
      <c r="L8169" s="25">
        <v>41790.52559027778</v>
      </c>
      <c r="M8169" s="28"/>
      <c r="N8169" s="28"/>
      <c r="O8169" s="22" t="str">
        <f t="shared" ref="O8169:O8170" si="152">HYPERLINK("https://abs.twimg.com/sticky/default_profile_images/default_profile_normal.png","View")</f>
        <v>View</v>
      </c>
      <c r="P8169" s="27"/>
    </row>
    <row r="8170">
      <c r="A8170" s="14">
        <v>43031.7515625</v>
      </c>
      <c r="B8170" s="20" t="str">
        <f t="shared" si="151"/>
        <v>@globnewsen</v>
      </c>
      <c r="C8170" s="21" t="s">
        <v>17207</v>
      </c>
      <c r="D8170" s="21" t="s">
        <v>18111</v>
      </c>
      <c r="E8170" s="22" t="str">
        <f>HYPERLINK("https://twitter.com/globnewsen/status/922629275815202816","922629275815202816")</f>
        <v>922629275815202816</v>
      </c>
      <c r="F8170" s="23" t="s">
        <v>187</v>
      </c>
      <c r="G8170" s="24">
        <v>543.0</v>
      </c>
      <c r="H8170" s="24">
        <v>0.0</v>
      </c>
      <c r="I8170" s="24">
        <v>0.0</v>
      </c>
      <c r="J8170" s="24">
        <v>0.0</v>
      </c>
      <c r="K8170" s="23" t="s">
        <v>34</v>
      </c>
      <c r="L8170" s="25">
        <v>41790.52559027778</v>
      </c>
      <c r="M8170" s="28"/>
      <c r="N8170" s="28"/>
      <c r="O8170" s="22" t="str">
        <f t="shared" si="152"/>
        <v>View</v>
      </c>
      <c r="P8170" s="27"/>
    </row>
    <row r="8171">
      <c r="A8171" s="14">
        <v>43031.75157407408</v>
      </c>
      <c r="B8171" s="20" t="str">
        <f>HYPERLINK("https://twitter.com/JohnathanMulroo","@JohnathanMulroo")</f>
        <v>@JohnathanMulroo</v>
      </c>
      <c r="C8171" s="21" t="s">
        <v>18112</v>
      </c>
      <c r="D8171" s="21" t="s">
        <v>18113</v>
      </c>
      <c r="E8171" s="22" t="str">
        <f>HYPERLINK("https://twitter.com/JohnathanMulroo/status/922629281427087360","922629281427087360")</f>
        <v>922629281427087360</v>
      </c>
      <c r="F8171" s="23" t="s">
        <v>55</v>
      </c>
      <c r="G8171" s="24">
        <v>1437.0</v>
      </c>
      <c r="H8171" s="24">
        <v>2287.0</v>
      </c>
      <c r="I8171" s="24">
        <v>18.0</v>
      </c>
      <c r="J8171" s="24">
        <v>0.0</v>
      </c>
      <c r="K8171" s="23" t="s">
        <v>34</v>
      </c>
      <c r="L8171" s="25">
        <v>41009.78586805556</v>
      </c>
      <c r="M8171" s="26" t="s">
        <v>18114</v>
      </c>
      <c r="N8171" s="26" t="s">
        <v>18115</v>
      </c>
      <c r="O8171" s="22" t="str">
        <f>HYPERLINK("https://pbs.twimg.com/profile_images/876119815768780800/xlYT1LKL_normal.jpg","View")</f>
        <v>View</v>
      </c>
      <c r="P8171" s="27"/>
    </row>
    <row r="8172">
      <c r="A8172" s="14">
        <v>43031.75158564815</v>
      </c>
      <c r="B8172" s="20" t="str">
        <f>HYPERLINK("https://twitter.com/ShravanSaxena","@ShravanSaxena")</f>
        <v>@ShravanSaxena</v>
      </c>
      <c r="C8172" s="21" t="s">
        <v>18034</v>
      </c>
      <c r="D8172" s="21" t="s">
        <v>18116</v>
      </c>
      <c r="E8172" s="22" t="str">
        <f>HYPERLINK("https://twitter.com/ShravanSaxena/status/922629282022731776","922629282022731776")</f>
        <v>922629282022731776</v>
      </c>
      <c r="F8172" s="23" t="s">
        <v>55</v>
      </c>
      <c r="G8172" s="24">
        <v>205.0</v>
      </c>
      <c r="H8172" s="24">
        <v>27.0</v>
      </c>
      <c r="I8172" s="24">
        <v>0.0</v>
      </c>
      <c r="J8172" s="24">
        <v>0.0</v>
      </c>
      <c r="K8172" s="23" t="s">
        <v>34</v>
      </c>
      <c r="L8172" s="25">
        <v>40709.14003472222</v>
      </c>
      <c r="M8172" s="28"/>
      <c r="N8172" s="26" t="s">
        <v>18036</v>
      </c>
      <c r="O8172" s="22" t="str">
        <f>HYPERLINK("https://pbs.twimg.com/profile_images/897969469359759360/jKeltRek_normal.jpg","View")</f>
        <v>View</v>
      </c>
      <c r="P8172" s="27"/>
    </row>
    <row r="8173">
      <c r="A8173" s="14">
        <v>43031.75185185185</v>
      </c>
      <c r="B8173" s="20" t="str">
        <f>HYPERLINK("https://twitter.com/gotur1","@gotur1")</f>
        <v>@gotur1</v>
      </c>
      <c r="C8173" s="21" t="s">
        <v>18117</v>
      </c>
      <c r="D8173" s="21" t="s">
        <v>4507</v>
      </c>
      <c r="E8173" s="22" t="str">
        <f>HYPERLINK("https://twitter.com/gotur1/status/922629380299546624","922629380299546624")</f>
        <v>922629380299546624</v>
      </c>
      <c r="F8173" s="23" t="s">
        <v>33</v>
      </c>
      <c r="G8173" s="24">
        <v>3.0</v>
      </c>
      <c r="H8173" s="24">
        <v>141.0</v>
      </c>
      <c r="I8173" s="24">
        <v>139.0</v>
      </c>
      <c r="J8173" s="24">
        <v>0.0</v>
      </c>
      <c r="K8173" s="23" t="s">
        <v>34</v>
      </c>
      <c r="L8173" s="25">
        <v>40268.45390046296</v>
      </c>
      <c r="M8173" s="28"/>
      <c r="N8173" s="28"/>
      <c r="O8173" s="22" t="str">
        <f>HYPERLINK("https://abs.twimg.com/sticky/default_profile_images/default_profile_normal.png","View")</f>
        <v>View</v>
      </c>
      <c r="P8173" s="27"/>
    </row>
    <row r="8174">
      <c r="A8174" s="14">
        <v>43031.752071759256</v>
      </c>
      <c r="B8174" s="20" t="str">
        <f>HYPERLINK("https://twitter.com/wataruen","@wataruen")</f>
        <v>@wataruen</v>
      </c>
      <c r="C8174" s="21" t="s">
        <v>18118</v>
      </c>
      <c r="D8174" s="21" t="s">
        <v>18119</v>
      </c>
      <c r="E8174" s="22" t="str">
        <f>HYPERLINK("https://twitter.com/wataruen/status/922629458569265152","922629458569265152")</f>
        <v>922629458569265152</v>
      </c>
      <c r="F8174" s="23" t="s">
        <v>769</v>
      </c>
      <c r="G8174" s="24">
        <v>717.0</v>
      </c>
      <c r="H8174" s="24">
        <v>663.0</v>
      </c>
      <c r="I8174" s="24">
        <v>0.0</v>
      </c>
      <c r="J8174" s="24">
        <v>0.0</v>
      </c>
      <c r="K8174" s="23" t="s">
        <v>34</v>
      </c>
      <c r="L8174" s="25">
        <v>40396.98608796296</v>
      </c>
      <c r="M8174" s="26" t="s">
        <v>18120</v>
      </c>
      <c r="N8174" s="26" t="s">
        <v>18121</v>
      </c>
      <c r="O8174" s="22" t="str">
        <f>HYPERLINK("https://pbs.twimg.com/profile_images/898732212354293760/7M7MHF-L_normal.jpg","View")</f>
        <v>View</v>
      </c>
      <c r="P8174" s="27"/>
    </row>
    <row r="8175">
      <c r="A8175" s="14">
        <v>43031.752187499995</v>
      </c>
      <c r="B8175" s="20" t="str">
        <f>HYPERLINK("https://twitter.com/trendr","@trendr")</f>
        <v>@trendr</v>
      </c>
      <c r="C8175" s="21" t="s">
        <v>6908</v>
      </c>
      <c r="D8175" s="21" t="s">
        <v>18122</v>
      </c>
      <c r="E8175" s="22" t="str">
        <f>HYPERLINK("https://twitter.com/trendr/status/922629501179387905","922629501179387905")</f>
        <v>922629501179387905</v>
      </c>
      <c r="F8175" s="23" t="s">
        <v>187</v>
      </c>
      <c r="G8175" s="24">
        <v>86.0</v>
      </c>
      <c r="H8175" s="24">
        <v>232.0</v>
      </c>
      <c r="I8175" s="24">
        <v>0.0</v>
      </c>
      <c r="J8175" s="24">
        <v>0.0</v>
      </c>
      <c r="K8175" s="23" t="s">
        <v>34</v>
      </c>
      <c r="L8175" s="25">
        <v>39989.58944444444</v>
      </c>
      <c r="M8175" s="28"/>
      <c r="N8175" s="26" t="s">
        <v>6910</v>
      </c>
      <c r="O8175" s="22" t="str">
        <f>HYPERLINK("https://pbs.twimg.com/profile_images/818973177460178945/npoPG_m0_normal.jpg","View")</f>
        <v>View</v>
      </c>
      <c r="P8175" s="27"/>
    </row>
    <row r="8176">
      <c r="A8176" s="14">
        <v>43031.752337962964</v>
      </c>
      <c r="B8176" s="20" t="str">
        <f>HYPERLINK("https://twitter.com/i__Global","@i__Global")</f>
        <v>@i__Global</v>
      </c>
      <c r="C8176" s="21" t="s">
        <v>9685</v>
      </c>
      <c r="D8176" s="21" t="s">
        <v>15841</v>
      </c>
      <c r="E8176" s="22" t="str">
        <f>HYPERLINK("https://twitter.com/i__Global/status/922629554409234432","922629554409234432")</f>
        <v>922629554409234432</v>
      </c>
      <c r="F8176" s="23" t="s">
        <v>187</v>
      </c>
      <c r="G8176" s="24">
        <v>320.0</v>
      </c>
      <c r="H8176" s="24">
        <v>541.0</v>
      </c>
      <c r="I8176" s="24">
        <v>0.0</v>
      </c>
      <c r="J8176" s="24">
        <v>0.0</v>
      </c>
      <c r="K8176" s="23" t="s">
        <v>34</v>
      </c>
      <c r="L8176" s="25">
        <v>41975.42964120371</v>
      </c>
      <c r="M8176" s="26" t="s">
        <v>2068</v>
      </c>
      <c r="N8176" s="28"/>
      <c r="O8176" s="22" t="str">
        <f>HYPERLINK("https://pbs.twimg.com/profile_images/539846499421532160/RQ0XgLb__normal.png","View")</f>
        <v>View</v>
      </c>
      <c r="P8176" s="27"/>
    </row>
    <row r="8177">
      <c r="A8177" s="14">
        <v>43031.752546296295</v>
      </c>
      <c r="B8177" s="20" t="str">
        <f>HYPERLINK("https://twitter.com/shrikrishnagaut","@shrikrishnagaut")</f>
        <v>@shrikrishnagaut</v>
      </c>
      <c r="C8177" s="21" t="s">
        <v>18123</v>
      </c>
      <c r="D8177" s="21" t="s">
        <v>42</v>
      </c>
      <c r="E8177" s="22" t="str">
        <f>HYPERLINK("https://twitter.com/shrikrishnagaut/status/922629630074306561","922629630074306561")</f>
        <v>922629630074306561</v>
      </c>
      <c r="F8177" s="23" t="s">
        <v>33</v>
      </c>
      <c r="G8177" s="24">
        <v>8239.0</v>
      </c>
      <c r="H8177" s="24">
        <v>7661.0</v>
      </c>
      <c r="I8177" s="24">
        <v>8501.0</v>
      </c>
      <c r="J8177" s="24">
        <v>0.0</v>
      </c>
      <c r="K8177" s="23" t="s">
        <v>34</v>
      </c>
      <c r="L8177" s="25">
        <v>40814.04553240741</v>
      </c>
      <c r="M8177" s="26" t="s">
        <v>18124</v>
      </c>
      <c r="N8177" s="26" t="s">
        <v>18125</v>
      </c>
      <c r="O8177" s="22" t="str">
        <f>HYPERLINK("https://pbs.twimg.com/profile_images/922125073418297345/DkNTU8H4_normal.jpg","View")</f>
        <v>View</v>
      </c>
      <c r="P8177" s="27"/>
    </row>
    <row r="8178">
      <c r="A8178" s="14">
        <v>43031.75273148148</v>
      </c>
      <c r="B8178" s="20" t="str">
        <f>HYPERLINK("https://twitter.com/metaback","@metaback")</f>
        <v>@metaback</v>
      </c>
      <c r="C8178" s="21" t="s">
        <v>18126</v>
      </c>
      <c r="D8178" s="21" t="s">
        <v>1642</v>
      </c>
      <c r="E8178" s="22" t="str">
        <f>HYPERLINK("https://twitter.com/metaback/status/922629698970009600","922629698970009600")</f>
        <v>922629698970009600</v>
      </c>
      <c r="F8178" s="23" t="s">
        <v>55</v>
      </c>
      <c r="G8178" s="24">
        <v>122.0</v>
      </c>
      <c r="H8178" s="24">
        <v>505.0</v>
      </c>
      <c r="I8178" s="24">
        <v>199.0</v>
      </c>
      <c r="J8178" s="24">
        <v>0.0</v>
      </c>
      <c r="K8178" s="23" t="s">
        <v>34</v>
      </c>
      <c r="L8178" s="25">
        <v>40306.296805555554</v>
      </c>
      <c r="M8178" s="26" t="s">
        <v>853</v>
      </c>
      <c r="N8178" s="26" t="s">
        <v>18127</v>
      </c>
      <c r="O8178" s="22" t="str">
        <f>HYPERLINK("https://pbs.twimg.com/profile_images/886836792/DSC_0029__normal.jpg","View")</f>
        <v>View</v>
      </c>
      <c r="P8178" s="27"/>
    </row>
    <row r="8179">
      <c r="A8179" s="14">
        <v>43031.75273148148</v>
      </c>
      <c r="B8179" s="20" t="str">
        <f>HYPERLINK("https://twitter.com/mariustavi","@mariustavi")</f>
        <v>@mariustavi</v>
      </c>
      <c r="C8179" s="21" t="s">
        <v>18128</v>
      </c>
      <c r="D8179" s="21" t="s">
        <v>42</v>
      </c>
      <c r="E8179" s="22" t="str">
        <f>HYPERLINK("https://twitter.com/mariustavi/status/922629699284688897","922629699284688897")</f>
        <v>922629699284688897</v>
      </c>
      <c r="F8179" s="23" t="s">
        <v>55</v>
      </c>
      <c r="G8179" s="24">
        <v>52.0</v>
      </c>
      <c r="H8179" s="24">
        <v>0.0</v>
      </c>
      <c r="I8179" s="24">
        <v>8501.0</v>
      </c>
      <c r="J8179" s="24">
        <v>0.0</v>
      </c>
      <c r="K8179" s="23" t="s">
        <v>34</v>
      </c>
      <c r="L8179" s="25">
        <v>40973.00554398148</v>
      </c>
      <c r="M8179" s="26" t="s">
        <v>18129</v>
      </c>
      <c r="N8179" s="26" t="s">
        <v>18130</v>
      </c>
      <c r="O8179" s="22" t="str">
        <f>HYPERLINK("https://pbs.twimg.com/profile_images/423125567831945216/64ZQt7p1_normal.jpeg","View")</f>
        <v>View</v>
      </c>
      <c r="P8179" s="27"/>
    </row>
    <row r="8180">
      <c r="A8180" s="14">
        <v>43031.75275462963</v>
      </c>
      <c r="B8180" s="20" t="str">
        <f>HYPERLINK("https://twitter.com/GOODMUSICTOM","@GOODMUSICTOM")</f>
        <v>@GOODMUSICTOM</v>
      </c>
      <c r="C8180" s="21" t="s">
        <v>18131</v>
      </c>
      <c r="D8180" s="21" t="s">
        <v>10614</v>
      </c>
      <c r="E8180" s="22" t="str">
        <f>HYPERLINK("https://twitter.com/GOODMUSICTOM/status/922629708872687622","922629708872687622")</f>
        <v>922629708872687622</v>
      </c>
      <c r="F8180" s="23" t="s">
        <v>635</v>
      </c>
      <c r="G8180" s="24">
        <v>1921.0</v>
      </c>
      <c r="H8180" s="24">
        <v>1645.0</v>
      </c>
      <c r="I8180" s="24">
        <v>159.0</v>
      </c>
      <c r="J8180" s="24">
        <v>0.0</v>
      </c>
      <c r="K8180" s="23" t="s">
        <v>34</v>
      </c>
      <c r="L8180" s="25">
        <v>40214.75635416667</v>
      </c>
      <c r="M8180" s="26" t="s">
        <v>18132</v>
      </c>
      <c r="N8180" s="26" t="s">
        <v>18133</v>
      </c>
      <c r="O8180" s="22" t="str">
        <f>HYPERLINK("https://pbs.twimg.com/profile_images/529065568931164160/b-aQ7ACY_normal.jpeg","View")</f>
        <v>View</v>
      </c>
      <c r="P8180" s="27"/>
    </row>
    <row r="8181">
      <c r="A8181" s="14">
        <v>43031.752962962964</v>
      </c>
      <c r="B8181" s="20" t="str">
        <f>HYPERLINK("https://twitter.com/krunox123","@krunox123")</f>
        <v>@krunox123</v>
      </c>
      <c r="C8181" s="21" t="s">
        <v>1750</v>
      </c>
      <c r="D8181" s="21" t="s">
        <v>18134</v>
      </c>
      <c r="E8181" s="22" t="str">
        <f>HYPERLINK("https://twitter.com/krunox123/status/922629782130647041","922629782130647041")</f>
        <v>922629782130647041</v>
      </c>
      <c r="F8181" s="23" t="s">
        <v>187</v>
      </c>
      <c r="G8181" s="24">
        <v>10220.0</v>
      </c>
      <c r="H8181" s="24">
        <v>2.0</v>
      </c>
      <c r="I8181" s="24">
        <v>0.0</v>
      </c>
      <c r="J8181" s="24">
        <v>0.0</v>
      </c>
      <c r="K8181" s="23" t="s">
        <v>34</v>
      </c>
      <c r="L8181" s="25">
        <v>40938.22789351852</v>
      </c>
      <c r="M8181" s="26" t="s">
        <v>1752</v>
      </c>
      <c r="N8181" s="26" t="s">
        <v>1753</v>
      </c>
      <c r="O8181" s="22" t="str">
        <f>HYPERLINK("https://pbs.twimg.com/profile_images/824952382618349568/2SFIkM2x_normal.jpg","View")</f>
        <v>View</v>
      </c>
      <c r="P8181" s="27"/>
    </row>
    <row r="8182">
      <c r="A8182" s="14">
        <v>43031.753333333334</v>
      </c>
      <c r="B8182" s="20" t="str">
        <f>HYPERLINK("https://twitter.com/XHNews","@XHNews")</f>
        <v>@XHNews</v>
      </c>
      <c r="C8182" s="21" t="s">
        <v>18135</v>
      </c>
      <c r="D8182" s="21" t="s">
        <v>18136</v>
      </c>
      <c r="E8182" s="22" t="str">
        <f>HYPERLINK("https://twitter.com/XHNews/status/922629917979881472","922629917979881472")</f>
        <v>922629917979881472</v>
      </c>
      <c r="F8182" s="23" t="s">
        <v>1103</v>
      </c>
      <c r="G8182" s="24">
        <v>1.1065898E7</v>
      </c>
      <c r="H8182" s="24">
        <v>59.0</v>
      </c>
      <c r="I8182" s="24">
        <v>59.0</v>
      </c>
      <c r="J8182" s="24">
        <v>67.0</v>
      </c>
      <c r="K8182" s="23" t="s">
        <v>34</v>
      </c>
      <c r="L8182" s="25">
        <v>40947.71548611111</v>
      </c>
      <c r="M8182" s="26" t="s">
        <v>18137</v>
      </c>
      <c r="N8182" s="26" t="s">
        <v>18138</v>
      </c>
      <c r="O8182" s="22" t="str">
        <f>HYPERLINK("https://pbs.twimg.com/profile_images/875531907999518720/8UN-RdMz_normal.jpg","View")</f>
        <v>View</v>
      </c>
      <c r="P8182" s="27"/>
    </row>
    <row r="8183">
      <c r="A8183" s="14">
        <v>43031.75346064815</v>
      </c>
      <c r="B8183" s="20" t="str">
        <f>HYPERLINK("https://twitter.com/eremitainvicolo","@eremitainvicolo")</f>
        <v>@eremitainvicolo</v>
      </c>
      <c r="C8183" s="21" t="s">
        <v>18139</v>
      </c>
      <c r="D8183" s="21" t="s">
        <v>105</v>
      </c>
      <c r="E8183" s="22" t="str">
        <f>HYPERLINK("https://twitter.com/eremitainvicolo/status/922629964356132864","922629964356132864")</f>
        <v>922629964356132864</v>
      </c>
      <c r="F8183" s="23" t="s">
        <v>55</v>
      </c>
      <c r="G8183" s="24">
        <v>17.0</v>
      </c>
      <c r="H8183" s="24">
        <v>66.0</v>
      </c>
      <c r="I8183" s="24">
        <v>69.0</v>
      </c>
      <c r="J8183" s="24">
        <v>0.0</v>
      </c>
      <c r="K8183" s="23" t="s">
        <v>34</v>
      </c>
      <c r="L8183" s="25">
        <v>42003.59414351852</v>
      </c>
      <c r="M8183" s="28"/>
      <c r="N8183" s="28"/>
      <c r="O8183" s="22" t="str">
        <f>HYPERLINK("https://abs.twimg.com/sticky/default_profile_images/default_profile_normal.png","View")</f>
        <v>View</v>
      </c>
      <c r="P8183" s="27"/>
    </row>
    <row r="8184">
      <c r="A8184" s="14">
        <v>43031.75357638889</v>
      </c>
      <c r="B8184" s="20" t="str">
        <f>HYPERLINK("https://twitter.com/tagilolip","@tagilolip")</f>
        <v>@tagilolip</v>
      </c>
      <c r="C8184" s="21" t="s">
        <v>18140</v>
      </c>
      <c r="D8184" s="21" t="s">
        <v>1642</v>
      </c>
      <c r="E8184" s="22" t="str">
        <f>HYPERLINK("https://twitter.com/tagilolip/status/922630004025860098","922630004025860098")</f>
        <v>922630004025860098</v>
      </c>
      <c r="F8184" s="23" t="s">
        <v>33</v>
      </c>
      <c r="G8184" s="24">
        <v>637.0</v>
      </c>
      <c r="H8184" s="24">
        <v>595.0</v>
      </c>
      <c r="I8184" s="24">
        <v>199.0</v>
      </c>
      <c r="J8184" s="24">
        <v>0.0</v>
      </c>
      <c r="K8184" s="23" t="s">
        <v>34</v>
      </c>
      <c r="L8184" s="25">
        <v>40224.33763888889</v>
      </c>
      <c r="M8184" s="26" t="s">
        <v>8809</v>
      </c>
      <c r="N8184" s="26" t="s">
        <v>18141</v>
      </c>
      <c r="O8184" s="22" t="str">
        <f>HYPERLINK("https://pbs.twimg.com/profile_images/721340435/2009100133B_normal.jpg","View")</f>
        <v>View</v>
      </c>
      <c r="P8184" s="27"/>
    </row>
    <row r="8185">
      <c r="A8185" s="14">
        <v>43031.75372685185</v>
      </c>
      <c r="B8185" s="20" t="str">
        <f>HYPERLINK("https://twitter.com/girirajpurohit","@girirajpurohit")</f>
        <v>@girirajpurohit</v>
      </c>
      <c r="C8185" s="21" t="s">
        <v>18142</v>
      </c>
      <c r="D8185" s="21" t="s">
        <v>42</v>
      </c>
      <c r="E8185" s="22" t="str">
        <f>HYPERLINK("https://twitter.com/girirajpurohit/status/922630059579641857","922630059579641857")</f>
        <v>922630059579641857</v>
      </c>
      <c r="F8185" s="23" t="s">
        <v>39</v>
      </c>
      <c r="G8185" s="24">
        <v>61.0</v>
      </c>
      <c r="H8185" s="24">
        <v>52.0</v>
      </c>
      <c r="I8185" s="24">
        <v>8501.0</v>
      </c>
      <c r="J8185" s="24">
        <v>0.0</v>
      </c>
      <c r="K8185" s="23" t="s">
        <v>34</v>
      </c>
      <c r="L8185" s="25">
        <v>40152.1896875</v>
      </c>
      <c r="M8185" s="28"/>
      <c r="N8185" s="28"/>
      <c r="O8185" s="22" t="str">
        <f>HYPERLINK("https://pbs.twimg.com/profile_images/615142612639444997/oCuxb4xz_normal.jpg","View")</f>
        <v>View</v>
      </c>
      <c r="P8185" s="27"/>
    </row>
    <row r="8186">
      <c r="A8186" s="14">
        <v>43031.753912037035</v>
      </c>
      <c r="B8186" s="20" t="str">
        <f>HYPERLINK("https://twitter.com/DMarkMunro","@DMarkMunro")</f>
        <v>@DMarkMunro</v>
      </c>
      <c r="C8186" s="21" t="s">
        <v>18143</v>
      </c>
      <c r="D8186" s="21" t="s">
        <v>17675</v>
      </c>
      <c r="E8186" s="22" t="str">
        <f>HYPERLINK("https://twitter.com/DMarkMunro/status/922630126726254592","922630126726254592")</f>
        <v>922630126726254592</v>
      </c>
      <c r="F8186" s="23" t="s">
        <v>39</v>
      </c>
      <c r="G8186" s="24">
        <v>67.0</v>
      </c>
      <c r="H8186" s="24">
        <v>299.0</v>
      </c>
      <c r="I8186" s="24">
        <v>18.0</v>
      </c>
      <c r="J8186" s="24">
        <v>0.0</v>
      </c>
      <c r="K8186" s="23" t="s">
        <v>34</v>
      </c>
      <c r="L8186" s="25">
        <v>40768.280810185184</v>
      </c>
      <c r="M8186" s="26" t="s">
        <v>18144</v>
      </c>
      <c r="N8186" s="26" t="s">
        <v>18145</v>
      </c>
      <c r="O8186" s="22" t="str">
        <f>HYPERLINK("https://pbs.twimg.com/profile_images/876032468943503363/yM2ENkAR_normal.jpg","View")</f>
        <v>View</v>
      </c>
      <c r="P8186" s="27"/>
    </row>
    <row r="8187">
      <c r="A8187" s="14">
        <v>43031.75413194444</v>
      </c>
      <c r="B8187" s="20" t="str">
        <f>HYPERLINK("https://twitter.com/ShravanSaxena","@ShravanSaxena")</f>
        <v>@ShravanSaxena</v>
      </c>
      <c r="C8187" s="21" t="s">
        <v>18034</v>
      </c>
      <c r="D8187" s="21" t="s">
        <v>18146</v>
      </c>
      <c r="E8187" s="22" t="str">
        <f>HYPERLINK("https://twitter.com/ShravanSaxena/status/922630207726673920","922630207726673920")</f>
        <v>922630207726673920</v>
      </c>
      <c r="F8187" s="23" t="s">
        <v>55</v>
      </c>
      <c r="G8187" s="24">
        <v>205.0</v>
      </c>
      <c r="H8187" s="24">
        <v>27.0</v>
      </c>
      <c r="I8187" s="24">
        <v>0.0</v>
      </c>
      <c r="J8187" s="24">
        <v>0.0</v>
      </c>
      <c r="K8187" s="23" t="s">
        <v>34</v>
      </c>
      <c r="L8187" s="25">
        <v>40709.14003472222</v>
      </c>
      <c r="M8187" s="28"/>
      <c r="N8187" s="26" t="s">
        <v>18036</v>
      </c>
      <c r="O8187" s="22" t="str">
        <f>HYPERLINK("https://pbs.twimg.com/profile_images/897969469359759360/jKeltRek_normal.jpg","View")</f>
        <v>View</v>
      </c>
      <c r="P8187" s="27"/>
    </row>
    <row r="8188">
      <c r="A8188" s="14">
        <v>43031.75435185185</v>
      </c>
      <c r="B8188" s="20" t="str">
        <f>HYPERLINK("https://twitter.com/BanankoJanko","@BanankoJanko")</f>
        <v>@BanankoJanko</v>
      </c>
      <c r="C8188" s="21" t="s">
        <v>1629</v>
      </c>
      <c r="D8188" s="21" t="s">
        <v>18147</v>
      </c>
      <c r="E8188" s="22" t="str">
        <f>HYPERLINK("https://twitter.com/BanankoJanko/status/922630285509918721","922630285509918721")</f>
        <v>922630285509918721</v>
      </c>
      <c r="F8188" s="23" t="s">
        <v>187</v>
      </c>
      <c r="G8188" s="24">
        <v>73.0</v>
      </c>
      <c r="H8188" s="24">
        <v>53.0</v>
      </c>
      <c r="I8188" s="24">
        <v>0.0</v>
      </c>
      <c r="J8188" s="24">
        <v>0.0</v>
      </c>
      <c r="K8188" s="23" t="s">
        <v>34</v>
      </c>
      <c r="L8188" s="25">
        <v>42837.10114583334</v>
      </c>
      <c r="M8188" s="28"/>
      <c r="N8188" s="35" t="s">
        <v>1631</v>
      </c>
      <c r="O8188" s="22" t="str">
        <f>HYPERLINK("https://pbs.twimg.com/profile_images/852669910123675651/CVUt6bXC_normal.jpg","View")</f>
        <v>View</v>
      </c>
      <c r="P8188" s="27"/>
    </row>
    <row r="8189">
      <c r="A8189" s="14">
        <v>43031.75440972223</v>
      </c>
      <c r="B8189" s="20" t="str">
        <f>HYPERLINK("https://twitter.com/PHINewsNet1","@PHINewsNet1")</f>
        <v>@PHINewsNet1</v>
      </c>
      <c r="C8189" s="21" t="s">
        <v>4461</v>
      </c>
      <c r="D8189" s="21" t="s">
        <v>18148</v>
      </c>
      <c r="E8189" s="22" t="str">
        <f>HYPERLINK("https://twitter.com/PHINewsNet1/status/922630309073502208","922630309073502208")</f>
        <v>922630309073502208</v>
      </c>
      <c r="F8189" s="23" t="s">
        <v>769</v>
      </c>
      <c r="G8189" s="24">
        <v>235.0</v>
      </c>
      <c r="H8189" s="24">
        <v>931.0</v>
      </c>
      <c r="I8189" s="24">
        <v>0.0</v>
      </c>
      <c r="J8189" s="24">
        <v>0.0</v>
      </c>
      <c r="K8189" s="23" t="s">
        <v>34</v>
      </c>
      <c r="L8189" s="25">
        <v>42795.909050925926</v>
      </c>
      <c r="M8189" s="26" t="s">
        <v>10889</v>
      </c>
      <c r="N8189" s="26" t="s">
        <v>10890</v>
      </c>
      <c r="O8189" s="22" t="str">
        <f>HYPERLINK("https://pbs.twimg.com/profile_images/901642279214972929/3tOsMEGw_normal.jpg","View")</f>
        <v>View</v>
      </c>
      <c r="P8189" s="27"/>
    </row>
    <row r="8190">
      <c r="A8190" s="14">
        <v>43031.7544212963</v>
      </c>
      <c r="B8190" s="20" t="str">
        <f>HYPERLINK("https://twitter.com/PHINewsNet2","@PHINewsNet2")</f>
        <v>@PHINewsNet2</v>
      </c>
      <c r="C8190" s="21" t="s">
        <v>4461</v>
      </c>
      <c r="D8190" s="21" t="s">
        <v>18149</v>
      </c>
      <c r="E8190" s="22" t="str">
        <f>HYPERLINK("https://twitter.com/PHINewsNet2/status/922630309174173696","922630309174173696")</f>
        <v>922630309174173696</v>
      </c>
      <c r="F8190" s="23" t="s">
        <v>769</v>
      </c>
      <c r="G8190" s="24">
        <v>182.0</v>
      </c>
      <c r="H8190" s="24">
        <v>140.0</v>
      </c>
      <c r="I8190" s="24">
        <v>0.0</v>
      </c>
      <c r="J8190" s="24">
        <v>0.0</v>
      </c>
      <c r="K8190" s="23" t="s">
        <v>34</v>
      </c>
      <c r="L8190" s="25">
        <v>42876.17359953704</v>
      </c>
      <c r="M8190" s="26" t="s">
        <v>3327</v>
      </c>
      <c r="N8190" s="26" t="s">
        <v>4463</v>
      </c>
      <c r="O8190" s="22" t="str">
        <f>HYPERLINK("https://pbs.twimg.com/profile_images/901646404447158272/6-pa6bGC_normal.jpg","View")</f>
        <v>View</v>
      </c>
      <c r="P8190" s="27"/>
    </row>
    <row r="8191">
      <c r="A8191" s="14">
        <v>43031.7544212963</v>
      </c>
      <c r="B8191" s="20" t="str">
        <f>HYPERLINK("https://twitter.com/PHINewsNet3","@PHINewsNet3")</f>
        <v>@PHINewsNet3</v>
      </c>
      <c r="C8191" s="21" t="s">
        <v>4461</v>
      </c>
      <c r="D8191" s="21" t="s">
        <v>18150</v>
      </c>
      <c r="E8191" s="22" t="str">
        <f>HYPERLINK("https://twitter.com/PHINewsNet3/status/922630309224464384","922630309224464384")</f>
        <v>922630309224464384</v>
      </c>
      <c r="F8191" s="23" t="s">
        <v>769</v>
      </c>
      <c r="G8191" s="24">
        <v>30.0</v>
      </c>
      <c r="H8191" s="24">
        <v>43.0</v>
      </c>
      <c r="I8191" s="24">
        <v>0.0</v>
      </c>
      <c r="J8191" s="24">
        <v>0.0</v>
      </c>
      <c r="K8191" s="23" t="s">
        <v>34</v>
      </c>
      <c r="L8191" s="25">
        <v>42969.16668981481</v>
      </c>
      <c r="M8191" s="28"/>
      <c r="N8191" s="28"/>
      <c r="O8191" s="22" t="str">
        <f>HYPERLINK("https://pbs.twimg.com/profile_images/911869324230483969/JisArESp_normal.jpg","View")</f>
        <v>View</v>
      </c>
      <c r="P8191" s="27"/>
    </row>
    <row r="8192">
      <c r="A8192" s="14">
        <v>43031.754525462966</v>
      </c>
      <c r="B8192" s="20" t="str">
        <f>HYPERLINK("https://twitter.com/kasi451","@kasi451")</f>
        <v>@kasi451</v>
      </c>
      <c r="C8192" s="21" t="s">
        <v>18151</v>
      </c>
      <c r="D8192" s="21" t="s">
        <v>1642</v>
      </c>
      <c r="E8192" s="22" t="str">
        <f>HYPERLINK("https://twitter.com/kasi451/status/922630350395785216","922630350395785216")</f>
        <v>922630350395785216</v>
      </c>
      <c r="F8192" s="23" t="s">
        <v>39</v>
      </c>
      <c r="G8192" s="24">
        <v>258.0</v>
      </c>
      <c r="H8192" s="24">
        <v>178.0</v>
      </c>
      <c r="I8192" s="24">
        <v>199.0</v>
      </c>
      <c r="J8192" s="24">
        <v>0.0</v>
      </c>
      <c r="K8192" s="23" t="s">
        <v>34</v>
      </c>
      <c r="L8192" s="25">
        <v>40220.2953587963</v>
      </c>
      <c r="M8192" s="26" t="s">
        <v>18152</v>
      </c>
      <c r="N8192" s="26" t="s">
        <v>18153</v>
      </c>
      <c r="O8192" s="22" t="str">
        <f>HYPERLINK("https://pbs.twimg.com/profile_images/922094927579774976/KZQQWhTc_normal.jpg","View")</f>
        <v>View</v>
      </c>
      <c r="P8192" s="27"/>
    </row>
    <row r="8193">
      <c r="A8193" s="14">
        <v>43031.75482638889</v>
      </c>
      <c r="B8193" s="20" t="str">
        <f>HYPERLINK("https://twitter.com/Roger_Dale7","@Roger_Dale7")</f>
        <v>@Roger_Dale7</v>
      </c>
      <c r="C8193" s="21" t="s">
        <v>18154</v>
      </c>
      <c r="D8193" s="21" t="s">
        <v>6973</v>
      </c>
      <c r="E8193" s="22" t="str">
        <f>HYPERLINK("https://twitter.com/Roger_Dale7/status/922630457489002496","922630457489002496")</f>
        <v>922630457489002496</v>
      </c>
      <c r="F8193" s="23" t="s">
        <v>86</v>
      </c>
      <c r="G8193" s="24">
        <v>12814.0</v>
      </c>
      <c r="H8193" s="24">
        <v>1641.0</v>
      </c>
      <c r="I8193" s="24">
        <v>10.0</v>
      </c>
      <c r="J8193" s="24">
        <v>0.0</v>
      </c>
      <c r="K8193" s="23" t="s">
        <v>34</v>
      </c>
      <c r="L8193" s="25">
        <v>41179.430972222224</v>
      </c>
      <c r="M8193" s="26" t="s">
        <v>18155</v>
      </c>
      <c r="N8193" s="26" t="s">
        <v>18156</v>
      </c>
      <c r="O8193" s="22" t="str">
        <f>HYPERLINK("https://pbs.twimg.com/profile_images/2681250799/263a5db5edcfef45ba5557567567e403_normal.jpeg","View")</f>
        <v>View</v>
      </c>
      <c r="P8193" s="27"/>
    </row>
    <row r="8194">
      <c r="A8194" s="14">
        <v>43031.7550462963</v>
      </c>
      <c r="B8194" s="20" t="str">
        <f>HYPERLINK("https://twitter.com/politicalHEDGE","@politicalHEDGE")</f>
        <v>@politicalHEDGE</v>
      </c>
      <c r="C8194" s="21" t="s">
        <v>18157</v>
      </c>
      <c r="D8194" s="21" t="s">
        <v>18158</v>
      </c>
      <c r="E8194" s="22" t="str">
        <f>HYPERLINK("https://twitter.com/politicalHEDGE/status/922630536778182657","922630536778182657")</f>
        <v>922630536778182657</v>
      </c>
      <c r="F8194" s="23" t="s">
        <v>18159</v>
      </c>
      <c r="G8194" s="24">
        <v>79412.0</v>
      </c>
      <c r="H8194" s="24">
        <v>39117.0</v>
      </c>
      <c r="I8194" s="24">
        <v>1.0</v>
      </c>
      <c r="J8194" s="24">
        <v>2.0</v>
      </c>
      <c r="K8194" s="23" t="s">
        <v>34</v>
      </c>
      <c r="L8194" s="25">
        <v>42665.81755787037</v>
      </c>
      <c r="M8194" s="26" t="s">
        <v>68</v>
      </c>
      <c r="N8194" s="26" t="s">
        <v>18160</v>
      </c>
      <c r="O8194" s="22" t="str">
        <f>HYPERLINK("https://pbs.twimg.com/profile_images/921870123815841793/WPg_orIY_normal.jpg","View")</f>
        <v>View</v>
      </c>
      <c r="P8194" s="27"/>
    </row>
    <row r="8195">
      <c r="A8195" s="14">
        <v>43031.75534722222</v>
      </c>
      <c r="B8195" s="20" t="str">
        <f>HYPERLINK("https://twitter.com/jekiedugn1","@jekiedugn1")</f>
        <v>@jekiedugn1</v>
      </c>
      <c r="C8195" s="21" t="s">
        <v>18161</v>
      </c>
      <c r="D8195" s="21" t="s">
        <v>18162</v>
      </c>
      <c r="E8195" s="22" t="str">
        <f>HYPERLINK("https://twitter.com/jekiedugn1/status/922630646438268928","922630646438268928")</f>
        <v>922630646438268928</v>
      </c>
      <c r="F8195" s="23" t="s">
        <v>18163</v>
      </c>
      <c r="G8195" s="24">
        <v>537.0</v>
      </c>
      <c r="H8195" s="24">
        <v>108.0</v>
      </c>
      <c r="I8195" s="24">
        <v>59.0</v>
      </c>
      <c r="J8195" s="24">
        <v>0.0</v>
      </c>
      <c r="K8195" s="23" t="s">
        <v>34</v>
      </c>
      <c r="L8195" s="25">
        <v>40966.00534722222</v>
      </c>
      <c r="M8195" s="26" t="s">
        <v>18164</v>
      </c>
      <c r="N8195" s="28"/>
      <c r="O8195" s="22" t="str">
        <f>HYPERLINK("https://pbs.twimg.com/profile_images/855004841600483329/8J-Y_hGc_normal.jpg","View")</f>
        <v>View</v>
      </c>
      <c r="P8195" s="27"/>
    </row>
    <row r="8196">
      <c r="A8196" s="14">
        <v>43031.75568287037</v>
      </c>
      <c r="B8196" s="20" t="str">
        <f>HYPERLINK("https://twitter.com/Sorgitzak","@Sorgitzak")</f>
        <v>@Sorgitzak</v>
      </c>
      <c r="C8196" s="21" t="s">
        <v>1122</v>
      </c>
      <c r="D8196" s="21" t="s">
        <v>18165</v>
      </c>
      <c r="E8196" s="22" t="str">
        <f>HYPERLINK("https://twitter.com/Sorgitzak/status/922630769545056257","922630769545056257")</f>
        <v>922630769545056257</v>
      </c>
      <c r="F8196" s="23" t="s">
        <v>187</v>
      </c>
      <c r="G8196" s="24">
        <v>723.0</v>
      </c>
      <c r="H8196" s="24">
        <v>1309.0</v>
      </c>
      <c r="I8196" s="24">
        <v>0.0</v>
      </c>
      <c r="J8196" s="24">
        <v>0.0</v>
      </c>
      <c r="K8196" s="23" t="s">
        <v>34</v>
      </c>
      <c r="L8196" s="25">
        <v>39990.552152777775</v>
      </c>
      <c r="M8196" s="26" t="s">
        <v>1124</v>
      </c>
      <c r="N8196" s="28"/>
      <c r="O8196" s="22" t="str">
        <f>HYPERLINK("https://pbs.twimg.com/profile_images/284404970/sorgitzak_normal.JPG","View")</f>
        <v>View</v>
      </c>
      <c r="P8196" s="27"/>
    </row>
    <row r="8197">
      <c r="A8197" s="14">
        <v>43031.75575231481</v>
      </c>
      <c r="B8197" s="20" t="str">
        <f>HYPERLINK("https://twitter.com/NarrendraM","@NarrendraM")</f>
        <v>@NarrendraM</v>
      </c>
      <c r="C8197" s="21" t="s">
        <v>2654</v>
      </c>
      <c r="D8197" s="21" t="s">
        <v>18166</v>
      </c>
      <c r="E8197" s="22" t="str">
        <f>HYPERLINK("https://twitter.com/NarrendraM/status/922630793071153152","922630793071153152")</f>
        <v>922630793071153152</v>
      </c>
      <c r="F8197" s="23" t="s">
        <v>187</v>
      </c>
      <c r="G8197" s="24">
        <v>2003.0</v>
      </c>
      <c r="H8197" s="24">
        <v>252.0</v>
      </c>
      <c r="I8197" s="24">
        <v>0.0</v>
      </c>
      <c r="J8197" s="24">
        <v>0.0</v>
      </c>
      <c r="K8197" s="23" t="s">
        <v>34</v>
      </c>
      <c r="L8197" s="25">
        <v>42471.0737037037</v>
      </c>
      <c r="M8197" s="26" t="s">
        <v>246</v>
      </c>
      <c r="N8197" s="26" t="s">
        <v>2656</v>
      </c>
      <c r="O8197" s="22" t="str">
        <f>HYPERLINK("https://pbs.twimg.com/profile_images/743939643738034176/WkGloI0u_normal.jpg","View")</f>
        <v>View</v>
      </c>
      <c r="P8197" s="27"/>
    </row>
    <row r="8198">
      <c r="A8198" s="14">
        <v>43031.75587962963</v>
      </c>
      <c r="B8198" s="20" t="str">
        <f>HYPERLINK("https://twitter.com/DrKumar_Om","@DrKumar_Om")</f>
        <v>@DrKumar_Om</v>
      </c>
      <c r="C8198" s="21" t="s">
        <v>18167</v>
      </c>
      <c r="D8198" s="21" t="s">
        <v>42</v>
      </c>
      <c r="E8198" s="22" t="str">
        <f>HYPERLINK("https://twitter.com/DrKumar_Om/status/922630840751865856","922630840751865856")</f>
        <v>922630840751865856</v>
      </c>
      <c r="F8198" s="23" t="s">
        <v>33</v>
      </c>
      <c r="G8198" s="24">
        <v>46.0</v>
      </c>
      <c r="H8198" s="24">
        <v>186.0</v>
      </c>
      <c r="I8198" s="24">
        <v>8501.0</v>
      </c>
      <c r="J8198" s="24">
        <v>0.0</v>
      </c>
      <c r="K8198" s="23" t="s">
        <v>34</v>
      </c>
      <c r="L8198" s="25">
        <v>42680.002187499995</v>
      </c>
      <c r="M8198" s="26" t="s">
        <v>246</v>
      </c>
      <c r="N8198" s="26" t="s">
        <v>18168</v>
      </c>
      <c r="O8198" s="22" t="str">
        <f>HYPERLINK("https://pbs.twimg.com/profile_images/795162990471499776/otJrLC4a_normal.jpg","View")</f>
        <v>View</v>
      </c>
      <c r="P8198" s="27"/>
    </row>
    <row r="8199">
      <c r="A8199" s="14">
        <v>43031.7562037037</v>
      </c>
      <c r="B8199" s="20" t="str">
        <f>HYPERLINK("https://twitter.com/rajananand2006","@rajananand2006")</f>
        <v>@rajananand2006</v>
      </c>
      <c r="C8199" s="21" t="s">
        <v>18169</v>
      </c>
      <c r="D8199" s="21" t="s">
        <v>42</v>
      </c>
      <c r="E8199" s="22" t="str">
        <f>HYPERLINK("https://twitter.com/rajananand2006/status/922630956686639104","922630956686639104")</f>
        <v>922630956686639104</v>
      </c>
      <c r="F8199" s="23" t="s">
        <v>33</v>
      </c>
      <c r="G8199" s="24">
        <v>36.0</v>
      </c>
      <c r="H8199" s="24">
        <v>19.0</v>
      </c>
      <c r="I8199" s="24">
        <v>8501.0</v>
      </c>
      <c r="J8199" s="24">
        <v>0.0</v>
      </c>
      <c r="K8199" s="23" t="s">
        <v>34</v>
      </c>
      <c r="L8199" s="25">
        <v>41116.663449074076</v>
      </c>
      <c r="M8199" s="28"/>
      <c r="N8199" s="28"/>
      <c r="O8199" s="22" t="str">
        <f>HYPERLINK("https://abs.twimg.com/sticky/default_profile_images/default_profile_normal.png","View")</f>
        <v>View</v>
      </c>
      <c r="P8199" s="27"/>
    </row>
    <row r="8200">
      <c r="A8200" s="14">
        <v>43031.7562962963</v>
      </c>
      <c r="B8200" s="20" t="str">
        <f>HYPERLINK("https://twitter.com/Dreams__of__Fly","@Dreams__of__Fly")</f>
        <v>@Dreams__of__Fly</v>
      </c>
      <c r="C8200" s="21" t="s">
        <v>18170</v>
      </c>
      <c r="D8200" s="21" t="s">
        <v>18162</v>
      </c>
      <c r="E8200" s="22" t="str">
        <f>HYPERLINK("https://twitter.com/Dreams__of__Fly/status/922630992426340353","922630992426340353")</f>
        <v>922630992426340353</v>
      </c>
      <c r="F8200" s="23" t="s">
        <v>33</v>
      </c>
      <c r="G8200" s="24">
        <v>20.0</v>
      </c>
      <c r="H8200" s="24">
        <v>1298.0</v>
      </c>
      <c r="I8200" s="24">
        <v>59.0</v>
      </c>
      <c r="J8200" s="24">
        <v>0.0</v>
      </c>
      <c r="K8200" s="23" t="s">
        <v>34</v>
      </c>
      <c r="L8200" s="25">
        <v>41085.722025462965</v>
      </c>
      <c r="M8200" s="26" t="s">
        <v>8983</v>
      </c>
      <c r="N8200" s="26" t="s">
        <v>18171</v>
      </c>
      <c r="O8200" s="22" t="str">
        <f>HYPERLINK("https://pbs.twimg.com/profile_images/764256066305683456/AogMHCTd_normal.jpg","View")</f>
        <v>View</v>
      </c>
      <c r="P8200" s="27"/>
    </row>
    <row r="8201">
      <c r="A8201" s="14">
        <v>43031.75650462963</v>
      </c>
      <c r="B8201" s="20" t="str">
        <f>HYPERLINK("https://twitter.com/RobinMacNab","@RobinMacNab")</f>
        <v>@RobinMacNab</v>
      </c>
      <c r="C8201" s="21" t="s">
        <v>18172</v>
      </c>
      <c r="D8201" s="21" t="s">
        <v>18173</v>
      </c>
      <c r="E8201" s="22" t="str">
        <f>HYPERLINK("https://twitter.com/RobinMacNab/status/922631064618782721","922631064618782721")</f>
        <v>922631064618782721</v>
      </c>
      <c r="F8201" s="23" t="s">
        <v>230</v>
      </c>
      <c r="G8201" s="24">
        <v>5219.0</v>
      </c>
      <c r="H8201" s="24">
        <v>2780.0</v>
      </c>
      <c r="I8201" s="24">
        <v>1.0</v>
      </c>
      <c r="J8201" s="24">
        <v>0.0</v>
      </c>
      <c r="K8201" s="23" t="s">
        <v>34</v>
      </c>
      <c r="L8201" s="25">
        <v>39881.44872685185</v>
      </c>
      <c r="M8201" s="26" t="s">
        <v>18174</v>
      </c>
      <c r="N8201" s="26" t="s">
        <v>18175</v>
      </c>
      <c r="O8201" s="22" t="str">
        <f>HYPERLINK("https://pbs.twimg.com/profile_images/1573955380/R_MacNab_normal.JPG","View")</f>
        <v>View</v>
      </c>
      <c r="P8201" s="27"/>
    </row>
    <row r="8202">
      <c r="A8202" s="14">
        <v>43031.756516203706</v>
      </c>
      <c r="B8202" s="20" t="str">
        <f>HYPERLINK("https://twitter.com/SBSatpathy2","@SBSatpathy2")</f>
        <v>@SBSatpathy2</v>
      </c>
      <c r="C8202" s="21" t="s">
        <v>11552</v>
      </c>
      <c r="D8202" s="21" t="s">
        <v>42</v>
      </c>
      <c r="E8202" s="22" t="str">
        <f>HYPERLINK("https://twitter.com/SBSatpathy2/status/922631069781725184","922631069781725184")</f>
        <v>922631069781725184</v>
      </c>
      <c r="F8202" s="23" t="s">
        <v>33</v>
      </c>
      <c r="G8202" s="24">
        <v>184.0</v>
      </c>
      <c r="H8202" s="24">
        <v>553.0</v>
      </c>
      <c r="I8202" s="24">
        <v>8501.0</v>
      </c>
      <c r="J8202" s="24">
        <v>0.0</v>
      </c>
      <c r="K8202" s="23" t="s">
        <v>34</v>
      </c>
      <c r="L8202" s="25">
        <v>41852.31119212963</v>
      </c>
      <c r="M8202" s="26" t="s">
        <v>11553</v>
      </c>
      <c r="N8202" s="28"/>
      <c r="O8202" s="22" t="str">
        <f>HYPERLINK("https://pbs.twimg.com/profile_images/496670013223215104/4N6OaPAW_normal.jpeg","View")</f>
        <v>View</v>
      </c>
      <c r="P8202" s="27"/>
    </row>
    <row r="8203">
      <c r="A8203" s="14">
        <v>43031.75665509259</v>
      </c>
      <c r="B8203" s="20" t="str">
        <f>HYPERLINK("https://twitter.com/sergio__amruero","@sergio__amruero")</f>
        <v>@sergio__amruero</v>
      </c>
      <c r="C8203" s="21" t="s">
        <v>18176</v>
      </c>
      <c r="D8203" s="21" t="s">
        <v>18162</v>
      </c>
      <c r="E8203" s="22" t="str">
        <f>HYPERLINK("https://twitter.com/sergio__amruero/status/922631120662835200","922631120662835200")</f>
        <v>922631120662835200</v>
      </c>
      <c r="F8203" s="23" t="s">
        <v>33</v>
      </c>
      <c r="G8203" s="24">
        <v>35.0</v>
      </c>
      <c r="H8203" s="24">
        <v>1345.0</v>
      </c>
      <c r="I8203" s="24">
        <v>59.0</v>
      </c>
      <c r="J8203" s="24">
        <v>0.0</v>
      </c>
      <c r="K8203" s="23" t="s">
        <v>34</v>
      </c>
      <c r="L8203" s="25">
        <v>41724.35266203704</v>
      </c>
      <c r="M8203" s="28"/>
      <c r="N8203" s="26" t="s">
        <v>18177</v>
      </c>
      <c r="O8203" s="22" t="str">
        <f>HYPERLINK("https://pbs.twimg.com/profile_images/749763870772846593/4UpftSc1_normal.jpg","View")</f>
        <v>View</v>
      </c>
      <c r="P8203" s="27"/>
    </row>
    <row r="8204">
      <c r="A8204" s="14">
        <v>43031.75702546297</v>
      </c>
      <c r="B8204" s="20" t="str">
        <f>HYPERLINK("https://twitter.com/lalarimando","@lalarimando")</f>
        <v>@lalarimando</v>
      </c>
      <c r="C8204" s="21" t="s">
        <v>18178</v>
      </c>
      <c r="D8204" s="21" t="s">
        <v>18179</v>
      </c>
      <c r="E8204" s="22" t="str">
        <f>HYPERLINK("https://twitter.com/lalarimando/status/922631255128203266","922631255128203266")</f>
        <v>922631255128203266</v>
      </c>
      <c r="F8204" s="23" t="s">
        <v>427</v>
      </c>
      <c r="G8204" s="24">
        <v>5286.0</v>
      </c>
      <c r="H8204" s="24">
        <v>1295.0</v>
      </c>
      <c r="I8204" s="24">
        <v>0.0</v>
      </c>
      <c r="J8204" s="24">
        <v>1.0</v>
      </c>
      <c r="K8204" s="23" t="s">
        <v>34</v>
      </c>
      <c r="L8204" s="25">
        <v>40023.02180555556</v>
      </c>
      <c r="M8204" s="26" t="s">
        <v>3327</v>
      </c>
      <c r="N8204" s="26" t="s">
        <v>18180</v>
      </c>
      <c r="O8204" s="22" t="str">
        <f>HYPERLINK("https://pbs.twimg.com/profile_images/521353699201789952/9wQe_mF6_normal.jpeg","View")</f>
        <v>View</v>
      </c>
      <c r="P8204" s="27"/>
    </row>
    <row r="8205">
      <c r="A8205" s="14">
        <v>43031.757152777776</v>
      </c>
      <c r="B8205" s="20" t="str">
        <f>HYPERLINK("https://twitter.com/budaklikas","@budaklikas")</f>
        <v>@budaklikas</v>
      </c>
      <c r="C8205" s="21" t="s">
        <v>18181</v>
      </c>
      <c r="D8205" s="21" t="s">
        <v>17645</v>
      </c>
      <c r="E8205" s="22" t="str">
        <f>HYPERLINK("https://twitter.com/budaklikas/status/922631301898764288","922631301898764288")</f>
        <v>922631301898764288</v>
      </c>
      <c r="F8205" s="23" t="s">
        <v>33</v>
      </c>
      <c r="G8205" s="24">
        <v>184.0</v>
      </c>
      <c r="H8205" s="24">
        <v>142.0</v>
      </c>
      <c r="I8205" s="24">
        <v>8.0</v>
      </c>
      <c r="J8205" s="24">
        <v>0.0</v>
      </c>
      <c r="K8205" s="23" t="s">
        <v>34</v>
      </c>
      <c r="L8205" s="25">
        <v>42004.290081018524</v>
      </c>
      <c r="M8205" s="28"/>
      <c r="N8205" s="28"/>
      <c r="O8205" s="22" t="str">
        <f>HYPERLINK("https://pbs.twimg.com/profile_images/920334477003341825/PfG2CiKr_normal.jpg","View")</f>
        <v>View</v>
      </c>
      <c r="P8205" s="27"/>
    </row>
    <row r="8206">
      <c r="A8206" s="14">
        <v>43031.75730324074</v>
      </c>
      <c r="B8206" s="20" t="str">
        <f>HYPERLINK("https://twitter.com/TRUELIGHTBEING7","@TRUELIGHTBEING7")</f>
        <v>@TRUELIGHTBEING7</v>
      </c>
      <c r="C8206" s="21" t="s">
        <v>18182</v>
      </c>
      <c r="D8206" s="21" t="s">
        <v>18162</v>
      </c>
      <c r="E8206" s="22" t="str">
        <f>HYPERLINK("https://twitter.com/TRUELIGHTBEING7/status/922631357146324992","922631357146324992")</f>
        <v>922631357146324992</v>
      </c>
      <c r="F8206" s="23" t="s">
        <v>33</v>
      </c>
      <c r="G8206" s="24">
        <v>3335.0</v>
      </c>
      <c r="H8206" s="24">
        <v>1148.0</v>
      </c>
      <c r="I8206" s="24">
        <v>59.0</v>
      </c>
      <c r="J8206" s="24">
        <v>0.0</v>
      </c>
      <c r="K8206" s="23" t="s">
        <v>34</v>
      </c>
      <c r="L8206" s="25">
        <v>40528.76585648148</v>
      </c>
      <c r="M8206" s="26" t="s">
        <v>18183</v>
      </c>
      <c r="N8206" s="26" t="s">
        <v>18184</v>
      </c>
      <c r="O8206" s="22" t="str">
        <f>HYPERLINK("https://pbs.twimg.com/profile_images/905752744258043904/7any1prf_normal.jpg","View")</f>
        <v>View</v>
      </c>
      <c r="P8206" s="27"/>
    </row>
    <row r="8207">
      <c r="A8207" s="14">
        <v>43031.757615740746</v>
      </c>
      <c r="B8207" s="20" t="str">
        <f>HYPERLINK("https://twitter.com/tokyodailynews0","@tokyodailynews0")</f>
        <v>@tokyodailynews0</v>
      </c>
      <c r="C8207" s="21" t="s">
        <v>18185</v>
      </c>
      <c r="D8207" s="21" t="s">
        <v>18186</v>
      </c>
      <c r="E8207" s="22" t="str">
        <f>HYPERLINK("https://twitter.com/tokyodailynews0/status/922631469549449217","922631469549449217")</f>
        <v>922631469549449217</v>
      </c>
      <c r="F8207" s="23" t="s">
        <v>18187</v>
      </c>
      <c r="G8207" s="24">
        <v>54.0</v>
      </c>
      <c r="H8207" s="24">
        <v>29.0</v>
      </c>
      <c r="I8207" s="24">
        <v>0.0</v>
      </c>
      <c r="J8207" s="24">
        <v>0.0</v>
      </c>
      <c r="K8207" s="23" t="s">
        <v>34</v>
      </c>
      <c r="L8207" s="25">
        <v>42741.53853009259</v>
      </c>
      <c r="M8207" s="26" t="s">
        <v>660</v>
      </c>
      <c r="N8207" s="26" t="s">
        <v>18188</v>
      </c>
      <c r="O8207" s="22" t="str">
        <f>HYPERLINK("https://pbs.twimg.com/profile_images/817948135720787968/0gLiCVio_normal.jpg","View")</f>
        <v>View</v>
      </c>
      <c r="P8207" s="27"/>
    </row>
    <row r="8208">
      <c r="A8208" s="14">
        <v>43031.75771990741</v>
      </c>
      <c r="B8208" s="20" t="str">
        <f>HYPERLINK("https://twitter.com/takuzo1213","@takuzo1213")</f>
        <v>@takuzo1213</v>
      </c>
      <c r="C8208" s="21" t="s">
        <v>18189</v>
      </c>
      <c r="D8208" s="21" t="s">
        <v>1642</v>
      </c>
      <c r="E8208" s="22" t="str">
        <f>HYPERLINK("https://twitter.com/takuzo1213/status/922631507851730944","922631507851730944")</f>
        <v>922631507851730944</v>
      </c>
      <c r="F8208" s="23" t="s">
        <v>33</v>
      </c>
      <c r="G8208" s="24">
        <v>231.0</v>
      </c>
      <c r="H8208" s="24">
        <v>571.0</v>
      </c>
      <c r="I8208" s="24">
        <v>199.0</v>
      </c>
      <c r="J8208" s="24">
        <v>0.0</v>
      </c>
      <c r="K8208" s="23" t="s">
        <v>34</v>
      </c>
      <c r="L8208" s="25">
        <v>40221.43765046296</v>
      </c>
      <c r="M8208" s="28"/>
      <c r="N8208" s="26" t="s">
        <v>18190</v>
      </c>
      <c r="O8208" s="22" t="str">
        <f>HYPERLINK("https://pbs.twimg.com/profile_images/1442387592/NVvX3yKM_normal","View")</f>
        <v>View</v>
      </c>
      <c r="P8208" s="27"/>
    </row>
    <row r="8209">
      <c r="A8209" s="14">
        <v>43031.75833333333</v>
      </c>
      <c r="B8209" s="20" t="str">
        <f>HYPERLINK("https://twitter.com/akhinduastani","@akhinduastani")</f>
        <v>@akhinduastani</v>
      </c>
      <c r="C8209" s="21" t="s">
        <v>18191</v>
      </c>
      <c r="D8209" s="21" t="s">
        <v>42</v>
      </c>
      <c r="E8209" s="22" t="str">
        <f>HYPERLINK("https://twitter.com/akhinduastani/status/922631728161624065","922631728161624065")</f>
        <v>922631728161624065</v>
      </c>
      <c r="F8209" s="23" t="s">
        <v>33</v>
      </c>
      <c r="G8209" s="24">
        <v>348.0</v>
      </c>
      <c r="H8209" s="24">
        <v>425.0</v>
      </c>
      <c r="I8209" s="24">
        <v>8501.0</v>
      </c>
      <c r="J8209" s="24">
        <v>0.0</v>
      </c>
      <c r="K8209" s="23" t="s">
        <v>34</v>
      </c>
      <c r="L8209" s="25">
        <v>42044.165925925925</v>
      </c>
      <c r="M8209" s="26" t="s">
        <v>204</v>
      </c>
      <c r="N8209" s="26" t="s">
        <v>18192</v>
      </c>
      <c r="O8209" s="22" t="str">
        <f>HYPERLINK("https://pbs.twimg.com/profile_images/920302624590651392/2ebS6glx_normal.jpg","View")</f>
        <v>View</v>
      </c>
      <c r="P8209" s="27"/>
    </row>
    <row r="8210">
      <c r="A8210" s="14">
        <v>43031.75840277778</v>
      </c>
      <c r="B8210" s="20" t="str">
        <f t="shared" ref="B8210:B8211" si="153">HYPERLINK("https://twitter.com/examinefaith","@examinefaith")</f>
        <v>@examinefaith</v>
      </c>
      <c r="C8210" s="21" t="s">
        <v>18193</v>
      </c>
      <c r="D8210" s="21" t="s">
        <v>108</v>
      </c>
      <c r="E8210" s="22" t="str">
        <f>HYPERLINK("https://twitter.com/examinefaith/status/922631755156410368","922631755156410368")</f>
        <v>922631755156410368</v>
      </c>
      <c r="F8210" s="23" t="s">
        <v>39</v>
      </c>
      <c r="G8210" s="24">
        <v>3443.0</v>
      </c>
      <c r="H8210" s="24">
        <v>5000.0</v>
      </c>
      <c r="I8210" s="24">
        <v>88.0</v>
      </c>
      <c r="J8210" s="24">
        <v>0.0</v>
      </c>
      <c r="K8210" s="23" t="s">
        <v>34</v>
      </c>
      <c r="L8210" s="25">
        <v>42509.660057870366</v>
      </c>
      <c r="M8210" s="28"/>
      <c r="N8210" s="26" t="s">
        <v>18194</v>
      </c>
      <c r="O8210" s="22" t="str">
        <f t="shared" ref="O8210:O8211" si="154">HYPERLINK("https://pbs.twimg.com/profile_images/908933682756505600/SVrVKPeT_normal.jpg","View")</f>
        <v>View</v>
      </c>
      <c r="P8210" s="27"/>
    </row>
    <row r="8211">
      <c r="A8211" s="14">
        <v>43031.75846064815</v>
      </c>
      <c r="B8211" s="20" t="str">
        <f t="shared" si="153"/>
        <v>@examinefaith</v>
      </c>
      <c r="C8211" s="21" t="s">
        <v>18193</v>
      </c>
      <c r="D8211" s="21" t="s">
        <v>760</v>
      </c>
      <c r="E8211" s="22" t="str">
        <f>HYPERLINK("https://twitter.com/examinefaith/status/922631776295702533","922631776295702533")</f>
        <v>922631776295702533</v>
      </c>
      <c r="F8211" s="23" t="s">
        <v>39</v>
      </c>
      <c r="G8211" s="24">
        <v>3443.0</v>
      </c>
      <c r="H8211" s="24">
        <v>5000.0</v>
      </c>
      <c r="I8211" s="24">
        <v>62.0</v>
      </c>
      <c r="J8211" s="24">
        <v>0.0</v>
      </c>
      <c r="K8211" s="23" t="s">
        <v>34</v>
      </c>
      <c r="L8211" s="25">
        <v>42509.660057870366</v>
      </c>
      <c r="M8211" s="28"/>
      <c r="N8211" s="26" t="s">
        <v>18194</v>
      </c>
      <c r="O8211" s="22" t="str">
        <f t="shared" si="154"/>
        <v>View</v>
      </c>
      <c r="P8211" s="27"/>
    </row>
    <row r="8212">
      <c r="A8212" s="14">
        <v>43031.7587037037</v>
      </c>
      <c r="B8212" s="20" t="str">
        <f>HYPERLINK("https://twitter.com/thetheyreokf0ur","@thetheyreokf0ur")</f>
        <v>@thetheyreokf0ur</v>
      </c>
      <c r="C8212" s="21" t="s">
        <v>18195</v>
      </c>
      <c r="D8212" s="21" t="s">
        <v>18162</v>
      </c>
      <c r="E8212" s="22" t="str">
        <f>HYPERLINK("https://twitter.com/thetheyreokf0ur/status/922631862463488000","922631862463488000")</f>
        <v>922631862463488000</v>
      </c>
      <c r="F8212" s="23" t="s">
        <v>33</v>
      </c>
      <c r="G8212" s="24">
        <v>38.0</v>
      </c>
      <c r="H8212" s="24">
        <v>1370.0</v>
      </c>
      <c r="I8212" s="24">
        <v>59.0</v>
      </c>
      <c r="J8212" s="24">
        <v>0.0</v>
      </c>
      <c r="K8212" s="23" t="s">
        <v>34</v>
      </c>
      <c r="L8212" s="25">
        <v>41084.210011574076</v>
      </c>
      <c r="M8212" s="26" t="s">
        <v>18196</v>
      </c>
      <c r="N8212" s="26" t="s">
        <v>18197</v>
      </c>
      <c r="O8212" s="22" t="str">
        <f>HYPERLINK("https://pbs.twimg.com/profile_images/750767632002023424/xuzJaelr_normal.jpg","View")</f>
        <v>View</v>
      </c>
      <c r="P8212" s="27"/>
    </row>
    <row r="8213">
      <c r="A8213" s="14">
        <v>43031.75875</v>
      </c>
      <c r="B8213" s="20" t="str">
        <f t="shared" ref="B8213:B8214" si="155">HYPERLINK("https://twitter.com/Japan_Guide1","@Japan_Guide1")</f>
        <v>@Japan_Guide1</v>
      </c>
      <c r="C8213" s="21" t="s">
        <v>17765</v>
      </c>
      <c r="D8213" s="21" t="s">
        <v>18198</v>
      </c>
      <c r="E8213" s="22" t="str">
        <f>HYPERLINK("https://twitter.com/Japan_Guide1/status/922631881471832064","922631881471832064")</f>
        <v>922631881471832064</v>
      </c>
      <c r="F8213" s="23" t="s">
        <v>55</v>
      </c>
      <c r="G8213" s="24">
        <v>129.0</v>
      </c>
      <c r="H8213" s="24">
        <v>7.0</v>
      </c>
      <c r="I8213" s="24">
        <v>0.0</v>
      </c>
      <c r="J8213" s="24">
        <v>0.0</v>
      </c>
      <c r="K8213" s="23" t="s">
        <v>34</v>
      </c>
      <c r="L8213" s="25">
        <v>41757.85288194445</v>
      </c>
      <c r="M8213" s="26" t="s">
        <v>271</v>
      </c>
      <c r="N8213" s="26" t="s">
        <v>17767</v>
      </c>
      <c r="O8213" s="22" t="str">
        <f t="shared" ref="O8213:O8214" si="156">HYPERLINK("https://pbs.twimg.com/profile_images/461037999447240704/PtnAzrJz_normal.jpeg","View")</f>
        <v>View</v>
      </c>
      <c r="P8213" s="27"/>
    </row>
    <row r="8214">
      <c r="A8214" s="14">
        <v>43031.75885416666</v>
      </c>
      <c r="B8214" s="20" t="str">
        <f t="shared" si="155"/>
        <v>@Japan_Guide1</v>
      </c>
      <c r="C8214" s="21" t="s">
        <v>17765</v>
      </c>
      <c r="D8214" s="21" t="s">
        <v>18199</v>
      </c>
      <c r="E8214" s="22" t="str">
        <f>HYPERLINK("https://twitter.com/Japan_Guide1/status/922631919237521408","922631919237521408")</f>
        <v>922631919237521408</v>
      </c>
      <c r="F8214" s="23" t="s">
        <v>1570</v>
      </c>
      <c r="G8214" s="24">
        <v>129.0</v>
      </c>
      <c r="H8214" s="24">
        <v>7.0</v>
      </c>
      <c r="I8214" s="24">
        <v>0.0</v>
      </c>
      <c r="J8214" s="24">
        <v>0.0</v>
      </c>
      <c r="K8214" s="23" t="s">
        <v>34</v>
      </c>
      <c r="L8214" s="25">
        <v>41757.85288194445</v>
      </c>
      <c r="M8214" s="26" t="s">
        <v>271</v>
      </c>
      <c r="N8214" s="26" t="s">
        <v>17767</v>
      </c>
      <c r="O8214" s="22" t="str">
        <f t="shared" si="156"/>
        <v>View</v>
      </c>
      <c r="P8214" s="27"/>
    </row>
    <row r="8215">
      <c r="A8215" s="14">
        <v>43031.75917824074</v>
      </c>
      <c r="B8215" s="20" t="str">
        <f>HYPERLINK("https://twitter.com/64_Lowe","@64_Lowe")</f>
        <v>@64_Lowe</v>
      </c>
      <c r="C8215" s="21" t="s">
        <v>18200</v>
      </c>
      <c r="D8215" s="21" t="s">
        <v>10904</v>
      </c>
      <c r="E8215" s="22" t="str">
        <f>HYPERLINK("https://twitter.com/64_Lowe/status/922632034530594816","922632034530594816")</f>
        <v>922632034530594816</v>
      </c>
      <c r="F8215" s="23" t="s">
        <v>33</v>
      </c>
      <c r="G8215" s="24">
        <v>82.0</v>
      </c>
      <c r="H8215" s="24">
        <v>42.0</v>
      </c>
      <c r="I8215" s="24">
        <v>35.0</v>
      </c>
      <c r="J8215" s="24">
        <v>0.0</v>
      </c>
      <c r="K8215" s="23" t="s">
        <v>34</v>
      </c>
      <c r="L8215" s="25">
        <v>42684.61597222222</v>
      </c>
      <c r="M8215" s="26" t="s">
        <v>18201</v>
      </c>
      <c r="N8215" s="26" t="s">
        <v>18202</v>
      </c>
      <c r="O8215" s="22" t="str">
        <f>HYPERLINK("https://pbs.twimg.com/profile_images/860268442087247872/dF4v3CxZ_normal.jpg","View")</f>
        <v>View</v>
      </c>
      <c r="P8215" s="27"/>
    </row>
    <row r="8216">
      <c r="A8216" s="14">
        <v>43031.75918981481</v>
      </c>
      <c r="B8216" s="20" t="str">
        <f>HYPERLINK("https://twitter.com/ShravanSaxena","@ShravanSaxena")</f>
        <v>@ShravanSaxena</v>
      </c>
      <c r="C8216" s="21" t="s">
        <v>18034</v>
      </c>
      <c r="D8216" s="21" t="s">
        <v>18203</v>
      </c>
      <c r="E8216" s="22" t="str">
        <f>HYPERLINK("https://twitter.com/ShravanSaxena/status/922632038502584320","922632038502584320")</f>
        <v>922632038502584320</v>
      </c>
      <c r="F8216" s="23" t="s">
        <v>55</v>
      </c>
      <c r="G8216" s="24">
        <v>205.0</v>
      </c>
      <c r="H8216" s="24">
        <v>27.0</v>
      </c>
      <c r="I8216" s="24">
        <v>0.0</v>
      </c>
      <c r="J8216" s="24">
        <v>0.0</v>
      </c>
      <c r="K8216" s="23" t="s">
        <v>34</v>
      </c>
      <c r="L8216" s="25">
        <v>40709.14003472222</v>
      </c>
      <c r="M8216" s="28"/>
      <c r="N8216" s="26" t="s">
        <v>18036</v>
      </c>
      <c r="O8216" s="22" t="str">
        <f>HYPERLINK("https://pbs.twimg.com/profile_images/897969469359759360/jKeltRek_normal.jpg","View")</f>
        <v>View</v>
      </c>
      <c r="P8216" s="27"/>
    </row>
    <row r="8217">
      <c r="A8217" s="14">
        <v>43031.75922453703</v>
      </c>
      <c r="B8217" s="20" t="str">
        <f>HYPERLINK("https://twitter.com/PolishchukVlady","@PolishchukVlady")</f>
        <v>@PolishchukVlady</v>
      </c>
      <c r="C8217" s="21" t="s">
        <v>18204</v>
      </c>
      <c r="D8217" s="21" t="s">
        <v>18162</v>
      </c>
      <c r="E8217" s="22" t="str">
        <f>HYPERLINK("https://twitter.com/PolishchukVlady/status/922632053048467456","922632053048467456")</f>
        <v>922632053048467456</v>
      </c>
      <c r="F8217" s="23" t="s">
        <v>33</v>
      </c>
      <c r="G8217" s="24">
        <v>700.0</v>
      </c>
      <c r="H8217" s="24">
        <v>2431.0</v>
      </c>
      <c r="I8217" s="24">
        <v>59.0</v>
      </c>
      <c r="J8217" s="24">
        <v>0.0</v>
      </c>
      <c r="K8217" s="23" t="s">
        <v>34</v>
      </c>
      <c r="L8217" s="25">
        <v>41530.48447916667</v>
      </c>
      <c r="M8217" s="26" t="s">
        <v>18205</v>
      </c>
      <c r="N8217" s="26" t="s">
        <v>18206</v>
      </c>
      <c r="O8217" s="22" t="str">
        <f>HYPERLINK("https://pbs.twimg.com/profile_images/519604804956336129/jVChFqsQ_normal.jpeg","View")</f>
        <v>View</v>
      </c>
      <c r="P8217" s="27"/>
    </row>
    <row r="8218">
      <c r="A8218" s="14">
        <v>43031.75950231482</v>
      </c>
      <c r="B8218" s="20" t="str">
        <f>HYPERLINK("https://twitter.com/Alkazapper","@Alkazapper")</f>
        <v>@Alkazapper</v>
      </c>
      <c r="C8218" s="21" t="s">
        <v>18207</v>
      </c>
      <c r="D8218" s="21" t="s">
        <v>18208</v>
      </c>
      <c r="E8218" s="22" t="str">
        <f>HYPERLINK("https://twitter.com/Alkazapper/status/922632153833250816","922632153833250816")</f>
        <v>922632153833250816</v>
      </c>
      <c r="F8218" s="23" t="s">
        <v>48</v>
      </c>
      <c r="G8218" s="24">
        <v>124.0</v>
      </c>
      <c r="H8218" s="24">
        <v>226.0</v>
      </c>
      <c r="I8218" s="24">
        <v>0.0</v>
      </c>
      <c r="J8218" s="24">
        <v>0.0</v>
      </c>
      <c r="K8218" s="23" t="s">
        <v>34</v>
      </c>
      <c r="L8218" s="25">
        <v>40495.83981481481</v>
      </c>
      <c r="M8218" s="26" t="s">
        <v>18209</v>
      </c>
      <c r="N8218" s="26" t="s">
        <v>18210</v>
      </c>
      <c r="O8218" s="22" t="str">
        <f>HYPERLINK("https://pbs.twimg.com/profile_images/2359914070/0dlieqffxnb3cmi9ivga_normal.jpeg","View")</f>
        <v>View</v>
      </c>
      <c r="P8218" s="27"/>
    </row>
    <row r="8219">
      <c r="A8219" s="14">
        <v>43031.759560185186</v>
      </c>
      <c r="B8219" s="20" t="str">
        <f>HYPERLINK("https://twitter.com/marinapmedina","@marinapmedina")</f>
        <v>@marinapmedina</v>
      </c>
      <c r="C8219" s="21" t="s">
        <v>18211</v>
      </c>
      <c r="D8219" s="21" t="s">
        <v>18212</v>
      </c>
      <c r="E8219" s="22" t="str">
        <f>HYPERLINK("https://twitter.com/marinapmedina/status/922632174070669312","922632174070669312")</f>
        <v>922632174070669312</v>
      </c>
      <c r="F8219" s="23" t="s">
        <v>55</v>
      </c>
      <c r="G8219" s="24">
        <v>233.0</v>
      </c>
      <c r="H8219" s="24">
        <v>344.0</v>
      </c>
      <c r="I8219" s="24">
        <v>0.0</v>
      </c>
      <c r="J8219" s="24">
        <v>0.0</v>
      </c>
      <c r="K8219" s="23" t="s">
        <v>34</v>
      </c>
      <c r="L8219" s="25">
        <v>40762.7842824074</v>
      </c>
      <c r="M8219" s="26" t="s">
        <v>1527</v>
      </c>
      <c r="N8219" s="28"/>
      <c r="O8219" s="22" t="str">
        <f>HYPERLINK("https://pbs.twimg.com/profile_images/825846777207091200/ve6SwOJs_normal.jpg","View")</f>
        <v>View</v>
      </c>
      <c r="P8219" s="27"/>
    </row>
    <row r="8220">
      <c r="A8220" s="14">
        <v>43031.75979166667</v>
      </c>
      <c r="B8220" s="20" t="str">
        <f>HYPERLINK("https://twitter.com/DrSujitkumarjh1","@DrSujitkumarjh1")</f>
        <v>@DrSujitkumarjh1</v>
      </c>
      <c r="C8220" s="21" t="s">
        <v>18213</v>
      </c>
      <c r="D8220" s="21" t="s">
        <v>42</v>
      </c>
      <c r="E8220" s="22" t="str">
        <f>HYPERLINK("https://twitter.com/DrSujitkumarjh1/status/922632255624769537","922632255624769537")</f>
        <v>922632255624769537</v>
      </c>
      <c r="F8220" s="23" t="s">
        <v>33</v>
      </c>
      <c r="G8220" s="24">
        <v>957.0</v>
      </c>
      <c r="H8220" s="24">
        <v>500.0</v>
      </c>
      <c r="I8220" s="24">
        <v>8501.0</v>
      </c>
      <c r="J8220" s="24">
        <v>0.0</v>
      </c>
      <c r="K8220" s="23" t="s">
        <v>34</v>
      </c>
      <c r="L8220" s="25">
        <v>42213.22039351852</v>
      </c>
      <c r="M8220" s="26" t="s">
        <v>18214</v>
      </c>
      <c r="N8220" s="26" t="s">
        <v>18215</v>
      </c>
      <c r="O8220" s="22" t="str">
        <f>HYPERLINK("https://pbs.twimg.com/profile_images/696659088030044160/NdpTazf__normal.jpg","View")</f>
        <v>View</v>
      </c>
      <c r="P8220" s="27"/>
    </row>
    <row r="8221">
      <c r="A8221" s="14">
        <v>43031.75980324074</v>
      </c>
      <c r="B8221" s="20" t="str">
        <f>HYPERLINK("https://twitter.com/ThinkTechSoapBx","@ThinkTechSoapBx")</f>
        <v>@ThinkTechSoapBx</v>
      </c>
      <c r="C8221" s="21" t="s">
        <v>18216</v>
      </c>
      <c r="D8221" s="21" t="s">
        <v>18162</v>
      </c>
      <c r="E8221" s="22" t="str">
        <f>HYPERLINK("https://twitter.com/ThinkTechSoapBx/status/922632262541119490","922632262541119490")</f>
        <v>922632262541119490</v>
      </c>
      <c r="F8221" s="23" t="s">
        <v>55</v>
      </c>
      <c r="G8221" s="24">
        <v>428.0</v>
      </c>
      <c r="H8221" s="24">
        <v>1444.0</v>
      </c>
      <c r="I8221" s="24">
        <v>59.0</v>
      </c>
      <c r="J8221" s="24">
        <v>0.0</v>
      </c>
      <c r="K8221" s="23" t="s">
        <v>34</v>
      </c>
      <c r="L8221" s="25">
        <v>42538.850625</v>
      </c>
      <c r="M8221" s="26" t="s">
        <v>1024</v>
      </c>
      <c r="N8221" s="26" t="s">
        <v>18217</v>
      </c>
      <c r="O8221" s="22" t="str">
        <f>HYPERLINK("https://pbs.twimg.com/profile_images/873351357901676544/o5DqvSDB_normal.jpg","View")</f>
        <v>View</v>
      </c>
      <c r="P8221" s="27"/>
    </row>
    <row r="8222">
      <c r="A8222" s="14">
        <v>43031.76019675926</v>
      </c>
      <c r="B8222" s="20" t="str">
        <f>HYPERLINK("https://twitter.com/KnockEmStiff33","@KnockEmStiff33")</f>
        <v>@KnockEmStiff33</v>
      </c>
      <c r="C8222" s="21" t="s">
        <v>18218</v>
      </c>
      <c r="D8222" s="21" t="s">
        <v>18162</v>
      </c>
      <c r="E8222" s="22" t="str">
        <f>HYPERLINK("https://twitter.com/KnockEmStiff33/status/922632403222515712","922632403222515712")</f>
        <v>922632403222515712</v>
      </c>
      <c r="F8222" s="23" t="s">
        <v>33</v>
      </c>
      <c r="G8222" s="24">
        <v>30.0</v>
      </c>
      <c r="H8222" s="24">
        <v>1275.0</v>
      </c>
      <c r="I8222" s="24">
        <v>59.0</v>
      </c>
      <c r="J8222" s="24">
        <v>0.0</v>
      </c>
      <c r="K8222" s="23" t="s">
        <v>34</v>
      </c>
      <c r="L8222" s="25">
        <v>41743.50467592593</v>
      </c>
      <c r="M8222" s="26" t="s">
        <v>18219</v>
      </c>
      <c r="N8222" s="26" t="s">
        <v>18220</v>
      </c>
      <c r="O8222" s="22" t="str">
        <f>HYPERLINK("https://pbs.twimg.com/profile_images/749765347499249664/R03P3RSe_normal.jpg","View")</f>
        <v>View</v>
      </c>
      <c r="P8222" s="27"/>
    </row>
    <row r="8223">
      <c r="A8223" s="14">
        <v>43031.760300925926</v>
      </c>
      <c r="B8223" s="20" t="str">
        <f>HYPERLINK("https://twitter.com/popesplzza","@popesplzza")</f>
        <v>@popesplzza</v>
      </c>
      <c r="C8223" s="21" t="s">
        <v>18221</v>
      </c>
      <c r="D8223" s="21" t="s">
        <v>18162</v>
      </c>
      <c r="E8223" s="22" t="str">
        <f>HYPERLINK("https://twitter.com/popesplzza/status/922632443684900865","922632443684900865")</f>
        <v>922632443684900865</v>
      </c>
      <c r="F8223" s="23" t="s">
        <v>33</v>
      </c>
      <c r="G8223" s="24">
        <v>90.0</v>
      </c>
      <c r="H8223" s="24">
        <v>2278.0</v>
      </c>
      <c r="I8223" s="24">
        <v>59.0</v>
      </c>
      <c r="J8223" s="24">
        <v>0.0</v>
      </c>
      <c r="K8223" s="23" t="s">
        <v>34</v>
      </c>
      <c r="L8223" s="25">
        <v>40680.20674768518</v>
      </c>
      <c r="M8223" s="26" t="s">
        <v>18222</v>
      </c>
      <c r="N8223" s="26" t="s">
        <v>18223</v>
      </c>
      <c r="O8223" s="22" t="str">
        <f>HYPERLINK("https://pbs.twimg.com/profile_images/763014212847370240/Tkrdm4JK_normal.jpg","View")</f>
        <v>View</v>
      </c>
      <c r="P8223" s="27"/>
    </row>
    <row r="8224">
      <c r="A8224" s="14">
        <v>43031.76047453703</v>
      </c>
      <c r="B8224" s="20" t="str">
        <f>HYPERLINK("https://twitter.com/greengrimghost","@greengrimghost")</f>
        <v>@greengrimghost</v>
      </c>
      <c r="C8224" s="21" t="s">
        <v>18224</v>
      </c>
      <c r="D8224" s="21" t="s">
        <v>1642</v>
      </c>
      <c r="E8224" s="22" t="str">
        <f>HYPERLINK("https://twitter.com/greengrimghost/status/922632506293153792","922632506293153792")</f>
        <v>922632506293153792</v>
      </c>
      <c r="F8224" s="23" t="s">
        <v>33</v>
      </c>
      <c r="G8224" s="24">
        <v>949.0</v>
      </c>
      <c r="H8224" s="24">
        <v>867.0</v>
      </c>
      <c r="I8224" s="24">
        <v>199.0</v>
      </c>
      <c r="J8224" s="24">
        <v>0.0</v>
      </c>
      <c r="K8224" s="23" t="s">
        <v>34</v>
      </c>
      <c r="L8224" s="25">
        <v>40166.73449074074</v>
      </c>
      <c r="M8224" s="26" t="s">
        <v>18225</v>
      </c>
      <c r="N8224" s="26" t="s">
        <v>18226</v>
      </c>
      <c r="O8224" s="22" t="str">
        <f>HYPERLINK("https://pbs.twimg.com/profile_images/2216709822/midorinaPseiki_normal.png","View")</f>
        <v>View</v>
      </c>
      <c r="P8224" s="27"/>
    </row>
    <row r="8225">
      <c r="A8225" s="14">
        <v>43031.76054398148</v>
      </c>
      <c r="B8225" s="20" t="str">
        <f>HYPERLINK("https://twitter.com/KEDeveaux","@KEDeveaux")</f>
        <v>@KEDeveaux</v>
      </c>
      <c r="C8225" s="21" t="s">
        <v>14904</v>
      </c>
      <c r="D8225" s="21" t="s">
        <v>18227</v>
      </c>
      <c r="E8225" s="22" t="str">
        <f>HYPERLINK("https://twitter.com/KEDeveaux/status/922632529395535875","922632529395535875")</f>
        <v>922632529395535875</v>
      </c>
      <c r="F8225" s="23" t="s">
        <v>427</v>
      </c>
      <c r="G8225" s="24">
        <v>1064.0</v>
      </c>
      <c r="H8225" s="24">
        <v>763.0</v>
      </c>
      <c r="I8225" s="24">
        <v>0.0</v>
      </c>
      <c r="J8225" s="24">
        <v>0.0</v>
      </c>
      <c r="K8225" s="23" t="s">
        <v>34</v>
      </c>
      <c r="L8225" s="25">
        <v>40217.34400462963</v>
      </c>
      <c r="M8225" s="26" t="s">
        <v>14906</v>
      </c>
      <c r="N8225" s="26" t="s">
        <v>14907</v>
      </c>
      <c r="O8225" s="22" t="str">
        <f>HYPERLINK("https://pbs.twimg.com/profile_images/3539860341/4eef5d801e1d2b7a4a61a1c56e9bf452_normal.jpeg","View")</f>
        <v>View</v>
      </c>
      <c r="P8225" s="27"/>
    </row>
    <row r="8226">
      <c r="A8226" s="14">
        <v>43031.760601851856</v>
      </c>
      <c r="B8226" s="20" t="str">
        <f>HYPERLINK("https://twitter.com/CoMokito","@CoMokito")</f>
        <v>@CoMokito</v>
      </c>
      <c r="C8226" s="21" t="s">
        <v>18228</v>
      </c>
      <c r="D8226" s="21" t="s">
        <v>18229</v>
      </c>
      <c r="E8226" s="22" t="str">
        <f>HYPERLINK("https://twitter.com/CoMokito/status/922632550173982720","922632550173982720")</f>
        <v>922632550173982720</v>
      </c>
      <c r="F8226" s="23" t="s">
        <v>33</v>
      </c>
      <c r="G8226" s="24">
        <v>83.0</v>
      </c>
      <c r="H8226" s="24">
        <v>224.0</v>
      </c>
      <c r="I8226" s="24">
        <v>0.0</v>
      </c>
      <c r="J8226" s="24">
        <v>1.0</v>
      </c>
      <c r="K8226" s="23" t="s">
        <v>34</v>
      </c>
      <c r="L8226" s="25">
        <v>41277.1053125</v>
      </c>
      <c r="M8226" s="26" t="s">
        <v>18230</v>
      </c>
      <c r="N8226" s="26" t="s">
        <v>18231</v>
      </c>
      <c r="O8226" s="22" t="str">
        <f>HYPERLINK("https://pbs.twimg.com/profile_images/921533890673631232/L-draRzX_normal.jpg","View")</f>
        <v>View</v>
      </c>
      <c r="P8226" s="27"/>
    </row>
    <row r="8227">
      <c r="A8227" s="14">
        <v>43031.760717592595</v>
      </c>
      <c r="B8227" s="20" t="str">
        <f>HYPERLINK("https://twitter.com/bizzyboneee","@bizzyboneee")</f>
        <v>@bizzyboneee</v>
      </c>
      <c r="C8227" s="21" t="s">
        <v>18232</v>
      </c>
      <c r="D8227" s="21" t="s">
        <v>18233</v>
      </c>
      <c r="E8227" s="22" t="str">
        <f>HYPERLINK("https://twitter.com/bizzyboneee/status/922632590850486272","922632590850486272")</f>
        <v>922632590850486272</v>
      </c>
      <c r="F8227" s="23" t="s">
        <v>91</v>
      </c>
      <c r="G8227" s="24">
        <v>1274.0</v>
      </c>
      <c r="H8227" s="24">
        <v>328.0</v>
      </c>
      <c r="I8227" s="24">
        <v>0.0</v>
      </c>
      <c r="J8227" s="24">
        <v>0.0</v>
      </c>
      <c r="K8227" s="23" t="s">
        <v>34</v>
      </c>
      <c r="L8227" s="25">
        <v>41079.43582175926</v>
      </c>
      <c r="M8227" s="26" t="s">
        <v>3095</v>
      </c>
      <c r="N8227" s="26" t="s">
        <v>18234</v>
      </c>
      <c r="O8227" s="22" t="str">
        <f>HYPERLINK("https://pbs.twimg.com/profile_images/657808414039527424/0q4wQs75_normal.jpg","View")</f>
        <v>View</v>
      </c>
      <c r="P8227" s="27"/>
    </row>
    <row r="8228">
      <c r="A8228" s="14">
        <v>43031.760717592595</v>
      </c>
      <c r="B8228" s="20" t="str">
        <f>HYPERLINK("https://twitter.com/ArkMash7","@ArkMash7")</f>
        <v>@ArkMash7</v>
      </c>
      <c r="C8228" s="21" t="s">
        <v>18235</v>
      </c>
      <c r="D8228" s="21" t="s">
        <v>5177</v>
      </c>
      <c r="E8228" s="22" t="str">
        <f>HYPERLINK("https://twitter.com/ArkMash7/status/922632591936602112","922632591936602112")</f>
        <v>922632591936602112</v>
      </c>
      <c r="F8228" s="23" t="s">
        <v>55</v>
      </c>
      <c r="G8228" s="24">
        <v>5.0</v>
      </c>
      <c r="H8228" s="24">
        <v>22.0</v>
      </c>
      <c r="I8228" s="24">
        <v>115.0</v>
      </c>
      <c r="J8228" s="24">
        <v>0.0</v>
      </c>
      <c r="K8228" s="23" t="s">
        <v>34</v>
      </c>
      <c r="L8228" s="25">
        <v>43002.33583333333</v>
      </c>
      <c r="M8228" s="28"/>
      <c r="N8228" s="28"/>
      <c r="O8228" s="22" t="str">
        <f>HYPERLINK("https://pbs.twimg.com/profile_images/916946434821308416/hug9Mnqz_normal.jpg","View")</f>
        <v>View</v>
      </c>
      <c r="P8228" s="27"/>
    </row>
    <row r="8229">
      <c r="A8229" s="14">
        <v>43031.76158564815</v>
      </c>
      <c r="B8229" s="20" t="str">
        <f>HYPERLINK("https://twitter.com/micasoellner","@micasoellner")</f>
        <v>@micasoellner</v>
      </c>
      <c r="C8229" s="21" t="s">
        <v>18236</v>
      </c>
      <c r="D8229" s="21" t="s">
        <v>67</v>
      </c>
      <c r="E8229" s="22" t="str">
        <f>HYPERLINK("https://twitter.com/micasoellner/status/922632906106900481","922632906106900481")</f>
        <v>922632906106900481</v>
      </c>
      <c r="F8229" s="23" t="s">
        <v>39</v>
      </c>
      <c r="G8229" s="24">
        <v>435.0</v>
      </c>
      <c r="H8229" s="24">
        <v>507.0</v>
      </c>
      <c r="I8229" s="24">
        <v>169.0</v>
      </c>
      <c r="J8229" s="24">
        <v>0.0</v>
      </c>
      <c r="K8229" s="23" t="s">
        <v>34</v>
      </c>
      <c r="L8229" s="25">
        <v>39947.64337962963</v>
      </c>
      <c r="M8229" s="26" t="s">
        <v>68</v>
      </c>
      <c r="N8229" s="26" t="s">
        <v>18237</v>
      </c>
      <c r="O8229" s="22" t="str">
        <f>HYPERLINK("https://pbs.twimg.com/profile_images/919348765689040901/p7-JgL-t_normal.jpg","View")</f>
        <v>View</v>
      </c>
      <c r="P8229" s="27"/>
    </row>
    <row r="8230">
      <c r="A8230" s="14">
        <v>43031.76167824074</v>
      </c>
      <c r="B8230" s="20" t="str">
        <f>HYPERLINK("https://twitter.com/BeSunHappy8","@BeSunHappy8")</f>
        <v>@BeSunHappy8</v>
      </c>
      <c r="C8230" s="21" t="s">
        <v>18238</v>
      </c>
      <c r="D8230" s="21" t="s">
        <v>16537</v>
      </c>
      <c r="E8230" s="22" t="str">
        <f>HYPERLINK("https://twitter.com/BeSunHappy8/status/922632939053244416","922632939053244416")</f>
        <v>922632939053244416</v>
      </c>
      <c r="F8230" s="23" t="s">
        <v>39</v>
      </c>
      <c r="G8230" s="24">
        <v>563.0</v>
      </c>
      <c r="H8230" s="24">
        <v>888.0</v>
      </c>
      <c r="I8230" s="24">
        <v>242.0</v>
      </c>
      <c r="J8230" s="24">
        <v>0.0</v>
      </c>
      <c r="K8230" s="23" t="s">
        <v>34</v>
      </c>
      <c r="L8230" s="25">
        <v>42944.710856481484</v>
      </c>
      <c r="M8230" s="28"/>
      <c r="N8230" s="26" t="s">
        <v>18239</v>
      </c>
      <c r="O8230" s="22" t="str">
        <f>HYPERLINK("https://pbs.twimg.com/profile_images/900827042811453440/J60q2n0r_normal.jpg","View")</f>
        <v>View</v>
      </c>
      <c r="P8230" s="27"/>
    </row>
    <row r="8231">
      <c r="A8231" s="14">
        <v>43031.76185185185</v>
      </c>
      <c r="B8231" s="20" t="str">
        <f>HYPERLINK("https://twitter.com/JUANCARLOSNAVA","@JUANCARLOSNAVA")</f>
        <v>@JUANCARLOSNAVA</v>
      </c>
      <c r="C8231" s="21" t="s">
        <v>18240</v>
      </c>
      <c r="D8231" s="21" t="s">
        <v>18241</v>
      </c>
      <c r="E8231" s="22" t="str">
        <f>HYPERLINK("https://twitter.com/JUANCARLOSNAVA/status/922633004559863813","922633004559863813")</f>
        <v>922633004559863813</v>
      </c>
      <c r="F8231" s="23" t="s">
        <v>1570</v>
      </c>
      <c r="G8231" s="24">
        <v>1183.0</v>
      </c>
      <c r="H8231" s="24">
        <v>975.0</v>
      </c>
      <c r="I8231" s="24">
        <v>0.0</v>
      </c>
      <c r="J8231" s="24">
        <v>0.0</v>
      </c>
      <c r="K8231" s="23" t="s">
        <v>34</v>
      </c>
      <c r="L8231" s="25">
        <v>39176.206354166665</v>
      </c>
      <c r="M8231" s="26" t="s">
        <v>18242</v>
      </c>
      <c r="N8231" s="26" t="s">
        <v>18243</v>
      </c>
      <c r="O8231" s="22" t="str">
        <f>HYPERLINK("https://pbs.twimg.com/profile_images/17066432/fotograf_a_digital_jcnn_normal.jpg","View")</f>
        <v>View</v>
      </c>
      <c r="P8231" s="27"/>
    </row>
    <row r="8232">
      <c r="A8232" s="14">
        <v>43031.76219907407</v>
      </c>
      <c r="B8232" s="20" t="str">
        <f>HYPERLINK("https://twitter.com/CBRHSDM233","@CBRHSDM233")</f>
        <v>@CBRHSDM233</v>
      </c>
      <c r="C8232" s="21" t="s">
        <v>18244</v>
      </c>
      <c r="D8232" s="21" t="s">
        <v>18162</v>
      </c>
      <c r="E8232" s="22" t="str">
        <f>HYPERLINK("https://twitter.com/CBRHSDM233/status/922633130648981510","922633130648981510")</f>
        <v>922633130648981510</v>
      </c>
      <c r="F8232" s="23" t="s">
        <v>33</v>
      </c>
      <c r="G8232" s="24">
        <v>31.0</v>
      </c>
      <c r="H8232" s="24">
        <v>1283.0</v>
      </c>
      <c r="I8232" s="24">
        <v>59.0</v>
      </c>
      <c r="J8232" s="24">
        <v>0.0</v>
      </c>
      <c r="K8232" s="23" t="s">
        <v>34</v>
      </c>
      <c r="L8232" s="25">
        <v>41724.08366898148</v>
      </c>
      <c r="M8232" s="26" t="s">
        <v>18245</v>
      </c>
      <c r="N8232" s="26" t="s">
        <v>18246</v>
      </c>
      <c r="O8232" s="22" t="str">
        <f>HYPERLINK("https://pbs.twimg.com/profile_images/749765092074553344/FxgMle3f_normal.jpg","View")</f>
        <v>View</v>
      </c>
      <c r="P8232" s="27"/>
    </row>
    <row r="8233">
      <c r="A8233" s="14">
        <v>43031.76221064814</v>
      </c>
      <c r="B8233" s="20" t="str">
        <f>HYPERLINK("https://twitter.com/wilsonjean911","@wilsonjean911")</f>
        <v>@wilsonjean911</v>
      </c>
      <c r="C8233" s="21" t="s">
        <v>18247</v>
      </c>
      <c r="D8233" s="21" t="s">
        <v>18248</v>
      </c>
      <c r="E8233" s="22" t="str">
        <f>HYPERLINK("https://twitter.com/wilsonjean911/status/922633134277001217","922633134277001217")</f>
        <v>922633134277001217</v>
      </c>
      <c r="F8233" s="23" t="s">
        <v>33</v>
      </c>
      <c r="G8233" s="24">
        <v>295.0</v>
      </c>
      <c r="H8233" s="24">
        <v>939.0</v>
      </c>
      <c r="I8233" s="24">
        <v>117.0</v>
      </c>
      <c r="J8233" s="24">
        <v>0.0</v>
      </c>
      <c r="K8233" s="23" t="s">
        <v>34</v>
      </c>
      <c r="L8233" s="25">
        <v>41936.68351851852</v>
      </c>
      <c r="M8233" s="26" t="s">
        <v>18249</v>
      </c>
      <c r="N8233" s="26" t="s">
        <v>18250</v>
      </c>
      <c r="O8233" s="22" t="str">
        <f>HYPERLINK("https://pbs.twimg.com/profile_images/690579885350223876/NQGnJ_G8_normal.jpg","View")</f>
        <v>View</v>
      </c>
      <c r="P8233" s="27"/>
    </row>
    <row r="8234">
      <c r="A8234" s="14">
        <v>43031.76237268519</v>
      </c>
      <c r="B8234" s="20" t="str">
        <f>HYPERLINK("https://twitter.com/luckylinsu","@luckylinsu")</f>
        <v>@luckylinsu</v>
      </c>
      <c r="C8234" s="21" t="s">
        <v>8817</v>
      </c>
      <c r="D8234" s="21" t="s">
        <v>18251</v>
      </c>
      <c r="E8234" s="22" t="str">
        <f>HYPERLINK("https://twitter.com/luckylinsu/status/922633192804442113","922633192804442113")</f>
        <v>922633192804442113</v>
      </c>
      <c r="F8234" s="23" t="s">
        <v>39</v>
      </c>
      <c r="G8234" s="24">
        <v>1533.0</v>
      </c>
      <c r="H8234" s="24">
        <v>1673.0</v>
      </c>
      <c r="I8234" s="24">
        <v>1.0</v>
      </c>
      <c r="J8234" s="24">
        <v>0.0</v>
      </c>
      <c r="K8234" s="23" t="s">
        <v>34</v>
      </c>
      <c r="L8234" s="25">
        <v>42566.741898148146</v>
      </c>
      <c r="M8234" s="26" t="s">
        <v>68</v>
      </c>
      <c r="N8234" s="26" t="s">
        <v>18252</v>
      </c>
      <c r="O8234" s="22" t="str">
        <f>HYPERLINK("https://pbs.twimg.com/profile_images/776237134306959361/TFWHoczK_normal.jpg","View")</f>
        <v>View</v>
      </c>
      <c r="P8234" s="27"/>
    </row>
    <row r="8235">
      <c r="A8235" s="14">
        <v>43031.762604166666</v>
      </c>
      <c r="B8235" s="20" t="str">
        <f>HYPERLINK("https://twitter.com/zoquaiy","@zoquaiy")</f>
        <v>@zoquaiy</v>
      </c>
      <c r="C8235" s="21" t="s">
        <v>1565</v>
      </c>
      <c r="D8235" s="21" t="s">
        <v>18162</v>
      </c>
      <c r="E8235" s="22" t="str">
        <f>HYPERLINK("https://twitter.com/zoquaiy/status/922633278258946048","922633278258946048")</f>
        <v>922633278258946048</v>
      </c>
      <c r="F8235" s="23" t="s">
        <v>33</v>
      </c>
      <c r="G8235" s="24">
        <v>236.0</v>
      </c>
      <c r="H8235" s="24">
        <v>79.0</v>
      </c>
      <c r="I8235" s="24">
        <v>59.0</v>
      </c>
      <c r="J8235" s="24">
        <v>0.0</v>
      </c>
      <c r="K8235" s="23" t="s">
        <v>34</v>
      </c>
      <c r="L8235" s="25">
        <v>42943.302939814814</v>
      </c>
      <c r="M8235" s="26">
        <v>5034.0</v>
      </c>
      <c r="N8235" s="26" t="s">
        <v>1567</v>
      </c>
      <c r="O8235" s="22" t="str">
        <f>HYPERLINK("https://pbs.twimg.com/profile_images/914820528665325568/gk_EH6Ki_normal.jpg","View")</f>
        <v>View</v>
      </c>
      <c r="P8235" s="27"/>
    </row>
    <row r="8236">
      <c r="A8236" s="14">
        <v>43031.76262731482</v>
      </c>
      <c r="B8236" s="20" t="str">
        <f>HYPERLINK("https://twitter.com/1967Babu","@1967Babu")</f>
        <v>@1967Babu</v>
      </c>
      <c r="C8236" s="21" t="s">
        <v>10947</v>
      </c>
      <c r="D8236" s="21" t="s">
        <v>42</v>
      </c>
      <c r="E8236" s="22" t="str">
        <f>HYPERLINK("https://twitter.com/1967Babu/status/922633283506135040","922633283506135040")</f>
        <v>922633283506135040</v>
      </c>
      <c r="F8236" s="23" t="s">
        <v>33</v>
      </c>
      <c r="G8236" s="24">
        <v>262.0</v>
      </c>
      <c r="H8236" s="24">
        <v>429.0</v>
      </c>
      <c r="I8236" s="24">
        <v>8501.0</v>
      </c>
      <c r="J8236" s="24">
        <v>0.0</v>
      </c>
      <c r="K8236" s="23" t="s">
        <v>34</v>
      </c>
      <c r="L8236" s="25">
        <v>41459.42337962963</v>
      </c>
      <c r="M8236" s="26" t="s">
        <v>1545</v>
      </c>
      <c r="N8236" s="26" t="s">
        <v>18253</v>
      </c>
      <c r="O8236" s="22" t="str">
        <f>HYPERLINK("https://pbs.twimg.com/profile_images/904268087364431872/MhbtcJHu_normal.jpg","View")</f>
        <v>View</v>
      </c>
      <c r="P8236" s="27"/>
    </row>
    <row r="8237">
      <c r="A8237" s="14">
        <v>43031.762719907405</v>
      </c>
      <c r="B8237" s="20" t="str">
        <f>HYPERLINK("https://twitter.com/8daad9d4c546408","@8daad9d4c546408")</f>
        <v>@8daad9d4c546408</v>
      </c>
      <c r="C8237" s="21" t="s">
        <v>18254</v>
      </c>
      <c r="D8237" s="21" t="s">
        <v>42</v>
      </c>
      <c r="E8237" s="22" t="str">
        <f>HYPERLINK("https://twitter.com/8daad9d4c546408/status/922633318117576706","922633318117576706")</f>
        <v>922633318117576706</v>
      </c>
      <c r="F8237" s="23" t="s">
        <v>33</v>
      </c>
      <c r="G8237" s="24">
        <v>145.0</v>
      </c>
      <c r="H8237" s="24">
        <v>428.0</v>
      </c>
      <c r="I8237" s="24">
        <v>8501.0</v>
      </c>
      <c r="J8237" s="24">
        <v>0.0</v>
      </c>
      <c r="K8237" s="23" t="s">
        <v>34</v>
      </c>
      <c r="L8237" s="25">
        <v>42604.86927083333</v>
      </c>
      <c r="M8237" s="28"/>
      <c r="N8237" s="28"/>
      <c r="O8237" s="22" t="str">
        <f>HYPERLINK("https://pbs.twimg.com/profile_images/847653382210727936/_OURdR4G_normal.jpg","View")</f>
        <v>View</v>
      </c>
      <c r="P8237" s="27"/>
    </row>
    <row r="8238">
      <c r="A8238" s="14">
        <v>43031.76275462963</v>
      </c>
      <c r="B8238" s="20" t="str">
        <f>HYPERLINK("https://twitter.com/Wonderland_248","@Wonderland_248")</f>
        <v>@Wonderland_248</v>
      </c>
      <c r="C8238" s="21" t="s">
        <v>18255</v>
      </c>
      <c r="D8238" s="21" t="s">
        <v>18256</v>
      </c>
      <c r="E8238" s="22" t="str">
        <f>HYPERLINK("https://twitter.com/Wonderland_248/status/922633332877271045","922633332877271045")</f>
        <v>922633332877271045</v>
      </c>
      <c r="F8238" s="23" t="s">
        <v>39</v>
      </c>
      <c r="G8238" s="24">
        <v>1371.0</v>
      </c>
      <c r="H8238" s="24">
        <v>535.0</v>
      </c>
      <c r="I8238" s="24">
        <v>0.0</v>
      </c>
      <c r="J8238" s="24">
        <v>14.0</v>
      </c>
      <c r="K8238" s="23" t="s">
        <v>34</v>
      </c>
      <c r="L8238" s="25">
        <v>41990.96612268519</v>
      </c>
      <c r="M8238" s="26" t="s">
        <v>18257</v>
      </c>
      <c r="N8238" s="26" t="s">
        <v>18258</v>
      </c>
      <c r="O8238" s="22" t="str">
        <f>HYPERLINK("https://pbs.twimg.com/profile_images/903046390573498368/4V4LNX6n_normal.jpg","View")</f>
        <v>View</v>
      </c>
      <c r="P8238" s="27"/>
    </row>
    <row r="8239">
      <c r="A8239" s="14">
        <v>43031.76295138889</v>
      </c>
      <c r="B8239" s="20" t="str">
        <f>HYPERLINK("https://twitter.com/yoko1_1_1","@yoko1_1_1")</f>
        <v>@yoko1_1_1</v>
      </c>
      <c r="C8239" s="21" t="s">
        <v>18259</v>
      </c>
      <c r="D8239" s="21" t="s">
        <v>1642</v>
      </c>
      <c r="E8239" s="22" t="str">
        <f>HYPERLINK("https://twitter.com/yoko1_1_1/status/922633401445728256","922633401445728256")</f>
        <v>922633401445728256</v>
      </c>
      <c r="F8239" s="23" t="s">
        <v>55</v>
      </c>
      <c r="G8239" s="24">
        <v>180.0</v>
      </c>
      <c r="H8239" s="24">
        <v>274.0</v>
      </c>
      <c r="I8239" s="24">
        <v>199.0</v>
      </c>
      <c r="J8239" s="24">
        <v>0.0</v>
      </c>
      <c r="K8239" s="23" t="s">
        <v>34</v>
      </c>
      <c r="L8239" s="25">
        <v>40977.12008101852</v>
      </c>
      <c r="M8239" s="26" t="s">
        <v>71</v>
      </c>
      <c r="N8239" s="26" t="s">
        <v>18260</v>
      </c>
      <c r="O8239" s="22" t="str">
        <f>HYPERLINK("https://pbs.twimg.com/profile_images/917745143028969473/Cihr1HWR_normal.jpg","View")</f>
        <v>View</v>
      </c>
      <c r="P8239" s="27"/>
    </row>
    <row r="8240">
      <c r="A8240" s="14">
        <v>43031.76295138889</v>
      </c>
      <c r="B8240" s="20" t="str">
        <f>HYPERLINK("https://twitter.com/Joslejanzprxb","@Joslejanzprxb")</f>
        <v>@Joslejanzprxb</v>
      </c>
      <c r="C8240" s="21" t="s">
        <v>18261</v>
      </c>
      <c r="D8240" s="21" t="s">
        <v>18162</v>
      </c>
      <c r="E8240" s="22" t="str">
        <f>HYPERLINK("https://twitter.com/Joslejanzprxb/status/922633402813177857","922633402813177857")</f>
        <v>922633402813177857</v>
      </c>
      <c r="F8240" s="23" t="s">
        <v>33</v>
      </c>
      <c r="G8240" s="24">
        <v>39.0</v>
      </c>
      <c r="H8240" s="24">
        <v>1037.0</v>
      </c>
      <c r="I8240" s="24">
        <v>59.0</v>
      </c>
      <c r="J8240" s="24">
        <v>0.0</v>
      </c>
      <c r="K8240" s="23" t="s">
        <v>34</v>
      </c>
      <c r="L8240" s="25">
        <v>41746.33844907407</v>
      </c>
      <c r="M8240" s="26" t="s">
        <v>18262</v>
      </c>
      <c r="N8240" s="26" t="s">
        <v>18263</v>
      </c>
      <c r="O8240" s="22" t="str">
        <f>HYPERLINK("https://pbs.twimg.com/profile_images/749745230732222466/-x4BHH8W_normal.jpg","View")</f>
        <v>View</v>
      </c>
      <c r="P8240" s="27"/>
    </row>
    <row r="8241">
      <c r="A8241" s="14">
        <v>43031.763090277775</v>
      </c>
      <c r="B8241" s="20" t="str">
        <f>HYPERLINK("https://twitter.com/investspoony","@investspoony")</f>
        <v>@investspoony</v>
      </c>
      <c r="C8241" s="21" t="s">
        <v>18264</v>
      </c>
      <c r="D8241" s="21" t="s">
        <v>18265</v>
      </c>
      <c r="E8241" s="22" t="str">
        <f>HYPERLINK("https://twitter.com/investspoony/status/922633454340018176","922633454340018176")</f>
        <v>922633454340018176</v>
      </c>
      <c r="F8241" s="23" t="s">
        <v>55</v>
      </c>
      <c r="G8241" s="24">
        <v>8.0</v>
      </c>
      <c r="H8241" s="24">
        <v>152.0</v>
      </c>
      <c r="I8241" s="24">
        <v>0.0</v>
      </c>
      <c r="J8241" s="24">
        <v>0.0</v>
      </c>
      <c r="K8241" s="23" t="s">
        <v>34</v>
      </c>
      <c r="L8241" s="25">
        <v>42983.97540509259</v>
      </c>
      <c r="M8241" s="26" t="s">
        <v>1224</v>
      </c>
      <c r="N8241" s="28"/>
      <c r="O8241" s="22" t="str">
        <f>HYPERLINK("https://pbs.twimg.com/profile_images/907434449624641539/3UypsG4W_normal.jpg","View")</f>
        <v>View</v>
      </c>
      <c r="P8241" s="27"/>
    </row>
    <row r="8242">
      <c r="A8242" s="14">
        <v>43031.76369212963</v>
      </c>
      <c r="B8242" s="20" t="str">
        <f>HYPERLINK("https://twitter.com/Qldfairgo","@Qldfairgo")</f>
        <v>@Qldfairgo</v>
      </c>
      <c r="C8242" s="21" t="s">
        <v>18266</v>
      </c>
      <c r="D8242" s="21" t="s">
        <v>17887</v>
      </c>
      <c r="E8242" s="22" t="str">
        <f>HYPERLINK("https://twitter.com/Qldfairgo/status/922633672267784192","922633672267784192")</f>
        <v>922633672267784192</v>
      </c>
      <c r="F8242" s="23" t="s">
        <v>55</v>
      </c>
      <c r="G8242" s="24">
        <v>422.0</v>
      </c>
      <c r="H8242" s="24">
        <v>1075.0</v>
      </c>
      <c r="I8242" s="24">
        <v>3.0</v>
      </c>
      <c r="J8242" s="24">
        <v>0.0</v>
      </c>
      <c r="K8242" s="23" t="s">
        <v>34</v>
      </c>
      <c r="L8242" s="25">
        <v>42680.68755787037</v>
      </c>
      <c r="M8242" s="28"/>
      <c r="N8242" s="26" t="s">
        <v>18267</v>
      </c>
      <c r="O8242" s="22" t="str">
        <f>HYPERLINK("https://pbs.twimg.com/profile_images/795962000278831104/qI_mMPGz_normal.jpg","View")</f>
        <v>View</v>
      </c>
      <c r="P8242" s="27"/>
    </row>
    <row r="8243">
      <c r="A8243" s="14">
        <v>43031.763715277775</v>
      </c>
      <c r="B8243" s="20" t="str">
        <f>HYPERLINK("https://twitter.com/NeerajS77158590","@NeerajS77158590")</f>
        <v>@NeerajS77158590</v>
      </c>
      <c r="C8243" s="21" t="s">
        <v>18268</v>
      </c>
      <c r="D8243" s="21" t="s">
        <v>42</v>
      </c>
      <c r="E8243" s="22" t="str">
        <f>HYPERLINK("https://twitter.com/NeerajS77158590/status/922633681147125761","922633681147125761")</f>
        <v>922633681147125761</v>
      </c>
      <c r="F8243" s="23" t="s">
        <v>33</v>
      </c>
      <c r="G8243" s="24">
        <v>454.0</v>
      </c>
      <c r="H8243" s="24">
        <v>369.0</v>
      </c>
      <c r="I8243" s="24">
        <v>8501.0</v>
      </c>
      <c r="J8243" s="24">
        <v>0.0</v>
      </c>
      <c r="K8243" s="23" t="s">
        <v>34</v>
      </c>
      <c r="L8243" s="25">
        <v>41805.57708333334</v>
      </c>
      <c r="M8243" s="28"/>
      <c r="N8243" s="26" t="s">
        <v>18269</v>
      </c>
      <c r="O8243" s="22" t="str">
        <f>HYPERLINK("https://pbs.twimg.com/profile_images/659831910202388480/tNOlgKfM_normal.jpg","View")</f>
        <v>View</v>
      </c>
      <c r="P8243" s="27"/>
    </row>
    <row r="8244">
      <c r="A8244" s="14">
        <v>43031.763761574075</v>
      </c>
      <c r="B8244" s="20" t="str">
        <f>HYPERLINK("https://twitter.com/RosslnFineArt","@RosslnFineArt")</f>
        <v>@RosslnFineArt</v>
      </c>
      <c r="C8244" s="21" t="s">
        <v>18270</v>
      </c>
      <c r="D8244" s="21" t="s">
        <v>18162</v>
      </c>
      <c r="E8244" s="22" t="str">
        <f>HYPERLINK("https://twitter.com/RosslnFineArt/status/922633695625801730","922633695625801730")</f>
        <v>922633695625801730</v>
      </c>
      <c r="F8244" s="23" t="s">
        <v>33</v>
      </c>
      <c r="G8244" s="24">
        <v>47.0</v>
      </c>
      <c r="H8244" s="24">
        <v>1718.0</v>
      </c>
      <c r="I8244" s="24">
        <v>59.0</v>
      </c>
      <c r="J8244" s="24">
        <v>0.0</v>
      </c>
      <c r="K8244" s="23" t="s">
        <v>34</v>
      </c>
      <c r="L8244" s="25">
        <v>41745.98998842593</v>
      </c>
      <c r="M8244" s="26" t="s">
        <v>17186</v>
      </c>
      <c r="N8244" s="26" t="s">
        <v>18271</v>
      </c>
      <c r="O8244" s="22" t="str">
        <f>HYPERLINK("https://pbs.twimg.com/profile_images/749751847368273920/huMxPFig_normal.jpg","View")</f>
        <v>View</v>
      </c>
      <c r="P8244" s="27"/>
    </row>
    <row r="8245">
      <c r="A8245" s="14">
        <v>43031.7637962963</v>
      </c>
      <c r="B8245" s="20" t="str">
        <f>HYPERLINK("https://twitter.com/YuIng_SK","@YuIng_SK")</f>
        <v>@YuIng_SK</v>
      </c>
      <c r="C8245" s="21" t="s">
        <v>18272</v>
      </c>
      <c r="D8245" s="21" t="s">
        <v>12974</v>
      </c>
      <c r="E8245" s="22" t="str">
        <f>HYPERLINK("https://twitter.com/YuIng_SK/status/922633706543636480","922633706543636480")</f>
        <v>922633706543636480</v>
      </c>
      <c r="F8245" s="23" t="s">
        <v>39</v>
      </c>
      <c r="G8245" s="24">
        <v>178.0</v>
      </c>
      <c r="H8245" s="24">
        <v>147.0</v>
      </c>
      <c r="I8245" s="24">
        <v>110.0</v>
      </c>
      <c r="J8245" s="24">
        <v>0.0</v>
      </c>
      <c r="K8245" s="23" t="s">
        <v>34</v>
      </c>
      <c r="L8245" s="25">
        <v>39849.6853125</v>
      </c>
      <c r="M8245" s="26" t="s">
        <v>18273</v>
      </c>
      <c r="N8245" s="26" t="s">
        <v>18274</v>
      </c>
      <c r="O8245" s="22" t="str">
        <f>HYPERLINK("https://pbs.twimg.com/profile_images/890189279502098432/huiMJowa_normal.jpg","View")</f>
        <v>View</v>
      </c>
      <c r="P8245" s="27"/>
    </row>
    <row r="8246">
      <c r="A8246" s="14">
        <v>43031.7638425926</v>
      </c>
      <c r="B8246" s="20" t="str">
        <f>HYPERLINK("https://twitter.com/graphichaus7","@graphichaus7")</f>
        <v>@graphichaus7</v>
      </c>
      <c r="C8246" s="21" t="s">
        <v>18275</v>
      </c>
      <c r="D8246" s="21" t="s">
        <v>17703</v>
      </c>
      <c r="E8246" s="22" t="str">
        <f>HYPERLINK("https://twitter.com/graphichaus7/status/922633726168829952","922633726168829952")</f>
        <v>922633726168829952</v>
      </c>
      <c r="F8246" s="23" t="s">
        <v>43</v>
      </c>
      <c r="G8246" s="24">
        <v>1122.0</v>
      </c>
      <c r="H8246" s="24">
        <v>1164.0</v>
      </c>
      <c r="I8246" s="24">
        <v>23.0</v>
      </c>
      <c r="J8246" s="24">
        <v>0.0</v>
      </c>
      <c r="K8246" s="23" t="s">
        <v>34</v>
      </c>
      <c r="L8246" s="25">
        <v>39639.43859953704</v>
      </c>
      <c r="M8246" s="26" t="s">
        <v>18276</v>
      </c>
      <c r="N8246" s="26" t="s">
        <v>18277</v>
      </c>
      <c r="O8246" s="22" t="str">
        <f>HYPERLINK("https://pbs.twimg.com/profile_images/855785587848163328/a-YT9tL2_normal.jpg","View")</f>
        <v>View</v>
      </c>
      <c r="P8246" s="27"/>
    </row>
    <row r="8247">
      <c r="A8247" s="14">
        <v>43031.76385416667</v>
      </c>
      <c r="B8247" s="20" t="str">
        <f>HYPERLINK("https://twitter.com/PatriceBoivin","@PatriceBoivin")</f>
        <v>@PatriceBoivin</v>
      </c>
      <c r="C8247" s="21" t="s">
        <v>18278</v>
      </c>
      <c r="D8247" s="21" t="s">
        <v>18279</v>
      </c>
      <c r="E8247" s="22" t="str">
        <f>HYPERLINK("https://twitter.com/PatriceBoivin/status/922633730086318080","922633730086318080")</f>
        <v>922633730086318080</v>
      </c>
      <c r="F8247" s="23" t="s">
        <v>33</v>
      </c>
      <c r="G8247" s="24">
        <v>67.0</v>
      </c>
      <c r="H8247" s="24">
        <v>179.0</v>
      </c>
      <c r="I8247" s="24">
        <v>0.0</v>
      </c>
      <c r="J8247" s="24">
        <v>0.0</v>
      </c>
      <c r="K8247" s="23" t="s">
        <v>34</v>
      </c>
      <c r="L8247" s="25">
        <v>39839.369722222225</v>
      </c>
      <c r="M8247" s="28"/>
      <c r="N8247" s="28"/>
      <c r="O8247" s="22" t="str">
        <f>HYPERLINK("https://pbs.twimg.com/profile_images/3640797867/f45624d723bc35f8383629c43a317b7c_normal.jpeg","View")</f>
        <v>View</v>
      </c>
      <c r="P8247" s="27"/>
    </row>
    <row r="8248">
      <c r="A8248" s="14">
        <v>43031.76394675926</v>
      </c>
      <c r="B8248" s="20" t="str">
        <f>HYPERLINK("https://twitter.com/rrai632","@rrai632")</f>
        <v>@rrai632</v>
      </c>
      <c r="C8248" s="21" t="s">
        <v>18280</v>
      </c>
      <c r="D8248" s="21" t="s">
        <v>42</v>
      </c>
      <c r="E8248" s="22" t="str">
        <f>HYPERLINK("https://twitter.com/rrai632/status/922633765230276608","922633765230276608")</f>
        <v>922633765230276608</v>
      </c>
      <c r="F8248" s="23" t="s">
        <v>33</v>
      </c>
      <c r="G8248" s="24">
        <v>533.0</v>
      </c>
      <c r="H8248" s="24">
        <v>2138.0</v>
      </c>
      <c r="I8248" s="24">
        <v>8501.0</v>
      </c>
      <c r="J8248" s="24">
        <v>0.0</v>
      </c>
      <c r="K8248" s="23" t="s">
        <v>34</v>
      </c>
      <c r="L8248" s="25">
        <v>41233.95943287037</v>
      </c>
      <c r="M8248" s="26" t="s">
        <v>18281</v>
      </c>
      <c r="N8248" s="26" t="s">
        <v>18282</v>
      </c>
      <c r="O8248" s="22" t="str">
        <f>HYPERLINK("https://pbs.twimg.com/profile_images/918804277727969280/cdX9Qtcb_normal.jpg","View")</f>
        <v>View</v>
      </c>
      <c r="P8248" s="27"/>
    </row>
    <row r="8249">
      <c r="A8249" s="14">
        <v>43031.76439814815</v>
      </c>
      <c r="B8249" s="20" t="str">
        <f>HYPERLINK("https://twitter.com/PhilDeCarolis","@PhilDeCarolis")</f>
        <v>@PhilDeCarolis</v>
      </c>
      <c r="C8249" s="21" t="s">
        <v>18283</v>
      </c>
      <c r="D8249" s="21" t="s">
        <v>18162</v>
      </c>
      <c r="E8249" s="22" t="str">
        <f>HYPERLINK("https://twitter.com/PhilDeCarolis/status/922633925339394050","922633925339394050")</f>
        <v>922633925339394050</v>
      </c>
      <c r="F8249" s="23" t="s">
        <v>39</v>
      </c>
      <c r="G8249" s="24">
        <v>4101.0</v>
      </c>
      <c r="H8249" s="24">
        <v>29.0</v>
      </c>
      <c r="I8249" s="24">
        <v>59.0</v>
      </c>
      <c r="J8249" s="24">
        <v>0.0</v>
      </c>
      <c r="K8249" s="23" t="s">
        <v>34</v>
      </c>
      <c r="L8249" s="25">
        <v>39856.52979166667</v>
      </c>
      <c r="M8249" s="26" t="s">
        <v>18284</v>
      </c>
      <c r="N8249" s="26" t="s">
        <v>18285</v>
      </c>
      <c r="O8249" s="22" t="str">
        <f>HYPERLINK("https://pbs.twimg.com/profile_images/2828969248/fe68d4becba183c3c27b39c0f8ad8a68_normal.png","View")</f>
        <v>View</v>
      </c>
      <c r="P8249" s="27"/>
    </row>
    <row r="8250">
      <c r="A8250" s="14">
        <v>43031.76498842593</v>
      </c>
      <c r="B8250" s="20" t="str">
        <f>HYPERLINK("https://twitter.com/nextgencali","@nextgencali")</f>
        <v>@nextgencali</v>
      </c>
      <c r="C8250" s="21" t="s">
        <v>18286</v>
      </c>
      <c r="D8250" s="21" t="s">
        <v>42</v>
      </c>
      <c r="E8250" s="22" t="str">
        <f>HYPERLINK("https://twitter.com/nextgencali/status/922634140725342208","922634140725342208")</f>
        <v>922634140725342208</v>
      </c>
      <c r="F8250" s="23" t="s">
        <v>39</v>
      </c>
      <c r="G8250" s="24">
        <v>385.0</v>
      </c>
      <c r="H8250" s="24">
        <v>2680.0</v>
      </c>
      <c r="I8250" s="24">
        <v>8501.0</v>
      </c>
      <c r="J8250" s="24">
        <v>0.0</v>
      </c>
      <c r="K8250" s="23" t="s">
        <v>34</v>
      </c>
      <c r="L8250" s="25">
        <v>42643.318773148145</v>
      </c>
      <c r="M8250" s="26" t="s">
        <v>3974</v>
      </c>
      <c r="N8250" s="26" t="s">
        <v>18287</v>
      </c>
      <c r="O8250" s="22" t="str">
        <f>HYPERLINK("https://pbs.twimg.com/profile_images/785197424713150464/bpGSsucW_normal.jpg","View")</f>
        <v>View</v>
      </c>
      <c r="P8250" s="27"/>
    </row>
    <row r="8251">
      <c r="A8251" s="14">
        <v>43031.76505787037</v>
      </c>
      <c r="B8251" s="20" t="str">
        <f>HYPERLINK("https://twitter.com/dragonfly1850","@dragonfly1850")</f>
        <v>@dragonfly1850</v>
      </c>
      <c r="C8251" s="21" t="s">
        <v>18288</v>
      </c>
      <c r="D8251" s="21" t="s">
        <v>42</v>
      </c>
      <c r="E8251" s="22" t="str">
        <f>HYPERLINK("https://twitter.com/dragonfly1850/status/922634166981685248","922634166981685248")</f>
        <v>922634166981685248</v>
      </c>
      <c r="F8251" s="23" t="s">
        <v>55</v>
      </c>
      <c r="G8251" s="24">
        <v>245.0</v>
      </c>
      <c r="H8251" s="24">
        <v>186.0</v>
      </c>
      <c r="I8251" s="24">
        <v>8501.0</v>
      </c>
      <c r="J8251" s="24">
        <v>0.0</v>
      </c>
      <c r="K8251" s="23" t="s">
        <v>34</v>
      </c>
      <c r="L8251" s="25">
        <v>42200.35673611111</v>
      </c>
      <c r="M8251" s="28"/>
      <c r="N8251" s="26" t="s">
        <v>18289</v>
      </c>
      <c r="O8251" s="22" t="str">
        <f>HYPERLINK("https://pbs.twimg.com/profile_images/621342622863339521/GN99rlxz_normal.jpg","View")</f>
        <v>View</v>
      </c>
      <c r="P8251" s="27"/>
    </row>
    <row r="8252">
      <c r="A8252" s="14">
        <v>43031.76534722222</v>
      </c>
      <c r="B8252" s="20" t="str">
        <f>HYPERLINK("https://twitter.com/OvertPolitics","@OvertPolitics")</f>
        <v>@OvertPolitics</v>
      </c>
      <c r="C8252" s="21" t="s">
        <v>18290</v>
      </c>
      <c r="D8252" s="21" t="s">
        <v>18291</v>
      </c>
      <c r="E8252" s="22" t="str">
        <f>HYPERLINK("https://twitter.com/OvertPolitics/status/922634270925082626","922634270925082626")</f>
        <v>922634270925082626</v>
      </c>
      <c r="F8252" s="23" t="s">
        <v>55</v>
      </c>
      <c r="G8252" s="24">
        <v>309.0</v>
      </c>
      <c r="H8252" s="24">
        <v>446.0</v>
      </c>
      <c r="I8252" s="24">
        <v>1.0</v>
      </c>
      <c r="J8252" s="24">
        <v>0.0</v>
      </c>
      <c r="K8252" s="23" t="s">
        <v>34</v>
      </c>
      <c r="L8252" s="25">
        <v>40289.91706018519</v>
      </c>
      <c r="M8252" s="26" t="s">
        <v>1563</v>
      </c>
      <c r="N8252" s="26" t="s">
        <v>18292</v>
      </c>
      <c r="O8252" s="22" t="str">
        <f>HYPERLINK("https://pbs.twimg.com/profile_images/860275707833860097/NAZYEtym_normal.jpg","View")</f>
        <v>View</v>
      </c>
      <c r="P8252" s="27"/>
    </row>
    <row r="8253">
      <c r="A8253" s="14">
        <v>43031.76553240741</v>
      </c>
      <c r="B8253" s="20" t="str">
        <f>HYPERLINK("https://twitter.com/CanEmbJapan","@CanEmbJapan")</f>
        <v>@CanEmbJapan</v>
      </c>
      <c r="C8253" s="21" t="s">
        <v>18293</v>
      </c>
      <c r="D8253" s="21" t="s">
        <v>11750</v>
      </c>
      <c r="E8253" s="22" t="str">
        <f>HYPERLINK("https://twitter.com/CanEmbJapan/status/922634338801504256","922634338801504256")</f>
        <v>922634338801504256</v>
      </c>
      <c r="F8253" s="23" t="s">
        <v>55</v>
      </c>
      <c r="G8253" s="24">
        <v>2906.0</v>
      </c>
      <c r="H8253" s="24">
        <v>85.0</v>
      </c>
      <c r="I8253" s="24">
        <v>35.0</v>
      </c>
      <c r="J8253" s="24">
        <v>0.0</v>
      </c>
      <c r="K8253" s="23" t="s">
        <v>34</v>
      </c>
      <c r="L8253" s="25">
        <v>41122.98971064815</v>
      </c>
      <c r="M8253" s="26" t="s">
        <v>271</v>
      </c>
      <c r="N8253" s="26" t="s">
        <v>18294</v>
      </c>
      <c r="O8253" s="22" t="str">
        <f>HYPERLINK("https://pbs.twimg.com/profile_images/889979325583421441/42DCfO5Q_normal.jpg","View")</f>
        <v>View</v>
      </c>
      <c r="P8253" s="27"/>
    </row>
    <row r="8254">
      <c r="A8254" s="14">
        <v>43031.765543981484</v>
      </c>
      <c r="B8254" s="20" t="str">
        <f>HYPERLINK("https://twitter.com/ShravanSaxena","@ShravanSaxena")</f>
        <v>@ShravanSaxena</v>
      </c>
      <c r="C8254" s="21" t="s">
        <v>18034</v>
      </c>
      <c r="D8254" s="21" t="s">
        <v>18295</v>
      </c>
      <c r="E8254" s="22" t="str">
        <f>HYPERLINK("https://twitter.com/ShravanSaxena/status/922634340496011264","922634340496011264")</f>
        <v>922634340496011264</v>
      </c>
      <c r="F8254" s="23" t="s">
        <v>55</v>
      </c>
      <c r="G8254" s="24">
        <v>205.0</v>
      </c>
      <c r="H8254" s="24">
        <v>27.0</v>
      </c>
      <c r="I8254" s="24">
        <v>0.0</v>
      </c>
      <c r="J8254" s="24">
        <v>0.0</v>
      </c>
      <c r="K8254" s="23" t="s">
        <v>34</v>
      </c>
      <c r="L8254" s="25">
        <v>40709.14003472222</v>
      </c>
      <c r="M8254" s="28"/>
      <c r="N8254" s="26" t="s">
        <v>18036</v>
      </c>
      <c r="O8254" s="22" t="str">
        <f>HYPERLINK("https://pbs.twimg.com/profile_images/897969469359759360/jKeltRek_normal.jpg","View")</f>
        <v>View</v>
      </c>
      <c r="P8254" s="27"/>
    </row>
    <row r="8255">
      <c r="A8255" s="14">
        <v>43031.76561342593</v>
      </c>
      <c r="B8255" s="20" t="str">
        <f>HYPERLINK("https://twitter.com/VFT3DREWS","@VFT3DREWS")</f>
        <v>@VFT3DREWS</v>
      </c>
      <c r="C8255" s="21" t="s">
        <v>18296</v>
      </c>
      <c r="D8255" s="21" t="s">
        <v>18162</v>
      </c>
      <c r="E8255" s="22" t="str">
        <f>HYPERLINK("https://twitter.com/VFT3DREWS/status/922634367964291073","922634367964291073")</f>
        <v>922634367964291073</v>
      </c>
      <c r="F8255" s="23" t="s">
        <v>33</v>
      </c>
      <c r="G8255" s="24">
        <v>36.0</v>
      </c>
      <c r="H8255" s="24">
        <v>800.0</v>
      </c>
      <c r="I8255" s="24">
        <v>59.0</v>
      </c>
      <c r="J8255" s="24">
        <v>0.0</v>
      </c>
      <c r="K8255" s="23" t="s">
        <v>34</v>
      </c>
      <c r="L8255" s="25">
        <v>41744.75556712963</v>
      </c>
      <c r="M8255" s="28"/>
      <c r="N8255" s="26" t="s">
        <v>18297</v>
      </c>
      <c r="O8255" s="22" t="str">
        <f>HYPERLINK("https://pbs.twimg.com/profile_images/751513515169554434/52fq1Qc9_normal.jpg","View")</f>
        <v>View</v>
      </c>
      <c r="P8255" s="27"/>
    </row>
    <row r="8256">
      <c r="A8256" s="14">
        <v>43031.765706018516</v>
      </c>
      <c r="B8256" s="20" t="str">
        <f>HYPERLINK("https://twitter.com/sahilraman0000","@sahilraman0000")</f>
        <v>@sahilraman0000</v>
      </c>
      <c r="C8256" s="21" t="s">
        <v>18298</v>
      </c>
      <c r="D8256" s="21" t="s">
        <v>42</v>
      </c>
      <c r="E8256" s="22" t="str">
        <f>HYPERLINK("https://twitter.com/sahilraman0000/status/922634401783021570","922634401783021570")</f>
        <v>922634401783021570</v>
      </c>
      <c r="F8256" s="23" t="s">
        <v>33</v>
      </c>
      <c r="G8256" s="24">
        <v>13.0</v>
      </c>
      <c r="H8256" s="24">
        <v>32.0</v>
      </c>
      <c r="I8256" s="24">
        <v>8501.0</v>
      </c>
      <c r="J8256" s="24">
        <v>0.0</v>
      </c>
      <c r="K8256" s="23" t="s">
        <v>34</v>
      </c>
      <c r="L8256" s="25">
        <v>42051.26211805556</v>
      </c>
      <c r="M8256" s="28"/>
      <c r="N8256" s="28"/>
      <c r="O8256" s="22" t="str">
        <f>HYPERLINK("https://pbs.twimg.com/profile_images/717185559030996992/N-sop6Tt_normal.jpg","View")</f>
        <v>View</v>
      </c>
      <c r="P8256" s="27"/>
    </row>
    <row r="8257">
      <c r="A8257" s="14">
        <v>43031.76587962963</v>
      </c>
      <c r="B8257" s="20" t="str">
        <f>HYPERLINK("https://twitter.com/AndreaCattaneo6","@AndreaCattaneo6")</f>
        <v>@AndreaCattaneo6</v>
      </c>
      <c r="C8257" s="21" t="s">
        <v>18299</v>
      </c>
      <c r="D8257" s="21" t="s">
        <v>14748</v>
      </c>
      <c r="E8257" s="22" t="str">
        <f>HYPERLINK("https://twitter.com/AndreaCattaneo6/status/922634462629941248","922634462629941248")</f>
        <v>922634462629941248</v>
      </c>
      <c r="F8257" s="23" t="s">
        <v>39</v>
      </c>
      <c r="G8257" s="24">
        <v>219.0</v>
      </c>
      <c r="H8257" s="24">
        <v>1040.0</v>
      </c>
      <c r="I8257" s="24">
        <v>46.0</v>
      </c>
      <c r="J8257" s="24">
        <v>0.0</v>
      </c>
      <c r="K8257" s="23" t="s">
        <v>34</v>
      </c>
      <c r="L8257" s="25">
        <v>41064.36854166667</v>
      </c>
      <c r="M8257" s="26" t="s">
        <v>18300</v>
      </c>
      <c r="N8257" s="26" t="s">
        <v>18301</v>
      </c>
      <c r="O8257" s="22" t="str">
        <f>HYPERLINK("https://pbs.twimg.com/profile_images/684060703477596161/pv5qKE9K_normal.jpg","View")</f>
        <v>View</v>
      </c>
      <c r="P8257" s="27"/>
    </row>
    <row r="8258">
      <c r="A8258" s="14">
        <v>43031.76592592592</v>
      </c>
      <c r="B8258" s="20" t="str">
        <f>HYPERLINK("https://twitter.com/NgatiaEsq","@NgatiaEsq")</f>
        <v>@NgatiaEsq</v>
      </c>
      <c r="C8258" s="21" t="s">
        <v>18302</v>
      </c>
      <c r="D8258" s="21" t="s">
        <v>18303</v>
      </c>
      <c r="E8258" s="22" t="str">
        <f>HYPERLINK("https://twitter.com/NgatiaEsq/status/922634482456387584","922634482456387584")</f>
        <v>922634482456387584</v>
      </c>
      <c r="F8258" s="23" t="s">
        <v>55</v>
      </c>
      <c r="G8258" s="24">
        <v>581.0</v>
      </c>
      <c r="H8258" s="24">
        <v>635.0</v>
      </c>
      <c r="I8258" s="24">
        <v>0.0</v>
      </c>
      <c r="J8258" s="24">
        <v>0.0</v>
      </c>
      <c r="K8258" s="23" t="s">
        <v>34</v>
      </c>
      <c r="L8258" s="25">
        <v>40503.334016203706</v>
      </c>
      <c r="M8258" s="26" t="s">
        <v>114</v>
      </c>
      <c r="N8258" s="26" t="s">
        <v>18304</v>
      </c>
      <c r="O8258" s="22" t="str">
        <f>HYPERLINK("https://pbs.twimg.com/profile_images/919811067202686976/hWcaBBWL_normal.jpg","View")</f>
        <v>View</v>
      </c>
      <c r="P8258" s="27"/>
    </row>
    <row r="8259">
      <c r="A8259" s="14">
        <v>43031.766076388885</v>
      </c>
      <c r="B8259" s="20" t="str">
        <f>HYPERLINK("https://twitter.com/PawanJRai","@PawanJRai")</f>
        <v>@PawanJRai</v>
      </c>
      <c r="C8259" s="21" t="s">
        <v>18305</v>
      </c>
      <c r="D8259" s="21" t="s">
        <v>42</v>
      </c>
      <c r="E8259" s="22" t="str">
        <f>HYPERLINK("https://twitter.com/PawanJRai/status/922634535644385282","922634535644385282")</f>
        <v>922634535644385282</v>
      </c>
      <c r="F8259" s="23" t="s">
        <v>33</v>
      </c>
      <c r="G8259" s="24">
        <v>590.0</v>
      </c>
      <c r="H8259" s="24">
        <v>1070.0</v>
      </c>
      <c r="I8259" s="24">
        <v>8501.0</v>
      </c>
      <c r="J8259" s="24">
        <v>0.0</v>
      </c>
      <c r="K8259" s="23" t="s">
        <v>34</v>
      </c>
      <c r="L8259" s="25">
        <v>41515.46797453704</v>
      </c>
      <c r="M8259" s="26" t="s">
        <v>207</v>
      </c>
      <c r="N8259" s="26" t="s">
        <v>18306</v>
      </c>
      <c r="O8259" s="22" t="str">
        <f>HYPERLINK("https://pbs.twimg.com/profile_images/805499634550472705/F-El15kV_normal.jpg","View")</f>
        <v>View</v>
      </c>
      <c r="P8259" s="27"/>
    </row>
    <row r="8260">
      <c r="A8260" s="14">
        <v>43031.76614583333</v>
      </c>
      <c r="B8260" s="20" t="str">
        <f>HYPERLINK("https://twitter.com/Arjunaju1612","@Arjunaju1612")</f>
        <v>@Arjunaju1612</v>
      </c>
      <c r="C8260" s="21" t="s">
        <v>18307</v>
      </c>
      <c r="D8260" s="21" t="s">
        <v>42</v>
      </c>
      <c r="E8260" s="22" t="str">
        <f>HYPERLINK("https://twitter.com/Arjunaju1612/status/922634561795665920","922634561795665920")</f>
        <v>922634561795665920</v>
      </c>
      <c r="F8260" s="23" t="s">
        <v>33</v>
      </c>
      <c r="G8260" s="24">
        <v>12.0</v>
      </c>
      <c r="H8260" s="24">
        <v>256.0</v>
      </c>
      <c r="I8260" s="24">
        <v>8501.0</v>
      </c>
      <c r="J8260" s="24">
        <v>0.0</v>
      </c>
      <c r="K8260" s="23" t="s">
        <v>34</v>
      </c>
      <c r="L8260" s="25">
        <v>42696.879328703704</v>
      </c>
      <c r="M8260" s="28"/>
      <c r="N8260" s="28"/>
      <c r="O8260" s="22" t="str">
        <f>HYPERLINK("https://pbs.twimg.com/profile_images/886086185738682368/sUXpOCIK_normal.jpg","View")</f>
        <v>View</v>
      </c>
      <c r="P8260" s="27"/>
    </row>
    <row r="8261">
      <c r="A8261" s="14">
        <v>43031.76626157407</v>
      </c>
      <c r="B8261" s="20" t="str">
        <f>HYPERLINK("https://twitter.com/Pai__Dro","@Pai__Dro")</f>
        <v>@Pai__Dro</v>
      </c>
      <c r="C8261" s="21" t="s">
        <v>18308</v>
      </c>
      <c r="D8261" s="21" t="s">
        <v>18162</v>
      </c>
      <c r="E8261" s="22" t="str">
        <f>HYPERLINK("https://twitter.com/Pai__Dro/status/922634601708834817","922634601708834817")</f>
        <v>922634601708834817</v>
      </c>
      <c r="F8261" s="23" t="s">
        <v>33</v>
      </c>
      <c r="G8261" s="24">
        <v>54.0</v>
      </c>
      <c r="H8261" s="24">
        <v>1838.0</v>
      </c>
      <c r="I8261" s="24">
        <v>59.0</v>
      </c>
      <c r="J8261" s="24">
        <v>0.0</v>
      </c>
      <c r="K8261" s="23" t="s">
        <v>34</v>
      </c>
      <c r="L8261" s="25">
        <v>41743.672534722224</v>
      </c>
      <c r="M8261" s="26" t="s">
        <v>18309</v>
      </c>
      <c r="N8261" s="26" t="s">
        <v>18310</v>
      </c>
      <c r="O8261" s="22" t="str">
        <f>HYPERLINK("https://pbs.twimg.com/profile_images/749773917884219392/ncsDyxpi_normal.jpg","View")</f>
        <v>View</v>
      </c>
      <c r="P8261" s="27"/>
    </row>
    <row r="8262">
      <c r="A8262" s="14">
        <v>43031.76640046296</v>
      </c>
      <c r="B8262" s="20" t="str">
        <f>HYPERLINK("https://twitter.com/gomakochan","@gomakochan")</f>
        <v>@gomakochan</v>
      </c>
      <c r="C8262" s="21" t="s">
        <v>18311</v>
      </c>
      <c r="D8262" s="21" t="s">
        <v>17832</v>
      </c>
      <c r="E8262" s="22" t="str">
        <f>HYPERLINK("https://twitter.com/gomakochan/status/922634653952905216","922634653952905216")</f>
        <v>922634653952905216</v>
      </c>
      <c r="F8262" s="23" t="s">
        <v>39</v>
      </c>
      <c r="G8262" s="24">
        <v>133.0</v>
      </c>
      <c r="H8262" s="24">
        <v>364.0</v>
      </c>
      <c r="I8262" s="24">
        <v>6.0</v>
      </c>
      <c r="J8262" s="24">
        <v>0.0</v>
      </c>
      <c r="K8262" s="23" t="s">
        <v>34</v>
      </c>
      <c r="L8262" s="25">
        <v>40546.146469907406</v>
      </c>
      <c r="M8262" s="26" t="s">
        <v>71</v>
      </c>
      <c r="N8262" s="26" t="s">
        <v>18312</v>
      </c>
      <c r="O8262" s="22" t="str">
        <f>HYPERLINK("https://pbs.twimg.com/profile_images/854908512874266624/pkELRKxc_normal.jpg","View")</f>
        <v>View</v>
      </c>
      <c r="P8262" s="27"/>
    </row>
    <row r="8263">
      <c r="A8263" s="14">
        <v>43031.766643518524</v>
      </c>
      <c r="B8263" s="20" t="str">
        <f>HYPERLINK("https://twitter.com/Lauren_Bateman3","@Lauren_Bateman3")</f>
        <v>@Lauren_Bateman3</v>
      </c>
      <c r="C8263" s="21" t="s">
        <v>18313</v>
      </c>
      <c r="D8263" s="21" t="s">
        <v>18162</v>
      </c>
      <c r="E8263" s="22" t="str">
        <f>HYPERLINK("https://twitter.com/Lauren_Bateman3/status/922634740271689728","922634740271689728")</f>
        <v>922634740271689728</v>
      </c>
      <c r="F8263" s="23" t="s">
        <v>33</v>
      </c>
      <c r="G8263" s="24">
        <v>44.0</v>
      </c>
      <c r="H8263" s="24">
        <v>825.0</v>
      </c>
      <c r="I8263" s="24">
        <v>59.0</v>
      </c>
      <c r="J8263" s="24">
        <v>0.0</v>
      </c>
      <c r="K8263" s="23" t="s">
        <v>34</v>
      </c>
      <c r="L8263" s="25">
        <v>41744.13011574074</v>
      </c>
      <c r="M8263" s="26" t="s">
        <v>18314</v>
      </c>
      <c r="N8263" s="26" t="s">
        <v>18315</v>
      </c>
      <c r="O8263" s="22" t="str">
        <f>HYPERLINK("https://pbs.twimg.com/profile_images/749774085325021184/g3pPLxWb_normal.jpg","View")</f>
        <v>View</v>
      </c>
      <c r="P8263" s="27"/>
    </row>
    <row r="8264">
      <c r="A8264" s="14">
        <v>43031.766747685186</v>
      </c>
      <c r="B8264" s="20" t="str">
        <f>HYPERLINK("https://twitter.com/Mperry74","@Mperry74")</f>
        <v>@Mperry74</v>
      </c>
      <c r="C8264" s="21" t="s">
        <v>18316</v>
      </c>
      <c r="D8264" s="21" t="s">
        <v>18162</v>
      </c>
      <c r="E8264" s="22" t="str">
        <f>HYPERLINK("https://twitter.com/Mperry74/status/922634777269714944","922634777269714944")</f>
        <v>922634777269714944</v>
      </c>
      <c r="F8264" s="23" t="s">
        <v>33</v>
      </c>
      <c r="G8264" s="24">
        <v>56.0</v>
      </c>
      <c r="H8264" s="24">
        <v>2235.0</v>
      </c>
      <c r="I8264" s="24">
        <v>59.0</v>
      </c>
      <c r="J8264" s="24">
        <v>0.0</v>
      </c>
      <c r="K8264" s="23" t="s">
        <v>34</v>
      </c>
      <c r="L8264" s="25">
        <v>40924.47849537037</v>
      </c>
      <c r="M8264" s="26" t="s">
        <v>18317</v>
      </c>
      <c r="N8264" s="26" t="s">
        <v>18318</v>
      </c>
      <c r="O8264" s="22" t="str">
        <f>HYPERLINK("https://pbs.twimg.com/profile_images/764393965378351104/zYlLyMCZ_normal.jpg","View")</f>
        <v>View</v>
      </c>
      <c r="P8264" s="27"/>
    </row>
    <row r="8265">
      <c r="A8265" s="14">
        <v>43031.76777777778</v>
      </c>
      <c r="B8265" s="20" t="str">
        <f>HYPERLINK("https://twitter.com/JimCrump5","@JimCrump5")</f>
        <v>@JimCrump5</v>
      </c>
      <c r="C8265" s="21" t="s">
        <v>11839</v>
      </c>
      <c r="D8265" s="21" t="s">
        <v>16537</v>
      </c>
      <c r="E8265" s="22" t="str">
        <f>HYPERLINK("https://twitter.com/JimCrump5/status/922635151233884160","922635151233884160")</f>
        <v>922635151233884160</v>
      </c>
      <c r="F8265" s="23" t="s">
        <v>230</v>
      </c>
      <c r="G8265" s="24">
        <v>436.0</v>
      </c>
      <c r="H8265" s="24">
        <v>821.0</v>
      </c>
      <c r="I8265" s="24">
        <v>242.0</v>
      </c>
      <c r="J8265" s="24">
        <v>0.0</v>
      </c>
      <c r="K8265" s="23" t="s">
        <v>34</v>
      </c>
      <c r="L8265" s="25">
        <v>42943.85121527778</v>
      </c>
      <c r="M8265" s="26" t="s">
        <v>1961</v>
      </c>
      <c r="N8265" s="26" t="s">
        <v>11840</v>
      </c>
      <c r="O8265" s="22" t="str">
        <f>HYPERLINK("https://abs.twimg.com/sticky/default_profile_images/default_profile_normal.png","View")</f>
        <v>View</v>
      </c>
      <c r="P8265" s="27"/>
    </row>
    <row r="8266">
      <c r="A8266" s="14">
        <v>43031.76829861111</v>
      </c>
      <c r="B8266" s="20" t="str">
        <f>HYPERLINK("https://twitter.com/miki_kaneko","@miki_kaneko")</f>
        <v>@miki_kaneko</v>
      </c>
      <c r="C8266" s="21" t="s">
        <v>8311</v>
      </c>
      <c r="D8266" s="21" t="s">
        <v>6403</v>
      </c>
      <c r="E8266" s="22" t="str">
        <f>HYPERLINK("https://twitter.com/miki_kaneko/status/922635342053646336","922635342053646336")</f>
        <v>922635342053646336</v>
      </c>
      <c r="F8266" s="23" t="s">
        <v>39</v>
      </c>
      <c r="G8266" s="24">
        <v>305.0</v>
      </c>
      <c r="H8266" s="24">
        <v>85.0</v>
      </c>
      <c r="I8266" s="24">
        <v>97.0</v>
      </c>
      <c r="J8266" s="24">
        <v>0.0</v>
      </c>
      <c r="K8266" s="23" t="s">
        <v>34</v>
      </c>
      <c r="L8266" s="25">
        <v>40290.26557870371</v>
      </c>
      <c r="M8266" s="26" t="s">
        <v>923</v>
      </c>
      <c r="N8266" s="26" t="s">
        <v>8312</v>
      </c>
      <c r="O8266" s="22" t="str">
        <f>HYPERLINK("https://pbs.twimg.com/profile_images/902755196174028801/Hht4nr8m_normal.jpg","View")</f>
        <v>View</v>
      </c>
      <c r="P8266" s="27"/>
    </row>
    <row r="8267">
      <c r="A8267" s="14">
        <v>43031.76850694444</v>
      </c>
      <c r="B8267" s="20" t="str">
        <f>HYPERLINK("https://twitter.com/donsw","@donsw")</f>
        <v>@donsw</v>
      </c>
      <c r="C8267" s="21" t="s">
        <v>18319</v>
      </c>
      <c r="D8267" s="21" t="s">
        <v>16537</v>
      </c>
      <c r="E8267" s="22" t="str">
        <f>HYPERLINK("https://twitter.com/donsw/status/922635416175566850","922635416175566850")</f>
        <v>922635416175566850</v>
      </c>
      <c r="F8267" s="23" t="s">
        <v>39</v>
      </c>
      <c r="G8267" s="24">
        <v>163.0</v>
      </c>
      <c r="H8267" s="24">
        <v>476.0</v>
      </c>
      <c r="I8267" s="24">
        <v>242.0</v>
      </c>
      <c r="J8267" s="24">
        <v>0.0</v>
      </c>
      <c r="K8267" s="23" t="s">
        <v>34</v>
      </c>
      <c r="L8267" s="25">
        <v>39632.21234953704</v>
      </c>
      <c r="M8267" s="26" t="s">
        <v>18314</v>
      </c>
      <c r="N8267" s="26" t="s">
        <v>18320</v>
      </c>
      <c r="O8267" s="22" t="str">
        <f>HYPERLINK("https://abs.twimg.com/sticky/default_profile_images/default_profile_normal.png","View")</f>
        <v>View</v>
      </c>
      <c r="P8267" s="27"/>
    </row>
    <row r="8268">
      <c r="A8268" s="14">
        <v>43031.76861111111</v>
      </c>
      <c r="B8268" s="20" t="str">
        <f>HYPERLINK("https://twitter.com/brewnari","@brewnari")</f>
        <v>@brewnari</v>
      </c>
      <c r="C8268" s="21" t="s">
        <v>18321</v>
      </c>
      <c r="D8268" s="21" t="s">
        <v>18322</v>
      </c>
      <c r="E8268" s="22" t="str">
        <f>HYPERLINK("https://twitter.com/brewnari/status/922635452615553024","922635452615553024")</f>
        <v>922635452615553024</v>
      </c>
      <c r="F8268" s="23" t="s">
        <v>18323</v>
      </c>
      <c r="G8268" s="24">
        <v>57.0</v>
      </c>
      <c r="H8268" s="24">
        <v>156.0</v>
      </c>
      <c r="I8268" s="24">
        <v>0.0</v>
      </c>
      <c r="J8268" s="24">
        <v>0.0</v>
      </c>
      <c r="K8268" s="23" t="s">
        <v>34</v>
      </c>
      <c r="L8268" s="25">
        <v>40146.74202546296</v>
      </c>
      <c r="M8268" s="28"/>
      <c r="N8268" s="28"/>
      <c r="O8268" s="22" t="str">
        <f>HYPERLINK("https://pbs.twimg.com/profile_images/681698471095566337/XhlLUTS4_normal.jpg","View")</f>
        <v>View</v>
      </c>
      <c r="P8268" s="27"/>
    </row>
    <row r="8269">
      <c r="A8269" s="14">
        <v>43031.7690162037</v>
      </c>
      <c r="B8269" s="20" t="str">
        <f>HYPERLINK("https://twitter.com/ShubhamGpandey","@ShubhamGpandey")</f>
        <v>@ShubhamGpandey</v>
      </c>
      <c r="C8269" s="21" t="s">
        <v>18324</v>
      </c>
      <c r="D8269" s="21" t="s">
        <v>42</v>
      </c>
      <c r="E8269" s="22" t="str">
        <f>HYPERLINK("https://twitter.com/ShubhamGpandey/status/922635598673756160","922635598673756160")</f>
        <v>922635598673756160</v>
      </c>
      <c r="F8269" s="23" t="s">
        <v>33</v>
      </c>
      <c r="G8269" s="24">
        <v>43.0</v>
      </c>
      <c r="H8269" s="24">
        <v>128.0</v>
      </c>
      <c r="I8269" s="24">
        <v>8501.0</v>
      </c>
      <c r="J8269" s="24">
        <v>0.0</v>
      </c>
      <c r="K8269" s="23" t="s">
        <v>34</v>
      </c>
      <c r="L8269" s="25">
        <v>41582.997465277775</v>
      </c>
      <c r="M8269" s="26" t="s">
        <v>18325</v>
      </c>
      <c r="N8269" s="26" t="s">
        <v>18326</v>
      </c>
      <c r="O8269" s="22" t="str">
        <f>HYPERLINK("https://pbs.twimg.com/profile_images/922851669427208192/ZX5QGiwN_normal.jpg","View")</f>
        <v>View</v>
      </c>
      <c r="P8269" s="27"/>
    </row>
    <row r="8270">
      <c r="A8270" s="14">
        <v>43031.76960648148</v>
      </c>
      <c r="B8270" s="20" t="str">
        <f>HYPERLINK("https://twitter.com/StarAdvertiser","@StarAdvertiser")</f>
        <v>@StarAdvertiser</v>
      </c>
      <c r="C8270" s="21" t="s">
        <v>18327</v>
      </c>
      <c r="D8270" s="21" t="s">
        <v>18328</v>
      </c>
      <c r="E8270" s="22" t="str">
        <f>HYPERLINK("https://twitter.com/StarAdvertiser/status/922635814114168832","922635814114168832")</f>
        <v>922635814114168832</v>
      </c>
      <c r="F8270" s="23" t="s">
        <v>55</v>
      </c>
      <c r="G8270" s="24">
        <v>65854.0</v>
      </c>
      <c r="H8270" s="24">
        <v>64.0</v>
      </c>
      <c r="I8270" s="24">
        <v>0.0</v>
      </c>
      <c r="J8270" s="24">
        <v>0.0</v>
      </c>
      <c r="K8270" s="23" t="s">
        <v>34</v>
      </c>
      <c r="L8270" s="25">
        <v>40262.57983796296</v>
      </c>
      <c r="M8270" s="26" t="s">
        <v>8659</v>
      </c>
      <c r="N8270" s="26" t="s">
        <v>18329</v>
      </c>
      <c r="O8270" s="22" t="str">
        <f>HYPERLINK("https://pbs.twimg.com/profile_images/458796544200679426/TIwpuRqm_normal.png","View")</f>
        <v>View</v>
      </c>
      <c r="P8270" s="27"/>
    </row>
    <row r="8271">
      <c r="A8271" s="14">
        <v>43031.77059027778</v>
      </c>
      <c r="B8271" s="20" t="str">
        <f>HYPERLINK("https://twitter.com/ShravanSaxena","@ShravanSaxena")</f>
        <v>@ShravanSaxena</v>
      </c>
      <c r="C8271" s="21" t="s">
        <v>18034</v>
      </c>
      <c r="D8271" s="21" t="s">
        <v>18330</v>
      </c>
      <c r="E8271" s="22" t="str">
        <f>HYPERLINK("https://twitter.com/ShravanSaxena/status/922636168608538624","922636168608538624")</f>
        <v>922636168608538624</v>
      </c>
      <c r="F8271" s="23" t="s">
        <v>55</v>
      </c>
      <c r="G8271" s="24">
        <v>205.0</v>
      </c>
      <c r="H8271" s="24">
        <v>27.0</v>
      </c>
      <c r="I8271" s="24">
        <v>0.0</v>
      </c>
      <c r="J8271" s="24">
        <v>0.0</v>
      </c>
      <c r="K8271" s="23" t="s">
        <v>34</v>
      </c>
      <c r="L8271" s="25">
        <v>40709.14003472222</v>
      </c>
      <c r="M8271" s="28"/>
      <c r="N8271" s="26" t="s">
        <v>18036</v>
      </c>
      <c r="O8271" s="22" t="str">
        <f>HYPERLINK("https://pbs.twimg.com/profile_images/897969469359759360/jKeltRek_normal.jpg","View")</f>
        <v>View</v>
      </c>
      <c r="P8271" s="27"/>
    </row>
    <row r="8272">
      <c r="A8272" s="14">
        <v>43031.771157407406</v>
      </c>
      <c r="B8272" s="20" t="str">
        <f>HYPERLINK("https://twitter.com/Truth2Pwer","@Truth2Pwer")</f>
        <v>@Truth2Pwer</v>
      </c>
      <c r="C8272" s="21" t="s">
        <v>18331</v>
      </c>
      <c r="D8272" s="21" t="s">
        <v>18332</v>
      </c>
      <c r="E8272" s="22" t="str">
        <f>HYPERLINK("https://twitter.com/Truth2Pwer/status/922636374192275456","922636374192275456")</f>
        <v>922636374192275456</v>
      </c>
      <c r="F8272" s="23" t="s">
        <v>55</v>
      </c>
      <c r="G8272" s="24">
        <v>1771.0</v>
      </c>
      <c r="H8272" s="24">
        <v>919.0</v>
      </c>
      <c r="I8272" s="24">
        <v>0.0</v>
      </c>
      <c r="J8272" s="24">
        <v>2.0</v>
      </c>
      <c r="K8272" s="23" t="s">
        <v>34</v>
      </c>
      <c r="L8272" s="25">
        <v>41727.866481481484</v>
      </c>
      <c r="M8272" s="26" t="s">
        <v>18333</v>
      </c>
      <c r="N8272" s="26" t="s">
        <v>18334</v>
      </c>
      <c r="O8272" s="22" t="str">
        <f>HYPERLINK("https://pbs.twimg.com/profile_images/509433015714332672/nziWuVxr_normal.png","View")</f>
        <v>View</v>
      </c>
      <c r="P8272" s="27"/>
    </row>
    <row r="8273">
      <c r="A8273" s="14">
        <v>43031.77137731481</v>
      </c>
      <c r="B8273" s="20" t="str">
        <f>HYPERLINK("https://twitter.com/prahalad8020","@prahalad8020")</f>
        <v>@prahalad8020</v>
      </c>
      <c r="C8273" s="21" t="s">
        <v>18335</v>
      </c>
      <c r="D8273" s="21" t="s">
        <v>42</v>
      </c>
      <c r="E8273" s="22" t="str">
        <f>HYPERLINK("https://twitter.com/prahalad8020/status/922636454513197056","922636454513197056")</f>
        <v>922636454513197056</v>
      </c>
      <c r="F8273" s="23" t="s">
        <v>33</v>
      </c>
      <c r="G8273" s="24">
        <v>14.0</v>
      </c>
      <c r="H8273" s="24">
        <v>43.0</v>
      </c>
      <c r="I8273" s="24">
        <v>8501.0</v>
      </c>
      <c r="J8273" s="24">
        <v>0.0</v>
      </c>
      <c r="K8273" s="23" t="s">
        <v>34</v>
      </c>
      <c r="L8273" s="25">
        <v>43012.26556712963</v>
      </c>
      <c r="M8273" s="28"/>
      <c r="N8273" s="28"/>
      <c r="O8273" s="22" t="str">
        <f>HYPERLINK("https://pbs.twimg.com/profile_images/915911674497925120/HB_z9Big_normal.jpg","View")</f>
        <v>View</v>
      </c>
      <c r="P8273" s="27"/>
    </row>
    <row r="8274">
      <c r="A8274" s="14">
        <v>43031.77149305555</v>
      </c>
      <c r="B8274" s="20" t="str">
        <f>HYPERLINK("https://twitter.com/jinqianbaizitr","@jinqianbaizitr")</f>
        <v>@jinqianbaizitr</v>
      </c>
      <c r="C8274" s="21" t="s">
        <v>18336</v>
      </c>
      <c r="D8274" s="21" t="s">
        <v>18162</v>
      </c>
      <c r="E8274" s="22" t="str">
        <f>HYPERLINK("https://twitter.com/jinqianbaizitr/status/922636496875565056","922636496875565056")</f>
        <v>922636496875565056</v>
      </c>
      <c r="F8274" s="23" t="s">
        <v>55</v>
      </c>
      <c r="G8274" s="24">
        <v>3.0</v>
      </c>
      <c r="H8274" s="24">
        <v>6.0</v>
      </c>
      <c r="I8274" s="24">
        <v>59.0</v>
      </c>
      <c r="J8274" s="24">
        <v>0.0</v>
      </c>
      <c r="K8274" s="23" t="s">
        <v>34</v>
      </c>
      <c r="L8274" s="25">
        <v>43027.380949074075</v>
      </c>
      <c r="M8274" s="28"/>
      <c r="N8274" s="28"/>
      <c r="O8274" s="22" t="str">
        <f>HYPERLINK("https://pbs.twimg.com/profile_images/921976542003052544/ih0949zM_normal.jpg","View")</f>
        <v>View</v>
      </c>
      <c r="P8274" s="27"/>
    </row>
    <row r="8275">
      <c r="A8275" s="14">
        <v>43031.771527777775</v>
      </c>
      <c r="B8275" s="20" t="str">
        <f>HYPERLINK("https://twitter.com/huzurat","@huzurat")</f>
        <v>@huzurat</v>
      </c>
      <c r="C8275" s="21" t="s">
        <v>18337</v>
      </c>
      <c r="D8275" s="21" t="s">
        <v>42</v>
      </c>
      <c r="E8275" s="22" t="str">
        <f>HYPERLINK("https://twitter.com/huzurat/status/922636508607033345","922636508607033345")</f>
        <v>922636508607033345</v>
      </c>
      <c r="F8275" s="23" t="s">
        <v>33</v>
      </c>
      <c r="G8275" s="24">
        <v>1386.0</v>
      </c>
      <c r="H8275" s="24">
        <v>1009.0</v>
      </c>
      <c r="I8275" s="24">
        <v>8501.0</v>
      </c>
      <c r="J8275" s="24">
        <v>0.0</v>
      </c>
      <c r="K8275" s="23" t="s">
        <v>34</v>
      </c>
      <c r="L8275" s="25">
        <v>40182.863541666666</v>
      </c>
      <c r="M8275" s="26" t="s">
        <v>18338</v>
      </c>
      <c r="N8275" s="26" t="s">
        <v>18339</v>
      </c>
      <c r="O8275" s="22" t="str">
        <f>HYPERLINK("https://pbs.twimg.com/profile_images/917031236383707136/rj78R53z_normal.jpg","View")</f>
        <v>View</v>
      </c>
      <c r="P8275" s="27"/>
    </row>
    <row r="8276">
      <c r="A8276" s="14">
        <v>43031.77171296296</v>
      </c>
      <c r="B8276" s="20" t="str">
        <f>HYPERLINK("https://twitter.com/hawaiinformer","@hawaiinformer")</f>
        <v>@hawaiinformer</v>
      </c>
      <c r="C8276" s="21" t="s">
        <v>18340</v>
      </c>
      <c r="D8276" s="21" t="s">
        <v>18341</v>
      </c>
      <c r="E8276" s="22" t="str">
        <f>HYPERLINK("https://twitter.com/hawaiinformer/status/922636579335802881","922636579335802881")</f>
        <v>922636579335802881</v>
      </c>
      <c r="F8276" s="30" t="s">
        <v>191</v>
      </c>
      <c r="G8276" s="24">
        <v>335.0</v>
      </c>
      <c r="H8276" s="24">
        <v>34.0</v>
      </c>
      <c r="I8276" s="24">
        <v>0.0</v>
      </c>
      <c r="J8276" s="24">
        <v>0.0</v>
      </c>
      <c r="K8276" s="23" t="s">
        <v>34</v>
      </c>
      <c r="L8276" s="25">
        <v>40416.37121527777</v>
      </c>
      <c r="M8276" s="26" t="s">
        <v>18333</v>
      </c>
      <c r="N8276" s="26" t="s">
        <v>18342</v>
      </c>
      <c r="O8276" s="22" t="str">
        <f>HYPERLINK("https://pbs.twimg.com/profile_images/802777357169913856/EjNDRe_I_normal.jpg","View")</f>
        <v>View</v>
      </c>
      <c r="P8276" s="27"/>
    </row>
    <row r="8277">
      <c r="A8277" s="14">
        <v>43031.77174768518</v>
      </c>
      <c r="B8277" s="20" t="str">
        <f>HYPERLINK("https://twitter.com/rajeshjohar2","@rajeshjohar2")</f>
        <v>@rajeshjohar2</v>
      </c>
      <c r="C8277" s="21" t="s">
        <v>18343</v>
      </c>
      <c r="D8277" s="21" t="s">
        <v>42</v>
      </c>
      <c r="E8277" s="22" t="str">
        <f>HYPERLINK("https://twitter.com/rajeshjohar2/status/922636591360856064","922636591360856064")</f>
        <v>922636591360856064</v>
      </c>
      <c r="F8277" s="23" t="s">
        <v>33</v>
      </c>
      <c r="G8277" s="24">
        <v>11.0</v>
      </c>
      <c r="H8277" s="24">
        <v>40.0</v>
      </c>
      <c r="I8277" s="24">
        <v>8501.0</v>
      </c>
      <c r="J8277" s="24">
        <v>0.0</v>
      </c>
      <c r="K8277" s="23" t="s">
        <v>34</v>
      </c>
      <c r="L8277" s="25">
        <v>41753.04840277778</v>
      </c>
      <c r="M8277" s="28"/>
      <c r="N8277" s="28"/>
      <c r="O8277" s="22" t="str">
        <f>HYPERLINK("https://pbs.twimg.com/profile_images/776970075056242688/sYGo045p_normal.jpg","View")</f>
        <v>View</v>
      </c>
      <c r="P8277" s="27"/>
    </row>
    <row r="8278">
      <c r="A8278" s="14">
        <v>43031.771782407406</v>
      </c>
      <c r="B8278" s="20" t="str">
        <f>HYPERLINK("https://twitter.com/Sbh76","@Sbh76")</f>
        <v>@Sbh76</v>
      </c>
      <c r="C8278" s="21" t="s">
        <v>18344</v>
      </c>
      <c r="D8278" s="21" t="s">
        <v>18345</v>
      </c>
      <c r="E8278" s="22" t="str">
        <f>HYPERLINK("https://twitter.com/Sbh76/status/922636604786831360","922636604786831360")</f>
        <v>922636604786831360</v>
      </c>
      <c r="F8278" s="23" t="s">
        <v>48</v>
      </c>
      <c r="G8278" s="24">
        <v>1682.0</v>
      </c>
      <c r="H8278" s="24">
        <v>1675.0</v>
      </c>
      <c r="I8278" s="24">
        <v>0.0</v>
      </c>
      <c r="J8278" s="24">
        <v>0.0</v>
      </c>
      <c r="K8278" s="23" t="s">
        <v>34</v>
      </c>
      <c r="L8278" s="25">
        <v>40268.86096064815</v>
      </c>
      <c r="M8278" s="26" t="s">
        <v>11981</v>
      </c>
      <c r="N8278" s="26" t="s">
        <v>18346</v>
      </c>
      <c r="O8278" s="22" t="str">
        <f>HYPERLINK("https://pbs.twimg.com/profile_images/539996361647591425/iUijpZ-B_normal.jpeg","View")</f>
        <v>View</v>
      </c>
      <c r="P8278" s="27"/>
    </row>
    <row r="8279">
      <c r="A8279" s="14">
        <v>43031.772511574076</v>
      </c>
      <c r="B8279" s="20" t="str">
        <f>HYPERLINK("https://twitter.com/ShravanSaxena","@ShravanSaxena")</f>
        <v>@ShravanSaxena</v>
      </c>
      <c r="C8279" s="21" t="s">
        <v>18034</v>
      </c>
      <c r="D8279" s="21" t="s">
        <v>18347</v>
      </c>
      <c r="E8279" s="22" t="str">
        <f>HYPERLINK("https://twitter.com/ShravanSaxena/status/922636866259767296","922636866259767296")</f>
        <v>922636866259767296</v>
      </c>
      <c r="F8279" s="23" t="s">
        <v>55</v>
      </c>
      <c r="G8279" s="24">
        <v>205.0</v>
      </c>
      <c r="H8279" s="24">
        <v>27.0</v>
      </c>
      <c r="I8279" s="24">
        <v>0.0</v>
      </c>
      <c r="J8279" s="24">
        <v>0.0</v>
      </c>
      <c r="K8279" s="23" t="s">
        <v>34</v>
      </c>
      <c r="L8279" s="25">
        <v>40709.14003472222</v>
      </c>
      <c r="M8279" s="28"/>
      <c r="N8279" s="26" t="s">
        <v>18036</v>
      </c>
      <c r="O8279" s="22" t="str">
        <f>HYPERLINK("https://pbs.twimg.com/profile_images/897969469359759360/jKeltRek_normal.jpg","View")</f>
        <v>View</v>
      </c>
      <c r="P8279" s="27"/>
    </row>
    <row r="8280">
      <c r="A8280" s="14">
        <v>43031.77259259259</v>
      </c>
      <c r="B8280" s="20" t="str">
        <f>HYPERLINK("https://twitter.com/7nfmOBImDY5U0Ns","@7nfmOBImDY5U0Ns")</f>
        <v>@7nfmOBImDY5U0Ns</v>
      </c>
      <c r="C8280" s="21" t="s">
        <v>18348</v>
      </c>
      <c r="D8280" s="21" t="s">
        <v>18162</v>
      </c>
      <c r="E8280" s="22" t="str">
        <f>HYPERLINK("https://twitter.com/7nfmOBImDY5U0Ns/status/922636895552544768","922636895552544768")</f>
        <v>922636895552544768</v>
      </c>
      <c r="F8280" s="23" t="s">
        <v>55</v>
      </c>
      <c r="G8280" s="24">
        <v>1.0</v>
      </c>
      <c r="H8280" s="24">
        <v>8.0</v>
      </c>
      <c r="I8280" s="24">
        <v>59.0</v>
      </c>
      <c r="J8280" s="24">
        <v>0.0</v>
      </c>
      <c r="K8280" s="23" t="s">
        <v>34</v>
      </c>
      <c r="L8280" s="25">
        <v>43019.772245370375</v>
      </c>
      <c r="M8280" s="28"/>
      <c r="N8280" s="28"/>
      <c r="O8280" s="22" t="str">
        <f>HYPERLINK("https://pbs.twimg.com/profile_images/918672250420596736/eI64nklo_normal.jpg","View")</f>
        <v>View</v>
      </c>
      <c r="P8280" s="27"/>
    </row>
    <row r="8281">
      <c r="A8281" s="14">
        <v>43031.772638888884</v>
      </c>
      <c r="B8281" s="20" t="str">
        <f>HYPERLINK("https://twitter.com/vikasbalyan09","@vikasbalyan09")</f>
        <v>@vikasbalyan09</v>
      </c>
      <c r="C8281" s="21" t="s">
        <v>18349</v>
      </c>
      <c r="D8281" s="21" t="s">
        <v>42</v>
      </c>
      <c r="E8281" s="22" t="str">
        <f>HYPERLINK("https://twitter.com/vikasbalyan09/status/922636915131629569","922636915131629569")</f>
        <v>922636915131629569</v>
      </c>
      <c r="F8281" s="23" t="s">
        <v>39</v>
      </c>
      <c r="G8281" s="24">
        <v>158.0</v>
      </c>
      <c r="H8281" s="24">
        <v>263.0</v>
      </c>
      <c r="I8281" s="24">
        <v>8501.0</v>
      </c>
      <c r="J8281" s="24">
        <v>0.0</v>
      </c>
      <c r="K8281" s="23" t="s">
        <v>34</v>
      </c>
      <c r="L8281" s="25">
        <v>41188.053148148145</v>
      </c>
      <c r="M8281" s="26" t="s">
        <v>18350</v>
      </c>
      <c r="N8281" s="26" t="s">
        <v>18351</v>
      </c>
      <c r="O8281" s="22" t="str">
        <f>HYPERLINK("https://pbs.twimg.com/profile_images/830412819296350208/_hO2cdCC_normal.jpg","View")</f>
        <v>View</v>
      </c>
      <c r="P8281" s="27"/>
    </row>
    <row r="8282">
      <c r="A8282" s="14">
        <v>43031.77267361111</v>
      </c>
      <c r="B8282" s="20" t="str">
        <f>HYPERLINK("https://twitter.com/towoaaru","@towoaaru")</f>
        <v>@towoaaru</v>
      </c>
      <c r="C8282" s="21" t="s">
        <v>18352</v>
      </c>
      <c r="D8282" s="21" t="s">
        <v>1642</v>
      </c>
      <c r="E8282" s="22" t="str">
        <f>HYPERLINK("https://twitter.com/towoaaru/status/922636926544252928","922636926544252928")</f>
        <v>922636926544252928</v>
      </c>
      <c r="F8282" s="23" t="s">
        <v>39</v>
      </c>
      <c r="G8282" s="24">
        <v>63.0</v>
      </c>
      <c r="H8282" s="24">
        <v>246.0</v>
      </c>
      <c r="I8282" s="24">
        <v>199.0</v>
      </c>
      <c r="J8282" s="24">
        <v>0.0</v>
      </c>
      <c r="K8282" s="23" t="s">
        <v>34</v>
      </c>
      <c r="L8282" s="25">
        <v>42271.79099537037</v>
      </c>
      <c r="M8282" s="26" t="s">
        <v>1518</v>
      </c>
      <c r="N8282" s="26" t="s">
        <v>18353</v>
      </c>
      <c r="O8282" s="22" t="str">
        <f>HYPERLINK("https://pbs.twimg.com/profile_images/647237885591031808/Gb_oTJQY_normal.jpg","View")</f>
        <v>View</v>
      </c>
      <c r="P8282" s="27"/>
    </row>
    <row r="8283">
      <c r="A8283" s="14">
        <v>43031.77304398148</v>
      </c>
      <c r="B8283" s="20" t="str">
        <f>HYPERLINK("https://twitter.com/JumaanWaheed","@JumaanWaheed")</f>
        <v>@JumaanWaheed</v>
      </c>
      <c r="C8283" s="21" t="s">
        <v>18354</v>
      </c>
      <c r="D8283" s="21" t="s">
        <v>18355</v>
      </c>
      <c r="E8283" s="22" t="str">
        <f>HYPERLINK("https://twitter.com/JumaanWaheed/status/922637061835902977","922637061835902977")</f>
        <v>922637061835902977</v>
      </c>
      <c r="F8283" s="23" t="s">
        <v>187</v>
      </c>
      <c r="G8283" s="24">
        <v>174.0</v>
      </c>
      <c r="H8283" s="24">
        <v>115.0</v>
      </c>
      <c r="I8283" s="24">
        <v>0.0</v>
      </c>
      <c r="J8283" s="24">
        <v>0.0</v>
      </c>
      <c r="K8283" s="23" t="s">
        <v>34</v>
      </c>
      <c r="L8283" s="25">
        <v>40567.541354166664</v>
      </c>
      <c r="M8283" s="26" t="s">
        <v>10542</v>
      </c>
      <c r="N8283" s="26" t="s">
        <v>18356</v>
      </c>
      <c r="O8283" s="22" t="str">
        <f>HYPERLINK("https://pbs.twimg.com/profile_images/921444305675288577/tmKES1Z1_normal.jpg","View")</f>
        <v>View</v>
      </c>
      <c r="P8283" s="27"/>
    </row>
    <row r="8284">
      <c r="A8284" s="14">
        <v>43031.77320601852</v>
      </c>
      <c r="B8284" s="20" t="str">
        <f>HYPERLINK("https://twitter.com/Modiuswave","@Modiuswave")</f>
        <v>@Modiuswave</v>
      </c>
      <c r="C8284" s="21" t="s">
        <v>18357</v>
      </c>
      <c r="D8284" s="21" t="s">
        <v>42</v>
      </c>
      <c r="E8284" s="22" t="str">
        <f>HYPERLINK("https://twitter.com/Modiuswave/status/922637119616557056","922637119616557056")</f>
        <v>922637119616557056</v>
      </c>
      <c r="F8284" s="23" t="s">
        <v>33</v>
      </c>
      <c r="G8284" s="24">
        <v>24.0</v>
      </c>
      <c r="H8284" s="24">
        <v>39.0</v>
      </c>
      <c r="I8284" s="24">
        <v>8501.0</v>
      </c>
      <c r="J8284" s="24">
        <v>0.0</v>
      </c>
      <c r="K8284" s="23" t="s">
        <v>34</v>
      </c>
      <c r="L8284" s="25">
        <v>42444.94275462963</v>
      </c>
      <c r="M8284" s="28"/>
      <c r="N8284" s="28"/>
      <c r="O8284" s="22" t="str">
        <f>HYPERLINK("https://pbs.twimg.com/profile_images/709980039807410178/RW-wrCAH_normal.jpg","View")</f>
        <v>View</v>
      </c>
      <c r="P8284" s="27"/>
    </row>
    <row r="8285">
      <c r="A8285" s="14">
        <v>43031.77403935185</v>
      </c>
      <c r="B8285" s="20" t="str">
        <f>HYPERLINK("https://twitter.com/ShravanSaxena","@ShravanSaxena")</f>
        <v>@ShravanSaxena</v>
      </c>
      <c r="C8285" s="21" t="s">
        <v>18034</v>
      </c>
      <c r="D8285" s="21" t="s">
        <v>18358</v>
      </c>
      <c r="E8285" s="22" t="str">
        <f>HYPERLINK("https://twitter.com/ShravanSaxena/status/922637421031936000","922637421031936000")</f>
        <v>922637421031936000</v>
      </c>
      <c r="F8285" s="23" t="s">
        <v>55</v>
      </c>
      <c r="G8285" s="24">
        <v>205.0</v>
      </c>
      <c r="H8285" s="24">
        <v>27.0</v>
      </c>
      <c r="I8285" s="24">
        <v>0.0</v>
      </c>
      <c r="J8285" s="24">
        <v>0.0</v>
      </c>
      <c r="K8285" s="23" t="s">
        <v>34</v>
      </c>
      <c r="L8285" s="25">
        <v>40709.14003472222</v>
      </c>
      <c r="M8285" s="28"/>
      <c r="N8285" s="26" t="s">
        <v>18036</v>
      </c>
      <c r="O8285" s="22" t="str">
        <f>HYPERLINK("https://pbs.twimg.com/profile_images/897969469359759360/jKeltRek_normal.jpg","View")</f>
        <v>View</v>
      </c>
      <c r="P8285" s="27"/>
    </row>
    <row r="8286">
      <c r="A8286" s="14">
        <v>43031.77434027778</v>
      </c>
      <c r="B8286" s="20" t="str">
        <f>HYPERLINK("https://twitter.com/masahiro1213","@masahiro1213")</f>
        <v>@masahiro1213</v>
      </c>
      <c r="C8286" s="21" t="s">
        <v>18359</v>
      </c>
      <c r="D8286" s="21" t="s">
        <v>42</v>
      </c>
      <c r="E8286" s="22" t="str">
        <f>HYPERLINK("https://twitter.com/masahiro1213/status/922637528447967232","922637528447967232")</f>
        <v>922637528447967232</v>
      </c>
      <c r="F8286" s="23" t="s">
        <v>39</v>
      </c>
      <c r="G8286" s="24">
        <v>242.0</v>
      </c>
      <c r="H8286" s="24">
        <v>325.0</v>
      </c>
      <c r="I8286" s="24">
        <v>8501.0</v>
      </c>
      <c r="J8286" s="24">
        <v>0.0</v>
      </c>
      <c r="K8286" s="23" t="s">
        <v>34</v>
      </c>
      <c r="L8286" s="25">
        <v>40369.78655092593</v>
      </c>
      <c r="M8286" s="26" t="s">
        <v>18360</v>
      </c>
      <c r="N8286" s="26" t="s">
        <v>18361</v>
      </c>
      <c r="O8286" s="22" t="str">
        <f>HYPERLINK("https://pbs.twimg.com/profile_images/831107442138181632/ro7vbVGj_normal.jpg","View")</f>
        <v>View</v>
      </c>
      <c r="P8286" s="27"/>
    </row>
    <row r="8287">
      <c r="A8287" s="14">
        <v>43031.77438657408</v>
      </c>
      <c r="B8287" s="20" t="str">
        <f>HYPERLINK("https://twitter.com/1967Babu","@1967Babu")</f>
        <v>@1967Babu</v>
      </c>
      <c r="C8287" s="21" t="s">
        <v>10947</v>
      </c>
      <c r="D8287" s="21" t="s">
        <v>4507</v>
      </c>
      <c r="E8287" s="22" t="str">
        <f>HYPERLINK("https://twitter.com/1967Babu/status/922637545833340928","922637545833340928")</f>
        <v>922637545833340928</v>
      </c>
      <c r="F8287" s="23" t="s">
        <v>33</v>
      </c>
      <c r="G8287" s="24">
        <v>262.0</v>
      </c>
      <c r="H8287" s="24">
        <v>429.0</v>
      </c>
      <c r="I8287" s="24">
        <v>139.0</v>
      </c>
      <c r="J8287" s="24">
        <v>0.0</v>
      </c>
      <c r="K8287" s="23" t="s">
        <v>34</v>
      </c>
      <c r="L8287" s="25">
        <v>41459.42337962963</v>
      </c>
      <c r="M8287" s="26" t="s">
        <v>1545</v>
      </c>
      <c r="N8287" s="26" t="s">
        <v>18253</v>
      </c>
      <c r="O8287" s="22" t="str">
        <f>HYPERLINK("https://pbs.twimg.com/profile_images/904268087364431872/MhbtcJHu_normal.jpg","View")</f>
        <v>View</v>
      </c>
      <c r="P8287" s="27"/>
    </row>
    <row r="8288">
      <c r="A8288" s="14">
        <v>43031.77482638889</v>
      </c>
      <c r="B8288" s="20" t="str">
        <f>HYPERLINK("https://twitter.com/bigvilley","@bigvilley")</f>
        <v>@bigvilley</v>
      </c>
      <c r="C8288" s="21" t="s">
        <v>18362</v>
      </c>
      <c r="D8288" s="21" t="s">
        <v>42</v>
      </c>
      <c r="E8288" s="22" t="str">
        <f>HYPERLINK("https://twitter.com/bigvilley/status/922637706462609408","922637706462609408")</f>
        <v>922637706462609408</v>
      </c>
      <c r="F8288" s="23" t="s">
        <v>39</v>
      </c>
      <c r="G8288" s="24">
        <v>58.0</v>
      </c>
      <c r="H8288" s="24">
        <v>165.0</v>
      </c>
      <c r="I8288" s="24">
        <v>8501.0</v>
      </c>
      <c r="J8288" s="24">
        <v>0.0</v>
      </c>
      <c r="K8288" s="23" t="s">
        <v>34</v>
      </c>
      <c r="L8288" s="25">
        <v>40127.35726851852</v>
      </c>
      <c r="M8288" s="28"/>
      <c r="N8288" s="28"/>
      <c r="O8288" s="22" t="str">
        <f>HYPERLINK("https://pbs.twimg.com/profile_images/653063879212175361/cFUUAJlg_normal.jpg","View")</f>
        <v>View</v>
      </c>
      <c r="P8288" s="27"/>
    </row>
    <row r="8289">
      <c r="A8289" s="14">
        <v>43031.774988425925</v>
      </c>
      <c r="B8289" s="20" t="str">
        <f>HYPERLINK("https://twitter.com/gugule_japan","@gugule_japan")</f>
        <v>@gugule_japan</v>
      </c>
      <c r="C8289" s="21" t="s">
        <v>18363</v>
      </c>
      <c r="D8289" s="21" t="s">
        <v>18364</v>
      </c>
      <c r="E8289" s="22" t="str">
        <f>HYPERLINK("https://twitter.com/gugule_japan/status/922637764134297600","922637764134297600")</f>
        <v>922637764134297600</v>
      </c>
      <c r="F8289" s="23" t="s">
        <v>55</v>
      </c>
      <c r="G8289" s="24">
        <v>8.0</v>
      </c>
      <c r="H8289" s="24">
        <v>91.0</v>
      </c>
      <c r="I8289" s="24">
        <v>0.0</v>
      </c>
      <c r="J8289" s="24">
        <v>0.0</v>
      </c>
      <c r="K8289" s="23" t="s">
        <v>34</v>
      </c>
      <c r="L8289" s="25">
        <v>43030.902719907404</v>
      </c>
      <c r="M8289" s="28"/>
      <c r="N8289" s="26" t="s">
        <v>18365</v>
      </c>
      <c r="O8289" s="22" t="str">
        <f>HYPERLINK("https://abs.twimg.com/sticky/default_profile_images/default_profile_normal.png","View")</f>
        <v>View</v>
      </c>
      <c r="P8289" s="27"/>
    </row>
    <row r="8290">
      <c r="A8290" s="14">
        <v>43031.775</v>
      </c>
      <c r="B8290" s="20" t="str">
        <f>HYPERLINK("https://twitter.com/hananmogy","@hananmogy")</f>
        <v>@hananmogy</v>
      </c>
      <c r="C8290" s="21" t="s">
        <v>18366</v>
      </c>
      <c r="D8290" s="21" t="s">
        <v>18162</v>
      </c>
      <c r="E8290" s="22" t="str">
        <f>HYPERLINK("https://twitter.com/hananmogy/status/922637768353894400","922637768353894400")</f>
        <v>922637768353894400</v>
      </c>
      <c r="F8290" s="23" t="s">
        <v>230</v>
      </c>
      <c r="G8290" s="24">
        <v>74.0</v>
      </c>
      <c r="H8290" s="24">
        <v>531.0</v>
      </c>
      <c r="I8290" s="24">
        <v>59.0</v>
      </c>
      <c r="J8290" s="24">
        <v>0.0</v>
      </c>
      <c r="K8290" s="23" t="s">
        <v>34</v>
      </c>
      <c r="L8290" s="25">
        <v>41444.79652777778</v>
      </c>
      <c r="M8290" s="28"/>
      <c r="N8290" s="28"/>
      <c r="O8290" s="22" t="str">
        <f>HYPERLINK("https://pbs.twimg.com/profile_images/378800000723219214/9c2d863628196ac431b7758bd3997e51_normal.jpeg","View")</f>
        <v>View</v>
      </c>
      <c r="P8290" s="27"/>
    </row>
    <row r="8291">
      <c r="A8291" s="14">
        <v>43031.775231481486</v>
      </c>
      <c r="B8291" s="20" t="str">
        <f>HYPERLINK("https://twitter.com/LiushaLatheef","@LiushaLatheef")</f>
        <v>@LiushaLatheef</v>
      </c>
      <c r="C8291" s="21" t="s">
        <v>18367</v>
      </c>
      <c r="D8291" s="21" t="s">
        <v>18368</v>
      </c>
      <c r="E8291" s="22" t="str">
        <f>HYPERLINK("https://twitter.com/LiushaLatheef/status/922637852432879616","922637852432879616")</f>
        <v>922637852432879616</v>
      </c>
      <c r="F8291" s="23" t="s">
        <v>187</v>
      </c>
      <c r="G8291" s="24">
        <v>232.0</v>
      </c>
      <c r="H8291" s="24">
        <v>60.0</v>
      </c>
      <c r="I8291" s="24">
        <v>0.0</v>
      </c>
      <c r="J8291" s="24">
        <v>0.0</v>
      </c>
      <c r="K8291" s="23" t="s">
        <v>34</v>
      </c>
      <c r="L8291" s="25">
        <v>40717.996979166666</v>
      </c>
      <c r="M8291" s="26" t="s">
        <v>10542</v>
      </c>
      <c r="N8291" s="26" t="s">
        <v>18369</v>
      </c>
      <c r="O8291" s="22" t="str">
        <f>HYPERLINK("https://pbs.twimg.com/profile_images/921074231919570944/RbWx7Yot_normal.jpg","View")</f>
        <v>View</v>
      </c>
      <c r="P8291" s="27"/>
    </row>
    <row r="8292">
      <c r="A8292" s="14">
        <v>43031.775243055556</v>
      </c>
      <c r="B8292" s="20" t="str">
        <f>HYPERLINK("https://twitter.com/DBirich","@DBirich")</f>
        <v>@DBirich</v>
      </c>
      <c r="C8292" s="21" t="s">
        <v>7331</v>
      </c>
      <c r="D8292" s="21" t="s">
        <v>17832</v>
      </c>
      <c r="E8292" s="22" t="str">
        <f>HYPERLINK("https://twitter.com/DBirich/status/922637858816499712","922637858816499712")</f>
        <v>922637858816499712</v>
      </c>
      <c r="F8292" s="23" t="s">
        <v>39</v>
      </c>
      <c r="G8292" s="24">
        <v>9.0</v>
      </c>
      <c r="H8292" s="24">
        <v>67.0</v>
      </c>
      <c r="I8292" s="24">
        <v>6.0</v>
      </c>
      <c r="J8292" s="24">
        <v>0.0</v>
      </c>
      <c r="K8292" s="23" t="s">
        <v>34</v>
      </c>
      <c r="L8292" s="25">
        <v>40951.50546296296</v>
      </c>
      <c r="M8292" s="26" t="s">
        <v>7333</v>
      </c>
      <c r="N8292" s="26" t="s">
        <v>7334</v>
      </c>
      <c r="O8292" s="22" t="str">
        <f>HYPERLINK("https://abs.twimg.com/sticky/default_profile_images/default_profile_normal.png","View")</f>
        <v>View</v>
      </c>
      <c r="P8292" s="27"/>
    </row>
    <row r="8293">
      <c r="A8293" s="14">
        <v>43031.775555555556</v>
      </c>
      <c r="B8293" s="20" t="str">
        <f>HYPERLINK("https://twitter.com/tkobyashi","@tkobyashi")</f>
        <v>@tkobyashi</v>
      </c>
      <c r="C8293" s="21" t="s">
        <v>18370</v>
      </c>
      <c r="D8293" s="21" t="s">
        <v>18371</v>
      </c>
      <c r="E8293" s="22" t="str">
        <f>HYPERLINK("https://twitter.com/tkobyashi/status/922637968287842304","922637968287842304")</f>
        <v>922637968287842304</v>
      </c>
      <c r="F8293" s="23" t="s">
        <v>55</v>
      </c>
      <c r="G8293" s="24">
        <v>791.0</v>
      </c>
      <c r="H8293" s="24">
        <v>618.0</v>
      </c>
      <c r="I8293" s="24">
        <v>4.0</v>
      </c>
      <c r="J8293" s="24">
        <v>5.0</v>
      </c>
      <c r="K8293" s="23" t="s">
        <v>34</v>
      </c>
      <c r="L8293" s="25">
        <v>40535.5887037037</v>
      </c>
      <c r="M8293" s="28"/>
      <c r="N8293" s="26" t="s">
        <v>18372</v>
      </c>
      <c r="O8293" s="22" t="str">
        <f>HYPERLINK("https://pbs.twimg.com/profile_images/677397392027619328/1bhTmLVS_normal.jpg","View")</f>
        <v>View</v>
      </c>
      <c r="P8293" s="27"/>
    </row>
    <row r="8294">
      <c r="A8294" s="14">
        <v>43031.775671296295</v>
      </c>
      <c r="B8294" s="20" t="str">
        <f>HYPERLINK("https://twitter.com/hvactechcomm","@hvactechcomm")</f>
        <v>@hvactechcomm</v>
      </c>
      <c r="C8294" s="21" t="s">
        <v>1582</v>
      </c>
      <c r="D8294" s="21" t="s">
        <v>18373</v>
      </c>
      <c r="E8294" s="22" t="str">
        <f>HYPERLINK("https://twitter.com/hvactechcomm/status/922638010562367488","922638010562367488")</f>
        <v>922638010562367488</v>
      </c>
      <c r="F8294" s="23" t="s">
        <v>33</v>
      </c>
      <c r="G8294" s="24">
        <v>2155.0</v>
      </c>
      <c r="H8294" s="24">
        <v>2028.0</v>
      </c>
      <c r="I8294" s="24">
        <v>1.0</v>
      </c>
      <c r="J8294" s="24">
        <v>0.0</v>
      </c>
      <c r="K8294" s="23" t="s">
        <v>34</v>
      </c>
      <c r="L8294" s="25">
        <v>42924.7166087963</v>
      </c>
      <c r="M8294" s="28"/>
      <c r="N8294" s="26" t="s">
        <v>18374</v>
      </c>
      <c r="O8294" s="22" t="str">
        <f>HYPERLINK("https://pbs.twimg.com/profile_images/920791420415434752/0iiDo7-c_normal.jpg","View")</f>
        <v>View</v>
      </c>
      <c r="P8294" s="27"/>
    </row>
    <row r="8295">
      <c r="A8295" s="14">
        <v>43031.7758449074</v>
      </c>
      <c r="B8295" s="20" t="str">
        <f>HYPERLINK("https://twitter.com/milou1st","@milou1st")</f>
        <v>@milou1st</v>
      </c>
      <c r="C8295" s="21" t="s">
        <v>18375</v>
      </c>
      <c r="D8295" s="21" t="s">
        <v>18376</v>
      </c>
      <c r="E8295" s="22" t="str">
        <f>HYPERLINK("https://twitter.com/milou1st/status/922638075217547264","922638075217547264")</f>
        <v>922638075217547264</v>
      </c>
      <c r="F8295" s="23" t="s">
        <v>187</v>
      </c>
      <c r="G8295" s="24">
        <v>6608.0</v>
      </c>
      <c r="H8295" s="24">
        <v>7694.0</v>
      </c>
      <c r="I8295" s="24">
        <v>1.0</v>
      </c>
      <c r="J8295" s="24">
        <v>0.0</v>
      </c>
      <c r="K8295" s="23" t="s">
        <v>34</v>
      </c>
      <c r="L8295" s="25">
        <v>40836.52827546296</v>
      </c>
      <c r="M8295" s="26" t="s">
        <v>18377</v>
      </c>
      <c r="N8295" s="26" t="s">
        <v>18378</v>
      </c>
      <c r="O8295" s="22" t="str">
        <f>HYPERLINK("https://pbs.twimg.com/profile_images/886522125682692096/ui0Xp0E1_normal.jpg","View")</f>
        <v>View</v>
      </c>
      <c r="P8295" s="27"/>
    </row>
    <row r="8296">
      <c r="A8296" s="14">
        <v>43031.7758449074</v>
      </c>
      <c r="B8296" s="20" t="str">
        <f>HYPERLINK("https://twitter.com/Semajjy","@Semajjy")</f>
        <v>@Semajjy</v>
      </c>
      <c r="C8296" s="21" t="s">
        <v>18379</v>
      </c>
      <c r="D8296" s="21" t="s">
        <v>18380</v>
      </c>
      <c r="E8296" s="22" t="str">
        <f>HYPERLINK("https://twitter.com/Semajjy/status/922638076308082688","922638076308082688")</f>
        <v>922638076308082688</v>
      </c>
      <c r="F8296" s="23" t="s">
        <v>18381</v>
      </c>
      <c r="G8296" s="24">
        <v>4703.0</v>
      </c>
      <c r="H8296" s="24">
        <v>1567.0</v>
      </c>
      <c r="I8296" s="24">
        <v>1.0</v>
      </c>
      <c r="J8296" s="24">
        <v>0.0</v>
      </c>
      <c r="K8296" s="23" t="s">
        <v>34</v>
      </c>
      <c r="L8296" s="25">
        <v>42230.908483796295</v>
      </c>
      <c r="M8296" s="28"/>
      <c r="N8296" s="26" t="s">
        <v>18382</v>
      </c>
      <c r="O8296" s="22" t="str">
        <f>HYPERLINK("https://pbs.twimg.com/profile_images/632414037070888961/LKbD4aZK_normal.jpg","View")</f>
        <v>View</v>
      </c>
      <c r="P8296" s="27"/>
    </row>
    <row r="8297">
      <c r="A8297" s="14">
        <v>43031.775983796295</v>
      </c>
      <c r="B8297" s="20" t="str">
        <f>HYPERLINK("https://twitter.com/TDSSambyal","@TDSSambyal")</f>
        <v>@TDSSambyal</v>
      </c>
      <c r="C8297" s="21" t="s">
        <v>18383</v>
      </c>
      <c r="D8297" s="21" t="s">
        <v>42</v>
      </c>
      <c r="E8297" s="22" t="str">
        <f>HYPERLINK("https://twitter.com/TDSSambyal/status/922638126509641728","922638126509641728")</f>
        <v>922638126509641728</v>
      </c>
      <c r="F8297" s="23" t="s">
        <v>33</v>
      </c>
      <c r="G8297" s="24">
        <v>43.0</v>
      </c>
      <c r="H8297" s="24">
        <v>98.0</v>
      </c>
      <c r="I8297" s="24">
        <v>8501.0</v>
      </c>
      <c r="J8297" s="24">
        <v>0.0</v>
      </c>
      <c r="K8297" s="23" t="s">
        <v>34</v>
      </c>
      <c r="L8297" s="25">
        <v>42952.908680555556</v>
      </c>
      <c r="M8297" s="28"/>
      <c r="N8297" s="26" t="s">
        <v>18384</v>
      </c>
      <c r="O8297" s="22" t="str">
        <f>HYPERLINK("https://pbs.twimg.com/profile_images/894595863401684992/fo7u7EkF_normal.jpg","View")</f>
        <v>View</v>
      </c>
      <c r="P8297" s="27"/>
    </row>
    <row r="8298">
      <c r="A8298" s="14">
        <v>43031.776446759264</v>
      </c>
      <c r="B8298" s="20" t="str">
        <f>HYPERLINK("https://twitter.com/amitp9201","@amitp9201")</f>
        <v>@amitp9201</v>
      </c>
      <c r="C8298" s="21" t="s">
        <v>18385</v>
      </c>
      <c r="D8298" s="21" t="s">
        <v>42</v>
      </c>
      <c r="E8298" s="22" t="str">
        <f>HYPERLINK("https://twitter.com/amitp9201/status/922638291681230853","922638291681230853")</f>
        <v>922638291681230853</v>
      </c>
      <c r="F8298" s="23" t="s">
        <v>33</v>
      </c>
      <c r="G8298" s="24">
        <v>368.0</v>
      </c>
      <c r="H8298" s="24">
        <v>4481.0</v>
      </c>
      <c r="I8298" s="24">
        <v>8501.0</v>
      </c>
      <c r="J8298" s="24">
        <v>0.0</v>
      </c>
      <c r="K8298" s="23" t="s">
        <v>34</v>
      </c>
      <c r="L8298" s="25">
        <v>41445.27826388889</v>
      </c>
      <c r="M8298" s="26" t="s">
        <v>3273</v>
      </c>
      <c r="N8298" s="26" t="s">
        <v>18386</v>
      </c>
      <c r="O8298" s="22" t="str">
        <f>HYPERLINK("https://pbs.twimg.com/profile_images/860388601821089793/BTq_AHsI_normal.jpg","View")</f>
        <v>View</v>
      </c>
      <c r="P8298" s="27"/>
    </row>
    <row r="8299">
      <c r="A8299" s="14">
        <v>43031.776724537034</v>
      </c>
      <c r="B8299" s="20" t="str">
        <f>HYPERLINK("https://twitter.com/ShravanSaxena","@ShravanSaxena")</f>
        <v>@ShravanSaxena</v>
      </c>
      <c r="C8299" s="21" t="s">
        <v>18034</v>
      </c>
      <c r="D8299" s="21" t="s">
        <v>18387</v>
      </c>
      <c r="E8299" s="22" t="str">
        <f>HYPERLINK("https://twitter.com/ShravanSaxena/status/922638392197869569","922638392197869569")</f>
        <v>922638392197869569</v>
      </c>
      <c r="F8299" s="23" t="s">
        <v>55</v>
      </c>
      <c r="G8299" s="24">
        <v>205.0</v>
      </c>
      <c r="H8299" s="24">
        <v>27.0</v>
      </c>
      <c r="I8299" s="24">
        <v>0.0</v>
      </c>
      <c r="J8299" s="24">
        <v>0.0</v>
      </c>
      <c r="K8299" s="23" t="s">
        <v>34</v>
      </c>
      <c r="L8299" s="25">
        <v>40709.14003472222</v>
      </c>
      <c r="M8299" s="28"/>
      <c r="N8299" s="26" t="s">
        <v>18036</v>
      </c>
      <c r="O8299" s="22" t="str">
        <f>HYPERLINK("https://pbs.twimg.com/profile_images/897969469359759360/jKeltRek_normal.jpg","View")</f>
        <v>View</v>
      </c>
      <c r="P8299" s="27"/>
    </row>
    <row r="8300">
      <c r="A8300" s="14">
        <v>43031.77685185186</v>
      </c>
      <c r="B8300" s="20" t="str">
        <f>HYPERLINK("https://twitter.com/rohit_bmw","@rohit_bmw")</f>
        <v>@rohit_bmw</v>
      </c>
      <c r="C8300" s="21" t="s">
        <v>18388</v>
      </c>
      <c r="D8300" s="21" t="s">
        <v>6973</v>
      </c>
      <c r="E8300" s="22" t="str">
        <f>HYPERLINK("https://twitter.com/rohit_bmw/status/922638438133723137","922638438133723137")</f>
        <v>922638438133723137</v>
      </c>
      <c r="F8300" s="23" t="s">
        <v>39</v>
      </c>
      <c r="G8300" s="24">
        <v>7380.0</v>
      </c>
      <c r="H8300" s="24">
        <v>7939.0</v>
      </c>
      <c r="I8300" s="24">
        <v>10.0</v>
      </c>
      <c r="J8300" s="24">
        <v>0.0</v>
      </c>
      <c r="K8300" s="23" t="s">
        <v>34</v>
      </c>
      <c r="L8300" s="25">
        <v>39624.90039351852</v>
      </c>
      <c r="M8300" s="26" t="s">
        <v>10260</v>
      </c>
      <c r="N8300" s="26" t="s">
        <v>18389</v>
      </c>
      <c r="O8300" s="22" t="str">
        <f>HYPERLINK("https://pbs.twimg.com/profile_images/67698812/Rohit_Facebook_Jan_08_normal.JPG","View")</f>
        <v>View</v>
      </c>
      <c r="P8300" s="27"/>
    </row>
    <row r="8301">
      <c r="A8301" s="14">
        <v>43031.77703703704</v>
      </c>
      <c r="B8301" s="20" t="str">
        <f>HYPERLINK("https://twitter.com/jostaryoutube40","@jostaryoutube40")</f>
        <v>@jostaryoutube40</v>
      </c>
      <c r="C8301" s="21" t="s">
        <v>703</v>
      </c>
      <c r="D8301" s="21" t="s">
        <v>18390</v>
      </c>
      <c r="E8301" s="22" t="str">
        <f>HYPERLINK("https://twitter.com/jostaryoutube40/status/922638507310424064","922638507310424064")</f>
        <v>922638507310424064</v>
      </c>
      <c r="F8301" s="30" t="s">
        <v>659</v>
      </c>
      <c r="G8301" s="24">
        <v>63.0</v>
      </c>
      <c r="H8301" s="24">
        <v>41.0</v>
      </c>
      <c r="I8301" s="24">
        <v>0.0</v>
      </c>
      <c r="J8301" s="24">
        <v>0.0</v>
      </c>
      <c r="K8301" s="23" t="s">
        <v>34</v>
      </c>
      <c r="L8301" s="25">
        <v>42687.98856481482</v>
      </c>
      <c r="M8301" s="26" t="s">
        <v>660</v>
      </c>
      <c r="N8301" s="26" t="s">
        <v>705</v>
      </c>
      <c r="O8301" s="22" t="str">
        <f>HYPERLINK("https://pbs.twimg.com/profile_images/798078516680007680/lIGUVhuP_normal.jpg","View")</f>
        <v>View</v>
      </c>
      <c r="P8301" s="27"/>
    </row>
    <row r="8302">
      <c r="A8302" s="14">
        <v>43031.77722222223</v>
      </c>
      <c r="B8302" s="20" t="str">
        <f>HYPERLINK("https://twitter.com/harrypande","@harrypande")</f>
        <v>@harrypande</v>
      </c>
      <c r="C8302" s="21" t="s">
        <v>18391</v>
      </c>
      <c r="D8302" s="21" t="s">
        <v>42</v>
      </c>
      <c r="E8302" s="22" t="str">
        <f>HYPERLINK("https://twitter.com/harrypande/status/922638575144857600","922638575144857600")</f>
        <v>922638575144857600</v>
      </c>
      <c r="F8302" s="23" t="s">
        <v>230</v>
      </c>
      <c r="G8302" s="24">
        <v>1352.0</v>
      </c>
      <c r="H8302" s="24">
        <v>1627.0</v>
      </c>
      <c r="I8302" s="24">
        <v>8501.0</v>
      </c>
      <c r="J8302" s="24">
        <v>0.0</v>
      </c>
      <c r="K8302" s="23" t="s">
        <v>34</v>
      </c>
      <c r="L8302" s="25">
        <v>40612.792962962965</v>
      </c>
      <c r="M8302" s="28"/>
      <c r="N8302" s="26" t="s">
        <v>18392</v>
      </c>
      <c r="O8302" s="22" t="str">
        <f>HYPERLINK("https://pbs.twimg.com/profile_images/781423572707188736/VNHLx4XA_normal.jpg","View")</f>
        <v>View</v>
      </c>
      <c r="P8302" s="27"/>
    </row>
    <row r="8303">
      <c r="A8303" s="14">
        <v>43031.777245370366</v>
      </c>
      <c r="B8303" s="20" t="str">
        <f>HYPERLINK("https://twitter.com/ruby_merton","@ruby_merton")</f>
        <v>@ruby_merton</v>
      </c>
      <c r="C8303" s="21" t="s">
        <v>18393</v>
      </c>
      <c r="D8303" s="21" t="s">
        <v>18248</v>
      </c>
      <c r="E8303" s="22" t="str">
        <f>HYPERLINK("https://twitter.com/ruby_merton/status/922638582572974080","922638582572974080")</f>
        <v>922638582572974080</v>
      </c>
      <c r="F8303" s="23" t="s">
        <v>55</v>
      </c>
      <c r="G8303" s="24">
        <v>3.0</v>
      </c>
      <c r="H8303" s="24">
        <v>4.0</v>
      </c>
      <c r="I8303" s="24">
        <v>117.0</v>
      </c>
      <c r="J8303" s="24">
        <v>0.0</v>
      </c>
      <c r="K8303" s="23" t="s">
        <v>34</v>
      </c>
      <c r="L8303" s="25">
        <v>43021.67890046297</v>
      </c>
      <c r="M8303" s="26" t="s">
        <v>18394</v>
      </c>
      <c r="N8303" s="26" t="s">
        <v>18395</v>
      </c>
      <c r="O8303" s="22" t="str">
        <f>HYPERLINK("https://pbs.twimg.com/profile_images/918979500188172288/1B7-RxqJ_normal.jpg","View")</f>
        <v>View</v>
      </c>
      <c r="P8303" s="27"/>
    </row>
    <row r="8304">
      <c r="A8304" s="14">
        <v>43031.777453703704</v>
      </c>
      <c r="B8304" s="20" t="str">
        <f>HYPERLINK("https://twitter.com/BerkeFatma1","@BerkeFatma1")</f>
        <v>@BerkeFatma1</v>
      </c>
      <c r="C8304" s="21" t="s">
        <v>18396</v>
      </c>
      <c r="D8304" s="21" t="s">
        <v>18162</v>
      </c>
      <c r="E8304" s="22" t="str">
        <f>HYPERLINK("https://twitter.com/BerkeFatma1/status/922638659538563072","922638659538563072")</f>
        <v>922638659538563072</v>
      </c>
      <c r="F8304" s="23" t="s">
        <v>55</v>
      </c>
      <c r="G8304" s="24">
        <v>11.0</v>
      </c>
      <c r="H8304" s="24">
        <v>0.0</v>
      </c>
      <c r="I8304" s="24">
        <v>59.0</v>
      </c>
      <c r="J8304" s="24">
        <v>0.0</v>
      </c>
      <c r="K8304" s="23" t="s">
        <v>34</v>
      </c>
      <c r="L8304" s="25">
        <v>43031.772418981476</v>
      </c>
      <c r="M8304" s="26" t="s">
        <v>18397</v>
      </c>
      <c r="N8304" s="28"/>
      <c r="O8304" s="22" t="str">
        <f>HYPERLINK("https://pbs.twimg.com/profile_images/922639017446952960/WNy4usN2_normal.jpg","View")</f>
        <v>View</v>
      </c>
      <c r="P8304" s="27"/>
    </row>
    <row r="8305">
      <c r="A8305" s="14">
        <v>43031.77758101852</v>
      </c>
      <c r="B8305" s="20" t="str">
        <f>HYPERLINK("https://twitter.com/AustiSteven","@AustiSteven")</f>
        <v>@AustiSteven</v>
      </c>
      <c r="C8305" s="21" t="s">
        <v>18398</v>
      </c>
      <c r="D8305" s="21" t="s">
        <v>16537</v>
      </c>
      <c r="E8305" s="22" t="str">
        <f>HYPERLINK("https://twitter.com/AustiSteven/status/922638703045918720","922638703045918720")</f>
        <v>922638703045918720</v>
      </c>
      <c r="F8305" s="23" t="s">
        <v>33</v>
      </c>
      <c r="G8305" s="24">
        <v>55.0</v>
      </c>
      <c r="H8305" s="24">
        <v>218.0</v>
      </c>
      <c r="I8305" s="24">
        <v>242.0</v>
      </c>
      <c r="J8305" s="24">
        <v>0.0</v>
      </c>
      <c r="K8305" s="23" t="s">
        <v>34</v>
      </c>
      <c r="L8305" s="25">
        <v>42840.390706018516</v>
      </c>
      <c r="M8305" s="26" t="s">
        <v>18399</v>
      </c>
      <c r="N8305" s="28"/>
      <c r="O8305" s="22" t="str">
        <f>HYPERLINK("https://pbs.twimg.com/profile_images/893979400739278848/QO1ozK49_normal.jpg","View")</f>
        <v>View</v>
      </c>
      <c r="P8305" s="27"/>
    </row>
    <row r="8306">
      <c r="A8306" s="14">
        <v>43031.77762731482</v>
      </c>
      <c r="B8306" s="20" t="str">
        <f>HYPERLINK("https://twitter.com/Ashwini68560901","@Ashwini68560901")</f>
        <v>@Ashwini68560901</v>
      </c>
      <c r="C8306" s="21" t="s">
        <v>18400</v>
      </c>
      <c r="D8306" s="21" t="s">
        <v>42</v>
      </c>
      <c r="E8306" s="22" t="str">
        <f>HYPERLINK("https://twitter.com/Ashwini68560901/status/922638719366021120","922638719366021120")</f>
        <v>922638719366021120</v>
      </c>
      <c r="F8306" s="23" t="s">
        <v>33</v>
      </c>
      <c r="G8306" s="24">
        <v>22.0</v>
      </c>
      <c r="H8306" s="24">
        <v>157.0</v>
      </c>
      <c r="I8306" s="24">
        <v>8501.0</v>
      </c>
      <c r="J8306" s="24">
        <v>0.0</v>
      </c>
      <c r="K8306" s="23" t="s">
        <v>34</v>
      </c>
      <c r="L8306" s="25">
        <v>42894.239120370374</v>
      </c>
      <c r="M8306" s="26" t="s">
        <v>4605</v>
      </c>
      <c r="N8306" s="26" t="s">
        <v>18401</v>
      </c>
      <c r="O8306" s="22" t="str">
        <f>HYPERLINK("https://pbs.twimg.com/profile_images/891531532770443265/PXaaNnpU_normal.jpg","View")</f>
        <v>View</v>
      </c>
      <c r="P8306" s="27"/>
    </row>
    <row r="8307">
      <c r="A8307" s="14">
        <v>43031.77762731482</v>
      </c>
      <c r="B8307" s="20" t="str">
        <f>HYPERLINK("https://twitter.com/MyersSchuh","@MyersSchuh")</f>
        <v>@MyersSchuh</v>
      </c>
      <c r="C8307" s="21" t="s">
        <v>18402</v>
      </c>
      <c r="D8307" s="21" t="s">
        <v>16537</v>
      </c>
      <c r="E8307" s="22" t="str">
        <f>HYPERLINK("https://twitter.com/MyersSchuh/status/922638722188787717","922638722188787717")</f>
        <v>922638722188787717</v>
      </c>
      <c r="F8307" s="23" t="s">
        <v>39</v>
      </c>
      <c r="G8307" s="24">
        <v>184.0</v>
      </c>
      <c r="H8307" s="24">
        <v>653.0</v>
      </c>
      <c r="I8307" s="24">
        <v>242.0</v>
      </c>
      <c r="J8307" s="24">
        <v>0.0</v>
      </c>
      <c r="K8307" s="23" t="s">
        <v>34</v>
      </c>
      <c r="L8307" s="25">
        <v>42029.50434027778</v>
      </c>
      <c r="M8307" s="28"/>
      <c r="N8307" s="28"/>
      <c r="O8307" s="22" t="str">
        <f>HYPERLINK("https://pbs.twimg.com/profile_images/655963171979550720/pClpW4ib_normal.jpg","View")</f>
        <v>View</v>
      </c>
      <c r="P8307" s="27"/>
    </row>
    <row r="8308">
      <c r="A8308" s="14">
        <v>43031.77762731482</v>
      </c>
      <c r="B8308" s="20" t="str">
        <f>HYPERLINK("https://twitter.com/shashikshrma","@shashikshrma")</f>
        <v>@shashikshrma</v>
      </c>
      <c r="C8308" s="21" t="s">
        <v>18403</v>
      </c>
      <c r="D8308" s="21" t="s">
        <v>42</v>
      </c>
      <c r="E8308" s="22" t="str">
        <f>HYPERLINK("https://twitter.com/shashikshrma/status/922638722620735489","922638722620735489")</f>
        <v>922638722620735489</v>
      </c>
      <c r="F8308" s="23" t="s">
        <v>33</v>
      </c>
      <c r="G8308" s="24">
        <v>2.0</v>
      </c>
      <c r="H8308" s="24">
        <v>92.0</v>
      </c>
      <c r="I8308" s="24">
        <v>8501.0</v>
      </c>
      <c r="J8308" s="24">
        <v>0.0</v>
      </c>
      <c r="K8308" s="23" t="s">
        <v>34</v>
      </c>
      <c r="L8308" s="25">
        <v>43031.27997685185</v>
      </c>
      <c r="M8308" s="28"/>
      <c r="N8308" s="26" t="s">
        <v>18404</v>
      </c>
      <c r="O8308" s="22" t="str">
        <f>HYPERLINK("https://pbs.twimg.com/profile_images/922460668187484161/T40--uS-_normal.jpg","View")</f>
        <v>View</v>
      </c>
      <c r="P8308" s="27"/>
    </row>
    <row r="8309">
      <c r="A8309" s="14">
        <v>43031.77778935185</v>
      </c>
      <c r="B8309" s="20" t="str">
        <f>HYPERLINK("https://twitter.com/hamradioshow","@hamradioshow")</f>
        <v>@hamradioshow</v>
      </c>
      <c r="C8309" s="21" t="s">
        <v>10384</v>
      </c>
      <c r="D8309" s="21" t="s">
        <v>18405</v>
      </c>
      <c r="E8309" s="22" t="str">
        <f>HYPERLINK("https://twitter.com/hamradioshow/status/922638778199666688","922638778199666688")</f>
        <v>922638778199666688</v>
      </c>
      <c r="F8309" s="30" t="s">
        <v>191</v>
      </c>
      <c r="G8309" s="24">
        <v>1563.0</v>
      </c>
      <c r="H8309" s="24">
        <v>753.0</v>
      </c>
      <c r="I8309" s="24">
        <v>0.0</v>
      </c>
      <c r="J8309" s="24">
        <v>0.0</v>
      </c>
      <c r="K8309" s="23" t="s">
        <v>34</v>
      </c>
      <c r="L8309" s="25">
        <v>40082.62337962963</v>
      </c>
      <c r="M8309" s="26" t="s">
        <v>2534</v>
      </c>
      <c r="N8309" s="26" t="s">
        <v>10386</v>
      </c>
      <c r="O8309" s="22" t="str">
        <f>HYPERLINK("https://pbs.twimg.com/profile_images/713159513487110144/2Jzh1MmY_normal.jpg","View")</f>
        <v>View</v>
      </c>
      <c r="P8309" s="27"/>
    </row>
    <row r="8310">
      <c r="A8310" s="14">
        <v>43031.77835648148</v>
      </c>
      <c r="B8310" s="20" t="str">
        <f>HYPERLINK("https://twitter.com/KredmLets","@KredmLets")</f>
        <v>@KredmLets</v>
      </c>
      <c r="C8310" s="21" t="s">
        <v>18406</v>
      </c>
      <c r="D8310" s="21" t="s">
        <v>42</v>
      </c>
      <c r="E8310" s="22" t="str">
        <f>HYPERLINK("https://twitter.com/KredmLets/status/922638987042349056","922638987042349056")</f>
        <v>922638987042349056</v>
      </c>
      <c r="F8310" s="23" t="s">
        <v>33</v>
      </c>
      <c r="G8310" s="24">
        <v>75.0</v>
      </c>
      <c r="H8310" s="24">
        <v>92.0</v>
      </c>
      <c r="I8310" s="24">
        <v>8501.0</v>
      </c>
      <c r="J8310" s="24">
        <v>0.0</v>
      </c>
      <c r="K8310" s="23" t="s">
        <v>34</v>
      </c>
      <c r="L8310" s="25">
        <v>40479.94892361111</v>
      </c>
      <c r="M8310" s="26" t="s">
        <v>11130</v>
      </c>
      <c r="N8310" s="26" t="s">
        <v>18407</v>
      </c>
      <c r="O8310" s="22" t="str">
        <f>HYPERLINK("https://pbs.twimg.com/profile_images/1445702314/a_normal.jpg","View")</f>
        <v>View</v>
      </c>
      <c r="P8310" s="27"/>
    </row>
    <row r="8311">
      <c r="A8311" s="14">
        <v>43031.77877314815</v>
      </c>
      <c r="B8311" s="20" t="str">
        <f>HYPERLINK("https://twitter.com/TimesofNews","@TimesofNews")</f>
        <v>@TimesofNews</v>
      </c>
      <c r="C8311" s="21" t="s">
        <v>4660</v>
      </c>
      <c r="D8311" s="21" t="s">
        <v>18408</v>
      </c>
      <c r="E8311" s="22" t="str">
        <f>HYPERLINK("https://twitter.com/TimesofNews/status/922639134900056065","922639134900056065")</f>
        <v>922639134900056065</v>
      </c>
      <c r="F8311" s="23" t="s">
        <v>4662</v>
      </c>
      <c r="G8311" s="24">
        <v>1139.0</v>
      </c>
      <c r="H8311" s="24">
        <v>129.0</v>
      </c>
      <c r="I8311" s="24">
        <v>0.0</v>
      </c>
      <c r="J8311" s="24">
        <v>0.0</v>
      </c>
      <c r="K8311" s="23" t="s">
        <v>34</v>
      </c>
      <c r="L8311" s="25">
        <v>40978.11828703704</v>
      </c>
      <c r="M8311" s="28"/>
      <c r="N8311" s="26" t="s">
        <v>4663</v>
      </c>
      <c r="O8311" s="22" t="str">
        <f>HYPERLINK("https://pbs.twimg.com/profile_images/458022872024223744/GKx5zsNw_normal.png","View")</f>
        <v>View</v>
      </c>
      <c r="P8311" s="27"/>
    </row>
    <row r="8312">
      <c r="A8312" s="14">
        <v>43031.77885416667</v>
      </c>
      <c r="B8312" s="20" t="str">
        <f>HYPERLINK("https://twitter.com/asarin","@asarin")</f>
        <v>@asarin</v>
      </c>
      <c r="C8312" s="21" t="s">
        <v>18409</v>
      </c>
      <c r="D8312" s="21" t="s">
        <v>18410</v>
      </c>
      <c r="E8312" s="22" t="str">
        <f>HYPERLINK("https://twitter.com/asarin/status/922639167107973120","922639167107973120")</f>
        <v>922639167107973120</v>
      </c>
      <c r="F8312" s="23" t="s">
        <v>55</v>
      </c>
      <c r="G8312" s="24">
        <v>3351.0</v>
      </c>
      <c r="H8312" s="24">
        <v>99.0</v>
      </c>
      <c r="I8312" s="24">
        <v>4.0</v>
      </c>
      <c r="J8312" s="24">
        <v>0.0</v>
      </c>
      <c r="K8312" s="23" t="s">
        <v>34</v>
      </c>
      <c r="L8312" s="25">
        <v>39188.6962962963</v>
      </c>
      <c r="M8312" s="26" t="s">
        <v>18411</v>
      </c>
      <c r="N8312" s="26" t="s">
        <v>18412</v>
      </c>
      <c r="O8312" s="22" t="str">
        <f>HYPERLINK("https://pbs.twimg.com/profile_images/920419807882723329/sPnTIITP_normal.jpg","View")</f>
        <v>View</v>
      </c>
      <c r="P8312" s="27"/>
    </row>
    <row r="8313">
      <c r="A8313" s="14">
        <v>43031.77931712963</v>
      </c>
      <c r="B8313" s="20" t="str">
        <f>HYPERLINK("https://twitter.com/aroram63","@aroram63")</f>
        <v>@aroram63</v>
      </c>
      <c r="C8313" s="21" t="s">
        <v>18413</v>
      </c>
      <c r="D8313" s="21" t="s">
        <v>42</v>
      </c>
      <c r="E8313" s="22" t="str">
        <f>HYPERLINK("https://twitter.com/aroram63/status/922639334489985024","922639334489985024")</f>
        <v>922639334489985024</v>
      </c>
      <c r="F8313" s="23" t="s">
        <v>39</v>
      </c>
      <c r="G8313" s="24">
        <v>243.0</v>
      </c>
      <c r="H8313" s="24">
        <v>349.0</v>
      </c>
      <c r="I8313" s="24">
        <v>8501.0</v>
      </c>
      <c r="J8313" s="24">
        <v>0.0</v>
      </c>
      <c r="K8313" s="23" t="s">
        <v>34</v>
      </c>
      <c r="L8313" s="25">
        <v>40160.043703703705</v>
      </c>
      <c r="M8313" s="26" t="s">
        <v>18414</v>
      </c>
      <c r="N8313" s="26" t="s">
        <v>6998</v>
      </c>
      <c r="O8313" s="22" t="str">
        <f>HYPERLINK("https://pbs.twimg.com/profile_images/841363300701081602/hh6GDjFd_normal.jpg","View")</f>
        <v>View</v>
      </c>
      <c r="P8313" s="27"/>
    </row>
    <row r="8314">
      <c r="A8314" s="14">
        <v>43031.77954861111</v>
      </c>
      <c r="B8314" s="20" t="str">
        <f>HYPERLINK("https://twitter.com/arthur_spirling","@arthur_spirling")</f>
        <v>@arthur_spirling</v>
      </c>
      <c r="C8314" s="21" t="s">
        <v>18415</v>
      </c>
      <c r="D8314" s="21" t="s">
        <v>18416</v>
      </c>
      <c r="E8314" s="22" t="str">
        <f>HYPERLINK("https://twitter.com/arthur_spirling/status/922639417730355200","922639417730355200")</f>
        <v>922639417730355200</v>
      </c>
      <c r="F8314" s="23" t="s">
        <v>230</v>
      </c>
      <c r="G8314" s="24">
        <v>1257.0</v>
      </c>
      <c r="H8314" s="24">
        <v>583.0</v>
      </c>
      <c r="I8314" s="24">
        <v>2.0</v>
      </c>
      <c r="J8314" s="24">
        <v>3.0</v>
      </c>
      <c r="K8314" s="23" t="s">
        <v>34</v>
      </c>
      <c r="L8314" s="25">
        <v>42367.52873842593</v>
      </c>
      <c r="M8314" s="26" t="s">
        <v>2534</v>
      </c>
      <c r="N8314" s="26" t="s">
        <v>18417</v>
      </c>
      <c r="O8314" s="22" t="str">
        <f>HYPERLINK("https://pbs.twimg.com/profile_images/873564719298224128/p03yHuuw_normal.jpg","View")</f>
        <v>View</v>
      </c>
      <c r="P8314" s="27"/>
    </row>
    <row r="8315">
      <c r="A8315" s="14">
        <v>43031.77979166667</v>
      </c>
      <c r="B8315" s="20" t="str">
        <f>HYPERLINK("https://twitter.com/prayag","@prayag")</f>
        <v>@prayag</v>
      </c>
      <c r="C8315" s="21" t="s">
        <v>18418</v>
      </c>
      <c r="D8315" s="21" t="s">
        <v>42</v>
      </c>
      <c r="E8315" s="22" t="str">
        <f>HYPERLINK("https://twitter.com/prayag/status/922639505554837504","922639505554837504")</f>
        <v>922639505554837504</v>
      </c>
      <c r="F8315" s="23" t="s">
        <v>39</v>
      </c>
      <c r="G8315" s="24">
        <v>91657.0</v>
      </c>
      <c r="H8315" s="24">
        <v>2552.0</v>
      </c>
      <c r="I8315" s="24">
        <v>8501.0</v>
      </c>
      <c r="J8315" s="24">
        <v>0.0</v>
      </c>
      <c r="K8315" s="23" t="s">
        <v>34</v>
      </c>
      <c r="L8315" s="25">
        <v>39202.700844907406</v>
      </c>
      <c r="M8315" s="28"/>
      <c r="N8315" s="26" t="s">
        <v>18419</v>
      </c>
      <c r="O8315" s="22" t="str">
        <f>HYPERLINK("https://pbs.twimg.com/profile_images/858891930473816066/0U15Gf25_normal.jpg","View")</f>
        <v>View</v>
      </c>
      <c r="P8315" s="27"/>
    </row>
    <row r="8316">
      <c r="A8316" s="14">
        <v>43031.78025462963</v>
      </c>
      <c r="B8316" s="20" t="str">
        <f>HYPERLINK("https://twitter.com/mungowitz","@mungowitz")</f>
        <v>@mungowitz</v>
      </c>
      <c r="C8316" s="21" t="s">
        <v>18420</v>
      </c>
      <c r="D8316" s="21" t="s">
        <v>18421</v>
      </c>
      <c r="E8316" s="22" t="str">
        <f>HYPERLINK("https://twitter.com/mungowitz/status/922639672685326337","922639672685326337")</f>
        <v>922639672685326337</v>
      </c>
      <c r="F8316" s="23" t="s">
        <v>55</v>
      </c>
      <c r="G8316" s="24">
        <v>7554.0</v>
      </c>
      <c r="H8316" s="24">
        <v>399.0</v>
      </c>
      <c r="I8316" s="24">
        <v>2.0</v>
      </c>
      <c r="J8316" s="24">
        <v>0.0</v>
      </c>
      <c r="K8316" s="23" t="s">
        <v>34</v>
      </c>
      <c r="L8316" s="25">
        <v>39768.31815972222</v>
      </c>
      <c r="M8316" s="26" t="s">
        <v>12949</v>
      </c>
      <c r="N8316" s="26" t="s">
        <v>18422</v>
      </c>
      <c r="O8316" s="22" t="str">
        <f>HYPERLINK("https://pbs.twimg.com/profile_images/889964389435977728/E0IONqvy_normal.jpg","View")</f>
        <v>View</v>
      </c>
      <c r="P8316" s="27"/>
    </row>
    <row r="8317">
      <c r="A8317" s="14">
        <v>43031.7803125</v>
      </c>
      <c r="B8317" s="20" t="str">
        <f>HYPERLINK("https://twitter.com/ruby_merton","@ruby_merton")</f>
        <v>@ruby_merton</v>
      </c>
      <c r="C8317" s="21" t="s">
        <v>18393</v>
      </c>
      <c r="D8317" s="21" t="s">
        <v>5177</v>
      </c>
      <c r="E8317" s="22" t="str">
        <f>HYPERLINK("https://twitter.com/ruby_merton/status/922639695225303040","922639695225303040")</f>
        <v>922639695225303040</v>
      </c>
      <c r="F8317" s="23" t="s">
        <v>55</v>
      </c>
      <c r="G8317" s="24">
        <v>3.0</v>
      </c>
      <c r="H8317" s="24">
        <v>4.0</v>
      </c>
      <c r="I8317" s="24">
        <v>115.0</v>
      </c>
      <c r="J8317" s="24">
        <v>0.0</v>
      </c>
      <c r="K8317" s="23" t="s">
        <v>34</v>
      </c>
      <c r="L8317" s="25">
        <v>43021.67890046297</v>
      </c>
      <c r="M8317" s="26" t="s">
        <v>18394</v>
      </c>
      <c r="N8317" s="26" t="s">
        <v>18395</v>
      </c>
      <c r="O8317" s="22" t="str">
        <f>HYPERLINK("https://pbs.twimg.com/profile_images/918979500188172288/1B7-RxqJ_normal.jpg","View")</f>
        <v>View</v>
      </c>
      <c r="P8317" s="27"/>
    </row>
    <row r="8318">
      <c r="A8318" s="14">
        <v>43031.78047453704</v>
      </c>
      <c r="B8318" s="20" t="str">
        <f>HYPERLINK("https://twitter.com/rfgpolijunkie","@rfgpolijunkie")</f>
        <v>@rfgpolijunkie</v>
      </c>
      <c r="C8318" s="21" t="s">
        <v>18423</v>
      </c>
      <c r="D8318" s="21" t="s">
        <v>108</v>
      </c>
      <c r="E8318" s="22" t="str">
        <f>HYPERLINK("https://twitter.com/rfgpolijunkie/status/922639753782136833","922639753782136833")</f>
        <v>922639753782136833</v>
      </c>
      <c r="F8318" s="23" t="s">
        <v>33</v>
      </c>
      <c r="G8318" s="24">
        <v>359.0</v>
      </c>
      <c r="H8318" s="24">
        <v>923.0</v>
      </c>
      <c r="I8318" s="24">
        <v>88.0</v>
      </c>
      <c r="J8318" s="24">
        <v>0.0</v>
      </c>
      <c r="K8318" s="23" t="s">
        <v>34</v>
      </c>
      <c r="L8318" s="25">
        <v>40550.22210648148</v>
      </c>
      <c r="M8318" s="26" t="s">
        <v>18424</v>
      </c>
      <c r="N8318" s="26" t="s">
        <v>18425</v>
      </c>
      <c r="O8318" s="22" t="str">
        <f>HYPERLINK("https://pbs.twimg.com/profile_images/854884811701407744/X5-oUb_z_normal.jpg","View")</f>
        <v>View</v>
      </c>
      <c r="P8318" s="27"/>
    </row>
    <row r="8319">
      <c r="A8319" s="14">
        <v>43031.78071759259</v>
      </c>
      <c r="B8319" s="20" t="str">
        <f>HYPERLINK("https://twitter.com/ShravanSaxena","@ShravanSaxena")</f>
        <v>@ShravanSaxena</v>
      </c>
      <c r="C8319" s="21" t="s">
        <v>18034</v>
      </c>
      <c r="D8319" s="21" t="s">
        <v>18426</v>
      </c>
      <c r="E8319" s="22" t="str">
        <f>HYPERLINK("https://twitter.com/ShravanSaxena/status/922639838716801025","922639838716801025")</f>
        <v>922639838716801025</v>
      </c>
      <c r="F8319" s="23" t="s">
        <v>55</v>
      </c>
      <c r="G8319" s="24">
        <v>205.0</v>
      </c>
      <c r="H8319" s="24">
        <v>27.0</v>
      </c>
      <c r="I8319" s="24">
        <v>0.0</v>
      </c>
      <c r="J8319" s="24">
        <v>0.0</v>
      </c>
      <c r="K8319" s="23" t="s">
        <v>34</v>
      </c>
      <c r="L8319" s="25">
        <v>40709.14003472222</v>
      </c>
      <c r="M8319" s="28"/>
      <c r="N8319" s="26" t="s">
        <v>18036</v>
      </c>
      <c r="O8319" s="22" t="str">
        <f>HYPERLINK("https://pbs.twimg.com/profile_images/897969469359759360/jKeltRek_normal.jpg","View")</f>
        <v>View</v>
      </c>
      <c r="P8319" s="27"/>
    </row>
    <row r="8320">
      <c r="A8320" s="14">
        <v>43031.780810185184</v>
      </c>
      <c r="B8320" s="20" t="str">
        <f>HYPERLINK("https://twitter.com/cogentST","@cogentST")</f>
        <v>@cogentST</v>
      </c>
      <c r="C8320" s="21" t="s">
        <v>18427</v>
      </c>
      <c r="D8320" s="21" t="s">
        <v>42</v>
      </c>
      <c r="E8320" s="22" t="str">
        <f>HYPERLINK("https://twitter.com/cogentST/status/922639873890246656","922639873890246656")</f>
        <v>922639873890246656</v>
      </c>
      <c r="F8320" s="23" t="s">
        <v>33</v>
      </c>
      <c r="G8320" s="24">
        <v>105.0</v>
      </c>
      <c r="H8320" s="24">
        <v>133.0</v>
      </c>
      <c r="I8320" s="24">
        <v>8501.0</v>
      </c>
      <c r="J8320" s="24">
        <v>0.0</v>
      </c>
      <c r="K8320" s="23" t="s">
        <v>34</v>
      </c>
      <c r="L8320" s="25">
        <v>42631.41347222222</v>
      </c>
      <c r="M8320" s="26" t="s">
        <v>164</v>
      </c>
      <c r="N8320" s="26" t="s">
        <v>18428</v>
      </c>
      <c r="O8320" s="22" t="str">
        <f>HYPERLINK("https://pbs.twimg.com/profile_images/841336818557681665/t8yXO22O_normal.jpg","View")</f>
        <v>View</v>
      </c>
      <c r="P8320" s="27"/>
    </row>
    <row r="8321">
      <c r="A8321" s="14">
        <v>43031.7809375</v>
      </c>
      <c r="B8321" s="20" t="str">
        <f>HYPERLINK("https://twitter.com/OmpalopsEr","@OmpalopsEr")</f>
        <v>@OmpalopsEr</v>
      </c>
      <c r="C8321" s="21" t="s">
        <v>18429</v>
      </c>
      <c r="D8321" s="21" t="s">
        <v>42</v>
      </c>
      <c r="E8321" s="22" t="str">
        <f>HYPERLINK("https://twitter.com/OmpalopsEr/status/922639921390555136","922639921390555136")</f>
        <v>922639921390555136</v>
      </c>
      <c r="F8321" s="23" t="s">
        <v>33</v>
      </c>
      <c r="G8321" s="24">
        <v>25.0</v>
      </c>
      <c r="H8321" s="24">
        <v>143.0</v>
      </c>
      <c r="I8321" s="24">
        <v>8501.0</v>
      </c>
      <c r="J8321" s="24">
        <v>0.0</v>
      </c>
      <c r="K8321" s="23" t="s">
        <v>34</v>
      </c>
      <c r="L8321" s="25">
        <v>42225.999293981484</v>
      </c>
      <c r="M8321" s="26" t="s">
        <v>18350</v>
      </c>
      <c r="N8321" s="28"/>
      <c r="O8321" s="22" t="str">
        <f>HYPERLINK("https://pbs.twimg.com/profile_images/784777304677478400/r8b0B0FT_normal.jpg","View")</f>
        <v>View</v>
      </c>
      <c r="P8321" s="27"/>
    </row>
    <row r="8322">
      <c r="A8322" s="14">
        <v>43031.781377314815</v>
      </c>
      <c r="B8322" s="20" t="str">
        <f>HYPERLINK("https://twitter.com/shashank_b_rai","@shashank_b_rai")</f>
        <v>@shashank_b_rai</v>
      </c>
      <c r="C8322" s="21" t="s">
        <v>18430</v>
      </c>
      <c r="D8322" s="21" t="s">
        <v>523</v>
      </c>
      <c r="E8322" s="22" t="str">
        <f>HYPERLINK("https://twitter.com/shashank_b_rai/status/922640079121551360","922640079121551360")</f>
        <v>922640079121551360</v>
      </c>
      <c r="F8322" s="23" t="s">
        <v>55</v>
      </c>
      <c r="G8322" s="24">
        <v>19.0</v>
      </c>
      <c r="H8322" s="24">
        <v>33.0</v>
      </c>
      <c r="I8322" s="24">
        <v>97.0</v>
      </c>
      <c r="J8322" s="24">
        <v>0.0</v>
      </c>
      <c r="K8322" s="23" t="s">
        <v>34</v>
      </c>
      <c r="L8322" s="25">
        <v>40027.34915509259</v>
      </c>
      <c r="M8322" s="26" t="s">
        <v>18431</v>
      </c>
      <c r="N8322" s="28"/>
      <c r="O8322" s="22" t="str">
        <f>HYPERLINK("https://pbs.twimg.com/profile_images/922071701441077248/06xkRhDM_normal.jpg","View")</f>
        <v>View</v>
      </c>
      <c r="P8322" s="27"/>
    </row>
    <row r="8323">
      <c r="A8323" s="14">
        <v>43031.78266203703</v>
      </c>
      <c r="B8323" s="20" t="str">
        <f>HYPERLINK("https://twitter.com/2dinesh","@2dinesh")</f>
        <v>@2dinesh</v>
      </c>
      <c r="C8323" s="21" t="s">
        <v>18432</v>
      </c>
      <c r="D8323" s="21" t="s">
        <v>42</v>
      </c>
      <c r="E8323" s="22" t="str">
        <f>HYPERLINK("https://twitter.com/2dinesh/status/922640544592998400","922640544592998400")</f>
        <v>922640544592998400</v>
      </c>
      <c r="F8323" s="23" t="s">
        <v>33</v>
      </c>
      <c r="G8323" s="24">
        <v>167.0</v>
      </c>
      <c r="H8323" s="24">
        <v>414.0</v>
      </c>
      <c r="I8323" s="24">
        <v>8501.0</v>
      </c>
      <c r="J8323" s="24">
        <v>0.0</v>
      </c>
      <c r="K8323" s="23" t="s">
        <v>34</v>
      </c>
      <c r="L8323" s="25">
        <v>39891.28907407408</v>
      </c>
      <c r="M8323" s="28"/>
      <c r="N8323" s="28"/>
      <c r="O8323" s="22" t="str">
        <f>HYPERLINK("https://pbs.twimg.com/profile_images/2843104608/6a54f9cff170b1e0753e972d4d5df2a9_normal.jpeg","View")</f>
        <v>View</v>
      </c>
      <c r="P8323" s="27"/>
    </row>
    <row r="8324">
      <c r="A8324" s="14">
        <v>43031.78275462963</v>
      </c>
      <c r="B8324" s="20" t="str">
        <f>HYPERLINK("https://twitter.com/seyyedreza","@seyyedreza")</f>
        <v>@seyyedreza</v>
      </c>
      <c r="C8324" s="21" t="s">
        <v>18433</v>
      </c>
      <c r="D8324" s="21" t="s">
        <v>18434</v>
      </c>
      <c r="E8324" s="22" t="str">
        <f>HYPERLINK("https://twitter.com/seyyedreza/status/922640578717933568","922640578717933568")</f>
        <v>922640578717933568</v>
      </c>
      <c r="F8324" s="23" t="s">
        <v>55</v>
      </c>
      <c r="G8324" s="24">
        <v>5622.0</v>
      </c>
      <c r="H8324" s="24">
        <v>1026.0</v>
      </c>
      <c r="I8324" s="24">
        <v>1.0</v>
      </c>
      <c r="J8324" s="24">
        <v>2.0</v>
      </c>
      <c r="K8324" s="23" t="s">
        <v>34</v>
      </c>
      <c r="L8324" s="25">
        <v>40297.017280092594</v>
      </c>
      <c r="M8324" s="28"/>
      <c r="N8324" s="26" t="s">
        <v>18435</v>
      </c>
      <c r="O8324" s="22" t="str">
        <f>HYPERLINK("https://pbs.twimg.com/profile_images/443163845003984896/Asg52k1p_normal.jpeg","View")</f>
        <v>View</v>
      </c>
      <c r="P8324" s="27"/>
    </row>
    <row r="8325">
      <c r="A8325" s="14">
        <v>43031.7830324074</v>
      </c>
      <c r="B8325" s="20" t="str">
        <f>HYPERLINK("https://twitter.com/sailormacha","@sailormacha")</f>
        <v>@sailormacha</v>
      </c>
      <c r="C8325" s="21" t="s">
        <v>18436</v>
      </c>
      <c r="D8325" s="21" t="s">
        <v>42</v>
      </c>
      <c r="E8325" s="22" t="str">
        <f>HYPERLINK("https://twitter.com/sailormacha/status/922640680932999173","922640680932999173")</f>
        <v>922640680932999173</v>
      </c>
      <c r="F8325" s="23" t="s">
        <v>43</v>
      </c>
      <c r="G8325" s="24">
        <v>61.0</v>
      </c>
      <c r="H8325" s="24">
        <v>83.0</v>
      </c>
      <c r="I8325" s="24">
        <v>8501.0</v>
      </c>
      <c r="J8325" s="24">
        <v>0.0</v>
      </c>
      <c r="K8325" s="23" t="s">
        <v>34</v>
      </c>
      <c r="L8325" s="25">
        <v>41018.93111111111</v>
      </c>
      <c r="M8325" s="28"/>
      <c r="N8325" s="26" t="s">
        <v>18437</v>
      </c>
      <c r="O8325" s="22" t="str">
        <f>HYPERLINK("https://pbs.twimg.com/profile_images/813906631071150080/BVIc0q0T_normal.jpg","View")</f>
        <v>View</v>
      </c>
      <c r="P8325" s="27"/>
    </row>
    <row r="8326">
      <c r="A8326" s="14">
        <v>43031.78351851852</v>
      </c>
      <c r="B8326" s="20" t="str">
        <f>HYPERLINK("https://twitter.com/amycatalinac","@amycatalinac")</f>
        <v>@amycatalinac</v>
      </c>
      <c r="C8326" s="21" t="s">
        <v>18438</v>
      </c>
      <c r="D8326" s="21" t="s">
        <v>18421</v>
      </c>
      <c r="E8326" s="22" t="str">
        <f>HYPERLINK("https://twitter.com/amycatalinac/status/922640854958923776","922640854958923776")</f>
        <v>922640854958923776</v>
      </c>
      <c r="F8326" s="23" t="s">
        <v>55</v>
      </c>
      <c r="G8326" s="24">
        <v>439.0</v>
      </c>
      <c r="H8326" s="24">
        <v>197.0</v>
      </c>
      <c r="I8326" s="24">
        <v>2.0</v>
      </c>
      <c r="J8326" s="24">
        <v>0.0</v>
      </c>
      <c r="K8326" s="23" t="s">
        <v>34</v>
      </c>
      <c r="L8326" s="25">
        <v>41398.15945601852</v>
      </c>
      <c r="M8326" s="26" t="s">
        <v>2534</v>
      </c>
      <c r="N8326" s="26" t="s">
        <v>18439</v>
      </c>
      <c r="O8326" s="22" t="str">
        <f>HYPERLINK("https://pbs.twimg.com/profile_images/884570374817685505/r41pzUrA_normal.jpg","View")</f>
        <v>View</v>
      </c>
      <c r="P8326" s="27"/>
    </row>
    <row r="8327">
      <c r="A8327" s="14">
        <v>43031.78438657407</v>
      </c>
      <c r="B8327" s="20" t="str">
        <f>HYPERLINK("https://twitter.com/nripendraj9","@nripendraj9")</f>
        <v>@nripendraj9</v>
      </c>
      <c r="C8327" s="21" t="s">
        <v>7491</v>
      </c>
      <c r="D8327" s="21" t="s">
        <v>42</v>
      </c>
      <c r="E8327" s="22" t="str">
        <f>HYPERLINK("https://twitter.com/nripendraj9/status/922641170861142016","922641170861142016")</f>
        <v>922641170861142016</v>
      </c>
      <c r="F8327" s="23" t="s">
        <v>33</v>
      </c>
      <c r="G8327" s="24">
        <v>547.0</v>
      </c>
      <c r="H8327" s="24">
        <v>150.0</v>
      </c>
      <c r="I8327" s="24">
        <v>8501.0</v>
      </c>
      <c r="J8327" s="24">
        <v>0.0</v>
      </c>
      <c r="K8327" s="23" t="s">
        <v>34</v>
      </c>
      <c r="L8327" s="25">
        <v>40325.20657407407</v>
      </c>
      <c r="M8327" s="26" t="s">
        <v>18440</v>
      </c>
      <c r="N8327" s="28"/>
      <c r="O8327" s="22" t="str">
        <f>HYPERLINK("https://pbs.twimg.com/profile_images/919049843137421312/CFCqbpfx_normal.jpg","View")</f>
        <v>View</v>
      </c>
      <c r="P8327" s="27"/>
    </row>
    <row r="8328">
      <c r="A8328" s="14">
        <v>43031.78457175926</v>
      </c>
      <c r="B8328" s="20" t="str">
        <f>HYPERLINK("https://twitter.com/business","@business")</f>
        <v>@business</v>
      </c>
      <c r="C8328" s="21" t="s">
        <v>3937</v>
      </c>
      <c r="D8328" s="21" t="s">
        <v>3938</v>
      </c>
      <c r="E8328" s="22" t="str">
        <f>HYPERLINK("https://twitter.com/business/status/922641235524902912","922641235524902912")</f>
        <v>922641235524902912</v>
      </c>
      <c r="F8328" s="23" t="s">
        <v>1103</v>
      </c>
      <c r="G8328" s="24">
        <v>4337403.0</v>
      </c>
      <c r="H8328" s="24">
        <v>1088.0</v>
      </c>
      <c r="I8328" s="24">
        <v>13.0</v>
      </c>
      <c r="J8328" s="24">
        <v>11.0</v>
      </c>
      <c r="K8328" s="23" t="s">
        <v>34</v>
      </c>
      <c r="L8328" s="25">
        <v>39926.545335648145</v>
      </c>
      <c r="M8328" s="26" t="s">
        <v>3939</v>
      </c>
      <c r="N8328" s="26" t="s">
        <v>3940</v>
      </c>
      <c r="O8328" s="22" t="str">
        <f>HYPERLINK("https://pbs.twimg.com/profile_images/714946924105883648/4fgNVF4H_normal.jpg","View")</f>
        <v>View</v>
      </c>
      <c r="P8328" s="27"/>
    </row>
    <row r="8329">
      <c r="A8329" s="14">
        <v>43031.78460648148</v>
      </c>
      <c r="B8329" s="20" t="str">
        <f>HYPERLINK("https://twitter.com/sumishampoo","@sumishampoo")</f>
        <v>@sumishampoo</v>
      </c>
      <c r="C8329" s="21" t="s">
        <v>18441</v>
      </c>
      <c r="D8329" s="21" t="s">
        <v>42</v>
      </c>
      <c r="E8329" s="22" t="str">
        <f>HYPERLINK("https://twitter.com/sumishampoo/status/922641251945529344","922641251945529344")</f>
        <v>922641251945529344</v>
      </c>
      <c r="F8329" s="23" t="s">
        <v>55</v>
      </c>
      <c r="G8329" s="24">
        <v>23690.0</v>
      </c>
      <c r="H8329" s="24">
        <v>3028.0</v>
      </c>
      <c r="I8329" s="24">
        <v>8501.0</v>
      </c>
      <c r="J8329" s="24">
        <v>0.0</v>
      </c>
      <c r="K8329" s="23" t="s">
        <v>34</v>
      </c>
      <c r="L8329" s="25">
        <v>40195.798043981486</v>
      </c>
      <c r="M8329" s="28"/>
      <c r="N8329" s="26" t="s">
        <v>18442</v>
      </c>
      <c r="O8329" s="22" t="str">
        <f>HYPERLINK("https://pbs.twimg.com/profile_images/657586587/333333333333333_normal.gif","View")</f>
        <v>View</v>
      </c>
      <c r="P8329" s="27"/>
    </row>
    <row r="8330">
      <c r="A8330" s="14">
        <v>43031.78484953704</v>
      </c>
      <c r="B8330" s="20" t="str">
        <f>HYPERLINK("https://twitter.com/Bullish","@Bullish")</f>
        <v>@Bullish</v>
      </c>
      <c r="C8330" s="21" t="s">
        <v>2943</v>
      </c>
      <c r="D8330" s="21" t="s">
        <v>4114</v>
      </c>
      <c r="E8330" s="22" t="str">
        <f>HYPERLINK("https://twitter.com/Bullish/status/922641337584844800","922641337584844800")</f>
        <v>922641337584844800</v>
      </c>
      <c r="F8330" s="23" t="s">
        <v>187</v>
      </c>
      <c r="G8330" s="24">
        <v>184.0</v>
      </c>
      <c r="H8330" s="24">
        <v>87.0</v>
      </c>
      <c r="I8330" s="24">
        <v>0.0</v>
      </c>
      <c r="J8330" s="24">
        <v>0.0</v>
      </c>
      <c r="K8330" s="23" t="s">
        <v>34</v>
      </c>
      <c r="L8330" s="25">
        <v>42618.75304398148</v>
      </c>
      <c r="M8330" s="28"/>
      <c r="N8330" s="28"/>
      <c r="O8330" s="22" t="str">
        <f>HYPERLINK("https://pbs.twimg.com/profile_images/798692093736599552/UikI9dNE_normal.jpg","View")</f>
        <v>View</v>
      </c>
      <c r="P8330" s="27"/>
    </row>
    <row r="8331">
      <c r="A8331" s="14">
        <v>43031.784895833334</v>
      </c>
      <c r="B8331" s="20" t="str">
        <f t="shared" ref="B8331:B8332" si="157">HYPERLINK("https://twitter.com/mnewsince","@mnewsince")</f>
        <v>@mnewsince</v>
      </c>
      <c r="C8331" s="21" t="s">
        <v>18443</v>
      </c>
      <c r="D8331" s="21" t="s">
        <v>108</v>
      </c>
      <c r="E8331" s="22" t="str">
        <f>HYPERLINK("https://twitter.com/mnewsince/status/922641355834306562","922641355834306562")</f>
        <v>922641355834306562</v>
      </c>
      <c r="F8331" s="23" t="s">
        <v>33</v>
      </c>
      <c r="G8331" s="24">
        <v>2048.0</v>
      </c>
      <c r="H8331" s="24">
        <v>3827.0</v>
      </c>
      <c r="I8331" s="24">
        <v>88.0</v>
      </c>
      <c r="J8331" s="24">
        <v>0.0</v>
      </c>
      <c r="K8331" s="23" t="s">
        <v>34</v>
      </c>
      <c r="L8331" s="25">
        <v>41725.05725694445</v>
      </c>
      <c r="M8331" s="28"/>
      <c r="N8331" s="26" t="s">
        <v>18444</v>
      </c>
      <c r="O8331" s="22" t="str">
        <f t="shared" ref="O8331:O8332" si="158">HYPERLINK("https://pbs.twimg.com/profile_images/700799098308284416/yqAjR8JN_normal.jpg","View")</f>
        <v>View</v>
      </c>
      <c r="P8331" s="27"/>
    </row>
    <row r="8332">
      <c r="A8332" s="14">
        <v>43031.78497685185</v>
      </c>
      <c r="B8332" s="20" t="str">
        <f t="shared" si="157"/>
        <v>@mnewsince</v>
      </c>
      <c r="C8332" s="21" t="s">
        <v>18443</v>
      </c>
      <c r="D8332" s="21" t="s">
        <v>760</v>
      </c>
      <c r="E8332" s="22" t="str">
        <f>HYPERLINK("https://twitter.com/mnewsince/status/922641383692828672","922641383692828672")</f>
        <v>922641383692828672</v>
      </c>
      <c r="F8332" s="23" t="s">
        <v>33</v>
      </c>
      <c r="G8332" s="24">
        <v>2048.0</v>
      </c>
      <c r="H8332" s="24">
        <v>3827.0</v>
      </c>
      <c r="I8332" s="24">
        <v>62.0</v>
      </c>
      <c r="J8332" s="24">
        <v>0.0</v>
      </c>
      <c r="K8332" s="23" t="s">
        <v>34</v>
      </c>
      <c r="L8332" s="25">
        <v>41725.05725694445</v>
      </c>
      <c r="M8332" s="28"/>
      <c r="N8332" s="26" t="s">
        <v>18444</v>
      </c>
      <c r="O8332" s="22" t="str">
        <f t="shared" si="158"/>
        <v>View</v>
      </c>
      <c r="P8332" s="27"/>
    </row>
    <row r="8333">
      <c r="A8333" s="14">
        <v>43031.785162037035</v>
      </c>
      <c r="B8333" s="20" t="str">
        <f>HYPERLINK("https://twitter.com/Reetesh777","@Reetesh777")</f>
        <v>@Reetesh777</v>
      </c>
      <c r="C8333" s="21" t="s">
        <v>18445</v>
      </c>
      <c r="D8333" s="21" t="s">
        <v>42</v>
      </c>
      <c r="E8333" s="22" t="str">
        <f>HYPERLINK("https://twitter.com/Reetesh777/status/922641450197663746","922641450197663746")</f>
        <v>922641450197663746</v>
      </c>
      <c r="F8333" s="23" t="s">
        <v>33</v>
      </c>
      <c r="G8333" s="24">
        <v>8891.0</v>
      </c>
      <c r="H8333" s="24">
        <v>3448.0</v>
      </c>
      <c r="I8333" s="24">
        <v>8501.0</v>
      </c>
      <c r="J8333" s="24">
        <v>0.0</v>
      </c>
      <c r="K8333" s="23" t="s">
        <v>34</v>
      </c>
      <c r="L8333" s="25">
        <v>41740.1359375</v>
      </c>
      <c r="M8333" s="26" t="s">
        <v>914</v>
      </c>
      <c r="N8333" s="26" t="s">
        <v>18446</v>
      </c>
      <c r="O8333" s="22" t="str">
        <f>HYPERLINK("https://pbs.twimg.com/profile_images/896565962786299905/WDMk1SPx_normal.jpg","View")</f>
        <v>View</v>
      </c>
      <c r="P8333" s="27"/>
    </row>
    <row r="8334">
      <c r="A8334" s="14">
        <v>43031.785208333335</v>
      </c>
      <c r="B8334" s="20" t="str">
        <f>HYPERLINK("https://twitter.com/SpreadHedger","@SpreadHedger")</f>
        <v>@SpreadHedger</v>
      </c>
      <c r="C8334" s="21" t="s">
        <v>15883</v>
      </c>
      <c r="D8334" s="21" t="s">
        <v>1109</v>
      </c>
      <c r="E8334" s="22" t="str">
        <f>HYPERLINK("https://twitter.com/SpreadHedger/status/922641469760032769","922641469760032769")</f>
        <v>922641469760032769</v>
      </c>
      <c r="F8334" s="23" t="s">
        <v>15884</v>
      </c>
      <c r="G8334" s="24">
        <v>1048.0</v>
      </c>
      <c r="H8334" s="24">
        <v>1350.0</v>
      </c>
      <c r="I8334" s="24">
        <v>71.0</v>
      </c>
      <c r="J8334" s="24">
        <v>0.0</v>
      </c>
      <c r="K8334" s="23" t="s">
        <v>34</v>
      </c>
      <c r="L8334" s="25">
        <v>42313.88548611111</v>
      </c>
      <c r="M8334" s="26">
        <v>1735.0</v>
      </c>
      <c r="N8334" s="28"/>
      <c r="O8334" s="22" t="str">
        <f>HYPERLINK("https://pbs.twimg.com/profile_images/892270656225759232/w2bC2x6o_normal.jpg","View")</f>
        <v>View</v>
      </c>
      <c r="P8334" s="27"/>
    </row>
    <row r="8335">
      <c r="A8335" s="14">
        <v>43031.78550925926</v>
      </c>
      <c r="B8335" s="20" t="str">
        <f>HYPERLINK("https://twitter.com/mlnangalama","@mlnangalama")</f>
        <v>@mlnangalama</v>
      </c>
      <c r="C8335" s="21" t="s">
        <v>925</v>
      </c>
      <c r="D8335" s="21" t="s">
        <v>4080</v>
      </c>
      <c r="E8335" s="22" t="str">
        <f>HYPERLINK("https://twitter.com/mlnangalama/status/922641576857358339","922641576857358339")</f>
        <v>922641576857358339</v>
      </c>
      <c r="F8335" s="23" t="s">
        <v>187</v>
      </c>
      <c r="G8335" s="24">
        <v>2366.0</v>
      </c>
      <c r="H8335" s="24">
        <v>1582.0</v>
      </c>
      <c r="I8335" s="24">
        <v>0.0</v>
      </c>
      <c r="J8335" s="24">
        <v>0.0</v>
      </c>
      <c r="K8335" s="23" t="s">
        <v>34</v>
      </c>
      <c r="L8335" s="25">
        <v>41041.54378472222</v>
      </c>
      <c r="M8335" s="26" t="s">
        <v>927</v>
      </c>
      <c r="N8335" s="26" t="s">
        <v>928</v>
      </c>
      <c r="O8335" s="22" t="str">
        <f>HYPERLINK("https://pbs.twimg.com/profile_images/900915882444173313/biUHzvpx_normal.jpg","View")</f>
        <v>View</v>
      </c>
      <c r="P8335" s="27"/>
    </row>
    <row r="8336">
      <c r="A8336" s="14">
        <v>43031.78550925926</v>
      </c>
      <c r="B8336" s="20" t="str">
        <f>HYPERLINK("https://twitter.com/ShravanSaxena","@ShravanSaxena")</f>
        <v>@ShravanSaxena</v>
      </c>
      <c r="C8336" s="21" t="s">
        <v>18034</v>
      </c>
      <c r="D8336" s="21" t="s">
        <v>18447</v>
      </c>
      <c r="E8336" s="22" t="str">
        <f>HYPERLINK("https://twitter.com/ShravanSaxena/status/922641576999968769","922641576999968769")</f>
        <v>922641576999968769</v>
      </c>
      <c r="F8336" s="23" t="s">
        <v>55</v>
      </c>
      <c r="G8336" s="24">
        <v>205.0</v>
      </c>
      <c r="H8336" s="24">
        <v>27.0</v>
      </c>
      <c r="I8336" s="24">
        <v>0.0</v>
      </c>
      <c r="J8336" s="24">
        <v>0.0</v>
      </c>
      <c r="K8336" s="23" t="s">
        <v>34</v>
      </c>
      <c r="L8336" s="25">
        <v>40709.14003472222</v>
      </c>
      <c r="M8336" s="28"/>
      <c r="N8336" s="26" t="s">
        <v>18036</v>
      </c>
      <c r="O8336" s="22" t="str">
        <f>HYPERLINK("https://pbs.twimg.com/profile_images/897969469359759360/jKeltRek_normal.jpg","View")</f>
        <v>View</v>
      </c>
      <c r="P8336" s="27"/>
    </row>
    <row r="8337">
      <c r="A8337" s="14">
        <v>43031.78554398148</v>
      </c>
      <c r="B8337" s="20" t="str">
        <f>HYPERLINK("https://twitter.com/rakesh_kalyan","@rakesh_kalyan")</f>
        <v>@rakesh_kalyan</v>
      </c>
      <c r="C8337" s="21" t="s">
        <v>18448</v>
      </c>
      <c r="D8337" s="21" t="s">
        <v>42</v>
      </c>
      <c r="E8337" s="22" t="str">
        <f>HYPERLINK("https://twitter.com/rakesh_kalyan/status/922641590270562304","922641590270562304")</f>
        <v>922641590270562304</v>
      </c>
      <c r="F8337" s="23" t="s">
        <v>33</v>
      </c>
      <c r="G8337" s="24">
        <v>91.0</v>
      </c>
      <c r="H8337" s="24">
        <v>334.0</v>
      </c>
      <c r="I8337" s="24">
        <v>8501.0</v>
      </c>
      <c r="J8337" s="24">
        <v>0.0</v>
      </c>
      <c r="K8337" s="23" t="s">
        <v>34</v>
      </c>
      <c r="L8337" s="25">
        <v>41657.84893518519</v>
      </c>
      <c r="M8337" s="26" t="s">
        <v>195</v>
      </c>
      <c r="N8337" s="26" t="s">
        <v>18449</v>
      </c>
      <c r="O8337" s="22" t="str">
        <f>HYPERLINK("https://pbs.twimg.com/profile_images/910421808364396545/P4S6hB4e_normal.jpg","View")</f>
        <v>View</v>
      </c>
      <c r="P8337" s="27"/>
    </row>
    <row r="8338">
      <c r="A8338" s="14">
        <v>43031.785578703704</v>
      </c>
      <c r="B8338" s="20" t="str">
        <f>HYPERLINK("https://twitter.com/ArisaVip","@ArisaVip")</f>
        <v>@ArisaVip</v>
      </c>
      <c r="C8338" s="21" t="s">
        <v>18450</v>
      </c>
      <c r="D8338" s="21" t="s">
        <v>3965</v>
      </c>
      <c r="E8338" s="22" t="str">
        <f>HYPERLINK("https://twitter.com/ArisaVip/status/922641601708429312","922641601708429312")</f>
        <v>922641601708429312</v>
      </c>
      <c r="F8338" s="23" t="s">
        <v>39</v>
      </c>
      <c r="G8338" s="24">
        <v>175.0</v>
      </c>
      <c r="H8338" s="24">
        <v>97.0</v>
      </c>
      <c r="I8338" s="24">
        <v>13.0</v>
      </c>
      <c r="J8338" s="24">
        <v>0.0</v>
      </c>
      <c r="K8338" s="23" t="s">
        <v>34</v>
      </c>
      <c r="L8338" s="25">
        <v>42711.315659722226</v>
      </c>
      <c r="M8338" s="26" t="s">
        <v>18451</v>
      </c>
      <c r="N8338" s="26" t="s">
        <v>18452</v>
      </c>
      <c r="O8338" s="22" t="str">
        <f>HYPERLINK("https://pbs.twimg.com/profile_images/863773951134056451/lWK-rmiz_normal.jpg","View")</f>
        <v>View</v>
      </c>
      <c r="P8338" s="27"/>
    </row>
    <row r="8339">
      <c r="A8339" s="14">
        <v>43031.78561342593</v>
      </c>
      <c r="B8339" s="20" t="str">
        <f>HYPERLINK("https://twitter.com/rudixworld","@rudixworld")</f>
        <v>@rudixworld</v>
      </c>
      <c r="C8339" s="21" t="s">
        <v>18453</v>
      </c>
      <c r="D8339" s="21" t="s">
        <v>18454</v>
      </c>
      <c r="E8339" s="22" t="str">
        <f>HYPERLINK("https://twitter.com/rudixworld/status/922641616627818496","922641616627818496")</f>
        <v>922641616627818496</v>
      </c>
      <c r="F8339" s="23" t="s">
        <v>18455</v>
      </c>
      <c r="G8339" s="24">
        <v>284.0</v>
      </c>
      <c r="H8339" s="24">
        <v>231.0</v>
      </c>
      <c r="I8339" s="24">
        <v>0.0</v>
      </c>
      <c r="J8339" s="24">
        <v>0.0</v>
      </c>
      <c r="K8339" s="23" t="s">
        <v>34</v>
      </c>
      <c r="L8339" s="25">
        <v>39893.644837962966</v>
      </c>
      <c r="M8339" s="26" t="s">
        <v>18456</v>
      </c>
      <c r="N8339" s="26" t="s">
        <v>18457</v>
      </c>
      <c r="O8339" s="22" t="str">
        <f>HYPERLINK("https://pbs.twimg.com/profile_images/592420091301593089/XjiUHRYX_normal.jpg","View")</f>
        <v>View</v>
      </c>
      <c r="P8339" s="27"/>
    </row>
    <row r="8340">
      <c r="A8340" s="14">
        <v>43031.78565972223</v>
      </c>
      <c r="B8340" s="20" t="str">
        <f>HYPERLINK("https://twitter.com/ArisaVip","@ArisaVip")</f>
        <v>@ArisaVip</v>
      </c>
      <c r="C8340" s="21" t="s">
        <v>18450</v>
      </c>
      <c r="D8340" s="21" t="s">
        <v>18458</v>
      </c>
      <c r="E8340" s="22" t="str">
        <f>HYPERLINK("https://twitter.com/ArisaVip/status/922641632054448128","922641632054448128")</f>
        <v>922641632054448128</v>
      </c>
      <c r="F8340" s="23" t="s">
        <v>48</v>
      </c>
      <c r="G8340" s="24">
        <v>175.0</v>
      </c>
      <c r="H8340" s="24">
        <v>97.0</v>
      </c>
      <c r="I8340" s="24">
        <v>0.0</v>
      </c>
      <c r="J8340" s="24">
        <v>1.0</v>
      </c>
      <c r="K8340" s="23" t="s">
        <v>34</v>
      </c>
      <c r="L8340" s="25">
        <v>42711.315659722226</v>
      </c>
      <c r="M8340" s="26" t="s">
        <v>18451</v>
      </c>
      <c r="N8340" s="26" t="s">
        <v>18452</v>
      </c>
      <c r="O8340" s="22" t="str">
        <f>HYPERLINK("https://pbs.twimg.com/profile_images/863773951134056451/lWK-rmiz_normal.jpg","View")</f>
        <v>View</v>
      </c>
      <c r="P8340" s="27"/>
    </row>
    <row r="8341">
      <c r="A8341" s="14">
        <v>43031.786250000005</v>
      </c>
      <c r="B8341" s="20" t="str">
        <f>HYPERLINK("https://twitter.com/abonomie","@abonomie")</f>
        <v>@abonomie</v>
      </c>
      <c r="C8341" s="21" t="s">
        <v>18459</v>
      </c>
      <c r="D8341" s="21" t="s">
        <v>18460</v>
      </c>
      <c r="E8341" s="22" t="str">
        <f>HYPERLINK("https://twitter.com/abonomie/status/922641845871550464","922641845871550464")</f>
        <v>922641845871550464</v>
      </c>
      <c r="F8341" s="23" t="s">
        <v>33</v>
      </c>
      <c r="G8341" s="24">
        <v>39.0</v>
      </c>
      <c r="H8341" s="24">
        <v>134.0</v>
      </c>
      <c r="I8341" s="24">
        <v>0.0</v>
      </c>
      <c r="J8341" s="24">
        <v>0.0</v>
      </c>
      <c r="K8341" s="23" t="s">
        <v>34</v>
      </c>
      <c r="L8341" s="25">
        <v>40467.69042824074</v>
      </c>
      <c r="M8341" s="26" t="s">
        <v>4052</v>
      </c>
      <c r="N8341" s="26" t="s">
        <v>18461</v>
      </c>
      <c r="O8341" s="22" t="str">
        <f>HYPERLINK("https://pbs.twimg.com/profile_images/849455319864549377/r7-4LOaA_normal.jpg","View")</f>
        <v>View</v>
      </c>
      <c r="P8341" s="27"/>
    </row>
    <row r="8342">
      <c r="A8342" s="14">
        <v>43031.78685185185</v>
      </c>
      <c r="B8342" s="20" t="str">
        <f>HYPERLINK("https://twitter.com/ArisaVip","@ArisaVip")</f>
        <v>@ArisaVip</v>
      </c>
      <c r="C8342" s="21" t="s">
        <v>18450</v>
      </c>
      <c r="D8342" s="21" t="s">
        <v>18462</v>
      </c>
      <c r="E8342" s="22" t="str">
        <f>HYPERLINK("https://twitter.com/ArisaVip/status/922642064851869697","922642064851869697")</f>
        <v>922642064851869697</v>
      </c>
      <c r="F8342" s="23" t="s">
        <v>48</v>
      </c>
      <c r="G8342" s="24">
        <v>175.0</v>
      </c>
      <c r="H8342" s="24">
        <v>97.0</v>
      </c>
      <c r="I8342" s="24">
        <v>0.0</v>
      </c>
      <c r="J8342" s="24">
        <v>1.0</v>
      </c>
      <c r="K8342" s="23" t="s">
        <v>34</v>
      </c>
      <c r="L8342" s="25">
        <v>42711.315659722226</v>
      </c>
      <c r="M8342" s="26" t="s">
        <v>18451</v>
      </c>
      <c r="N8342" s="26" t="s">
        <v>18452</v>
      </c>
      <c r="O8342" s="22" t="str">
        <f>HYPERLINK("https://pbs.twimg.com/profile_images/863773951134056451/lWK-rmiz_normal.jpg","View")</f>
        <v>View</v>
      </c>
      <c r="P8342" s="27"/>
    </row>
    <row r="8343">
      <c r="A8343" s="14">
        <v>43031.78707175926</v>
      </c>
      <c r="B8343" s="20" t="str">
        <f>HYPERLINK("https://twitter.com/FallySomboNkhwa","@FallySomboNkhwa")</f>
        <v>@FallySomboNkhwa</v>
      </c>
      <c r="C8343" s="21" t="s">
        <v>4279</v>
      </c>
      <c r="D8343" s="21" t="s">
        <v>4280</v>
      </c>
      <c r="E8343" s="22" t="str">
        <f>HYPERLINK("https://twitter.com/FallySomboNkhwa/status/922642142287290368","922642142287290368")</f>
        <v>922642142287290368</v>
      </c>
      <c r="F8343" s="23" t="s">
        <v>187</v>
      </c>
      <c r="G8343" s="24">
        <v>406.0</v>
      </c>
      <c r="H8343" s="24">
        <v>2189.0</v>
      </c>
      <c r="I8343" s="24">
        <v>0.0</v>
      </c>
      <c r="J8343" s="24">
        <v>0.0</v>
      </c>
      <c r="K8343" s="23" t="s">
        <v>34</v>
      </c>
      <c r="L8343" s="25">
        <v>41551.82041666667</v>
      </c>
      <c r="M8343" s="26" t="s">
        <v>4281</v>
      </c>
      <c r="N8343" s="26" t="s">
        <v>4282</v>
      </c>
      <c r="O8343" s="22" t="str">
        <f>HYPERLINK("https://pbs.twimg.com/profile_images/543761133505503235/pKcg8bc2_normal.jpeg","View")</f>
        <v>View</v>
      </c>
      <c r="P8343" s="27"/>
    </row>
    <row r="8344">
      <c r="A8344" s="14">
        <v>43031.787152777775</v>
      </c>
      <c r="B8344" s="20" t="str">
        <f>HYPERLINK("https://twitter.com/swissifg","@swissifg")</f>
        <v>@swissifg</v>
      </c>
      <c r="C8344" s="21" t="s">
        <v>3967</v>
      </c>
      <c r="D8344" s="21" t="s">
        <v>3968</v>
      </c>
      <c r="E8344" s="22" t="str">
        <f>HYPERLINK("https://twitter.com/swissifg/status/922642171911720960","922642171911720960")</f>
        <v>922642171911720960</v>
      </c>
      <c r="F8344" s="23" t="s">
        <v>187</v>
      </c>
      <c r="G8344" s="24">
        <v>1204.0</v>
      </c>
      <c r="H8344" s="24">
        <v>671.0</v>
      </c>
      <c r="I8344" s="24">
        <v>0.0</v>
      </c>
      <c r="J8344" s="24">
        <v>0.0</v>
      </c>
      <c r="K8344" s="23" t="s">
        <v>34</v>
      </c>
      <c r="L8344" s="25">
        <v>42499.2341087963</v>
      </c>
      <c r="M8344" s="26" t="s">
        <v>3969</v>
      </c>
      <c r="N8344" s="26" t="s">
        <v>3970</v>
      </c>
      <c r="O8344" s="22" t="str">
        <f>HYPERLINK("https://pbs.twimg.com/profile_images/729681805088063489/N4ls5vb8_normal.jpg","View")</f>
        <v>View</v>
      </c>
      <c r="P8344" s="27"/>
    </row>
    <row r="8345">
      <c r="A8345" s="14">
        <v>43031.787199074075</v>
      </c>
      <c r="B8345" s="20" t="str">
        <f>HYPERLINK("https://twitter.com/jaimeotero_","@jaimeotero_")</f>
        <v>@jaimeotero_</v>
      </c>
      <c r="C8345" s="21" t="s">
        <v>3960</v>
      </c>
      <c r="D8345" s="21" t="s">
        <v>3961</v>
      </c>
      <c r="E8345" s="22" t="str">
        <f>HYPERLINK("https://twitter.com/jaimeotero_/status/922642188546265089","922642188546265089")</f>
        <v>922642188546265089</v>
      </c>
      <c r="F8345" s="23" t="s">
        <v>187</v>
      </c>
      <c r="G8345" s="24">
        <v>34534.0</v>
      </c>
      <c r="H8345" s="24">
        <v>31264.0</v>
      </c>
      <c r="I8345" s="24">
        <v>0.0</v>
      </c>
      <c r="J8345" s="24">
        <v>0.0</v>
      </c>
      <c r="K8345" s="23" t="s">
        <v>34</v>
      </c>
      <c r="L8345" s="25">
        <v>42531.01219907407</v>
      </c>
      <c r="M8345" s="26" t="s">
        <v>3962</v>
      </c>
      <c r="N8345" s="26" t="s">
        <v>3963</v>
      </c>
      <c r="O8345" s="22" t="str">
        <f>HYPERLINK("https://pbs.twimg.com/profile_images/849817561281818626/acAU04SD_normal.jpg","View")</f>
        <v>View</v>
      </c>
      <c r="P8345" s="27"/>
    </row>
    <row r="8346">
      <c r="A8346" s="14">
        <v>43031.78743055556</v>
      </c>
      <c r="B8346" s="20" t="str">
        <f>HYPERLINK("https://twitter.com/vinitsharma_rss","@vinitsharma_rss")</f>
        <v>@vinitsharma_rss</v>
      </c>
      <c r="C8346" s="21" t="s">
        <v>18463</v>
      </c>
      <c r="D8346" s="21" t="s">
        <v>42</v>
      </c>
      <c r="E8346" s="22" t="str">
        <f>HYPERLINK("https://twitter.com/vinitsharma_rss/status/922642275204612097","922642275204612097")</f>
        <v>922642275204612097</v>
      </c>
      <c r="F8346" s="23" t="s">
        <v>33</v>
      </c>
      <c r="G8346" s="24">
        <v>184.0</v>
      </c>
      <c r="H8346" s="24">
        <v>56.0</v>
      </c>
      <c r="I8346" s="24">
        <v>8501.0</v>
      </c>
      <c r="J8346" s="24">
        <v>0.0</v>
      </c>
      <c r="K8346" s="23" t="s">
        <v>34</v>
      </c>
      <c r="L8346" s="25">
        <v>42344.784375</v>
      </c>
      <c r="M8346" s="26" t="s">
        <v>3042</v>
      </c>
      <c r="N8346" s="26" t="s">
        <v>18464</v>
      </c>
      <c r="O8346" s="22" t="str">
        <f>HYPERLINK("https://pbs.twimg.com/profile_images/919391230915616768/YgWKpcCV_normal.jpg","View")</f>
        <v>View</v>
      </c>
      <c r="P8346" s="27"/>
    </row>
    <row r="8347">
      <c r="A8347" s="14">
        <v>43031.7878125</v>
      </c>
      <c r="B8347" s="20" t="str">
        <f>HYPERLINK("https://twitter.com/vjmclaughlin21","@vjmclaughlin21")</f>
        <v>@vjmclaughlin21</v>
      </c>
      <c r="C8347" s="21" t="s">
        <v>18465</v>
      </c>
      <c r="D8347" s="21" t="s">
        <v>16537</v>
      </c>
      <c r="E8347" s="22" t="str">
        <f>HYPERLINK("https://twitter.com/vjmclaughlin21/status/922642412324966400","922642412324966400")</f>
        <v>922642412324966400</v>
      </c>
      <c r="F8347" s="23" t="s">
        <v>55</v>
      </c>
      <c r="G8347" s="24">
        <v>73.0</v>
      </c>
      <c r="H8347" s="24">
        <v>280.0</v>
      </c>
      <c r="I8347" s="24">
        <v>242.0</v>
      </c>
      <c r="J8347" s="24">
        <v>0.0</v>
      </c>
      <c r="K8347" s="23" t="s">
        <v>34</v>
      </c>
      <c r="L8347" s="25">
        <v>42977.83118055556</v>
      </c>
      <c r="M8347" s="28"/>
      <c r="N8347" s="28"/>
      <c r="O8347" s="22" t="str">
        <f>HYPERLINK("https://abs.twimg.com/sticky/default_profile_images/default_profile_normal.png","View")</f>
        <v>View</v>
      </c>
      <c r="P8347" s="27"/>
    </row>
    <row r="8348">
      <c r="A8348" s="14">
        <v>43031.787870370375</v>
      </c>
      <c r="B8348" s="20" t="str">
        <f>HYPERLINK("https://twitter.com/masugominikatu","@masugominikatu")</f>
        <v>@masugominikatu</v>
      </c>
      <c r="C8348" s="21" t="s">
        <v>5720</v>
      </c>
      <c r="D8348" s="21" t="s">
        <v>42</v>
      </c>
      <c r="E8348" s="22" t="str">
        <f>HYPERLINK("https://twitter.com/masugominikatu/status/922642431383707648","922642431383707648")</f>
        <v>922642431383707648</v>
      </c>
      <c r="F8348" s="23" t="s">
        <v>55</v>
      </c>
      <c r="G8348" s="24">
        <v>5748.0</v>
      </c>
      <c r="H8348" s="24">
        <v>6220.0</v>
      </c>
      <c r="I8348" s="24">
        <v>8501.0</v>
      </c>
      <c r="J8348" s="24">
        <v>0.0</v>
      </c>
      <c r="K8348" s="23" t="s">
        <v>34</v>
      </c>
      <c r="L8348" s="25">
        <v>40352.75493055556</v>
      </c>
      <c r="M8348" s="26" t="s">
        <v>71</v>
      </c>
      <c r="N8348" s="26" t="s">
        <v>5721</v>
      </c>
      <c r="O8348" s="22" t="str">
        <f>HYPERLINK("https://pbs.twimg.com/profile_images/915412094429704193/YluzfUnD_normal.jpg","View")</f>
        <v>View</v>
      </c>
      <c r="P8348" s="27"/>
    </row>
    <row r="8349">
      <c r="A8349" s="14">
        <v>43031.787939814814</v>
      </c>
      <c r="B8349" s="20" t="str">
        <f>HYPERLINK("https://twitter.com/BurakCanBaser1","@BurakCanBaser1")</f>
        <v>@BurakCanBaser1</v>
      </c>
      <c r="C8349" s="21" t="s">
        <v>18466</v>
      </c>
      <c r="D8349" s="21" t="s">
        <v>3965</v>
      </c>
      <c r="E8349" s="22" t="str">
        <f>HYPERLINK("https://twitter.com/BurakCanBaser1/status/922642458554654720","922642458554654720")</f>
        <v>922642458554654720</v>
      </c>
      <c r="F8349" s="23" t="s">
        <v>39</v>
      </c>
      <c r="G8349" s="24">
        <v>166.0</v>
      </c>
      <c r="H8349" s="24">
        <v>1189.0</v>
      </c>
      <c r="I8349" s="24">
        <v>13.0</v>
      </c>
      <c r="J8349" s="24">
        <v>0.0</v>
      </c>
      <c r="K8349" s="23" t="s">
        <v>34</v>
      </c>
      <c r="L8349" s="25">
        <v>42855.89708333333</v>
      </c>
      <c r="M8349" s="28"/>
      <c r="N8349" s="26" t="s">
        <v>18467</v>
      </c>
      <c r="O8349" s="22" t="str">
        <f>HYPERLINK("https://pbs.twimg.com/profile_images/897304739674771456/22tcBY6E_normal.jpg","View")</f>
        <v>View</v>
      </c>
      <c r="P8349" s="27"/>
    </row>
    <row r="8350">
      <c r="A8350" s="14">
        <v>43031.78800925926</v>
      </c>
      <c r="B8350" s="20" t="str">
        <f>HYPERLINK("https://twitter.com/SportsDean","@SportsDean")</f>
        <v>@SportsDean</v>
      </c>
      <c r="C8350" s="31" t="s">
        <v>18468</v>
      </c>
      <c r="D8350" s="21" t="s">
        <v>3965</v>
      </c>
      <c r="E8350" s="22" t="str">
        <f>HYPERLINK("https://twitter.com/SportsDean/status/922642481732186112","922642481732186112")</f>
        <v>922642481732186112</v>
      </c>
      <c r="F8350" s="23" t="s">
        <v>55</v>
      </c>
      <c r="G8350" s="24">
        <v>1159.0</v>
      </c>
      <c r="H8350" s="24">
        <v>2553.0</v>
      </c>
      <c r="I8350" s="24">
        <v>13.0</v>
      </c>
      <c r="J8350" s="24">
        <v>0.0</v>
      </c>
      <c r="K8350" s="23" t="s">
        <v>34</v>
      </c>
      <c r="L8350" s="25">
        <v>40616.09321759259</v>
      </c>
      <c r="M8350" s="26" t="s">
        <v>18469</v>
      </c>
      <c r="N8350" s="26" t="s">
        <v>18470</v>
      </c>
      <c r="O8350" s="22" t="str">
        <f>HYPERLINK("https://pbs.twimg.com/profile_images/1319389658/23645_119377988077534_100000160001420_308275_8348488_n_normal.jpg","View")</f>
        <v>View</v>
      </c>
      <c r="P8350" s="27"/>
    </row>
    <row r="8351">
      <c r="A8351" s="14">
        <v>43031.788090277776</v>
      </c>
      <c r="B8351" s="20" t="str">
        <f>HYPERLINK("https://twitter.com/Indrama53883677","@Indrama53883677")</f>
        <v>@Indrama53883677</v>
      </c>
      <c r="C8351" s="21" t="s">
        <v>18471</v>
      </c>
      <c r="D8351" s="21" t="s">
        <v>42</v>
      </c>
      <c r="E8351" s="22" t="str">
        <f>HYPERLINK("https://twitter.com/Indrama53883677/status/922642512002482177","922642512002482177")</f>
        <v>922642512002482177</v>
      </c>
      <c r="F8351" s="23" t="s">
        <v>33</v>
      </c>
      <c r="G8351" s="24">
        <v>17.0</v>
      </c>
      <c r="H8351" s="24">
        <v>78.0</v>
      </c>
      <c r="I8351" s="24">
        <v>8501.0</v>
      </c>
      <c r="J8351" s="24">
        <v>0.0</v>
      </c>
      <c r="K8351" s="23" t="s">
        <v>34</v>
      </c>
      <c r="L8351" s="25">
        <v>42951.988657407404</v>
      </c>
      <c r="M8351" s="26" t="s">
        <v>2335</v>
      </c>
      <c r="N8351" s="28"/>
      <c r="O8351" s="22" t="str">
        <f>HYPERLINK("https://pbs.twimg.com/profile_images/893725617148936193/1JdLHlfC_normal.jpg","View")</f>
        <v>View</v>
      </c>
      <c r="P8351" s="27"/>
    </row>
    <row r="8352">
      <c r="A8352" s="14">
        <v>43031.78829861111</v>
      </c>
      <c r="B8352" s="20" t="str">
        <f>HYPERLINK("https://twitter.com/Tekki_VR","@Tekki_VR")</f>
        <v>@Tekki_VR</v>
      </c>
      <c r="C8352" s="21" t="s">
        <v>4050</v>
      </c>
      <c r="D8352" s="21" t="s">
        <v>4051</v>
      </c>
      <c r="E8352" s="22" t="str">
        <f>HYPERLINK("https://twitter.com/Tekki_VR/status/922642586275401730","922642586275401730")</f>
        <v>922642586275401730</v>
      </c>
      <c r="F8352" s="23" t="s">
        <v>187</v>
      </c>
      <c r="G8352" s="24">
        <v>1899.0</v>
      </c>
      <c r="H8352" s="24">
        <v>2480.0</v>
      </c>
      <c r="I8352" s="24">
        <v>0.0</v>
      </c>
      <c r="J8352" s="24">
        <v>0.0</v>
      </c>
      <c r="K8352" s="23" t="s">
        <v>34</v>
      </c>
      <c r="L8352" s="25">
        <v>42263.54553240741</v>
      </c>
      <c r="M8352" s="26" t="s">
        <v>4052</v>
      </c>
      <c r="N8352" s="26" t="s">
        <v>4053</v>
      </c>
      <c r="O8352" s="22" t="str">
        <f>HYPERLINK("https://pbs.twimg.com/profile_images/760662770694098944/h1nSBfE8_normal.jpg","View")</f>
        <v>View</v>
      </c>
      <c r="P8352" s="27"/>
    </row>
    <row r="8353">
      <c r="A8353" s="14">
        <v>43031.78836805555</v>
      </c>
      <c r="B8353" s="20" t="str">
        <f>HYPERLINK("https://twitter.com/rocket_rosie","@rocket_rosie")</f>
        <v>@rocket_rosie</v>
      </c>
      <c r="C8353" s="21" t="s">
        <v>18472</v>
      </c>
      <c r="D8353" s="21" t="s">
        <v>108</v>
      </c>
      <c r="E8353" s="22" t="str">
        <f>HYPERLINK("https://twitter.com/rocket_rosie/status/922642611558670336","922642611558670336")</f>
        <v>922642611558670336</v>
      </c>
      <c r="F8353" s="23" t="s">
        <v>39</v>
      </c>
      <c r="G8353" s="24">
        <v>11005.0</v>
      </c>
      <c r="H8353" s="24">
        <v>11872.0</v>
      </c>
      <c r="I8353" s="24">
        <v>88.0</v>
      </c>
      <c r="J8353" s="24">
        <v>0.0</v>
      </c>
      <c r="K8353" s="23" t="s">
        <v>34</v>
      </c>
      <c r="L8353" s="25">
        <v>41965.45386574074</v>
      </c>
      <c r="M8353" s="26" t="s">
        <v>68</v>
      </c>
      <c r="N8353" s="26" t="s">
        <v>18473</v>
      </c>
      <c r="O8353" s="22" t="str">
        <f>HYPERLINK("https://pbs.twimg.com/profile_images/917897688980606977/r1OzlrjW_normal.jpg","View")</f>
        <v>View</v>
      </c>
      <c r="P8353" s="27"/>
    </row>
    <row r="8354">
      <c r="A8354" s="14">
        <v>43031.78837962963</v>
      </c>
      <c r="B8354" s="20" t="str">
        <f>HYPERLINK("https://twitter.com/LilacsxGirl","@LilacsxGirl")</f>
        <v>@LilacsxGirl</v>
      </c>
      <c r="C8354" s="21" t="s">
        <v>18474</v>
      </c>
      <c r="D8354" s="21" t="s">
        <v>16537</v>
      </c>
      <c r="E8354" s="22" t="str">
        <f>HYPERLINK("https://twitter.com/LilacsxGirl/status/922642617816551427","922642617816551427")</f>
        <v>922642617816551427</v>
      </c>
      <c r="F8354" s="23" t="s">
        <v>39</v>
      </c>
      <c r="G8354" s="24">
        <v>2093.0</v>
      </c>
      <c r="H8354" s="24">
        <v>3157.0</v>
      </c>
      <c r="I8354" s="24">
        <v>242.0</v>
      </c>
      <c r="J8354" s="24">
        <v>0.0</v>
      </c>
      <c r="K8354" s="23" t="s">
        <v>34</v>
      </c>
      <c r="L8354" s="25">
        <v>40339.05159722222</v>
      </c>
      <c r="M8354" s="28"/>
      <c r="N8354" s="26" t="s">
        <v>18475</v>
      </c>
      <c r="O8354" s="22" t="str">
        <f>HYPERLINK("https://pbs.twimg.com/profile_images/816634037838168064/sMSFXMf0_normal.jpg","View")</f>
        <v>View</v>
      </c>
      <c r="P8354" s="27"/>
    </row>
    <row r="8355">
      <c r="A8355" s="14">
        <v>43031.78846064815</v>
      </c>
      <c r="B8355" s="20" t="str">
        <f>HYPERLINK("https://twitter.com/kuunnik88","@kuunnik88")</f>
        <v>@kuunnik88</v>
      </c>
      <c r="C8355" s="21" t="s">
        <v>18476</v>
      </c>
      <c r="D8355" s="21" t="s">
        <v>42</v>
      </c>
      <c r="E8355" s="22" t="str">
        <f>HYPERLINK("https://twitter.com/kuunnik88/status/922642645943386113","922642645943386113")</f>
        <v>922642645943386113</v>
      </c>
      <c r="F8355" s="23" t="s">
        <v>55</v>
      </c>
      <c r="G8355" s="24">
        <v>486.0</v>
      </c>
      <c r="H8355" s="24">
        <v>879.0</v>
      </c>
      <c r="I8355" s="24">
        <v>8501.0</v>
      </c>
      <c r="J8355" s="24">
        <v>0.0</v>
      </c>
      <c r="K8355" s="23" t="s">
        <v>34</v>
      </c>
      <c r="L8355" s="25">
        <v>40179.44238425926</v>
      </c>
      <c r="M8355" s="28"/>
      <c r="N8355" s="26" t="s">
        <v>18477</v>
      </c>
      <c r="O8355" s="22" t="str">
        <f>HYPERLINK("https://pbs.twimg.com/profile_images/605723721/tn_christmascotawp_normal.jpg","View")</f>
        <v>View</v>
      </c>
      <c r="P8355" s="27"/>
    </row>
    <row r="8356">
      <c r="A8356" s="14">
        <v>43031.78848379629</v>
      </c>
      <c r="B8356" s="20" t="str">
        <f>HYPERLINK("https://twitter.com/rocket_rosie","@rocket_rosie")</f>
        <v>@rocket_rosie</v>
      </c>
      <c r="C8356" s="21" t="s">
        <v>18472</v>
      </c>
      <c r="D8356" s="21" t="s">
        <v>760</v>
      </c>
      <c r="E8356" s="22" t="str">
        <f>HYPERLINK("https://twitter.com/rocket_rosie/status/922642653891760128","922642653891760128")</f>
        <v>922642653891760128</v>
      </c>
      <c r="F8356" s="23" t="s">
        <v>39</v>
      </c>
      <c r="G8356" s="24">
        <v>11005.0</v>
      </c>
      <c r="H8356" s="24">
        <v>11872.0</v>
      </c>
      <c r="I8356" s="24">
        <v>62.0</v>
      </c>
      <c r="J8356" s="24">
        <v>0.0</v>
      </c>
      <c r="K8356" s="23" t="s">
        <v>34</v>
      </c>
      <c r="L8356" s="25">
        <v>41965.45386574074</v>
      </c>
      <c r="M8356" s="26" t="s">
        <v>68</v>
      </c>
      <c r="N8356" s="26" t="s">
        <v>18473</v>
      </c>
      <c r="O8356" s="22" t="str">
        <f>HYPERLINK("https://pbs.twimg.com/profile_images/917897688980606977/r1OzlrjW_normal.jpg","View")</f>
        <v>View</v>
      </c>
      <c r="P8356" s="27"/>
    </row>
    <row r="8357">
      <c r="A8357" s="14">
        <v>43031.78863425926</v>
      </c>
      <c r="B8357" s="20" t="str">
        <f>HYPERLINK("https://twitter.com/JeffersonObama","@JeffersonObama")</f>
        <v>@JeffersonObama</v>
      </c>
      <c r="C8357" s="21" t="s">
        <v>18478</v>
      </c>
      <c r="D8357" s="21" t="s">
        <v>3965</v>
      </c>
      <c r="E8357" s="22" t="str">
        <f>HYPERLINK("https://twitter.com/JeffersonObama/status/922642708749082624","922642708749082624")</f>
        <v>922642708749082624</v>
      </c>
      <c r="F8357" s="23" t="s">
        <v>33</v>
      </c>
      <c r="G8357" s="24">
        <v>32070.0</v>
      </c>
      <c r="H8357" s="24">
        <v>9668.0</v>
      </c>
      <c r="I8357" s="24">
        <v>13.0</v>
      </c>
      <c r="J8357" s="24">
        <v>0.0</v>
      </c>
      <c r="K8357" s="23" t="s">
        <v>34</v>
      </c>
      <c r="L8357" s="25">
        <v>39945.63105324074</v>
      </c>
      <c r="M8357" s="26" t="s">
        <v>18479</v>
      </c>
      <c r="N8357" s="26" t="s">
        <v>18480</v>
      </c>
      <c r="O8357" s="22" t="str">
        <f>HYPERLINK("https://pbs.twimg.com/profile_images/866863127236882432/f5cHlxzP_normal.jpg","View")</f>
        <v>View</v>
      </c>
      <c r="P8357" s="27"/>
    </row>
    <row r="8358">
      <c r="A8358" s="14">
        <v>43031.78871527778</v>
      </c>
      <c r="B8358" s="20" t="str">
        <f>HYPERLINK("https://twitter.com/5500Bhupi","@5500Bhupi")</f>
        <v>@5500Bhupi</v>
      </c>
      <c r="C8358" s="21" t="s">
        <v>18481</v>
      </c>
      <c r="D8358" s="21" t="s">
        <v>42</v>
      </c>
      <c r="E8358" s="22" t="str">
        <f>HYPERLINK("https://twitter.com/5500Bhupi/status/922642740843651072","922642740843651072")</f>
        <v>922642740843651072</v>
      </c>
      <c r="F8358" s="23" t="s">
        <v>39</v>
      </c>
      <c r="G8358" s="24">
        <v>62.0</v>
      </c>
      <c r="H8358" s="24">
        <v>162.0</v>
      </c>
      <c r="I8358" s="24">
        <v>8501.0</v>
      </c>
      <c r="J8358" s="24">
        <v>0.0</v>
      </c>
      <c r="K8358" s="23" t="s">
        <v>34</v>
      </c>
      <c r="L8358" s="25">
        <v>41783.130740740744</v>
      </c>
      <c r="M8358" s="28"/>
      <c r="N8358" s="28"/>
      <c r="O8358" s="22" t="str">
        <f>HYPERLINK("https://pbs.twimg.com/profile_images/491597432375873537/tfi-RyLe_normal.jpeg","View")</f>
        <v>View</v>
      </c>
      <c r="P8358" s="27"/>
    </row>
    <row r="8359">
      <c r="A8359" s="14">
        <v>43031.78905092593</v>
      </c>
      <c r="B8359" s="20" t="str">
        <f>HYPERLINK("https://twitter.com/Koandoor","@Koandoor")</f>
        <v>@Koandoor</v>
      </c>
      <c r="C8359" s="21" t="s">
        <v>18482</v>
      </c>
      <c r="D8359" s="21" t="s">
        <v>5963</v>
      </c>
      <c r="E8359" s="22" t="str">
        <f>HYPERLINK("https://twitter.com/Koandoor/status/922642859269881856","922642859269881856")</f>
        <v>922642859269881856</v>
      </c>
      <c r="F8359" s="23" t="s">
        <v>33</v>
      </c>
      <c r="G8359" s="24">
        <v>197.0</v>
      </c>
      <c r="H8359" s="24">
        <v>481.0</v>
      </c>
      <c r="I8359" s="24">
        <v>3.0</v>
      </c>
      <c r="J8359" s="24">
        <v>0.0</v>
      </c>
      <c r="K8359" s="23" t="s">
        <v>34</v>
      </c>
      <c r="L8359" s="25">
        <v>42882.52554398148</v>
      </c>
      <c r="M8359" s="26" t="s">
        <v>18483</v>
      </c>
      <c r="N8359" s="26" t="s">
        <v>18484</v>
      </c>
      <c r="O8359" s="22" t="str">
        <f>HYPERLINK("https://pbs.twimg.com/profile_images/911099822198763520/AJtKvuxV_normal.jpg","View")</f>
        <v>View</v>
      </c>
      <c r="P8359" s="27"/>
    </row>
    <row r="8360">
      <c r="A8360" s="14">
        <v>43031.78940972222</v>
      </c>
      <c r="B8360" s="20" t="str">
        <f>HYPERLINK("https://twitter.com/RubyJoseph1","@RubyJoseph1")</f>
        <v>@RubyJoseph1</v>
      </c>
      <c r="C8360" s="21" t="s">
        <v>18485</v>
      </c>
      <c r="D8360" s="21" t="s">
        <v>42</v>
      </c>
      <c r="E8360" s="22" t="str">
        <f>HYPERLINK("https://twitter.com/RubyJoseph1/status/922642990727868422","922642990727868422")</f>
        <v>922642990727868422</v>
      </c>
      <c r="F8360" s="23" t="s">
        <v>86</v>
      </c>
      <c r="G8360" s="24">
        <v>502.0</v>
      </c>
      <c r="H8360" s="24">
        <v>1226.0</v>
      </c>
      <c r="I8360" s="24">
        <v>8501.0</v>
      </c>
      <c r="J8360" s="24">
        <v>0.0</v>
      </c>
      <c r="K8360" s="23" t="s">
        <v>34</v>
      </c>
      <c r="L8360" s="25">
        <v>40892.02365740741</v>
      </c>
      <c r="M8360" s="26" t="s">
        <v>18486</v>
      </c>
      <c r="N8360" s="28"/>
      <c r="O8360" s="22" t="str">
        <f>HYPERLINK("https://pbs.twimg.com/profile_images/504646460344791040/KWzQe2wt_normal.jpeg","View")</f>
        <v>View</v>
      </c>
      <c r="P8360" s="27"/>
    </row>
    <row r="8361">
      <c r="A8361" s="14">
        <v>43031.789606481485</v>
      </c>
      <c r="B8361" s="20" t="str">
        <f>HYPERLINK("https://twitter.com/Ibzdibz","@Ibzdibz")</f>
        <v>@Ibzdibz</v>
      </c>
      <c r="C8361" s="21" t="s">
        <v>18487</v>
      </c>
      <c r="D8361" s="21" t="s">
        <v>2595</v>
      </c>
      <c r="E8361" s="22" t="str">
        <f>HYPERLINK("https://twitter.com/Ibzdibz/status/922643063868153856","922643063868153856")</f>
        <v>922643063868153856</v>
      </c>
      <c r="F8361" s="23" t="s">
        <v>39</v>
      </c>
      <c r="G8361" s="24">
        <v>66.0</v>
      </c>
      <c r="H8361" s="24">
        <v>171.0</v>
      </c>
      <c r="I8361" s="24">
        <v>170.0</v>
      </c>
      <c r="J8361" s="24">
        <v>0.0</v>
      </c>
      <c r="K8361" s="23" t="s">
        <v>34</v>
      </c>
      <c r="L8361" s="25">
        <v>42400.673113425924</v>
      </c>
      <c r="M8361" s="26" t="s">
        <v>18488</v>
      </c>
      <c r="N8361" s="26" t="s">
        <v>18489</v>
      </c>
      <c r="O8361" s="22" t="str">
        <f>HYPERLINK("https://pbs.twimg.com/profile_images/828216598666297345/f0MX5cLU_normal.jpg","View")</f>
        <v>View</v>
      </c>
      <c r="P8361" s="27"/>
    </row>
    <row r="8362">
      <c r="A8362" s="14">
        <v>43031.79005787037</v>
      </c>
      <c r="B8362" s="20" t="str">
        <f>HYPERLINK("https://twitter.com/mohakgoel","@mohakgoel")</f>
        <v>@mohakgoel</v>
      </c>
      <c r="C8362" s="21" t="s">
        <v>18490</v>
      </c>
      <c r="D8362" s="21" t="s">
        <v>42</v>
      </c>
      <c r="E8362" s="22" t="str">
        <f>HYPERLINK("https://twitter.com/mohakgoel/status/922643227546652672","922643227546652672")</f>
        <v>922643227546652672</v>
      </c>
      <c r="F8362" s="23" t="s">
        <v>39</v>
      </c>
      <c r="G8362" s="24">
        <v>92.0</v>
      </c>
      <c r="H8362" s="24">
        <v>215.0</v>
      </c>
      <c r="I8362" s="24">
        <v>8501.0</v>
      </c>
      <c r="J8362" s="24">
        <v>0.0</v>
      </c>
      <c r="K8362" s="23" t="s">
        <v>34</v>
      </c>
      <c r="L8362" s="25">
        <v>40352.89085648148</v>
      </c>
      <c r="M8362" s="28"/>
      <c r="N8362" s="28"/>
      <c r="O8362" s="22" t="str">
        <f>HYPERLINK("https://pbs.twimg.com/profile_images/817992039811792896/nK7PW3ZP_normal.jpg","View")</f>
        <v>View</v>
      </c>
      <c r="P8362" s="27"/>
    </row>
    <row r="8363">
      <c r="A8363" s="14">
        <v>43031.79019675926</v>
      </c>
      <c r="B8363" s="20" t="str">
        <f>HYPERLINK("https://twitter.com/ShareswatchOz","@ShareswatchOz")</f>
        <v>@ShareswatchOz</v>
      </c>
      <c r="C8363" s="29" t="s">
        <v>18491</v>
      </c>
      <c r="D8363" s="21" t="s">
        <v>18492</v>
      </c>
      <c r="E8363" s="22" t="str">
        <f>HYPERLINK("https://twitter.com/ShareswatchOz/status/922643274598252544","922643274598252544")</f>
        <v>922643274598252544</v>
      </c>
      <c r="F8363" s="23" t="s">
        <v>55</v>
      </c>
      <c r="G8363" s="24">
        <v>719.0</v>
      </c>
      <c r="H8363" s="24">
        <v>168.0</v>
      </c>
      <c r="I8363" s="24">
        <v>0.0</v>
      </c>
      <c r="J8363" s="24">
        <v>0.0</v>
      </c>
      <c r="K8363" s="23" t="s">
        <v>34</v>
      </c>
      <c r="L8363" s="25">
        <v>40035.722974537035</v>
      </c>
      <c r="M8363" s="26" t="s">
        <v>3011</v>
      </c>
      <c r="N8363" s="26" t="s">
        <v>18493</v>
      </c>
      <c r="O8363" s="22" t="str">
        <f>HYPERLINK("https://pbs.twimg.com/profile_images/3646870927/0ea16dbc02cd9651ea5938d744a64255_normal.jpeg","View")</f>
        <v>View</v>
      </c>
      <c r="P8363" s="27"/>
    </row>
    <row r="8364">
      <c r="A8364" s="14">
        <v>43031.790231481486</v>
      </c>
      <c r="B8364" s="20" t="str">
        <f>HYPERLINK("https://twitter.com/ajaydevgan007","@ajaydevgan007")</f>
        <v>@ajaydevgan007</v>
      </c>
      <c r="C8364" s="21" t="s">
        <v>18494</v>
      </c>
      <c r="D8364" s="21" t="s">
        <v>42</v>
      </c>
      <c r="E8364" s="22" t="str">
        <f>HYPERLINK("https://twitter.com/ajaydevgan007/status/922643289802756096","922643289802756096")</f>
        <v>922643289802756096</v>
      </c>
      <c r="F8364" s="23" t="s">
        <v>33</v>
      </c>
      <c r="G8364" s="24">
        <v>71.0</v>
      </c>
      <c r="H8364" s="24">
        <v>107.0</v>
      </c>
      <c r="I8364" s="24">
        <v>8501.0</v>
      </c>
      <c r="J8364" s="24">
        <v>0.0</v>
      </c>
      <c r="K8364" s="23" t="s">
        <v>34</v>
      </c>
      <c r="L8364" s="25">
        <v>42979.13936342593</v>
      </c>
      <c r="M8364" s="26" t="s">
        <v>246</v>
      </c>
      <c r="N8364" s="26" t="s">
        <v>18495</v>
      </c>
      <c r="O8364" s="22" t="str">
        <f>HYPERLINK("https://pbs.twimg.com/profile_images/921574393528111104/5mykXycf_normal.jpg","View")</f>
        <v>View</v>
      </c>
      <c r="P8364" s="27"/>
    </row>
    <row r="8365">
      <c r="A8365" s="14">
        <v>43031.79038194445</v>
      </c>
      <c r="B8365" s="20" t="str">
        <f>HYPERLINK("https://twitter.com/rocket_rosie","@rocket_rosie")</f>
        <v>@rocket_rosie</v>
      </c>
      <c r="C8365" s="21" t="s">
        <v>18472</v>
      </c>
      <c r="D8365" s="21" t="s">
        <v>2157</v>
      </c>
      <c r="E8365" s="22" t="str">
        <f>HYPERLINK("https://twitter.com/rocket_rosie/status/922643343418515458","922643343418515458")</f>
        <v>922643343418515458</v>
      </c>
      <c r="F8365" s="23" t="s">
        <v>39</v>
      </c>
      <c r="G8365" s="24">
        <v>11005.0</v>
      </c>
      <c r="H8365" s="24">
        <v>11872.0</v>
      </c>
      <c r="I8365" s="24">
        <v>12.0</v>
      </c>
      <c r="J8365" s="24">
        <v>0.0</v>
      </c>
      <c r="K8365" s="23" t="s">
        <v>34</v>
      </c>
      <c r="L8365" s="25">
        <v>41965.45386574074</v>
      </c>
      <c r="M8365" s="26" t="s">
        <v>68</v>
      </c>
      <c r="N8365" s="26" t="s">
        <v>18473</v>
      </c>
      <c r="O8365" s="22" t="str">
        <f>HYPERLINK("https://pbs.twimg.com/profile_images/917897688980606977/r1OzlrjW_normal.jpg","View")</f>
        <v>View</v>
      </c>
      <c r="P8365" s="27"/>
    </row>
    <row r="8366">
      <c r="A8366" s="14">
        <v>43031.790601851855</v>
      </c>
      <c r="B8366" s="20" t="str">
        <f>HYPERLINK("https://twitter.com/gloriaminott","@gloriaminott")</f>
        <v>@gloriaminott</v>
      </c>
      <c r="C8366" s="21" t="s">
        <v>18496</v>
      </c>
      <c r="D8366" s="21" t="s">
        <v>3965</v>
      </c>
      <c r="E8366" s="22" t="str">
        <f>HYPERLINK("https://twitter.com/gloriaminott/status/922643422946742272","922643422946742272")</f>
        <v>922643422946742272</v>
      </c>
      <c r="F8366" s="23" t="s">
        <v>39</v>
      </c>
      <c r="G8366" s="24">
        <v>672.0</v>
      </c>
      <c r="H8366" s="24">
        <v>240.0</v>
      </c>
      <c r="I8366" s="24">
        <v>13.0</v>
      </c>
      <c r="J8366" s="24">
        <v>0.0</v>
      </c>
      <c r="K8366" s="23" t="s">
        <v>34</v>
      </c>
      <c r="L8366" s="25">
        <v>41748.211018518516</v>
      </c>
      <c r="M8366" s="26" t="s">
        <v>4239</v>
      </c>
      <c r="N8366" s="26" t="s">
        <v>18497</v>
      </c>
      <c r="O8366" s="22" t="str">
        <f>HYPERLINK("https://pbs.twimg.com/profile_images/457497550438678528/M3VM3sE6_normal.png","View")</f>
        <v>View</v>
      </c>
      <c r="P8366" s="27"/>
    </row>
    <row r="8367">
      <c r="A8367" s="14">
        <v>43031.79063657408</v>
      </c>
      <c r="B8367" s="20" t="str">
        <f>HYPERLINK("https://twitter.com/gary_jmp","@gary_jmp")</f>
        <v>@gary_jmp</v>
      </c>
      <c r="C8367" s="21" t="s">
        <v>18498</v>
      </c>
      <c r="D8367" s="21" t="s">
        <v>42</v>
      </c>
      <c r="E8367" s="22" t="str">
        <f>HYPERLINK("https://twitter.com/gary_jmp/status/922643436930457600","922643436930457600")</f>
        <v>922643436930457600</v>
      </c>
      <c r="F8367" s="23" t="s">
        <v>39</v>
      </c>
      <c r="G8367" s="24">
        <v>21.0</v>
      </c>
      <c r="H8367" s="24">
        <v>113.0</v>
      </c>
      <c r="I8367" s="24">
        <v>8501.0</v>
      </c>
      <c r="J8367" s="24">
        <v>0.0</v>
      </c>
      <c r="K8367" s="23" t="s">
        <v>34</v>
      </c>
      <c r="L8367" s="25">
        <v>42699.827060185184</v>
      </c>
      <c r="M8367" s="26" t="s">
        <v>14072</v>
      </c>
      <c r="N8367" s="26" t="s">
        <v>18499</v>
      </c>
      <c r="O8367" s="22" t="str">
        <f>HYPERLINK("https://pbs.twimg.com/profile_images/915211342620979200/MFVvRf-J_normal.jpg","View")</f>
        <v>View</v>
      </c>
      <c r="P8367" s="27"/>
    </row>
    <row r="8368">
      <c r="A8368" s="14">
        <v>43031.7908912037</v>
      </c>
      <c r="B8368" s="20" t="str">
        <f>HYPERLINK("https://twitter.com/rajattwittes","@rajattwittes")</f>
        <v>@rajattwittes</v>
      </c>
      <c r="C8368" s="21" t="s">
        <v>18500</v>
      </c>
      <c r="D8368" s="21" t="s">
        <v>42</v>
      </c>
      <c r="E8368" s="22" t="str">
        <f>HYPERLINK("https://twitter.com/rajattwittes/status/922643526168453120","922643526168453120")</f>
        <v>922643526168453120</v>
      </c>
      <c r="F8368" s="23" t="s">
        <v>33</v>
      </c>
      <c r="G8368" s="24">
        <v>3571.0</v>
      </c>
      <c r="H8368" s="24">
        <v>1399.0</v>
      </c>
      <c r="I8368" s="24">
        <v>8501.0</v>
      </c>
      <c r="J8368" s="24">
        <v>0.0</v>
      </c>
      <c r="K8368" s="23" t="s">
        <v>34</v>
      </c>
      <c r="L8368" s="25">
        <v>40560.01263888889</v>
      </c>
      <c r="M8368" s="26" t="s">
        <v>204</v>
      </c>
      <c r="N8368" s="26" t="s">
        <v>18501</v>
      </c>
      <c r="O8368" s="22" t="str">
        <f>HYPERLINK("https://pbs.twimg.com/profile_images/543689817435828224/Z5-XQu1Q_normal.jpeg","View")</f>
        <v>View</v>
      </c>
      <c r="P8368" s="27"/>
    </row>
    <row r="8369">
      <c r="A8369" s="14">
        <v>43031.79100694445</v>
      </c>
      <c r="B8369" s="20" t="str">
        <f>HYPERLINK("https://twitter.com/BloombergTV","@BloombergTV")</f>
        <v>@BloombergTV</v>
      </c>
      <c r="C8369" s="21" t="s">
        <v>1723</v>
      </c>
      <c r="D8369" s="21" t="s">
        <v>4244</v>
      </c>
      <c r="E8369" s="22" t="str">
        <f>HYPERLINK("https://twitter.com/BloombergTV/status/922643569113956354","922643569113956354")</f>
        <v>922643569113956354</v>
      </c>
      <c r="F8369" s="23" t="s">
        <v>1103</v>
      </c>
      <c r="G8369" s="24">
        <v>452742.0</v>
      </c>
      <c r="H8369" s="24">
        <v>458.0</v>
      </c>
      <c r="I8369" s="24">
        <v>2.0</v>
      </c>
      <c r="J8369" s="24">
        <v>1.0</v>
      </c>
      <c r="K8369" s="23" t="s">
        <v>34</v>
      </c>
      <c r="L8369" s="25">
        <v>39927.48997685185</v>
      </c>
      <c r="M8369" s="26" t="s">
        <v>389</v>
      </c>
      <c r="N8369" s="26" t="s">
        <v>1725</v>
      </c>
      <c r="O8369" s="22" t="str">
        <f>HYPERLINK("https://pbs.twimg.com/profile_images/714801760632770560/7My2hMBt_normal.jpg","View")</f>
        <v>View</v>
      </c>
      <c r="P8369" s="27"/>
    </row>
    <row r="8370">
      <c r="A8370" s="14">
        <v>43031.79115740741</v>
      </c>
      <c r="B8370" s="20" t="str">
        <f>HYPERLINK("https://twitter.com/serge_poznanski","@serge_poznanski")</f>
        <v>@serge_poznanski</v>
      </c>
      <c r="C8370" s="21" t="s">
        <v>2763</v>
      </c>
      <c r="D8370" s="21" t="s">
        <v>4022</v>
      </c>
      <c r="E8370" s="22" t="str">
        <f>HYPERLINK("https://twitter.com/serge_poznanski/status/922643622792712193","922643622792712193")</f>
        <v>922643622792712193</v>
      </c>
      <c r="F8370" s="23" t="s">
        <v>187</v>
      </c>
      <c r="G8370" s="24">
        <v>1438.0</v>
      </c>
      <c r="H8370" s="24">
        <v>2138.0</v>
      </c>
      <c r="I8370" s="24">
        <v>0.0</v>
      </c>
      <c r="J8370" s="24">
        <v>0.0</v>
      </c>
      <c r="K8370" s="23" t="s">
        <v>34</v>
      </c>
      <c r="L8370" s="25">
        <v>42271.47445601852</v>
      </c>
      <c r="M8370" s="28"/>
      <c r="N8370" s="28"/>
      <c r="O8370" s="22" t="str">
        <f>HYPERLINK("https://pbs.twimg.com/profile_images/647277253240291328/3GezjFCJ_normal.jpg","View")</f>
        <v>View</v>
      </c>
      <c r="P8370" s="27"/>
    </row>
    <row r="8371">
      <c r="A8371" s="14">
        <v>43031.79115740741</v>
      </c>
      <c r="B8371" s="20" t="str">
        <f>HYPERLINK("https://twitter.com/Hindutva_SSR","@Hindutva_SSR")</f>
        <v>@Hindutva_SSR</v>
      </c>
      <c r="C8371" s="21" t="s">
        <v>18502</v>
      </c>
      <c r="D8371" s="21" t="s">
        <v>42</v>
      </c>
      <c r="E8371" s="22" t="str">
        <f>HYPERLINK("https://twitter.com/Hindutva_SSR/status/922643624386371584","922643624386371584")</f>
        <v>922643624386371584</v>
      </c>
      <c r="F8371" s="23" t="s">
        <v>33</v>
      </c>
      <c r="G8371" s="24">
        <v>322.0</v>
      </c>
      <c r="H8371" s="24">
        <v>419.0</v>
      </c>
      <c r="I8371" s="24">
        <v>8501.0</v>
      </c>
      <c r="J8371" s="24">
        <v>0.0</v>
      </c>
      <c r="K8371" s="23" t="s">
        <v>34</v>
      </c>
      <c r="L8371" s="25">
        <v>40319.147511574076</v>
      </c>
      <c r="M8371" s="26" t="s">
        <v>18503</v>
      </c>
      <c r="N8371" s="26" t="s">
        <v>18504</v>
      </c>
      <c r="O8371" s="22" t="str">
        <f>HYPERLINK("https://pbs.twimg.com/profile_images/797055231318077440/ljOjT4pL_normal.jpg","View")</f>
        <v>View</v>
      </c>
      <c r="P8371" s="27"/>
    </row>
    <row r="8372">
      <c r="A8372" s="14">
        <v>43031.79131944444</v>
      </c>
      <c r="B8372" s="20" t="str">
        <f>HYPERLINK("https://twitter.com/bdnews24","@bdnews24")</f>
        <v>@bdnews24</v>
      </c>
      <c r="C8372" s="21" t="s">
        <v>831</v>
      </c>
      <c r="D8372" s="21" t="s">
        <v>18505</v>
      </c>
      <c r="E8372" s="22" t="str">
        <f>HYPERLINK("https://twitter.com/bdnews24/status/922643683144556544","922643683144556544")</f>
        <v>922643683144556544</v>
      </c>
      <c r="F8372" s="23" t="s">
        <v>187</v>
      </c>
      <c r="G8372" s="24">
        <v>215300.0</v>
      </c>
      <c r="H8372" s="24">
        <v>67843.0</v>
      </c>
      <c r="I8372" s="24">
        <v>0.0</v>
      </c>
      <c r="J8372" s="24">
        <v>1.0</v>
      </c>
      <c r="K8372" s="23" t="s">
        <v>34</v>
      </c>
      <c r="L8372" s="25">
        <v>39844.468043981484</v>
      </c>
      <c r="M8372" s="26" t="s">
        <v>833</v>
      </c>
      <c r="N8372" s="26" t="s">
        <v>834</v>
      </c>
      <c r="O8372" s="22" t="str">
        <f>HYPERLINK("https://pbs.twimg.com/profile_images/718433521509994497/4iW9RC_r_normal.jpg","View")</f>
        <v>View</v>
      </c>
      <c r="P8372" s="27"/>
    </row>
    <row r="8373">
      <c r="A8373" s="14">
        <v>43031.79170138889</v>
      </c>
      <c r="B8373" s="20" t="str">
        <f>HYPERLINK("https://twitter.com/bpolitics","@bpolitics")</f>
        <v>@bpolitics</v>
      </c>
      <c r="C8373" s="21" t="s">
        <v>3445</v>
      </c>
      <c r="D8373" s="21" t="s">
        <v>18506</v>
      </c>
      <c r="E8373" s="22" t="str">
        <f>HYPERLINK("https://twitter.com/bpolitics/status/922643819044200448","922643819044200448")</f>
        <v>922643819044200448</v>
      </c>
      <c r="F8373" s="23" t="s">
        <v>1103</v>
      </c>
      <c r="G8373" s="24">
        <v>221050.0</v>
      </c>
      <c r="H8373" s="24">
        <v>865.0</v>
      </c>
      <c r="I8373" s="24">
        <v>1.0</v>
      </c>
      <c r="J8373" s="24">
        <v>0.0</v>
      </c>
      <c r="K8373" s="23" t="s">
        <v>34</v>
      </c>
      <c r="L8373" s="25">
        <v>41025.57640046296</v>
      </c>
      <c r="M8373" s="28"/>
      <c r="N8373" s="26" t="s">
        <v>3447</v>
      </c>
      <c r="O8373" s="22" t="str">
        <f>HYPERLINK("https://pbs.twimg.com/profile_images/714804098890133504/cUO4gD1A_normal.jpg","View")</f>
        <v>View</v>
      </c>
      <c r="P8373" s="27"/>
    </row>
    <row r="8374">
      <c r="A8374" s="14">
        <v>43031.79175925926</v>
      </c>
      <c r="B8374" s="20" t="str">
        <f>HYPERLINK("https://twitter.com/Michael_0000","@Michael_0000")</f>
        <v>@Michael_0000</v>
      </c>
      <c r="C8374" s="21" t="s">
        <v>18507</v>
      </c>
      <c r="D8374" s="21" t="s">
        <v>18508</v>
      </c>
      <c r="E8374" s="22" t="str">
        <f>HYPERLINK("https://twitter.com/Michael_0000/status/922643840804294656","922643840804294656")</f>
        <v>922643840804294656</v>
      </c>
      <c r="F8374" s="23" t="s">
        <v>18509</v>
      </c>
      <c r="G8374" s="24">
        <v>1193478.0</v>
      </c>
      <c r="H8374" s="24">
        <v>13287.0</v>
      </c>
      <c r="I8374" s="24">
        <v>0.0</v>
      </c>
      <c r="J8374" s="24">
        <v>0.0</v>
      </c>
      <c r="K8374" s="23" t="s">
        <v>34</v>
      </c>
      <c r="L8374" s="25">
        <v>39860.257152777776</v>
      </c>
      <c r="M8374" s="26" t="s">
        <v>905</v>
      </c>
      <c r="N8374" s="26" t="s">
        <v>18510</v>
      </c>
      <c r="O8374" s="22" t="str">
        <f>HYPERLINK("https://pbs.twimg.com/profile_images/785144934793752576/9gy2ip3U_normal.jpg","View")</f>
        <v>View</v>
      </c>
      <c r="P8374" s="27"/>
    </row>
    <row r="8375">
      <c r="A8375" s="14">
        <v>43031.79199074074</v>
      </c>
      <c r="B8375" s="20" t="str">
        <f>HYPERLINK("https://twitter.com/uskdh","@uskdh")</f>
        <v>@uskdh</v>
      </c>
      <c r="C8375" s="21" t="s">
        <v>18511</v>
      </c>
      <c r="D8375" s="21" t="s">
        <v>1642</v>
      </c>
      <c r="E8375" s="22" t="str">
        <f>HYPERLINK("https://twitter.com/uskdh/status/922643924023250944","922643924023250944")</f>
        <v>922643924023250944</v>
      </c>
      <c r="F8375" s="23" t="s">
        <v>39</v>
      </c>
      <c r="G8375" s="24">
        <v>366.0</v>
      </c>
      <c r="H8375" s="24">
        <v>539.0</v>
      </c>
      <c r="I8375" s="24">
        <v>199.0</v>
      </c>
      <c r="J8375" s="24">
        <v>0.0</v>
      </c>
      <c r="K8375" s="23" t="s">
        <v>34</v>
      </c>
      <c r="L8375" s="25">
        <v>40163.56081018518</v>
      </c>
      <c r="M8375" s="26" t="s">
        <v>18512</v>
      </c>
      <c r="N8375" s="28"/>
      <c r="O8375" s="22" t="str">
        <f>HYPERLINK("https://pbs.twimg.com/profile_images/861751255/uskdh_normal.jpg","View")</f>
        <v>View</v>
      </c>
      <c r="P8375" s="27"/>
    </row>
    <row r="8376">
      <c r="A8376" s="14">
        <v>43031.792025462964</v>
      </c>
      <c r="B8376" s="20" t="str">
        <f>HYPERLINK("https://twitter.com/MariuSuarez","@MariuSuarez")</f>
        <v>@MariuSuarez</v>
      </c>
      <c r="C8376" s="21" t="s">
        <v>18513</v>
      </c>
      <c r="D8376" s="21" t="s">
        <v>18514</v>
      </c>
      <c r="E8376" s="22" t="str">
        <f>HYPERLINK("https://twitter.com/MariuSuarez/status/922643940473561093","922643940473561093")</f>
        <v>922643940473561093</v>
      </c>
      <c r="F8376" s="23" t="s">
        <v>55</v>
      </c>
      <c r="G8376" s="24">
        <v>456.0</v>
      </c>
      <c r="H8376" s="24">
        <v>912.0</v>
      </c>
      <c r="I8376" s="24">
        <v>0.0</v>
      </c>
      <c r="J8376" s="24">
        <v>0.0</v>
      </c>
      <c r="K8376" s="23" t="s">
        <v>34</v>
      </c>
      <c r="L8376" s="25">
        <v>40185.53101851852</v>
      </c>
      <c r="M8376" s="28"/>
      <c r="N8376" s="26" t="s">
        <v>18515</v>
      </c>
      <c r="O8376" s="22" t="str">
        <f>HYPERLINK("https://pbs.twimg.com/profile_images/616656479/mariu_suarez_separaterealities_normal.jpg","View")</f>
        <v>View</v>
      </c>
      <c r="P8376" s="27"/>
    </row>
    <row r="8377">
      <c r="A8377" s="14">
        <v>43031.79215277778</v>
      </c>
      <c r="B8377" s="20" t="str">
        <f>HYPERLINK("https://twitter.com/mwesmakVsjesuS","@mwesmakVsjesuS")</f>
        <v>@mwesmakVsjesuS</v>
      </c>
      <c r="C8377" s="21" t="s">
        <v>18516</v>
      </c>
      <c r="D8377" s="21" t="s">
        <v>4291</v>
      </c>
      <c r="E8377" s="22" t="str">
        <f>HYPERLINK("https://twitter.com/mwesmakVsjesuS/status/922643985801334784","922643985801334784")</f>
        <v>922643985801334784</v>
      </c>
      <c r="F8377" s="23" t="s">
        <v>39</v>
      </c>
      <c r="G8377" s="24">
        <v>336.0</v>
      </c>
      <c r="H8377" s="24">
        <v>1813.0</v>
      </c>
      <c r="I8377" s="24">
        <v>2.0</v>
      </c>
      <c r="J8377" s="24">
        <v>0.0</v>
      </c>
      <c r="K8377" s="23" t="s">
        <v>34</v>
      </c>
      <c r="L8377" s="25">
        <v>42486.51185185185</v>
      </c>
      <c r="M8377" s="26" t="s">
        <v>18517</v>
      </c>
      <c r="N8377" s="26" t="s">
        <v>18518</v>
      </c>
      <c r="O8377" s="22" t="str">
        <f>HYPERLINK("https://pbs.twimg.com/profile_images/921369830128783360/n7IgXIH__normal.jpg","View")</f>
        <v>View</v>
      </c>
      <c r="P8377" s="27"/>
    </row>
    <row r="8378">
      <c r="A8378" s="14">
        <v>43031.792395833334</v>
      </c>
      <c r="B8378" s="20" t="str">
        <f>HYPERLINK("https://twitter.com/PegGinger","@PegGinger")</f>
        <v>@PegGinger</v>
      </c>
      <c r="C8378" s="21" t="s">
        <v>18519</v>
      </c>
      <c r="D8378" s="21" t="s">
        <v>8291</v>
      </c>
      <c r="E8378" s="22" t="str">
        <f>HYPERLINK("https://twitter.com/PegGinger/status/922644071264464896","922644071264464896")</f>
        <v>922644071264464896</v>
      </c>
      <c r="F8378" s="23" t="s">
        <v>33</v>
      </c>
      <c r="G8378" s="24">
        <v>402.0</v>
      </c>
      <c r="H8378" s="24">
        <v>1797.0</v>
      </c>
      <c r="I8378" s="24">
        <v>135.0</v>
      </c>
      <c r="J8378" s="24">
        <v>0.0</v>
      </c>
      <c r="K8378" s="23" t="s">
        <v>34</v>
      </c>
      <c r="L8378" s="25">
        <v>41013.936631944445</v>
      </c>
      <c r="M8378" s="26" t="s">
        <v>18520</v>
      </c>
      <c r="N8378" s="26" t="s">
        <v>18521</v>
      </c>
      <c r="O8378" s="22" t="str">
        <f>HYPERLINK("https://pbs.twimg.com/profile_images/843566265562206208/JyOnfXZI_normal.jpg","View")</f>
        <v>View</v>
      </c>
      <c r="P8378" s="27"/>
    </row>
    <row r="8379">
      <c r="A8379" s="14">
        <v>43031.79277777778</v>
      </c>
      <c r="B8379" s="20" t="str">
        <f>HYPERLINK("https://twitter.com/binod76","@binod76")</f>
        <v>@binod76</v>
      </c>
      <c r="C8379" s="21" t="s">
        <v>18522</v>
      </c>
      <c r="D8379" s="21" t="s">
        <v>42</v>
      </c>
      <c r="E8379" s="22" t="str">
        <f>HYPERLINK("https://twitter.com/binod76/status/922644211521896448","922644211521896448")</f>
        <v>922644211521896448</v>
      </c>
      <c r="F8379" s="23" t="s">
        <v>33</v>
      </c>
      <c r="G8379" s="24">
        <v>764.0</v>
      </c>
      <c r="H8379" s="24">
        <v>170.0</v>
      </c>
      <c r="I8379" s="24">
        <v>8501.0</v>
      </c>
      <c r="J8379" s="24">
        <v>0.0</v>
      </c>
      <c r="K8379" s="23" t="s">
        <v>34</v>
      </c>
      <c r="L8379" s="25">
        <v>40279.06997685185</v>
      </c>
      <c r="M8379" s="26" t="s">
        <v>18523</v>
      </c>
      <c r="N8379" s="26" t="s">
        <v>18524</v>
      </c>
      <c r="O8379" s="22" t="str">
        <f>HYPERLINK("https://pbs.twimg.com/profile_images/792645517545181184/6LsNc__j_normal.jpg","View")</f>
        <v>View</v>
      </c>
      <c r="P8379" s="27"/>
    </row>
    <row r="8380">
      <c r="A8380" s="14">
        <v>43031.793020833335</v>
      </c>
      <c r="B8380" s="20" t="str">
        <f>HYPERLINK("https://twitter.com/ShirotriaGourav","@ShirotriaGourav")</f>
        <v>@ShirotriaGourav</v>
      </c>
      <c r="C8380" s="21" t="s">
        <v>18525</v>
      </c>
      <c r="D8380" s="21" t="s">
        <v>42</v>
      </c>
      <c r="E8380" s="22" t="str">
        <f>HYPERLINK("https://twitter.com/ShirotriaGourav/status/922644300462112768","922644300462112768")</f>
        <v>922644300462112768</v>
      </c>
      <c r="F8380" s="23" t="s">
        <v>39</v>
      </c>
      <c r="G8380" s="24">
        <v>3.0</v>
      </c>
      <c r="H8380" s="24">
        <v>10.0</v>
      </c>
      <c r="I8380" s="24">
        <v>8501.0</v>
      </c>
      <c r="J8380" s="24">
        <v>0.0</v>
      </c>
      <c r="K8380" s="23" t="s">
        <v>34</v>
      </c>
      <c r="L8380" s="25">
        <v>42816.13726851852</v>
      </c>
      <c r="M8380" s="26" t="s">
        <v>204</v>
      </c>
      <c r="N8380" s="26" t="s">
        <v>18526</v>
      </c>
      <c r="O8380" s="22" t="str">
        <f>HYPERLINK("https://pbs.twimg.com/profile_images/922645717788672000/2JgLhS4a_normal.jpg","View")</f>
        <v>View</v>
      </c>
      <c r="P8380" s="27"/>
    </row>
    <row r="8381">
      <c r="A8381" s="14">
        <v>43031.79304398148</v>
      </c>
      <c r="B8381" s="20" t="str">
        <f>HYPERLINK("https://twitter.com/KumaraVaani","@KumaraVaani")</f>
        <v>@KumaraVaani</v>
      </c>
      <c r="C8381" s="21" t="s">
        <v>7337</v>
      </c>
      <c r="D8381" s="21" t="s">
        <v>163</v>
      </c>
      <c r="E8381" s="22" t="str">
        <f>HYPERLINK("https://twitter.com/KumaraVaani/status/922644305809780737","922644305809780737")</f>
        <v>922644305809780737</v>
      </c>
      <c r="F8381" s="23" t="s">
        <v>33</v>
      </c>
      <c r="G8381" s="24">
        <v>229.0</v>
      </c>
      <c r="H8381" s="24">
        <v>8.0</v>
      </c>
      <c r="I8381" s="24">
        <v>1005.0</v>
      </c>
      <c r="J8381" s="24">
        <v>0.0</v>
      </c>
      <c r="K8381" s="23" t="s">
        <v>34</v>
      </c>
      <c r="L8381" s="25">
        <v>40132.33152777778</v>
      </c>
      <c r="M8381" s="28"/>
      <c r="N8381" s="26" t="s">
        <v>7338</v>
      </c>
      <c r="O8381" s="22" t="str">
        <f>HYPERLINK("https://pbs.twimg.com/profile_images/706812897737834496/KBxFvRhr_normal.jpg","View")</f>
        <v>View</v>
      </c>
      <c r="P8381" s="27"/>
    </row>
    <row r="8382">
      <c r="A8382" s="14">
        <v>43031.79305555555</v>
      </c>
      <c r="B8382" s="20" t="str">
        <f>HYPERLINK("https://twitter.com/lawfullylisa","@lawfullylisa")</f>
        <v>@lawfullylisa</v>
      </c>
      <c r="C8382" s="21" t="s">
        <v>18527</v>
      </c>
      <c r="D8382" s="21" t="s">
        <v>18528</v>
      </c>
      <c r="E8382" s="22" t="str">
        <f>HYPERLINK("https://twitter.com/lawfullylisa/status/922644313745641473","922644313745641473")</f>
        <v>922644313745641473</v>
      </c>
      <c r="F8382" s="23" t="s">
        <v>4619</v>
      </c>
      <c r="G8382" s="24">
        <v>302.0</v>
      </c>
      <c r="H8382" s="24">
        <v>659.0</v>
      </c>
      <c r="I8382" s="24">
        <v>0.0</v>
      </c>
      <c r="J8382" s="24">
        <v>0.0</v>
      </c>
      <c r="K8382" s="23" t="s">
        <v>34</v>
      </c>
      <c r="L8382" s="25">
        <v>42401.95878472222</v>
      </c>
      <c r="M8382" s="26" t="s">
        <v>1224</v>
      </c>
      <c r="N8382" s="26" t="s">
        <v>18529</v>
      </c>
      <c r="O8382" s="22" t="str">
        <f>HYPERLINK("https://pbs.twimg.com/profile_images/843492948511617025/3HJDoyeN_normal.jpg","View")</f>
        <v>View</v>
      </c>
      <c r="P8382" s="27"/>
    </row>
    <row r="8383">
      <c r="A8383" s="14">
        <v>43031.79353009259</v>
      </c>
      <c r="B8383" s="20" t="str">
        <f>HYPERLINK("https://twitter.com/HectorDuathlon1","@HectorDuathlon1")</f>
        <v>@HectorDuathlon1</v>
      </c>
      <c r="C8383" s="21" t="s">
        <v>18530</v>
      </c>
      <c r="D8383" s="21" t="s">
        <v>3965</v>
      </c>
      <c r="E8383" s="22" t="str">
        <f>HYPERLINK("https://twitter.com/HectorDuathlon1/status/922644482151145472","922644482151145472")</f>
        <v>922644482151145472</v>
      </c>
      <c r="F8383" s="23" t="s">
        <v>43</v>
      </c>
      <c r="G8383" s="24">
        <v>4669.0</v>
      </c>
      <c r="H8383" s="24">
        <v>4152.0</v>
      </c>
      <c r="I8383" s="24">
        <v>13.0</v>
      </c>
      <c r="J8383" s="24">
        <v>0.0</v>
      </c>
      <c r="K8383" s="23" t="s">
        <v>34</v>
      </c>
      <c r="L8383" s="25">
        <v>41031.28596064815</v>
      </c>
      <c r="M8383" s="26" t="s">
        <v>18531</v>
      </c>
      <c r="N8383" s="26" t="s">
        <v>18532</v>
      </c>
      <c r="O8383" s="22" t="str">
        <f>HYPERLINK("https://pbs.twimg.com/profile_images/3617990529/a9d518ce2ff10fbb100368cff2c76f98_normal.jpeg","View")</f>
        <v>View</v>
      </c>
      <c r="P8383" s="27"/>
    </row>
    <row r="8384">
      <c r="A8384" s="14">
        <v>43031.793807870374</v>
      </c>
      <c r="B8384" s="20" t="str">
        <f>HYPERLINK("https://twitter.com/digvijay_kunwar","@digvijay_kunwar")</f>
        <v>@digvijay_kunwar</v>
      </c>
      <c r="C8384" s="21" t="s">
        <v>18533</v>
      </c>
      <c r="D8384" s="21" t="s">
        <v>42</v>
      </c>
      <c r="E8384" s="22" t="str">
        <f>HYPERLINK("https://twitter.com/digvijay_kunwar/status/922644583871266816","922644583871266816")</f>
        <v>922644583871266816</v>
      </c>
      <c r="F8384" s="23" t="s">
        <v>33</v>
      </c>
      <c r="G8384" s="24">
        <v>464.0</v>
      </c>
      <c r="H8384" s="24">
        <v>711.0</v>
      </c>
      <c r="I8384" s="24">
        <v>8501.0</v>
      </c>
      <c r="J8384" s="24">
        <v>0.0</v>
      </c>
      <c r="K8384" s="23" t="s">
        <v>34</v>
      </c>
      <c r="L8384" s="25">
        <v>41728.38030092593</v>
      </c>
      <c r="M8384" s="26" t="s">
        <v>18534</v>
      </c>
      <c r="N8384" s="26" t="s">
        <v>18535</v>
      </c>
      <c r="O8384" s="22" t="str">
        <f>HYPERLINK("https://pbs.twimg.com/profile_images/905102526126612481/8vsjmgCl_normal.jpg","View")</f>
        <v>View</v>
      </c>
      <c r="P8384" s="27"/>
    </row>
    <row r="8385">
      <c r="A8385" s="14">
        <v>43031.79393518518</v>
      </c>
      <c r="B8385" s="20" t="str">
        <f>HYPERLINK("https://twitter.com/shubham_kr_BJP","@shubham_kr_BJP")</f>
        <v>@shubham_kr_BJP</v>
      </c>
      <c r="C8385" s="21" t="s">
        <v>18536</v>
      </c>
      <c r="D8385" s="21" t="s">
        <v>42</v>
      </c>
      <c r="E8385" s="22" t="str">
        <f>HYPERLINK("https://twitter.com/shubham_kr_BJP/status/922644630226681856","922644630226681856")</f>
        <v>922644630226681856</v>
      </c>
      <c r="F8385" s="23" t="s">
        <v>33</v>
      </c>
      <c r="G8385" s="24">
        <v>43.0</v>
      </c>
      <c r="H8385" s="24">
        <v>880.0</v>
      </c>
      <c r="I8385" s="24">
        <v>8501.0</v>
      </c>
      <c r="J8385" s="24">
        <v>0.0</v>
      </c>
      <c r="K8385" s="23" t="s">
        <v>34</v>
      </c>
      <c r="L8385" s="25">
        <v>42884.360567129625</v>
      </c>
      <c r="M8385" s="26" t="s">
        <v>18537</v>
      </c>
      <c r="N8385" s="26" t="s">
        <v>18538</v>
      </c>
      <c r="O8385" s="22" t="str">
        <f>HYPERLINK("https://pbs.twimg.com/profile_images/916950469834039296/3Q6MEXAe_normal.jpg","View")</f>
        <v>View</v>
      </c>
      <c r="P8385" s="27"/>
    </row>
    <row r="8386">
      <c r="A8386" s="14">
        <v>43031.79409722222</v>
      </c>
      <c r="B8386" s="20" t="str">
        <f>HYPERLINK("https://twitter.com/vrai777","@vrai777")</f>
        <v>@vrai777</v>
      </c>
      <c r="C8386" s="21" t="s">
        <v>1770</v>
      </c>
      <c r="D8386" s="21" t="s">
        <v>4426</v>
      </c>
      <c r="E8386" s="22" t="str">
        <f>HYPERLINK("https://twitter.com/vrai777/status/922644687869087744","922644687869087744")</f>
        <v>922644687869087744</v>
      </c>
      <c r="F8386" s="23" t="s">
        <v>187</v>
      </c>
      <c r="G8386" s="24">
        <v>7944.0</v>
      </c>
      <c r="H8386" s="24">
        <v>71.0</v>
      </c>
      <c r="I8386" s="24">
        <v>0.0</v>
      </c>
      <c r="J8386" s="24">
        <v>0.0</v>
      </c>
      <c r="K8386" s="23" t="s">
        <v>34</v>
      </c>
      <c r="L8386" s="25">
        <v>39878.7593287037</v>
      </c>
      <c r="M8386" s="26" t="s">
        <v>1024</v>
      </c>
      <c r="N8386" s="26" t="s">
        <v>1772</v>
      </c>
      <c r="O8386" s="22" t="str">
        <f>HYPERLINK("https://pbs.twimg.com/profile_images/688775800284266496/qhWTo08H_normal.png","View")</f>
        <v>View</v>
      </c>
      <c r="P8386" s="27"/>
    </row>
    <row r="8387">
      <c r="A8387" s="14">
        <v>43031.79429398148</v>
      </c>
      <c r="B8387" s="20" t="str">
        <f>HYPERLINK("https://twitter.com/60Macc","@60Macc")</f>
        <v>@60Macc</v>
      </c>
      <c r="C8387" s="21" t="s">
        <v>18539</v>
      </c>
      <c r="D8387" s="21" t="s">
        <v>18540</v>
      </c>
      <c r="E8387" s="22" t="str">
        <f>HYPERLINK("https://twitter.com/60Macc/status/922644760749322240","922644760749322240")</f>
        <v>922644760749322240</v>
      </c>
      <c r="F8387" s="23" t="s">
        <v>33</v>
      </c>
      <c r="G8387" s="24">
        <v>458.0</v>
      </c>
      <c r="H8387" s="24">
        <v>4923.0</v>
      </c>
      <c r="I8387" s="24">
        <v>1.0</v>
      </c>
      <c r="J8387" s="24">
        <v>0.0</v>
      </c>
      <c r="K8387" s="23" t="s">
        <v>34</v>
      </c>
      <c r="L8387" s="25">
        <v>42592.55211805555</v>
      </c>
      <c r="M8387" s="26" t="s">
        <v>905</v>
      </c>
      <c r="N8387" s="26" t="s">
        <v>18541</v>
      </c>
      <c r="O8387" s="22" t="str">
        <f>HYPERLINK("https://pbs.twimg.com/profile_images/908919996532903936/jPbiANr7_normal.jpg","View")</f>
        <v>View</v>
      </c>
      <c r="P8387" s="27"/>
    </row>
    <row r="8388">
      <c r="A8388" s="14">
        <v>43031.79450231481</v>
      </c>
      <c r="B8388" s="20" t="str">
        <f>HYPERLINK("https://twitter.com/prepzilla","@prepzilla")</f>
        <v>@prepzilla</v>
      </c>
      <c r="C8388" s="21" t="s">
        <v>4010</v>
      </c>
      <c r="D8388" s="21" t="s">
        <v>4011</v>
      </c>
      <c r="E8388" s="22" t="str">
        <f>HYPERLINK("https://twitter.com/prepzilla/status/922644836062244865","922644836062244865")</f>
        <v>922644836062244865</v>
      </c>
      <c r="F8388" s="23" t="s">
        <v>187</v>
      </c>
      <c r="G8388" s="24">
        <v>7689.0</v>
      </c>
      <c r="H8388" s="24">
        <v>476.0</v>
      </c>
      <c r="I8388" s="24">
        <v>0.0</v>
      </c>
      <c r="J8388" s="24">
        <v>0.0</v>
      </c>
      <c r="K8388" s="23" t="s">
        <v>34</v>
      </c>
      <c r="L8388" s="25">
        <v>41299.741736111115</v>
      </c>
      <c r="M8388" s="26" t="s">
        <v>4012</v>
      </c>
      <c r="N8388" s="26" t="s">
        <v>4013</v>
      </c>
      <c r="O8388" s="22" t="str">
        <f>HYPERLINK("https://pbs.twimg.com/profile_images/900797880516005888/1bWN5qbC_normal.jpg","View")</f>
        <v>View</v>
      </c>
      <c r="P8388" s="27"/>
    </row>
    <row r="8389">
      <c r="A8389" s="14">
        <v>43031.79498842593</v>
      </c>
      <c r="B8389" s="20" t="str">
        <f>HYPERLINK("https://twitter.com/TGSkarupisu","@TGSkarupisu")</f>
        <v>@TGSkarupisu</v>
      </c>
      <c r="C8389" s="21" t="s">
        <v>18542</v>
      </c>
      <c r="D8389" s="21" t="s">
        <v>42</v>
      </c>
      <c r="E8389" s="22" t="str">
        <f>HYPERLINK("https://twitter.com/TGSkarupisu/status/922645010310356992","922645010310356992")</f>
        <v>922645010310356992</v>
      </c>
      <c r="F8389" s="23" t="s">
        <v>39</v>
      </c>
      <c r="G8389" s="24">
        <v>250.0</v>
      </c>
      <c r="H8389" s="24">
        <v>365.0</v>
      </c>
      <c r="I8389" s="24">
        <v>8501.0</v>
      </c>
      <c r="J8389" s="24">
        <v>0.0</v>
      </c>
      <c r="K8389" s="23" t="s">
        <v>34</v>
      </c>
      <c r="L8389" s="25">
        <v>40998.264131944445</v>
      </c>
      <c r="M8389" s="28"/>
      <c r="N8389" s="28"/>
      <c r="O8389" s="22" t="str">
        <f>HYPERLINK("https://pbs.twimg.com/profile_images/420063594017869824/mMc55cDr_normal.jpeg","View")</f>
        <v>View</v>
      </c>
      <c r="P8389" s="27"/>
    </row>
    <row r="8390">
      <c r="A8390" s="14">
        <v>43031.79516203704</v>
      </c>
      <c r="B8390" s="20" t="str">
        <f>HYPERLINK("https://twitter.com/Tian_A1","@Tian_A1")</f>
        <v>@Tian_A1</v>
      </c>
      <c r="C8390" s="21" t="s">
        <v>543</v>
      </c>
      <c r="D8390" s="21" t="s">
        <v>18543</v>
      </c>
      <c r="E8390" s="22" t="str">
        <f>HYPERLINK("https://twitter.com/Tian_A1/status/922645074965680129","922645074965680129")</f>
        <v>922645074965680129</v>
      </c>
      <c r="F8390" s="23" t="s">
        <v>545</v>
      </c>
      <c r="G8390" s="24">
        <v>1497.0</v>
      </c>
      <c r="H8390" s="24">
        <v>1046.0</v>
      </c>
      <c r="I8390" s="24">
        <v>0.0</v>
      </c>
      <c r="J8390" s="24">
        <v>0.0</v>
      </c>
      <c r="K8390" s="23" t="s">
        <v>34</v>
      </c>
      <c r="L8390" s="25">
        <v>42392.213113425925</v>
      </c>
      <c r="M8390" s="26" t="s">
        <v>546</v>
      </c>
      <c r="N8390" s="26" t="s">
        <v>547</v>
      </c>
      <c r="O8390" s="22" t="str">
        <f>HYPERLINK("https://pbs.twimg.com/profile_images/700239736045178880/DGNyY9LZ_normal.png","View")</f>
        <v>View</v>
      </c>
      <c r="P8390" s="27"/>
    </row>
    <row r="8391">
      <c r="A8391" s="14">
        <v>43031.79517361111</v>
      </c>
      <c r="B8391" s="20" t="str">
        <f>HYPERLINK("https://twitter.com/IADataCloud","@IADataCloud")</f>
        <v>@IADataCloud</v>
      </c>
      <c r="C8391" s="21" t="s">
        <v>548</v>
      </c>
      <c r="D8391" s="21" t="s">
        <v>18544</v>
      </c>
      <c r="E8391" s="22" t="str">
        <f>HYPERLINK("https://twitter.com/IADataCloud/status/922645077901660161","922645077901660161")</f>
        <v>922645077901660161</v>
      </c>
      <c r="F8391" s="23" t="s">
        <v>545</v>
      </c>
      <c r="G8391" s="24">
        <v>497.0</v>
      </c>
      <c r="H8391" s="24">
        <v>392.0</v>
      </c>
      <c r="I8391" s="24">
        <v>0.0</v>
      </c>
      <c r="J8391" s="24">
        <v>0.0</v>
      </c>
      <c r="K8391" s="23" t="s">
        <v>34</v>
      </c>
      <c r="L8391" s="25">
        <v>42561.99059027778</v>
      </c>
      <c r="M8391" s="26" t="s">
        <v>550</v>
      </c>
      <c r="N8391" s="28"/>
      <c r="O8391" s="22" t="str">
        <f>HYPERLINK("https://pbs.twimg.com/profile_images/754661324576219137/PlUZoEwC_normal.jpg","View")</f>
        <v>View</v>
      </c>
      <c r="P8391" s="27"/>
    </row>
    <row r="8392">
      <c r="A8392" s="14">
        <v>43031.7952662037</v>
      </c>
      <c r="B8392" s="20" t="str">
        <f>HYPERLINK("https://twitter.com/burongmangga","@burongmangga")</f>
        <v>@burongmangga</v>
      </c>
      <c r="C8392" s="21" t="s">
        <v>18545</v>
      </c>
      <c r="D8392" s="21" t="s">
        <v>8505</v>
      </c>
      <c r="E8392" s="22" t="str">
        <f>HYPERLINK("https://twitter.com/burongmangga/status/922645111309156354","922645111309156354")</f>
        <v>922645111309156354</v>
      </c>
      <c r="F8392" s="23" t="s">
        <v>39</v>
      </c>
      <c r="G8392" s="24">
        <v>56.0</v>
      </c>
      <c r="H8392" s="24">
        <v>250.0</v>
      </c>
      <c r="I8392" s="24">
        <v>22.0</v>
      </c>
      <c r="J8392" s="24">
        <v>0.0</v>
      </c>
      <c r="K8392" s="23" t="s">
        <v>34</v>
      </c>
      <c r="L8392" s="25">
        <v>41861.118935185186</v>
      </c>
      <c r="M8392" s="28"/>
      <c r="N8392" s="28"/>
      <c r="O8392" s="22" t="str">
        <f>HYPERLINK("https://pbs.twimg.com/profile_images/589814285217333248/DDWL0mlW_normal.jpg","View")</f>
        <v>View</v>
      </c>
      <c r="P8392" s="27"/>
    </row>
    <row r="8393">
      <c r="A8393" s="14">
        <v>43031.79545138888</v>
      </c>
      <c r="B8393" s="20" t="str">
        <f>HYPERLINK("https://twitter.com/JasDeu","@JasDeu")</f>
        <v>@JasDeu</v>
      </c>
      <c r="C8393" s="21" t="s">
        <v>18546</v>
      </c>
      <c r="D8393" s="21" t="s">
        <v>18547</v>
      </c>
      <c r="E8393" s="22" t="str">
        <f>HYPERLINK("https://twitter.com/JasDeu/status/922645181299642368","922645181299642368")</f>
        <v>922645181299642368</v>
      </c>
      <c r="F8393" s="23" t="s">
        <v>55</v>
      </c>
      <c r="G8393" s="24">
        <v>700.0</v>
      </c>
      <c r="H8393" s="24">
        <v>1766.0</v>
      </c>
      <c r="I8393" s="24">
        <v>0.0</v>
      </c>
      <c r="J8393" s="24">
        <v>0.0</v>
      </c>
      <c r="K8393" s="23" t="s">
        <v>34</v>
      </c>
      <c r="L8393" s="25">
        <v>41715.843148148146</v>
      </c>
      <c r="M8393" s="26" t="s">
        <v>920</v>
      </c>
      <c r="N8393" s="26" t="s">
        <v>18548</v>
      </c>
      <c r="O8393" s="22" t="str">
        <f>HYPERLINK("https://pbs.twimg.com/profile_images/499020037156397057/pXlOCwkw_normal.jpeg","View")</f>
        <v>View</v>
      </c>
      <c r="P8393" s="27"/>
    </row>
    <row r="8394">
      <c r="A8394" s="14">
        <v>43031.79565972222</v>
      </c>
      <c r="B8394" s="20" t="str">
        <f>HYPERLINK("https://twitter.com/motokorich","@motokorich")</f>
        <v>@motokorich</v>
      </c>
      <c r="C8394" s="21" t="s">
        <v>17288</v>
      </c>
      <c r="D8394" s="21" t="s">
        <v>18549</v>
      </c>
      <c r="E8394" s="22" t="str">
        <f>HYPERLINK("https://twitter.com/motokorich/status/922645257174568960","922645257174568960")</f>
        <v>922645257174568960</v>
      </c>
      <c r="F8394" s="23" t="s">
        <v>769</v>
      </c>
      <c r="G8394" s="24">
        <v>25710.0</v>
      </c>
      <c r="H8394" s="24">
        <v>2568.0</v>
      </c>
      <c r="I8394" s="24">
        <v>0.0</v>
      </c>
      <c r="J8394" s="24">
        <v>0.0</v>
      </c>
      <c r="K8394" s="23" t="s">
        <v>34</v>
      </c>
      <c r="L8394" s="25">
        <v>39993.357037037036</v>
      </c>
      <c r="M8394" s="26" t="s">
        <v>271</v>
      </c>
      <c r="N8394" s="26" t="s">
        <v>17290</v>
      </c>
      <c r="O8394" s="22" t="str">
        <f>HYPERLINK("https://pbs.twimg.com/profile_images/781455693597413380/eASkJAc5_normal.jpg","View")</f>
        <v>View</v>
      </c>
      <c r="P8394" s="27"/>
    </row>
    <row r="8395">
      <c r="A8395" s="14">
        <v>43031.79604166667</v>
      </c>
      <c r="B8395" s="20" t="str">
        <f>HYPERLINK("https://twitter.com/shailendra_nair","@shailendra_nair")</f>
        <v>@shailendra_nair</v>
      </c>
      <c r="C8395" s="21" t="s">
        <v>4072</v>
      </c>
      <c r="D8395" s="21" t="s">
        <v>4073</v>
      </c>
      <c r="E8395" s="22" t="str">
        <f>HYPERLINK("https://twitter.com/shailendra_nair/status/922645394659700736","922645394659700736")</f>
        <v>922645394659700736</v>
      </c>
      <c r="F8395" s="23" t="s">
        <v>187</v>
      </c>
      <c r="G8395" s="24">
        <v>3990.0</v>
      </c>
      <c r="H8395" s="24">
        <v>1041.0</v>
      </c>
      <c r="I8395" s="24">
        <v>0.0</v>
      </c>
      <c r="J8395" s="24">
        <v>0.0</v>
      </c>
      <c r="K8395" s="23" t="s">
        <v>34</v>
      </c>
      <c r="L8395" s="25">
        <v>40362.43798611111</v>
      </c>
      <c r="M8395" s="26" t="s">
        <v>246</v>
      </c>
      <c r="N8395" s="26" t="s">
        <v>4074</v>
      </c>
      <c r="O8395" s="22" t="str">
        <f>HYPERLINK("https://pbs.twimg.com/profile_images/884758468879466497/M_w6UjD3_normal.jpg","View")</f>
        <v>View</v>
      </c>
      <c r="P8395" s="27"/>
    </row>
    <row r="8396">
      <c r="A8396" s="14">
        <v>43031.797002314815</v>
      </c>
      <c r="B8396" s="20" t="str">
        <f t="shared" ref="B8396:B8398" si="159">HYPERLINK("https://twitter.com/taka910910","@taka910910")</f>
        <v>@taka910910</v>
      </c>
      <c r="C8396" s="21">
        <v>910.0</v>
      </c>
      <c r="D8396" s="21" t="s">
        <v>18550</v>
      </c>
      <c r="E8396" s="22" t="str">
        <f>HYPERLINK("https://twitter.com/taka910910/status/922645741960491008","922645741960491008")</f>
        <v>922645741960491008</v>
      </c>
      <c r="F8396" s="23" t="s">
        <v>33</v>
      </c>
      <c r="G8396" s="24">
        <v>1897.0</v>
      </c>
      <c r="H8396" s="24">
        <v>3551.0</v>
      </c>
      <c r="I8396" s="24">
        <v>1.0</v>
      </c>
      <c r="J8396" s="24">
        <v>0.0</v>
      </c>
      <c r="K8396" s="23" t="s">
        <v>34</v>
      </c>
      <c r="L8396" s="25">
        <v>40201.284791666665</v>
      </c>
      <c r="M8396" s="28"/>
      <c r="N8396" s="26" t="s">
        <v>18551</v>
      </c>
      <c r="O8396" s="22" t="str">
        <f t="shared" ref="O8396:O8398" si="160">HYPERLINK("https://pbs.twimg.com/profile_images/710364250418446336/EIZR_xGI_normal.jpg","View")</f>
        <v>View</v>
      </c>
      <c r="P8396" s="27"/>
    </row>
    <row r="8397">
      <c r="A8397" s="14">
        <v>43031.79709490741</v>
      </c>
      <c r="B8397" s="20" t="str">
        <f t="shared" si="159"/>
        <v>@taka910910</v>
      </c>
      <c r="C8397" s="21">
        <v>910.0</v>
      </c>
      <c r="D8397" s="21" t="s">
        <v>17706</v>
      </c>
      <c r="E8397" s="22" t="str">
        <f>HYPERLINK("https://twitter.com/taka910910/status/922645776597004290","922645776597004290")</f>
        <v>922645776597004290</v>
      </c>
      <c r="F8397" s="23" t="s">
        <v>33</v>
      </c>
      <c r="G8397" s="24">
        <v>1897.0</v>
      </c>
      <c r="H8397" s="24">
        <v>3551.0</v>
      </c>
      <c r="I8397" s="24">
        <v>3.0</v>
      </c>
      <c r="J8397" s="24">
        <v>0.0</v>
      </c>
      <c r="K8397" s="23" t="s">
        <v>34</v>
      </c>
      <c r="L8397" s="25">
        <v>40201.284791666665</v>
      </c>
      <c r="M8397" s="28"/>
      <c r="N8397" s="26" t="s">
        <v>18551</v>
      </c>
      <c r="O8397" s="22" t="str">
        <f t="shared" si="160"/>
        <v>View</v>
      </c>
      <c r="P8397" s="27"/>
    </row>
    <row r="8398">
      <c r="A8398" s="14">
        <v>43031.7971412037</v>
      </c>
      <c r="B8398" s="20" t="str">
        <f t="shared" si="159"/>
        <v>@taka910910</v>
      </c>
      <c r="C8398" s="21">
        <v>910.0</v>
      </c>
      <c r="D8398" s="21" t="s">
        <v>16208</v>
      </c>
      <c r="E8398" s="22" t="str">
        <f>HYPERLINK("https://twitter.com/taka910910/status/922645791126167552","922645791126167552")</f>
        <v>922645791126167552</v>
      </c>
      <c r="F8398" s="23" t="s">
        <v>33</v>
      </c>
      <c r="G8398" s="24">
        <v>1897.0</v>
      </c>
      <c r="H8398" s="24">
        <v>3551.0</v>
      </c>
      <c r="I8398" s="24">
        <v>41.0</v>
      </c>
      <c r="J8398" s="24">
        <v>0.0</v>
      </c>
      <c r="K8398" s="23" t="s">
        <v>34</v>
      </c>
      <c r="L8398" s="25">
        <v>40201.284791666665</v>
      </c>
      <c r="M8398" s="28"/>
      <c r="N8398" s="26" t="s">
        <v>18551</v>
      </c>
      <c r="O8398" s="22" t="str">
        <f t="shared" si="160"/>
        <v>View</v>
      </c>
      <c r="P8398" s="27"/>
    </row>
    <row r="8399">
      <c r="A8399" s="14">
        <v>43031.79729166666</v>
      </c>
      <c r="B8399" s="20" t="str">
        <f>HYPERLINK("https://twitter.com/Vijayvikramsi16","@Vijayvikramsi16")</f>
        <v>@Vijayvikramsi16</v>
      </c>
      <c r="C8399" s="21" t="s">
        <v>18552</v>
      </c>
      <c r="D8399" s="21" t="s">
        <v>42</v>
      </c>
      <c r="E8399" s="22" t="str">
        <f>HYPERLINK("https://twitter.com/Vijayvikramsi16/status/922645845584912387","922645845584912387")</f>
        <v>922645845584912387</v>
      </c>
      <c r="F8399" s="23" t="s">
        <v>33</v>
      </c>
      <c r="G8399" s="24">
        <v>127.0</v>
      </c>
      <c r="H8399" s="24">
        <v>186.0</v>
      </c>
      <c r="I8399" s="24">
        <v>8501.0</v>
      </c>
      <c r="J8399" s="24">
        <v>0.0</v>
      </c>
      <c r="K8399" s="23" t="s">
        <v>34</v>
      </c>
      <c r="L8399" s="25">
        <v>41569.26435185185</v>
      </c>
      <c r="M8399" s="26" t="s">
        <v>6173</v>
      </c>
      <c r="N8399" s="26" t="s">
        <v>18553</v>
      </c>
      <c r="O8399" s="22" t="str">
        <f>HYPERLINK("https://pbs.twimg.com/profile_images/893362518143488000/XYl-_tJs_normal.jpg","View")</f>
        <v>View</v>
      </c>
      <c r="P8399" s="27"/>
    </row>
    <row r="8400">
      <c r="A8400" s="14">
        <v>43031.79730324074</v>
      </c>
      <c r="B8400" s="20" t="str">
        <f>HYPERLINK("https://twitter.com/JaganNKaushik","@JaganNKaushik")</f>
        <v>@JaganNKaushik</v>
      </c>
      <c r="C8400" s="21" t="s">
        <v>18554</v>
      </c>
      <c r="D8400" s="21" t="s">
        <v>42</v>
      </c>
      <c r="E8400" s="22" t="str">
        <f>HYPERLINK("https://twitter.com/JaganNKaushik/status/922645852815900672","922645852815900672")</f>
        <v>922645852815900672</v>
      </c>
      <c r="F8400" s="23" t="s">
        <v>33</v>
      </c>
      <c r="G8400" s="24">
        <v>170.0</v>
      </c>
      <c r="H8400" s="24">
        <v>166.0</v>
      </c>
      <c r="I8400" s="24">
        <v>8501.0</v>
      </c>
      <c r="J8400" s="24">
        <v>0.0</v>
      </c>
      <c r="K8400" s="23" t="s">
        <v>34</v>
      </c>
      <c r="L8400" s="25">
        <v>42909.43511574074</v>
      </c>
      <c r="M8400" s="26" t="s">
        <v>575</v>
      </c>
      <c r="N8400" s="26" t="s">
        <v>18555</v>
      </c>
      <c r="O8400" s="22" t="str">
        <f>HYPERLINK("https://pbs.twimg.com/profile_images/879394380917821440/h72m7wA-_normal.jpg","View")</f>
        <v>View</v>
      </c>
      <c r="P8400" s="27"/>
    </row>
    <row r="8401">
      <c r="A8401" s="14">
        <v>43031.79770833333</v>
      </c>
      <c r="B8401" s="20" t="str">
        <f>HYPERLINK("https://twitter.com/pankajthakur73","@pankajthakur73")</f>
        <v>@pankajthakur73</v>
      </c>
      <c r="C8401" s="21" t="s">
        <v>18556</v>
      </c>
      <c r="D8401" s="21" t="s">
        <v>42</v>
      </c>
      <c r="E8401" s="22" t="str">
        <f>HYPERLINK("https://twitter.com/pankajthakur73/status/922645997578153984","922645997578153984")</f>
        <v>922645997578153984</v>
      </c>
      <c r="F8401" s="23" t="s">
        <v>33</v>
      </c>
      <c r="G8401" s="24">
        <v>2849.0</v>
      </c>
      <c r="H8401" s="24">
        <v>4064.0</v>
      </c>
      <c r="I8401" s="24">
        <v>8501.0</v>
      </c>
      <c r="J8401" s="24">
        <v>0.0</v>
      </c>
      <c r="K8401" s="23" t="s">
        <v>34</v>
      </c>
      <c r="L8401" s="25">
        <v>42233.216631944444</v>
      </c>
      <c r="M8401" s="26" t="s">
        <v>2739</v>
      </c>
      <c r="N8401" s="26" t="s">
        <v>18557</v>
      </c>
      <c r="O8401" s="22" t="str">
        <f>HYPERLINK("https://pbs.twimg.com/profile_images/906693681545019392/gY-mkNDe_normal.jpg","View")</f>
        <v>View</v>
      </c>
      <c r="P8401" s="27"/>
    </row>
    <row r="8402">
      <c r="A8402" s="14">
        <v>43031.7977662037</v>
      </c>
      <c r="B8402" s="20" t="str">
        <f>HYPERLINK("https://twitter.com/Ronnie05584779","@Ronnie05584779")</f>
        <v>@Ronnie05584779</v>
      </c>
      <c r="C8402" s="21" t="s">
        <v>18558</v>
      </c>
      <c r="D8402" s="21" t="s">
        <v>213</v>
      </c>
      <c r="E8402" s="22" t="str">
        <f>HYPERLINK("https://twitter.com/Ronnie05584779/status/922646018096693248","922646018096693248")</f>
        <v>922646018096693248</v>
      </c>
      <c r="F8402" s="23" t="s">
        <v>55</v>
      </c>
      <c r="G8402" s="24">
        <v>4.0</v>
      </c>
      <c r="H8402" s="24">
        <v>0.0</v>
      </c>
      <c r="I8402" s="24">
        <v>94.0</v>
      </c>
      <c r="J8402" s="24">
        <v>0.0</v>
      </c>
      <c r="K8402" s="23" t="s">
        <v>34</v>
      </c>
      <c r="L8402" s="25">
        <v>43020.227222222224</v>
      </c>
      <c r="M8402" s="28"/>
      <c r="N8402" s="28"/>
      <c r="O8402" s="22" t="str">
        <f>HYPERLINK("https://abs.twimg.com/sticky/default_profile_images/default_profile_normal.png","View")</f>
        <v>View</v>
      </c>
      <c r="P8402" s="27"/>
    </row>
    <row r="8403">
      <c r="A8403" s="14">
        <v>43031.79777777778</v>
      </c>
      <c r="B8403" s="20" t="str">
        <f>HYPERLINK("https://twitter.com/misoxjp","@misoxjp")</f>
        <v>@misoxjp</v>
      </c>
      <c r="C8403" s="21" t="s">
        <v>18559</v>
      </c>
      <c r="D8403" s="21" t="s">
        <v>1642</v>
      </c>
      <c r="E8403" s="22" t="str">
        <f>HYPERLINK("https://twitter.com/misoxjp/status/922646022559473664","922646022559473664")</f>
        <v>922646022559473664</v>
      </c>
      <c r="F8403" s="23" t="s">
        <v>39</v>
      </c>
      <c r="G8403" s="24">
        <v>107.0</v>
      </c>
      <c r="H8403" s="24">
        <v>317.0</v>
      </c>
      <c r="I8403" s="24">
        <v>199.0</v>
      </c>
      <c r="J8403" s="24">
        <v>0.0</v>
      </c>
      <c r="K8403" s="23" t="s">
        <v>34</v>
      </c>
      <c r="L8403" s="25">
        <v>42402.98516203703</v>
      </c>
      <c r="M8403" s="28"/>
      <c r="N8403" s="26" t="s">
        <v>18560</v>
      </c>
      <c r="O8403" s="22" t="str">
        <f>HYPERLINK("https://pbs.twimg.com/profile_images/788750472932843520/q19UoYfQ_normal.jpg","View")</f>
        <v>View</v>
      </c>
      <c r="P8403" s="27"/>
    </row>
    <row r="8404">
      <c r="A8404" s="14">
        <v>43031.79777777778</v>
      </c>
      <c r="B8404" s="20" t="str">
        <f>HYPERLINK("https://twitter.com/Nagendralv","@Nagendralv")</f>
        <v>@Nagendralv</v>
      </c>
      <c r="C8404" s="21" t="s">
        <v>18561</v>
      </c>
      <c r="D8404" s="21" t="s">
        <v>42</v>
      </c>
      <c r="E8404" s="22" t="str">
        <f>HYPERLINK("https://twitter.com/Nagendralv/status/922646022852972545","922646022852972545")</f>
        <v>922646022852972545</v>
      </c>
      <c r="F8404" s="23" t="s">
        <v>33</v>
      </c>
      <c r="G8404" s="24">
        <v>19.0</v>
      </c>
      <c r="H8404" s="24">
        <v>62.0</v>
      </c>
      <c r="I8404" s="24">
        <v>8501.0</v>
      </c>
      <c r="J8404" s="24">
        <v>0.0</v>
      </c>
      <c r="K8404" s="23" t="s">
        <v>34</v>
      </c>
      <c r="L8404" s="25">
        <v>42942.8852199074</v>
      </c>
      <c r="M8404" s="26" t="s">
        <v>167</v>
      </c>
      <c r="N8404" s="26" t="s">
        <v>18562</v>
      </c>
      <c r="O8404" s="22" t="str">
        <f>HYPERLINK("https://pbs.twimg.com/profile_images/909243134118211584/jqsaDtm5_normal.jpg","View")</f>
        <v>View</v>
      </c>
      <c r="P8404" s="27"/>
    </row>
    <row r="8405">
      <c r="A8405" s="14">
        <v>43031.79819444445</v>
      </c>
      <c r="B8405" s="20" t="str">
        <f>HYPERLINK("https://twitter.com/purnashok","@purnashok")</f>
        <v>@purnashok</v>
      </c>
      <c r="C8405" s="21" t="s">
        <v>18563</v>
      </c>
      <c r="D8405" s="21" t="s">
        <v>42</v>
      </c>
      <c r="E8405" s="22" t="str">
        <f>HYPERLINK("https://twitter.com/purnashok/status/922646176138063872","922646176138063872")</f>
        <v>922646176138063872</v>
      </c>
      <c r="F8405" s="23" t="s">
        <v>33</v>
      </c>
      <c r="G8405" s="24">
        <v>44.0</v>
      </c>
      <c r="H8405" s="24">
        <v>520.0</v>
      </c>
      <c r="I8405" s="24">
        <v>8501.0</v>
      </c>
      <c r="J8405" s="24">
        <v>0.0</v>
      </c>
      <c r="K8405" s="23" t="s">
        <v>34</v>
      </c>
      <c r="L8405" s="25">
        <v>41537.291504629626</v>
      </c>
      <c r="M8405" s="26" t="s">
        <v>56</v>
      </c>
      <c r="N8405" s="26" t="s">
        <v>18564</v>
      </c>
      <c r="O8405" s="22" t="str">
        <f>HYPERLINK("https://pbs.twimg.com/profile_images/899262322899787776/XUVqq1S-_normal.jpg","View")</f>
        <v>View</v>
      </c>
      <c r="P8405" s="27"/>
    </row>
    <row r="8406">
      <c r="A8406" s="14">
        <v>43031.79825231481</v>
      </c>
      <c r="B8406" s="20" t="str">
        <f>HYPERLINK("https://twitter.com/ArcanBakc","@ArcanBakc")</f>
        <v>@ArcanBakc</v>
      </c>
      <c r="C8406" s="21" t="s">
        <v>18565</v>
      </c>
      <c r="D8406" s="21" t="s">
        <v>18162</v>
      </c>
      <c r="E8406" s="22" t="str">
        <f>HYPERLINK("https://twitter.com/ArcanBakc/status/922646196061114368","922646196061114368")</f>
        <v>922646196061114368</v>
      </c>
      <c r="F8406" s="23" t="s">
        <v>55</v>
      </c>
      <c r="G8406" s="24">
        <v>16.0</v>
      </c>
      <c r="H8406" s="24">
        <v>65.0</v>
      </c>
      <c r="I8406" s="24">
        <v>59.0</v>
      </c>
      <c r="J8406" s="24">
        <v>0.0</v>
      </c>
      <c r="K8406" s="23" t="s">
        <v>34</v>
      </c>
      <c r="L8406" s="25">
        <v>43031.794432870374</v>
      </c>
      <c r="M8406" s="26" t="s">
        <v>18566</v>
      </c>
      <c r="N8406" s="28"/>
      <c r="O8406" s="22" t="str">
        <f>HYPERLINK("https://pbs.twimg.com/profile_images/922646790565978113/hXfr8wW7_normal.jpg","View")</f>
        <v>View</v>
      </c>
      <c r="P8406" s="27"/>
    </row>
    <row r="8407">
      <c r="A8407" s="14">
        <v>43031.79827546296</v>
      </c>
      <c r="B8407" s="20" t="str">
        <f>HYPERLINK("https://twitter.com/Evachan666","@Evachan666")</f>
        <v>@Evachan666</v>
      </c>
      <c r="C8407" s="21" t="s">
        <v>18567</v>
      </c>
      <c r="D8407" s="21" t="s">
        <v>10614</v>
      </c>
      <c r="E8407" s="22" t="str">
        <f>HYPERLINK("https://twitter.com/Evachan666/status/922646202113339392","922646202113339392")</f>
        <v>922646202113339392</v>
      </c>
      <c r="F8407" s="23" t="s">
        <v>39</v>
      </c>
      <c r="G8407" s="24">
        <v>652.0</v>
      </c>
      <c r="H8407" s="24">
        <v>396.0</v>
      </c>
      <c r="I8407" s="24">
        <v>159.0</v>
      </c>
      <c r="J8407" s="24">
        <v>0.0</v>
      </c>
      <c r="K8407" s="23" t="s">
        <v>34</v>
      </c>
      <c r="L8407" s="25">
        <v>40499.18503472222</v>
      </c>
      <c r="M8407" s="26" t="s">
        <v>18568</v>
      </c>
      <c r="N8407" s="26" t="s">
        <v>18569</v>
      </c>
      <c r="O8407" s="22" t="str">
        <f>HYPERLINK("https://pbs.twimg.com/profile_images/914492434431668224/mH6NWGZh_normal.jpg","View")</f>
        <v>View</v>
      </c>
      <c r="P8407" s="27"/>
    </row>
    <row r="8408">
      <c r="A8408" s="14">
        <v>43031.79828703703</v>
      </c>
      <c r="B8408" s="20" t="str">
        <f>HYPERLINK("https://twitter.com/JPnewsinEng","@JPnewsinEng")</f>
        <v>@JPnewsinEng</v>
      </c>
      <c r="C8408" s="21" t="s">
        <v>500</v>
      </c>
      <c r="D8408" s="21" t="s">
        <v>18570</v>
      </c>
      <c r="E8408" s="22" t="str">
        <f>HYPERLINK("https://twitter.com/JPnewsinEng/status/922646206832095232","922646206832095232")</f>
        <v>922646206832095232</v>
      </c>
      <c r="F8408" s="23" t="s">
        <v>187</v>
      </c>
      <c r="G8408" s="24">
        <v>92.0</v>
      </c>
      <c r="H8408" s="24">
        <v>0.0</v>
      </c>
      <c r="I8408" s="24">
        <v>1.0</v>
      </c>
      <c r="J8408" s="24">
        <v>0.0</v>
      </c>
      <c r="K8408" s="23" t="s">
        <v>34</v>
      </c>
      <c r="L8408" s="25">
        <v>42298.27949074074</v>
      </c>
      <c r="M8408" s="26" t="s">
        <v>71</v>
      </c>
      <c r="N8408" s="26" t="s">
        <v>502</v>
      </c>
      <c r="O8408" s="22" t="str">
        <f>HYPERLINK("https://pbs.twimg.com/profile_images/658617776026705920/TPmWzjC0_normal.png","View")</f>
        <v>View</v>
      </c>
      <c r="P8408" s="27"/>
    </row>
    <row r="8409">
      <c r="A8409" s="14">
        <v>43031.79834490741</v>
      </c>
      <c r="B8409" s="20" t="str">
        <f>HYPERLINK("https://twitter.com/fast_thinking_","@fast_thinking_")</f>
        <v>@fast_thinking_</v>
      </c>
      <c r="C8409" s="21" t="s">
        <v>18571</v>
      </c>
      <c r="D8409" s="21" t="s">
        <v>18572</v>
      </c>
      <c r="E8409" s="22" t="str">
        <f>HYPERLINK("https://twitter.com/fast_thinking_/status/922646229049335809","922646229049335809")</f>
        <v>922646229049335809</v>
      </c>
      <c r="F8409" s="23" t="s">
        <v>18573</v>
      </c>
      <c r="G8409" s="24">
        <v>140.0</v>
      </c>
      <c r="H8409" s="24">
        <v>188.0</v>
      </c>
      <c r="I8409" s="24">
        <v>0.0</v>
      </c>
      <c r="J8409" s="24">
        <v>0.0</v>
      </c>
      <c r="K8409" s="23" t="s">
        <v>34</v>
      </c>
      <c r="L8409" s="25">
        <v>42573.319131944445</v>
      </c>
      <c r="M8409" s="28"/>
      <c r="N8409" s="26" t="s">
        <v>18574</v>
      </c>
      <c r="O8409" s="22" t="str">
        <f>HYPERLINK("https://pbs.twimg.com/profile_images/756499688203968512/_ynoPqNt_normal.jpg","View")</f>
        <v>View</v>
      </c>
      <c r="P8409" s="27"/>
    </row>
    <row r="8410">
      <c r="A8410" s="14">
        <v>43031.798622685186</v>
      </c>
      <c r="B8410" s="20" t="str">
        <f>HYPERLINK("https://twitter.com/49761_91","@49761_91")</f>
        <v>@49761_91</v>
      </c>
      <c r="C8410" s="21" t="s">
        <v>18575</v>
      </c>
      <c r="D8410" s="21" t="s">
        <v>42</v>
      </c>
      <c r="E8410" s="22" t="str">
        <f>HYPERLINK("https://twitter.com/49761_91/status/922646328429092864","922646328429092864")</f>
        <v>922646328429092864</v>
      </c>
      <c r="F8410" s="23" t="s">
        <v>33</v>
      </c>
      <c r="G8410" s="24">
        <v>3.0</v>
      </c>
      <c r="H8410" s="24">
        <v>64.0</v>
      </c>
      <c r="I8410" s="24">
        <v>8501.0</v>
      </c>
      <c r="J8410" s="24">
        <v>0.0</v>
      </c>
      <c r="K8410" s="23" t="s">
        <v>34</v>
      </c>
      <c r="L8410" s="25">
        <v>43031.79309027777</v>
      </c>
      <c r="M8410" s="28"/>
      <c r="N8410" s="28"/>
      <c r="O8410" s="22" t="str">
        <f>HYPERLINK("https://abs.twimg.com/sticky/default_profile_images/default_profile_normal.png","View")</f>
        <v>View</v>
      </c>
      <c r="P8410" s="27"/>
    </row>
    <row r="8411">
      <c r="A8411" s="14">
        <v>43031.79864583333</v>
      </c>
      <c r="B8411" s="20" t="str">
        <f>HYPERLINK("https://twitter.com/newslivenetwork","@newslivenetwork")</f>
        <v>@newslivenetwork</v>
      </c>
      <c r="C8411" s="21" t="s">
        <v>89</v>
      </c>
      <c r="D8411" s="21" t="s">
        <v>18576</v>
      </c>
      <c r="E8411" s="22" t="str">
        <f>HYPERLINK("https://twitter.com/newslivenetwork/status/922646338440974336","922646338440974336")</f>
        <v>922646338440974336</v>
      </c>
      <c r="F8411" s="23" t="s">
        <v>91</v>
      </c>
      <c r="G8411" s="24">
        <v>271.0</v>
      </c>
      <c r="H8411" s="24">
        <v>87.0</v>
      </c>
      <c r="I8411" s="24">
        <v>0.0</v>
      </c>
      <c r="J8411" s="24">
        <v>0.0</v>
      </c>
      <c r="K8411" s="23" t="s">
        <v>34</v>
      </c>
      <c r="L8411" s="25">
        <v>42741.47196759259</v>
      </c>
      <c r="M8411" s="26" t="s">
        <v>92</v>
      </c>
      <c r="N8411" s="26" t="s">
        <v>93</v>
      </c>
      <c r="O8411" s="22" t="str">
        <f>HYPERLINK("https://pbs.twimg.com/profile_images/877414144424660992/scfhocj3_normal.jpg","View")</f>
        <v>View</v>
      </c>
      <c r="P8411" s="27"/>
    </row>
    <row r="8412">
      <c r="A8412" s="14">
        <v>43031.79914351852</v>
      </c>
      <c r="B8412" s="20" t="str">
        <f>HYPERLINK("https://twitter.com/ambeecious","@ambeecious")</f>
        <v>@ambeecious</v>
      </c>
      <c r="C8412" s="21" t="s">
        <v>18577</v>
      </c>
      <c r="D8412" s="21" t="s">
        <v>42</v>
      </c>
      <c r="E8412" s="22" t="str">
        <f>HYPERLINK("https://twitter.com/ambeecious/status/922646517055475712","922646517055475712")</f>
        <v>922646517055475712</v>
      </c>
      <c r="F8412" s="23" t="s">
        <v>33</v>
      </c>
      <c r="G8412" s="24">
        <v>492.0</v>
      </c>
      <c r="H8412" s="24">
        <v>818.0</v>
      </c>
      <c r="I8412" s="24">
        <v>8501.0</v>
      </c>
      <c r="J8412" s="24">
        <v>0.0</v>
      </c>
      <c r="K8412" s="23" t="s">
        <v>34</v>
      </c>
      <c r="L8412" s="25">
        <v>41056.32879629629</v>
      </c>
      <c r="M8412" s="26" t="s">
        <v>457</v>
      </c>
      <c r="N8412" s="26" t="s">
        <v>18578</v>
      </c>
      <c r="O8412" s="22" t="str">
        <f>HYPERLINK("https://pbs.twimg.com/profile_images/885520339744071680/KyQtM32B_normal.jpg","View")</f>
        <v>View</v>
      </c>
      <c r="P8412" s="27"/>
    </row>
    <row r="8413">
      <c r="A8413" s="14">
        <v>43031.799212962964</v>
      </c>
      <c r="B8413" s="20" t="str">
        <f>HYPERLINK("https://twitter.com/yukinari230","@yukinari230")</f>
        <v>@yukinari230</v>
      </c>
      <c r="C8413" s="21" t="s">
        <v>18579</v>
      </c>
      <c r="D8413" s="21" t="s">
        <v>108</v>
      </c>
      <c r="E8413" s="22" t="str">
        <f>HYPERLINK("https://twitter.com/yukinari230/status/922646542753808384","922646542753808384")</f>
        <v>922646542753808384</v>
      </c>
      <c r="F8413" s="23" t="s">
        <v>55</v>
      </c>
      <c r="G8413" s="24">
        <v>1310.0</v>
      </c>
      <c r="H8413" s="24">
        <v>4971.0</v>
      </c>
      <c r="I8413" s="24">
        <v>88.0</v>
      </c>
      <c r="J8413" s="24">
        <v>0.0</v>
      </c>
      <c r="K8413" s="23" t="s">
        <v>34</v>
      </c>
      <c r="L8413" s="25">
        <v>40132.07064814815</v>
      </c>
      <c r="M8413" s="26" t="s">
        <v>4665</v>
      </c>
      <c r="N8413" s="28"/>
      <c r="O8413" s="22" t="str">
        <f>HYPERLINK("https://pbs.twimg.com/profile_images/458944770828554240/eEZjbrNG_normal.jpeg","View")</f>
        <v>View</v>
      </c>
      <c r="P8413" s="27"/>
    </row>
    <row r="8414">
      <c r="A8414" s="14">
        <v>43031.799525462964</v>
      </c>
      <c r="B8414" s="20" t="str">
        <f>HYPERLINK("https://twitter.com/ML75u","@ML75u")</f>
        <v>@ML75u</v>
      </c>
      <c r="C8414" s="21" t="s">
        <v>18580</v>
      </c>
      <c r="D8414" s="21" t="s">
        <v>42</v>
      </c>
      <c r="E8414" s="22" t="str">
        <f>HYPERLINK("https://twitter.com/ML75u/status/922646656134213632","922646656134213632")</f>
        <v>922646656134213632</v>
      </c>
      <c r="F8414" s="23" t="s">
        <v>39</v>
      </c>
      <c r="G8414" s="24">
        <v>3643.0</v>
      </c>
      <c r="H8414" s="24">
        <v>3939.0</v>
      </c>
      <c r="I8414" s="24">
        <v>8501.0</v>
      </c>
      <c r="J8414" s="24">
        <v>0.0</v>
      </c>
      <c r="K8414" s="23" t="s">
        <v>34</v>
      </c>
      <c r="L8414" s="25">
        <v>42810.35894675926</v>
      </c>
      <c r="M8414" s="26" t="s">
        <v>71</v>
      </c>
      <c r="N8414" s="26" t="s">
        <v>18581</v>
      </c>
      <c r="O8414" s="22" t="str">
        <f>HYPERLINK("https://pbs.twimg.com/profile_images/844690916531027968/uKv4JHc4_normal.jpg","View")</f>
        <v>View</v>
      </c>
      <c r="P8414" s="27"/>
    </row>
    <row r="8415">
      <c r="A8415" s="14">
        <v>43031.799687499995</v>
      </c>
      <c r="B8415" s="20" t="str">
        <f>HYPERLINK("https://twitter.com/JDignum","@JDignum")</f>
        <v>@JDignum</v>
      </c>
      <c r="C8415" s="21" t="s">
        <v>18582</v>
      </c>
      <c r="D8415" s="21" t="s">
        <v>2157</v>
      </c>
      <c r="E8415" s="22" t="str">
        <f>HYPERLINK("https://twitter.com/JDignum/status/922646714044919808","922646714044919808")</f>
        <v>922646714044919808</v>
      </c>
      <c r="F8415" s="23" t="s">
        <v>230</v>
      </c>
      <c r="G8415" s="24">
        <v>1218.0</v>
      </c>
      <c r="H8415" s="24">
        <v>4431.0</v>
      </c>
      <c r="I8415" s="24">
        <v>12.0</v>
      </c>
      <c r="J8415" s="24">
        <v>0.0</v>
      </c>
      <c r="K8415" s="23" t="s">
        <v>34</v>
      </c>
      <c r="L8415" s="25">
        <v>40339.26703703704</v>
      </c>
      <c r="M8415" s="26" t="s">
        <v>18583</v>
      </c>
      <c r="N8415" s="26" t="s">
        <v>18584</v>
      </c>
      <c r="O8415" s="22" t="str">
        <f>HYPERLINK("https://pbs.twimg.com/profile_images/1641753894/f7c56209-a511-40fe-b257-ec0a80e2ac90_normal.png","View")</f>
        <v>View</v>
      </c>
      <c r="P8415" s="27"/>
    </row>
    <row r="8416">
      <c r="A8416" s="14">
        <v>43031.79974537037</v>
      </c>
      <c r="B8416" s="20" t="str">
        <f>HYPERLINK("https://twitter.com/YogaYukt","@YogaYukt")</f>
        <v>@YogaYukt</v>
      </c>
      <c r="C8416" s="21" t="s">
        <v>18585</v>
      </c>
      <c r="D8416" s="21" t="s">
        <v>42</v>
      </c>
      <c r="E8416" s="22" t="str">
        <f>HYPERLINK("https://twitter.com/YogaYukt/status/922646736887095296","922646736887095296")</f>
        <v>922646736887095296</v>
      </c>
      <c r="F8416" s="23" t="s">
        <v>33</v>
      </c>
      <c r="G8416" s="24">
        <v>39.0</v>
      </c>
      <c r="H8416" s="24">
        <v>45.0</v>
      </c>
      <c r="I8416" s="24">
        <v>8501.0</v>
      </c>
      <c r="J8416" s="24">
        <v>0.0</v>
      </c>
      <c r="K8416" s="23" t="s">
        <v>34</v>
      </c>
      <c r="L8416" s="25">
        <v>42902.33694444444</v>
      </c>
      <c r="M8416" s="26" t="s">
        <v>18586</v>
      </c>
      <c r="N8416" s="26" t="s">
        <v>18587</v>
      </c>
      <c r="O8416" s="22" t="str">
        <f>HYPERLINK("https://pbs.twimg.com/profile_images/875736511219716096/zJtv534D_normal.jpg","View")</f>
        <v>View</v>
      </c>
      <c r="P8416" s="27"/>
    </row>
    <row r="8417">
      <c r="A8417" s="14">
        <v>43031.8</v>
      </c>
      <c r="B8417" s="20" t="str">
        <f>HYPERLINK("https://twitter.com/julian_ortegam_","@julian_ortegam_")</f>
        <v>@julian_ortegam_</v>
      </c>
      <c r="C8417" s="21" t="s">
        <v>18588</v>
      </c>
      <c r="D8417" s="21" t="s">
        <v>17677</v>
      </c>
      <c r="E8417" s="22" t="str">
        <f>HYPERLINK("https://twitter.com/julian_ortegam_/status/922646826976673792","922646826976673792")</f>
        <v>922646826976673792</v>
      </c>
      <c r="F8417" s="23" t="s">
        <v>33</v>
      </c>
      <c r="G8417" s="24">
        <v>2168.0</v>
      </c>
      <c r="H8417" s="24">
        <v>2165.0</v>
      </c>
      <c r="I8417" s="24">
        <v>13.0</v>
      </c>
      <c r="J8417" s="24">
        <v>0.0</v>
      </c>
      <c r="K8417" s="23" t="s">
        <v>34</v>
      </c>
      <c r="L8417" s="25">
        <v>40892.79609953704</v>
      </c>
      <c r="M8417" s="26" t="s">
        <v>18589</v>
      </c>
      <c r="N8417" s="26" t="s">
        <v>18590</v>
      </c>
      <c r="O8417" s="22" t="str">
        <f>HYPERLINK("https://pbs.twimg.com/profile_images/922990400939446272/ExpSIUBb_normal.jpg","View")</f>
        <v>View</v>
      </c>
      <c r="P8417" s="27"/>
    </row>
    <row r="8418">
      <c r="A8418" s="14">
        <v>43031.80045138889</v>
      </c>
      <c r="B8418" s="20" t="str">
        <f>HYPERLINK("https://twitter.com/vrai777","@vrai777")</f>
        <v>@vrai777</v>
      </c>
      <c r="C8418" s="21" t="s">
        <v>1770</v>
      </c>
      <c r="D8418" s="21" t="s">
        <v>18591</v>
      </c>
      <c r="E8418" s="22" t="str">
        <f>HYPERLINK("https://twitter.com/vrai777/status/922646992618246146","922646992618246146")</f>
        <v>922646992618246146</v>
      </c>
      <c r="F8418" s="23" t="s">
        <v>187</v>
      </c>
      <c r="G8418" s="24">
        <v>7944.0</v>
      </c>
      <c r="H8418" s="24">
        <v>71.0</v>
      </c>
      <c r="I8418" s="24">
        <v>0.0</v>
      </c>
      <c r="J8418" s="24">
        <v>0.0</v>
      </c>
      <c r="K8418" s="23" t="s">
        <v>34</v>
      </c>
      <c r="L8418" s="25">
        <v>39878.7593287037</v>
      </c>
      <c r="M8418" s="26" t="s">
        <v>1024</v>
      </c>
      <c r="N8418" s="26" t="s">
        <v>1772</v>
      </c>
      <c r="O8418" s="22" t="str">
        <f>HYPERLINK("https://pbs.twimg.com/profile_images/688775800284266496/qhWTo08H_normal.png","View")</f>
        <v>View</v>
      </c>
      <c r="P8418" s="27"/>
    </row>
    <row r="8419">
      <c r="A8419" s="14">
        <v>43031.80050925926</v>
      </c>
      <c r="B8419" s="20" t="str">
        <f>HYPERLINK("https://twitter.com/KMT_computrap","@KMT_computrap")</f>
        <v>@KMT_computrap</v>
      </c>
      <c r="C8419" s="21" t="s">
        <v>18592</v>
      </c>
      <c r="D8419" s="21" t="s">
        <v>1642</v>
      </c>
      <c r="E8419" s="22" t="str">
        <f>HYPERLINK("https://twitter.com/KMT_computrap/status/922647014889762816","922647014889762816")</f>
        <v>922647014889762816</v>
      </c>
      <c r="F8419" s="23" t="s">
        <v>55</v>
      </c>
      <c r="G8419" s="24">
        <v>429.0</v>
      </c>
      <c r="H8419" s="24">
        <v>272.0</v>
      </c>
      <c r="I8419" s="24">
        <v>199.0</v>
      </c>
      <c r="J8419" s="24">
        <v>0.0</v>
      </c>
      <c r="K8419" s="23" t="s">
        <v>34</v>
      </c>
      <c r="L8419" s="25">
        <v>40321.11295138889</v>
      </c>
      <c r="M8419" s="26" t="s">
        <v>18593</v>
      </c>
      <c r="N8419" s="26" t="s">
        <v>18594</v>
      </c>
      <c r="O8419" s="22" t="str">
        <f>HYPERLINK("https://pbs.twimg.com/profile_images/825020478649544704/3kqBrEbP_normal.jpg","View")</f>
        <v>View</v>
      </c>
      <c r="P8419" s="27"/>
    </row>
    <row r="8420">
      <c r="A8420" s="14">
        <v>43031.80101851852</v>
      </c>
      <c r="B8420" s="20" t="str">
        <f>HYPERLINK("https://twitter.com/Nikita197j","@Nikita197j")</f>
        <v>@Nikita197j</v>
      </c>
      <c r="C8420" s="21" t="s">
        <v>18595</v>
      </c>
      <c r="D8420" s="21" t="s">
        <v>42</v>
      </c>
      <c r="E8420" s="22" t="str">
        <f>HYPERLINK("https://twitter.com/Nikita197j/status/922647198277492736","922647198277492736")</f>
        <v>922647198277492736</v>
      </c>
      <c r="F8420" s="23" t="s">
        <v>39</v>
      </c>
      <c r="G8420" s="24">
        <v>651.0</v>
      </c>
      <c r="H8420" s="24">
        <v>519.0</v>
      </c>
      <c r="I8420" s="24">
        <v>8501.0</v>
      </c>
      <c r="J8420" s="24">
        <v>0.0</v>
      </c>
      <c r="K8420" s="23" t="s">
        <v>34</v>
      </c>
      <c r="L8420" s="25">
        <v>40065.943402777775</v>
      </c>
      <c r="M8420" s="26" t="s">
        <v>204</v>
      </c>
      <c r="N8420" s="26" t="s">
        <v>18596</v>
      </c>
      <c r="O8420" s="22" t="str">
        <f>HYPERLINK("https://pbs.twimg.com/profile_images/915396575068921857/fRr801Qu_normal.jpg","View")</f>
        <v>View</v>
      </c>
      <c r="P8420" s="27"/>
    </row>
    <row r="8421">
      <c r="A8421" s="14">
        <v>43031.80121527778</v>
      </c>
      <c r="B8421" s="20" t="str">
        <f>HYPERLINK("https://twitter.com/tushat_t","@tushat_t")</f>
        <v>@tushat_t</v>
      </c>
      <c r="C8421" s="21" t="s">
        <v>18597</v>
      </c>
      <c r="D8421" s="21" t="s">
        <v>42</v>
      </c>
      <c r="E8421" s="22" t="str">
        <f>HYPERLINK("https://twitter.com/tushat_t/status/922647268930420737","922647268930420737")</f>
        <v>922647268930420737</v>
      </c>
      <c r="F8421" s="23" t="s">
        <v>33</v>
      </c>
      <c r="G8421" s="24">
        <v>23.0</v>
      </c>
      <c r="H8421" s="24">
        <v>57.0</v>
      </c>
      <c r="I8421" s="24">
        <v>8501.0</v>
      </c>
      <c r="J8421" s="24">
        <v>0.0</v>
      </c>
      <c r="K8421" s="23" t="s">
        <v>34</v>
      </c>
      <c r="L8421" s="25">
        <v>42371.03601851852</v>
      </c>
      <c r="M8421" s="28"/>
      <c r="N8421" s="28"/>
      <c r="O8421" s="22" t="str">
        <f t="shared" ref="O8421:O8422" si="161">HYPERLINK("https://abs.twimg.com/sticky/default_profile_images/default_profile_normal.png","View")</f>
        <v>View</v>
      </c>
      <c r="P8421" s="27"/>
    </row>
    <row r="8422">
      <c r="A8422" s="14">
        <v>43031.80131944444</v>
      </c>
      <c r="B8422" s="20" t="str">
        <f>HYPERLINK("https://twitter.com/ManageCues","@ManageCues")</f>
        <v>@ManageCues</v>
      </c>
      <c r="C8422" s="21" t="s">
        <v>18598</v>
      </c>
      <c r="D8422" s="21" t="s">
        <v>42</v>
      </c>
      <c r="E8422" s="22" t="str">
        <f>HYPERLINK("https://twitter.com/ManageCues/status/922647308172386304","922647308172386304")</f>
        <v>922647308172386304</v>
      </c>
      <c r="F8422" s="23" t="s">
        <v>33</v>
      </c>
      <c r="G8422" s="24">
        <v>16.0</v>
      </c>
      <c r="H8422" s="24">
        <v>27.0</v>
      </c>
      <c r="I8422" s="24">
        <v>8501.0</v>
      </c>
      <c r="J8422" s="24">
        <v>0.0</v>
      </c>
      <c r="K8422" s="23" t="s">
        <v>34</v>
      </c>
      <c r="L8422" s="25">
        <v>42408.12502314815</v>
      </c>
      <c r="M8422" s="28"/>
      <c r="N8422" s="28"/>
      <c r="O8422" s="22" t="str">
        <f t="shared" si="161"/>
        <v>View</v>
      </c>
      <c r="P8422" s="27"/>
    </row>
    <row r="8423">
      <c r="A8423" s="14">
        <v>43031.801400462966</v>
      </c>
      <c r="B8423" s="20" t="str">
        <f>HYPERLINK("https://twitter.com/JamesSmithTwo","@JamesSmithTwo")</f>
        <v>@JamesSmithTwo</v>
      </c>
      <c r="C8423" s="21" t="s">
        <v>18599</v>
      </c>
      <c r="D8423" s="21" t="s">
        <v>42</v>
      </c>
      <c r="E8423" s="22" t="str">
        <f>HYPERLINK("https://twitter.com/JamesSmithTwo/status/922647335733043200","922647335733043200")</f>
        <v>922647335733043200</v>
      </c>
      <c r="F8423" s="23" t="s">
        <v>33</v>
      </c>
      <c r="G8423" s="24">
        <v>23.0</v>
      </c>
      <c r="H8423" s="24">
        <v>31.0</v>
      </c>
      <c r="I8423" s="24">
        <v>8501.0</v>
      </c>
      <c r="J8423" s="24">
        <v>0.0</v>
      </c>
      <c r="K8423" s="23" t="s">
        <v>34</v>
      </c>
      <c r="L8423" s="25">
        <v>42357.89197916667</v>
      </c>
      <c r="M8423" s="28"/>
      <c r="N8423" s="28"/>
      <c r="O8423" s="22" t="str">
        <f>HYPERLINK("https://pbs.twimg.com/profile_images/678447258568929281/08Jhqp08_normal.jpg","View")</f>
        <v>View</v>
      </c>
      <c r="P8423" s="27"/>
    </row>
    <row r="8424">
      <c r="A8424" s="14">
        <v>43031.801516203705</v>
      </c>
      <c r="B8424" s="20" t="str">
        <f>HYPERLINK("https://twitter.com/MNS4Maharashtra","@MNS4Maharashtra")</f>
        <v>@MNS4Maharashtra</v>
      </c>
      <c r="C8424" s="21" t="s">
        <v>18600</v>
      </c>
      <c r="D8424" s="21" t="s">
        <v>42</v>
      </c>
      <c r="E8424" s="22" t="str">
        <f>HYPERLINK("https://twitter.com/MNS4Maharashtra/status/922647375935520768","922647375935520768")</f>
        <v>922647375935520768</v>
      </c>
      <c r="F8424" s="23" t="s">
        <v>33</v>
      </c>
      <c r="G8424" s="24">
        <v>26.0</v>
      </c>
      <c r="H8424" s="24">
        <v>26.0</v>
      </c>
      <c r="I8424" s="24">
        <v>8501.0</v>
      </c>
      <c r="J8424" s="24">
        <v>0.0</v>
      </c>
      <c r="K8424" s="23" t="s">
        <v>34</v>
      </c>
      <c r="L8424" s="25">
        <v>42728.97730324074</v>
      </c>
      <c r="M8424" s="26" t="s">
        <v>3566</v>
      </c>
      <c r="N8424" s="26" t="s">
        <v>18601</v>
      </c>
      <c r="O8424" s="22" t="str">
        <f>HYPERLINK("https://pbs.twimg.com/profile_images/835018362962898944/KOeF4fWN_normal.jpg","View")</f>
        <v>View</v>
      </c>
      <c r="P8424" s="27"/>
    </row>
    <row r="8425">
      <c r="A8425" s="14">
        <v>43031.80212962963</v>
      </c>
      <c r="B8425" s="20" t="str">
        <f>HYPERLINK("https://twitter.com/SCMP_News","@SCMP_News")</f>
        <v>@SCMP_News</v>
      </c>
      <c r="C8425" s="21" t="s">
        <v>5484</v>
      </c>
      <c r="D8425" s="21" t="s">
        <v>18602</v>
      </c>
      <c r="E8425" s="22" t="str">
        <f>HYPERLINK("https://twitter.com/SCMP_News/status/922647601626976256","922647601626976256")</f>
        <v>922647601626976256</v>
      </c>
      <c r="F8425" s="23" t="s">
        <v>4619</v>
      </c>
      <c r="G8425" s="24">
        <v>505564.0</v>
      </c>
      <c r="H8425" s="24">
        <v>345.0</v>
      </c>
      <c r="I8425" s="24">
        <v>6.0</v>
      </c>
      <c r="J8425" s="24">
        <v>3.0</v>
      </c>
      <c r="K8425" s="23" t="s">
        <v>34</v>
      </c>
      <c r="L8425" s="25">
        <v>39884.07766203704</v>
      </c>
      <c r="M8425" s="26" t="s">
        <v>2185</v>
      </c>
      <c r="N8425" s="26" t="s">
        <v>5486</v>
      </c>
      <c r="O8425" s="22" t="str">
        <f>HYPERLINK("https://pbs.twimg.com/profile_images/593315521707159552/nSAjByJO_normal.png","View")</f>
        <v>View</v>
      </c>
      <c r="P8425" s="27"/>
    </row>
    <row r="8426">
      <c r="A8426" s="14">
        <v>43031.80216435185</v>
      </c>
      <c r="B8426" s="20" t="str">
        <f>HYPERLINK("https://twitter.com/nkDarkDrgmailc1","@nkDarkDrgmailc1")</f>
        <v>@nkDarkDrgmailc1</v>
      </c>
      <c r="C8426" s="21" t="s">
        <v>18603</v>
      </c>
      <c r="D8426" s="21" t="s">
        <v>18604</v>
      </c>
      <c r="E8426" s="22" t="str">
        <f>HYPERLINK("https://twitter.com/nkDarkDrgmailc1/status/922647611089215489","922647611089215489")</f>
        <v>922647611089215489</v>
      </c>
      <c r="F8426" s="23" t="s">
        <v>33</v>
      </c>
      <c r="G8426" s="24">
        <v>4136.0</v>
      </c>
      <c r="H8426" s="24">
        <v>2888.0</v>
      </c>
      <c r="I8426" s="24">
        <v>5.0</v>
      </c>
      <c r="J8426" s="24">
        <v>0.0</v>
      </c>
      <c r="K8426" s="23" t="s">
        <v>34</v>
      </c>
      <c r="L8426" s="25">
        <v>42002.184340277774</v>
      </c>
      <c r="M8426" s="28"/>
      <c r="N8426" s="26" t="s">
        <v>18605</v>
      </c>
      <c r="O8426" s="22" t="str">
        <f>HYPERLINK("https://pbs.twimg.com/profile_images/549546382671900672/AD_kn2tS_normal.jpeg","View")</f>
        <v>View</v>
      </c>
      <c r="P8426" s="27"/>
    </row>
    <row r="8427">
      <c r="A8427" s="14">
        <v>43031.8021875</v>
      </c>
      <c r="B8427" s="20" t="str">
        <f>HYPERLINK("https://twitter.com/TakahashiKosuke","@TakahashiKosuke")</f>
        <v>@TakahashiKosuke</v>
      </c>
      <c r="C8427" s="21" t="s">
        <v>18606</v>
      </c>
      <c r="D8427" s="21" t="s">
        <v>18607</v>
      </c>
      <c r="E8427" s="22" t="str">
        <f>HYPERLINK("https://twitter.com/TakahashiKosuke/status/922647620518010880","922647620518010880")</f>
        <v>922647620518010880</v>
      </c>
      <c r="F8427" s="23" t="s">
        <v>55</v>
      </c>
      <c r="G8427" s="24">
        <v>1512.0</v>
      </c>
      <c r="H8427" s="24">
        <v>647.0</v>
      </c>
      <c r="I8427" s="24">
        <v>1.0</v>
      </c>
      <c r="J8427" s="24">
        <v>1.0</v>
      </c>
      <c r="K8427" s="23" t="s">
        <v>34</v>
      </c>
      <c r="L8427" s="25">
        <v>40005.725277777776</v>
      </c>
      <c r="M8427" s="26" t="s">
        <v>923</v>
      </c>
      <c r="N8427" s="26" t="s">
        <v>18608</v>
      </c>
      <c r="O8427" s="22" t="str">
        <f>HYPERLINK("https://pbs.twimg.com/profile_images/878233194562166786/MttZhJ_c_normal.jpg","View")</f>
        <v>View</v>
      </c>
      <c r="P8427" s="27"/>
    </row>
    <row r="8428">
      <c r="A8428" s="14">
        <v>43031.802256944444</v>
      </c>
      <c r="B8428" s="20" t="str">
        <f>HYPERLINK("https://twitter.com/jzca1l","@jzca1l")</f>
        <v>@jzca1l</v>
      </c>
      <c r="C8428" s="21" t="s">
        <v>7691</v>
      </c>
      <c r="D8428" s="21" t="s">
        <v>18609</v>
      </c>
      <c r="E8428" s="22" t="str">
        <f>HYPERLINK("https://twitter.com/jzca1l/status/922647646375776258","922647646375776258")</f>
        <v>922647646375776258</v>
      </c>
      <c r="F8428" s="23" t="s">
        <v>55</v>
      </c>
      <c r="G8428" s="24">
        <v>6.0</v>
      </c>
      <c r="H8428" s="24">
        <v>45.0</v>
      </c>
      <c r="I8428" s="24">
        <v>6.0</v>
      </c>
      <c r="J8428" s="24">
        <v>0.0</v>
      </c>
      <c r="K8428" s="23" t="s">
        <v>34</v>
      </c>
      <c r="L8428" s="25">
        <v>43002.06971064815</v>
      </c>
      <c r="M8428" s="26" t="s">
        <v>7693</v>
      </c>
      <c r="N8428" s="26" t="s">
        <v>7694</v>
      </c>
      <c r="O8428" s="22" t="str">
        <f>HYPERLINK("https://pbs.twimg.com/profile_images/911873755105837056/GuymLny2_normal.jpg","View")</f>
        <v>View</v>
      </c>
      <c r="P8428" s="27"/>
    </row>
    <row r="8429">
      <c r="A8429" s="14">
        <v>43031.80230324074</v>
      </c>
      <c r="B8429" s="20" t="str">
        <f>HYPERLINK("https://twitter.com/jeffers75109741","@jeffers75109741")</f>
        <v>@jeffers75109741</v>
      </c>
      <c r="C8429" s="21" t="s">
        <v>7695</v>
      </c>
      <c r="D8429" s="21" t="s">
        <v>18609</v>
      </c>
      <c r="E8429" s="22" t="str">
        <f>HYPERLINK("https://twitter.com/jeffers75109741/status/922647663748591616","922647663748591616")</f>
        <v>922647663748591616</v>
      </c>
      <c r="F8429" s="23" t="s">
        <v>55</v>
      </c>
      <c r="G8429" s="24">
        <v>3.0</v>
      </c>
      <c r="H8429" s="24">
        <v>52.0</v>
      </c>
      <c r="I8429" s="24">
        <v>6.0</v>
      </c>
      <c r="J8429" s="24">
        <v>0.0</v>
      </c>
      <c r="K8429" s="23" t="s">
        <v>34</v>
      </c>
      <c r="L8429" s="25">
        <v>43020.28111111111</v>
      </c>
      <c r="M8429" s="28"/>
      <c r="N8429" s="28"/>
      <c r="O8429" s="22" t="str">
        <f>HYPERLINK("https://pbs.twimg.com/profile_images/920298934626426882/2opxO_ju_normal.jpg","View")</f>
        <v>View</v>
      </c>
      <c r="P8429" s="27"/>
    </row>
    <row r="8430">
      <c r="A8430" s="14">
        <v>43031.80237268518</v>
      </c>
      <c r="B8430" s="20" t="str">
        <f>HYPERLINK("https://twitter.com/nkDarkDrgmailc1","@nkDarkDrgmailc1")</f>
        <v>@nkDarkDrgmailc1</v>
      </c>
      <c r="C8430" s="21" t="s">
        <v>18603</v>
      </c>
      <c r="D8430" s="21" t="s">
        <v>18610</v>
      </c>
      <c r="E8430" s="22" t="str">
        <f>HYPERLINK("https://twitter.com/nkDarkDrgmailc1/status/922647689338142721","922647689338142721")</f>
        <v>922647689338142721</v>
      </c>
      <c r="F8430" s="23" t="s">
        <v>33</v>
      </c>
      <c r="G8430" s="24">
        <v>4136.0</v>
      </c>
      <c r="H8430" s="24">
        <v>2888.0</v>
      </c>
      <c r="I8430" s="24">
        <v>16.0</v>
      </c>
      <c r="J8430" s="24">
        <v>0.0</v>
      </c>
      <c r="K8430" s="23" t="s">
        <v>34</v>
      </c>
      <c r="L8430" s="25">
        <v>42002.184340277774</v>
      </c>
      <c r="M8430" s="28"/>
      <c r="N8430" s="26" t="s">
        <v>18605</v>
      </c>
      <c r="O8430" s="22" t="str">
        <f>HYPERLINK("https://pbs.twimg.com/profile_images/549546382671900672/AD_kn2tS_normal.jpeg","View")</f>
        <v>View</v>
      </c>
      <c r="P8430" s="27"/>
    </row>
    <row r="8431">
      <c r="A8431" s="14">
        <v>43031.80265046297</v>
      </c>
      <c r="B8431" s="20" t="str">
        <f>HYPERLINK("https://twitter.com/chantaldaifonso","@chantaldaifonso")</f>
        <v>@chantaldaifonso</v>
      </c>
      <c r="C8431" s="21" t="s">
        <v>18611</v>
      </c>
      <c r="D8431" s="21" t="s">
        <v>2369</v>
      </c>
      <c r="E8431" s="22" t="str">
        <f>HYPERLINK("https://twitter.com/chantaldaifonso/status/922647788055420928","922647788055420928")</f>
        <v>922647788055420928</v>
      </c>
      <c r="F8431" s="23" t="s">
        <v>33</v>
      </c>
      <c r="G8431" s="24">
        <v>48.0</v>
      </c>
      <c r="H8431" s="24">
        <v>1799.0</v>
      </c>
      <c r="I8431" s="24">
        <v>23.0</v>
      </c>
      <c r="J8431" s="24">
        <v>0.0</v>
      </c>
      <c r="K8431" s="23" t="s">
        <v>34</v>
      </c>
      <c r="L8431" s="25">
        <v>42063.58739583333</v>
      </c>
      <c r="M8431" s="26" t="s">
        <v>18612</v>
      </c>
      <c r="N8431" s="26" t="s">
        <v>18613</v>
      </c>
      <c r="O8431" s="22" t="str">
        <f>HYPERLINK("https://pbs.twimg.com/profile_images/765252339032846336/LC8gDTLA_normal.jpg","View")</f>
        <v>View</v>
      </c>
      <c r="P8431" s="27"/>
    </row>
    <row r="8432">
      <c r="A8432" s="14">
        <v>43031.80280092593</v>
      </c>
      <c r="B8432" s="20" t="str">
        <f>HYPERLINK("https://twitter.com/nkDarkDrgmailc1","@nkDarkDrgmailc1")</f>
        <v>@nkDarkDrgmailc1</v>
      </c>
      <c r="C8432" s="21" t="s">
        <v>18603</v>
      </c>
      <c r="D8432" s="21" t="s">
        <v>18614</v>
      </c>
      <c r="E8432" s="22" t="str">
        <f>HYPERLINK("https://twitter.com/nkDarkDrgmailc1/status/922647843424182272","922647843424182272")</f>
        <v>922647843424182272</v>
      </c>
      <c r="F8432" s="23" t="s">
        <v>33</v>
      </c>
      <c r="G8432" s="24">
        <v>4136.0</v>
      </c>
      <c r="H8432" s="24">
        <v>2888.0</v>
      </c>
      <c r="I8432" s="24">
        <v>4.0</v>
      </c>
      <c r="J8432" s="24">
        <v>0.0</v>
      </c>
      <c r="K8432" s="23" t="s">
        <v>34</v>
      </c>
      <c r="L8432" s="25">
        <v>42002.184340277774</v>
      </c>
      <c r="M8432" s="28"/>
      <c r="N8432" s="26" t="s">
        <v>18605</v>
      </c>
      <c r="O8432" s="22" t="str">
        <f>HYPERLINK("https://pbs.twimg.com/profile_images/549546382671900672/AD_kn2tS_normal.jpeg","View")</f>
        <v>View</v>
      </c>
      <c r="P8432" s="27"/>
    </row>
    <row r="8433">
      <c r="A8433" s="14">
        <v>43031.8029050926</v>
      </c>
      <c r="B8433" s="20" t="str">
        <f>HYPERLINK("https://twitter.com/kitokunohito","@kitokunohito")</f>
        <v>@kitokunohito</v>
      </c>
      <c r="C8433" s="21" t="s">
        <v>5093</v>
      </c>
      <c r="D8433" s="21" t="s">
        <v>10370</v>
      </c>
      <c r="E8433" s="22" t="str">
        <f>HYPERLINK("https://twitter.com/kitokunohito/status/922647881495932929","922647881495932929")</f>
        <v>922647881495932929</v>
      </c>
      <c r="F8433" s="23" t="s">
        <v>5094</v>
      </c>
      <c r="G8433" s="24">
        <v>1124.0</v>
      </c>
      <c r="H8433" s="24">
        <v>175.0</v>
      </c>
      <c r="I8433" s="24">
        <v>10.0</v>
      </c>
      <c r="J8433" s="24">
        <v>0.0</v>
      </c>
      <c r="K8433" s="23" t="s">
        <v>34</v>
      </c>
      <c r="L8433" s="25">
        <v>39888.71042824074</v>
      </c>
      <c r="M8433" s="26" t="s">
        <v>631</v>
      </c>
      <c r="N8433" s="26" t="s">
        <v>5095</v>
      </c>
      <c r="O8433" s="22" t="str">
        <f>HYPERLINK("https://pbs.twimg.com/profile_images/785360398/twitterProfilePhoto_normal.jpg","View")</f>
        <v>View</v>
      </c>
      <c r="P8433" s="27"/>
    </row>
    <row r="8434">
      <c r="A8434" s="14">
        <v>43031.80296296296</v>
      </c>
      <c r="B8434" s="20" t="str">
        <f>HYPERLINK("https://twitter.com/kadar_k","@kadar_k")</f>
        <v>@kadar_k</v>
      </c>
      <c r="C8434" s="21" t="s">
        <v>18615</v>
      </c>
      <c r="D8434" s="21" t="s">
        <v>18609</v>
      </c>
      <c r="E8434" s="22" t="str">
        <f>HYPERLINK("https://twitter.com/kadar_k/status/922647900391223296","922647900391223296")</f>
        <v>922647900391223296</v>
      </c>
      <c r="F8434" s="23" t="s">
        <v>55</v>
      </c>
      <c r="G8434" s="24">
        <v>1814.0</v>
      </c>
      <c r="H8434" s="24">
        <v>3045.0</v>
      </c>
      <c r="I8434" s="24">
        <v>6.0</v>
      </c>
      <c r="J8434" s="24">
        <v>0.0</v>
      </c>
      <c r="K8434" s="23" t="s">
        <v>34</v>
      </c>
      <c r="L8434" s="25">
        <v>40685.705416666664</v>
      </c>
      <c r="M8434" s="26" t="s">
        <v>18616</v>
      </c>
      <c r="N8434" s="26" t="s">
        <v>18617</v>
      </c>
      <c r="O8434" s="22" t="str">
        <f>HYPERLINK("https://pbs.twimg.com/profile_images/2622195813/t99kx08degevh6rkg6l2_normal.jpeg","View")</f>
        <v>View</v>
      </c>
      <c r="P8434" s="27"/>
    </row>
    <row r="8435">
      <c r="A8435" s="14">
        <v>43031.80306712963</v>
      </c>
      <c r="B8435" s="20" t="str">
        <f>HYPERLINK("https://twitter.com/sifebook","@sifebook")</f>
        <v>@sifebook</v>
      </c>
      <c r="C8435" s="21" t="s">
        <v>18618</v>
      </c>
      <c r="D8435" s="21" t="s">
        <v>3965</v>
      </c>
      <c r="E8435" s="22" t="str">
        <f>HYPERLINK("https://twitter.com/sifebook/status/922647940430290945","922647940430290945")</f>
        <v>922647940430290945</v>
      </c>
      <c r="F8435" s="23" t="s">
        <v>43</v>
      </c>
      <c r="G8435" s="24">
        <v>335.0</v>
      </c>
      <c r="H8435" s="24">
        <v>4073.0</v>
      </c>
      <c r="I8435" s="24">
        <v>13.0</v>
      </c>
      <c r="J8435" s="24">
        <v>0.0</v>
      </c>
      <c r="K8435" s="23" t="s">
        <v>34</v>
      </c>
      <c r="L8435" s="25">
        <v>40972.05960648148</v>
      </c>
      <c r="M8435" s="28"/>
      <c r="N8435" s="32" t="s">
        <v>18619</v>
      </c>
      <c r="O8435" s="22" t="str">
        <f>HYPERLINK("https://pbs.twimg.com/profile_images/876637972338282496/4VeEbffL_normal.jpg","View")</f>
        <v>View</v>
      </c>
      <c r="P8435" s="27"/>
    </row>
    <row r="8436">
      <c r="A8436" s="14">
        <v>43031.80309027778</v>
      </c>
      <c r="B8436" s="20" t="str">
        <f>HYPERLINK("https://twitter.com/nkDarkDrgmailc1","@nkDarkDrgmailc1")</f>
        <v>@nkDarkDrgmailc1</v>
      </c>
      <c r="C8436" s="21" t="s">
        <v>18603</v>
      </c>
      <c r="D8436" s="21" t="s">
        <v>18620</v>
      </c>
      <c r="E8436" s="22" t="str">
        <f>HYPERLINK("https://twitter.com/nkDarkDrgmailc1/status/922647947728240640","922647947728240640")</f>
        <v>922647947728240640</v>
      </c>
      <c r="F8436" s="23" t="s">
        <v>33</v>
      </c>
      <c r="G8436" s="24">
        <v>4136.0</v>
      </c>
      <c r="H8436" s="24">
        <v>2888.0</v>
      </c>
      <c r="I8436" s="24">
        <v>5.0</v>
      </c>
      <c r="J8436" s="24">
        <v>0.0</v>
      </c>
      <c r="K8436" s="23" t="s">
        <v>34</v>
      </c>
      <c r="L8436" s="25">
        <v>42002.184340277774</v>
      </c>
      <c r="M8436" s="28"/>
      <c r="N8436" s="26" t="s">
        <v>18605</v>
      </c>
      <c r="O8436" s="22" t="str">
        <f>HYPERLINK("https://pbs.twimg.com/profile_images/549546382671900672/AD_kn2tS_normal.jpeg","View")</f>
        <v>View</v>
      </c>
      <c r="P8436" s="27"/>
    </row>
    <row r="8437">
      <c r="A8437" s="14">
        <v>43031.80334490741</v>
      </c>
      <c r="B8437" s="20" t="str">
        <f>HYPERLINK("https://twitter.com/armandlaurin48","@armandlaurin48")</f>
        <v>@armandlaurin48</v>
      </c>
      <c r="C8437" s="21" t="s">
        <v>18621</v>
      </c>
      <c r="D8437" s="21" t="s">
        <v>18622</v>
      </c>
      <c r="E8437" s="22" t="str">
        <f>HYPERLINK("https://twitter.com/armandlaurin48/status/922648041076744192","922648041076744192")</f>
        <v>922648041076744192</v>
      </c>
      <c r="F8437" s="23" t="s">
        <v>33</v>
      </c>
      <c r="G8437" s="24">
        <v>7506.0</v>
      </c>
      <c r="H8437" s="24">
        <v>8153.0</v>
      </c>
      <c r="I8437" s="24">
        <v>1.0</v>
      </c>
      <c r="J8437" s="24">
        <v>0.0</v>
      </c>
      <c r="K8437" s="23" t="s">
        <v>34</v>
      </c>
      <c r="L8437" s="25">
        <v>42350.25842592593</v>
      </c>
      <c r="M8437" s="26" t="s">
        <v>18623</v>
      </c>
      <c r="N8437" s="26" t="s">
        <v>18624</v>
      </c>
      <c r="O8437" s="22" t="str">
        <f>HYPERLINK("https://pbs.twimg.com/profile_images/682361987054055424/r2ifGGH1_normal.jpg","View")</f>
        <v>View</v>
      </c>
      <c r="P8437" s="27"/>
    </row>
    <row r="8438">
      <c r="A8438" s="14">
        <v>43031.803564814814</v>
      </c>
      <c r="B8438" s="20" t="str">
        <f>HYPERLINK("https://twitter.com/tripathiashish","@tripathiashish")</f>
        <v>@tripathiashish</v>
      </c>
      <c r="C8438" s="21" t="s">
        <v>18625</v>
      </c>
      <c r="D8438" s="21" t="s">
        <v>42</v>
      </c>
      <c r="E8438" s="22" t="str">
        <f>HYPERLINK("https://twitter.com/tripathiashish/status/922648121875689472","922648121875689472")</f>
        <v>922648121875689472</v>
      </c>
      <c r="F8438" s="23" t="s">
        <v>33</v>
      </c>
      <c r="G8438" s="24">
        <v>94.0</v>
      </c>
      <c r="H8438" s="24">
        <v>294.0</v>
      </c>
      <c r="I8438" s="24">
        <v>8501.0</v>
      </c>
      <c r="J8438" s="24">
        <v>0.0</v>
      </c>
      <c r="K8438" s="23" t="s">
        <v>34</v>
      </c>
      <c r="L8438" s="25">
        <v>40011.6066087963</v>
      </c>
      <c r="M8438" s="26" t="s">
        <v>18626</v>
      </c>
      <c r="N8438" s="26" t="s">
        <v>18627</v>
      </c>
      <c r="O8438" s="22" t="str">
        <f>HYPERLINK("https://pbs.twimg.com/profile_images/2509557309/sjazmhiaf9wru7dbk4ng_normal.jpeg","View")</f>
        <v>View</v>
      </c>
      <c r="P8438" s="27"/>
    </row>
    <row r="8439">
      <c r="A8439" s="14">
        <v>43031.803668981476</v>
      </c>
      <c r="B8439" s="20" t="str">
        <f>HYPERLINK("https://twitter.com/nkDarkDrgmailc1","@nkDarkDrgmailc1")</f>
        <v>@nkDarkDrgmailc1</v>
      </c>
      <c r="C8439" s="21" t="s">
        <v>18603</v>
      </c>
      <c r="D8439" s="21" t="s">
        <v>18628</v>
      </c>
      <c r="E8439" s="22" t="str">
        <f>HYPERLINK("https://twitter.com/nkDarkDrgmailc1/status/922648158173151232","922648158173151232")</f>
        <v>922648158173151232</v>
      </c>
      <c r="F8439" s="23" t="s">
        <v>33</v>
      </c>
      <c r="G8439" s="24">
        <v>4136.0</v>
      </c>
      <c r="H8439" s="24">
        <v>2888.0</v>
      </c>
      <c r="I8439" s="24">
        <v>11.0</v>
      </c>
      <c r="J8439" s="24">
        <v>0.0</v>
      </c>
      <c r="K8439" s="23" t="s">
        <v>34</v>
      </c>
      <c r="L8439" s="25">
        <v>42002.184340277774</v>
      </c>
      <c r="M8439" s="28"/>
      <c r="N8439" s="26" t="s">
        <v>18605</v>
      </c>
      <c r="O8439" s="22" t="str">
        <f>HYPERLINK("https://pbs.twimg.com/profile_images/549546382671900672/AD_kn2tS_normal.jpeg","View")</f>
        <v>View</v>
      </c>
      <c r="P8439" s="27"/>
    </row>
    <row r="8440">
      <c r="A8440" s="14">
        <v>43031.80396990741</v>
      </c>
      <c r="B8440" s="20" t="str">
        <f>HYPERLINK("https://twitter.com/1979filippova1","@1979filippova1")</f>
        <v>@1979filippova1</v>
      </c>
      <c r="C8440" s="21" t="s">
        <v>8183</v>
      </c>
      <c r="D8440" s="21" t="s">
        <v>18162</v>
      </c>
      <c r="E8440" s="22" t="str">
        <f>HYPERLINK("https://twitter.com/1979filippova1/status/922648268437258241","922648268437258241")</f>
        <v>922648268437258241</v>
      </c>
      <c r="F8440" s="23" t="s">
        <v>55</v>
      </c>
      <c r="G8440" s="24">
        <v>2.0</v>
      </c>
      <c r="H8440" s="24">
        <v>0.0</v>
      </c>
      <c r="I8440" s="24">
        <v>59.0</v>
      </c>
      <c r="J8440" s="24">
        <v>0.0</v>
      </c>
      <c r="K8440" s="23" t="s">
        <v>34</v>
      </c>
      <c r="L8440" s="25">
        <v>43015.575578703705</v>
      </c>
      <c r="M8440" s="28"/>
      <c r="N8440" s="28"/>
      <c r="O8440" s="22" t="str">
        <f>HYPERLINK("https://pbs.twimg.com/profile_images/921086909413171200/nW9HIZan_normal.jpg","View")</f>
        <v>View</v>
      </c>
      <c r="P8440" s="27"/>
    </row>
    <row r="8441">
      <c r="A8441" s="14">
        <v>43031.80438657408</v>
      </c>
      <c r="B8441" s="20" t="str">
        <f>HYPERLINK("https://twitter.com/Vishnu77885906","@Vishnu77885906")</f>
        <v>@Vishnu77885906</v>
      </c>
      <c r="C8441" s="21" t="s">
        <v>18629</v>
      </c>
      <c r="D8441" s="21" t="s">
        <v>42</v>
      </c>
      <c r="E8441" s="22" t="str">
        <f>HYPERLINK("https://twitter.com/Vishnu77885906/status/922648416387194880","922648416387194880")</f>
        <v>922648416387194880</v>
      </c>
      <c r="F8441" s="23" t="s">
        <v>33</v>
      </c>
      <c r="G8441" s="24">
        <v>18.0</v>
      </c>
      <c r="H8441" s="24">
        <v>128.0</v>
      </c>
      <c r="I8441" s="24">
        <v>8501.0</v>
      </c>
      <c r="J8441" s="24">
        <v>0.0</v>
      </c>
      <c r="K8441" s="23" t="s">
        <v>34</v>
      </c>
      <c r="L8441" s="25">
        <v>42700.273263888885</v>
      </c>
      <c r="M8441" s="28"/>
      <c r="N8441" s="28"/>
      <c r="O8441" s="22" t="str">
        <f>HYPERLINK("https://abs.twimg.com/sticky/default_profile_images/default_profile_normal.png","View")</f>
        <v>View</v>
      </c>
      <c r="P8441" s="27"/>
    </row>
    <row r="8442">
      <c r="A8442" s="14">
        <v>43031.80464120371</v>
      </c>
      <c r="B8442" s="20" t="str">
        <f>HYPERLINK("https://twitter.com/venkatTOI","@venkatTOI")</f>
        <v>@venkatTOI</v>
      </c>
      <c r="C8442" s="21" t="s">
        <v>18630</v>
      </c>
      <c r="D8442" s="21" t="s">
        <v>163</v>
      </c>
      <c r="E8442" s="22" t="str">
        <f>HYPERLINK("https://twitter.com/venkatTOI/status/922648508863152128","922648508863152128")</f>
        <v>922648508863152128</v>
      </c>
      <c r="F8442" s="23" t="s">
        <v>33</v>
      </c>
      <c r="G8442" s="24">
        <v>101.0</v>
      </c>
      <c r="H8442" s="24">
        <v>34.0</v>
      </c>
      <c r="I8442" s="24">
        <v>1005.0</v>
      </c>
      <c r="J8442" s="24">
        <v>0.0</v>
      </c>
      <c r="K8442" s="23" t="s">
        <v>34</v>
      </c>
      <c r="L8442" s="25">
        <v>42269.31216435185</v>
      </c>
      <c r="M8442" s="28"/>
      <c r="N8442" s="26" t="s">
        <v>18631</v>
      </c>
      <c r="O8442" s="22" t="str">
        <f>HYPERLINK("https://pbs.twimg.com/profile_images/646345429538344962/mFK87Pow_normal.jpg","View")</f>
        <v>View</v>
      </c>
      <c r="P8442" s="27"/>
    </row>
    <row r="8443">
      <c r="A8443" s="14">
        <v>43031.80479166667</v>
      </c>
      <c r="B8443" s="20" t="str">
        <f>HYPERLINK("https://twitter.com/anubhavgautam92","@anubhavgautam92")</f>
        <v>@anubhavgautam92</v>
      </c>
      <c r="C8443" s="21" t="s">
        <v>18632</v>
      </c>
      <c r="D8443" s="21" t="s">
        <v>42</v>
      </c>
      <c r="E8443" s="22" t="str">
        <f>HYPERLINK("https://twitter.com/anubhavgautam92/status/922648564127358976","922648564127358976")</f>
        <v>922648564127358976</v>
      </c>
      <c r="F8443" s="23" t="s">
        <v>33</v>
      </c>
      <c r="G8443" s="24">
        <v>189.0</v>
      </c>
      <c r="H8443" s="24">
        <v>454.0</v>
      </c>
      <c r="I8443" s="24">
        <v>8501.0</v>
      </c>
      <c r="J8443" s="24">
        <v>0.0</v>
      </c>
      <c r="K8443" s="23" t="s">
        <v>34</v>
      </c>
      <c r="L8443" s="25">
        <v>41149.287824074076</v>
      </c>
      <c r="M8443" s="26" t="s">
        <v>195</v>
      </c>
      <c r="N8443" s="26" t="s">
        <v>18633</v>
      </c>
      <c r="O8443" s="22" t="str">
        <f>HYPERLINK("https://pbs.twimg.com/profile_images/841301439955714049/2leJX5yU_normal.jpg","View")</f>
        <v>View</v>
      </c>
      <c r="P8443" s="27"/>
    </row>
    <row r="8444">
      <c r="A8444" s="14">
        <v>43031.804814814815</v>
      </c>
      <c r="B8444" s="20" t="str">
        <f>HYPERLINK("https://twitter.com/hundericocco","@hundericocco")</f>
        <v>@hundericocco</v>
      </c>
      <c r="C8444" s="21" t="s">
        <v>8227</v>
      </c>
      <c r="D8444" s="21" t="s">
        <v>16537</v>
      </c>
      <c r="E8444" s="22" t="str">
        <f>HYPERLINK("https://twitter.com/hundericocco/status/922648573002387456","922648573002387456")</f>
        <v>922648573002387456</v>
      </c>
      <c r="F8444" s="23" t="s">
        <v>39</v>
      </c>
      <c r="G8444" s="24">
        <v>6538.0</v>
      </c>
      <c r="H8444" s="24">
        <v>6835.0</v>
      </c>
      <c r="I8444" s="24">
        <v>242.0</v>
      </c>
      <c r="J8444" s="24">
        <v>0.0</v>
      </c>
      <c r="K8444" s="23" t="s">
        <v>34</v>
      </c>
      <c r="L8444" s="25">
        <v>41151.43221064815</v>
      </c>
      <c r="M8444" s="28"/>
      <c r="N8444" s="26" t="s">
        <v>8228</v>
      </c>
      <c r="O8444" s="22" t="str">
        <f>HYPERLINK("https://pbs.twimg.com/profile_images/611939205090906112/ssdbyUu4_normal.jpg","View")</f>
        <v>View</v>
      </c>
      <c r="P8444" s="27"/>
    </row>
    <row r="8445">
      <c r="A8445" s="14">
        <v>43031.805347222224</v>
      </c>
      <c r="B8445" s="20" t="str">
        <f>HYPERLINK("https://twitter.com/varanasi_zila","@varanasi_zila")</f>
        <v>@varanasi_zila</v>
      </c>
      <c r="C8445" s="21" t="s">
        <v>18634</v>
      </c>
      <c r="D8445" s="21" t="s">
        <v>42</v>
      </c>
      <c r="E8445" s="22" t="str">
        <f>HYPERLINK("https://twitter.com/varanasi_zila/status/922648764333961216","922648764333961216")</f>
        <v>922648764333961216</v>
      </c>
      <c r="F8445" s="23" t="s">
        <v>33</v>
      </c>
      <c r="G8445" s="24">
        <v>43.0</v>
      </c>
      <c r="H8445" s="24">
        <v>30.0</v>
      </c>
      <c r="I8445" s="24">
        <v>8501.0</v>
      </c>
      <c r="J8445" s="24">
        <v>0.0</v>
      </c>
      <c r="K8445" s="23" t="s">
        <v>34</v>
      </c>
      <c r="L8445" s="25">
        <v>43001.2737962963</v>
      </c>
      <c r="M8445" s="28"/>
      <c r="N8445" s="26" t="s">
        <v>18635</v>
      </c>
      <c r="O8445" s="22" t="str">
        <f>HYPERLINK("https://pbs.twimg.com/profile_images/911584888742014976/V6xr0a0T_normal.jpg","View")</f>
        <v>View</v>
      </c>
      <c r="P8445" s="27"/>
    </row>
    <row r="8446">
      <c r="A8446" s="14">
        <v>43031.805972222224</v>
      </c>
      <c r="B8446" s="20" t="str">
        <f>HYPERLINK("https://twitter.com/c1ara11","@c1ara11")</f>
        <v>@c1ara11</v>
      </c>
      <c r="C8446" s="21" t="s">
        <v>18636</v>
      </c>
      <c r="D8446" s="21" t="s">
        <v>18637</v>
      </c>
      <c r="E8446" s="22" t="str">
        <f>HYPERLINK("https://twitter.com/c1ara11/status/922648994198691840","922648994198691840")</f>
        <v>922648994198691840</v>
      </c>
      <c r="F8446" s="23" t="s">
        <v>55</v>
      </c>
      <c r="G8446" s="24">
        <v>76.0</v>
      </c>
      <c r="H8446" s="24">
        <v>3.0</v>
      </c>
      <c r="I8446" s="24">
        <v>0.0</v>
      </c>
      <c r="J8446" s="24">
        <v>0.0</v>
      </c>
      <c r="K8446" s="23" t="s">
        <v>34</v>
      </c>
      <c r="L8446" s="25">
        <v>42722.167708333334</v>
      </c>
      <c r="M8446" s="26" t="s">
        <v>18638</v>
      </c>
      <c r="N8446" s="26" t="s">
        <v>18639</v>
      </c>
      <c r="O8446" s="22" t="str">
        <f>HYPERLINK("https://pbs.twimg.com/profile_images/847889695124054017/00cra3ep_normal.jpg","View")</f>
        <v>View</v>
      </c>
      <c r="P8446" s="27"/>
    </row>
    <row r="8447">
      <c r="A8447" s="14">
        <v>43031.806180555555</v>
      </c>
      <c r="B8447" s="20" t="str">
        <f>HYPERLINK("https://twitter.com/MartyrVoyoux","@MartyrVoyoux")</f>
        <v>@MartyrVoyoux</v>
      </c>
      <c r="C8447" s="21" t="s">
        <v>18640</v>
      </c>
      <c r="D8447" s="21" t="s">
        <v>17703</v>
      </c>
      <c r="E8447" s="22" t="str">
        <f>HYPERLINK("https://twitter.com/MartyrVoyoux/status/922649069578842112","922649069578842112")</f>
        <v>922649069578842112</v>
      </c>
      <c r="F8447" s="23" t="s">
        <v>33</v>
      </c>
      <c r="G8447" s="24">
        <v>648.0</v>
      </c>
      <c r="H8447" s="24">
        <v>1016.0</v>
      </c>
      <c r="I8447" s="24">
        <v>23.0</v>
      </c>
      <c r="J8447" s="24">
        <v>0.0</v>
      </c>
      <c r="K8447" s="23" t="s">
        <v>34</v>
      </c>
      <c r="L8447" s="25">
        <v>41109.6919212963</v>
      </c>
      <c r="M8447" s="26" t="s">
        <v>18641</v>
      </c>
      <c r="N8447" s="26" t="s">
        <v>18642</v>
      </c>
      <c r="O8447" s="22" t="str">
        <f>HYPERLINK("https://pbs.twimg.com/profile_images/922659416624812032/v01EeLzw_normal.jpg","View")</f>
        <v>View</v>
      </c>
      <c r="P8447" s="27"/>
    </row>
    <row r="8448">
      <c r="A8448" s="14">
        <v>43031.80625</v>
      </c>
      <c r="B8448" s="20" t="str">
        <f>HYPERLINK("https://twitter.com/OurMissingNews_","@OurMissingNews_")</f>
        <v>@OurMissingNews_</v>
      </c>
      <c r="C8448" s="21" t="s">
        <v>18643</v>
      </c>
      <c r="D8448" s="21" t="s">
        <v>18644</v>
      </c>
      <c r="E8448" s="22" t="str">
        <f>HYPERLINK("https://twitter.com/OurMissingNews_/status/922649092613922818","922649092613922818")</f>
        <v>922649092613922818</v>
      </c>
      <c r="F8448" s="23" t="s">
        <v>55</v>
      </c>
      <c r="G8448" s="24">
        <v>280.0</v>
      </c>
      <c r="H8448" s="24">
        <v>9.0</v>
      </c>
      <c r="I8448" s="24">
        <v>0.0</v>
      </c>
      <c r="J8448" s="24">
        <v>0.0</v>
      </c>
      <c r="K8448" s="23" t="s">
        <v>34</v>
      </c>
      <c r="L8448" s="25">
        <v>40126.876180555555</v>
      </c>
      <c r="M8448" s="26" t="s">
        <v>2534</v>
      </c>
      <c r="N8448" s="26" t="s">
        <v>18645</v>
      </c>
      <c r="O8448" s="22" t="str">
        <f>HYPERLINK("https://pbs.twimg.com/profile_images/689197140283944961/xflx5LeE_normal.jpg","View")</f>
        <v>View</v>
      </c>
      <c r="P8448" s="27"/>
    </row>
    <row r="8449">
      <c r="A8449" s="14">
        <v>43031.806655092594</v>
      </c>
      <c r="B8449" s="20" t="str">
        <f>HYPERLINK("https://twitter.com/OmpalopsEr","@OmpalopsEr")</f>
        <v>@OmpalopsEr</v>
      </c>
      <c r="C8449" s="21" t="s">
        <v>18429</v>
      </c>
      <c r="D8449" s="21" t="s">
        <v>18646</v>
      </c>
      <c r="E8449" s="22" t="str">
        <f>HYPERLINK("https://twitter.com/OmpalopsEr/status/922649241528418304","922649241528418304")</f>
        <v>922649241528418304</v>
      </c>
      <c r="F8449" s="23" t="s">
        <v>33</v>
      </c>
      <c r="G8449" s="24">
        <v>25.0</v>
      </c>
      <c r="H8449" s="24">
        <v>143.0</v>
      </c>
      <c r="I8449" s="24">
        <v>0.0</v>
      </c>
      <c r="J8449" s="24">
        <v>0.0</v>
      </c>
      <c r="K8449" s="23" t="s">
        <v>34</v>
      </c>
      <c r="L8449" s="25">
        <v>42225.999293981484</v>
      </c>
      <c r="M8449" s="26" t="s">
        <v>18350</v>
      </c>
      <c r="N8449" s="28"/>
      <c r="O8449" s="22" t="str">
        <f>HYPERLINK("https://pbs.twimg.com/profile_images/784777304677478400/r8b0B0FT_normal.jpg","View")</f>
        <v>View</v>
      </c>
      <c r="P8449" s="27"/>
    </row>
    <row r="8450">
      <c r="A8450" s="14">
        <v>43031.80701388889</v>
      </c>
      <c r="B8450" s="20" t="str">
        <f>HYPERLINK("https://twitter.com/RAJEEVPATHAK18","@RAJEEVPATHAK18")</f>
        <v>@RAJEEVPATHAK18</v>
      </c>
      <c r="C8450" s="21" t="s">
        <v>18647</v>
      </c>
      <c r="D8450" s="21" t="s">
        <v>42</v>
      </c>
      <c r="E8450" s="22" t="str">
        <f>HYPERLINK("https://twitter.com/RAJEEVPATHAK18/status/922649368452218887","922649368452218887")</f>
        <v>922649368452218887</v>
      </c>
      <c r="F8450" s="23" t="s">
        <v>33</v>
      </c>
      <c r="G8450" s="24">
        <v>74.0</v>
      </c>
      <c r="H8450" s="24">
        <v>84.0</v>
      </c>
      <c r="I8450" s="24">
        <v>8501.0</v>
      </c>
      <c r="J8450" s="24">
        <v>0.0</v>
      </c>
      <c r="K8450" s="23" t="s">
        <v>34</v>
      </c>
      <c r="L8450" s="25">
        <v>41566.44730324074</v>
      </c>
      <c r="M8450" s="26" t="s">
        <v>204</v>
      </c>
      <c r="N8450" s="26" t="s">
        <v>18648</v>
      </c>
      <c r="O8450" s="22" t="str">
        <f>HYPERLINK("https://pbs.twimg.com/profile_images/763396954231418885/njXoOovb_normal.jpg","View")</f>
        <v>View</v>
      </c>
      <c r="P8450" s="27"/>
    </row>
    <row r="8451">
      <c r="A8451" s="14">
        <v>43031.80707175926</v>
      </c>
      <c r="B8451" s="20" t="str">
        <f>HYPERLINK("https://twitter.com/KejriwalIsab","@KejriwalIsab")</f>
        <v>@KejriwalIsab</v>
      </c>
      <c r="C8451" s="21" t="s">
        <v>18649</v>
      </c>
      <c r="D8451" s="21" t="s">
        <v>42</v>
      </c>
      <c r="E8451" s="22" t="str">
        <f>HYPERLINK("https://twitter.com/KejriwalIsab/status/922649389675323393","922649389675323393")</f>
        <v>922649389675323393</v>
      </c>
      <c r="F8451" s="23" t="s">
        <v>33</v>
      </c>
      <c r="G8451" s="24">
        <v>346.0</v>
      </c>
      <c r="H8451" s="24">
        <v>371.0</v>
      </c>
      <c r="I8451" s="24">
        <v>8501.0</v>
      </c>
      <c r="J8451" s="24">
        <v>0.0</v>
      </c>
      <c r="K8451" s="23" t="s">
        <v>34</v>
      </c>
      <c r="L8451" s="25">
        <v>42203.63513888889</v>
      </c>
      <c r="M8451" s="26" t="s">
        <v>1137</v>
      </c>
      <c r="N8451" s="26" t="s">
        <v>18650</v>
      </c>
      <c r="O8451" s="22" t="str">
        <f>HYPERLINK("https://pbs.twimg.com/profile_images/918205044750565376/D7Oy480L_normal.jpg","View")</f>
        <v>View</v>
      </c>
      <c r="P8451" s="27"/>
    </row>
    <row r="8452">
      <c r="A8452" s="14">
        <v>43031.80710648149</v>
      </c>
      <c r="B8452" s="20" t="str">
        <f>HYPERLINK("https://twitter.com/vrai777","@vrai777")</f>
        <v>@vrai777</v>
      </c>
      <c r="C8452" s="21" t="s">
        <v>1770</v>
      </c>
      <c r="D8452" s="21" t="s">
        <v>18651</v>
      </c>
      <c r="E8452" s="22" t="str">
        <f>HYPERLINK("https://twitter.com/vrai777/status/922649405706113024","922649405706113024")</f>
        <v>922649405706113024</v>
      </c>
      <c r="F8452" s="23" t="s">
        <v>187</v>
      </c>
      <c r="G8452" s="24">
        <v>7944.0</v>
      </c>
      <c r="H8452" s="24">
        <v>71.0</v>
      </c>
      <c r="I8452" s="24">
        <v>0.0</v>
      </c>
      <c r="J8452" s="24">
        <v>0.0</v>
      </c>
      <c r="K8452" s="23" t="s">
        <v>34</v>
      </c>
      <c r="L8452" s="25">
        <v>39878.7593287037</v>
      </c>
      <c r="M8452" s="26" t="s">
        <v>1024</v>
      </c>
      <c r="N8452" s="26" t="s">
        <v>1772</v>
      </c>
      <c r="O8452" s="22" t="str">
        <f>HYPERLINK("https://pbs.twimg.com/profile_images/688775800284266496/qhWTo08H_normal.png","View")</f>
        <v>View</v>
      </c>
      <c r="P8452" s="27"/>
    </row>
    <row r="8453">
      <c r="A8453" s="14">
        <v>43031.80728009259</v>
      </c>
      <c r="B8453" s="20" t="str">
        <f>HYPERLINK("https://twitter.com/NoncontactPedo","@NoncontactPedo")</f>
        <v>@NoncontactPedo</v>
      </c>
      <c r="C8453" s="21" t="s">
        <v>18652</v>
      </c>
      <c r="D8453" s="21" t="s">
        <v>18653</v>
      </c>
      <c r="E8453" s="22" t="str">
        <f>HYPERLINK("https://twitter.com/NoncontactPedo/status/922649466963759106","922649466963759106")</f>
        <v>922649466963759106</v>
      </c>
      <c r="F8453" s="23" t="s">
        <v>39</v>
      </c>
      <c r="G8453" s="24">
        <v>1679.0</v>
      </c>
      <c r="H8453" s="24">
        <v>293.0</v>
      </c>
      <c r="I8453" s="24">
        <v>17.0</v>
      </c>
      <c r="J8453" s="24">
        <v>86.0</v>
      </c>
      <c r="K8453" s="23" t="s">
        <v>34</v>
      </c>
      <c r="L8453" s="25">
        <v>42604.74428240741</v>
      </c>
      <c r="M8453" s="26" t="s">
        <v>18654</v>
      </c>
      <c r="N8453" s="26" t="s">
        <v>18655</v>
      </c>
      <c r="O8453" s="22" t="str">
        <f>HYPERLINK("https://pbs.twimg.com/profile_images/914661687839436800/Gr_Avjwo_normal.jpg","View")</f>
        <v>View</v>
      </c>
      <c r="P8453" s="27"/>
    </row>
    <row r="8454">
      <c r="A8454" s="14">
        <v>43031.80729166667</v>
      </c>
      <c r="B8454" s="20" t="str">
        <f>HYPERLINK("https://twitter.com/1979filippova1","@1979filippova1")</f>
        <v>@1979filippova1</v>
      </c>
      <c r="C8454" s="21" t="s">
        <v>8183</v>
      </c>
      <c r="D8454" s="21" t="s">
        <v>213</v>
      </c>
      <c r="E8454" s="22" t="str">
        <f>HYPERLINK("https://twitter.com/1979filippova1/status/922649472009506816","922649472009506816")</f>
        <v>922649472009506816</v>
      </c>
      <c r="F8454" s="23" t="s">
        <v>55</v>
      </c>
      <c r="G8454" s="24">
        <v>2.0</v>
      </c>
      <c r="H8454" s="24">
        <v>0.0</v>
      </c>
      <c r="I8454" s="24">
        <v>94.0</v>
      </c>
      <c r="J8454" s="24">
        <v>0.0</v>
      </c>
      <c r="K8454" s="23" t="s">
        <v>34</v>
      </c>
      <c r="L8454" s="25">
        <v>43015.575578703705</v>
      </c>
      <c r="M8454" s="28"/>
      <c r="N8454" s="28"/>
      <c r="O8454" s="22" t="str">
        <f>HYPERLINK("https://pbs.twimg.com/profile_images/921086909413171200/nW9HIZan_normal.jpg","View")</f>
        <v>View</v>
      </c>
      <c r="P8454" s="27"/>
    </row>
    <row r="8455">
      <c r="A8455" s="14">
        <v>43031.80753472222</v>
      </c>
      <c r="B8455" s="20" t="str">
        <f>HYPERLINK("https://twitter.com/Bhavin10250253","@Bhavin10250253")</f>
        <v>@Bhavin10250253</v>
      </c>
      <c r="C8455" s="21" t="s">
        <v>18656</v>
      </c>
      <c r="D8455" s="21" t="s">
        <v>2861</v>
      </c>
      <c r="E8455" s="22" t="str">
        <f>HYPERLINK("https://twitter.com/Bhavin10250253/status/922649560425447424","922649560425447424")</f>
        <v>922649560425447424</v>
      </c>
      <c r="F8455" s="23" t="s">
        <v>33</v>
      </c>
      <c r="G8455" s="24">
        <v>357.0</v>
      </c>
      <c r="H8455" s="24">
        <v>279.0</v>
      </c>
      <c r="I8455" s="24">
        <v>40.0</v>
      </c>
      <c r="J8455" s="24">
        <v>0.0</v>
      </c>
      <c r="K8455" s="23" t="s">
        <v>34</v>
      </c>
      <c r="L8455" s="25">
        <v>42920.84075231482</v>
      </c>
      <c r="M8455" s="26" t="s">
        <v>18657</v>
      </c>
      <c r="N8455" s="26" t="s">
        <v>18658</v>
      </c>
      <c r="O8455" s="22" t="str">
        <f>HYPERLINK("https://pbs.twimg.com/profile_images/882437730810114051/vWl3EovM_normal.jpg","View")</f>
        <v>View</v>
      </c>
      <c r="P8455" s="27"/>
    </row>
    <row r="8456">
      <c r="A8456" s="14">
        <v>43031.80761574074</v>
      </c>
      <c r="B8456" s="20" t="str">
        <f>HYPERLINK("https://twitter.com/gizordelso","@gizordelso")</f>
        <v>@gizordelso</v>
      </c>
      <c r="C8456" s="21" t="s">
        <v>18659</v>
      </c>
      <c r="D8456" s="21" t="s">
        <v>18660</v>
      </c>
      <c r="E8456" s="22" t="str">
        <f>HYPERLINK("https://twitter.com/gizordelso/status/922649586765914113","922649586765914113")</f>
        <v>922649586765914113</v>
      </c>
      <c r="F8456" s="23" t="s">
        <v>39</v>
      </c>
      <c r="G8456" s="24">
        <v>104.0</v>
      </c>
      <c r="H8456" s="24">
        <v>94.0</v>
      </c>
      <c r="I8456" s="24">
        <v>17.0</v>
      </c>
      <c r="J8456" s="24">
        <v>0.0</v>
      </c>
      <c r="K8456" s="23" t="s">
        <v>34</v>
      </c>
      <c r="L8456" s="25">
        <v>42933.68105324074</v>
      </c>
      <c r="M8456" s="28"/>
      <c r="N8456" s="26" t="s">
        <v>18661</v>
      </c>
      <c r="O8456" s="22" t="str">
        <f>HYPERLINK("https://pbs.twimg.com/profile_images/920758819633991681/4DZd1GtI_normal.jpg","View")</f>
        <v>View</v>
      </c>
      <c r="P8456" s="27"/>
    </row>
    <row r="8457">
      <c r="A8457" s="14">
        <v>43031.80782407407</v>
      </c>
      <c r="B8457" s="20" t="str">
        <f>HYPERLINK("https://twitter.com/bendan7896","@bendan7896")</f>
        <v>@bendan7896</v>
      </c>
      <c r="C8457" s="21" t="s">
        <v>18662</v>
      </c>
      <c r="D8457" s="21" t="s">
        <v>18162</v>
      </c>
      <c r="E8457" s="22" t="str">
        <f>HYPERLINK("https://twitter.com/bendan7896/status/922649663064358913","922649663064358913")</f>
        <v>922649663064358913</v>
      </c>
      <c r="F8457" s="23" t="s">
        <v>55</v>
      </c>
      <c r="G8457" s="24">
        <v>1.0</v>
      </c>
      <c r="H8457" s="24">
        <v>5.0</v>
      </c>
      <c r="I8457" s="24">
        <v>59.0</v>
      </c>
      <c r="J8457" s="24">
        <v>0.0</v>
      </c>
      <c r="K8457" s="23" t="s">
        <v>34</v>
      </c>
      <c r="L8457" s="25">
        <v>43029.3491087963</v>
      </c>
      <c r="M8457" s="28"/>
      <c r="N8457" s="28"/>
      <c r="O8457" s="22" t="str">
        <f>HYPERLINK("https://pbs.twimg.com/profile_images/921903222301671424/h8HJWRz5_normal.jpg","View")</f>
        <v>View</v>
      </c>
      <c r="P8457" s="27"/>
    </row>
    <row r="8458">
      <c r="A8458" s="14">
        <v>43031.808067129634</v>
      </c>
      <c r="B8458" s="20" t="str">
        <f>HYPERLINK("https://twitter.com/Akhil5in","@Akhil5in")</f>
        <v>@Akhil5in</v>
      </c>
      <c r="C8458" s="21" t="s">
        <v>18663</v>
      </c>
      <c r="D8458" s="21" t="s">
        <v>42</v>
      </c>
      <c r="E8458" s="22" t="str">
        <f>HYPERLINK("https://twitter.com/Akhil5in/status/922649752872804352","922649752872804352")</f>
        <v>922649752872804352</v>
      </c>
      <c r="F8458" s="23" t="s">
        <v>33</v>
      </c>
      <c r="G8458" s="24">
        <v>364.0</v>
      </c>
      <c r="H8458" s="24">
        <v>1615.0</v>
      </c>
      <c r="I8458" s="24">
        <v>8501.0</v>
      </c>
      <c r="J8458" s="24">
        <v>0.0</v>
      </c>
      <c r="K8458" s="23" t="s">
        <v>34</v>
      </c>
      <c r="L8458" s="25">
        <v>40176.05863425926</v>
      </c>
      <c r="M8458" s="26" t="s">
        <v>246</v>
      </c>
      <c r="N8458" s="28"/>
      <c r="O8458" s="22" t="str">
        <f>HYPERLINK("https://pbs.twimg.com/profile_images/920646004541595648/10KRh8gK_normal.jpg","View")</f>
        <v>View</v>
      </c>
      <c r="P8458" s="27"/>
    </row>
    <row r="8459">
      <c r="A8459" s="14">
        <v>43031.8080787037</v>
      </c>
      <c r="B8459" s="20" t="str">
        <f>HYPERLINK("https://twitter.com/Vickysa62918874","@Vickysa62918874")</f>
        <v>@Vickysa62918874</v>
      </c>
      <c r="C8459" s="21" t="s">
        <v>18664</v>
      </c>
      <c r="D8459" s="21" t="s">
        <v>42</v>
      </c>
      <c r="E8459" s="22" t="str">
        <f>HYPERLINK("https://twitter.com/Vickysa62918874/status/922649755724869632","922649755724869632")</f>
        <v>922649755724869632</v>
      </c>
      <c r="F8459" s="23" t="s">
        <v>33</v>
      </c>
      <c r="G8459" s="24">
        <v>46.0</v>
      </c>
      <c r="H8459" s="24">
        <v>196.0</v>
      </c>
      <c r="I8459" s="24">
        <v>8501.0</v>
      </c>
      <c r="J8459" s="24">
        <v>0.0</v>
      </c>
      <c r="K8459" s="23" t="s">
        <v>34</v>
      </c>
      <c r="L8459" s="25">
        <v>42975.476064814815</v>
      </c>
      <c r="M8459" s="28"/>
      <c r="N8459" s="28"/>
      <c r="O8459" s="22" t="str">
        <f>HYPERLINK("https://abs.twimg.com/sticky/default_profile_images/default_profile_normal.png","View")</f>
        <v>View</v>
      </c>
      <c r="P8459" s="27"/>
    </row>
    <row r="8460">
      <c r="A8460" s="14">
        <v>43031.80811342593</v>
      </c>
      <c r="B8460" s="20" t="str">
        <f>HYPERLINK("https://twitter.com/Bhavin10250253","@Bhavin10250253")</f>
        <v>@Bhavin10250253</v>
      </c>
      <c r="C8460" s="21" t="s">
        <v>18656</v>
      </c>
      <c r="D8460" s="21" t="s">
        <v>42</v>
      </c>
      <c r="E8460" s="22" t="str">
        <f>HYPERLINK("https://twitter.com/Bhavin10250253/status/922649769008185344","922649769008185344")</f>
        <v>922649769008185344</v>
      </c>
      <c r="F8460" s="23" t="s">
        <v>33</v>
      </c>
      <c r="G8460" s="24">
        <v>357.0</v>
      </c>
      <c r="H8460" s="24">
        <v>279.0</v>
      </c>
      <c r="I8460" s="24">
        <v>8501.0</v>
      </c>
      <c r="J8460" s="24">
        <v>0.0</v>
      </c>
      <c r="K8460" s="23" t="s">
        <v>34</v>
      </c>
      <c r="L8460" s="25">
        <v>42920.84075231482</v>
      </c>
      <c r="M8460" s="26" t="s">
        <v>18657</v>
      </c>
      <c r="N8460" s="26" t="s">
        <v>18658</v>
      </c>
      <c r="O8460" s="22" t="str">
        <f>HYPERLINK("https://pbs.twimg.com/profile_images/882437730810114051/vWl3EovM_normal.jpg","View")</f>
        <v>View</v>
      </c>
      <c r="P8460" s="27"/>
    </row>
    <row r="8461">
      <c r="A8461" s="14">
        <v>43031.80824074074</v>
      </c>
      <c r="B8461" s="20" t="str">
        <f>HYPERLINK("https://twitter.com/tqpzm","@tqpzm")</f>
        <v>@tqpzm</v>
      </c>
      <c r="C8461" s="21" t="s">
        <v>10596</v>
      </c>
      <c r="D8461" s="21" t="s">
        <v>18665</v>
      </c>
      <c r="E8461" s="22" t="str">
        <f>HYPERLINK("https://twitter.com/tqpzm/status/922649815149961218","922649815149961218")</f>
        <v>922649815149961218</v>
      </c>
      <c r="F8461" s="23" t="s">
        <v>91</v>
      </c>
      <c r="G8461" s="24">
        <v>180.0</v>
      </c>
      <c r="H8461" s="24">
        <v>8.0</v>
      </c>
      <c r="I8461" s="24">
        <v>0.0</v>
      </c>
      <c r="J8461" s="24">
        <v>0.0</v>
      </c>
      <c r="K8461" s="23" t="s">
        <v>34</v>
      </c>
      <c r="L8461" s="25">
        <v>40464.93258101852</v>
      </c>
      <c r="M8461" s="28"/>
      <c r="N8461" s="28"/>
      <c r="O8461" s="22" t="str">
        <f>HYPERLINK("https://pbs.twimg.com/profile_images/1148542178/___normal.jpg","View")</f>
        <v>View</v>
      </c>
      <c r="P8461" s="27"/>
    </row>
    <row r="8462">
      <c r="A8462" s="14">
        <v>43031.80841435185</v>
      </c>
      <c r="B8462" s="20" t="str">
        <f>HYPERLINK("https://twitter.com/19951ivannikov1","@19951ivannikov1")</f>
        <v>@19951ivannikov1</v>
      </c>
      <c r="C8462" s="21" t="s">
        <v>8305</v>
      </c>
      <c r="D8462" s="21" t="s">
        <v>18162</v>
      </c>
      <c r="E8462" s="22" t="str">
        <f>HYPERLINK("https://twitter.com/19951ivannikov1/status/922649876747259904","922649876747259904")</f>
        <v>922649876747259904</v>
      </c>
      <c r="F8462" s="23" t="s">
        <v>55</v>
      </c>
      <c r="G8462" s="24">
        <v>2.0</v>
      </c>
      <c r="H8462" s="24">
        <v>0.0</v>
      </c>
      <c r="I8462" s="24">
        <v>59.0</v>
      </c>
      <c r="J8462" s="24">
        <v>0.0</v>
      </c>
      <c r="K8462" s="23" t="s">
        <v>34</v>
      </c>
      <c r="L8462" s="25">
        <v>43015.58064814815</v>
      </c>
      <c r="M8462" s="28"/>
      <c r="N8462" s="28"/>
      <c r="O8462" s="22" t="str">
        <f>HYPERLINK("https://pbs.twimg.com/profile_images/921117306150797312/2ijIjc7H_normal.jpg","View")</f>
        <v>View</v>
      </c>
      <c r="P8462" s="27"/>
    </row>
    <row r="8463">
      <c r="A8463" s="14">
        <v>43031.808854166666</v>
      </c>
      <c r="B8463" s="20" t="str">
        <f>HYPERLINK("https://twitter.com/mikaerupochi","@mikaerupochi")</f>
        <v>@mikaerupochi</v>
      </c>
      <c r="C8463" s="21" t="s">
        <v>18666</v>
      </c>
      <c r="D8463" s="21" t="s">
        <v>18667</v>
      </c>
      <c r="E8463" s="22" t="str">
        <f>HYPERLINK("https://twitter.com/mikaerupochi/status/922650037175250944","922650037175250944")</f>
        <v>922650037175250944</v>
      </c>
      <c r="F8463" s="23" t="s">
        <v>39</v>
      </c>
      <c r="G8463" s="24">
        <v>1069.0</v>
      </c>
      <c r="H8463" s="24">
        <v>1565.0</v>
      </c>
      <c r="I8463" s="24">
        <v>8.0</v>
      </c>
      <c r="J8463" s="24">
        <v>0.0</v>
      </c>
      <c r="K8463" s="23" t="s">
        <v>34</v>
      </c>
      <c r="L8463" s="25">
        <v>41347.32791666667</v>
      </c>
      <c r="M8463" s="26" t="s">
        <v>18668</v>
      </c>
      <c r="N8463" s="26" t="s">
        <v>18669</v>
      </c>
      <c r="O8463" s="22" t="str">
        <f>HYPERLINK("https://pbs.twimg.com/profile_images/378800000674174604/cf4cce927378f28863bc67eaaadbb4fe_normal.jpeg","View")</f>
        <v>View</v>
      </c>
      <c r="P8463" s="27"/>
    </row>
    <row r="8464">
      <c r="A8464" s="14">
        <v>43031.80887731482</v>
      </c>
      <c r="B8464" s="20" t="str">
        <f>HYPERLINK("https://twitter.com/gamatsukitsubur","@gamatsukitsubur")</f>
        <v>@gamatsukitsubur</v>
      </c>
      <c r="C8464" s="21" t="s">
        <v>18670</v>
      </c>
      <c r="D8464" s="21" t="s">
        <v>18162</v>
      </c>
      <c r="E8464" s="22" t="str">
        <f>HYPERLINK("https://twitter.com/gamatsukitsubur/status/922650044615999489","922650044615999489")</f>
        <v>922650044615999489</v>
      </c>
      <c r="F8464" s="23" t="s">
        <v>55</v>
      </c>
      <c r="G8464" s="24">
        <v>10408.0</v>
      </c>
      <c r="H8464" s="24">
        <v>18.0</v>
      </c>
      <c r="I8464" s="24">
        <v>59.0</v>
      </c>
      <c r="J8464" s="24">
        <v>0.0</v>
      </c>
      <c r="K8464" s="23" t="s">
        <v>34</v>
      </c>
      <c r="L8464" s="25">
        <v>40412.84342592592</v>
      </c>
      <c r="M8464" s="26" t="s">
        <v>18671</v>
      </c>
      <c r="N8464" s="26" t="s">
        <v>18672</v>
      </c>
      <c r="O8464" s="22" t="str">
        <f>HYPERLINK("https://pbs.twimg.com/profile_images/1297431453/883_normal.gif","View")</f>
        <v>View</v>
      </c>
      <c r="P8464" s="27"/>
    </row>
    <row r="8465">
      <c r="A8465" s="14">
        <v>43031.80903935185</v>
      </c>
      <c r="B8465" s="20" t="str">
        <f>HYPERLINK("https://twitter.com/ManojUp26622013","@ManojUp26622013")</f>
        <v>@ManojUp26622013</v>
      </c>
      <c r="C8465" s="21" t="s">
        <v>18673</v>
      </c>
      <c r="D8465" s="21" t="s">
        <v>42</v>
      </c>
      <c r="E8465" s="22" t="str">
        <f>HYPERLINK("https://twitter.com/ManojUp26622013/status/922650106129735680","922650106129735680")</f>
        <v>922650106129735680</v>
      </c>
      <c r="F8465" s="23" t="s">
        <v>33</v>
      </c>
      <c r="G8465" s="24">
        <v>16.0</v>
      </c>
      <c r="H8465" s="24">
        <v>125.0</v>
      </c>
      <c r="I8465" s="24">
        <v>8501.0</v>
      </c>
      <c r="J8465" s="24">
        <v>0.0</v>
      </c>
      <c r="K8465" s="23" t="s">
        <v>34</v>
      </c>
      <c r="L8465" s="25">
        <v>42965.24280092593</v>
      </c>
      <c r="M8465" s="26" t="s">
        <v>18674</v>
      </c>
      <c r="N8465" s="26" t="s">
        <v>18675</v>
      </c>
      <c r="O8465" s="22" t="str">
        <f>HYPERLINK("https://pbs.twimg.com/profile_images/898530101591191552/P-DKN_eT_normal.jpg","View")</f>
        <v>View</v>
      </c>
      <c r="P8465" s="27"/>
    </row>
    <row r="8466">
      <c r="A8466" s="14">
        <v>43031.80908564814</v>
      </c>
      <c r="B8466" s="20" t="str">
        <f>HYPERLINK("https://twitter.com/mikaerupochi","@mikaerupochi")</f>
        <v>@mikaerupochi</v>
      </c>
      <c r="C8466" s="21" t="s">
        <v>18666</v>
      </c>
      <c r="D8466" s="21" t="s">
        <v>18676</v>
      </c>
      <c r="E8466" s="22" t="str">
        <f>HYPERLINK("https://twitter.com/mikaerupochi/status/922650120247635968","922650120247635968")</f>
        <v>922650120247635968</v>
      </c>
      <c r="F8466" s="23" t="s">
        <v>39</v>
      </c>
      <c r="G8466" s="24">
        <v>1069.0</v>
      </c>
      <c r="H8466" s="24">
        <v>1565.0</v>
      </c>
      <c r="I8466" s="24">
        <v>1.0</v>
      </c>
      <c r="J8466" s="24">
        <v>0.0</v>
      </c>
      <c r="K8466" s="23" t="s">
        <v>34</v>
      </c>
      <c r="L8466" s="25">
        <v>41347.32791666667</v>
      </c>
      <c r="M8466" s="26" t="s">
        <v>18668</v>
      </c>
      <c r="N8466" s="26" t="s">
        <v>18669</v>
      </c>
      <c r="O8466" s="22" t="str">
        <f>HYPERLINK("https://pbs.twimg.com/profile_images/378800000674174604/cf4cce927378f28863bc67eaaadbb4fe_normal.jpeg","View")</f>
        <v>View</v>
      </c>
      <c r="P8466" s="27"/>
    </row>
    <row r="8467">
      <c r="A8467" s="14">
        <v>43031.80935185185</v>
      </c>
      <c r="B8467" s="20" t="str">
        <f>HYPERLINK("https://twitter.com/kazahanalove","@kazahanalove")</f>
        <v>@kazahanalove</v>
      </c>
      <c r="C8467" s="21" t="s">
        <v>18677</v>
      </c>
      <c r="D8467" s="21" t="s">
        <v>42</v>
      </c>
      <c r="E8467" s="22" t="str">
        <f>HYPERLINK("https://twitter.com/kazahanalove/status/922650215785545728","922650215785545728")</f>
        <v>922650215785545728</v>
      </c>
      <c r="F8467" s="23" t="s">
        <v>39</v>
      </c>
      <c r="G8467" s="24">
        <v>555.0</v>
      </c>
      <c r="H8467" s="24">
        <v>164.0</v>
      </c>
      <c r="I8467" s="24">
        <v>8501.0</v>
      </c>
      <c r="J8467" s="24">
        <v>0.0</v>
      </c>
      <c r="K8467" s="23" t="s">
        <v>34</v>
      </c>
      <c r="L8467" s="25">
        <v>40706.9184837963</v>
      </c>
      <c r="M8467" s="26" t="s">
        <v>18678</v>
      </c>
      <c r="N8467" s="26" t="s">
        <v>18679</v>
      </c>
      <c r="O8467" s="22" t="str">
        <f>HYPERLINK("https://pbs.twimg.com/profile_images/1393673961/2011061314230000_normal.jpg","View")</f>
        <v>View</v>
      </c>
      <c r="P8467" s="27"/>
    </row>
    <row r="8468">
      <c r="A8468" s="14">
        <v>43031.80961805556</v>
      </c>
      <c r="B8468" s="20" t="str">
        <f>HYPERLINK("https://twitter.com/jgc59633","@jgc59633")</f>
        <v>@jgc59633</v>
      </c>
      <c r="C8468" s="21" t="s">
        <v>18680</v>
      </c>
      <c r="D8468" s="21" t="s">
        <v>42</v>
      </c>
      <c r="E8468" s="22" t="str">
        <f>HYPERLINK("https://twitter.com/jgc59633/status/922650312489426945","922650312489426945")</f>
        <v>922650312489426945</v>
      </c>
      <c r="F8468" s="23" t="s">
        <v>33</v>
      </c>
      <c r="G8468" s="24">
        <v>351.0</v>
      </c>
      <c r="H8468" s="24">
        <v>299.0</v>
      </c>
      <c r="I8468" s="24">
        <v>8501.0</v>
      </c>
      <c r="J8468" s="24">
        <v>0.0</v>
      </c>
      <c r="K8468" s="23" t="s">
        <v>34</v>
      </c>
      <c r="L8468" s="25">
        <v>42579.12421296297</v>
      </c>
      <c r="M8468" s="28"/>
      <c r="N8468" s="26" t="s">
        <v>18681</v>
      </c>
      <c r="O8468" s="22" t="str">
        <f>HYPERLINK("https://pbs.twimg.com/profile_images/778956108782198784/hYqn4d_q_normal.jpg","View")</f>
        <v>View</v>
      </c>
      <c r="P8468" s="27"/>
    </row>
    <row r="8469">
      <c r="A8469" s="14">
        <v>43031.80972222222</v>
      </c>
      <c r="B8469" s="20" t="str">
        <f>HYPERLINK("https://twitter.com/shivenduks","@shivenduks")</f>
        <v>@shivenduks</v>
      </c>
      <c r="C8469" s="21" t="s">
        <v>18682</v>
      </c>
      <c r="D8469" s="21" t="s">
        <v>42</v>
      </c>
      <c r="E8469" s="22" t="str">
        <f>HYPERLINK("https://twitter.com/shivenduks/status/922650350003412992","922650350003412992")</f>
        <v>922650350003412992</v>
      </c>
      <c r="F8469" s="23" t="s">
        <v>33</v>
      </c>
      <c r="G8469" s="24">
        <v>305.0</v>
      </c>
      <c r="H8469" s="24">
        <v>754.0</v>
      </c>
      <c r="I8469" s="24">
        <v>8501.0</v>
      </c>
      <c r="J8469" s="24">
        <v>0.0</v>
      </c>
      <c r="K8469" s="23" t="s">
        <v>34</v>
      </c>
      <c r="L8469" s="25">
        <v>40302.91409722222</v>
      </c>
      <c r="M8469" s="28"/>
      <c r="N8469" s="26" t="s">
        <v>18683</v>
      </c>
      <c r="O8469" s="22" t="str">
        <f>HYPERLINK("https://pbs.twimg.com/profile_images/467370480890953728/Z6Wr1ctm_normal.jpeg","View")</f>
        <v>View</v>
      </c>
      <c r="P8469" s="27"/>
    </row>
    <row r="8470">
      <c r="A8470" s="14">
        <v>43031.80976851852</v>
      </c>
      <c r="B8470" s="20" t="str">
        <f>HYPERLINK("https://twitter.com/cloutbroker","@cloutbroker")</f>
        <v>@cloutbroker</v>
      </c>
      <c r="C8470" s="21" t="s">
        <v>18684</v>
      </c>
      <c r="D8470" s="21" t="s">
        <v>18660</v>
      </c>
      <c r="E8470" s="22" t="str">
        <f>HYPERLINK("https://twitter.com/cloutbroker/status/922650366797377537","922650366797377537")</f>
        <v>922650366797377537</v>
      </c>
      <c r="F8470" s="23" t="s">
        <v>33</v>
      </c>
      <c r="G8470" s="24">
        <v>350.0</v>
      </c>
      <c r="H8470" s="24">
        <v>183.0</v>
      </c>
      <c r="I8470" s="24">
        <v>17.0</v>
      </c>
      <c r="J8470" s="24">
        <v>0.0</v>
      </c>
      <c r="K8470" s="23" t="s">
        <v>34</v>
      </c>
      <c r="L8470" s="25">
        <v>42953.881527777776</v>
      </c>
      <c r="M8470" s="26" t="s">
        <v>18685</v>
      </c>
      <c r="N8470" s="26" t="s">
        <v>18686</v>
      </c>
      <c r="O8470" s="22" t="str">
        <f>HYPERLINK("https://pbs.twimg.com/profile_images/919249688766885888/NL1rFqef_normal.jpg","View")</f>
        <v>View</v>
      </c>
      <c r="P8470" s="27"/>
    </row>
    <row r="8471">
      <c r="A8471" s="14">
        <v>43031.8106712963</v>
      </c>
      <c r="B8471" s="20" t="str">
        <f>HYPERLINK("https://twitter.com/Oliver69529661","@Oliver69529661")</f>
        <v>@Oliver69529661</v>
      </c>
      <c r="C8471" s="21" t="s">
        <v>18687</v>
      </c>
      <c r="D8471" s="21" t="s">
        <v>213</v>
      </c>
      <c r="E8471" s="22" t="str">
        <f>HYPERLINK("https://twitter.com/Oliver69529661/status/922650695190192128","922650695190192128")</f>
        <v>922650695190192128</v>
      </c>
      <c r="F8471" s="23" t="s">
        <v>55</v>
      </c>
      <c r="G8471" s="24">
        <v>1.0</v>
      </c>
      <c r="H8471" s="24">
        <v>0.0</v>
      </c>
      <c r="I8471" s="24">
        <v>94.0</v>
      </c>
      <c r="J8471" s="24">
        <v>0.0</v>
      </c>
      <c r="K8471" s="23" t="s">
        <v>34</v>
      </c>
      <c r="L8471" s="25">
        <v>43020.262291666666</v>
      </c>
      <c r="M8471" s="28"/>
      <c r="N8471" s="28"/>
      <c r="O8471" s="22" t="str">
        <f>HYPERLINK("https://abs.twimg.com/sticky/default_profile_images/default_profile_normal.png","View")</f>
        <v>View</v>
      </c>
      <c r="P8471" s="27"/>
    </row>
    <row r="8472">
      <c r="A8472" s="14">
        <v>43031.810682870375</v>
      </c>
      <c r="B8472" s="20" t="str">
        <f>HYPERLINK("https://twitter.com/venusboy1977","@venusboy1977")</f>
        <v>@venusboy1977</v>
      </c>
      <c r="C8472" s="21" t="s">
        <v>18688</v>
      </c>
      <c r="D8472" s="21" t="s">
        <v>18689</v>
      </c>
      <c r="E8472" s="22" t="str">
        <f>HYPERLINK("https://twitter.com/venusboy1977/status/922650701683089408","922650701683089408")</f>
        <v>922650701683089408</v>
      </c>
      <c r="F8472" s="23" t="s">
        <v>55</v>
      </c>
      <c r="G8472" s="24">
        <v>3892.0</v>
      </c>
      <c r="H8472" s="24">
        <v>4994.0</v>
      </c>
      <c r="I8472" s="24">
        <v>0.0</v>
      </c>
      <c r="J8472" s="24">
        <v>0.0</v>
      </c>
      <c r="K8472" s="23" t="s">
        <v>34</v>
      </c>
      <c r="L8472" s="25">
        <v>40204.13505787037</v>
      </c>
      <c r="M8472" s="26" t="s">
        <v>18690</v>
      </c>
      <c r="N8472" s="26" t="s">
        <v>18691</v>
      </c>
      <c r="O8472" s="22" t="str">
        <f>HYPERLINK("https://pbs.twimg.com/profile_images/755926629872918529/Os5zjNS1_normal.jpg","View")</f>
        <v>View</v>
      </c>
      <c r="P8472" s="27"/>
    </row>
    <row r="8473">
      <c r="A8473" s="14">
        <v>43031.81113425926</v>
      </c>
      <c r="B8473" s="20" t="str">
        <f>HYPERLINK("https://twitter.com/FinanzLinksUS","@FinanzLinksUS")</f>
        <v>@FinanzLinksUS</v>
      </c>
      <c r="C8473" s="21" t="s">
        <v>5235</v>
      </c>
      <c r="D8473" s="21" t="s">
        <v>18692</v>
      </c>
      <c r="E8473" s="22" t="str">
        <f>HYPERLINK("https://twitter.com/FinanzLinksUS/status/922650862295511042","922650862295511042")</f>
        <v>922650862295511042</v>
      </c>
      <c r="F8473" s="30" t="s">
        <v>411</v>
      </c>
      <c r="G8473" s="24">
        <v>449.0</v>
      </c>
      <c r="H8473" s="24">
        <v>57.0</v>
      </c>
      <c r="I8473" s="24">
        <v>0.0</v>
      </c>
      <c r="J8473" s="24">
        <v>0.0</v>
      </c>
      <c r="K8473" s="23" t="s">
        <v>34</v>
      </c>
      <c r="L8473" s="25">
        <v>40931.497662037036</v>
      </c>
      <c r="M8473" s="28"/>
      <c r="N8473" s="28"/>
      <c r="O8473" s="22" t="str">
        <f>HYPERLINK("https://pbs.twimg.com/profile_images/2670183926/5e4e944fd8ea41c993642840a9a27a89_normal.png","View")</f>
        <v>View</v>
      </c>
      <c r="P8473" s="27"/>
    </row>
    <row r="8474">
      <c r="A8474" s="14">
        <v>43031.81177083333</v>
      </c>
      <c r="B8474" s="20" t="str">
        <f>HYPERLINK("https://twitter.com/TCF7g3T888IDK6U","@TCF7g3T888IDK6U")</f>
        <v>@TCF7g3T888IDK6U</v>
      </c>
      <c r="C8474" s="21" t="s">
        <v>18693</v>
      </c>
      <c r="D8474" s="21" t="s">
        <v>42</v>
      </c>
      <c r="E8474" s="22" t="str">
        <f>HYPERLINK("https://twitter.com/TCF7g3T888IDK6U/status/922651093510717440","922651093510717440")</f>
        <v>922651093510717440</v>
      </c>
      <c r="F8474" s="23" t="s">
        <v>39</v>
      </c>
      <c r="G8474" s="24">
        <v>657.0</v>
      </c>
      <c r="H8474" s="24">
        <v>578.0</v>
      </c>
      <c r="I8474" s="24">
        <v>8501.0</v>
      </c>
      <c r="J8474" s="24">
        <v>0.0</v>
      </c>
      <c r="K8474" s="23" t="s">
        <v>34</v>
      </c>
      <c r="L8474" s="25">
        <v>42930.271631944444</v>
      </c>
      <c r="M8474" s="26" t="s">
        <v>18694</v>
      </c>
      <c r="N8474" s="26" t="s">
        <v>18695</v>
      </c>
      <c r="O8474" s="22" t="str">
        <f>HYPERLINK("https://pbs.twimg.com/profile_images/921792831575830528/5NJtrHOx_normal.jpg","View")</f>
        <v>View</v>
      </c>
      <c r="P8474" s="27"/>
    </row>
    <row r="8475">
      <c r="A8475" s="14">
        <v>43031.81178240741</v>
      </c>
      <c r="B8475" s="20" t="str">
        <f>HYPERLINK("https://twitter.com/19951ivannikov1","@19951ivannikov1")</f>
        <v>@19951ivannikov1</v>
      </c>
      <c r="C8475" s="21" t="s">
        <v>8305</v>
      </c>
      <c r="D8475" s="21" t="s">
        <v>213</v>
      </c>
      <c r="E8475" s="22" t="str">
        <f>HYPERLINK("https://twitter.com/19951ivannikov1/status/922651098103537669","922651098103537669")</f>
        <v>922651098103537669</v>
      </c>
      <c r="F8475" s="23" t="s">
        <v>55</v>
      </c>
      <c r="G8475" s="24">
        <v>2.0</v>
      </c>
      <c r="H8475" s="24">
        <v>0.0</v>
      </c>
      <c r="I8475" s="24">
        <v>94.0</v>
      </c>
      <c r="J8475" s="24">
        <v>0.0</v>
      </c>
      <c r="K8475" s="23" t="s">
        <v>34</v>
      </c>
      <c r="L8475" s="25">
        <v>43015.58064814815</v>
      </c>
      <c r="M8475" s="28"/>
      <c r="N8475" s="28"/>
      <c r="O8475" s="22" t="str">
        <f>HYPERLINK("https://pbs.twimg.com/profile_images/921117306150797312/2ijIjc7H_normal.jpg","View")</f>
        <v>View</v>
      </c>
      <c r="P8475" s="27"/>
    </row>
    <row r="8476">
      <c r="A8476" s="14">
        <v>43031.81188657407</v>
      </c>
      <c r="B8476" s="20" t="str">
        <f>HYPERLINK("https://twitter.com/Sachin240682","@Sachin240682")</f>
        <v>@Sachin240682</v>
      </c>
      <c r="C8476" s="21" t="s">
        <v>18696</v>
      </c>
      <c r="D8476" s="21" t="s">
        <v>18697</v>
      </c>
      <c r="E8476" s="22" t="str">
        <f>HYPERLINK("https://twitter.com/Sachin240682/status/922651137047588864","922651137047588864")</f>
        <v>922651137047588864</v>
      </c>
      <c r="F8476" s="23" t="s">
        <v>33</v>
      </c>
      <c r="G8476" s="24">
        <v>33.0</v>
      </c>
      <c r="H8476" s="24">
        <v>69.0</v>
      </c>
      <c r="I8476" s="24">
        <v>2.0</v>
      </c>
      <c r="J8476" s="24">
        <v>0.0</v>
      </c>
      <c r="K8476" s="23" t="s">
        <v>34</v>
      </c>
      <c r="L8476" s="25">
        <v>42866.025601851856</v>
      </c>
      <c r="M8476" s="28"/>
      <c r="N8476" s="28"/>
      <c r="O8476" s="22" t="str">
        <f>HYPERLINK("https://abs.twimg.com/sticky/default_profile_images/default_profile_normal.png","View")</f>
        <v>View</v>
      </c>
      <c r="P8476" s="27"/>
    </row>
    <row r="8477">
      <c r="A8477" s="14">
        <v>43031.812314814815</v>
      </c>
      <c r="B8477" s="20" t="str">
        <f>HYPERLINK("https://twitter.com/KMulenahalli","@KMulenahalli")</f>
        <v>@KMulenahalli</v>
      </c>
      <c r="C8477" s="21" t="s">
        <v>18698</v>
      </c>
      <c r="D8477" s="21" t="s">
        <v>42</v>
      </c>
      <c r="E8477" s="22" t="str">
        <f>HYPERLINK("https://twitter.com/KMulenahalli/status/922651290383007749","922651290383007749")</f>
        <v>922651290383007749</v>
      </c>
      <c r="F8477" s="23" t="s">
        <v>33</v>
      </c>
      <c r="G8477" s="24">
        <v>64.0</v>
      </c>
      <c r="H8477" s="24">
        <v>10.0</v>
      </c>
      <c r="I8477" s="24">
        <v>8501.0</v>
      </c>
      <c r="J8477" s="24">
        <v>0.0</v>
      </c>
      <c r="K8477" s="23" t="s">
        <v>34</v>
      </c>
      <c r="L8477" s="25">
        <v>40287.453831018516</v>
      </c>
      <c r="M8477" s="28"/>
      <c r="N8477" s="26" t="s">
        <v>18699</v>
      </c>
      <c r="O8477" s="22" t="str">
        <f>HYPERLINK("https://pbs.twimg.com/profile_images/887488513871982595/zAHo9owS_normal.jpg","View")</f>
        <v>View</v>
      </c>
      <c r="P8477" s="27"/>
    </row>
    <row r="8478">
      <c r="A8478" s="14">
        <v>43031.81247685185</v>
      </c>
      <c r="B8478" s="20" t="str">
        <f>HYPERLINK("https://twitter.com/funboyse","@funboyse")</f>
        <v>@funboyse</v>
      </c>
      <c r="C8478" s="21" t="s">
        <v>18700</v>
      </c>
      <c r="D8478" s="21" t="s">
        <v>42</v>
      </c>
      <c r="E8478" s="22" t="str">
        <f>HYPERLINK("https://twitter.com/funboyse/status/922651348666953728","922651348666953728")</f>
        <v>922651348666953728</v>
      </c>
      <c r="F8478" s="23" t="s">
        <v>39</v>
      </c>
      <c r="G8478" s="24">
        <v>116.0</v>
      </c>
      <c r="H8478" s="24">
        <v>87.0</v>
      </c>
      <c r="I8478" s="24">
        <v>8501.0</v>
      </c>
      <c r="J8478" s="24">
        <v>0.0</v>
      </c>
      <c r="K8478" s="23" t="s">
        <v>34</v>
      </c>
      <c r="L8478" s="25">
        <v>41903.92671296296</v>
      </c>
      <c r="M8478" s="28"/>
      <c r="N8478" s="26" t="s">
        <v>18701</v>
      </c>
      <c r="O8478" s="22" t="str">
        <f>HYPERLINK("https://pbs.twimg.com/profile_images/741670144032792580/iPIfoWe-_normal.jpg","View")</f>
        <v>View</v>
      </c>
      <c r="P8478" s="27"/>
    </row>
    <row r="8479">
      <c r="A8479" s="14">
        <v>43031.812627314815</v>
      </c>
      <c r="B8479" s="20" t="str">
        <f>HYPERLINK("https://twitter.com/DwivediRavindra","@DwivediRavindra")</f>
        <v>@DwivediRavindra</v>
      </c>
      <c r="C8479" s="21" t="s">
        <v>18702</v>
      </c>
      <c r="D8479" s="21" t="s">
        <v>42</v>
      </c>
      <c r="E8479" s="22" t="str">
        <f>HYPERLINK("https://twitter.com/DwivediRavindra/status/922651403939561472","922651403939561472")</f>
        <v>922651403939561472</v>
      </c>
      <c r="F8479" s="23" t="s">
        <v>33</v>
      </c>
      <c r="G8479" s="24">
        <v>666.0</v>
      </c>
      <c r="H8479" s="24">
        <v>1131.0</v>
      </c>
      <c r="I8479" s="24">
        <v>8501.0</v>
      </c>
      <c r="J8479" s="24">
        <v>0.0</v>
      </c>
      <c r="K8479" s="23" t="s">
        <v>34</v>
      </c>
      <c r="L8479" s="25">
        <v>40855.37883101852</v>
      </c>
      <c r="M8479" s="28"/>
      <c r="N8479" s="26" t="s">
        <v>18703</v>
      </c>
      <c r="O8479" s="22" t="str">
        <f>HYPERLINK("https://pbs.twimg.com/profile_images/746351959171465217/HyFPkyin_normal.jpg","View")</f>
        <v>View</v>
      </c>
      <c r="P8479" s="27"/>
    </row>
    <row r="8480">
      <c r="A8480" s="14">
        <v>43031.812627314815</v>
      </c>
      <c r="B8480" s="20" t="str">
        <f>HYPERLINK("https://twitter.com/NickBisley","@NickBisley")</f>
        <v>@NickBisley</v>
      </c>
      <c r="C8480" s="21" t="s">
        <v>18704</v>
      </c>
      <c r="D8480" s="21" t="s">
        <v>17677</v>
      </c>
      <c r="E8480" s="22" t="str">
        <f>HYPERLINK("https://twitter.com/NickBisley/status/922651404325421057","922651404325421057")</f>
        <v>922651404325421057</v>
      </c>
      <c r="F8480" s="23" t="s">
        <v>55</v>
      </c>
      <c r="G8480" s="24">
        <v>3329.0</v>
      </c>
      <c r="H8480" s="24">
        <v>910.0</v>
      </c>
      <c r="I8480" s="24">
        <v>13.0</v>
      </c>
      <c r="J8480" s="24">
        <v>0.0</v>
      </c>
      <c r="K8480" s="23" t="s">
        <v>34</v>
      </c>
      <c r="L8480" s="25">
        <v>40955.612291666665</v>
      </c>
      <c r="M8480" s="26" t="s">
        <v>18705</v>
      </c>
      <c r="N8480" s="26" t="s">
        <v>18706</v>
      </c>
      <c r="O8480" s="22" t="str">
        <f>HYPERLINK("https://pbs.twimg.com/profile_images/877103737017311232/qb-4xzPL_normal.jpg","View")</f>
        <v>View</v>
      </c>
      <c r="P8480" s="27"/>
    </row>
    <row r="8481">
      <c r="A8481" s="14">
        <v>43031.812627314815</v>
      </c>
      <c r="B8481" s="20" t="str">
        <f>HYPERLINK("https://twitter.com/VinaySh80845512","@VinaySh80845512")</f>
        <v>@VinaySh80845512</v>
      </c>
      <c r="C8481" s="21" t="s">
        <v>18707</v>
      </c>
      <c r="D8481" s="21" t="s">
        <v>42</v>
      </c>
      <c r="E8481" s="22" t="str">
        <f>HYPERLINK("https://twitter.com/VinaySh80845512/status/922651405298438144","922651405298438144")</f>
        <v>922651405298438144</v>
      </c>
      <c r="F8481" s="23" t="s">
        <v>33</v>
      </c>
      <c r="G8481" s="24">
        <v>16.0</v>
      </c>
      <c r="H8481" s="24">
        <v>344.0</v>
      </c>
      <c r="I8481" s="24">
        <v>8501.0</v>
      </c>
      <c r="J8481" s="24">
        <v>0.0</v>
      </c>
      <c r="K8481" s="23" t="s">
        <v>34</v>
      </c>
      <c r="L8481" s="25">
        <v>42920.18133101852</v>
      </c>
      <c r="M8481" s="26" t="s">
        <v>914</v>
      </c>
      <c r="N8481" s="26" t="s">
        <v>18708</v>
      </c>
      <c r="O8481" s="22" t="str">
        <f>HYPERLINK("https://pbs.twimg.com/profile_images/917001206987235328/DprsESXl_normal.jpg","View")</f>
        <v>View</v>
      </c>
      <c r="P8481" s="27"/>
    </row>
    <row r="8482">
      <c r="A8482" s="14">
        <v>43031.81263888889</v>
      </c>
      <c r="B8482" s="20" t="str">
        <f>HYPERLINK("https://twitter.com/WorldNewsNgayon","@WorldNewsNgayon")</f>
        <v>@WorldNewsNgayon</v>
      </c>
      <c r="C8482" s="21" t="s">
        <v>4889</v>
      </c>
      <c r="D8482" s="21" t="s">
        <v>18709</v>
      </c>
      <c r="E8482" s="22" t="str">
        <f>HYPERLINK("https://twitter.com/WorldNewsNgayon/status/922651407097974784","922651407097974784")</f>
        <v>922651407097974784</v>
      </c>
      <c r="F8482" s="23" t="s">
        <v>187</v>
      </c>
      <c r="G8482" s="24">
        <v>1177.0</v>
      </c>
      <c r="H8482" s="24">
        <v>9.0</v>
      </c>
      <c r="I8482" s="24">
        <v>0.0</v>
      </c>
      <c r="J8482" s="24">
        <v>0.0</v>
      </c>
      <c r="K8482" s="23" t="s">
        <v>34</v>
      </c>
      <c r="L8482" s="25">
        <v>41174.847233796296</v>
      </c>
      <c r="M8482" s="26" t="s">
        <v>3507</v>
      </c>
      <c r="N8482" s="26" t="s">
        <v>4891</v>
      </c>
      <c r="O8482" s="22" t="str">
        <f>HYPERLINK("https://pbs.twimg.com/profile_images/425420772534784000/_u4Vu6V1_normal.jpeg","View")</f>
        <v>View</v>
      </c>
      <c r="P8482" s="27"/>
    </row>
    <row r="8483">
      <c r="A8483" s="14">
        <v>43031.81263888889</v>
      </c>
      <c r="B8483" s="20" t="str">
        <f>HYPERLINK("https://twitter.com/DailyStarLeb","@DailyStarLeb")</f>
        <v>@DailyStarLeb</v>
      </c>
      <c r="C8483" s="21" t="s">
        <v>18710</v>
      </c>
      <c r="D8483" s="21" t="s">
        <v>18711</v>
      </c>
      <c r="E8483" s="22" t="str">
        <f>HYPERLINK("https://twitter.com/DailyStarLeb/status/922651409790664704","922651409790664704")</f>
        <v>922651409790664704</v>
      </c>
      <c r="F8483" s="23" t="s">
        <v>4619</v>
      </c>
      <c r="G8483" s="24">
        <v>51856.0</v>
      </c>
      <c r="H8483" s="24">
        <v>268.0</v>
      </c>
      <c r="I8483" s="24">
        <v>3.0</v>
      </c>
      <c r="J8483" s="24">
        <v>0.0</v>
      </c>
      <c r="K8483" s="23" t="s">
        <v>34</v>
      </c>
      <c r="L8483" s="25">
        <v>40405.44134259259</v>
      </c>
      <c r="M8483" s="26" t="s">
        <v>1943</v>
      </c>
      <c r="N8483" s="26" t="s">
        <v>18712</v>
      </c>
      <c r="O8483" s="22" t="str">
        <f>HYPERLINK("https://pbs.twimg.com/profile_images/464417041827385344/TApCKrOD_normal.jpeg","View")</f>
        <v>View</v>
      </c>
      <c r="P8483" s="27"/>
    </row>
    <row r="8484">
      <c r="A8484" s="14">
        <v>43031.81290509259</v>
      </c>
      <c r="B8484" s="20" t="str">
        <f>HYPERLINK("https://twitter.com/19845demidovar1","@19845demidovar1")</f>
        <v>@19845demidovar1</v>
      </c>
      <c r="C8484" s="21" t="s">
        <v>8425</v>
      </c>
      <c r="D8484" s="21" t="s">
        <v>18162</v>
      </c>
      <c r="E8484" s="22" t="str">
        <f>HYPERLINK("https://twitter.com/19845demidovar1/status/922651504770609152","922651504770609152")</f>
        <v>922651504770609152</v>
      </c>
      <c r="F8484" s="23" t="s">
        <v>55</v>
      </c>
      <c r="G8484" s="24">
        <v>2.0</v>
      </c>
      <c r="H8484" s="24">
        <v>0.0</v>
      </c>
      <c r="I8484" s="24">
        <v>59.0</v>
      </c>
      <c r="J8484" s="24">
        <v>0.0</v>
      </c>
      <c r="K8484" s="23" t="s">
        <v>34</v>
      </c>
      <c r="L8484" s="25">
        <v>43015.58440972222</v>
      </c>
      <c r="M8484" s="28"/>
      <c r="N8484" s="28"/>
      <c r="O8484" s="22" t="str">
        <f>HYPERLINK("https://pbs.twimg.com/profile_images/921118767085625344/6HTggXzv_normal.jpg","View")</f>
        <v>View</v>
      </c>
      <c r="P8484" s="27"/>
    </row>
    <row r="8485">
      <c r="A8485" s="14">
        <v>43031.812951388885</v>
      </c>
      <c r="B8485" s="20" t="str">
        <f>HYPERLINK("https://twitter.com/ramana1729","@ramana1729")</f>
        <v>@ramana1729</v>
      </c>
      <c r="C8485" s="21" t="s">
        <v>18713</v>
      </c>
      <c r="D8485" s="21" t="s">
        <v>42</v>
      </c>
      <c r="E8485" s="22" t="str">
        <f>HYPERLINK("https://twitter.com/ramana1729/status/922651521631817729","922651521631817729")</f>
        <v>922651521631817729</v>
      </c>
      <c r="F8485" s="23" t="s">
        <v>33</v>
      </c>
      <c r="G8485" s="24">
        <v>3120.0</v>
      </c>
      <c r="H8485" s="24">
        <v>3791.0</v>
      </c>
      <c r="I8485" s="24">
        <v>8501.0</v>
      </c>
      <c r="J8485" s="24">
        <v>0.0</v>
      </c>
      <c r="K8485" s="23" t="s">
        <v>34</v>
      </c>
      <c r="L8485" s="25">
        <v>39943.617800925924</v>
      </c>
      <c r="M8485" s="26" t="s">
        <v>18714</v>
      </c>
      <c r="N8485" s="26" t="s">
        <v>18715</v>
      </c>
      <c r="O8485" s="22" t="str">
        <f>HYPERLINK("https://pbs.twimg.com/profile_images/827248035021336577/0k_cpGTj_normal.jpg","View")</f>
        <v>View</v>
      </c>
      <c r="P8485" s="27"/>
    </row>
    <row r="8486">
      <c r="A8486" s="14">
        <v>43031.813055555554</v>
      </c>
      <c r="B8486" s="20" t="str">
        <f>HYPERLINK("https://twitter.com/ggnewsus","@ggnewsus")</f>
        <v>@ggnewsus</v>
      </c>
      <c r="C8486" s="21" t="s">
        <v>13409</v>
      </c>
      <c r="D8486" s="21" t="s">
        <v>13410</v>
      </c>
      <c r="E8486" s="22" t="str">
        <f>HYPERLINK("https://twitter.com/ggnewsus/status/922651557786783744","922651557786783744")</f>
        <v>922651557786783744</v>
      </c>
      <c r="F8486" s="23" t="s">
        <v>187</v>
      </c>
      <c r="G8486" s="24">
        <v>862.0</v>
      </c>
      <c r="H8486" s="24">
        <v>143.0</v>
      </c>
      <c r="I8486" s="24">
        <v>0.0</v>
      </c>
      <c r="J8486" s="24">
        <v>0.0</v>
      </c>
      <c r="K8486" s="23" t="s">
        <v>34</v>
      </c>
      <c r="L8486" s="25">
        <v>41679.77077546297</v>
      </c>
      <c r="M8486" s="26" t="s">
        <v>13411</v>
      </c>
      <c r="N8486" s="26" t="s">
        <v>874</v>
      </c>
      <c r="O8486" s="22" t="str">
        <f>HYPERLINK("https://pbs.twimg.com/profile_images/432706003285450752/IHK6C475_normal.png","View")</f>
        <v>View</v>
      </c>
      <c r="P8486" s="27"/>
    </row>
    <row r="8487">
      <c r="A8487" s="14">
        <v>43031.813125</v>
      </c>
      <c r="B8487" s="20" t="str">
        <f>HYPERLINK("https://twitter.com/Mahadevanmenon","@Mahadevanmenon")</f>
        <v>@Mahadevanmenon</v>
      </c>
      <c r="C8487" s="21" t="s">
        <v>18716</v>
      </c>
      <c r="D8487" s="21" t="s">
        <v>42</v>
      </c>
      <c r="E8487" s="22" t="str">
        <f>HYPERLINK("https://twitter.com/Mahadevanmenon/status/922651586416992256","922651586416992256")</f>
        <v>922651586416992256</v>
      </c>
      <c r="F8487" s="23" t="s">
        <v>55</v>
      </c>
      <c r="G8487" s="24">
        <v>4164.0</v>
      </c>
      <c r="H8487" s="24">
        <v>1592.0</v>
      </c>
      <c r="I8487" s="24">
        <v>8501.0</v>
      </c>
      <c r="J8487" s="24">
        <v>0.0</v>
      </c>
      <c r="K8487" s="23" t="s">
        <v>34</v>
      </c>
      <c r="L8487" s="25">
        <v>40619.272465277776</v>
      </c>
      <c r="M8487" s="26" t="s">
        <v>2967</v>
      </c>
      <c r="N8487" s="26" t="s">
        <v>18717</v>
      </c>
      <c r="O8487" s="22" t="str">
        <f>HYPERLINK("https://pbs.twimg.com/profile_images/607379975977590785/YQy8Sgwd_normal.jpg","View")</f>
        <v>View</v>
      </c>
      <c r="P8487" s="27"/>
    </row>
    <row r="8488">
      <c r="A8488" s="14">
        <v>43031.81322916667</v>
      </c>
      <c r="B8488" s="20" t="str">
        <f>HYPERLINK("https://twitter.com/anupchahar96","@anupchahar96")</f>
        <v>@anupchahar96</v>
      </c>
      <c r="C8488" s="21" t="s">
        <v>18718</v>
      </c>
      <c r="D8488" s="21" t="s">
        <v>42</v>
      </c>
      <c r="E8488" s="22" t="str">
        <f>HYPERLINK("https://twitter.com/anupchahar96/status/922651620617240576","922651620617240576")</f>
        <v>922651620617240576</v>
      </c>
      <c r="F8488" s="23" t="s">
        <v>33</v>
      </c>
      <c r="G8488" s="24">
        <v>102.0</v>
      </c>
      <c r="H8488" s="24">
        <v>1143.0</v>
      </c>
      <c r="I8488" s="24">
        <v>8501.0</v>
      </c>
      <c r="J8488" s="24">
        <v>0.0</v>
      </c>
      <c r="K8488" s="23" t="s">
        <v>34</v>
      </c>
      <c r="L8488" s="25">
        <v>40577.34940972222</v>
      </c>
      <c r="M8488" s="26" t="s">
        <v>5228</v>
      </c>
      <c r="N8488" s="26" t="s">
        <v>18719</v>
      </c>
      <c r="O8488" s="22" t="str">
        <f>HYPERLINK("https://pbs.twimg.com/profile_images/911302455622754304/3_dxalL3_normal.jpg","View")</f>
        <v>View</v>
      </c>
      <c r="P8488" s="27"/>
    </row>
    <row r="8489">
      <c r="A8489" s="14">
        <v>43031.81408564815</v>
      </c>
      <c r="B8489" s="20" t="str">
        <f>HYPERLINK("https://twitter.com/Michaelprice888","@Michaelprice888")</f>
        <v>@Michaelprice888</v>
      </c>
      <c r="C8489" s="21" t="s">
        <v>18720</v>
      </c>
      <c r="D8489" s="21" t="s">
        <v>18609</v>
      </c>
      <c r="E8489" s="22" t="str">
        <f>HYPERLINK("https://twitter.com/Michaelprice888/status/922651933164351490","922651933164351490")</f>
        <v>922651933164351490</v>
      </c>
      <c r="F8489" s="23" t="s">
        <v>39</v>
      </c>
      <c r="G8489" s="24">
        <v>8.0</v>
      </c>
      <c r="H8489" s="24">
        <v>27.0</v>
      </c>
      <c r="I8489" s="24">
        <v>6.0</v>
      </c>
      <c r="J8489" s="24">
        <v>0.0</v>
      </c>
      <c r="K8489" s="23" t="s">
        <v>34</v>
      </c>
      <c r="L8489" s="25">
        <v>42953.50854166667</v>
      </c>
      <c r="M8489" s="26" t="s">
        <v>68</v>
      </c>
      <c r="N8489" s="26" t="s">
        <v>18721</v>
      </c>
      <c r="O8489" s="22" t="str">
        <f>HYPERLINK("https://pbs.twimg.com/profile_images/897618675598934017/oo344pEd_normal.jpg","View")</f>
        <v>View</v>
      </c>
      <c r="P8489" s="27"/>
    </row>
    <row r="8490">
      <c r="A8490" s="14">
        <v>43031.81412037037</v>
      </c>
      <c r="B8490" s="20" t="str">
        <f>HYPERLINK("https://twitter.com/nanjundan_bhoj","@nanjundan_bhoj")</f>
        <v>@nanjundan_bhoj</v>
      </c>
      <c r="C8490" s="21" t="s">
        <v>18722</v>
      </c>
      <c r="D8490" s="21" t="s">
        <v>42</v>
      </c>
      <c r="E8490" s="22" t="str">
        <f>HYPERLINK("https://twitter.com/nanjundan_bhoj/status/922651944056889344","922651944056889344")</f>
        <v>922651944056889344</v>
      </c>
      <c r="F8490" s="23" t="s">
        <v>33</v>
      </c>
      <c r="G8490" s="24">
        <v>232.0</v>
      </c>
      <c r="H8490" s="24">
        <v>1168.0</v>
      </c>
      <c r="I8490" s="24">
        <v>8501.0</v>
      </c>
      <c r="J8490" s="24">
        <v>0.0</v>
      </c>
      <c r="K8490" s="23" t="s">
        <v>34</v>
      </c>
      <c r="L8490" s="25">
        <v>41213.93908564815</v>
      </c>
      <c r="M8490" s="26" t="s">
        <v>18723</v>
      </c>
      <c r="N8490" s="26" t="s">
        <v>18724</v>
      </c>
      <c r="O8490" s="22" t="str">
        <f>HYPERLINK("https://pbs.twimg.com/profile_images/892412807961919488/I_ThuUx5_normal.jpg","View")</f>
        <v>View</v>
      </c>
      <c r="P8490" s="27"/>
    </row>
    <row r="8491">
      <c r="A8491" s="14">
        <v>43031.81420138889</v>
      </c>
      <c r="B8491" s="20" t="str">
        <f>HYPERLINK("https://twitter.com/Paper8oy","@Paper8oy")</f>
        <v>@Paper8oy</v>
      </c>
      <c r="C8491" s="21" t="s">
        <v>18725</v>
      </c>
      <c r="D8491" s="21" t="s">
        <v>18726</v>
      </c>
      <c r="E8491" s="22" t="str">
        <f>HYPERLINK("https://twitter.com/Paper8oy/status/922651972980920322","922651972980920322")</f>
        <v>922651972980920322</v>
      </c>
      <c r="F8491" s="23" t="s">
        <v>55</v>
      </c>
      <c r="G8491" s="24">
        <v>45.0</v>
      </c>
      <c r="H8491" s="24">
        <v>85.0</v>
      </c>
      <c r="I8491" s="24">
        <v>0.0</v>
      </c>
      <c r="J8491" s="24">
        <v>0.0</v>
      </c>
      <c r="K8491" s="23" t="s">
        <v>34</v>
      </c>
      <c r="L8491" s="25">
        <v>41078.393229166664</v>
      </c>
      <c r="M8491" s="26" t="s">
        <v>68</v>
      </c>
      <c r="N8491" s="26" t="s">
        <v>18727</v>
      </c>
      <c r="O8491" s="22" t="str">
        <f>HYPERLINK("https://pbs.twimg.com/profile_images/685623581842223105/c-XDKd-H_normal.jpg","View")</f>
        <v>View</v>
      </c>
      <c r="P8491" s="27"/>
    </row>
    <row r="8492">
      <c r="A8492" s="14">
        <v>43031.8143287037</v>
      </c>
      <c r="B8492" s="20" t="str">
        <f>HYPERLINK("https://twitter.com/breaking_news_4","@breaking_news_4")</f>
        <v>@breaking_news_4</v>
      </c>
      <c r="C8492" s="21" t="s">
        <v>5830</v>
      </c>
      <c r="D8492" s="21" t="s">
        <v>18728</v>
      </c>
      <c r="E8492" s="22" t="str">
        <f>HYPERLINK("https://twitter.com/breaking_news_4/status/922652020808519680","922652020808519680")</f>
        <v>922652020808519680</v>
      </c>
      <c r="F8492" s="23" t="s">
        <v>187</v>
      </c>
      <c r="G8492" s="24">
        <v>1564.0</v>
      </c>
      <c r="H8492" s="24">
        <v>168.0</v>
      </c>
      <c r="I8492" s="24">
        <v>0.0</v>
      </c>
      <c r="J8492" s="24">
        <v>0.0</v>
      </c>
      <c r="K8492" s="23" t="s">
        <v>34</v>
      </c>
      <c r="L8492" s="25">
        <v>41323.59861111111</v>
      </c>
      <c r="M8492" s="28"/>
      <c r="N8492" s="28"/>
      <c r="O8492" s="22" t="str">
        <f>HYPERLINK("https://pbs.twimg.com/profile_images/3506234829/a38e573d69ee71fcc25830b97d00c179_normal.png","View")</f>
        <v>View</v>
      </c>
      <c r="P8492" s="27"/>
    </row>
    <row r="8493">
      <c r="A8493" s="14">
        <v>43031.81438657407</v>
      </c>
      <c r="B8493" s="20" t="str">
        <f>HYPERLINK("https://twitter.com/paritosh2608","@paritosh2608")</f>
        <v>@paritosh2608</v>
      </c>
      <c r="C8493" s="21" t="s">
        <v>18729</v>
      </c>
      <c r="D8493" s="21" t="s">
        <v>42</v>
      </c>
      <c r="E8493" s="22" t="str">
        <f>HYPERLINK("https://twitter.com/paritosh2608/status/922652040626520064","922652040626520064")</f>
        <v>922652040626520064</v>
      </c>
      <c r="F8493" s="23" t="s">
        <v>33</v>
      </c>
      <c r="G8493" s="24">
        <v>36715.0</v>
      </c>
      <c r="H8493" s="24">
        <v>1135.0</v>
      </c>
      <c r="I8493" s="24">
        <v>8501.0</v>
      </c>
      <c r="J8493" s="24">
        <v>0.0</v>
      </c>
      <c r="K8493" s="23" t="s">
        <v>34</v>
      </c>
      <c r="L8493" s="25">
        <v>39979.09087962963</v>
      </c>
      <c r="M8493" s="26" t="s">
        <v>18730</v>
      </c>
      <c r="N8493" s="26" t="s">
        <v>18731</v>
      </c>
      <c r="O8493" s="22" t="str">
        <f>HYPERLINK("https://pbs.twimg.com/profile_images/820613416641400832/3BIit4fp_normal.jpg","View")</f>
        <v>View</v>
      </c>
      <c r="P8493" s="27"/>
    </row>
    <row r="8494">
      <c r="A8494" s="14">
        <v>43031.81445601852</v>
      </c>
      <c r="B8494" s="20" t="str">
        <f>HYPERLINK("https://twitter.com/coreburnflat","@coreburnflat")</f>
        <v>@coreburnflat</v>
      </c>
      <c r="C8494" s="21" t="s">
        <v>13373</v>
      </c>
      <c r="D8494" s="21" t="s">
        <v>18732</v>
      </c>
      <c r="E8494" s="22" t="str">
        <f>HYPERLINK("https://twitter.com/coreburnflat/status/922652067315027968","922652067315027968")</f>
        <v>922652067315027968</v>
      </c>
      <c r="F8494" s="23" t="s">
        <v>91</v>
      </c>
      <c r="G8494" s="24">
        <v>922.0</v>
      </c>
      <c r="H8494" s="24">
        <v>562.0</v>
      </c>
      <c r="I8494" s="24">
        <v>0.0</v>
      </c>
      <c r="J8494" s="24">
        <v>0.0</v>
      </c>
      <c r="K8494" s="23" t="s">
        <v>34</v>
      </c>
      <c r="L8494" s="25">
        <v>40982.479525462964</v>
      </c>
      <c r="M8494" s="28"/>
      <c r="N8494" s="28"/>
      <c r="O8494" s="22" t="str">
        <f>HYPERLINK("https://pbs.twimg.com/profile_images/1898142881/core_normal.jpg","View")</f>
        <v>View</v>
      </c>
      <c r="P8494" s="27"/>
    </row>
    <row r="8495">
      <c r="A8495" s="14">
        <v>43031.814513888894</v>
      </c>
      <c r="B8495" s="20" t="str">
        <f>HYPERLINK("https://twitter.com/RMHSContempHist","@RMHSContempHist")</f>
        <v>@RMHSContempHist</v>
      </c>
      <c r="C8495" s="21" t="s">
        <v>18733</v>
      </c>
      <c r="D8495" s="21" t="s">
        <v>18734</v>
      </c>
      <c r="E8495" s="22" t="str">
        <f>HYPERLINK("https://twitter.com/RMHSContempHist/status/922652089234415616","922652089234415616")</f>
        <v>922652089234415616</v>
      </c>
      <c r="F8495" s="23" t="s">
        <v>55</v>
      </c>
      <c r="G8495" s="24">
        <v>91.0</v>
      </c>
      <c r="H8495" s="24">
        <v>41.0</v>
      </c>
      <c r="I8495" s="24">
        <v>0.0</v>
      </c>
      <c r="J8495" s="24">
        <v>0.0</v>
      </c>
      <c r="K8495" s="23" t="s">
        <v>34</v>
      </c>
      <c r="L8495" s="25">
        <v>41502.4862037037</v>
      </c>
      <c r="M8495" s="26" t="s">
        <v>18735</v>
      </c>
      <c r="N8495" s="26" t="s">
        <v>18736</v>
      </c>
      <c r="O8495" s="22" t="str">
        <f>HYPERLINK("https://pbs.twimg.com/profile_images/378800000377540833/b548bfa67f0c0202cdf2a467165890b7_normal.jpeg","View")</f>
        <v>View</v>
      </c>
      <c r="P8495" s="27"/>
    </row>
    <row r="8496">
      <c r="A8496" s="14">
        <v>43031.814687499995</v>
      </c>
      <c r="B8496" s="20" t="str">
        <f>HYPERLINK("https://twitter.com/JJRam5","@JJRam5")</f>
        <v>@JJRam5</v>
      </c>
      <c r="C8496" s="21" t="s">
        <v>18737</v>
      </c>
      <c r="D8496" s="21" t="s">
        <v>42</v>
      </c>
      <c r="E8496" s="22" t="str">
        <f>HYPERLINK("https://twitter.com/JJRam5/status/922652149124808704","922652149124808704")</f>
        <v>922652149124808704</v>
      </c>
      <c r="F8496" s="23" t="s">
        <v>33</v>
      </c>
      <c r="G8496" s="24">
        <v>14.0</v>
      </c>
      <c r="H8496" s="24">
        <v>43.0</v>
      </c>
      <c r="I8496" s="24">
        <v>8501.0</v>
      </c>
      <c r="J8496" s="24">
        <v>0.0</v>
      </c>
      <c r="K8496" s="23" t="s">
        <v>34</v>
      </c>
      <c r="L8496" s="25">
        <v>42616.92818287037</v>
      </c>
      <c r="M8496" s="26" t="s">
        <v>472</v>
      </c>
      <c r="N8496" s="26" t="s">
        <v>18738</v>
      </c>
      <c r="O8496" s="22" t="str">
        <f>HYPERLINK("https://pbs.twimg.com/profile_images/860096855065018368/tFaaRKxm_normal.jpg","View")</f>
        <v>View</v>
      </c>
      <c r="P8496" s="27"/>
    </row>
    <row r="8497">
      <c r="A8497" s="14">
        <v>43031.814687499995</v>
      </c>
      <c r="B8497" s="20" t="str">
        <f>HYPERLINK("https://twitter.com/krunox123","@krunox123")</f>
        <v>@krunox123</v>
      </c>
      <c r="C8497" s="21" t="s">
        <v>1750</v>
      </c>
      <c r="D8497" s="21" t="s">
        <v>18739</v>
      </c>
      <c r="E8497" s="22" t="str">
        <f>HYPERLINK("https://twitter.com/krunox123/status/922652150664220673","922652150664220673")</f>
        <v>922652150664220673</v>
      </c>
      <c r="F8497" s="23" t="s">
        <v>187</v>
      </c>
      <c r="G8497" s="24">
        <v>10220.0</v>
      </c>
      <c r="H8497" s="24">
        <v>2.0</v>
      </c>
      <c r="I8497" s="24">
        <v>0.0</v>
      </c>
      <c r="J8497" s="24">
        <v>0.0</v>
      </c>
      <c r="K8497" s="23" t="s">
        <v>34</v>
      </c>
      <c r="L8497" s="25">
        <v>40938.22789351852</v>
      </c>
      <c r="M8497" s="26" t="s">
        <v>1752</v>
      </c>
      <c r="N8497" s="26" t="s">
        <v>1753</v>
      </c>
      <c r="O8497" s="22" t="str">
        <f>HYPERLINK("https://pbs.twimg.com/profile_images/824952382618349568/2SFIkM2x_normal.jpg","View")</f>
        <v>View</v>
      </c>
      <c r="P8497" s="27"/>
    </row>
    <row r="8498">
      <c r="A8498" s="14">
        <v>43031.81484953704</v>
      </c>
      <c r="B8498" s="20" t="str">
        <f>HYPERLINK("https://twitter.com/IamRaviRash","@IamRaviRash")</f>
        <v>@IamRaviRash</v>
      </c>
      <c r="C8498" s="21" t="s">
        <v>18740</v>
      </c>
      <c r="D8498" s="21" t="s">
        <v>42</v>
      </c>
      <c r="E8498" s="22" t="str">
        <f>HYPERLINK("https://twitter.com/IamRaviRash/status/922652208541212672","922652208541212672")</f>
        <v>922652208541212672</v>
      </c>
      <c r="F8498" s="23" t="s">
        <v>33</v>
      </c>
      <c r="G8498" s="24">
        <v>593.0</v>
      </c>
      <c r="H8498" s="24">
        <v>401.0</v>
      </c>
      <c r="I8498" s="24">
        <v>8501.0</v>
      </c>
      <c r="J8498" s="24">
        <v>0.0</v>
      </c>
      <c r="K8498" s="23" t="s">
        <v>34</v>
      </c>
      <c r="L8498" s="25">
        <v>41195.628912037035</v>
      </c>
      <c r="M8498" s="26" t="s">
        <v>18741</v>
      </c>
      <c r="N8498" s="26" t="s">
        <v>18742</v>
      </c>
      <c r="O8498" s="22" t="str">
        <f>HYPERLINK("https://pbs.twimg.com/profile_images/887906251790790656/WSQ9mYin_normal.jpg","View")</f>
        <v>View</v>
      </c>
      <c r="P8498" s="27"/>
    </row>
    <row r="8499">
      <c r="A8499" s="14">
        <v>43031.81487268519</v>
      </c>
      <c r="B8499" s="20" t="str">
        <f>HYPERLINK("https://twitter.com/avbagur","@avbagur")</f>
        <v>@avbagur</v>
      </c>
      <c r="C8499" s="21" t="s">
        <v>18743</v>
      </c>
      <c r="D8499" s="21" t="s">
        <v>42</v>
      </c>
      <c r="E8499" s="22" t="str">
        <f>HYPERLINK("https://twitter.com/avbagur/status/922652219823964160","922652219823964160")</f>
        <v>922652219823964160</v>
      </c>
      <c r="F8499" s="23" t="s">
        <v>33</v>
      </c>
      <c r="G8499" s="24">
        <v>325.0</v>
      </c>
      <c r="H8499" s="24">
        <v>658.0</v>
      </c>
      <c r="I8499" s="24">
        <v>8501.0</v>
      </c>
      <c r="J8499" s="24">
        <v>0.0</v>
      </c>
      <c r="K8499" s="23" t="s">
        <v>34</v>
      </c>
      <c r="L8499" s="25">
        <v>40174.01280092593</v>
      </c>
      <c r="M8499" s="28"/>
      <c r="N8499" s="26" t="s">
        <v>18744</v>
      </c>
      <c r="O8499" s="22" t="str">
        <f>HYPERLINK("https://pbs.twimg.com/profile_images/3191274122/e853f254a17f91abc6724ec873ab94fe_normal.jpeg","View")</f>
        <v>View</v>
      </c>
      <c r="P8499" s="27"/>
    </row>
    <row r="8500">
      <c r="A8500" s="14">
        <v>43031.81497685185</v>
      </c>
      <c r="B8500" s="20" t="str">
        <f>HYPERLINK("https://twitter.com/coreburnflat","@coreburnflat")</f>
        <v>@coreburnflat</v>
      </c>
      <c r="C8500" s="21" t="s">
        <v>13373</v>
      </c>
      <c r="D8500" s="21" t="s">
        <v>18745</v>
      </c>
      <c r="E8500" s="22" t="str">
        <f>HYPERLINK("https://twitter.com/coreburnflat/status/922652257736384512","922652257736384512")</f>
        <v>922652257736384512</v>
      </c>
      <c r="F8500" s="23" t="s">
        <v>91</v>
      </c>
      <c r="G8500" s="24">
        <v>922.0</v>
      </c>
      <c r="H8500" s="24">
        <v>562.0</v>
      </c>
      <c r="I8500" s="24">
        <v>0.0</v>
      </c>
      <c r="J8500" s="24">
        <v>0.0</v>
      </c>
      <c r="K8500" s="23" t="s">
        <v>34</v>
      </c>
      <c r="L8500" s="25">
        <v>40982.479525462964</v>
      </c>
      <c r="M8500" s="28"/>
      <c r="N8500" s="28"/>
      <c r="O8500" s="22" t="str">
        <f>HYPERLINK("https://pbs.twimg.com/profile_images/1898142881/core_normal.jpg","View")</f>
        <v>View</v>
      </c>
      <c r="P8500" s="27"/>
    </row>
    <row r="8501">
      <c r="A8501" s="14">
        <v>43031.814988425926</v>
      </c>
      <c r="B8501" s="20" t="str">
        <f>HYPERLINK("https://twitter.com/tessayang2017","@tessayang2017")</f>
        <v>@tessayang2017</v>
      </c>
      <c r="C8501" s="21" t="s">
        <v>18746</v>
      </c>
      <c r="D8501" s="21" t="s">
        <v>18162</v>
      </c>
      <c r="E8501" s="22" t="str">
        <f>HYPERLINK("https://twitter.com/tessayang2017/status/922652260533858304","922652260533858304")</f>
        <v>922652260533858304</v>
      </c>
      <c r="F8501" s="23" t="s">
        <v>55</v>
      </c>
      <c r="G8501" s="24">
        <v>7.0</v>
      </c>
      <c r="H8501" s="24">
        <v>35.0</v>
      </c>
      <c r="I8501" s="24">
        <v>59.0</v>
      </c>
      <c r="J8501" s="24">
        <v>0.0</v>
      </c>
      <c r="K8501" s="23" t="s">
        <v>34</v>
      </c>
      <c r="L8501" s="25">
        <v>42991.918344907404</v>
      </c>
      <c r="M8501" s="28"/>
      <c r="N8501" s="28"/>
      <c r="O8501" s="22" t="str">
        <f>HYPERLINK("https://pbs.twimg.com/profile_images/920479510536929280/joHPYW-Z_normal.jpg","View")</f>
        <v>View</v>
      </c>
      <c r="P8501" s="27"/>
    </row>
    <row r="8502">
      <c r="A8502" s="14">
        <v>43031.815</v>
      </c>
      <c r="B8502" s="20" t="str">
        <f>HYPERLINK("https://twitter.com/jaiho12354","@jaiho12354")</f>
        <v>@jaiho12354</v>
      </c>
      <c r="C8502" s="21" t="s">
        <v>18747</v>
      </c>
      <c r="D8502" s="21" t="s">
        <v>42</v>
      </c>
      <c r="E8502" s="22" t="str">
        <f>HYPERLINK("https://twitter.com/jaiho12354/status/922652263029415936","922652263029415936")</f>
        <v>922652263029415936</v>
      </c>
      <c r="F8502" s="23" t="s">
        <v>39</v>
      </c>
      <c r="G8502" s="24">
        <v>130.0</v>
      </c>
      <c r="H8502" s="24">
        <v>657.0</v>
      </c>
      <c r="I8502" s="24">
        <v>8501.0</v>
      </c>
      <c r="J8502" s="24">
        <v>0.0</v>
      </c>
      <c r="K8502" s="23" t="s">
        <v>34</v>
      </c>
      <c r="L8502" s="25">
        <v>41467.22975694444</v>
      </c>
      <c r="M8502" s="26" t="s">
        <v>18748</v>
      </c>
      <c r="N8502" s="26" t="s">
        <v>18749</v>
      </c>
      <c r="O8502" s="22" t="str">
        <f>HYPERLINK("https://pbs.twimg.com/profile_images/836214455373475841/YimfmFEz_normal.jpg","View")</f>
        <v>View</v>
      </c>
      <c r="P8502" s="27"/>
    </row>
    <row r="8503">
      <c r="A8503" s="14">
        <v>43031.81575231481</v>
      </c>
      <c r="B8503" s="20" t="str">
        <f>HYPERLINK("https://twitter.com/JCIE_org","@JCIE_org")</f>
        <v>@JCIE_org</v>
      </c>
      <c r="C8503" s="21" t="s">
        <v>18750</v>
      </c>
      <c r="D8503" s="21" t="s">
        <v>18751</v>
      </c>
      <c r="E8503" s="22" t="str">
        <f>HYPERLINK("https://twitter.com/JCIE_org/status/922652535755862016","922652535755862016")</f>
        <v>922652535755862016</v>
      </c>
      <c r="F8503" s="23" t="s">
        <v>39</v>
      </c>
      <c r="G8503" s="24">
        <v>89.0</v>
      </c>
      <c r="H8503" s="24">
        <v>68.0</v>
      </c>
      <c r="I8503" s="24">
        <v>0.0</v>
      </c>
      <c r="J8503" s="24">
        <v>0.0</v>
      </c>
      <c r="K8503" s="23" t="s">
        <v>34</v>
      </c>
      <c r="L8503" s="25">
        <v>42340.58660879629</v>
      </c>
      <c r="M8503" s="28"/>
      <c r="N8503" s="26" t="s">
        <v>18752</v>
      </c>
      <c r="O8503" s="22" t="str">
        <f>HYPERLINK("https://pbs.twimg.com/profile_images/738474288831954944/3bDGjtAp_normal.jpg","View")</f>
        <v>View</v>
      </c>
      <c r="P8503" s="27"/>
    </row>
    <row r="8504">
      <c r="A8504" s="14">
        <v>43031.815787037034</v>
      </c>
      <c r="B8504" s="20" t="str">
        <f>HYPERLINK("https://twitter.com/zhouminqin007","@zhouminqin007")</f>
        <v>@zhouminqin007</v>
      </c>
      <c r="C8504" s="21" t="s">
        <v>17738</v>
      </c>
      <c r="D8504" s="21" t="s">
        <v>18162</v>
      </c>
      <c r="E8504" s="22" t="str">
        <f>HYPERLINK("https://twitter.com/zhouminqin007/status/922652550213570560","922652550213570560")</f>
        <v>922652550213570560</v>
      </c>
      <c r="F8504" s="23" t="s">
        <v>33</v>
      </c>
      <c r="G8504" s="24">
        <v>14.0</v>
      </c>
      <c r="H8504" s="24">
        <v>245.0</v>
      </c>
      <c r="I8504" s="24">
        <v>59.0</v>
      </c>
      <c r="J8504" s="24">
        <v>0.0</v>
      </c>
      <c r="K8504" s="23" t="s">
        <v>34</v>
      </c>
      <c r="L8504" s="25">
        <v>43026.01398148148</v>
      </c>
      <c r="M8504" s="28"/>
      <c r="N8504" s="26" t="s">
        <v>17739</v>
      </c>
      <c r="O8504" s="22" t="str">
        <f>HYPERLINK("https://pbs.twimg.com/profile_images/921163301903618048/Jbo5-zAA_normal.jpg","View")</f>
        <v>View</v>
      </c>
      <c r="P8504" s="27"/>
    </row>
    <row r="8505">
      <c r="A8505" s="14">
        <v>43031.815937499996</v>
      </c>
      <c r="B8505" s="20" t="str">
        <f>HYPERLINK("https://twitter.com/naveenpinkcity","@naveenpinkcity")</f>
        <v>@naveenpinkcity</v>
      </c>
      <c r="C8505" s="21" t="s">
        <v>18753</v>
      </c>
      <c r="D8505" s="21" t="s">
        <v>42</v>
      </c>
      <c r="E8505" s="22" t="str">
        <f>HYPERLINK("https://twitter.com/naveenpinkcity/status/922652603334385665","922652603334385665")</f>
        <v>922652603334385665</v>
      </c>
      <c r="F8505" s="23" t="s">
        <v>33</v>
      </c>
      <c r="G8505" s="24">
        <v>310.0</v>
      </c>
      <c r="H8505" s="24">
        <v>353.0</v>
      </c>
      <c r="I8505" s="24">
        <v>8501.0</v>
      </c>
      <c r="J8505" s="24">
        <v>0.0</v>
      </c>
      <c r="K8505" s="23" t="s">
        <v>34</v>
      </c>
      <c r="L8505" s="25">
        <v>41027.8344212963</v>
      </c>
      <c r="M8505" s="26" t="s">
        <v>18754</v>
      </c>
      <c r="N8505" s="26" t="s">
        <v>18755</v>
      </c>
      <c r="O8505" s="22" t="str">
        <f>HYPERLINK("https://pbs.twimg.com/profile_images/922285801957761024/pKCd63ZH_normal.jpg","View")</f>
        <v>View</v>
      </c>
      <c r="P8505" s="27"/>
    </row>
    <row r="8506">
      <c r="A8506" s="14">
        <v>43031.815983796296</v>
      </c>
      <c r="B8506" s="20" t="str">
        <f>HYPERLINK("https://twitter.com/ForeignPolicy","@ForeignPolicy")</f>
        <v>@ForeignPolicy</v>
      </c>
      <c r="C8506" s="21" t="s">
        <v>15583</v>
      </c>
      <c r="D8506" s="21" t="s">
        <v>18756</v>
      </c>
      <c r="E8506" s="22" t="str">
        <f>HYPERLINK("https://twitter.com/ForeignPolicy/status/922652621332271105","922652621332271105")</f>
        <v>922652621332271105</v>
      </c>
      <c r="F8506" s="23" t="s">
        <v>4619</v>
      </c>
      <c r="G8506" s="24">
        <v>970981.0</v>
      </c>
      <c r="H8506" s="24">
        <v>495.0</v>
      </c>
      <c r="I8506" s="24">
        <v>11.0</v>
      </c>
      <c r="J8506" s="24">
        <v>11.0</v>
      </c>
      <c r="K8506" s="23" t="s">
        <v>34</v>
      </c>
      <c r="L8506" s="25">
        <v>39898.41459490741</v>
      </c>
      <c r="M8506" s="28"/>
      <c r="N8506" s="26" t="s">
        <v>15585</v>
      </c>
      <c r="O8506" s="22" t="str">
        <f>HYPERLINK("https://pbs.twimg.com/profile_images/560557786350637057/GXv25iue_normal.png","View")</f>
        <v>View</v>
      </c>
      <c r="P8506" s="27"/>
    </row>
    <row r="8507">
      <c r="A8507" s="14">
        <v>43031.81618055556</v>
      </c>
      <c r="B8507" s="20" t="str">
        <f>HYPERLINK("https://twitter.com/twittFliy","@twittFliy")</f>
        <v>@twittFliy</v>
      </c>
      <c r="C8507" s="21" t="s">
        <v>1299</v>
      </c>
      <c r="D8507" s="21" t="s">
        <v>18162</v>
      </c>
      <c r="E8507" s="22" t="str">
        <f>HYPERLINK("https://twitter.com/twittFliy/status/922652693121904640","922652693121904640")</f>
        <v>922652693121904640</v>
      </c>
      <c r="F8507" s="23" t="s">
        <v>1300</v>
      </c>
      <c r="G8507" s="24">
        <v>5611.0</v>
      </c>
      <c r="H8507" s="24">
        <v>1769.0</v>
      </c>
      <c r="I8507" s="24">
        <v>59.0</v>
      </c>
      <c r="J8507" s="24">
        <v>0.0</v>
      </c>
      <c r="K8507" s="23" t="s">
        <v>34</v>
      </c>
      <c r="L8507" s="25">
        <v>42240.491898148146</v>
      </c>
      <c r="M8507" s="28"/>
      <c r="N8507" s="26" t="s">
        <v>1301</v>
      </c>
      <c r="O8507" s="22" t="str">
        <f>HYPERLINK("https://pbs.twimg.com/profile_images/635931039215583232/NLUpEzNY_normal.jpg","View")</f>
        <v>View</v>
      </c>
      <c r="P8507" s="27"/>
    </row>
    <row r="8508">
      <c r="A8508" s="14">
        <v>43031.81622685185</v>
      </c>
      <c r="B8508" s="20" t="str">
        <f>HYPERLINK("https://twitter.com/19845demidovar1","@19845demidovar1")</f>
        <v>@19845demidovar1</v>
      </c>
      <c r="C8508" s="21" t="s">
        <v>8425</v>
      </c>
      <c r="D8508" s="21" t="s">
        <v>213</v>
      </c>
      <c r="E8508" s="22" t="str">
        <f>HYPERLINK("https://twitter.com/19845demidovar1/status/922652708267442176","922652708267442176")</f>
        <v>922652708267442176</v>
      </c>
      <c r="F8508" s="23" t="s">
        <v>55</v>
      </c>
      <c r="G8508" s="24">
        <v>2.0</v>
      </c>
      <c r="H8508" s="24">
        <v>0.0</v>
      </c>
      <c r="I8508" s="24">
        <v>94.0</v>
      </c>
      <c r="J8508" s="24">
        <v>0.0</v>
      </c>
      <c r="K8508" s="23" t="s">
        <v>34</v>
      </c>
      <c r="L8508" s="25">
        <v>43015.58440972222</v>
      </c>
      <c r="M8508" s="28"/>
      <c r="N8508" s="28"/>
      <c r="O8508" s="22" t="str">
        <f>HYPERLINK("https://pbs.twimg.com/profile_images/921118767085625344/6HTggXzv_normal.jpg","View")</f>
        <v>View</v>
      </c>
      <c r="P8508" s="27"/>
    </row>
    <row r="8509">
      <c r="A8509" s="14">
        <v>43031.81625</v>
      </c>
      <c r="B8509" s="20" t="str">
        <f>HYPERLINK("https://twitter.com/alpanshulove","@alpanshulove")</f>
        <v>@alpanshulove</v>
      </c>
      <c r="C8509" s="21" t="s">
        <v>18757</v>
      </c>
      <c r="D8509" s="21" t="s">
        <v>42</v>
      </c>
      <c r="E8509" s="22" t="str">
        <f>HYPERLINK("https://twitter.com/alpanshulove/status/922652716194660352","922652716194660352")</f>
        <v>922652716194660352</v>
      </c>
      <c r="F8509" s="23" t="s">
        <v>33</v>
      </c>
      <c r="G8509" s="24">
        <v>15.0</v>
      </c>
      <c r="H8509" s="24">
        <v>41.0</v>
      </c>
      <c r="I8509" s="24">
        <v>8501.0</v>
      </c>
      <c r="J8509" s="24">
        <v>0.0</v>
      </c>
      <c r="K8509" s="23" t="s">
        <v>34</v>
      </c>
      <c r="L8509" s="25">
        <v>40619.09394675926</v>
      </c>
      <c r="M8509" s="26" t="s">
        <v>18758</v>
      </c>
      <c r="N8509" s="28"/>
      <c r="O8509" s="22" t="str">
        <f>HYPERLINK("https://pbs.twimg.com/profile_images/470826567942172672/4koZZuMF_normal.jpeg","View")</f>
        <v>View</v>
      </c>
      <c r="P8509" s="27"/>
    </row>
    <row r="8510">
      <c r="A8510" s="14">
        <v>43031.817037037035</v>
      </c>
      <c r="B8510" s="20" t="str">
        <f>HYPERLINK("https://twitter.com/vvbindu","@vvbindu")</f>
        <v>@vvbindu</v>
      </c>
      <c r="C8510" s="21" t="s">
        <v>18759</v>
      </c>
      <c r="D8510" s="21" t="s">
        <v>42</v>
      </c>
      <c r="E8510" s="22" t="str">
        <f>HYPERLINK("https://twitter.com/vvbindu/status/922653002091192320","922653002091192320")</f>
        <v>922653002091192320</v>
      </c>
      <c r="F8510" s="23" t="s">
        <v>33</v>
      </c>
      <c r="G8510" s="24">
        <v>26.0</v>
      </c>
      <c r="H8510" s="24">
        <v>104.0</v>
      </c>
      <c r="I8510" s="24">
        <v>8501.0</v>
      </c>
      <c r="J8510" s="24">
        <v>0.0</v>
      </c>
      <c r="K8510" s="23" t="s">
        <v>34</v>
      </c>
      <c r="L8510" s="25">
        <v>41057.43746527778</v>
      </c>
      <c r="M8510" s="28"/>
      <c r="N8510" s="28"/>
      <c r="O8510" s="22" t="str">
        <f>HYPERLINK("https://pbs.twimg.com/profile_images/857175099350319104/yOSgJJ6x_normal.jpg","View")</f>
        <v>View</v>
      </c>
      <c r="P8510" s="27"/>
    </row>
    <row r="8511">
      <c r="A8511" s="14">
        <v>43031.8175462963</v>
      </c>
      <c r="B8511" s="20" t="str">
        <f>HYPERLINK("https://twitter.com/NuradinAbdikara","@NuradinAbdikara")</f>
        <v>@NuradinAbdikara</v>
      </c>
      <c r="C8511" s="21" t="s">
        <v>18760</v>
      </c>
      <c r="D8511" s="21" t="s">
        <v>18761</v>
      </c>
      <c r="E8511" s="22" t="str">
        <f>HYPERLINK("https://twitter.com/NuradinAbdikara/status/922653188356038661","922653188356038661")</f>
        <v>922653188356038661</v>
      </c>
      <c r="F8511" s="23" t="s">
        <v>33</v>
      </c>
      <c r="G8511" s="24">
        <v>150.0</v>
      </c>
      <c r="H8511" s="24">
        <v>209.0</v>
      </c>
      <c r="I8511" s="24">
        <v>11.0</v>
      </c>
      <c r="J8511" s="24">
        <v>0.0</v>
      </c>
      <c r="K8511" s="23" t="s">
        <v>34</v>
      </c>
      <c r="L8511" s="25">
        <v>41540.37559027778</v>
      </c>
      <c r="M8511" s="26" t="s">
        <v>18762</v>
      </c>
      <c r="N8511" s="26" t="s">
        <v>18763</v>
      </c>
      <c r="O8511" s="22" t="str">
        <f>HYPERLINK("https://pbs.twimg.com/profile_images/912399099772768256/9_rLk1YG_normal.jpg","View")</f>
        <v>View</v>
      </c>
      <c r="P8511" s="27"/>
    </row>
    <row r="8512">
      <c r="A8512" s="14">
        <v>43031.81774305555</v>
      </c>
      <c r="B8512" s="20" t="str">
        <f>HYPERLINK("https://twitter.com/Singh12Sunny","@Singh12Sunny")</f>
        <v>@Singh12Sunny</v>
      </c>
      <c r="C8512" s="21" t="s">
        <v>18764</v>
      </c>
      <c r="D8512" s="21" t="s">
        <v>42</v>
      </c>
      <c r="E8512" s="22" t="str">
        <f>HYPERLINK("https://twitter.com/Singh12Sunny/status/922653256391598080","922653256391598080")</f>
        <v>922653256391598080</v>
      </c>
      <c r="F8512" s="23" t="s">
        <v>39</v>
      </c>
      <c r="G8512" s="24">
        <v>79.0</v>
      </c>
      <c r="H8512" s="24">
        <v>231.0</v>
      </c>
      <c r="I8512" s="24">
        <v>8501.0</v>
      </c>
      <c r="J8512" s="24">
        <v>0.0</v>
      </c>
      <c r="K8512" s="23" t="s">
        <v>34</v>
      </c>
      <c r="L8512" s="25">
        <v>41775.46990740741</v>
      </c>
      <c r="M8512" s="26" t="s">
        <v>18765</v>
      </c>
      <c r="N8512" s="26" t="s">
        <v>18766</v>
      </c>
      <c r="O8512" s="22" t="str">
        <f>HYPERLINK("https://pbs.twimg.com/profile_images/864924110807212032/TeFK7og7_normal.jpg","View")</f>
        <v>View</v>
      </c>
      <c r="P8512" s="27"/>
    </row>
    <row r="8513">
      <c r="A8513" s="14">
        <v>43031.81804398148</v>
      </c>
      <c r="B8513" s="20" t="str">
        <f>HYPERLINK("https://twitter.com/JOSTARYOUTUBE38","@JOSTARYOUTUBE38")</f>
        <v>@JOSTARYOUTUBE38</v>
      </c>
      <c r="C8513" s="21" t="s">
        <v>18767</v>
      </c>
      <c r="D8513" s="21" t="s">
        <v>18768</v>
      </c>
      <c r="E8513" s="22" t="str">
        <f>HYPERLINK("https://twitter.com/JOSTARYOUTUBE38/status/922653368639565824","922653368639565824")</f>
        <v>922653368639565824</v>
      </c>
      <c r="F8513" s="30" t="s">
        <v>659</v>
      </c>
      <c r="G8513" s="24">
        <v>51.0</v>
      </c>
      <c r="H8513" s="24">
        <v>74.0</v>
      </c>
      <c r="I8513" s="24">
        <v>0.0</v>
      </c>
      <c r="J8513" s="24">
        <v>0.0</v>
      </c>
      <c r="K8513" s="23" t="s">
        <v>34</v>
      </c>
      <c r="L8513" s="25">
        <v>42685.47969907407</v>
      </c>
      <c r="M8513" s="26" t="s">
        <v>71</v>
      </c>
      <c r="N8513" s="28"/>
      <c r="O8513" s="22" t="str">
        <f>HYPERLINK("https://pbs.twimg.com/profile_images/797160293176442880/wmpLlw6a_normal.jpg","View")</f>
        <v>View</v>
      </c>
      <c r="P8513" s="27"/>
    </row>
    <row r="8514">
      <c r="A8514" s="14">
        <v>43031.81818287037</v>
      </c>
      <c r="B8514" s="20" t="str">
        <f>HYPERLINK("https://twitter.com/dipesh_uP","@dipesh_uP")</f>
        <v>@dipesh_uP</v>
      </c>
      <c r="C8514" s="21" t="s">
        <v>18769</v>
      </c>
      <c r="D8514" s="21" t="s">
        <v>42</v>
      </c>
      <c r="E8514" s="22" t="str">
        <f>HYPERLINK("https://twitter.com/dipesh_uP/status/922653418325446657","922653418325446657")</f>
        <v>922653418325446657</v>
      </c>
      <c r="F8514" s="23" t="s">
        <v>39</v>
      </c>
      <c r="G8514" s="24">
        <v>276.0</v>
      </c>
      <c r="H8514" s="24">
        <v>402.0</v>
      </c>
      <c r="I8514" s="24">
        <v>8501.0</v>
      </c>
      <c r="J8514" s="24">
        <v>0.0</v>
      </c>
      <c r="K8514" s="23" t="s">
        <v>34</v>
      </c>
      <c r="L8514" s="25">
        <v>40303.320856481485</v>
      </c>
      <c r="M8514" s="26" t="s">
        <v>224</v>
      </c>
      <c r="N8514" s="26" t="s">
        <v>18770</v>
      </c>
      <c r="O8514" s="22" t="str">
        <f>HYPERLINK("https://pbs.twimg.com/profile_images/918862533577940993/vkwPsxvk_normal.jpg","View")</f>
        <v>View</v>
      </c>
      <c r="P8514" s="27"/>
    </row>
    <row r="8515">
      <c r="A8515" s="14">
        <v>43031.81836805555</v>
      </c>
      <c r="B8515" s="20" t="str">
        <f>HYPERLINK("https://twitter.com/dwimidhaM","@dwimidhaM")</f>
        <v>@dwimidhaM</v>
      </c>
      <c r="C8515" s="21" t="s">
        <v>4107</v>
      </c>
      <c r="D8515" s="21" t="s">
        <v>42</v>
      </c>
      <c r="E8515" s="22" t="str">
        <f>HYPERLINK("https://twitter.com/dwimidhaM/status/922653485862092800","922653485862092800")</f>
        <v>922653485862092800</v>
      </c>
      <c r="F8515" s="23" t="s">
        <v>33</v>
      </c>
      <c r="G8515" s="24">
        <v>4980.0</v>
      </c>
      <c r="H8515" s="24">
        <v>3824.0</v>
      </c>
      <c r="I8515" s="24">
        <v>8501.0</v>
      </c>
      <c r="J8515" s="24">
        <v>0.0</v>
      </c>
      <c r="K8515" s="23" t="s">
        <v>34</v>
      </c>
      <c r="L8515" s="25">
        <v>41706.32480324074</v>
      </c>
      <c r="M8515" s="26" t="s">
        <v>204</v>
      </c>
      <c r="N8515" s="26" t="s">
        <v>4109</v>
      </c>
      <c r="O8515" s="22" t="str">
        <f>HYPERLINK("https://pbs.twimg.com/profile_images/921073556456271872/IgFCDF_o_normal.jpg","View")</f>
        <v>View</v>
      </c>
      <c r="P8515" s="27"/>
    </row>
    <row r="8516">
      <c r="A8516" s="14">
        <v>43031.8185300926</v>
      </c>
      <c r="B8516" s="20" t="str">
        <f>HYPERLINK("https://twitter.com/ajayagarwal0723","@ajayagarwal0723")</f>
        <v>@ajayagarwal0723</v>
      </c>
      <c r="C8516" s="21" t="s">
        <v>18771</v>
      </c>
      <c r="D8516" s="21" t="s">
        <v>42</v>
      </c>
      <c r="E8516" s="22" t="str">
        <f>HYPERLINK("https://twitter.com/ajayagarwal0723/status/922653543948959744","922653543948959744")</f>
        <v>922653543948959744</v>
      </c>
      <c r="F8516" s="23" t="s">
        <v>33</v>
      </c>
      <c r="G8516" s="24">
        <v>23.0</v>
      </c>
      <c r="H8516" s="24">
        <v>77.0</v>
      </c>
      <c r="I8516" s="24">
        <v>8501.0</v>
      </c>
      <c r="J8516" s="24">
        <v>0.0</v>
      </c>
      <c r="K8516" s="23" t="s">
        <v>34</v>
      </c>
      <c r="L8516" s="25">
        <v>42356.159039351856</v>
      </c>
      <c r="M8516" s="26" t="s">
        <v>575</v>
      </c>
      <c r="N8516" s="28"/>
      <c r="O8516" s="22" t="str">
        <f>HYPERLINK("https://pbs.twimg.com/profile_images/677820420913938433/2WSQC18U_normal.jpg","View")</f>
        <v>View</v>
      </c>
      <c r="P8516" s="27"/>
    </row>
    <row r="8517">
      <c r="A8517" s="14">
        <v>43031.81857638889</v>
      </c>
      <c r="B8517" s="20" t="str">
        <f>HYPERLINK("https://twitter.com/GregDB2011","@GregDB2011")</f>
        <v>@GregDB2011</v>
      </c>
      <c r="C8517" s="21" t="s">
        <v>18772</v>
      </c>
      <c r="D8517" s="21" t="s">
        <v>18761</v>
      </c>
      <c r="E8517" s="22" t="str">
        <f>HYPERLINK("https://twitter.com/GregDB2011/status/922653560931676165","922653560931676165")</f>
        <v>922653560931676165</v>
      </c>
      <c r="F8517" s="23" t="s">
        <v>39</v>
      </c>
      <c r="G8517" s="24">
        <v>135.0</v>
      </c>
      <c r="H8517" s="24">
        <v>931.0</v>
      </c>
      <c r="I8517" s="24">
        <v>11.0</v>
      </c>
      <c r="J8517" s="24">
        <v>0.0</v>
      </c>
      <c r="K8517" s="23" t="s">
        <v>34</v>
      </c>
      <c r="L8517" s="25">
        <v>40722.73641203703</v>
      </c>
      <c r="M8517" s="26" t="s">
        <v>18773</v>
      </c>
      <c r="N8517" s="26" t="s">
        <v>18774</v>
      </c>
      <c r="O8517" s="22" t="str">
        <f>HYPERLINK("https://pbs.twimg.com/profile_images/813444670483140608/PnpAw0Ol_normal.jpg","View")</f>
        <v>View</v>
      </c>
      <c r="P8517" s="27"/>
    </row>
    <row r="8518">
      <c r="A8518" s="14">
        <v>43031.81888888888</v>
      </c>
      <c r="B8518" s="20" t="str">
        <f>HYPERLINK("https://twitter.com/GuptaDrvishal","@GuptaDrvishal")</f>
        <v>@GuptaDrvishal</v>
      </c>
      <c r="C8518" s="21" t="s">
        <v>18775</v>
      </c>
      <c r="D8518" s="21" t="s">
        <v>42</v>
      </c>
      <c r="E8518" s="22" t="str">
        <f>HYPERLINK("https://twitter.com/GuptaDrvishal/status/922653672470958081","922653672470958081")</f>
        <v>922653672470958081</v>
      </c>
      <c r="F8518" s="23" t="s">
        <v>43</v>
      </c>
      <c r="G8518" s="24">
        <v>7.0</v>
      </c>
      <c r="H8518" s="24">
        <v>14.0</v>
      </c>
      <c r="I8518" s="24">
        <v>8501.0</v>
      </c>
      <c r="J8518" s="24">
        <v>0.0</v>
      </c>
      <c r="K8518" s="23" t="s">
        <v>34</v>
      </c>
      <c r="L8518" s="25">
        <v>42153.853634259256</v>
      </c>
      <c r="M8518" s="28"/>
      <c r="N8518" s="28"/>
      <c r="O8518" s="22" t="str">
        <f>HYPERLINK("https://abs.twimg.com/sticky/default_profile_images/default_profile_normal.png","View")</f>
        <v>View</v>
      </c>
      <c r="P8518" s="27"/>
    </row>
    <row r="8519">
      <c r="A8519" s="14">
        <v>43031.819502314815</v>
      </c>
      <c r="B8519" s="20" t="str">
        <f>HYPERLINK("https://twitter.com/Newsweek","@Newsweek")</f>
        <v>@Newsweek</v>
      </c>
      <c r="C8519" s="21" t="s">
        <v>13952</v>
      </c>
      <c r="D8519" s="21" t="s">
        <v>18776</v>
      </c>
      <c r="E8519" s="22" t="str">
        <f>HYPERLINK("https://twitter.com/Newsweek/status/922653893917593600","922653893917593600")</f>
        <v>922653893917593600</v>
      </c>
      <c r="F8519" s="23" t="s">
        <v>1103</v>
      </c>
      <c r="G8519" s="24">
        <v>3373676.0</v>
      </c>
      <c r="H8519" s="24">
        <v>75.0</v>
      </c>
      <c r="I8519" s="24">
        <v>28.0</v>
      </c>
      <c r="J8519" s="24">
        <v>21.0</v>
      </c>
      <c r="K8519" s="23" t="s">
        <v>34</v>
      </c>
      <c r="L8519" s="25">
        <v>39170.53554398148</v>
      </c>
      <c r="M8519" s="26" t="s">
        <v>2534</v>
      </c>
      <c r="N8519" s="26" t="s">
        <v>13954</v>
      </c>
      <c r="O8519" s="22" t="str">
        <f>HYPERLINK("https://pbs.twimg.com/profile_images/741603495929905152/di0NxkFa_normal.jpg","View")</f>
        <v>View</v>
      </c>
      <c r="P8519" s="27"/>
    </row>
    <row r="8520">
      <c r="A8520" s="14">
        <v>43031.81953703704</v>
      </c>
      <c r="B8520" s="20" t="str">
        <f>HYPERLINK("https://twitter.com/_Indhira_S","@_Indhira_S")</f>
        <v>@_Indhira_S</v>
      </c>
      <c r="C8520" s="21" t="s">
        <v>18777</v>
      </c>
      <c r="D8520" s="21" t="s">
        <v>163</v>
      </c>
      <c r="E8520" s="22" t="str">
        <f>HYPERLINK("https://twitter.com/_Indhira_S/status/922653909016911872","922653909016911872")</f>
        <v>922653909016911872</v>
      </c>
      <c r="F8520" s="23" t="s">
        <v>33</v>
      </c>
      <c r="G8520" s="24">
        <v>190.0</v>
      </c>
      <c r="H8520" s="24">
        <v>102.0</v>
      </c>
      <c r="I8520" s="24">
        <v>1005.0</v>
      </c>
      <c r="J8520" s="24">
        <v>0.0</v>
      </c>
      <c r="K8520" s="23" t="s">
        <v>34</v>
      </c>
      <c r="L8520" s="25">
        <v>40683.34898148148</v>
      </c>
      <c r="M8520" s="26" t="s">
        <v>204</v>
      </c>
      <c r="N8520" s="26" t="s">
        <v>18778</v>
      </c>
      <c r="O8520" s="22" t="str">
        <f>HYPERLINK("https://pbs.twimg.com/profile_images/901714139315298304/91LmRDrD_normal.jpg","View")</f>
        <v>View</v>
      </c>
      <c r="P8520" s="27"/>
    </row>
    <row r="8521">
      <c r="A8521" s="14">
        <v>43031.81957175926</v>
      </c>
      <c r="B8521" s="20" t="str">
        <f>HYPERLINK("https://twitter.com/Bharat_Putra","@Bharat_Putra")</f>
        <v>@Bharat_Putra</v>
      </c>
      <c r="C8521" s="21" t="s">
        <v>18779</v>
      </c>
      <c r="D8521" s="21" t="s">
        <v>42</v>
      </c>
      <c r="E8521" s="22" t="str">
        <f>HYPERLINK("https://twitter.com/Bharat_Putra/status/922653921633374208","922653921633374208")</f>
        <v>922653921633374208</v>
      </c>
      <c r="F8521" s="23" t="s">
        <v>39</v>
      </c>
      <c r="G8521" s="24">
        <v>8734.0</v>
      </c>
      <c r="H8521" s="24">
        <v>1233.0</v>
      </c>
      <c r="I8521" s="24">
        <v>8501.0</v>
      </c>
      <c r="J8521" s="24">
        <v>0.0</v>
      </c>
      <c r="K8521" s="23" t="s">
        <v>34</v>
      </c>
      <c r="L8521" s="25">
        <v>40844.454247685186</v>
      </c>
      <c r="M8521" s="26" t="s">
        <v>18780</v>
      </c>
      <c r="N8521" s="26" t="s">
        <v>18781</v>
      </c>
      <c r="O8521" s="22" t="str">
        <f>HYPERLINK("https://pbs.twimg.com/profile_images/861071553957580800/TvVQ4y7C_normal.jpg","View")</f>
        <v>View</v>
      </c>
      <c r="P8521" s="27"/>
    </row>
    <row r="8522">
      <c r="A8522" s="14">
        <v>43031.81958333333</v>
      </c>
      <c r="B8522" s="20" t="str">
        <f>HYPERLINK("https://twitter.com/taikisasaki","@taikisasaki")</f>
        <v>@taikisasaki</v>
      </c>
      <c r="C8522" s="21" t="s">
        <v>18782</v>
      </c>
      <c r="D8522" s="21" t="s">
        <v>14855</v>
      </c>
      <c r="E8522" s="22" t="str">
        <f>HYPERLINK("https://twitter.com/taikisasaki/status/922653926557564931","922653926557564931")</f>
        <v>922653926557564931</v>
      </c>
      <c r="F8522" s="23" t="s">
        <v>230</v>
      </c>
      <c r="G8522" s="24">
        <v>1407.0</v>
      </c>
      <c r="H8522" s="24">
        <v>5001.0</v>
      </c>
      <c r="I8522" s="24">
        <v>36.0</v>
      </c>
      <c r="J8522" s="24">
        <v>0.0</v>
      </c>
      <c r="K8522" s="23" t="s">
        <v>34</v>
      </c>
      <c r="L8522" s="25">
        <v>40608.1469212963</v>
      </c>
      <c r="M8522" s="26" t="s">
        <v>18783</v>
      </c>
      <c r="N8522" s="26" t="s">
        <v>18784</v>
      </c>
      <c r="O8522" s="22" t="str">
        <f>HYPERLINK("https://pbs.twimg.com/profile_images/849124700110192641/hMoCS5Bi_normal.jpg","View")</f>
        <v>View</v>
      </c>
      <c r="P8522" s="27"/>
    </row>
    <row r="8523">
      <c r="A8523" s="14">
        <v>43031.81959490741</v>
      </c>
      <c r="B8523" s="20" t="str">
        <f>HYPERLINK("https://twitter.com/Zicutake","@Zicutake")</f>
        <v>@Zicutake</v>
      </c>
      <c r="C8523" s="21" t="s">
        <v>18785</v>
      </c>
      <c r="D8523" s="21" t="s">
        <v>18786</v>
      </c>
      <c r="E8523" s="22" t="str">
        <f>HYPERLINK("https://twitter.com/Zicutake/status/922653930324099072","922653930324099072")</f>
        <v>922653930324099072</v>
      </c>
      <c r="F8523" s="23" t="s">
        <v>91</v>
      </c>
      <c r="G8523" s="24">
        <v>4540.0</v>
      </c>
      <c r="H8523" s="24">
        <v>21.0</v>
      </c>
      <c r="I8523" s="24">
        <v>0.0</v>
      </c>
      <c r="J8523" s="24">
        <v>0.0</v>
      </c>
      <c r="K8523" s="23" t="s">
        <v>34</v>
      </c>
      <c r="L8523" s="25">
        <v>41499.383310185185</v>
      </c>
      <c r="M8523" s="28"/>
      <c r="N8523" s="26" t="s">
        <v>18787</v>
      </c>
      <c r="O8523" s="22" t="str">
        <f>HYPERLINK("https://pbs.twimg.com/profile_images/786703756616404992/HbUnSFl5_normal.png","View")</f>
        <v>View</v>
      </c>
      <c r="P8523" s="27"/>
    </row>
    <row r="8524">
      <c r="A8524" s="14">
        <v>43031.81974537037</v>
      </c>
      <c r="B8524" s="20" t="str">
        <f>HYPERLINK("https://twitter.com/webjournalismcg","@webjournalismcg")</f>
        <v>@webjournalismcg</v>
      </c>
      <c r="C8524" s="21" t="s">
        <v>12489</v>
      </c>
      <c r="D8524" s="21" t="s">
        <v>18788</v>
      </c>
      <c r="E8524" s="22" t="str">
        <f>HYPERLINK("https://twitter.com/webjournalismcg/status/922653983994294272","922653983994294272")</f>
        <v>922653983994294272</v>
      </c>
      <c r="F8524" s="23" t="s">
        <v>33</v>
      </c>
      <c r="G8524" s="24">
        <v>70.0</v>
      </c>
      <c r="H8524" s="24">
        <v>179.0</v>
      </c>
      <c r="I8524" s="24">
        <v>28.0</v>
      </c>
      <c r="J8524" s="24">
        <v>0.0</v>
      </c>
      <c r="K8524" s="23" t="s">
        <v>34</v>
      </c>
      <c r="L8524" s="25">
        <v>40617.93599537037</v>
      </c>
      <c r="M8524" s="26" t="s">
        <v>12490</v>
      </c>
      <c r="N8524" s="26" t="s">
        <v>12491</v>
      </c>
      <c r="O8524" s="22" t="str">
        <f>HYPERLINK("https://pbs.twimg.com/profile_images/915061414925967361/ok_CUb9O_normal.jpg","View")</f>
        <v>View</v>
      </c>
      <c r="P8524" s="27"/>
    </row>
    <row r="8525">
      <c r="A8525" s="14">
        <v>43031.82034722222</v>
      </c>
      <c r="B8525" s="20" t="str">
        <f>HYPERLINK("https://twitter.com/taikisasaki","@taikisasaki")</f>
        <v>@taikisasaki</v>
      </c>
      <c r="C8525" s="21" t="s">
        <v>18782</v>
      </c>
      <c r="D8525" s="21" t="s">
        <v>14748</v>
      </c>
      <c r="E8525" s="22" t="str">
        <f>HYPERLINK("https://twitter.com/taikisasaki/status/922654199963271168","922654199963271168")</f>
        <v>922654199963271168</v>
      </c>
      <c r="F8525" s="23" t="s">
        <v>230</v>
      </c>
      <c r="G8525" s="24">
        <v>1407.0</v>
      </c>
      <c r="H8525" s="24">
        <v>5001.0</v>
      </c>
      <c r="I8525" s="24">
        <v>46.0</v>
      </c>
      <c r="J8525" s="24">
        <v>0.0</v>
      </c>
      <c r="K8525" s="23" t="s">
        <v>34</v>
      </c>
      <c r="L8525" s="25">
        <v>40608.1469212963</v>
      </c>
      <c r="M8525" s="26" t="s">
        <v>18783</v>
      </c>
      <c r="N8525" s="26" t="s">
        <v>18784</v>
      </c>
      <c r="O8525" s="22" t="str">
        <f>HYPERLINK("https://pbs.twimg.com/profile_images/849124700110192641/hMoCS5Bi_normal.jpg","View")</f>
        <v>View</v>
      </c>
      <c r="P8525" s="27"/>
    </row>
    <row r="8526">
      <c r="A8526" s="14">
        <v>43031.820439814815</v>
      </c>
      <c r="B8526" s="20" t="str">
        <f>HYPERLINK("https://twitter.com/nXHVhTJqOiJw5Af","@nXHVhTJqOiJw5Af")</f>
        <v>@nXHVhTJqOiJw5Af</v>
      </c>
      <c r="C8526" s="21" t="s">
        <v>6179</v>
      </c>
      <c r="D8526" s="21" t="s">
        <v>3626</v>
      </c>
      <c r="E8526" s="22" t="str">
        <f>HYPERLINK("https://twitter.com/nXHVhTJqOiJw5Af/status/922654236751495168","922654236751495168")</f>
        <v>922654236751495168</v>
      </c>
      <c r="F8526" s="23" t="s">
        <v>39</v>
      </c>
      <c r="G8526" s="24">
        <v>188.0</v>
      </c>
      <c r="H8526" s="24">
        <v>313.0</v>
      </c>
      <c r="I8526" s="24">
        <v>27.0</v>
      </c>
      <c r="J8526" s="24">
        <v>0.0</v>
      </c>
      <c r="K8526" s="23" t="s">
        <v>34</v>
      </c>
      <c r="L8526" s="25">
        <v>42798.980462962965</v>
      </c>
      <c r="M8526" s="28"/>
      <c r="N8526" s="26" t="s">
        <v>18789</v>
      </c>
      <c r="O8526" s="22" t="str">
        <f>HYPERLINK("https://pbs.twimg.com/profile_images/918838032316243968/add2CBwp_normal.jpg","View")</f>
        <v>View</v>
      </c>
      <c r="P8526" s="27"/>
    </row>
    <row r="8527">
      <c r="A8527" s="14">
        <v>43031.82077546296</v>
      </c>
      <c r="B8527" s="20" t="str">
        <f>HYPERLINK("https://twitter.com/j_arthurgomes","@j_arthurgomes")</f>
        <v>@j_arthurgomes</v>
      </c>
      <c r="C8527" s="21" t="s">
        <v>18790</v>
      </c>
      <c r="D8527" s="21" t="s">
        <v>18788</v>
      </c>
      <c r="E8527" s="22" t="str">
        <f>HYPERLINK("https://twitter.com/j_arthurgomes/status/922654358260633600","922654358260633600")</f>
        <v>922654358260633600</v>
      </c>
      <c r="F8527" s="23" t="s">
        <v>33</v>
      </c>
      <c r="G8527" s="24">
        <v>337.0</v>
      </c>
      <c r="H8527" s="24">
        <v>193.0</v>
      </c>
      <c r="I8527" s="24">
        <v>28.0</v>
      </c>
      <c r="J8527" s="24">
        <v>0.0</v>
      </c>
      <c r="K8527" s="23" t="s">
        <v>34</v>
      </c>
      <c r="L8527" s="25">
        <v>42082.5240625</v>
      </c>
      <c r="M8527" s="26" t="s">
        <v>18791</v>
      </c>
      <c r="N8527" s="26" t="s">
        <v>18792</v>
      </c>
      <c r="O8527" s="22" t="str">
        <f>HYPERLINK("https://pbs.twimg.com/profile_images/778739517922512896/pqqFvV9a_normal.jpg","View")</f>
        <v>View</v>
      </c>
      <c r="P8527" s="27"/>
    </row>
    <row r="8528">
      <c r="A8528" s="14">
        <v>43031.82099537037</v>
      </c>
      <c r="B8528" s="20" t="str">
        <f>HYPERLINK("https://twitter.com/tweet2kishore","@tweet2kishore")</f>
        <v>@tweet2kishore</v>
      </c>
      <c r="C8528" s="21" t="s">
        <v>13665</v>
      </c>
      <c r="D8528" s="21" t="s">
        <v>42</v>
      </c>
      <c r="E8528" s="22" t="str">
        <f>HYPERLINK("https://twitter.com/tweet2kishore/status/922654437784436736","922654437784436736")</f>
        <v>922654437784436736</v>
      </c>
      <c r="F8528" s="23" t="s">
        <v>43</v>
      </c>
      <c r="G8528" s="24">
        <v>322.0</v>
      </c>
      <c r="H8528" s="24">
        <v>265.0</v>
      </c>
      <c r="I8528" s="24">
        <v>8501.0</v>
      </c>
      <c r="J8528" s="24">
        <v>0.0</v>
      </c>
      <c r="K8528" s="23" t="s">
        <v>34</v>
      </c>
      <c r="L8528" s="25">
        <v>39973.21152777778</v>
      </c>
      <c r="M8528" s="26" t="s">
        <v>204</v>
      </c>
      <c r="N8528" s="26" t="s">
        <v>13666</v>
      </c>
      <c r="O8528" s="22" t="str">
        <f>HYPERLINK("https://pbs.twimg.com/profile_images/595112162776850432/xFeqfpua_normal.jpg","View")</f>
        <v>View</v>
      </c>
      <c r="P8528" s="27"/>
    </row>
    <row r="8529">
      <c r="A8529" s="14">
        <v>43031.821111111116</v>
      </c>
      <c r="B8529" s="20" t="str">
        <f>HYPERLINK("https://twitter.com/nchoudharyteach","@nchoudharyteach")</f>
        <v>@nchoudharyteach</v>
      </c>
      <c r="C8529" s="21" t="s">
        <v>18793</v>
      </c>
      <c r="D8529" s="21" t="s">
        <v>42</v>
      </c>
      <c r="E8529" s="22" t="str">
        <f>HYPERLINK("https://twitter.com/nchoudharyteach/status/922654480327499776","922654480327499776")</f>
        <v>922654480327499776</v>
      </c>
      <c r="F8529" s="23" t="s">
        <v>33</v>
      </c>
      <c r="G8529" s="24">
        <v>312.0</v>
      </c>
      <c r="H8529" s="24">
        <v>627.0</v>
      </c>
      <c r="I8529" s="24">
        <v>8501.0</v>
      </c>
      <c r="J8529" s="24">
        <v>0.0</v>
      </c>
      <c r="K8529" s="23" t="s">
        <v>34</v>
      </c>
      <c r="L8529" s="25">
        <v>42522.89165509259</v>
      </c>
      <c r="M8529" s="26" t="s">
        <v>18794</v>
      </c>
      <c r="N8529" s="26" t="s">
        <v>18795</v>
      </c>
      <c r="O8529" s="22" t="str">
        <f>HYPERLINK("https://pbs.twimg.com/profile_images/840824611159830528/3LN6J3LC_normal.jpg","View")</f>
        <v>View</v>
      </c>
      <c r="P8529" s="27"/>
    </row>
    <row r="8530">
      <c r="A8530" s="14">
        <v>43031.821134259255</v>
      </c>
      <c r="B8530" s="20" t="str">
        <f>HYPERLINK("https://twitter.com/RichTVXChina","@RichTVXChina")</f>
        <v>@RichTVXChina</v>
      </c>
      <c r="C8530" s="21" t="s">
        <v>18796</v>
      </c>
      <c r="D8530" s="21" t="s">
        <v>18797</v>
      </c>
      <c r="E8530" s="22" t="str">
        <f>HYPERLINK("https://twitter.com/RichTVXChina/status/922654489118760960","922654489118760960")</f>
        <v>922654489118760960</v>
      </c>
      <c r="F8530" s="23" t="s">
        <v>187</v>
      </c>
      <c r="G8530" s="24">
        <v>204.0</v>
      </c>
      <c r="H8530" s="24">
        <v>108.0</v>
      </c>
      <c r="I8530" s="24">
        <v>0.0</v>
      </c>
      <c r="J8530" s="24">
        <v>0.0</v>
      </c>
      <c r="K8530" s="23" t="s">
        <v>34</v>
      </c>
      <c r="L8530" s="25">
        <v>42659.24386574074</v>
      </c>
      <c r="M8530" s="26" t="s">
        <v>2068</v>
      </c>
      <c r="N8530" s="26" t="s">
        <v>18798</v>
      </c>
      <c r="O8530" s="22" t="str">
        <f>HYPERLINK("https://pbs.twimg.com/profile_images/886310029128859648/k6nos7Rw_normal.jpg","View")</f>
        <v>View</v>
      </c>
      <c r="P8530" s="27"/>
    </row>
    <row r="8531">
      <c r="A8531" s="14">
        <v>43031.82116898148</v>
      </c>
      <c r="B8531" s="20" t="str">
        <f>HYPERLINK("https://twitter.com/marinak55008233","@marinak55008233")</f>
        <v>@marinak55008233</v>
      </c>
      <c r="C8531" s="21" t="s">
        <v>18799</v>
      </c>
      <c r="D8531" s="21" t="s">
        <v>1426</v>
      </c>
      <c r="E8531" s="22" t="str">
        <f>HYPERLINK("https://twitter.com/marinak55008233/status/922654501135253504","922654501135253504")</f>
        <v>922654501135253504</v>
      </c>
      <c r="F8531" s="23" t="s">
        <v>55</v>
      </c>
      <c r="G8531" s="24">
        <v>1.0</v>
      </c>
      <c r="H8531" s="24">
        <v>2.0</v>
      </c>
      <c r="I8531" s="24">
        <v>29.0</v>
      </c>
      <c r="J8531" s="24">
        <v>0.0</v>
      </c>
      <c r="K8531" s="23" t="s">
        <v>34</v>
      </c>
      <c r="L8531" s="25">
        <v>43016.77616898148</v>
      </c>
      <c r="M8531" s="28"/>
      <c r="N8531" s="28"/>
      <c r="O8531" s="22" t="str">
        <f>HYPERLINK("https://abs.twimg.com/sticky/default_profile_images/default_profile_normal.png","View")</f>
        <v>View</v>
      </c>
      <c r="P8531" s="27"/>
    </row>
    <row r="8532">
      <c r="A8532" s="14">
        <v>43031.8212037037</v>
      </c>
      <c r="B8532" s="20" t="str">
        <f>HYPERLINK("https://twitter.com/mdagmara","@mdagmara")</f>
        <v>@mdagmara</v>
      </c>
      <c r="C8532" s="21" t="s">
        <v>18800</v>
      </c>
      <c r="D8532" s="21" t="s">
        <v>18788</v>
      </c>
      <c r="E8532" s="22" t="str">
        <f>HYPERLINK("https://twitter.com/mdagmara/status/922654513374334977","922654513374334977")</f>
        <v>922654513374334977</v>
      </c>
      <c r="F8532" s="23" t="s">
        <v>39</v>
      </c>
      <c r="G8532" s="24">
        <v>45.0</v>
      </c>
      <c r="H8532" s="24">
        <v>207.0</v>
      </c>
      <c r="I8532" s="24">
        <v>28.0</v>
      </c>
      <c r="J8532" s="24">
        <v>0.0</v>
      </c>
      <c r="K8532" s="23" t="s">
        <v>34</v>
      </c>
      <c r="L8532" s="25">
        <v>40569.90949074074</v>
      </c>
      <c r="M8532" s="26" t="s">
        <v>18801</v>
      </c>
      <c r="N8532" s="28"/>
      <c r="O8532" s="22" t="str">
        <f>HYPERLINK("https://pbs.twimg.com/profile_images/707761513386414080/aPaxhele_normal.jpg","View")</f>
        <v>View</v>
      </c>
      <c r="P8532" s="27"/>
    </row>
    <row r="8533">
      <c r="A8533" s="14">
        <v>43031.82153935185</v>
      </c>
      <c r="B8533" s="20" t="str">
        <f>HYPERLINK("https://twitter.com/DRmhussain3","@DRmhussain3")</f>
        <v>@DRmhussain3</v>
      </c>
      <c r="C8533" s="21" t="s">
        <v>18802</v>
      </c>
      <c r="D8533" s="21" t="s">
        <v>18788</v>
      </c>
      <c r="E8533" s="22" t="str">
        <f>HYPERLINK("https://twitter.com/DRmhussain3/status/922654633297838080","922654633297838080")</f>
        <v>922654633297838080</v>
      </c>
      <c r="F8533" s="23" t="s">
        <v>780</v>
      </c>
      <c r="G8533" s="24">
        <v>495.0</v>
      </c>
      <c r="H8533" s="24">
        <v>820.0</v>
      </c>
      <c r="I8533" s="24">
        <v>28.0</v>
      </c>
      <c r="J8533" s="24">
        <v>0.0</v>
      </c>
      <c r="K8533" s="23" t="s">
        <v>34</v>
      </c>
      <c r="L8533" s="25">
        <v>41830.42283564815</v>
      </c>
      <c r="M8533" s="26" t="s">
        <v>18803</v>
      </c>
      <c r="N8533" s="26" t="s">
        <v>18804</v>
      </c>
      <c r="O8533" s="22" t="str">
        <f>HYPERLINK("https://pbs.twimg.com/profile_images/574235814151880704/oiclxqI5_normal.jpeg","View")</f>
        <v>View</v>
      </c>
      <c r="P8533" s="27"/>
    </row>
    <row r="8534">
      <c r="A8534" s="14">
        <v>43031.821550925924</v>
      </c>
      <c r="B8534" s="20" t="str">
        <f>HYPERLINK("https://twitter.com/KKagasheki","@KKagasheki")</f>
        <v>@KKagasheki</v>
      </c>
      <c r="C8534" s="21" t="s">
        <v>18805</v>
      </c>
      <c r="D8534" s="21" t="s">
        <v>18788</v>
      </c>
      <c r="E8534" s="22" t="str">
        <f>HYPERLINK("https://twitter.com/KKagasheki/status/922654638020747267","922654638020747267")</f>
        <v>922654638020747267</v>
      </c>
      <c r="F8534" s="23" t="s">
        <v>33</v>
      </c>
      <c r="G8534" s="24">
        <v>24038.0</v>
      </c>
      <c r="H8534" s="24">
        <v>1365.0</v>
      </c>
      <c r="I8534" s="24">
        <v>28.0</v>
      </c>
      <c r="J8534" s="24">
        <v>0.0</v>
      </c>
      <c r="K8534" s="23" t="s">
        <v>34</v>
      </c>
      <c r="L8534" s="25">
        <v>39903.517789351856</v>
      </c>
      <c r="M8534" s="26" t="s">
        <v>18806</v>
      </c>
      <c r="N8534" s="26" t="s">
        <v>18807</v>
      </c>
      <c r="O8534" s="22" t="str">
        <f>HYPERLINK("https://pbs.twimg.com/profile_images/851303769669341184/GPBwX6ur_normal.jpg","View")</f>
        <v>View</v>
      </c>
      <c r="P8534" s="27"/>
    </row>
    <row r="8535">
      <c r="A8535" s="14">
        <v>43031.821608796294</v>
      </c>
      <c r="B8535" s="20" t="str">
        <f>HYPERLINK("https://twitter.com/BSAFunds","@BSAFunds")</f>
        <v>@BSAFunds</v>
      </c>
      <c r="C8535" s="21" t="s">
        <v>1248</v>
      </c>
      <c r="D8535" s="21" t="s">
        <v>18808</v>
      </c>
      <c r="E8535" s="22" t="str">
        <f>HYPERLINK("https://twitter.com/BSAFunds/status/922654660246364160","922654660246364160")</f>
        <v>922654660246364160</v>
      </c>
      <c r="F8535" s="23" t="s">
        <v>187</v>
      </c>
      <c r="G8535" s="24">
        <v>20910.0</v>
      </c>
      <c r="H8535" s="24">
        <v>8929.0</v>
      </c>
      <c r="I8535" s="24">
        <v>0.0</v>
      </c>
      <c r="J8535" s="24">
        <v>0.0</v>
      </c>
      <c r="K8535" s="23" t="s">
        <v>34</v>
      </c>
      <c r="L8535" s="25">
        <v>42601.94818287037</v>
      </c>
      <c r="M8535" s="26" t="s">
        <v>1250</v>
      </c>
      <c r="N8535" s="26" t="s">
        <v>1251</v>
      </c>
      <c r="O8535" s="22" t="str">
        <f>HYPERLINK("https://pbs.twimg.com/profile_images/912769166960033792/N4LAmrTs_normal.jpg","View")</f>
        <v>View</v>
      </c>
      <c r="P8535" s="27"/>
    </row>
    <row r="8536">
      <c r="A8536" s="14">
        <v>43031.8218287037</v>
      </c>
      <c r="B8536" s="20" t="str">
        <f>HYPERLINK("https://twitter.com/chambalion18","@chambalion18")</f>
        <v>@chambalion18</v>
      </c>
      <c r="C8536" s="21" t="s">
        <v>18809</v>
      </c>
      <c r="D8536" s="21" t="s">
        <v>18788</v>
      </c>
      <c r="E8536" s="22" t="str">
        <f>HYPERLINK("https://twitter.com/chambalion18/status/922654739145244672","922654739145244672")</f>
        <v>922654739145244672</v>
      </c>
      <c r="F8536" s="23" t="s">
        <v>33</v>
      </c>
      <c r="G8536" s="24">
        <v>137.0</v>
      </c>
      <c r="H8536" s="24">
        <v>350.0</v>
      </c>
      <c r="I8536" s="24">
        <v>28.0</v>
      </c>
      <c r="J8536" s="24">
        <v>0.0</v>
      </c>
      <c r="K8536" s="23" t="s">
        <v>34</v>
      </c>
      <c r="L8536" s="25">
        <v>41882.56099537037</v>
      </c>
      <c r="M8536" s="26" t="s">
        <v>204</v>
      </c>
      <c r="N8536" s="28"/>
      <c r="O8536" s="22" t="str">
        <f>HYPERLINK("https://pbs.twimg.com/profile_images/618658190545195008/BrvmMKeA_normal.jpg","View")</f>
        <v>View</v>
      </c>
      <c r="P8536" s="27"/>
    </row>
    <row r="8537">
      <c r="A8537" s="14">
        <v>43031.82190972222</v>
      </c>
      <c r="B8537" s="20" t="str">
        <f>HYPERLINK("https://twitter.com/RGIRISH15","@RGIRISH15")</f>
        <v>@RGIRISH15</v>
      </c>
      <c r="C8537" s="21" t="s">
        <v>18810</v>
      </c>
      <c r="D8537" s="21" t="s">
        <v>42</v>
      </c>
      <c r="E8537" s="22" t="str">
        <f>HYPERLINK("https://twitter.com/RGIRISH15/status/922654767540723712","922654767540723712")</f>
        <v>922654767540723712</v>
      </c>
      <c r="F8537" s="23" t="s">
        <v>33</v>
      </c>
      <c r="G8537" s="24">
        <v>46.0</v>
      </c>
      <c r="H8537" s="24">
        <v>168.0</v>
      </c>
      <c r="I8537" s="24">
        <v>8501.0</v>
      </c>
      <c r="J8537" s="24">
        <v>0.0</v>
      </c>
      <c r="K8537" s="23" t="s">
        <v>34</v>
      </c>
      <c r="L8537" s="25">
        <v>42642.8887962963</v>
      </c>
      <c r="M8537" s="26" t="s">
        <v>18811</v>
      </c>
      <c r="N8537" s="26" t="s">
        <v>18812</v>
      </c>
      <c r="O8537" s="22" t="str">
        <f>HYPERLINK("https://pbs.twimg.com/profile_images/784623627106942976/lIrS3KR8_normal.jpg","View")</f>
        <v>View</v>
      </c>
      <c r="P8537" s="27"/>
    </row>
    <row r="8538">
      <c r="A8538" s="14">
        <v>43031.82197916666</v>
      </c>
      <c r="B8538" s="20" t="str">
        <f>HYPERLINK("https://twitter.com/ShingetsuNews","@ShingetsuNews")</f>
        <v>@ShingetsuNews</v>
      </c>
      <c r="C8538" s="21" t="s">
        <v>18813</v>
      </c>
      <c r="D8538" s="21" t="s">
        <v>18814</v>
      </c>
      <c r="E8538" s="22" t="str">
        <f>HYPERLINK("https://twitter.com/ShingetsuNews/status/922654791708303361","922654791708303361")</f>
        <v>922654791708303361</v>
      </c>
      <c r="F8538" s="23" t="s">
        <v>55</v>
      </c>
      <c r="G8538" s="24">
        <v>6327.0</v>
      </c>
      <c r="H8538" s="24">
        <v>277.0</v>
      </c>
      <c r="I8538" s="24">
        <v>1.0</v>
      </c>
      <c r="J8538" s="24">
        <v>1.0</v>
      </c>
      <c r="K8538" s="23" t="s">
        <v>34</v>
      </c>
      <c r="L8538" s="25">
        <v>40593.06306712963</v>
      </c>
      <c r="M8538" s="26" t="s">
        <v>923</v>
      </c>
      <c r="N8538" s="26" t="s">
        <v>18815</v>
      </c>
      <c r="O8538" s="22" t="str">
        <f>HYPERLINK("https://pbs.twimg.com/profile_images/711533259646054403/1ZDyWxWY_normal.jpg","View")</f>
        <v>View</v>
      </c>
      <c r="P8538" s="27"/>
    </row>
    <row r="8539">
      <c r="A8539" s="14">
        <v>43031.82204861111</v>
      </c>
      <c r="B8539" s="20" t="str">
        <f>HYPERLINK("https://twitter.com/headwatersesh","@headwatersesh")</f>
        <v>@headwatersesh</v>
      </c>
      <c r="C8539" s="21" t="s">
        <v>18816</v>
      </c>
      <c r="D8539" s="21" t="s">
        <v>18788</v>
      </c>
      <c r="E8539" s="22" t="str">
        <f>HYPERLINK("https://twitter.com/headwatersesh/status/922654819990487040","922654819990487040")</f>
        <v>922654819990487040</v>
      </c>
      <c r="F8539" s="23" t="s">
        <v>39</v>
      </c>
      <c r="G8539" s="24">
        <v>1087.0</v>
      </c>
      <c r="H8539" s="24">
        <v>4499.0</v>
      </c>
      <c r="I8539" s="24">
        <v>28.0</v>
      </c>
      <c r="J8539" s="24">
        <v>0.0</v>
      </c>
      <c r="K8539" s="23" t="s">
        <v>34</v>
      </c>
      <c r="L8539" s="25">
        <v>42627.84215277778</v>
      </c>
      <c r="M8539" s="26" t="s">
        <v>18817</v>
      </c>
      <c r="N8539" s="26" t="s">
        <v>18818</v>
      </c>
      <c r="O8539" s="22" t="str">
        <f>HYPERLINK("https://pbs.twimg.com/profile_images/896136006679670788/iYTLld1H_normal.jpg","View")</f>
        <v>View</v>
      </c>
      <c r="P8539" s="27"/>
    </row>
    <row r="8540">
      <c r="A8540" s="14">
        <v>43031.822129629625</v>
      </c>
      <c r="B8540" s="20" t="str">
        <f>HYPERLINK("https://twitter.com/zoominkorea1","@zoominkorea1")</f>
        <v>@zoominkorea1</v>
      </c>
      <c r="C8540" s="21" t="s">
        <v>18819</v>
      </c>
      <c r="D8540" s="21" t="s">
        <v>18820</v>
      </c>
      <c r="E8540" s="22" t="str">
        <f>HYPERLINK("https://twitter.com/zoominkorea1/status/922654845873590274","922654845873590274")</f>
        <v>922654845873590274</v>
      </c>
      <c r="F8540" s="23" t="s">
        <v>48</v>
      </c>
      <c r="G8540" s="24">
        <v>79.0</v>
      </c>
      <c r="H8540" s="24">
        <v>16.0</v>
      </c>
      <c r="I8540" s="24">
        <v>3.0</v>
      </c>
      <c r="J8540" s="24">
        <v>2.0</v>
      </c>
      <c r="K8540" s="23" t="s">
        <v>34</v>
      </c>
      <c r="L8540" s="25">
        <v>42549.366388888884</v>
      </c>
      <c r="M8540" s="28"/>
      <c r="N8540" s="28"/>
      <c r="O8540" s="22" t="str">
        <f>HYPERLINK("https://pbs.twimg.com/profile_images/747892443228442625/qLbPPrGG_normal.jpg","View")</f>
        <v>View</v>
      </c>
      <c r="P8540" s="27"/>
    </row>
    <row r="8541">
      <c r="A8541" s="14">
        <v>43031.82240740741</v>
      </c>
      <c r="B8541" s="20" t="str">
        <f>HYPERLINK("https://twitter.com/krunox123","@krunox123")</f>
        <v>@krunox123</v>
      </c>
      <c r="C8541" s="21" t="s">
        <v>1750</v>
      </c>
      <c r="D8541" s="21" t="s">
        <v>18821</v>
      </c>
      <c r="E8541" s="22" t="str">
        <f>HYPERLINK("https://twitter.com/krunox123/status/922654948575334400","922654948575334400")</f>
        <v>922654948575334400</v>
      </c>
      <c r="F8541" s="23" t="s">
        <v>187</v>
      </c>
      <c r="G8541" s="24">
        <v>10220.0</v>
      </c>
      <c r="H8541" s="24">
        <v>2.0</v>
      </c>
      <c r="I8541" s="24">
        <v>0.0</v>
      </c>
      <c r="J8541" s="24">
        <v>0.0</v>
      </c>
      <c r="K8541" s="23" t="s">
        <v>34</v>
      </c>
      <c r="L8541" s="25">
        <v>40938.22789351852</v>
      </c>
      <c r="M8541" s="26" t="s">
        <v>1752</v>
      </c>
      <c r="N8541" s="26" t="s">
        <v>1753</v>
      </c>
      <c r="O8541" s="22" t="str">
        <f>HYPERLINK("https://pbs.twimg.com/profile_images/824952382618349568/2SFIkM2x_normal.jpg","View")</f>
        <v>View</v>
      </c>
      <c r="P8541" s="27"/>
    </row>
    <row r="8542">
      <c r="A8542" s="14">
        <v>43031.822488425925</v>
      </c>
      <c r="B8542" s="20" t="str">
        <f>HYPERLINK("https://twitter.com/TFTCS","@TFTCS")</f>
        <v>@TFTCS</v>
      </c>
      <c r="C8542" s="21" t="s">
        <v>1851</v>
      </c>
      <c r="D8542" s="21" t="s">
        <v>4336</v>
      </c>
      <c r="E8542" s="22" t="str">
        <f>HYPERLINK("https://twitter.com/TFTCS/status/922654975993483266","922654975993483266")</f>
        <v>922654975993483266</v>
      </c>
      <c r="F8542" s="23" t="s">
        <v>187</v>
      </c>
      <c r="G8542" s="24">
        <v>4389.0</v>
      </c>
      <c r="H8542" s="24">
        <v>4555.0</v>
      </c>
      <c r="I8542" s="24">
        <v>0.0</v>
      </c>
      <c r="J8542" s="24">
        <v>0.0</v>
      </c>
      <c r="K8542" s="23" t="s">
        <v>34</v>
      </c>
      <c r="L8542" s="25">
        <v>41868.76810185185</v>
      </c>
      <c r="M8542" s="26" t="s">
        <v>1853</v>
      </c>
      <c r="N8542" s="26" t="s">
        <v>1854</v>
      </c>
      <c r="O8542" s="22" t="str">
        <f>HYPERLINK("https://pbs.twimg.com/profile_images/736027772800368640/DdLGgNNU_normal.jpg","View")</f>
        <v>View</v>
      </c>
      <c r="P8542" s="27"/>
    </row>
    <row r="8543">
      <c r="A8543" s="14">
        <v>43031.82251157408</v>
      </c>
      <c r="B8543" s="20" t="str">
        <f>HYPERLINK("https://twitter.com/lalojimjuarez","@lalojimjuarez")</f>
        <v>@lalojimjuarez</v>
      </c>
      <c r="C8543" s="21" t="s">
        <v>18822</v>
      </c>
      <c r="D8543" s="21" t="s">
        <v>42</v>
      </c>
      <c r="E8543" s="22" t="str">
        <f>HYPERLINK("https://twitter.com/lalojimjuarez/status/922654985149706240","922654985149706240")</f>
        <v>922654985149706240</v>
      </c>
      <c r="F8543" s="23" t="s">
        <v>33</v>
      </c>
      <c r="G8543" s="24">
        <v>1965.0</v>
      </c>
      <c r="H8543" s="24">
        <v>5000.0</v>
      </c>
      <c r="I8543" s="24">
        <v>8501.0</v>
      </c>
      <c r="J8543" s="24">
        <v>0.0</v>
      </c>
      <c r="K8543" s="23" t="s">
        <v>34</v>
      </c>
      <c r="L8543" s="25">
        <v>42017.86597222222</v>
      </c>
      <c r="M8543" s="28"/>
      <c r="N8543" s="26" t="s">
        <v>18823</v>
      </c>
      <c r="O8543" s="22" t="str">
        <f>HYPERLINK("https://pbs.twimg.com/profile_images/916815885762830337/Doi7l1oH_normal.jpg","View")</f>
        <v>View</v>
      </c>
      <c r="P8543" s="27"/>
    </row>
    <row r="8544">
      <c r="A8544" s="14">
        <v>43031.822592592594</v>
      </c>
      <c r="B8544" s="20" t="str">
        <f>HYPERLINK("https://twitter.com/cdmtx65","@cdmtx65")</f>
        <v>@cdmtx65</v>
      </c>
      <c r="C8544" s="21" t="s">
        <v>18824</v>
      </c>
      <c r="D8544" s="21" t="s">
        <v>18788</v>
      </c>
      <c r="E8544" s="22" t="str">
        <f>HYPERLINK("https://twitter.com/cdmtx65/status/922655015105388545","922655015105388545")</f>
        <v>922655015105388545</v>
      </c>
      <c r="F8544" s="23" t="s">
        <v>55</v>
      </c>
      <c r="G8544" s="24">
        <v>4886.0</v>
      </c>
      <c r="H8544" s="24">
        <v>4725.0</v>
      </c>
      <c r="I8544" s="24">
        <v>28.0</v>
      </c>
      <c r="J8544" s="24">
        <v>0.0</v>
      </c>
      <c r="K8544" s="23" t="s">
        <v>34</v>
      </c>
      <c r="L8544" s="25">
        <v>39922.93648148148</v>
      </c>
      <c r="M8544" s="26" t="s">
        <v>18825</v>
      </c>
      <c r="N8544" s="26" t="s">
        <v>18826</v>
      </c>
      <c r="O8544" s="22" t="str">
        <f>HYPERLINK("https://pbs.twimg.com/profile_images/887033916481085440/CzA8Qkc8_normal.jpg","View")</f>
        <v>View</v>
      </c>
      <c r="P8544" s="27"/>
    </row>
    <row r="8545">
      <c r="A8545" s="14">
        <v>43031.82313657408</v>
      </c>
      <c r="B8545" s="20" t="str">
        <f>HYPERLINK("https://twitter.com/ChuutaCom2","@ChuutaCom2")</f>
        <v>@ChuutaCom2</v>
      </c>
      <c r="C8545" s="21" t="s">
        <v>18827</v>
      </c>
      <c r="D8545" s="21" t="s">
        <v>42</v>
      </c>
      <c r="E8545" s="22" t="str">
        <f>HYPERLINK("https://twitter.com/ChuutaCom2/status/922655212426293248","922655212426293248")</f>
        <v>922655212426293248</v>
      </c>
      <c r="F8545" s="23" t="s">
        <v>18828</v>
      </c>
      <c r="G8545" s="24">
        <v>133.0</v>
      </c>
      <c r="H8545" s="24">
        <v>193.0</v>
      </c>
      <c r="I8545" s="24">
        <v>8501.0</v>
      </c>
      <c r="J8545" s="24">
        <v>0.0</v>
      </c>
      <c r="K8545" s="23" t="s">
        <v>34</v>
      </c>
      <c r="L8545" s="25">
        <v>42713.60501157407</v>
      </c>
      <c r="M8545" s="28"/>
      <c r="N8545" s="26" t="s">
        <v>18829</v>
      </c>
      <c r="O8545" s="22" t="str">
        <f>HYPERLINK("https://pbs.twimg.com/profile_images/825964767995064320/3zmrH_5X_normal.jpg","View")</f>
        <v>View</v>
      </c>
      <c r="P8545" s="27"/>
    </row>
    <row r="8546">
      <c r="A8546" s="14">
        <v>43031.8234375</v>
      </c>
      <c r="B8546" s="20" t="str">
        <f>HYPERLINK("https://twitter.com/SherryFLRealtor","@SherryFLRealtor")</f>
        <v>@SherryFLRealtor</v>
      </c>
      <c r="C8546" s="21" t="s">
        <v>18830</v>
      </c>
      <c r="D8546" s="21" t="s">
        <v>18788</v>
      </c>
      <c r="E8546" s="22" t="str">
        <f>HYPERLINK("https://twitter.com/SherryFLRealtor/status/922655320236810246","922655320236810246")</f>
        <v>922655320236810246</v>
      </c>
      <c r="F8546" s="23" t="s">
        <v>39</v>
      </c>
      <c r="G8546" s="24">
        <v>2248.0</v>
      </c>
      <c r="H8546" s="24">
        <v>3582.0</v>
      </c>
      <c r="I8546" s="24">
        <v>28.0</v>
      </c>
      <c r="J8546" s="24">
        <v>0.0</v>
      </c>
      <c r="K8546" s="23" t="s">
        <v>34</v>
      </c>
      <c r="L8546" s="25">
        <v>40542.55136574074</v>
      </c>
      <c r="M8546" s="26" t="s">
        <v>18831</v>
      </c>
      <c r="N8546" s="26" t="s">
        <v>18832</v>
      </c>
      <c r="O8546" s="22" t="str">
        <f>HYPERLINK("https://pbs.twimg.com/profile_images/669668454505426944/UdLi3uJg_normal.jpg","View")</f>
        <v>View</v>
      </c>
      <c r="P8546" s="27"/>
    </row>
    <row r="8547">
      <c r="A8547" s="14">
        <v>43031.82346064815</v>
      </c>
      <c r="B8547" s="20" t="str">
        <f>HYPERLINK("https://twitter.com/KrAbhi1991","@KrAbhi1991")</f>
        <v>@KrAbhi1991</v>
      </c>
      <c r="C8547" s="21" t="s">
        <v>18833</v>
      </c>
      <c r="D8547" s="21" t="s">
        <v>42</v>
      </c>
      <c r="E8547" s="22" t="str">
        <f>HYPERLINK("https://twitter.com/KrAbhi1991/status/922655331838234624","922655331838234624")</f>
        <v>922655331838234624</v>
      </c>
      <c r="F8547" s="23" t="s">
        <v>33</v>
      </c>
      <c r="G8547" s="24">
        <v>375.0</v>
      </c>
      <c r="H8547" s="24">
        <v>392.0</v>
      </c>
      <c r="I8547" s="24">
        <v>8501.0</v>
      </c>
      <c r="J8547" s="24">
        <v>0.0</v>
      </c>
      <c r="K8547" s="23" t="s">
        <v>34</v>
      </c>
      <c r="L8547" s="25">
        <v>41311.43528935185</v>
      </c>
      <c r="M8547" s="26" t="s">
        <v>575</v>
      </c>
      <c r="N8547" s="26" t="s">
        <v>18834</v>
      </c>
      <c r="O8547" s="22" t="str">
        <f>HYPERLINK("https://pbs.twimg.com/profile_images/717875714502950912/PvS3HNX4_normal.jpg","View")</f>
        <v>View</v>
      </c>
      <c r="P8547" s="27"/>
    </row>
    <row r="8548">
      <c r="A8548" s="14">
        <v>43031.823587962965</v>
      </c>
      <c r="B8548" s="20" t="str">
        <f>HYPERLINK("https://twitter.com/abhinavMTU","@abhinavMTU")</f>
        <v>@abhinavMTU</v>
      </c>
      <c r="C8548" s="21" t="s">
        <v>18835</v>
      </c>
      <c r="D8548" s="21" t="s">
        <v>42</v>
      </c>
      <c r="E8548" s="22" t="str">
        <f>HYPERLINK("https://twitter.com/abhinavMTU/status/922655377245618176","922655377245618176")</f>
        <v>922655377245618176</v>
      </c>
      <c r="F8548" s="23" t="s">
        <v>55</v>
      </c>
      <c r="G8548" s="24">
        <v>88.0</v>
      </c>
      <c r="H8548" s="24">
        <v>120.0</v>
      </c>
      <c r="I8548" s="24">
        <v>8501.0</v>
      </c>
      <c r="J8548" s="24">
        <v>0.0</v>
      </c>
      <c r="K8548" s="23" t="s">
        <v>34</v>
      </c>
      <c r="L8548" s="25">
        <v>41718.43913194444</v>
      </c>
      <c r="M8548" s="26" t="s">
        <v>3887</v>
      </c>
      <c r="N8548" s="26" t="s">
        <v>18836</v>
      </c>
      <c r="O8548" s="22" t="str">
        <f>HYPERLINK("https://pbs.twimg.com/profile_images/719533200356192256/fjJlmoom_normal.jpg","View")</f>
        <v>View</v>
      </c>
      <c r="P8548" s="27"/>
    </row>
    <row r="8549">
      <c r="A8549" s="14">
        <v>43031.823749999996</v>
      </c>
      <c r="B8549" s="20" t="str">
        <f>HYPERLINK("https://twitter.com/JosHendriks4","@JosHendriks4")</f>
        <v>@JosHendriks4</v>
      </c>
      <c r="C8549" s="21" t="s">
        <v>18837</v>
      </c>
      <c r="D8549" s="21" t="s">
        <v>18788</v>
      </c>
      <c r="E8549" s="22" t="str">
        <f>HYPERLINK("https://twitter.com/JosHendriks4/status/922655436477812736","922655436477812736")</f>
        <v>922655436477812736</v>
      </c>
      <c r="F8549" s="23" t="s">
        <v>55</v>
      </c>
      <c r="G8549" s="24">
        <v>457.0</v>
      </c>
      <c r="H8549" s="24">
        <v>2452.0</v>
      </c>
      <c r="I8549" s="24">
        <v>28.0</v>
      </c>
      <c r="J8549" s="24">
        <v>0.0</v>
      </c>
      <c r="K8549" s="23" t="s">
        <v>34</v>
      </c>
      <c r="L8549" s="25">
        <v>41798.073217592595</v>
      </c>
      <c r="M8549" s="26" t="s">
        <v>18838</v>
      </c>
      <c r="N8549" s="26" t="s">
        <v>18839</v>
      </c>
      <c r="O8549" s="22" t="str">
        <f>HYPERLINK("https://pbs.twimg.com/profile_images/713692783584940033/Jt1SQtMM_normal.jpg","View")</f>
        <v>View</v>
      </c>
      <c r="P8549" s="27"/>
    </row>
    <row r="8550">
      <c r="A8550" s="14">
        <v>43031.82377314815</v>
      </c>
      <c r="B8550" s="20" t="str">
        <f>HYPERLINK("https://twitter.com/SarafrajAlam_","@SarafrajAlam_")</f>
        <v>@SarafrajAlam_</v>
      </c>
      <c r="C8550" s="21" t="s">
        <v>18840</v>
      </c>
      <c r="D8550" s="21" t="s">
        <v>42</v>
      </c>
      <c r="E8550" s="22" t="str">
        <f>HYPERLINK("https://twitter.com/SarafrajAlam_/status/922655444467716097","922655444467716097")</f>
        <v>922655444467716097</v>
      </c>
      <c r="F8550" s="23" t="s">
        <v>33</v>
      </c>
      <c r="G8550" s="24">
        <v>205.0</v>
      </c>
      <c r="H8550" s="24">
        <v>529.0</v>
      </c>
      <c r="I8550" s="24">
        <v>8501.0</v>
      </c>
      <c r="J8550" s="24">
        <v>0.0</v>
      </c>
      <c r="K8550" s="23" t="s">
        <v>34</v>
      </c>
      <c r="L8550" s="25">
        <v>43029.79574074074</v>
      </c>
      <c r="M8550" s="26" t="s">
        <v>18841</v>
      </c>
      <c r="N8550" s="26" t="s">
        <v>18842</v>
      </c>
      <c r="O8550" s="22" t="str">
        <f>HYPERLINK("https://pbs.twimg.com/profile_images/922656885915885568/d-AllP1R_normal.jpg","View")</f>
        <v>View</v>
      </c>
      <c r="P8550" s="27"/>
    </row>
    <row r="8551">
      <c r="A8551" s="14">
        <v>43031.82398148148</v>
      </c>
      <c r="B8551" s="20" t="str">
        <f>HYPERLINK("https://twitter.com/KowsalyaM3","@KowsalyaM3")</f>
        <v>@KowsalyaM3</v>
      </c>
      <c r="C8551" s="21" t="s">
        <v>18843</v>
      </c>
      <c r="D8551" s="21" t="s">
        <v>42</v>
      </c>
      <c r="E8551" s="22" t="str">
        <f>HYPERLINK("https://twitter.com/KowsalyaM3/status/922655517511630848","922655517511630848")</f>
        <v>922655517511630848</v>
      </c>
      <c r="F8551" s="23" t="s">
        <v>33</v>
      </c>
      <c r="G8551" s="24">
        <v>4.0</v>
      </c>
      <c r="H8551" s="24">
        <v>74.0</v>
      </c>
      <c r="I8551" s="24">
        <v>8501.0</v>
      </c>
      <c r="J8551" s="24">
        <v>0.0</v>
      </c>
      <c r="K8551" s="23" t="s">
        <v>34</v>
      </c>
      <c r="L8551" s="25">
        <v>43016.01335648148</v>
      </c>
      <c r="M8551" s="26" t="s">
        <v>18844</v>
      </c>
      <c r="N8551" s="26" t="s">
        <v>18845</v>
      </c>
      <c r="O8551" s="22" t="str">
        <f>HYPERLINK("https://pbs.twimg.com/profile_images/920983708521308161/3aQd4pv3_normal.jpg","View")</f>
        <v>View</v>
      </c>
      <c r="P8551" s="27"/>
    </row>
    <row r="8552">
      <c r="A8552" s="14">
        <v>43031.824016203704</v>
      </c>
      <c r="B8552" s="20" t="str">
        <f>HYPERLINK("https://twitter.com/NTKRNow","@NTKRNow")</f>
        <v>@NTKRNow</v>
      </c>
      <c r="C8552" s="21" t="s">
        <v>14875</v>
      </c>
      <c r="D8552" s="21" t="s">
        <v>18846</v>
      </c>
      <c r="E8552" s="22" t="str">
        <f>HYPERLINK("https://twitter.com/NTKRNow/status/922655532737015810","922655532737015810")</f>
        <v>922655532737015810</v>
      </c>
      <c r="F8552" s="23" t="s">
        <v>187</v>
      </c>
      <c r="G8552" s="24">
        <v>605.0</v>
      </c>
      <c r="H8552" s="24">
        <v>4.0</v>
      </c>
      <c r="I8552" s="24">
        <v>0.0</v>
      </c>
      <c r="J8552" s="24">
        <v>0.0</v>
      </c>
      <c r="K8552" s="23" t="s">
        <v>34</v>
      </c>
      <c r="L8552" s="25">
        <v>42402.810625</v>
      </c>
      <c r="M8552" s="28"/>
      <c r="N8552" s="28"/>
      <c r="O8552" s="22" t="str">
        <f>HYPERLINK("https://abs.twimg.com/sticky/default_profile_images/default_profile_normal.png","View")</f>
        <v>View</v>
      </c>
      <c r="P8552" s="27"/>
    </row>
    <row r="8553">
      <c r="A8553" s="14">
        <v>43031.8240625</v>
      </c>
      <c r="B8553" s="20" t="str">
        <f>HYPERLINK("https://twitter.com/Omi333","@Omi333")</f>
        <v>@Omi333</v>
      </c>
      <c r="C8553" s="21" t="s">
        <v>18847</v>
      </c>
      <c r="D8553" s="21" t="s">
        <v>18848</v>
      </c>
      <c r="E8553" s="22" t="str">
        <f>HYPERLINK("https://twitter.com/Omi333/status/922655548855681024","922655548855681024")</f>
        <v>922655548855681024</v>
      </c>
      <c r="F8553" s="23" t="s">
        <v>55</v>
      </c>
      <c r="G8553" s="24">
        <v>166.0</v>
      </c>
      <c r="H8553" s="24">
        <v>394.0</v>
      </c>
      <c r="I8553" s="24">
        <v>0.0</v>
      </c>
      <c r="J8553" s="24">
        <v>1.0</v>
      </c>
      <c r="K8553" s="23" t="s">
        <v>34</v>
      </c>
      <c r="L8553" s="25">
        <v>40005.03539351852</v>
      </c>
      <c r="M8553" s="26" t="s">
        <v>1162</v>
      </c>
      <c r="N8553" s="28"/>
      <c r="O8553" s="22" t="str">
        <f>HYPERLINK("https://pbs.twimg.com/profile_images/418391894528245760/ndBturg1_normal.jpeg","View")</f>
        <v>View</v>
      </c>
      <c r="P8553" s="27"/>
    </row>
    <row r="8554">
      <c r="A8554" s="14">
        <v>43031.82414351852</v>
      </c>
      <c r="B8554" s="20" t="str">
        <f>HYPERLINK("https://twitter.com/rkctmk","@rkctmk")</f>
        <v>@rkctmk</v>
      </c>
      <c r="C8554" s="21" t="s">
        <v>18849</v>
      </c>
      <c r="D8554" s="21" t="s">
        <v>42</v>
      </c>
      <c r="E8554" s="22" t="str">
        <f>HYPERLINK("https://twitter.com/rkctmk/status/922655576273731584","922655576273731584")</f>
        <v>922655576273731584</v>
      </c>
      <c r="F8554" s="23" t="s">
        <v>780</v>
      </c>
      <c r="G8554" s="24">
        <v>1088.0</v>
      </c>
      <c r="H8554" s="24">
        <v>1530.0</v>
      </c>
      <c r="I8554" s="24">
        <v>8501.0</v>
      </c>
      <c r="J8554" s="24">
        <v>0.0</v>
      </c>
      <c r="K8554" s="23" t="s">
        <v>34</v>
      </c>
      <c r="L8554" s="25">
        <v>42202.82172453703</v>
      </c>
      <c r="M8554" s="26" t="s">
        <v>18850</v>
      </c>
      <c r="N8554" s="26" t="s">
        <v>18851</v>
      </c>
      <c r="O8554" s="22" t="str">
        <f>HYPERLINK("https://pbs.twimg.com/profile_images/622250989391745025/sedU3Zzf_normal.jpg","View")</f>
        <v>View</v>
      </c>
      <c r="P8554" s="27"/>
    </row>
    <row r="8555">
      <c r="A8555" s="14">
        <v>43031.82439814815</v>
      </c>
      <c r="B8555" s="20" t="str">
        <f>HYPERLINK("https://twitter.com/hiteshpatel17","@hiteshpatel17")</f>
        <v>@hiteshpatel17</v>
      </c>
      <c r="C8555" s="21" t="s">
        <v>18852</v>
      </c>
      <c r="D8555" s="21" t="s">
        <v>42</v>
      </c>
      <c r="E8555" s="22" t="str">
        <f>HYPERLINK("https://twitter.com/hiteshpatel17/status/922655670674976768","922655670674976768")</f>
        <v>922655670674976768</v>
      </c>
      <c r="F8555" s="23" t="s">
        <v>33</v>
      </c>
      <c r="G8555" s="24">
        <v>224.0</v>
      </c>
      <c r="H8555" s="24">
        <v>339.0</v>
      </c>
      <c r="I8555" s="24">
        <v>8501.0</v>
      </c>
      <c r="J8555" s="24">
        <v>0.0</v>
      </c>
      <c r="K8555" s="23" t="s">
        <v>34</v>
      </c>
      <c r="L8555" s="25">
        <v>40144.990578703706</v>
      </c>
      <c r="M8555" s="26" t="s">
        <v>18853</v>
      </c>
      <c r="N8555" s="26" t="s">
        <v>18854</v>
      </c>
      <c r="O8555" s="22" t="str">
        <f>HYPERLINK("https://pbs.twimg.com/profile_images/849269800140275714/0-tt97uk_normal.jpg","View")</f>
        <v>View</v>
      </c>
      <c r="P8555" s="27"/>
    </row>
    <row r="8556">
      <c r="A8556" s="14">
        <v>43031.82460648148</v>
      </c>
      <c r="B8556" s="20" t="str">
        <f>HYPERLINK("https://twitter.com/ChBhushanSingh","@ChBhushanSingh")</f>
        <v>@ChBhushanSingh</v>
      </c>
      <c r="C8556" s="21" t="s">
        <v>18855</v>
      </c>
      <c r="D8556" s="21" t="s">
        <v>42</v>
      </c>
      <c r="E8556" s="22" t="str">
        <f>HYPERLINK("https://twitter.com/ChBhushanSingh/status/922655744356360192","922655744356360192")</f>
        <v>922655744356360192</v>
      </c>
      <c r="F8556" s="23" t="s">
        <v>33</v>
      </c>
      <c r="G8556" s="24">
        <v>334.0</v>
      </c>
      <c r="H8556" s="24">
        <v>711.0</v>
      </c>
      <c r="I8556" s="24">
        <v>8501.0</v>
      </c>
      <c r="J8556" s="24">
        <v>0.0</v>
      </c>
      <c r="K8556" s="23" t="s">
        <v>34</v>
      </c>
      <c r="L8556" s="25">
        <v>40286.384467592594</v>
      </c>
      <c r="M8556" s="26" t="s">
        <v>207</v>
      </c>
      <c r="N8556" s="26" t="s">
        <v>18856</v>
      </c>
      <c r="O8556" s="22" t="str">
        <f>HYPERLINK("https://pbs.twimg.com/profile_images/898754438600339457/bTouHe0q_normal.jpg","View")</f>
        <v>View</v>
      </c>
      <c r="P8556" s="27"/>
    </row>
    <row r="8557">
      <c r="A8557" s="14">
        <v>43031.824641203704</v>
      </c>
      <c r="B8557" s="20" t="str">
        <f>HYPERLINK("https://twitter.com/marianneflynn15","@marianneflynn15")</f>
        <v>@marianneflynn15</v>
      </c>
      <c r="C8557" s="21" t="s">
        <v>18857</v>
      </c>
      <c r="D8557" s="21" t="s">
        <v>16537</v>
      </c>
      <c r="E8557" s="22" t="str">
        <f>HYPERLINK("https://twitter.com/marianneflynn15/status/922655758159822848","922655758159822848")</f>
        <v>922655758159822848</v>
      </c>
      <c r="F8557" s="23" t="s">
        <v>43</v>
      </c>
      <c r="G8557" s="24">
        <v>67.0</v>
      </c>
      <c r="H8557" s="24">
        <v>45.0</v>
      </c>
      <c r="I8557" s="24">
        <v>242.0</v>
      </c>
      <c r="J8557" s="24">
        <v>0.0</v>
      </c>
      <c r="K8557" s="23" t="s">
        <v>34</v>
      </c>
      <c r="L8557" s="25">
        <v>42502.48674768519</v>
      </c>
      <c r="M8557" s="28"/>
      <c r="N8557" s="28"/>
      <c r="O8557" s="22" t="str">
        <f>HYPERLINK("https://abs.twimg.com/sticky/default_profile_images/default_profile_normal.png","View")</f>
        <v>View</v>
      </c>
      <c r="P8557" s="27"/>
    </row>
    <row r="8558">
      <c r="A8558" s="14">
        <v>43031.82489583333</v>
      </c>
      <c r="B8558" s="20" t="str">
        <f>HYPERLINK("https://twitter.com/Amethyst_XXXX","@Amethyst_XXXX")</f>
        <v>@Amethyst_XXXX</v>
      </c>
      <c r="C8558" s="21" t="s">
        <v>18858</v>
      </c>
      <c r="D8558" s="21" t="s">
        <v>18859</v>
      </c>
      <c r="E8558" s="22" t="str">
        <f>HYPERLINK("https://twitter.com/Amethyst_XXXX/status/922655852015763456","922655852015763456")</f>
        <v>922655852015763456</v>
      </c>
      <c r="F8558" s="23" t="s">
        <v>39</v>
      </c>
      <c r="G8558" s="24">
        <v>660.0</v>
      </c>
      <c r="H8558" s="24">
        <v>634.0</v>
      </c>
      <c r="I8558" s="24">
        <v>0.0</v>
      </c>
      <c r="J8558" s="24">
        <v>0.0</v>
      </c>
      <c r="K8558" s="23" t="s">
        <v>34</v>
      </c>
      <c r="L8558" s="25">
        <v>40175.861608796295</v>
      </c>
      <c r="M8558" s="26" t="s">
        <v>18860</v>
      </c>
      <c r="N8558" s="28"/>
      <c r="O8558" s="22" t="str">
        <f>HYPERLINK("https://pbs.twimg.com/profile_images/836088174162038784/-MrAPMHy_normal.jpg","View")</f>
        <v>View</v>
      </c>
      <c r="P8558" s="27"/>
    </row>
    <row r="8559">
      <c r="A8559" s="14">
        <v>43031.82493055555</v>
      </c>
      <c r="B8559" s="20" t="str">
        <f>HYPERLINK("https://twitter.com/AmbernathBJP","@AmbernathBJP")</f>
        <v>@AmbernathBJP</v>
      </c>
      <c r="C8559" s="21" t="s">
        <v>18861</v>
      </c>
      <c r="D8559" s="21" t="s">
        <v>42</v>
      </c>
      <c r="E8559" s="22" t="str">
        <f>HYPERLINK("https://twitter.com/AmbernathBJP/status/922655861230546944","922655861230546944")</f>
        <v>922655861230546944</v>
      </c>
      <c r="F8559" s="23" t="s">
        <v>33</v>
      </c>
      <c r="G8559" s="24">
        <v>65.0</v>
      </c>
      <c r="H8559" s="24">
        <v>73.0</v>
      </c>
      <c r="I8559" s="24">
        <v>8501.0</v>
      </c>
      <c r="J8559" s="24">
        <v>0.0</v>
      </c>
      <c r="K8559" s="23" t="s">
        <v>34</v>
      </c>
      <c r="L8559" s="25">
        <v>42571.98667824074</v>
      </c>
      <c r="M8559" s="26" t="s">
        <v>18862</v>
      </c>
      <c r="N8559" s="26" t="s">
        <v>18863</v>
      </c>
      <c r="O8559" s="22" t="str">
        <f>HYPERLINK("https://pbs.twimg.com/profile_images/914510737313218561/jUQSmFo3_normal.jpg","View")</f>
        <v>View</v>
      </c>
      <c r="P8559" s="27"/>
    </row>
    <row r="8560">
      <c r="A8560" s="14">
        <v>43031.82497685185</v>
      </c>
      <c r="B8560" s="20" t="str">
        <f>HYPERLINK("https://twitter.com/surendrapatelsp","@surendrapatelsp")</f>
        <v>@surendrapatelsp</v>
      </c>
      <c r="C8560" s="21" t="s">
        <v>18864</v>
      </c>
      <c r="D8560" s="21" t="s">
        <v>42</v>
      </c>
      <c r="E8560" s="22" t="str">
        <f>HYPERLINK("https://twitter.com/surendrapatelsp/status/922655880323190784","922655880323190784")</f>
        <v>922655880323190784</v>
      </c>
      <c r="F8560" s="23" t="s">
        <v>33</v>
      </c>
      <c r="G8560" s="24">
        <v>205.0</v>
      </c>
      <c r="H8560" s="24">
        <v>227.0</v>
      </c>
      <c r="I8560" s="24">
        <v>8501.0</v>
      </c>
      <c r="J8560" s="24">
        <v>0.0</v>
      </c>
      <c r="K8560" s="23" t="s">
        <v>34</v>
      </c>
      <c r="L8560" s="25">
        <v>42689.833287037036</v>
      </c>
      <c r="M8560" s="26" t="s">
        <v>6488</v>
      </c>
      <c r="N8560" s="26" t="s">
        <v>18865</v>
      </c>
      <c r="O8560" s="22" t="str">
        <f>HYPERLINK("https://pbs.twimg.com/profile_images/920004200225849344/v1spkMe5_normal.jpg","View")</f>
        <v>View</v>
      </c>
      <c r="P8560" s="27"/>
    </row>
    <row r="8561">
      <c r="A8561" s="14">
        <v>43031.82513888889</v>
      </c>
      <c r="B8561" s="20" t="str">
        <f>HYPERLINK("https://twitter.com/sacredgroundzs","@sacredgroundzs")</f>
        <v>@sacredgroundzs</v>
      </c>
      <c r="C8561" s="21" t="s">
        <v>18866</v>
      </c>
      <c r="D8561" s="21" t="s">
        <v>10614</v>
      </c>
      <c r="E8561" s="22" t="str">
        <f>HYPERLINK("https://twitter.com/sacredgroundzs/status/922655938955288581","922655938955288581")</f>
        <v>922655938955288581</v>
      </c>
      <c r="F8561" s="23" t="s">
        <v>33</v>
      </c>
      <c r="G8561" s="24">
        <v>718.0</v>
      </c>
      <c r="H8561" s="24">
        <v>738.0</v>
      </c>
      <c r="I8561" s="24">
        <v>159.0</v>
      </c>
      <c r="J8561" s="24">
        <v>0.0</v>
      </c>
      <c r="K8561" s="23" t="s">
        <v>34</v>
      </c>
      <c r="L8561" s="25">
        <v>42638.969988425924</v>
      </c>
      <c r="M8561" s="26" t="s">
        <v>8499</v>
      </c>
      <c r="N8561" s="28"/>
      <c r="O8561" s="22" t="str">
        <f>HYPERLINK("https://pbs.twimg.com/profile_images/921584123461767173/SF-BFolz_normal.jpg","View")</f>
        <v>View</v>
      </c>
      <c r="P8561" s="27"/>
    </row>
    <row r="8562">
      <c r="A8562" s="14">
        <v>43031.82586805556</v>
      </c>
      <c r="B8562" s="20" t="str">
        <f>HYPERLINK("https://twitter.com/gulshan_empire","@gulshan_empire")</f>
        <v>@gulshan_empire</v>
      </c>
      <c r="C8562" s="21" t="s">
        <v>18867</v>
      </c>
      <c r="D8562" s="21" t="s">
        <v>42</v>
      </c>
      <c r="E8562" s="22" t="str">
        <f>HYPERLINK("https://twitter.com/gulshan_empire/status/922656203024371712","922656203024371712")</f>
        <v>922656203024371712</v>
      </c>
      <c r="F8562" s="23" t="s">
        <v>33</v>
      </c>
      <c r="G8562" s="24">
        <v>39.0</v>
      </c>
      <c r="H8562" s="24">
        <v>158.0</v>
      </c>
      <c r="I8562" s="24">
        <v>8501.0</v>
      </c>
      <c r="J8562" s="24">
        <v>0.0</v>
      </c>
      <c r="K8562" s="23" t="s">
        <v>34</v>
      </c>
      <c r="L8562" s="25">
        <v>43007.0907175926</v>
      </c>
      <c r="M8562" s="28"/>
      <c r="N8562" s="26" t="s">
        <v>18868</v>
      </c>
      <c r="O8562" s="22" t="str">
        <f>HYPERLINK("https://pbs.twimg.com/profile_images/913695014403715073/Vy5E51Vd_normal.jpg","View")</f>
        <v>View</v>
      </c>
      <c r="P8562" s="27"/>
    </row>
    <row r="8563">
      <c r="A8563" s="14">
        <v>43031.8263425926</v>
      </c>
      <c r="B8563" s="20" t="str">
        <f>HYPERLINK("https://twitter.com/Naagesh_tweets","@Naagesh_tweets")</f>
        <v>@Naagesh_tweets</v>
      </c>
      <c r="C8563" s="21" t="s">
        <v>18869</v>
      </c>
      <c r="D8563" s="21" t="s">
        <v>18870</v>
      </c>
      <c r="E8563" s="22" t="str">
        <f>HYPERLINK("https://twitter.com/Naagesh_tweets/status/922656374143688704","922656374143688704")</f>
        <v>922656374143688704</v>
      </c>
      <c r="F8563" s="23" t="s">
        <v>55</v>
      </c>
      <c r="G8563" s="24">
        <v>1354.0</v>
      </c>
      <c r="H8563" s="24">
        <v>1143.0</v>
      </c>
      <c r="I8563" s="24">
        <v>0.0</v>
      </c>
      <c r="J8563" s="24">
        <v>0.0</v>
      </c>
      <c r="K8563" s="23" t="s">
        <v>34</v>
      </c>
      <c r="L8563" s="25">
        <v>40792.294328703705</v>
      </c>
      <c r="M8563" s="26" t="s">
        <v>5280</v>
      </c>
      <c r="N8563" s="26" t="s">
        <v>18871</v>
      </c>
      <c r="O8563" s="22" t="str">
        <f>HYPERLINK("https://pbs.twimg.com/profile_images/697970400618098688/mHzsx77D_normal.jpg","View")</f>
        <v>View</v>
      </c>
      <c r="P8563" s="27"/>
    </row>
    <row r="8564">
      <c r="A8564" s="14">
        <v>43031.82635416667</v>
      </c>
      <c r="B8564" s="20" t="str">
        <f>HYPERLINK("https://twitter.com/vapidsighs","@vapidsighs")</f>
        <v>@vapidsighs</v>
      </c>
      <c r="C8564" s="21" t="s">
        <v>18872</v>
      </c>
      <c r="D8564" s="21" t="s">
        <v>18873</v>
      </c>
      <c r="E8564" s="22" t="str">
        <f>HYPERLINK("https://twitter.com/vapidsighs/status/922656377033707520","922656377033707520")</f>
        <v>922656377033707520</v>
      </c>
      <c r="F8564" s="23" t="s">
        <v>39</v>
      </c>
      <c r="G8564" s="24">
        <v>102.0</v>
      </c>
      <c r="H8564" s="24">
        <v>120.0</v>
      </c>
      <c r="I8564" s="24">
        <v>3.0</v>
      </c>
      <c r="J8564" s="24">
        <v>0.0</v>
      </c>
      <c r="K8564" s="23" t="s">
        <v>34</v>
      </c>
      <c r="L8564" s="25">
        <v>41656.73883101852</v>
      </c>
      <c r="M8564" s="28"/>
      <c r="N8564" s="26" t="s">
        <v>18874</v>
      </c>
      <c r="O8564" s="22" t="str">
        <f>HYPERLINK("https://pbs.twimg.com/profile_images/901934428942987266/fgtpRp-2_normal.jpg","View")</f>
        <v>View</v>
      </c>
      <c r="P8564" s="27"/>
    </row>
    <row r="8565">
      <c r="A8565" s="14">
        <v>43031.82699074074</v>
      </c>
      <c r="B8565" s="20" t="str">
        <f>HYPERLINK("https://twitter.com/Cunneenmachine","@Cunneenmachine")</f>
        <v>@Cunneenmachine</v>
      </c>
      <c r="C8565" s="21" t="s">
        <v>18875</v>
      </c>
      <c r="D8565" s="21" t="s">
        <v>16537</v>
      </c>
      <c r="E8565" s="22" t="str">
        <f>HYPERLINK("https://twitter.com/Cunneenmachine/status/922656608110309376","922656608110309376")</f>
        <v>922656608110309376</v>
      </c>
      <c r="F8565" s="23" t="s">
        <v>230</v>
      </c>
      <c r="G8565" s="24">
        <v>766.0</v>
      </c>
      <c r="H8565" s="24">
        <v>1034.0</v>
      </c>
      <c r="I8565" s="24">
        <v>242.0</v>
      </c>
      <c r="J8565" s="24">
        <v>0.0</v>
      </c>
      <c r="K8565" s="23" t="s">
        <v>34</v>
      </c>
      <c r="L8565" s="25">
        <v>39946.4640625</v>
      </c>
      <c r="M8565" s="26" t="s">
        <v>7206</v>
      </c>
      <c r="N8565" s="26" t="s">
        <v>18876</v>
      </c>
      <c r="O8565" s="22" t="str">
        <f>HYPERLINK("https://pbs.twimg.com/profile_images/917162015893811202/ZYRDIA2e_normal.jpg","View")</f>
        <v>View</v>
      </c>
      <c r="P8565" s="27"/>
    </row>
    <row r="8566">
      <c r="A8566" s="14">
        <v>43031.82703703704</v>
      </c>
      <c r="B8566" s="20" t="str">
        <f>HYPERLINK("https://twitter.com/famjoling","@famjoling")</f>
        <v>@famjoling</v>
      </c>
      <c r="C8566" s="21" t="s">
        <v>18877</v>
      </c>
      <c r="D8566" s="21" t="s">
        <v>18878</v>
      </c>
      <c r="E8566" s="22" t="str">
        <f>HYPERLINK("https://twitter.com/famjoling/status/922656624304562176","922656624304562176")</f>
        <v>922656624304562176</v>
      </c>
      <c r="F8566" s="23" t="s">
        <v>55</v>
      </c>
      <c r="G8566" s="24">
        <v>2.0</v>
      </c>
      <c r="H8566" s="24">
        <v>3.0</v>
      </c>
      <c r="I8566" s="24">
        <v>0.0</v>
      </c>
      <c r="J8566" s="24">
        <v>0.0</v>
      </c>
      <c r="K8566" s="23" t="s">
        <v>34</v>
      </c>
      <c r="L8566" s="25">
        <v>40005.48997685185</v>
      </c>
      <c r="M8566" s="28"/>
      <c r="N8566" s="28"/>
      <c r="O8566" s="22" t="str">
        <f>HYPERLINK("https://abs.twimg.com/sticky/default_profile_images/default_profile_normal.png","View")</f>
        <v>View</v>
      </c>
      <c r="P8566" s="27"/>
    </row>
    <row r="8567">
      <c r="A8567" s="14">
        <v>43031.827106481476</v>
      </c>
      <c r="B8567" s="20" t="str">
        <f>HYPERLINK("https://twitter.com/candy_sexy1","@candy_sexy1")</f>
        <v>@candy_sexy1</v>
      </c>
      <c r="C8567" s="21" t="s">
        <v>18879</v>
      </c>
      <c r="D8567" s="21" t="s">
        <v>18788</v>
      </c>
      <c r="E8567" s="22" t="str">
        <f>HYPERLINK("https://twitter.com/candy_sexy1/status/922656649936015361","922656649936015361")</f>
        <v>922656649936015361</v>
      </c>
      <c r="F8567" s="23" t="s">
        <v>33</v>
      </c>
      <c r="G8567" s="24">
        <v>367.0</v>
      </c>
      <c r="H8567" s="24">
        <v>724.0</v>
      </c>
      <c r="I8567" s="24">
        <v>28.0</v>
      </c>
      <c r="J8567" s="24">
        <v>0.0</v>
      </c>
      <c r="K8567" s="23" t="s">
        <v>34</v>
      </c>
      <c r="L8567" s="25">
        <v>41961.72221064815</v>
      </c>
      <c r="M8567" s="26" t="s">
        <v>18880</v>
      </c>
      <c r="N8567" s="26" t="s">
        <v>18881</v>
      </c>
      <c r="O8567" s="22" t="str">
        <f>HYPERLINK("https://pbs.twimg.com/profile_images/921735485319516160/VherD4oV_normal.jpg","View")</f>
        <v>View</v>
      </c>
      <c r="P8567" s="27"/>
    </row>
    <row r="8568">
      <c r="A8568" s="14">
        <v>43031.82745370371</v>
      </c>
      <c r="B8568" s="20" t="str">
        <f>HYPERLINK("https://twitter.com/pagareharish1","@pagareharish1")</f>
        <v>@pagareharish1</v>
      </c>
      <c r="C8568" s="21" t="s">
        <v>18882</v>
      </c>
      <c r="D8568" s="21" t="s">
        <v>42</v>
      </c>
      <c r="E8568" s="22" t="str">
        <f>HYPERLINK("https://twitter.com/pagareharish1/status/922656775480004608","922656775480004608")</f>
        <v>922656775480004608</v>
      </c>
      <c r="F8568" s="23" t="s">
        <v>39</v>
      </c>
      <c r="G8568" s="24">
        <v>1739.0</v>
      </c>
      <c r="H8568" s="24">
        <v>4955.0</v>
      </c>
      <c r="I8568" s="24">
        <v>8501.0</v>
      </c>
      <c r="J8568" s="24">
        <v>0.0</v>
      </c>
      <c r="K8568" s="23" t="s">
        <v>34</v>
      </c>
      <c r="L8568" s="25">
        <v>42328.36342592593</v>
      </c>
      <c r="M8568" s="26" t="s">
        <v>8401</v>
      </c>
      <c r="N8568" s="26" t="s">
        <v>18883</v>
      </c>
      <c r="O8568" s="22" t="str">
        <f>HYPERLINK("https://pbs.twimg.com/profile_images/919997275279151104/tKfP7HtQ_normal.jpg","View")</f>
        <v>View</v>
      </c>
      <c r="P8568" s="27"/>
    </row>
    <row r="8569">
      <c r="A8569" s="14">
        <v>43031.82782407408</v>
      </c>
      <c r="B8569" s="20" t="str">
        <f>HYPERLINK("https://twitter.com/raghump10","@raghump10")</f>
        <v>@raghump10</v>
      </c>
      <c r="C8569" s="21" t="s">
        <v>18884</v>
      </c>
      <c r="D8569" s="21" t="s">
        <v>163</v>
      </c>
      <c r="E8569" s="22" t="str">
        <f>HYPERLINK("https://twitter.com/raghump10/status/922656909945008130","922656909945008130")</f>
        <v>922656909945008130</v>
      </c>
      <c r="F8569" s="23" t="s">
        <v>33</v>
      </c>
      <c r="G8569" s="24">
        <v>261.0</v>
      </c>
      <c r="H8569" s="24">
        <v>182.0</v>
      </c>
      <c r="I8569" s="24">
        <v>1005.0</v>
      </c>
      <c r="J8569" s="24">
        <v>0.0</v>
      </c>
      <c r="K8569" s="23" t="s">
        <v>34</v>
      </c>
      <c r="L8569" s="25">
        <v>41445.02912037037</v>
      </c>
      <c r="M8569" s="26" t="s">
        <v>603</v>
      </c>
      <c r="N8569" s="26" t="s">
        <v>18885</v>
      </c>
      <c r="O8569" s="22" t="str">
        <f>HYPERLINK("https://pbs.twimg.com/profile_images/843460638563295236/-22pE7zW_normal.jpg","View")</f>
        <v>View</v>
      </c>
      <c r="P8569" s="27"/>
    </row>
    <row r="8570">
      <c r="A8570" s="14">
        <v>43031.82796296296</v>
      </c>
      <c r="B8570" s="20" t="str">
        <f>HYPERLINK("https://twitter.com/michoco31m","@michoco31m")</f>
        <v>@michoco31m</v>
      </c>
      <c r="C8570" s="21" t="s">
        <v>18886</v>
      </c>
      <c r="D8570" s="21" t="s">
        <v>42</v>
      </c>
      <c r="E8570" s="22" t="str">
        <f>HYPERLINK("https://twitter.com/michoco31m/status/922656963137114112","922656963137114112")</f>
        <v>922656963137114112</v>
      </c>
      <c r="F8570" s="23" t="s">
        <v>39</v>
      </c>
      <c r="G8570" s="24">
        <v>1871.0</v>
      </c>
      <c r="H8570" s="24">
        <v>1846.0</v>
      </c>
      <c r="I8570" s="24">
        <v>8501.0</v>
      </c>
      <c r="J8570" s="24">
        <v>0.0</v>
      </c>
      <c r="K8570" s="23" t="s">
        <v>34</v>
      </c>
      <c r="L8570" s="25">
        <v>41917.84778935185</v>
      </c>
      <c r="M8570" s="26" t="s">
        <v>4998</v>
      </c>
      <c r="N8570" s="26" t="s">
        <v>18887</v>
      </c>
      <c r="O8570" s="22" t="str">
        <f>HYPERLINK("https://pbs.twimg.com/profile_images/899915724172345344/HZAv2c53_normal.jpg","View")</f>
        <v>View</v>
      </c>
      <c r="P8570" s="27"/>
    </row>
    <row r="8571">
      <c r="A8571" s="14">
        <v>43031.828321759254</v>
      </c>
      <c r="B8571" s="20" t="str">
        <f>HYPERLINK("https://twitter.com/Loli_Chichona","@Loli_Chichona")</f>
        <v>@Loli_Chichona</v>
      </c>
      <c r="C8571" s="21" t="s">
        <v>18888</v>
      </c>
      <c r="D8571" s="21" t="s">
        <v>18660</v>
      </c>
      <c r="E8571" s="22" t="str">
        <f>HYPERLINK("https://twitter.com/Loli_Chichona/status/922657090358972416","922657090358972416")</f>
        <v>922657090358972416</v>
      </c>
      <c r="F8571" s="23" t="s">
        <v>33</v>
      </c>
      <c r="G8571" s="24">
        <v>396.0</v>
      </c>
      <c r="H8571" s="24">
        <v>357.0</v>
      </c>
      <c r="I8571" s="24">
        <v>17.0</v>
      </c>
      <c r="J8571" s="24">
        <v>0.0</v>
      </c>
      <c r="K8571" s="23" t="s">
        <v>34</v>
      </c>
      <c r="L8571" s="25">
        <v>42909.49743055555</v>
      </c>
      <c r="M8571" s="26" t="s">
        <v>18889</v>
      </c>
      <c r="N8571" s="26" t="s">
        <v>18890</v>
      </c>
      <c r="O8571" s="22" t="str">
        <f>HYPERLINK("https://pbs.twimg.com/profile_images/889734251922378753/kTguCHak_normal.jpg","View")</f>
        <v>View</v>
      </c>
      <c r="P8571" s="27"/>
    </row>
    <row r="8572">
      <c r="A8572" s="14">
        <v>43031.82851851852</v>
      </c>
      <c r="B8572" s="20" t="str">
        <f>HYPERLINK("https://twitter.com/vamicro","@vamicro")</f>
        <v>@vamicro</v>
      </c>
      <c r="C8572" s="21" t="s">
        <v>18891</v>
      </c>
      <c r="D8572" s="21" t="s">
        <v>18892</v>
      </c>
      <c r="E8572" s="22" t="str">
        <f>HYPERLINK("https://twitter.com/vamicro/status/922657164287553536","922657164287553536")</f>
        <v>922657164287553536</v>
      </c>
      <c r="F8572" s="23" t="s">
        <v>55</v>
      </c>
      <c r="G8572" s="24">
        <v>50.0</v>
      </c>
      <c r="H8572" s="24">
        <v>110.0</v>
      </c>
      <c r="I8572" s="24">
        <v>0.0</v>
      </c>
      <c r="J8572" s="24">
        <v>0.0</v>
      </c>
      <c r="K8572" s="23" t="s">
        <v>34</v>
      </c>
      <c r="L8572" s="25">
        <v>39989.99854166667</v>
      </c>
      <c r="M8572" s="28"/>
      <c r="N8572" s="26" t="s">
        <v>18893</v>
      </c>
      <c r="O8572" s="22" t="str">
        <f>HYPERLINK("https://pbs.twimg.com/profile_images/2492023616/bgewgeno3ny4hfk4hq2e_normal.jpeg","View")</f>
        <v>View</v>
      </c>
      <c r="P8572" s="27"/>
    </row>
    <row r="8573">
      <c r="A8573" s="14">
        <v>43031.82870370371</v>
      </c>
      <c r="B8573" s="20" t="str">
        <f>HYPERLINK("https://twitter.com/sanjaygupta0707","@sanjaygupta0707")</f>
        <v>@sanjaygupta0707</v>
      </c>
      <c r="C8573" s="21" t="s">
        <v>18894</v>
      </c>
      <c r="D8573" s="21" t="s">
        <v>42</v>
      </c>
      <c r="E8573" s="22" t="str">
        <f>HYPERLINK("https://twitter.com/sanjaygupta0707/status/922657228506591233","922657228506591233")</f>
        <v>922657228506591233</v>
      </c>
      <c r="F8573" s="23" t="s">
        <v>33</v>
      </c>
      <c r="G8573" s="24">
        <v>84.0</v>
      </c>
      <c r="H8573" s="24">
        <v>189.0</v>
      </c>
      <c r="I8573" s="24">
        <v>8501.0</v>
      </c>
      <c r="J8573" s="24">
        <v>0.0</v>
      </c>
      <c r="K8573" s="23" t="s">
        <v>34</v>
      </c>
      <c r="L8573" s="25">
        <v>40452.96288194445</v>
      </c>
      <c r="M8573" s="26" t="s">
        <v>18895</v>
      </c>
      <c r="N8573" s="26" t="s">
        <v>18896</v>
      </c>
      <c r="O8573" s="22" t="str">
        <f>HYPERLINK("https://pbs.twimg.com/profile_images/858167624676634627/dYO8lwO4_normal.jpg","View")</f>
        <v>View</v>
      </c>
      <c r="P8573" s="27"/>
    </row>
    <row r="8574">
      <c r="A8574" s="14">
        <v>43031.82902777778</v>
      </c>
      <c r="B8574" s="20" t="str">
        <f>HYPERLINK("https://twitter.com/arudoudebito","@arudoudebito")</f>
        <v>@arudoudebito</v>
      </c>
      <c r="C8574" s="21" t="s">
        <v>18897</v>
      </c>
      <c r="D8574" s="21" t="s">
        <v>18898</v>
      </c>
      <c r="E8574" s="22" t="str">
        <f>HYPERLINK("https://twitter.com/arudoudebito/status/922657347633340416","922657347633340416")</f>
        <v>922657347633340416</v>
      </c>
      <c r="F8574" s="23" t="s">
        <v>48</v>
      </c>
      <c r="G8574" s="24">
        <v>1682.0</v>
      </c>
      <c r="H8574" s="24">
        <v>153.0</v>
      </c>
      <c r="I8574" s="24">
        <v>0.0</v>
      </c>
      <c r="J8574" s="24">
        <v>0.0</v>
      </c>
      <c r="K8574" s="23" t="s">
        <v>34</v>
      </c>
      <c r="L8574" s="25">
        <v>39991.66887731481</v>
      </c>
      <c r="M8574" s="28"/>
      <c r="N8574" s="26" t="s">
        <v>18899</v>
      </c>
      <c r="O8574" s="22" t="str">
        <f>HYPERLINK("https://pbs.twimg.com/profile_images/655144986623610880/nfC3M5BX_normal.jpg","View")</f>
        <v>View</v>
      </c>
      <c r="P8574" s="27"/>
    </row>
    <row r="8575">
      <c r="A8575" s="14">
        <v>43031.829293981486</v>
      </c>
      <c r="B8575" s="20" t="str">
        <f>HYPERLINK("https://twitter.com/NicoledScott3","@NicoledScott3")</f>
        <v>@NicoledScott3</v>
      </c>
      <c r="C8575" s="21" t="s">
        <v>18900</v>
      </c>
      <c r="D8575" s="21" t="s">
        <v>16537</v>
      </c>
      <c r="E8575" s="22" t="str">
        <f>HYPERLINK("https://twitter.com/NicoledScott3/status/922657443305451521","922657443305451521")</f>
        <v>922657443305451521</v>
      </c>
      <c r="F8575" s="23" t="s">
        <v>230</v>
      </c>
      <c r="G8575" s="24">
        <v>10.0</v>
      </c>
      <c r="H8575" s="24">
        <v>131.0</v>
      </c>
      <c r="I8575" s="24">
        <v>242.0</v>
      </c>
      <c r="J8575" s="24">
        <v>0.0</v>
      </c>
      <c r="K8575" s="23" t="s">
        <v>34</v>
      </c>
      <c r="L8575" s="25">
        <v>42979.24083333333</v>
      </c>
      <c r="M8575" s="28"/>
      <c r="N8575" s="28"/>
      <c r="O8575" s="22" t="str">
        <f>HYPERLINK("https://pbs.twimg.com/profile_images/907073327931555840/KM-tx59K_normal.jpg","View")</f>
        <v>View</v>
      </c>
      <c r="P8575" s="27"/>
    </row>
    <row r="8576">
      <c r="A8576" s="14">
        <v>43031.829421296294</v>
      </c>
      <c r="B8576" s="20" t="str">
        <f>HYPERLINK("https://twitter.com/Gaurang_Panan","@Gaurang_Panan")</f>
        <v>@Gaurang_Panan</v>
      </c>
      <c r="C8576" s="21" t="s">
        <v>18901</v>
      </c>
      <c r="D8576" s="21" t="s">
        <v>42</v>
      </c>
      <c r="E8576" s="22" t="str">
        <f>HYPERLINK("https://twitter.com/Gaurang_Panan/status/922657490273230848","922657490273230848")</f>
        <v>922657490273230848</v>
      </c>
      <c r="F8576" s="23" t="s">
        <v>33</v>
      </c>
      <c r="G8576" s="24">
        <v>342.0</v>
      </c>
      <c r="H8576" s="24">
        <v>154.0</v>
      </c>
      <c r="I8576" s="24">
        <v>8501.0</v>
      </c>
      <c r="J8576" s="24">
        <v>0.0</v>
      </c>
      <c r="K8576" s="23" t="s">
        <v>34</v>
      </c>
      <c r="L8576" s="25">
        <v>40131.30033564815</v>
      </c>
      <c r="M8576" s="26" t="s">
        <v>18902</v>
      </c>
      <c r="N8576" s="26" t="s">
        <v>18903</v>
      </c>
      <c r="O8576" s="22" t="str">
        <f>HYPERLINK("https://pbs.twimg.com/profile_images/378800000316300981/92361b9c2874f89555f8f60b42f1fe99_normal.jpeg","View")</f>
        <v>View</v>
      </c>
      <c r="P8576" s="27"/>
    </row>
    <row r="8577">
      <c r="A8577" s="14">
        <v>43031.82947916667</v>
      </c>
      <c r="B8577" s="20" t="str">
        <f>HYPERLINK("https://twitter.com/THESHUBHAMV","@THESHUBHAMV")</f>
        <v>@THESHUBHAMV</v>
      </c>
      <c r="C8577" s="21" t="s">
        <v>18904</v>
      </c>
      <c r="D8577" s="21" t="s">
        <v>42</v>
      </c>
      <c r="E8577" s="22" t="str">
        <f>HYPERLINK("https://twitter.com/THESHUBHAMV/status/922657512091934720","922657512091934720")</f>
        <v>922657512091934720</v>
      </c>
      <c r="F8577" s="23" t="s">
        <v>33</v>
      </c>
      <c r="G8577" s="24">
        <v>880.0</v>
      </c>
      <c r="H8577" s="24">
        <v>1167.0</v>
      </c>
      <c r="I8577" s="24">
        <v>8501.0</v>
      </c>
      <c r="J8577" s="24">
        <v>0.0</v>
      </c>
      <c r="K8577" s="23" t="s">
        <v>34</v>
      </c>
      <c r="L8577" s="25">
        <v>40115.06199074074</v>
      </c>
      <c r="M8577" s="26" t="s">
        <v>18905</v>
      </c>
      <c r="N8577" s="26" t="s">
        <v>18906</v>
      </c>
      <c r="O8577" s="22" t="str">
        <f>HYPERLINK("https://pbs.twimg.com/profile_images/909390940296454144/jW0X-GMw_normal.jpg","View")</f>
        <v>View</v>
      </c>
      <c r="P8577" s="27"/>
    </row>
    <row r="8578">
      <c r="A8578" s="14">
        <v>43031.8296875</v>
      </c>
      <c r="B8578" s="20" t="str">
        <f>HYPERLINK("https://twitter.com/jornalistavitor","@jornalistavitor")</f>
        <v>@jornalistavitor</v>
      </c>
      <c r="C8578" s="21" t="s">
        <v>18907</v>
      </c>
      <c r="D8578" s="21" t="s">
        <v>18788</v>
      </c>
      <c r="E8578" s="22" t="str">
        <f>HYPERLINK("https://twitter.com/jornalistavitor/status/922657587954356224","922657587954356224")</f>
        <v>922657587954356224</v>
      </c>
      <c r="F8578" s="23" t="s">
        <v>55</v>
      </c>
      <c r="G8578" s="24">
        <v>35081.0</v>
      </c>
      <c r="H8578" s="24">
        <v>26503.0</v>
      </c>
      <c r="I8578" s="24">
        <v>28.0</v>
      </c>
      <c r="J8578" s="24">
        <v>0.0</v>
      </c>
      <c r="K8578" s="23" t="s">
        <v>34</v>
      </c>
      <c r="L8578" s="25">
        <v>40220.39572916667</v>
      </c>
      <c r="M8578" s="26" t="s">
        <v>1124</v>
      </c>
      <c r="N8578" s="26" t="s">
        <v>18908</v>
      </c>
      <c r="O8578" s="22" t="str">
        <f>HYPERLINK("https://pbs.twimg.com/profile_images/378800000463633572/8494361443a9361de1017d497c5ee1f2_normal.jpeg","View")</f>
        <v>View</v>
      </c>
      <c r="P8578" s="27"/>
    </row>
    <row r="8579">
      <c r="A8579" s="14">
        <v>43031.82971064815</v>
      </c>
      <c r="B8579" s="20" t="str">
        <f>HYPERLINK("https://twitter.com/arudoudebito","@arudoudebito")</f>
        <v>@arudoudebito</v>
      </c>
      <c r="C8579" s="21" t="s">
        <v>18897</v>
      </c>
      <c r="D8579" s="21" t="s">
        <v>18909</v>
      </c>
      <c r="E8579" s="22" t="str">
        <f>HYPERLINK("https://twitter.com/arudoudebito/status/922657594287710209","922657594287710209")</f>
        <v>922657594287710209</v>
      </c>
      <c r="F8579" s="23" t="s">
        <v>55</v>
      </c>
      <c r="G8579" s="24">
        <v>1682.0</v>
      </c>
      <c r="H8579" s="24">
        <v>153.0</v>
      </c>
      <c r="I8579" s="24">
        <v>0.0</v>
      </c>
      <c r="J8579" s="24">
        <v>1.0</v>
      </c>
      <c r="K8579" s="23" t="s">
        <v>34</v>
      </c>
      <c r="L8579" s="25">
        <v>39991.66887731481</v>
      </c>
      <c r="M8579" s="28"/>
      <c r="N8579" s="26" t="s">
        <v>18899</v>
      </c>
      <c r="O8579" s="22" t="str">
        <f>HYPERLINK("https://pbs.twimg.com/profile_images/655144986623610880/nfC3M5BX_normal.jpg","View")</f>
        <v>View</v>
      </c>
      <c r="P8579" s="27"/>
    </row>
    <row r="8580">
      <c r="A8580" s="14">
        <v>43031.82976851852</v>
      </c>
      <c r="B8580" s="20" t="str">
        <f>HYPERLINK("https://twitter.com/LindaLeeKing","@LindaLeeKing")</f>
        <v>@LindaLeeKing</v>
      </c>
      <c r="C8580" s="21" t="s">
        <v>18910</v>
      </c>
      <c r="D8580" s="21" t="s">
        <v>18788</v>
      </c>
      <c r="E8580" s="22" t="str">
        <f>HYPERLINK("https://twitter.com/LindaLeeKing/status/922657617305944064","922657617305944064")</f>
        <v>922657617305944064</v>
      </c>
      <c r="F8580" s="23" t="s">
        <v>55</v>
      </c>
      <c r="G8580" s="24">
        <v>35330.0</v>
      </c>
      <c r="H8580" s="24">
        <v>20945.0</v>
      </c>
      <c r="I8580" s="24">
        <v>28.0</v>
      </c>
      <c r="J8580" s="24">
        <v>0.0</v>
      </c>
      <c r="K8580" s="23" t="s">
        <v>34</v>
      </c>
      <c r="L8580" s="25">
        <v>40992.88259259259</v>
      </c>
      <c r="M8580" s="28"/>
      <c r="N8580" s="26" t="s">
        <v>18911</v>
      </c>
      <c r="O8580" s="22" t="str">
        <f>HYPERLINK("https://pbs.twimg.com/profile_images/892193703736918017/WlnPib2b_normal.jpg","View")</f>
        <v>View</v>
      </c>
      <c r="P8580" s="27"/>
    </row>
    <row r="8581">
      <c r="A8581" s="14">
        <v>43031.83</v>
      </c>
      <c r="B8581" s="20" t="str">
        <f>HYPERLINK("https://twitter.com/NAR","@NAR")</f>
        <v>@NAR</v>
      </c>
      <c r="C8581" s="21" t="s">
        <v>4255</v>
      </c>
      <c r="D8581" s="21" t="s">
        <v>18912</v>
      </c>
      <c r="E8581" s="22" t="str">
        <f>HYPERLINK("https://twitter.com/NAR/status/922657701695385600","922657701695385600")</f>
        <v>922657701695385600</v>
      </c>
      <c r="F8581" s="23" t="s">
        <v>55</v>
      </c>
      <c r="G8581" s="24">
        <v>56998.0</v>
      </c>
      <c r="H8581" s="24">
        <v>23.0</v>
      </c>
      <c r="I8581" s="24">
        <v>6.0</v>
      </c>
      <c r="J8581" s="24">
        <v>6.0</v>
      </c>
      <c r="K8581" s="23" t="s">
        <v>34</v>
      </c>
      <c r="L8581" s="25">
        <v>40890.88686342593</v>
      </c>
      <c r="M8581" s="26" t="s">
        <v>923</v>
      </c>
      <c r="N8581" s="26" t="s">
        <v>4258</v>
      </c>
      <c r="O8581" s="22" t="str">
        <f>HYPERLINK("https://pbs.twimg.com/profile_images/669688096879841280/kyJYc3j-_normal.png","View")</f>
        <v>View</v>
      </c>
      <c r="P8581" s="27"/>
    </row>
    <row r="8582">
      <c r="A8582" s="14">
        <v>43031.83027777778</v>
      </c>
      <c r="B8582" s="20" t="str">
        <f>HYPERLINK("https://twitter.com/PMueller2","@PMueller2")</f>
        <v>@PMueller2</v>
      </c>
      <c r="C8582" s="21" t="s">
        <v>18913</v>
      </c>
      <c r="D8582" s="21" t="s">
        <v>18788</v>
      </c>
      <c r="E8582" s="22" t="str">
        <f>HYPERLINK("https://twitter.com/PMueller2/status/922657800169447424","922657800169447424")</f>
        <v>922657800169447424</v>
      </c>
      <c r="F8582" s="23" t="s">
        <v>33</v>
      </c>
      <c r="G8582" s="24">
        <v>2161.0</v>
      </c>
      <c r="H8582" s="24">
        <v>2897.0</v>
      </c>
      <c r="I8582" s="24">
        <v>28.0</v>
      </c>
      <c r="J8582" s="24">
        <v>0.0</v>
      </c>
      <c r="K8582" s="23" t="s">
        <v>34</v>
      </c>
      <c r="L8582" s="25">
        <v>42775.44883101852</v>
      </c>
      <c r="M8582" s="26" t="s">
        <v>18914</v>
      </c>
      <c r="N8582" s="26" t="s">
        <v>18915</v>
      </c>
      <c r="O8582" s="22" t="str">
        <f>HYPERLINK("https://pbs.twimg.com/profile_images/919980288922607617/OFrJVH1I_normal.jpg","View")</f>
        <v>View</v>
      </c>
      <c r="P8582" s="27"/>
    </row>
    <row r="8583">
      <c r="A8583" s="14">
        <v>43031.83069444445</v>
      </c>
      <c r="B8583" s="20" t="str">
        <f>HYPERLINK("https://twitter.com/TTLeeBrown","@TTLeeBrown")</f>
        <v>@TTLeeBrown</v>
      </c>
      <c r="C8583" s="21" t="s">
        <v>18916</v>
      </c>
      <c r="D8583" s="21" t="s">
        <v>18917</v>
      </c>
      <c r="E8583" s="22" t="str">
        <f>HYPERLINK("https://twitter.com/TTLeeBrown/status/922657952657416192","922657952657416192")</f>
        <v>922657952657416192</v>
      </c>
      <c r="F8583" s="23" t="s">
        <v>55</v>
      </c>
      <c r="G8583" s="24">
        <v>484.0</v>
      </c>
      <c r="H8583" s="24">
        <v>552.0</v>
      </c>
      <c r="I8583" s="24">
        <v>6.0</v>
      </c>
      <c r="J8583" s="24">
        <v>0.0</v>
      </c>
      <c r="K8583" s="23" t="s">
        <v>34</v>
      </c>
      <c r="L8583" s="25">
        <v>42467.12923611111</v>
      </c>
      <c r="M8583" s="26" t="s">
        <v>8685</v>
      </c>
      <c r="N8583" s="26" t="s">
        <v>18918</v>
      </c>
      <c r="O8583" s="22" t="str">
        <f>HYPERLINK("https://pbs.twimg.com/profile_images/718044848373129216/GdPS6Mhl_normal.jpg","View")</f>
        <v>View</v>
      </c>
      <c r="P8583" s="27"/>
    </row>
    <row r="8584">
      <c r="A8584" s="14">
        <v>43031.830775462964</v>
      </c>
      <c r="B8584" s="20" t="str">
        <f>HYPERLINK("https://twitter.com/fuckabe_bot","@fuckabe_bot")</f>
        <v>@fuckabe_bot</v>
      </c>
      <c r="C8584" s="21" t="s">
        <v>5373</v>
      </c>
      <c r="D8584" s="21" t="s">
        <v>18873</v>
      </c>
      <c r="E8584" s="22" t="str">
        <f>HYPERLINK("https://twitter.com/fuckabe_bot/status/922657979547004928","922657979547004928")</f>
        <v>922657979547004928</v>
      </c>
      <c r="F8584" s="23" t="s">
        <v>33</v>
      </c>
      <c r="G8584" s="24">
        <v>42.0</v>
      </c>
      <c r="H8584" s="24">
        <v>102.0</v>
      </c>
      <c r="I8584" s="24">
        <v>3.0</v>
      </c>
      <c r="J8584" s="24">
        <v>0.0</v>
      </c>
      <c r="K8584" s="23" t="s">
        <v>34</v>
      </c>
      <c r="L8584" s="25">
        <v>42993.71171296296</v>
      </c>
      <c r="M8584" s="28"/>
      <c r="N8584" s="26" t="s">
        <v>5374</v>
      </c>
      <c r="O8584" s="22" t="str">
        <f>HYPERLINK("https://pbs.twimg.com/profile_images/908974832787767297/LVxVJrXG_normal.jpg","View")</f>
        <v>View</v>
      </c>
      <c r="P8584" s="27"/>
    </row>
    <row r="8585">
      <c r="A8585" s="14">
        <v>43031.83097222222</v>
      </c>
      <c r="B8585" s="20" t="str">
        <f>HYPERLINK("https://twitter.com/Rajeev4Bharat","@Rajeev4Bharat")</f>
        <v>@Rajeev4Bharat</v>
      </c>
      <c r="C8585" s="21" t="s">
        <v>18919</v>
      </c>
      <c r="D8585" s="21" t="s">
        <v>42</v>
      </c>
      <c r="E8585" s="22" t="str">
        <f>HYPERLINK("https://twitter.com/Rajeev4Bharat/status/922658052171497472","922658052171497472")</f>
        <v>922658052171497472</v>
      </c>
      <c r="F8585" s="23" t="s">
        <v>33</v>
      </c>
      <c r="G8585" s="24">
        <v>1365.0</v>
      </c>
      <c r="H8585" s="24">
        <v>811.0</v>
      </c>
      <c r="I8585" s="24">
        <v>8501.0</v>
      </c>
      <c r="J8585" s="24">
        <v>0.0</v>
      </c>
      <c r="K8585" s="23" t="s">
        <v>34</v>
      </c>
      <c r="L8585" s="25">
        <v>41573.12123842593</v>
      </c>
      <c r="M8585" s="26" t="s">
        <v>18920</v>
      </c>
      <c r="N8585" s="26" t="s">
        <v>18921</v>
      </c>
      <c r="O8585" s="22" t="str">
        <f>HYPERLINK("https://pbs.twimg.com/profile_images/892968699136679942/AghYlkrT_normal.jpg","View")</f>
        <v>View</v>
      </c>
      <c r="P8585" s="27"/>
    </row>
    <row r="8586">
      <c r="A8586" s="14">
        <v>43031.83138888889</v>
      </c>
      <c r="B8586" s="20" t="str">
        <f>HYPERLINK("https://twitter.com/Raccoon987","@Raccoon987")</f>
        <v>@Raccoon987</v>
      </c>
      <c r="C8586" s="21" t="s">
        <v>18922</v>
      </c>
      <c r="D8586" s="21" t="s">
        <v>18788</v>
      </c>
      <c r="E8586" s="22" t="str">
        <f>HYPERLINK("https://twitter.com/Raccoon987/status/922658204202369024","922658204202369024")</f>
        <v>922658204202369024</v>
      </c>
      <c r="F8586" s="23" t="s">
        <v>33</v>
      </c>
      <c r="G8586" s="24">
        <v>735.0</v>
      </c>
      <c r="H8586" s="24">
        <v>1065.0</v>
      </c>
      <c r="I8586" s="24">
        <v>28.0</v>
      </c>
      <c r="J8586" s="24">
        <v>0.0</v>
      </c>
      <c r="K8586" s="23" t="s">
        <v>34</v>
      </c>
      <c r="L8586" s="25">
        <v>41127.597037037034</v>
      </c>
      <c r="M8586" s="26" t="s">
        <v>18923</v>
      </c>
      <c r="N8586" s="26" t="s">
        <v>18924</v>
      </c>
      <c r="O8586" s="22" t="str">
        <f>HYPERLINK("https://pbs.twimg.com/profile_images/920622797797199872/KfOxawoF_normal.jpg","View")</f>
        <v>View</v>
      </c>
      <c r="P8586" s="27"/>
    </row>
    <row r="8587">
      <c r="A8587" s="14">
        <v>43031.831412037034</v>
      </c>
      <c r="B8587" s="20" t="str">
        <f>HYPERLINK("https://twitter.com/DogFarley32","@DogFarley32")</f>
        <v>@DogFarley32</v>
      </c>
      <c r="C8587" s="21" t="s">
        <v>7077</v>
      </c>
      <c r="D8587" s="21" t="s">
        <v>18788</v>
      </c>
      <c r="E8587" s="22" t="str">
        <f>HYPERLINK("https://twitter.com/DogFarley32/status/922658211898957824","922658211898957824")</f>
        <v>922658211898957824</v>
      </c>
      <c r="F8587" s="23" t="s">
        <v>33</v>
      </c>
      <c r="G8587" s="24">
        <v>298.0</v>
      </c>
      <c r="H8587" s="24">
        <v>1963.0</v>
      </c>
      <c r="I8587" s="24">
        <v>28.0</v>
      </c>
      <c r="J8587" s="24">
        <v>0.0</v>
      </c>
      <c r="K8587" s="23" t="s">
        <v>34</v>
      </c>
      <c r="L8587" s="25">
        <v>41733.41511574074</v>
      </c>
      <c r="M8587" s="26" t="s">
        <v>68</v>
      </c>
      <c r="N8587" s="26" t="s">
        <v>7078</v>
      </c>
      <c r="O8587" s="22" t="str">
        <f>HYPERLINK("https://pbs.twimg.com/profile_images/759020646852546561/xrDOZASQ_normal.jpg","View")</f>
        <v>View</v>
      </c>
      <c r="P8587" s="27"/>
    </row>
    <row r="8588">
      <c r="A8588" s="14">
        <v>43031.83155092593</v>
      </c>
      <c r="B8588" s="20" t="str">
        <f>HYPERLINK("https://twitter.com/sigeorge15","@sigeorge15")</f>
        <v>@sigeorge15</v>
      </c>
      <c r="C8588" s="21" t="s">
        <v>18925</v>
      </c>
      <c r="D8588" s="21" t="s">
        <v>42</v>
      </c>
      <c r="E8588" s="22" t="str">
        <f>HYPERLINK("https://twitter.com/sigeorge15/status/922658262776008705","922658262776008705")</f>
        <v>922658262776008705</v>
      </c>
      <c r="F8588" s="23" t="s">
        <v>39</v>
      </c>
      <c r="G8588" s="24">
        <v>29.0</v>
      </c>
      <c r="H8588" s="24">
        <v>69.0</v>
      </c>
      <c r="I8588" s="24">
        <v>8501.0</v>
      </c>
      <c r="J8588" s="24">
        <v>0.0</v>
      </c>
      <c r="K8588" s="23" t="s">
        <v>34</v>
      </c>
      <c r="L8588" s="25">
        <v>40332.83646990741</v>
      </c>
      <c r="M8588" s="28"/>
      <c r="N8588" s="28"/>
      <c r="O8588" s="22" t="str">
        <f>HYPERLINK("https://pbs.twimg.com/profile_images/729058002330898432/tK0w-Vsi_normal.jpg","View")</f>
        <v>View</v>
      </c>
      <c r="P8588" s="27"/>
    </row>
    <row r="8589">
      <c r="A8589" s="14">
        <v>43031.83164351852</v>
      </c>
      <c r="B8589" s="20" t="str">
        <f>HYPERLINK("https://twitter.com/IAFPUNIT","@IAFPUNIT")</f>
        <v>@IAFPUNIT</v>
      </c>
      <c r="C8589" s="21" t="s">
        <v>18926</v>
      </c>
      <c r="D8589" s="21" t="s">
        <v>42</v>
      </c>
      <c r="E8589" s="22" t="str">
        <f>HYPERLINK("https://twitter.com/IAFPUNIT/status/922658293943648256","922658293943648256")</f>
        <v>922658293943648256</v>
      </c>
      <c r="F8589" s="23" t="s">
        <v>33</v>
      </c>
      <c r="G8589" s="24">
        <v>2.0</v>
      </c>
      <c r="H8589" s="24">
        <v>76.0</v>
      </c>
      <c r="I8589" s="24">
        <v>8501.0</v>
      </c>
      <c r="J8589" s="24">
        <v>0.0</v>
      </c>
      <c r="K8589" s="23" t="s">
        <v>34</v>
      </c>
      <c r="L8589" s="25">
        <v>42984.30863425926</v>
      </c>
      <c r="M8589" s="28"/>
      <c r="N8589" s="28"/>
      <c r="O8589" s="22" t="str">
        <f>HYPERLINK("https://abs.twimg.com/sticky/default_profile_images/default_profile_normal.png","View")</f>
        <v>View</v>
      </c>
      <c r="P8589" s="27"/>
    </row>
    <row r="8590">
      <c r="A8590" s="14">
        <v>43031.83181712963</v>
      </c>
      <c r="B8590" s="20" t="str">
        <f>HYPERLINK("https://twitter.com/StanfordSAPARC","@StanfordSAPARC")</f>
        <v>@StanfordSAPARC</v>
      </c>
      <c r="C8590" s="21" t="s">
        <v>18927</v>
      </c>
      <c r="D8590" s="21" t="s">
        <v>18928</v>
      </c>
      <c r="E8590" s="22" t="str">
        <f>HYPERLINK("https://twitter.com/StanfordSAPARC/status/922658357680279552","922658357680279552")</f>
        <v>922658357680279552</v>
      </c>
      <c r="F8590" s="23" t="s">
        <v>55</v>
      </c>
      <c r="G8590" s="24">
        <v>1669.0</v>
      </c>
      <c r="H8590" s="24">
        <v>472.0</v>
      </c>
      <c r="I8590" s="24">
        <v>9.0</v>
      </c>
      <c r="J8590" s="24">
        <v>6.0</v>
      </c>
      <c r="K8590" s="23" t="s">
        <v>34</v>
      </c>
      <c r="L8590" s="25">
        <v>40646.71059027778</v>
      </c>
      <c r="M8590" s="26" t="s">
        <v>18929</v>
      </c>
      <c r="N8590" s="26" t="s">
        <v>18930</v>
      </c>
      <c r="O8590" s="22" t="str">
        <f>HYPERLINK("https://pbs.twimg.com/profile_images/876832615138852864/vQOiTjC7_normal.jpg","View")</f>
        <v>View</v>
      </c>
      <c r="P8590" s="27"/>
    </row>
    <row r="8591">
      <c r="A8591" s="14">
        <v>43031.83186342593</v>
      </c>
      <c r="B8591" s="20" t="str">
        <f>HYPERLINK("https://twitter.com/vanalich","@vanalich")</f>
        <v>@vanalich</v>
      </c>
      <c r="C8591" s="21" t="s">
        <v>18931</v>
      </c>
      <c r="D8591" s="21" t="s">
        <v>18917</v>
      </c>
      <c r="E8591" s="22" t="str">
        <f>HYPERLINK("https://twitter.com/vanalich/status/922658376085004288","922658376085004288")</f>
        <v>922658376085004288</v>
      </c>
      <c r="F8591" s="23" t="s">
        <v>39</v>
      </c>
      <c r="G8591" s="24">
        <v>1388.0</v>
      </c>
      <c r="H8591" s="24">
        <v>4944.0</v>
      </c>
      <c r="I8591" s="24">
        <v>6.0</v>
      </c>
      <c r="J8591" s="24">
        <v>0.0</v>
      </c>
      <c r="K8591" s="23" t="s">
        <v>34</v>
      </c>
      <c r="L8591" s="25">
        <v>40229.15311342593</v>
      </c>
      <c r="M8591" s="26" t="s">
        <v>2185</v>
      </c>
      <c r="N8591" s="26" t="s">
        <v>18932</v>
      </c>
      <c r="O8591" s="22" t="str">
        <f>HYPERLINK("https://pbs.twimg.com/profile_images/824948850829955073/PB6hnYnz_normal.jpg","View")</f>
        <v>View</v>
      </c>
      <c r="P8591" s="27"/>
    </row>
    <row r="8592">
      <c r="A8592" s="14">
        <v>43031.831932870366</v>
      </c>
      <c r="B8592" s="20" t="str">
        <f>HYPERLINK("https://twitter.com/R3publicans","@R3publicans")</f>
        <v>@R3publicans</v>
      </c>
      <c r="C8592" s="21" t="s">
        <v>18933</v>
      </c>
      <c r="D8592" s="21" t="s">
        <v>18934</v>
      </c>
      <c r="E8592" s="22" t="str">
        <f>HYPERLINK("https://twitter.com/R3publicans/status/922658399229300736","922658399229300736")</f>
        <v>922658399229300736</v>
      </c>
      <c r="F8592" s="23" t="s">
        <v>48</v>
      </c>
      <c r="G8592" s="24">
        <v>334.0</v>
      </c>
      <c r="H8592" s="24">
        <v>221.0</v>
      </c>
      <c r="I8592" s="24">
        <v>0.0</v>
      </c>
      <c r="J8592" s="24">
        <v>0.0</v>
      </c>
      <c r="K8592" s="23" t="s">
        <v>34</v>
      </c>
      <c r="L8592" s="25">
        <v>40111.05739583333</v>
      </c>
      <c r="M8592" s="26" t="s">
        <v>905</v>
      </c>
      <c r="N8592" s="26" t="s">
        <v>18935</v>
      </c>
      <c r="O8592" s="22" t="str">
        <f>HYPERLINK("https://pbs.twimg.com/profile_images/489086620/R3newa_normal.jpg","View")</f>
        <v>View</v>
      </c>
      <c r="P8592" s="27"/>
    </row>
    <row r="8593">
      <c r="A8593" s="14">
        <v>43031.83194444445</v>
      </c>
      <c r="B8593" s="20" t="str">
        <f>HYPERLINK("https://twitter.com/scrosnoe","@scrosnoe")</f>
        <v>@scrosnoe</v>
      </c>
      <c r="C8593" s="21" t="s">
        <v>18936</v>
      </c>
      <c r="D8593" s="21" t="s">
        <v>18937</v>
      </c>
      <c r="E8593" s="22" t="str">
        <f>HYPERLINK("https://twitter.com/scrosnoe/status/922658404233039872","922658404233039872")</f>
        <v>922658404233039872</v>
      </c>
      <c r="F8593" s="23" t="s">
        <v>48</v>
      </c>
      <c r="G8593" s="24">
        <v>3720.0</v>
      </c>
      <c r="H8593" s="24">
        <v>3475.0</v>
      </c>
      <c r="I8593" s="24">
        <v>0.0</v>
      </c>
      <c r="J8593" s="24">
        <v>0.0</v>
      </c>
      <c r="K8593" s="23" t="s">
        <v>34</v>
      </c>
      <c r="L8593" s="25">
        <v>39665.58387731481</v>
      </c>
      <c r="M8593" s="26" t="s">
        <v>18938</v>
      </c>
      <c r="N8593" s="26" t="s">
        <v>18939</v>
      </c>
      <c r="O8593" s="22" t="str">
        <f>HYPERLINK("https://pbs.twimg.com/profile_images/694944194314407936/Sg0w2-E6_normal.jpg","View")</f>
        <v>View</v>
      </c>
      <c r="P8593" s="27"/>
    </row>
    <row r="8594">
      <c r="A8594" s="14">
        <v>43031.832025462965</v>
      </c>
      <c r="B8594" s="20" t="str">
        <f>HYPERLINK("https://twitter.com/TopFiveTraders","@TopFiveTraders")</f>
        <v>@TopFiveTraders</v>
      </c>
      <c r="C8594" s="21" t="s">
        <v>1984</v>
      </c>
      <c r="D8594" s="21" t="s">
        <v>4437</v>
      </c>
      <c r="E8594" s="22" t="str">
        <f>HYPERLINK("https://twitter.com/TopFiveTraders/status/922658433215680513","922658433215680513")</f>
        <v>922658433215680513</v>
      </c>
      <c r="F8594" s="23" t="s">
        <v>187</v>
      </c>
      <c r="G8594" s="24">
        <v>8168.0</v>
      </c>
      <c r="H8594" s="24">
        <v>6711.0</v>
      </c>
      <c r="I8594" s="24">
        <v>0.0</v>
      </c>
      <c r="J8594" s="24">
        <v>0.0</v>
      </c>
      <c r="K8594" s="23" t="s">
        <v>34</v>
      </c>
      <c r="L8594" s="25">
        <v>41573.484201388885</v>
      </c>
      <c r="M8594" s="26" t="s">
        <v>1986</v>
      </c>
      <c r="N8594" s="26" t="s">
        <v>1987</v>
      </c>
      <c r="O8594" s="22" t="str">
        <f>HYPERLINK("https://pbs.twimg.com/profile_images/729113141444026370/hi202Ffp_normal.jpg","View")</f>
        <v>View</v>
      </c>
      <c r="P8594" s="27"/>
    </row>
    <row r="8595">
      <c r="A8595" s="14">
        <v>43031.832280092596</v>
      </c>
      <c r="B8595" s="20" t="str">
        <f>HYPERLINK("https://twitter.com/DCSneider","@DCSneider")</f>
        <v>@DCSneider</v>
      </c>
      <c r="C8595" s="21" t="s">
        <v>18940</v>
      </c>
      <c r="D8595" s="21" t="s">
        <v>18941</v>
      </c>
      <c r="E8595" s="22" t="str">
        <f>HYPERLINK("https://twitter.com/DCSneider/status/922658524349341696","922658524349341696")</f>
        <v>922658524349341696</v>
      </c>
      <c r="F8595" s="23" t="s">
        <v>769</v>
      </c>
      <c r="G8595" s="24">
        <v>55.0</v>
      </c>
      <c r="H8595" s="24">
        <v>75.0</v>
      </c>
      <c r="I8595" s="24">
        <v>9.0</v>
      </c>
      <c r="J8595" s="24">
        <v>0.0</v>
      </c>
      <c r="K8595" s="23" t="s">
        <v>34</v>
      </c>
      <c r="L8595" s="25">
        <v>41699.60796296296</v>
      </c>
      <c r="M8595" s="28"/>
      <c r="N8595" s="28"/>
      <c r="O8595" s="22" t="str">
        <f>HYPERLINK("https://abs.twimg.com/sticky/default_profile_images/default_profile_normal.png","View")</f>
        <v>View</v>
      </c>
      <c r="P8595" s="27"/>
    </row>
    <row r="8596">
      <c r="A8596" s="14">
        <v>43031.83241898148</v>
      </c>
      <c r="B8596" s="20" t="str">
        <f>HYPERLINK("https://twitter.com/Dev_rajBJP","@Dev_rajBJP")</f>
        <v>@Dev_rajBJP</v>
      </c>
      <c r="C8596" s="21" t="s">
        <v>18942</v>
      </c>
      <c r="D8596" s="21" t="s">
        <v>42</v>
      </c>
      <c r="E8596" s="22" t="str">
        <f>HYPERLINK("https://twitter.com/Dev_rajBJP/status/922658578371977216","922658578371977216")</f>
        <v>922658578371977216</v>
      </c>
      <c r="F8596" s="23" t="s">
        <v>33</v>
      </c>
      <c r="G8596" s="24">
        <v>4221.0</v>
      </c>
      <c r="H8596" s="24">
        <v>764.0</v>
      </c>
      <c r="I8596" s="24">
        <v>8501.0</v>
      </c>
      <c r="J8596" s="24">
        <v>0.0</v>
      </c>
      <c r="K8596" s="23" t="s">
        <v>34</v>
      </c>
      <c r="L8596" s="25">
        <v>40482.89210648148</v>
      </c>
      <c r="M8596" s="26" t="s">
        <v>18943</v>
      </c>
      <c r="N8596" s="26" t="s">
        <v>18944</v>
      </c>
      <c r="O8596" s="22" t="str">
        <f>HYPERLINK("https://pbs.twimg.com/profile_images/917316587186561025/5lY3wqyq_normal.jpg","View")</f>
        <v>View</v>
      </c>
      <c r="P8596" s="27"/>
    </row>
    <row r="8597">
      <c r="A8597" s="14">
        <v>43031.832557870366</v>
      </c>
      <c r="B8597" s="20" t="str">
        <f>HYPERLINK("https://twitter.com/GregAtkinson_jp","@GregAtkinson_jp")</f>
        <v>@GregAtkinson_jp</v>
      </c>
      <c r="C8597" s="21" t="s">
        <v>18945</v>
      </c>
      <c r="D8597" s="21" t="s">
        <v>18946</v>
      </c>
      <c r="E8597" s="22" t="str">
        <f>HYPERLINK("https://twitter.com/GregAtkinson_jp/status/922658626191294464","922658626191294464")</f>
        <v>922658626191294464</v>
      </c>
      <c r="F8597" s="23" t="s">
        <v>55</v>
      </c>
      <c r="G8597" s="24">
        <v>1589.0</v>
      </c>
      <c r="H8597" s="24">
        <v>400.0</v>
      </c>
      <c r="I8597" s="24">
        <v>0.0</v>
      </c>
      <c r="J8597" s="24">
        <v>0.0</v>
      </c>
      <c r="K8597" s="23" t="s">
        <v>34</v>
      </c>
      <c r="L8597" s="25">
        <v>40014.92671296296</v>
      </c>
      <c r="M8597" s="26" t="s">
        <v>18947</v>
      </c>
      <c r="N8597" s="26" t="s">
        <v>18948</v>
      </c>
      <c r="O8597" s="22" t="str">
        <f>HYPERLINK("https://pbs.twimg.com/profile_images/472547164137086976/2106MDlU_normal.jpeg","View")</f>
        <v>View</v>
      </c>
      <c r="P8597" s="27"/>
    </row>
    <row r="8598">
      <c r="A8598" s="14">
        <v>43031.83280092593</v>
      </c>
      <c r="B8598" s="20" t="str">
        <f>HYPERLINK("https://twitter.com/market4justice","@market4justice")</f>
        <v>@market4justice</v>
      </c>
      <c r="C8598" s="21" t="s">
        <v>15630</v>
      </c>
      <c r="D8598" s="21" t="s">
        <v>18949</v>
      </c>
      <c r="E8598" s="22" t="str">
        <f>HYPERLINK("https://twitter.com/market4justice/status/922658714888359936","922658714888359936")</f>
        <v>922658714888359936</v>
      </c>
      <c r="F8598" s="23" t="s">
        <v>187</v>
      </c>
      <c r="G8598" s="24">
        <v>436.0</v>
      </c>
      <c r="H8598" s="24">
        <v>137.0</v>
      </c>
      <c r="I8598" s="24">
        <v>0.0</v>
      </c>
      <c r="J8598" s="24">
        <v>0.0</v>
      </c>
      <c r="K8598" s="23" t="s">
        <v>34</v>
      </c>
      <c r="L8598" s="25">
        <v>42184.44244212963</v>
      </c>
      <c r="M8598" s="26" t="s">
        <v>1961</v>
      </c>
      <c r="N8598" s="26" t="s">
        <v>15632</v>
      </c>
      <c r="O8598" s="22" t="str">
        <f>HYPERLINK("https://pbs.twimg.com/profile_images/615577051399983104/1B-CM5fS_normal.jpg","View")</f>
        <v>View</v>
      </c>
      <c r="P8598" s="27"/>
    </row>
    <row r="8599">
      <c r="A8599" s="14">
        <v>43031.832916666666</v>
      </c>
      <c r="B8599" s="20" t="str">
        <f>HYPERLINK("https://twitter.com/jessecmccormick","@jessecmccormick")</f>
        <v>@jessecmccormick</v>
      </c>
      <c r="C8599" s="21" t="s">
        <v>18950</v>
      </c>
      <c r="D8599" s="21" t="s">
        <v>11750</v>
      </c>
      <c r="E8599" s="22" t="str">
        <f>HYPERLINK("https://twitter.com/jessecmccormick/status/922658757431066624","922658757431066624")</f>
        <v>922658757431066624</v>
      </c>
      <c r="F8599" s="23" t="s">
        <v>39</v>
      </c>
      <c r="G8599" s="24">
        <v>643.0</v>
      </c>
      <c r="H8599" s="24">
        <v>1212.0</v>
      </c>
      <c r="I8599" s="24">
        <v>35.0</v>
      </c>
      <c r="J8599" s="24">
        <v>0.0</v>
      </c>
      <c r="K8599" s="23" t="s">
        <v>34</v>
      </c>
      <c r="L8599" s="25">
        <v>42372.21480324074</v>
      </c>
      <c r="M8599" s="26" t="s">
        <v>11738</v>
      </c>
      <c r="N8599" s="26" t="s">
        <v>18951</v>
      </c>
      <c r="O8599" s="22" t="str">
        <f>HYPERLINK("https://pbs.twimg.com/profile_images/683689396575539200/fglNfvCc_normal.jpg","View")</f>
        <v>View</v>
      </c>
      <c r="P8599" s="27"/>
    </row>
    <row r="8600">
      <c r="A8600" s="14">
        <v>43031.832928240736</v>
      </c>
      <c r="B8600" s="20" t="str">
        <f>HYPERLINK("https://twitter.com/LTelushkina7","@LTelushkina7")</f>
        <v>@LTelushkina7</v>
      </c>
      <c r="C8600" s="21" t="s">
        <v>18952</v>
      </c>
      <c r="D8600" s="21" t="s">
        <v>18162</v>
      </c>
      <c r="E8600" s="22" t="str">
        <f>HYPERLINK("https://twitter.com/LTelushkina7/status/922658763084939264","922658763084939264")</f>
        <v>922658763084939264</v>
      </c>
      <c r="F8600" s="23" t="s">
        <v>55</v>
      </c>
      <c r="G8600" s="24">
        <v>3.0</v>
      </c>
      <c r="H8600" s="24">
        <v>7.0</v>
      </c>
      <c r="I8600" s="24">
        <v>59.0</v>
      </c>
      <c r="J8600" s="24">
        <v>0.0</v>
      </c>
      <c r="K8600" s="23" t="s">
        <v>34</v>
      </c>
      <c r="L8600" s="25">
        <v>42954.03903935185</v>
      </c>
      <c r="M8600" s="28"/>
      <c r="N8600" s="28"/>
      <c r="O8600" s="22" t="str">
        <f>HYPERLINK("https://abs.twimg.com/sticky/default_profile_images/default_profile_normal.png","View")</f>
        <v>View</v>
      </c>
      <c r="P8600" s="27"/>
    </row>
    <row r="8601">
      <c r="A8601" s="14">
        <v>43031.833136574074</v>
      </c>
      <c r="B8601" s="20" t="str">
        <f>HYPERLINK("https://twitter.com/FinancialTimes","@FinancialTimes")</f>
        <v>@FinancialTimes</v>
      </c>
      <c r="C8601" s="21" t="s">
        <v>18953</v>
      </c>
      <c r="D8601" s="21" t="s">
        <v>18954</v>
      </c>
      <c r="E8601" s="22" t="str">
        <f>HYPERLINK("https://twitter.com/FinancialTimes/status/922658835881480192","922658835881480192")</f>
        <v>922658835881480192</v>
      </c>
      <c r="F8601" s="23" t="s">
        <v>1103</v>
      </c>
      <c r="G8601" s="24">
        <v>5892800.0</v>
      </c>
      <c r="H8601" s="24">
        <v>818.0</v>
      </c>
      <c r="I8601" s="24">
        <v>7.0</v>
      </c>
      <c r="J8601" s="24">
        <v>5.0</v>
      </c>
      <c r="K8601" s="23" t="s">
        <v>34</v>
      </c>
      <c r="L8601" s="25">
        <v>39188.41271990741</v>
      </c>
      <c r="M8601" s="26" t="s">
        <v>590</v>
      </c>
      <c r="N8601" s="26" t="s">
        <v>18955</v>
      </c>
      <c r="O8601" s="22" t="str">
        <f>HYPERLINK("https://pbs.twimg.com/profile_images/876795730719105024/ecP3immv_normal.jpg","View")</f>
        <v>View</v>
      </c>
      <c r="P8601" s="27"/>
    </row>
    <row r="8602">
      <c r="A8602" s="14">
        <v>43031.83315972222</v>
      </c>
      <c r="B8602" s="20" t="str">
        <f>HYPERLINK("https://twitter.com/fastFT","@fastFT")</f>
        <v>@fastFT</v>
      </c>
      <c r="C8602" s="21" t="s">
        <v>18956</v>
      </c>
      <c r="D8602" s="21" t="s">
        <v>18957</v>
      </c>
      <c r="E8602" s="22" t="str">
        <f>HYPERLINK("https://twitter.com/fastFT/status/922658844811104257","922658844811104257")</f>
        <v>922658844811104257</v>
      </c>
      <c r="F8602" s="23" t="s">
        <v>1103</v>
      </c>
      <c r="G8602" s="24">
        <v>45797.0</v>
      </c>
      <c r="H8602" s="24">
        <v>92.0</v>
      </c>
      <c r="I8602" s="24">
        <v>1.0</v>
      </c>
      <c r="J8602" s="24">
        <v>1.0</v>
      </c>
      <c r="K8602" s="23" t="s">
        <v>34</v>
      </c>
      <c r="L8602" s="25">
        <v>41216.28391203703</v>
      </c>
      <c r="M8602" s="26" t="s">
        <v>18958</v>
      </c>
      <c r="N8602" s="26" t="s">
        <v>18959</v>
      </c>
      <c r="O8602" s="22" t="str">
        <f>HYPERLINK("https://pbs.twimg.com/profile_images/469071106649776128/kSsaAlzF_normal.png","View")</f>
        <v>View</v>
      </c>
      <c r="P8602" s="27"/>
    </row>
    <row r="8603">
      <c r="A8603" s="14">
        <v>43031.83315972222</v>
      </c>
      <c r="B8603" s="20" t="str">
        <f>HYPERLINK("https://twitter.com/DiscoverFT","@DiscoverFT")</f>
        <v>@DiscoverFT</v>
      </c>
      <c r="C8603" s="21" t="s">
        <v>18960</v>
      </c>
      <c r="D8603" s="21" t="s">
        <v>18961</v>
      </c>
      <c r="E8603" s="22" t="str">
        <f>HYPERLINK("https://twitter.com/DiscoverFT/status/922658845582856192","922658845582856192")</f>
        <v>922658845582856192</v>
      </c>
      <c r="F8603" s="23" t="s">
        <v>1103</v>
      </c>
      <c r="G8603" s="24">
        <v>2172.0</v>
      </c>
      <c r="H8603" s="24">
        <v>0.0</v>
      </c>
      <c r="I8603" s="24">
        <v>0.0</v>
      </c>
      <c r="J8603" s="24">
        <v>0.0</v>
      </c>
      <c r="K8603" s="23" t="s">
        <v>34</v>
      </c>
      <c r="L8603" s="25">
        <v>41507.388553240744</v>
      </c>
      <c r="M8603" s="28"/>
      <c r="N8603" s="26" t="s">
        <v>18962</v>
      </c>
      <c r="O8603" s="22" t="str">
        <f>HYPERLINK("https://pbs.twimg.com/profile_images/876805561983041537/E16w25N8_normal.jpg","View")</f>
        <v>View</v>
      </c>
      <c r="P8603" s="27"/>
    </row>
    <row r="8604">
      <c r="A8604" s="14">
        <v>43031.83322916667</v>
      </c>
      <c r="B8604" s="20" t="str">
        <f>HYPERLINK("https://twitter.com/calistada","@calistada")</f>
        <v>@calistada</v>
      </c>
      <c r="C8604" s="21" t="s">
        <v>18963</v>
      </c>
      <c r="D8604" s="21" t="s">
        <v>11004</v>
      </c>
      <c r="E8604" s="22" t="str">
        <f>HYPERLINK("https://twitter.com/calistada/status/922658869905539072","922658869905539072")</f>
        <v>922658869905539072</v>
      </c>
      <c r="F8604" s="23" t="s">
        <v>55</v>
      </c>
      <c r="G8604" s="24">
        <v>901.0</v>
      </c>
      <c r="H8604" s="24">
        <v>549.0</v>
      </c>
      <c r="I8604" s="24">
        <v>19.0</v>
      </c>
      <c r="J8604" s="24">
        <v>0.0</v>
      </c>
      <c r="K8604" s="23" t="s">
        <v>34</v>
      </c>
      <c r="L8604" s="25">
        <v>40035.242685185185</v>
      </c>
      <c r="M8604" s="26" t="s">
        <v>305</v>
      </c>
      <c r="N8604" s="26" t="s">
        <v>18964</v>
      </c>
      <c r="O8604" s="22" t="str">
        <f>HYPERLINK("https://pbs.twimg.com/profile_images/811213860724031488/zvGwPtBJ_normal.jpg","View")</f>
        <v>View</v>
      </c>
      <c r="P8604" s="27"/>
    </row>
    <row r="8605">
      <c r="A8605" s="14">
        <v>43031.83324074074</v>
      </c>
      <c r="B8605" s="20" t="str">
        <f>HYPERLINK("https://twitter.com/ravikonasuregma","@ravikonasuregma")</f>
        <v>@ravikonasuregma</v>
      </c>
      <c r="C8605" s="21" t="s">
        <v>10003</v>
      </c>
      <c r="D8605" s="21" t="s">
        <v>42</v>
      </c>
      <c r="E8605" s="22" t="str">
        <f>HYPERLINK("https://twitter.com/ravikonasuregma/status/922658875706294272","922658875706294272")</f>
        <v>922658875706294272</v>
      </c>
      <c r="F8605" s="23" t="s">
        <v>33</v>
      </c>
      <c r="G8605" s="24">
        <v>43.0</v>
      </c>
      <c r="H8605" s="24">
        <v>212.0</v>
      </c>
      <c r="I8605" s="24">
        <v>8501.0</v>
      </c>
      <c r="J8605" s="24">
        <v>0.0</v>
      </c>
      <c r="K8605" s="23" t="s">
        <v>34</v>
      </c>
      <c r="L8605" s="25">
        <v>40520.003437499996</v>
      </c>
      <c r="M8605" s="26" t="s">
        <v>127</v>
      </c>
      <c r="N8605" s="28"/>
      <c r="O8605" s="22" t="str">
        <f>HYPERLINK("https://pbs.twimg.com/profile_images/884354783691264000/vu86e1tz_normal.jpg","View")</f>
        <v>View</v>
      </c>
      <c r="P8605" s="27"/>
    </row>
    <row r="8606">
      <c r="A8606" s="14">
        <v>43031.83356481481</v>
      </c>
      <c r="B8606" s="20" t="str">
        <f>HYPERLINK("https://twitter.com/NAR","@NAR")</f>
        <v>@NAR</v>
      </c>
      <c r="C8606" s="21" t="s">
        <v>4255</v>
      </c>
      <c r="D8606" s="21" t="s">
        <v>18965</v>
      </c>
      <c r="E8606" s="22" t="str">
        <f>HYPERLINK("https://twitter.com/NAR/status/922658991557156864","922658991557156864")</f>
        <v>922658991557156864</v>
      </c>
      <c r="F8606" s="23" t="s">
        <v>55</v>
      </c>
      <c r="G8606" s="24">
        <v>56998.0</v>
      </c>
      <c r="H8606" s="24">
        <v>23.0</v>
      </c>
      <c r="I8606" s="24">
        <v>7.0</v>
      </c>
      <c r="J8606" s="24">
        <v>3.0</v>
      </c>
      <c r="K8606" s="23" t="s">
        <v>34</v>
      </c>
      <c r="L8606" s="25">
        <v>40890.88686342593</v>
      </c>
      <c r="M8606" s="26" t="s">
        <v>923</v>
      </c>
      <c r="N8606" s="26" t="s">
        <v>4258</v>
      </c>
      <c r="O8606" s="22" t="str">
        <f>HYPERLINK("https://pbs.twimg.com/profile_images/669688096879841280/kyJYc3j-_normal.png","View")</f>
        <v>View</v>
      </c>
      <c r="P8606" s="27"/>
    </row>
    <row r="8607">
      <c r="A8607" s="14">
        <v>43031.83372685185</v>
      </c>
      <c r="B8607" s="20" t="str">
        <f>HYPERLINK("https://twitter.com/xyn9","@xyn9")</f>
        <v>@xyn9</v>
      </c>
      <c r="C8607" s="21" t="s">
        <v>18966</v>
      </c>
      <c r="D8607" s="21" t="s">
        <v>18967</v>
      </c>
      <c r="E8607" s="22" t="str">
        <f>HYPERLINK("https://twitter.com/xyn9/status/922659049992159233","922659049992159233")</f>
        <v>922659049992159233</v>
      </c>
      <c r="F8607" s="23" t="s">
        <v>18968</v>
      </c>
      <c r="G8607" s="24">
        <v>385.0</v>
      </c>
      <c r="H8607" s="24">
        <v>549.0</v>
      </c>
      <c r="I8607" s="24">
        <v>1.0</v>
      </c>
      <c r="J8607" s="24">
        <v>0.0</v>
      </c>
      <c r="K8607" s="23" t="s">
        <v>34</v>
      </c>
      <c r="L8607" s="25">
        <v>39274.801354166666</v>
      </c>
      <c r="M8607" s="28"/>
      <c r="N8607" s="26" t="s">
        <v>18969</v>
      </c>
      <c r="O8607" s="22" t="str">
        <f>HYPERLINK("https://pbs.twimg.com/profile_images/482740192659267584/Wj5TvgOO_normal.png","View")</f>
        <v>View</v>
      </c>
      <c r="P8607" s="27"/>
    </row>
    <row r="8608">
      <c r="A8608" s="14">
        <v>43031.8337962963</v>
      </c>
      <c r="B8608" s="20" t="str">
        <f>HYPERLINK("https://twitter.com/BSAFunds","@BSAFunds")</f>
        <v>@BSAFunds</v>
      </c>
      <c r="C8608" s="21" t="s">
        <v>1248</v>
      </c>
      <c r="D8608" s="21" t="s">
        <v>18970</v>
      </c>
      <c r="E8608" s="22" t="str">
        <f>HYPERLINK("https://twitter.com/BSAFunds/status/922659075564953600","922659075564953600")</f>
        <v>922659075564953600</v>
      </c>
      <c r="F8608" s="23" t="s">
        <v>187</v>
      </c>
      <c r="G8608" s="24">
        <v>20910.0</v>
      </c>
      <c r="H8608" s="24">
        <v>8929.0</v>
      </c>
      <c r="I8608" s="24">
        <v>0.0</v>
      </c>
      <c r="J8608" s="24">
        <v>0.0</v>
      </c>
      <c r="K8608" s="23" t="s">
        <v>34</v>
      </c>
      <c r="L8608" s="25">
        <v>42601.94818287037</v>
      </c>
      <c r="M8608" s="26" t="s">
        <v>1250</v>
      </c>
      <c r="N8608" s="26" t="s">
        <v>1251</v>
      </c>
      <c r="O8608" s="22" t="str">
        <f>HYPERLINK("https://pbs.twimg.com/profile_images/912769166960033792/N4LAmrTs_normal.jpg","View")</f>
        <v>View</v>
      </c>
      <c r="P8608" s="27"/>
    </row>
    <row r="8609">
      <c r="A8609" s="14">
        <v>43031.8337962963</v>
      </c>
      <c r="B8609" s="20" t="str">
        <f>HYPERLINK("https://twitter.com/NewsyVideos","@NewsyVideos")</f>
        <v>@NewsyVideos</v>
      </c>
      <c r="C8609" s="21" t="s">
        <v>18971</v>
      </c>
      <c r="D8609" s="21" t="s">
        <v>18972</v>
      </c>
      <c r="E8609" s="22" t="str">
        <f>HYPERLINK("https://twitter.com/NewsyVideos/status/922659076055629824","922659076055629824")</f>
        <v>922659076055629824</v>
      </c>
      <c r="F8609" s="23" t="s">
        <v>4619</v>
      </c>
      <c r="G8609" s="24">
        <v>64567.0</v>
      </c>
      <c r="H8609" s="24">
        <v>1704.0</v>
      </c>
      <c r="I8609" s="24">
        <v>2.0</v>
      </c>
      <c r="J8609" s="24">
        <v>3.0</v>
      </c>
      <c r="K8609" s="23" t="s">
        <v>34</v>
      </c>
      <c r="L8609" s="25">
        <v>39384.57603009259</v>
      </c>
      <c r="M8609" s="26" t="s">
        <v>68</v>
      </c>
      <c r="N8609" s="26" t="s">
        <v>18973</v>
      </c>
      <c r="O8609" s="22" t="str">
        <f>HYPERLINK("https://pbs.twimg.com/profile_images/875453422425829377/32cnrEL7_normal.jpg","View")</f>
        <v>View</v>
      </c>
      <c r="P8609" s="27"/>
    </row>
    <row r="8610">
      <c r="A8610" s="14">
        <v>43031.83380787037</v>
      </c>
      <c r="B8610" s="20" t="str">
        <f>HYPERLINK("https://twitter.com/shyamkushinagar","@shyamkushinagar")</f>
        <v>@shyamkushinagar</v>
      </c>
      <c r="C8610" s="21" t="s">
        <v>18974</v>
      </c>
      <c r="D8610" s="21" t="s">
        <v>42</v>
      </c>
      <c r="E8610" s="22" t="str">
        <f>HYPERLINK("https://twitter.com/shyamkushinagar/status/922659079780265984","922659079780265984")</f>
        <v>922659079780265984</v>
      </c>
      <c r="F8610" s="23" t="s">
        <v>33</v>
      </c>
      <c r="G8610" s="24">
        <v>369.0</v>
      </c>
      <c r="H8610" s="24">
        <v>950.0</v>
      </c>
      <c r="I8610" s="24">
        <v>8501.0</v>
      </c>
      <c r="J8610" s="24">
        <v>0.0</v>
      </c>
      <c r="K8610" s="23" t="s">
        <v>34</v>
      </c>
      <c r="L8610" s="25">
        <v>40793.22929398148</v>
      </c>
      <c r="M8610" s="26" t="s">
        <v>18975</v>
      </c>
      <c r="N8610" s="26" t="s">
        <v>3395</v>
      </c>
      <c r="O8610" s="22" t="str">
        <f>HYPERLINK("https://pbs.twimg.com/profile_images/451787249462411264/BGKY91w2_normal.jpeg","View")</f>
        <v>View</v>
      </c>
      <c r="P8610" s="27"/>
    </row>
    <row r="8611">
      <c r="A8611" s="14">
        <v>43031.834027777775</v>
      </c>
      <c r="B8611" s="20" t="str">
        <f>HYPERLINK("https://twitter.com/NTKRNow","@NTKRNow")</f>
        <v>@NTKRNow</v>
      </c>
      <c r="C8611" s="21" t="s">
        <v>14875</v>
      </c>
      <c r="D8611" s="21" t="s">
        <v>18976</v>
      </c>
      <c r="E8611" s="22" t="str">
        <f>HYPERLINK("https://twitter.com/NTKRNow/status/922659160503832576","922659160503832576")</f>
        <v>922659160503832576</v>
      </c>
      <c r="F8611" s="23" t="s">
        <v>187</v>
      </c>
      <c r="G8611" s="24">
        <v>605.0</v>
      </c>
      <c r="H8611" s="24">
        <v>4.0</v>
      </c>
      <c r="I8611" s="24">
        <v>0.0</v>
      </c>
      <c r="J8611" s="24">
        <v>0.0</v>
      </c>
      <c r="K8611" s="23" t="s">
        <v>34</v>
      </c>
      <c r="L8611" s="25">
        <v>42402.810625</v>
      </c>
      <c r="M8611" s="28"/>
      <c r="N8611" s="28"/>
      <c r="O8611" s="22" t="str">
        <f>HYPERLINK("https://abs.twimg.com/sticky/default_profile_images/default_profile_normal.png","View")</f>
        <v>View</v>
      </c>
      <c r="P8611" s="27"/>
    </row>
    <row r="8612">
      <c r="A8612" s="14">
        <v>43031.83430555556</v>
      </c>
      <c r="B8612" s="20" t="str">
        <f>HYPERLINK("https://twitter.com/asian_reporter","@asian_reporter")</f>
        <v>@asian_reporter</v>
      </c>
      <c r="C8612" s="21" t="s">
        <v>18977</v>
      </c>
      <c r="D8612" s="21" t="s">
        <v>18917</v>
      </c>
      <c r="E8612" s="22" t="str">
        <f>HYPERLINK("https://twitter.com/asian_reporter/status/922659259006857216","922659259006857216")</f>
        <v>922659259006857216</v>
      </c>
      <c r="F8612" s="23" t="s">
        <v>55</v>
      </c>
      <c r="G8612" s="24">
        <v>151.0</v>
      </c>
      <c r="H8612" s="24">
        <v>757.0</v>
      </c>
      <c r="I8612" s="24">
        <v>6.0</v>
      </c>
      <c r="J8612" s="24">
        <v>0.0</v>
      </c>
      <c r="K8612" s="23" t="s">
        <v>34</v>
      </c>
      <c r="L8612" s="25">
        <v>42153.849548611106</v>
      </c>
      <c r="M8612" s="28"/>
      <c r="N8612" s="26" t="s">
        <v>18978</v>
      </c>
      <c r="O8612" s="22" t="str">
        <f>HYPERLINK("https://pbs.twimg.com/profile_images/790461447385919488/lolpnMV1_normal.jpg","View")</f>
        <v>View</v>
      </c>
      <c r="P8612" s="27"/>
    </row>
    <row r="8613">
      <c r="A8613" s="14">
        <v>43031.8343287037</v>
      </c>
      <c r="B8613" s="20" t="str">
        <f>HYPERLINK("https://twitter.com/Learn_iqoption","@Learn_iqoption")</f>
        <v>@Learn_iqoption</v>
      </c>
      <c r="C8613" s="21" t="s">
        <v>18979</v>
      </c>
      <c r="D8613" s="21" t="s">
        <v>18980</v>
      </c>
      <c r="E8613" s="22" t="str">
        <f>HYPERLINK("https://twitter.com/Learn_iqoption/status/922659268062601217","922659268062601217")</f>
        <v>922659268062601217</v>
      </c>
      <c r="F8613" s="23" t="s">
        <v>187</v>
      </c>
      <c r="G8613" s="24">
        <v>2273.0</v>
      </c>
      <c r="H8613" s="24">
        <v>4251.0</v>
      </c>
      <c r="I8613" s="24">
        <v>0.0</v>
      </c>
      <c r="J8613" s="24">
        <v>0.0</v>
      </c>
      <c r="K8613" s="23" t="s">
        <v>34</v>
      </c>
      <c r="L8613" s="25">
        <v>42728.02310185185</v>
      </c>
      <c r="M8613" s="26" t="s">
        <v>40</v>
      </c>
      <c r="N8613" s="26" t="s">
        <v>18981</v>
      </c>
      <c r="O8613" s="22" t="str">
        <f>HYPERLINK("https://pbs.twimg.com/profile_images/812577445664714752/QtMxG1eo_normal.jpg","View")</f>
        <v>View</v>
      </c>
      <c r="P8613" s="27"/>
    </row>
    <row r="8614">
      <c r="A8614" s="14">
        <v>43031.834375</v>
      </c>
      <c r="B8614" s="20" t="str">
        <f>HYPERLINK("https://twitter.com/EXSKF","@EXSKF")</f>
        <v>@EXSKF</v>
      </c>
      <c r="C8614" s="21" t="s">
        <v>18982</v>
      </c>
      <c r="D8614" s="21" t="s">
        <v>18983</v>
      </c>
      <c r="E8614" s="22" t="str">
        <f>HYPERLINK("https://twitter.com/EXSKF/status/922659283459743744","922659283459743744")</f>
        <v>922659283459743744</v>
      </c>
      <c r="F8614" s="23" t="s">
        <v>55</v>
      </c>
      <c r="G8614" s="24">
        <v>5008.0</v>
      </c>
      <c r="H8614" s="24">
        <v>118.0</v>
      </c>
      <c r="I8614" s="24">
        <v>7.0</v>
      </c>
      <c r="J8614" s="24">
        <v>0.0</v>
      </c>
      <c r="K8614" s="23" t="s">
        <v>34</v>
      </c>
      <c r="L8614" s="25">
        <v>40289.94846064815</v>
      </c>
      <c r="M8614" s="28"/>
      <c r="N8614" s="26" t="s">
        <v>18984</v>
      </c>
      <c r="O8614" s="22" t="str">
        <f>HYPERLINK("https://pbs.twimg.com/profile_images/1742331384/favicon_normal.jpg","View")</f>
        <v>View</v>
      </c>
      <c r="P8614" s="27"/>
    </row>
    <row r="8615">
      <c r="A8615" s="14">
        <v>43031.83440972222</v>
      </c>
      <c r="B8615" s="20" t="str">
        <f>HYPERLINK("https://twitter.com/mcp111","@mcp111")</f>
        <v>@mcp111</v>
      </c>
      <c r="C8615" s="21" t="s">
        <v>18985</v>
      </c>
      <c r="D8615" s="21" t="s">
        <v>42</v>
      </c>
      <c r="E8615" s="22" t="str">
        <f>HYPERLINK("https://twitter.com/mcp111/status/922659299649716224","922659299649716224")</f>
        <v>922659299649716224</v>
      </c>
      <c r="F8615" s="23" t="s">
        <v>55</v>
      </c>
      <c r="G8615" s="24">
        <v>1699.0</v>
      </c>
      <c r="H8615" s="24">
        <v>4900.0</v>
      </c>
      <c r="I8615" s="24">
        <v>8501.0</v>
      </c>
      <c r="J8615" s="24">
        <v>0.0</v>
      </c>
      <c r="K8615" s="23" t="s">
        <v>34</v>
      </c>
      <c r="L8615" s="25">
        <v>39619.167349537034</v>
      </c>
      <c r="M8615" s="26" t="s">
        <v>18986</v>
      </c>
      <c r="N8615" s="26" t="s">
        <v>18987</v>
      </c>
      <c r="O8615" s="22" t="str">
        <f>HYPERLINK("https://pbs.twimg.com/profile_images/834741494842015749/UyZkqysf_normal.jpg","View")</f>
        <v>View</v>
      </c>
      <c r="P8615" s="27"/>
    </row>
    <row r="8616">
      <c r="A8616" s="14">
        <v>43031.834444444445</v>
      </c>
      <c r="B8616" s="20" t="str">
        <f>HYPERLINK("https://twitter.com/epe14002","@epe14002")</f>
        <v>@epe14002</v>
      </c>
      <c r="C8616" s="21" t="s">
        <v>18988</v>
      </c>
      <c r="D8616" s="21" t="s">
        <v>42</v>
      </c>
      <c r="E8616" s="22" t="str">
        <f>HYPERLINK("https://twitter.com/epe14002/status/922659309258866689","922659309258866689")</f>
        <v>922659309258866689</v>
      </c>
      <c r="F8616" s="23" t="s">
        <v>33</v>
      </c>
      <c r="G8616" s="24">
        <v>31.0</v>
      </c>
      <c r="H8616" s="24">
        <v>40.0</v>
      </c>
      <c r="I8616" s="24">
        <v>8501.0</v>
      </c>
      <c r="J8616" s="24">
        <v>0.0</v>
      </c>
      <c r="K8616" s="23" t="s">
        <v>34</v>
      </c>
      <c r="L8616" s="25">
        <v>42829.49241898148</v>
      </c>
      <c r="M8616" s="26" t="s">
        <v>18989</v>
      </c>
      <c r="N8616" s="28"/>
      <c r="O8616" s="22" t="str">
        <f>HYPERLINK("https://pbs.twimg.com/profile_images/873060123328917506/PhZ1Z7Fb_normal.jpg","View")</f>
        <v>View</v>
      </c>
      <c r="P8616" s="27"/>
    </row>
    <row r="8617">
      <c r="A8617" s="14">
        <v>43031.83445601852</v>
      </c>
      <c r="B8617" s="20" t="str">
        <f>HYPERLINK("https://twitter.com/Joshua_Reber","@Joshua_Reber")</f>
        <v>@Joshua_Reber</v>
      </c>
      <c r="C8617" s="21" t="s">
        <v>18990</v>
      </c>
      <c r="D8617" s="21" t="s">
        <v>18991</v>
      </c>
      <c r="E8617" s="22" t="str">
        <f>HYPERLINK("https://twitter.com/Joshua_Reber/status/922659313646051328","922659313646051328")</f>
        <v>922659313646051328</v>
      </c>
      <c r="F8617" s="23" t="s">
        <v>33</v>
      </c>
      <c r="G8617" s="24">
        <v>441.0</v>
      </c>
      <c r="H8617" s="24">
        <v>5001.0</v>
      </c>
      <c r="I8617" s="24">
        <v>1.0</v>
      </c>
      <c r="J8617" s="24">
        <v>0.0</v>
      </c>
      <c r="K8617" s="23" t="s">
        <v>34</v>
      </c>
      <c r="L8617" s="25">
        <v>41024.65986111111</v>
      </c>
      <c r="M8617" s="26" t="s">
        <v>6820</v>
      </c>
      <c r="N8617" s="26" t="s">
        <v>18992</v>
      </c>
      <c r="O8617" s="22" t="str">
        <f>HYPERLINK("https://pbs.twimg.com/profile_images/919825018925694976/8BFr84ez_normal.jpg","View")</f>
        <v>View</v>
      </c>
      <c r="P8617" s="27"/>
    </row>
    <row r="8618">
      <c r="A8618" s="14">
        <v>43031.83459490741</v>
      </c>
      <c r="B8618" s="20" t="str">
        <f>HYPERLINK("https://twitter.com/Altanch61896107","@Altanch61896107")</f>
        <v>@Altanch61896107</v>
      </c>
      <c r="C8618" s="21" t="s">
        <v>18993</v>
      </c>
      <c r="D8618" s="21" t="s">
        <v>10614</v>
      </c>
      <c r="E8618" s="22" t="str">
        <f>HYPERLINK("https://twitter.com/Altanch61896107/status/922659364812374016","922659364812374016")</f>
        <v>922659364812374016</v>
      </c>
      <c r="F8618" s="23" t="s">
        <v>33</v>
      </c>
      <c r="G8618" s="24">
        <v>38.0</v>
      </c>
      <c r="H8618" s="24">
        <v>109.0</v>
      </c>
      <c r="I8618" s="24">
        <v>159.0</v>
      </c>
      <c r="J8618" s="24">
        <v>0.0</v>
      </c>
      <c r="K8618" s="23" t="s">
        <v>34</v>
      </c>
      <c r="L8618" s="25">
        <v>42975.11146990741</v>
      </c>
      <c r="M8618" s="26" t="s">
        <v>18994</v>
      </c>
      <c r="N8618" s="26" t="s">
        <v>18995</v>
      </c>
      <c r="O8618" s="22" t="str">
        <f>HYPERLINK("https://pbs.twimg.com/profile_images/906009825112240131/Q34XvoAX_normal.jpg","View")</f>
        <v>View</v>
      </c>
      <c r="P8618" s="27"/>
    </row>
    <row r="8619">
      <c r="A8619" s="14">
        <v>43031.83462962963</v>
      </c>
      <c r="B8619" s="20" t="str">
        <f>HYPERLINK("https://twitter.com/100ravsachinist","@100ravsachinist")</f>
        <v>@100ravsachinist</v>
      </c>
      <c r="C8619" s="21" t="s">
        <v>18996</v>
      </c>
      <c r="D8619" s="21" t="s">
        <v>42</v>
      </c>
      <c r="E8619" s="22" t="str">
        <f>HYPERLINK("https://twitter.com/100ravsachinist/status/922659377047265280","922659377047265280")</f>
        <v>922659377047265280</v>
      </c>
      <c r="F8619" s="23" t="s">
        <v>33</v>
      </c>
      <c r="G8619" s="24">
        <v>123.0</v>
      </c>
      <c r="H8619" s="24">
        <v>604.0</v>
      </c>
      <c r="I8619" s="24">
        <v>8501.0</v>
      </c>
      <c r="J8619" s="24">
        <v>0.0</v>
      </c>
      <c r="K8619" s="23" t="s">
        <v>34</v>
      </c>
      <c r="L8619" s="25">
        <v>41624.44454861111</v>
      </c>
      <c r="M8619" s="28"/>
      <c r="N8619" s="26" t="s">
        <v>18997</v>
      </c>
      <c r="O8619" s="22" t="str">
        <f>HYPERLINK("https://pbs.twimg.com/profile_images/782100983207821312/NhZY8QtE_normal.jpg","View")</f>
        <v>View</v>
      </c>
      <c r="P8619" s="27"/>
    </row>
    <row r="8620">
      <c r="A8620" s="14">
        <v>43031.83462962963</v>
      </c>
      <c r="B8620" s="20" t="str">
        <f>HYPERLINK("https://twitter.com/abhishekajha297","@abhishekajha297")</f>
        <v>@abhishekajha297</v>
      </c>
      <c r="C8620" s="21" t="s">
        <v>18998</v>
      </c>
      <c r="D8620" s="21" t="s">
        <v>163</v>
      </c>
      <c r="E8620" s="22" t="str">
        <f>HYPERLINK("https://twitter.com/abhishekajha297/status/922659378687365120","922659378687365120")</f>
        <v>922659378687365120</v>
      </c>
      <c r="F8620" s="23" t="s">
        <v>33</v>
      </c>
      <c r="G8620" s="24">
        <v>849.0</v>
      </c>
      <c r="H8620" s="24">
        <v>781.0</v>
      </c>
      <c r="I8620" s="24">
        <v>1005.0</v>
      </c>
      <c r="J8620" s="24">
        <v>0.0</v>
      </c>
      <c r="K8620" s="23" t="s">
        <v>34</v>
      </c>
      <c r="L8620" s="25">
        <v>42198.94851851852</v>
      </c>
      <c r="M8620" s="28"/>
      <c r="N8620" s="26" t="s">
        <v>18999</v>
      </c>
      <c r="O8620" s="22" t="str">
        <f>HYPERLINK("https://pbs.twimg.com/profile_images/894033790149853184/zTtLFX-9_normal.jpg","View")</f>
        <v>View</v>
      </c>
      <c r="P8620" s="27"/>
    </row>
    <row r="8621">
      <c r="A8621" s="14">
        <v>43031.83503472222</v>
      </c>
      <c r="B8621" s="20" t="str">
        <f>HYPERLINK("https://twitter.com/CNBCTradersFan","@CNBCTradersFan")</f>
        <v>@CNBCTradersFan</v>
      </c>
      <c r="C8621" s="21" t="s">
        <v>1945</v>
      </c>
      <c r="D8621" s="21" t="s">
        <v>19000</v>
      </c>
      <c r="E8621" s="22" t="str">
        <f>HYPERLINK("https://twitter.com/CNBCTradersFan/status/922659524716191745","922659524716191745")</f>
        <v>922659524716191745</v>
      </c>
      <c r="F8621" s="23" t="s">
        <v>187</v>
      </c>
      <c r="G8621" s="24">
        <v>17128.0</v>
      </c>
      <c r="H8621" s="24">
        <v>11615.0</v>
      </c>
      <c r="I8621" s="24">
        <v>0.0</v>
      </c>
      <c r="J8621" s="24">
        <v>0.0</v>
      </c>
      <c r="K8621" s="23" t="s">
        <v>34</v>
      </c>
      <c r="L8621" s="25">
        <v>40922.50542824074</v>
      </c>
      <c r="M8621" s="26" t="s">
        <v>1947</v>
      </c>
      <c r="N8621" s="26" t="s">
        <v>1948</v>
      </c>
      <c r="O8621" s="22" t="str">
        <f>HYPERLINK("https://pbs.twimg.com/profile_images/731870469318684672/Ckf7rDdJ_normal.jpg","View")</f>
        <v>View</v>
      </c>
      <c r="P8621" s="27"/>
    </row>
    <row r="8622">
      <c r="A8622" s="14">
        <v>43031.83532407407</v>
      </c>
      <c r="B8622" s="20" t="str">
        <f>HYPERLINK("https://twitter.com/quidnonc","@quidnonc")</f>
        <v>@quidnonc</v>
      </c>
      <c r="C8622" s="21" t="s">
        <v>19001</v>
      </c>
      <c r="D8622" s="21" t="s">
        <v>18761</v>
      </c>
      <c r="E8622" s="22" t="str">
        <f>HYPERLINK("https://twitter.com/quidnonc/status/922659627849928704","922659627849928704")</f>
        <v>922659627849928704</v>
      </c>
      <c r="F8622" s="23" t="s">
        <v>33</v>
      </c>
      <c r="G8622" s="24">
        <v>2465.0</v>
      </c>
      <c r="H8622" s="24">
        <v>1341.0</v>
      </c>
      <c r="I8622" s="24">
        <v>11.0</v>
      </c>
      <c r="J8622" s="24">
        <v>0.0</v>
      </c>
      <c r="K8622" s="23" t="s">
        <v>34</v>
      </c>
      <c r="L8622" s="25">
        <v>40102.085497685184</v>
      </c>
      <c r="M8622" s="26" t="s">
        <v>19002</v>
      </c>
      <c r="N8622" s="26" t="s">
        <v>19003</v>
      </c>
      <c r="O8622" s="22" t="str">
        <f>HYPERLINK("https://pbs.twimg.com/profile_images/906350030084329472/Y9aSxEdP_normal.jpg","View")</f>
        <v>View</v>
      </c>
      <c r="P8622" s="27"/>
    </row>
    <row r="8623">
      <c r="A8623" s="14">
        <v>43031.83552083334</v>
      </c>
      <c r="B8623" s="20" t="str">
        <f>HYPERLINK("https://twitter.com/otikenne","@otikenne")</f>
        <v>@otikenne</v>
      </c>
      <c r="C8623" s="21" t="s">
        <v>16485</v>
      </c>
      <c r="D8623" s="21" t="s">
        <v>32</v>
      </c>
      <c r="E8623" s="22" t="str">
        <f>HYPERLINK("https://twitter.com/otikenne/status/922659699878780928","922659699878780928")</f>
        <v>922659699878780928</v>
      </c>
      <c r="F8623" s="23" t="s">
        <v>33</v>
      </c>
      <c r="G8623" s="24">
        <v>1922.0</v>
      </c>
      <c r="H8623" s="24">
        <v>1303.0</v>
      </c>
      <c r="I8623" s="24">
        <v>471.0</v>
      </c>
      <c r="J8623" s="24">
        <v>0.0</v>
      </c>
      <c r="K8623" s="23" t="s">
        <v>34</v>
      </c>
      <c r="L8623" s="25">
        <v>41122.4984375</v>
      </c>
      <c r="M8623" s="26" t="s">
        <v>19004</v>
      </c>
      <c r="N8623" s="26" t="s">
        <v>19005</v>
      </c>
      <c r="O8623" s="22" t="str">
        <f>HYPERLINK("https://pbs.twimg.com/profile_images/855840182540668931/ONRPn0hL_normal.jpg","View")</f>
        <v>View</v>
      </c>
      <c r="P8623" s="27"/>
    </row>
    <row r="8624">
      <c r="A8624" s="14">
        <v>43031.83603009259</v>
      </c>
      <c r="B8624" s="20" t="str">
        <f>HYPERLINK("https://twitter.com/Sven_Banal","@Sven_Banal")</f>
        <v>@Sven_Banal</v>
      </c>
      <c r="C8624" s="21" t="s">
        <v>19006</v>
      </c>
      <c r="D8624" s="21" t="s">
        <v>19007</v>
      </c>
      <c r="E8624" s="22" t="str">
        <f>HYPERLINK("https://twitter.com/Sven_Banal/status/922659884922998789","922659884922998789")</f>
        <v>922659884922998789</v>
      </c>
      <c r="F8624" s="23" t="s">
        <v>10255</v>
      </c>
      <c r="G8624" s="24">
        <v>32.0</v>
      </c>
      <c r="H8624" s="24">
        <v>27.0</v>
      </c>
      <c r="I8624" s="24">
        <v>1.0</v>
      </c>
      <c r="J8624" s="24">
        <v>0.0</v>
      </c>
      <c r="K8624" s="23" t="s">
        <v>34</v>
      </c>
      <c r="L8624" s="25">
        <v>42251.29975694444</v>
      </c>
      <c r="M8624" s="26" t="s">
        <v>853</v>
      </c>
      <c r="N8624" s="28"/>
      <c r="O8624" s="22" t="str">
        <f>HYPERLINK("https://abs.twimg.com/sticky/default_profile_images/default_profile_normal.png","View")</f>
        <v>View</v>
      </c>
      <c r="P8624" s="27"/>
    </row>
    <row r="8625">
      <c r="A8625" s="14">
        <v>43031.83642361111</v>
      </c>
      <c r="B8625" s="20" t="str">
        <f>HYPERLINK("https://twitter.com/Menonsays","@Menonsays")</f>
        <v>@Menonsays</v>
      </c>
      <c r="C8625" s="21" t="s">
        <v>19008</v>
      </c>
      <c r="D8625" s="21" t="s">
        <v>42</v>
      </c>
      <c r="E8625" s="22" t="str">
        <f>HYPERLINK("https://twitter.com/Menonsays/status/922660026707144704","922660026707144704")</f>
        <v>922660026707144704</v>
      </c>
      <c r="F8625" s="23" t="s">
        <v>33</v>
      </c>
      <c r="G8625" s="24">
        <v>424.0</v>
      </c>
      <c r="H8625" s="24">
        <v>489.0</v>
      </c>
      <c r="I8625" s="24">
        <v>8501.0</v>
      </c>
      <c r="J8625" s="24">
        <v>0.0</v>
      </c>
      <c r="K8625" s="23" t="s">
        <v>34</v>
      </c>
      <c r="L8625" s="25">
        <v>42805.26094907407</v>
      </c>
      <c r="M8625" s="26" t="s">
        <v>19009</v>
      </c>
      <c r="N8625" s="26" t="s">
        <v>19010</v>
      </c>
      <c r="O8625" s="22" t="str">
        <f>HYPERLINK("https://pbs.twimg.com/profile_images/917978661952868353/7WacizoI_normal.jpg","View")</f>
        <v>View</v>
      </c>
      <c r="P8625" s="27"/>
    </row>
    <row r="8626">
      <c r="A8626" s="14">
        <v>43031.83657407407</v>
      </c>
      <c r="B8626" s="20" t="str">
        <f>HYPERLINK("https://twitter.com/TheEconomist","@TheEconomist")</f>
        <v>@TheEconomist</v>
      </c>
      <c r="C8626" s="21" t="s">
        <v>14733</v>
      </c>
      <c r="D8626" s="21" t="s">
        <v>19011</v>
      </c>
      <c r="E8626" s="22" t="str">
        <f>HYPERLINK("https://twitter.com/TheEconomist/status/922660081094877184","922660081094877184")</f>
        <v>922660081094877184</v>
      </c>
      <c r="F8626" s="23" t="s">
        <v>1103</v>
      </c>
      <c r="G8626" s="24">
        <v>2.2229455E7</v>
      </c>
      <c r="H8626" s="24">
        <v>157.0</v>
      </c>
      <c r="I8626" s="24">
        <v>51.0</v>
      </c>
      <c r="J8626" s="24">
        <v>80.0</v>
      </c>
      <c r="K8626" s="23" t="s">
        <v>34</v>
      </c>
      <c r="L8626" s="25">
        <v>39214.25335648148</v>
      </c>
      <c r="M8626" s="26" t="s">
        <v>334</v>
      </c>
      <c r="N8626" s="26" t="s">
        <v>14735</v>
      </c>
      <c r="O8626" s="22" t="str">
        <f>HYPERLINK("https://pbs.twimg.com/profile_images/879361767914262528/HdRauDM-_normal.jpg","View")</f>
        <v>View</v>
      </c>
      <c r="P8626" s="27"/>
    </row>
    <row r="8627">
      <c r="A8627" s="14">
        <v>43031.83658564815</v>
      </c>
      <c r="B8627" s="20" t="str">
        <f>HYPERLINK("https://twitter.com/econyoshi","@econyoshi")</f>
        <v>@econyoshi</v>
      </c>
      <c r="C8627" s="21" t="s">
        <v>19012</v>
      </c>
      <c r="D8627" s="21" t="s">
        <v>19013</v>
      </c>
      <c r="E8627" s="22" t="str">
        <f>HYPERLINK("https://twitter.com/econyoshi/status/922660085305819136","922660085305819136")</f>
        <v>922660085305819136</v>
      </c>
      <c r="F8627" s="30" t="s">
        <v>411</v>
      </c>
      <c r="G8627" s="24">
        <v>26602.0</v>
      </c>
      <c r="H8627" s="24">
        <v>222.0</v>
      </c>
      <c r="I8627" s="24">
        <v>4.0</v>
      </c>
      <c r="J8627" s="24">
        <v>0.0</v>
      </c>
      <c r="K8627" s="23" t="s">
        <v>34</v>
      </c>
      <c r="L8627" s="25">
        <v>39924.565289351856</v>
      </c>
      <c r="M8627" s="26" t="s">
        <v>708</v>
      </c>
      <c r="N8627" s="26" t="s">
        <v>19014</v>
      </c>
      <c r="O8627" s="22" t="str">
        <f>HYPERLINK("https://pbs.twimg.com/profile_images/897755232356241410/8-lbECWd_normal.jpg","View")</f>
        <v>View</v>
      </c>
      <c r="P8627" s="27"/>
    </row>
    <row r="8628">
      <c r="A8628" s="14">
        <v>43031.836956018524</v>
      </c>
      <c r="B8628" s="20" t="str">
        <f>HYPERLINK("https://twitter.com/nortonjedwards","@nortonjedwards")</f>
        <v>@nortonjedwards</v>
      </c>
      <c r="C8628" s="21" t="s">
        <v>19015</v>
      </c>
      <c r="D8628" s="21" t="s">
        <v>19016</v>
      </c>
      <c r="E8628" s="22" t="str">
        <f>HYPERLINK("https://twitter.com/nortonjedwards/status/922660219326517249","922660219326517249")</f>
        <v>922660219326517249</v>
      </c>
      <c r="F8628" s="23" t="s">
        <v>39</v>
      </c>
      <c r="G8628" s="24">
        <v>97.0</v>
      </c>
      <c r="H8628" s="24">
        <v>272.0</v>
      </c>
      <c r="I8628" s="24">
        <v>51.0</v>
      </c>
      <c r="J8628" s="24">
        <v>0.0</v>
      </c>
      <c r="K8628" s="23" t="s">
        <v>34</v>
      </c>
      <c r="L8628" s="25">
        <v>40451.70135416667</v>
      </c>
      <c r="M8628" s="26" t="s">
        <v>19017</v>
      </c>
      <c r="N8628" s="26" t="s">
        <v>19018</v>
      </c>
      <c r="O8628" s="22" t="str">
        <f>HYPERLINK("https://pbs.twimg.com/profile_images/1135082957/Big_Cat_normal.jpg","View")</f>
        <v>View</v>
      </c>
      <c r="P8628" s="27"/>
    </row>
    <row r="8629">
      <c r="A8629" s="14">
        <v>43031.837002314816</v>
      </c>
      <c r="B8629" s="20" t="str">
        <f>HYPERLINK("https://twitter.com/kasworld_usa","@kasworld_usa")</f>
        <v>@kasworld_usa</v>
      </c>
      <c r="C8629" s="21" t="s">
        <v>12621</v>
      </c>
      <c r="D8629" s="21" t="s">
        <v>19019</v>
      </c>
      <c r="E8629" s="22" t="str">
        <f>HYPERLINK("https://twitter.com/kasworld_usa/status/922660236858724352","922660236858724352")</f>
        <v>922660236858724352</v>
      </c>
      <c r="F8629" s="23" t="s">
        <v>187</v>
      </c>
      <c r="G8629" s="24">
        <v>5.0</v>
      </c>
      <c r="H8629" s="24">
        <v>0.0</v>
      </c>
      <c r="I8629" s="24">
        <v>0.0</v>
      </c>
      <c r="J8629" s="24">
        <v>0.0</v>
      </c>
      <c r="K8629" s="23" t="s">
        <v>34</v>
      </c>
      <c r="L8629" s="25">
        <v>43001.21859953704</v>
      </c>
      <c r="M8629" s="26" t="s">
        <v>9608</v>
      </c>
      <c r="N8629" s="26" t="s">
        <v>12623</v>
      </c>
      <c r="O8629" s="22" t="str">
        <f>HYPERLINK("https://pbs.twimg.com/profile_images/921365590719074305/DkuJU8qU_normal.jpg","View")</f>
        <v>View</v>
      </c>
      <c r="P8629" s="27"/>
    </row>
    <row r="8630">
      <c r="A8630" s="14">
        <v>43031.83707175926</v>
      </c>
      <c r="B8630" s="20" t="str">
        <f>HYPERLINK("https://twitter.com/gigabytemag","@gigabytemag")</f>
        <v>@gigabytemag</v>
      </c>
      <c r="C8630" s="21" t="s">
        <v>19020</v>
      </c>
      <c r="D8630" s="21" t="s">
        <v>19016</v>
      </c>
      <c r="E8630" s="22" t="str">
        <f>HYPERLINK("https://twitter.com/gigabytemag/status/922660263005913089","922660263005913089")</f>
        <v>922660263005913089</v>
      </c>
      <c r="F8630" s="23" t="s">
        <v>33</v>
      </c>
      <c r="G8630" s="24">
        <v>3331.0</v>
      </c>
      <c r="H8630" s="24">
        <v>4201.0</v>
      </c>
      <c r="I8630" s="24">
        <v>51.0</v>
      </c>
      <c r="J8630" s="24">
        <v>0.0</v>
      </c>
      <c r="K8630" s="23" t="s">
        <v>34</v>
      </c>
      <c r="L8630" s="25">
        <v>41578.02868055555</v>
      </c>
      <c r="M8630" s="26" t="s">
        <v>11183</v>
      </c>
      <c r="N8630" s="26" t="s">
        <v>19021</v>
      </c>
      <c r="O8630" s="22" t="str">
        <f>HYPERLINK("https://pbs.twimg.com/profile_images/824068881853583365/DUVVHtXA_normal.jpg","View")</f>
        <v>View</v>
      </c>
      <c r="P8630" s="27"/>
    </row>
    <row r="8631">
      <c r="A8631" s="14">
        <v>43031.837106481486</v>
      </c>
      <c r="B8631" s="20" t="str">
        <f>HYPERLINK("https://twitter.com/The_ZOGGS","@The_ZOGGS")</f>
        <v>@The_ZOGGS</v>
      </c>
      <c r="C8631" s="21" t="s">
        <v>19022</v>
      </c>
      <c r="D8631" s="21" t="s">
        <v>18761</v>
      </c>
      <c r="E8631" s="22" t="str">
        <f>HYPERLINK("https://twitter.com/The_ZOGGS/status/922660274993270784","922660274993270784")</f>
        <v>922660274993270784</v>
      </c>
      <c r="F8631" s="23" t="s">
        <v>39</v>
      </c>
      <c r="G8631" s="24">
        <v>270.0</v>
      </c>
      <c r="H8631" s="24">
        <v>594.0</v>
      </c>
      <c r="I8631" s="24">
        <v>11.0</v>
      </c>
      <c r="J8631" s="24">
        <v>0.0</v>
      </c>
      <c r="K8631" s="23" t="s">
        <v>34</v>
      </c>
      <c r="L8631" s="25">
        <v>40933.62157407407</v>
      </c>
      <c r="M8631" s="26" t="s">
        <v>3379</v>
      </c>
      <c r="N8631" s="26" t="s">
        <v>19023</v>
      </c>
      <c r="O8631" s="22" t="str">
        <f>HYPERLINK("https://pbs.twimg.com/profile_images/907507364340883456/0SF0DO00_normal.jpg","View")</f>
        <v>View</v>
      </c>
      <c r="P8631" s="27"/>
    </row>
    <row r="8632">
      <c r="A8632" s="14">
        <v>43031.837106481486</v>
      </c>
      <c r="B8632" s="20" t="str">
        <f>HYPERLINK("https://twitter.com/gingin21","@gingin21")</f>
        <v>@gingin21</v>
      </c>
      <c r="C8632" s="21" t="s">
        <v>19024</v>
      </c>
      <c r="D8632" s="21" t="s">
        <v>19016</v>
      </c>
      <c r="E8632" s="22" t="str">
        <f>HYPERLINK("https://twitter.com/gingin21/status/922660276943642626","922660276943642626")</f>
        <v>922660276943642626</v>
      </c>
      <c r="F8632" s="23" t="s">
        <v>230</v>
      </c>
      <c r="G8632" s="24">
        <v>133.0</v>
      </c>
      <c r="H8632" s="24">
        <v>231.0</v>
      </c>
      <c r="I8632" s="24">
        <v>51.0</v>
      </c>
      <c r="J8632" s="24">
        <v>0.0</v>
      </c>
      <c r="K8632" s="23" t="s">
        <v>34</v>
      </c>
      <c r="L8632" s="25">
        <v>39954.24214120371</v>
      </c>
      <c r="M8632" s="26" t="s">
        <v>19025</v>
      </c>
      <c r="N8632" s="28"/>
      <c r="O8632" s="22" t="str">
        <f>HYPERLINK("https://pbs.twimg.com/profile_images/437291413382782976/ABfEwWD1_normal.jpeg","View")</f>
        <v>View</v>
      </c>
      <c r="P8632" s="27"/>
    </row>
    <row r="8633">
      <c r="A8633" s="14">
        <v>43031.837118055555</v>
      </c>
      <c r="B8633" s="20" t="str">
        <f>HYPERLINK("https://twitter.com/nishant_shastry","@nishant_shastry")</f>
        <v>@nishant_shastry</v>
      </c>
      <c r="C8633" s="21" t="s">
        <v>19026</v>
      </c>
      <c r="D8633" s="21" t="s">
        <v>19027</v>
      </c>
      <c r="E8633" s="22" t="str">
        <f>HYPERLINK("https://twitter.com/nishant_shastry/status/922660278084489216","922660278084489216")</f>
        <v>922660278084489216</v>
      </c>
      <c r="F8633" s="23" t="s">
        <v>187</v>
      </c>
      <c r="G8633" s="24">
        <v>347.0</v>
      </c>
      <c r="H8633" s="24">
        <v>866.0</v>
      </c>
      <c r="I8633" s="24">
        <v>0.0</v>
      </c>
      <c r="J8633" s="24">
        <v>0.0</v>
      </c>
      <c r="K8633" s="23" t="s">
        <v>34</v>
      </c>
      <c r="L8633" s="25">
        <v>41503.089166666665</v>
      </c>
      <c r="M8633" s="26" t="s">
        <v>167</v>
      </c>
      <c r="N8633" s="26" t="s">
        <v>19028</v>
      </c>
      <c r="O8633" s="22" t="str">
        <f>HYPERLINK("https://pbs.twimg.com/profile_images/917695945386504192/AkJa4MAv_normal.jpg","View")</f>
        <v>View</v>
      </c>
      <c r="P8633" s="27"/>
    </row>
    <row r="8634">
      <c r="A8634" s="14">
        <v>43031.837118055555</v>
      </c>
      <c r="B8634" s="20" t="str">
        <f>HYPERLINK("https://twitter.com/Tejas_Ahir","@Tejas_Ahir")</f>
        <v>@Tejas_Ahir</v>
      </c>
      <c r="C8634" s="21" t="s">
        <v>19029</v>
      </c>
      <c r="D8634" s="21" t="s">
        <v>42</v>
      </c>
      <c r="E8634" s="22" t="str">
        <f>HYPERLINK("https://twitter.com/Tejas_Ahir/status/922660280953221121","922660280953221121")</f>
        <v>922660280953221121</v>
      </c>
      <c r="F8634" s="23" t="s">
        <v>39</v>
      </c>
      <c r="G8634" s="24">
        <v>8.0</v>
      </c>
      <c r="H8634" s="24">
        <v>14.0</v>
      </c>
      <c r="I8634" s="24">
        <v>8501.0</v>
      </c>
      <c r="J8634" s="24">
        <v>0.0</v>
      </c>
      <c r="K8634" s="23" t="s">
        <v>34</v>
      </c>
      <c r="L8634" s="25">
        <v>40986.98840277777</v>
      </c>
      <c r="M8634" s="26" t="s">
        <v>8401</v>
      </c>
      <c r="N8634" s="26" t="s">
        <v>19030</v>
      </c>
      <c r="O8634" s="22" t="str">
        <f>HYPERLINK("https://pbs.twimg.com/profile_images/844564269681311744/dxASkqJn_normal.jpg","View")</f>
        <v>View</v>
      </c>
      <c r="P8634" s="27"/>
    </row>
    <row r="8635">
      <c r="A8635" s="14">
        <v>43031.83719907407</v>
      </c>
      <c r="B8635" s="20" t="str">
        <f>HYPERLINK("https://twitter.com/FTMarkets","@FTMarkets")</f>
        <v>@FTMarkets</v>
      </c>
      <c r="C8635" s="21" t="s">
        <v>19031</v>
      </c>
      <c r="D8635" s="21" t="s">
        <v>19032</v>
      </c>
      <c r="E8635" s="22" t="str">
        <f>HYPERLINK("https://twitter.com/FTMarkets/status/922660308640043008","922660308640043008")</f>
        <v>922660308640043008</v>
      </c>
      <c r="F8635" s="23" t="s">
        <v>1103</v>
      </c>
      <c r="G8635" s="24">
        <v>14146.0</v>
      </c>
      <c r="H8635" s="24">
        <v>156.0</v>
      </c>
      <c r="I8635" s="24">
        <v>0.0</v>
      </c>
      <c r="J8635" s="24">
        <v>0.0</v>
      </c>
      <c r="K8635" s="23" t="s">
        <v>34</v>
      </c>
      <c r="L8635" s="25">
        <v>40291.121828703705</v>
      </c>
      <c r="M8635" s="26" t="s">
        <v>334</v>
      </c>
      <c r="N8635" s="26" t="s">
        <v>19033</v>
      </c>
      <c r="O8635" s="22" t="str">
        <f>HYPERLINK("https://pbs.twimg.com/profile_images/876798836446044160/LUl4FDYy_normal.jpg","View")</f>
        <v>View</v>
      </c>
      <c r="P8635" s="27"/>
    </row>
    <row r="8636">
      <c r="A8636" s="14">
        <v>43031.83726851852</v>
      </c>
      <c r="B8636" s="20" t="str">
        <f>HYPERLINK("https://twitter.com/KopitiamBot","@KopitiamBot")</f>
        <v>@KopitiamBot</v>
      </c>
      <c r="C8636" s="21" t="s">
        <v>11283</v>
      </c>
      <c r="D8636" s="21" t="s">
        <v>19034</v>
      </c>
      <c r="E8636" s="22" t="str">
        <f>HYPERLINK("https://twitter.com/KopitiamBot/status/922660335718469632","922660335718469632")</f>
        <v>922660335718469632</v>
      </c>
      <c r="F8636" s="30" t="s">
        <v>191</v>
      </c>
      <c r="G8636" s="24">
        <v>135.0</v>
      </c>
      <c r="H8636" s="24">
        <v>0.0</v>
      </c>
      <c r="I8636" s="24">
        <v>0.0</v>
      </c>
      <c r="J8636" s="24">
        <v>0.0</v>
      </c>
      <c r="K8636" s="23" t="s">
        <v>34</v>
      </c>
      <c r="L8636" s="25">
        <v>42492.91247685185</v>
      </c>
      <c r="M8636" s="26" t="s">
        <v>1224</v>
      </c>
      <c r="N8636" s="26" t="s">
        <v>11285</v>
      </c>
      <c r="O8636" s="22" t="str">
        <f>HYPERLINK("https://pbs.twimg.com/profile_images/727361549673730048/8lLDWbpp_normal.jpg","View")</f>
        <v>View</v>
      </c>
      <c r="P8636" s="27"/>
    </row>
    <row r="8637">
      <c r="A8637" s="14">
        <v>43031.83733796296</v>
      </c>
      <c r="B8637" s="20" t="str">
        <f>HYPERLINK("https://twitter.com/ai_203","@ai_203")</f>
        <v>@ai_203</v>
      </c>
      <c r="C8637" s="21" t="s">
        <v>19035</v>
      </c>
      <c r="D8637" s="21" t="s">
        <v>4857</v>
      </c>
      <c r="E8637" s="22" t="str">
        <f>HYPERLINK("https://twitter.com/ai_203/status/922660359273451521","922660359273451521")</f>
        <v>922660359273451521</v>
      </c>
      <c r="F8637" s="23" t="s">
        <v>39</v>
      </c>
      <c r="G8637" s="24">
        <v>46.0</v>
      </c>
      <c r="H8637" s="24">
        <v>58.0</v>
      </c>
      <c r="I8637" s="24">
        <v>55.0</v>
      </c>
      <c r="J8637" s="24">
        <v>0.0</v>
      </c>
      <c r="K8637" s="23" t="s">
        <v>34</v>
      </c>
      <c r="L8637" s="25">
        <v>40759.345497685186</v>
      </c>
      <c r="M8637" s="26" t="s">
        <v>853</v>
      </c>
      <c r="N8637" s="26" t="s">
        <v>19036</v>
      </c>
      <c r="O8637" s="22" t="str">
        <f>HYPERLINK("https://pbs.twimg.com/profile_images/901086421162672128/vBH3rDAR_normal.jpg","View")</f>
        <v>View</v>
      </c>
      <c r="P8637" s="27"/>
    </row>
    <row r="8638">
      <c r="A8638" s="14">
        <v>43031.837430555555</v>
      </c>
      <c r="B8638" s="20" t="str">
        <f>HYPERLINK("https://twitter.com/The_ZOGGS","@The_ZOGGS")</f>
        <v>@The_ZOGGS</v>
      </c>
      <c r="C8638" s="21" t="s">
        <v>19022</v>
      </c>
      <c r="D8638" s="21" t="s">
        <v>19016</v>
      </c>
      <c r="E8638" s="22" t="str">
        <f>HYPERLINK("https://twitter.com/The_ZOGGS/status/922660391972425729","922660391972425729")</f>
        <v>922660391972425729</v>
      </c>
      <c r="F8638" s="23" t="s">
        <v>39</v>
      </c>
      <c r="G8638" s="24">
        <v>270.0</v>
      </c>
      <c r="H8638" s="24">
        <v>594.0</v>
      </c>
      <c r="I8638" s="24">
        <v>51.0</v>
      </c>
      <c r="J8638" s="24">
        <v>0.0</v>
      </c>
      <c r="K8638" s="23" t="s">
        <v>34</v>
      </c>
      <c r="L8638" s="25">
        <v>40933.62157407407</v>
      </c>
      <c r="M8638" s="26" t="s">
        <v>3379</v>
      </c>
      <c r="N8638" s="26" t="s">
        <v>19023</v>
      </c>
      <c r="O8638" s="22" t="str">
        <f>HYPERLINK("https://pbs.twimg.com/profile_images/907507364340883456/0SF0DO00_normal.jpg","View")</f>
        <v>View</v>
      </c>
      <c r="P8638" s="27"/>
    </row>
    <row r="8639">
      <c r="A8639" s="14">
        <v>43031.837430555555</v>
      </c>
      <c r="B8639" s="20" t="str">
        <f>HYPERLINK("https://twitter.com/nkDarkDrgmailc1","@nkDarkDrgmailc1")</f>
        <v>@nkDarkDrgmailc1</v>
      </c>
      <c r="C8639" s="21" t="s">
        <v>18603</v>
      </c>
      <c r="D8639" s="21" t="s">
        <v>18917</v>
      </c>
      <c r="E8639" s="22" t="str">
        <f>HYPERLINK("https://twitter.com/nkDarkDrgmailc1/status/922660393494777856","922660393494777856")</f>
        <v>922660393494777856</v>
      </c>
      <c r="F8639" s="23" t="s">
        <v>33</v>
      </c>
      <c r="G8639" s="24">
        <v>4136.0</v>
      </c>
      <c r="H8639" s="24">
        <v>2888.0</v>
      </c>
      <c r="I8639" s="24">
        <v>6.0</v>
      </c>
      <c r="J8639" s="24">
        <v>0.0</v>
      </c>
      <c r="K8639" s="23" t="s">
        <v>34</v>
      </c>
      <c r="L8639" s="25">
        <v>42002.184340277774</v>
      </c>
      <c r="M8639" s="28"/>
      <c r="N8639" s="26" t="s">
        <v>18605</v>
      </c>
      <c r="O8639" s="22" t="str">
        <f>HYPERLINK("https://pbs.twimg.com/profile_images/549546382671900672/AD_kn2tS_normal.jpeg","View")</f>
        <v>View</v>
      </c>
      <c r="P8639" s="27"/>
    </row>
    <row r="8640">
      <c r="A8640" s="14">
        <v>43031.837476851855</v>
      </c>
      <c r="B8640" s="20" t="str">
        <f>HYPERLINK("https://twitter.com/dilipsinghr07","@dilipsinghr07")</f>
        <v>@dilipsinghr07</v>
      </c>
      <c r="C8640" s="21" t="s">
        <v>19037</v>
      </c>
      <c r="D8640" s="21" t="s">
        <v>42</v>
      </c>
      <c r="E8640" s="22" t="str">
        <f>HYPERLINK("https://twitter.com/dilipsinghr07/status/922660410712457217","922660410712457217")</f>
        <v>922660410712457217</v>
      </c>
      <c r="F8640" s="23" t="s">
        <v>33</v>
      </c>
      <c r="G8640" s="24">
        <v>881.0</v>
      </c>
      <c r="H8640" s="24">
        <v>4644.0</v>
      </c>
      <c r="I8640" s="24">
        <v>8501.0</v>
      </c>
      <c r="J8640" s="24">
        <v>0.0</v>
      </c>
      <c r="K8640" s="23" t="s">
        <v>34</v>
      </c>
      <c r="L8640" s="25">
        <v>41925.30546296296</v>
      </c>
      <c r="M8640" s="26" t="s">
        <v>19038</v>
      </c>
      <c r="N8640" s="26" t="s">
        <v>19039</v>
      </c>
      <c r="O8640" s="22" t="str">
        <f>HYPERLINK("https://pbs.twimg.com/profile_images/576362888484409344/s34qh1yv_normal.jpeg","View")</f>
        <v>View</v>
      </c>
      <c r="P8640" s="27"/>
    </row>
    <row r="8641">
      <c r="A8641" s="14">
        <v>43031.837592592594</v>
      </c>
      <c r="B8641" s="20" t="str">
        <f>HYPERLINK("https://twitter.com/CoreyGrossJr","@CoreyGrossJr")</f>
        <v>@CoreyGrossJr</v>
      </c>
      <c r="C8641" s="21" t="s">
        <v>19040</v>
      </c>
      <c r="D8641" s="21" t="s">
        <v>19041</v>
      </c>
      <c r="E8641" s="22" t="str">
        <f>HYPERLINK("https://twitter.com/CoreyGrossJr/status/922660450155859970","922660450155859970")</f>
        <v>922660450155859970</v>
      </c>
      <c r="F8641" s="23" t="s">
        <v>43</v>
      </c>
      <c r="G8641" s="24">
        <v>1573.0</v>
      </c>
      <c r="H8641" s="24">
        <v>3250.0</v>
      </c>
      <c r="I8641" s="24">
        <v>1.0</v>
      </c>
      <c r="J8641" s="24">
        <v>0.0</v>
      </c>
      <c r="K8641" s="23" t="s">
        <v>34</v>
      </c>
      <c r="L8641" s="25">
        <v>41450.347395833334</v>
      </c>
      <c r="M8641" s="26" t="s">
        <v>5941</v>
      </c>
      <c r="N8641" s="26" t="s">
        <v>19042</v>
      </c>
      <c r="O8641" s="22" t="str">
        <f>HYPERLINK("https://pbs.twimg.com/profile_images/920001334987730944/XLecuT21_normal.jpg","View")</f>
        <v>View</v>
      </c>
      <c r="P8641" s="27"/>
    </row>
    <row r="8642">
      <c r="A8642" s="14">
        <v>43031.83762731482</v>
      </c>
      <c r="B8642" s="20" t="str">
        <f>HYPERLINK("https://twitter.com/reneeorefice","@reneeorefice")</f>
        <v>@reneeorefice</v>
      </c>
      <c r="C8642" s="21" t="s">
        <v>19043</v>
      </c>
      <c r="D8642" s="21" t="s">
        <v>19016</v>
      </c>
      <c r="E8642" s="22" t="str">
        <f>HYPERLINK("https://twitter.com/reneeorefice/status/922660465951457281","922660465951457281")</f>
        <v>922660465951457281</v>
      </c>
      <c r="F8642" s="23" t="s">
        <v>33</v>
      </c>
      <c r="G8642" s="24">
        <v>255.0</v>
      </c>
      <c r="H8642" s="24">
        <v>1080.0</v>
      </c>
      <c r="I8642" s="24">
        <v>51.0</v>
      </c>
      <c r="J8642" s="24">
        <v>0.0</v>
      </c>
      <c r="K8642" s="23" t="s">
        <v>34</v>
      </c>
      <c r="L8642" s="25">
        <v>41556.94753472222</v>
      </c>
      <c r="M8642" s="28"/>
      <c r="N8642" s="26" t="s">
        <v>19044</v>
      </c>
      <c r="O8642" s="22" t="str">
        <f>HYPERLINK("https://pbs.twimg.com/profile_images/378800000574464752/55f8a91d8ec2009154403b4e2d50bb7a_normal.jpeg","View")</f>
        <v>View</v>
      </c>
      <c r="P8642" s="27"/>
    </row>
    <row r="8643">
      <c r="A8643" s="14">
        <v>43031.837685185186</v>
      </c>
      <c r="B8643" s="20" t="str">
        <f>HYPERLINK("https://twitter.com/InvestingLatest","@InvestingLatest")</f>
        <v>@InvestingLatest</v>
      </c>
      <c r="C8643" s="21" t="s">
        <v>3758</v>
      </c>
      <c r="D8643" s="21" t="s">
        <v>19045</v>
      </c>
      <c r="E8643" s="22" t="str">
        <f>HYPERLINK("https://twitter.com/InvestingLatest/status/922660485593485313","922660485593485313")</f>
        <v>922660485593485313</v>
      </c>
      <c r="F8643" s="23" t="s">
        <v>187</v>
      </c>
      <c r="G8643" s="24">
        <v>1534.0</v>
      </c>
      <c r="H8643" s="24">
        <v>33.0</v>
      </c>
      <c r="I8643" s="24">
        <v>0.0</v>
      </c>
      <c r="J8643" s="24">
        <v>0.0</v>
      </c>
      <c r="K8643" s="23" t="s">
        <v>34</v>
      </c>
      <c r="L8643" s="25">
        <v>41946.3308912037</v>
      </c>
      <c r="M8643" s="28"/>
      <c r="N8643" s="26" t="s">
        <v>3760</v>
      </c>
      <c r="O8643" s="22" t="str">
        <f>HYPERLINK("https://pbs.twimg.com/profile_images/529461684297945089/uscUz0UO_normal.jpeg","View")</f>
        <v>View</v>
      </c>
      <c r="P8643" s="27"/>
    </row>
    <row r="8644">
      <c r="A8644" s="14">
        <v>43031.837685185186</v>
      </c>
      <c r="B8644" s="20" t="str">
        <f>HYPERLINK("https://twitter.com/BonfaceNyangla","@BonfaceNyangla")</f>
        <v>@BonfaceNyangla</v>
      </c>
      <c r="C8644" s="21" t="s">
        <v>19046</v>
      </c>
      <c r="D8644" s="21" t="s">
        <v>19047</v>
      </c>
      <c r="E8644" s="22" t="str">
        <f>HYPERLINK("https://twitter.com/BonfaceNyangla/status/922660485975232512","922660485975232512")</f>
        <v>922660485975232512</v>
      </c>
      <c r="F8644" s="23" t="s">
        <v>33</v>
      </c>
      <c r="G8644" s="24">
        <v>834.0</v>
      </c>
      <c r="H8644" s="24">
        <v>296.0</v>
      </c>
      <c r="I8644" s="24">
        <v>0.0</v>
      </c>
      <c r="J8644" s="24">
        <v>0.0</v>
      </c>
      <c r="K8644" s="23" t="s">
        <v>34</v>
      </c>
      <c r="L8644" s="25">
        <v>41528.40864583333</v>
      </c>
      <c r="M8644" s="26" t="s">
        <v>19048</v>
      </c>
      <c r="N8644" s="26" t="s">
        <v>19049</v>
      </c>
      <c r="O8644" s="22" t="str">
        <f>HYPERLINK("https://pbs.twimg.com/profile_images/887328991106879488/RHjzSFlq_normal.jpg","View")</f>
        <v>View</v>
      </c>
      <c r="P8644" s="27"/>
    </row>
    <row r="8645">
      <c r="A8645" s="14">
        <v>43031.837847222225</v>
      </c>
      <c r="B8645" s="20" t="str">
        <f>HYPERLINK("https://twitter.com/Himanshu_Tyagii","@Himanshu_Tyagii")</f>
        <v>@Himanshu_Tyagii</v>
      </c>
      <c r="C8645" s="21" t="s">
        <v>19050</v>
      </c>
      <c r="D8645" s="21" t="s">
        <v>42</v>
      </c>
      <c r="E8645" s="22" t="str">
        <f>HYPERLINK("https://twitter.com/Himanshu_Tyagii/status/922660545819324416","922660545819324416")</f>
        <v>922660545819324416</v>
      </c>
      <c r="F8645" s="23" t="s">
        <v>33</v>
      </c>
      <c r="G8645" s="24">
        <v>38.0</v>
      </c>
      <c r="H8645" s="24">
        <v>151.0</v>
      </c>
      <c r="I8645" s="24">
        <v>8501.0</v>
      </c>
      <c r="J8645" s="24">
        <v>0.0</v>
      </c>
      <c r="K8645" s="23" t="s">
        <v>34</v>
      </c>
      <c r="L8645" s="25">
        <v>42814.95434027778</v>
      </c>
      <c r="M8645" s="26" t="s">
        <v>575</v>
      </c>
      <c r="N8645" s="26" t="s">
        <v>19051</v>
      </c>
      <c r="O8645" s="22" t="str">
        <f>HYPERLINK("https://pbs.twimg.com/profile_images/855119483551305728/00-7q22i_normal.jpg","View")</f>
        <v>View</v>
      </c>
      <c r="P8645" s="27"/>
    </row>
    <row r="8646">
      <c r="A8646" s="14">
        <v>43031.83797453703</v>
      </c>
      <c r="B8646" s="20" t="str">
        <f>HYPERLINK("https://twitter.com/s_escamillac","@s_escamillac")</f>
        <v>@s_escamillac</v>
      </c>
      <c r="C8646" s="21" t="s">
        <v>19052</v>
      </c>
      <c r="D8646" s="21" t="s">
        <v>19016</v>
      </c>
      <c r="E8646" s="22" t="str">
        <f>HYPERLINK("https://twitter.com/s_escamillac/status/922660588190404615","922660588190404615")</f>
        <v>922660588190404615</v>
      </c>
      <c r="F8646" s="23" t="s">
        <v>39</v>
      </c>
      <c r="G8646" s="24">
        <v>257.0</v>
      </c>
      <c r="H8646" s="24">
        <v>1037.0</v>
      </c>
      <c r="I8646" s="24">
        <v>51.0</v>
      </c>
      <c r="J8646" s="24">
        <v>0.0</v>
      </c>
      <c r="K8646" s="23" t="s">
        <v>34</v>
      </c>
      <c r="L8646" s="25">
        <v>40931.82697916667</v>
      </c>
      <c r="M8646" s="28"/>
      <c r="N8646" s="28"/>
      <c r="O8646" s="22" t="str">
        <f>HYPERLINK("https://pbs.twimg.com/profile_images/627331356003954688/e6KDfFij_normal.jpg","View")</f>
        <v>View</v>
      </c>
      <c r="P8646" s="27"/>
    </row>
    <row r="8647">
      <c r="A8647" s="14">
        <v>43031.83799768519</v>
      </c>
      <c r="B8647" s="20" t="str">
        <f>HYPERLINK("https://twitter.com/rjimenezu","@rjimenezu")</f>
        <v>@rjimenezu</v>
      </c>
      <c r="C8647" s="21" t="s">
        <v>14798</v>
      </c>
      <c r="D8647" s="21" t="s">
        <v>19053</v>
      </c>
      <c r="E8647" s="22" t="str">
        <f>HYPERLINK("https://twitter.com/rjimenezu/status/922660600169320449","922660600169320449")</f>
        <v>922660600169320449</v>
      </c>
      <c r="F8647" s="23" t="s">
        <v>187</v>
      </c>
      <c r="G8647" s="24">
        <v>521.0</v>
      </c>
      <c r="H8647" s="24">
        <v>712.0</v>
      </c>
      <c r="I8647" s="24">
        <v>0.0</v>
      </c>
      <c r="J8647" s="24">
        <v>0.0</v>
      </c>
      <c r="K8647" s="23" t="s">
        <v>34</v>
      </c>
      <c r="L8647" s="25">
        <v>40350.592511574076</v>
      </c>
      <c r="M8647" s="28"/>
      <c r="N8647" s="26" t="s">
        <v>14800</v>
      </c>
      <c r="O8647" s="22" t="str">
        <f>HYPERLINK("https://pbs.twimg.com/profile_images/906645970632417280/gT00Oflk_normal.jpg","View")</f>
        <v>View</v>
      </c>
      <c r="P8647" s="27"/>
    </row>
    <row r="8648">
      <c r="A8648" s="14">
        <v>43031.83803240741</v>
      </c>
      <c r="B8648" s="20" t="str">
        <f>HYPERLINK("https://twitter.com/nkDarkDrgmailc1","@nkDarkDrgmailc1")</f>
        <v>@nkDarkDrgmailc1</v>
      </c>
      <c r="C8648" s="21" t="s">
        <v>18603</v>
      </c>
      <c r="D8648" s="21" t="s">
        <v>18983</v>
      </c>
      <c r="E8648" s="22" t="str">
        <f>HYPERLINK("https://twitter.com/nkDarkDrgmailc1/status/922660609782562816","922660609782562816")</f>
        <v>922660609782562816</v>
      </c>
      <c r="F8648" s="23" t="s">
        <v>33</v>
      </c>
      <c r="G8648" s="24">
        <v>4136.0</v>
      </c>
      <c r="H8648" s="24">
        <v>2888.0</v>
      </c>
      <c r="I8648" s="24">
        <v>7.0</v>
      </c>
      <c r="J8648" s="24">
        <v>0.0</v>
      </c>
      <c r="K8648" s="23" t="s">
        <v>34</v>
      </c>
      <c r="L8648" s="25">
        <v>42002.184340277774</v>
      </c>
      <c r="M8648" s="28"/>
      <c r="N8648" s="26" t="s">
        <v>18605</v>
      </c>
      <c r="O8648" s="22" t="str">
        <f>HYPERLINK("https://pbs.twimg.com/profile_images/549546382671900672/AD_kn2tS_normal.jpeg","View")</f>
        <v>View</v>
      </c>
      <c r="P8648" s="27"/>
    </row>
    <row r="8649">
      <c r="A8649" s="14">
        <v>43031.838113425925</v>
      </c>
      <c r="B8649" s="20" t="str">
        <f>HYPERLINK("https://twitter.com/Kataphraktes","@Kataphraktes")</f>
        <v>@Kataphraktes</v>
      </c>
      <c r="C8649" s="21" t="s">
        <v>19054</v>
      </c>
      <c r="D8649" s="21" t="s">
        <v>12148</v>
      </c>
      <c r="E8649" s="22" t="str">
        <f>HYPERLINK("https://twitter.com/Kataphraktes/status/922660638849142784","922660638849142784")</f>
        <v>922660638849142784</v>
      </c>
      <c r="F8649" s="23" t="s">
        <v>33</v>
      </c>
      <c r="G8649" s="24">
        <v>1139.0</v>
      </c>
      <c r="H8649" s="24">
        <v>4396.0</v>
      </c>
      <c r="I8649" s="24">
        <v>3.0</v>
      </c>
      <c r="J8649" s="24">
        <v>0.0</v>
      </c>
      <c r="K8649" s="23" t="s">
        <v>34</v>
      </c>
      <c r="L8649" s="25">
        <v>40335.41533564815</v>
      </c>
      <c r="M8649" s="26" t="s">
        <v>19055</v>
      </c>
      <c r="N8649" s="26" t="s">
        <v>19056</v>
      </c>
      <c r="O8649" s="22" t="str">
        <f>HYPERLINK("https://pbs.twimg.com/profile_images/916107891530256384/RI82-6IF_normal.jpg","View")</f>
        <v>View</v>
      </c>
      <c r="P8649" s="27"/>
    </row>
    <row r="8650">
      <c r="A8650" s="14">
        <v>43031.83818287037</v>
      </c>
      <c r="B8650" s="20" t="str">
        <f>HYPERLINK("https://twitter.com/SRaajaAdvocate","@SRaajaAdvocate")</f>
        <v>@SRaajaAdvocate</v>
      </c>
      <c r="C8650" s="21" t="s">
        <v>19057</v>
      </c>
      <c r="D8650" s="21" t="s">
        <v>42</v>
      </c>
      <c r="E8650" s="22" t="str">
        <f>HYPERLINK("https://twitter.com/SRaajaAdvocate/status/922660665805832194","922660665805832194")</f>
        <v>922660665805832194</v>
      </c>
      <c r="F8650" s="23" t="s">
        <v>33</v>
      </c>
      <c r="G8650" s="24">
        <v>1015.0</v>
      </c>
      <c r="H8650" s="24">
        <v>3827.0</v>
      </c>
      <c r="I8650" s="24">
        <v>8501.0</v>
      </c>
      <c r="J8650" s="24">
        <v>0.0</v>
      </c>
      <c r="K8650" s="23" t="s">
        <v>34</v>
      </c>
      <c r="L8650" s="25">
        <v>42316.09645833333</v>
      </c>
      <c r="M8650" s="26" t="s">
        <v>136</v>
      </c>
      <c r="N8650" s="26" t="s">
        <v>19058</v>
      </c>
      <c r="O8650" s="22" t="str">
        <f>HYPERLINK("https://pbs.twimg.com/profile_images/807957115155288069/ekf9ip4U_normal.jpg","View")</f>
        <v>View</v>
      </c>
      <c r="P8650" s="27"/>
    </row>
    <row r="8651">
      <c r="A8651" s="14">
        <v>43031.83820601852</v>
      </c>
      <c r="B8651" s="20" t="str">
        <f>HYPERLINK("https://twitter.com/SheilaSmithCFR","@SheilaSmithCFR")</f>
        <v>@SheilaSmithCFR</v>
      </c>
      <c r="C8651" s="21" t="s">
        <v>5595</v>
      </c>
      <c r="D8651" s="21" t="s">
        <v>19059</v>
      </c>
      <c r="E8651" s="22" t="str">
        <f>HYPERLINK("https://twitter.com/SheilaSmithCFR/status/922660674571993090","922660674571993090")</f>
        <v>922660674571993090</v>
      </c>
      <c r="F8651" s="23" t="s">
        <v>39</v>
      </c>
      <c r="G8651" s="24">
        <v>4431.0</v>
      </c>
      <c r="H8651" s="24">
        <v>310.0</v>
      </c>
      <c r="I8651" s="24">
        <v>2.0</v>
      </c>
      <c r="J8651" s="24">
        <v>0.0</v>
      </c>
      <c r="K8651" s="23" t="s">
        <v>34</v>
      </c>
      <c r="L8651" s="25">
        <v>40897.79835648148</v>
      </c>
      <c r="M8651" s="26" t="s">
        <v>4239</v>
      </c>
      <c r="N8651" s="26" t="s">
        <v>5596</v>
      </c>
      <c r="O8651" s="22" t="str">
        <f>HYPERLINK("https://pbs.twimg.com/profile_images/474587797337042945/HOSFbOao_normal.jpeg","View")</f>
        <v>View</v>
      </c>
      <c r="P8651" s="27"/>
    </row>
    <row r="8652">
      <c r="A8652" s="14">
        <v>43031.838229166664</v>
      </c>
      <c r="B8652" s="20" t="str">
        <f>HYPERLINK("https://twitter.com/suicidalbanker","@suicidalbanker")</f>
        <v>@suicidalbanker</v>
      </c>
      <c r="C8652" s="21" t="s">
        <v>19060</v>
      </c>
      <c r="D8652" s="21" t="s">
        <v>19061</v>
      </c>
      <c r="E8652" s="22" t="str">
        <f>HYPERLINK("https://twitter.com/suicidalbanker/status/922660683182882816","922660683182882816")</f>
        <v>922660683182882816</v>
      </c>
      <c r="F8652" s="30" t="s">
        <v>411</v>
      </c>
      <c r="G8652" s="24">
        <v>17290.0</v>
      </c>
      <c r="H8652" s="24">
        <v>113.0</v>
      </c>
      <c r="I8652" s="24">
        <v>4.0</v>
      </c>
      <c r="J8652" s="24">
        <v>0.0</v>
      </c>
      <c r="K8652" s="23" t="s">
        <v>34</v>
      </c>
      <c r="L8652" s="25">
        <v>42867.80805555556</v>
      </c>
      <c r="M8652" s="26" t="s">
        <v>3507</v>
      </c>
      <c r="N8652" s="26" t="s">
        <v>19062</v>
      </c>
      <c r="O8652" s="22" t="str">
        <f>HYPERLINK("https://pbs.twimg.com/profile_images/888833535586578432/912pvaxn_normal.jpg","View")</f>
        <v>View</v>
      </c>
      <c r="P8652" s="27"/>
    </row>
    <row r="8653">
      <c r="A8653" s="14">
        <v>43031.83824074074</v>
      </c>
      <c r="B8653" s="20" t="str">
        <f>HYPERLINK("https://twitter.com/FeedBitcoinCat","@FeedBitcoinCat")</f>
        <v>@FeedBitcoinCat</v>
      </c>
      <c r="C8653" s="21" t="s">
        <v>19063</v>
      </c>
      <c r="D8653" s="21" t="s">
        <v>19061</v>
      </c>
      <c r="E8653" s="22" t="str">
        <f>HYPERLINK("https://twitter.com/FeedBitcoinCat/status/922660685103824896","922660685103824896")</f>
        <v>922660685103824896</v>
      </c>
      <c r="F8653" s="30" t="s">
        <v>411</v>
      </c>
      <c r="G8653" s="24">
        <v>140.0</v>
      </c>
      <c r="H8653" s="24">
        <v>1.0</v>
      </c>
      <c r="I8653" s="24">
        <v>4.0</v>
      </c>
      <c r="J8653" s="24">
        <v>0.0</v>
      </c>
      <c r="K8653" s="23" t="s">
        <v>34</v>
      </c>
      <c r="L8653" s="25">
        <v>42809.040300925924</v>
      </c>
      <c r="M8653" s="26" t="s">
        <v>3693</v>
      </c>
      <c r="N8653" s="26" t="s">
        <v>19064</v>
      </c>
      <c r="O8653" s="22" t="str">
        <f>HYPERLINK("https://pbs.twimg.com/profile_images/888490901768744960/zraGkJEF_normal.jpg","View")</f>
        <v>View</v>
      </c>
      <c r="P8653" s="27"/>
    </row>
    <row r="8654">
      <c r="A8654" s="14">
        <v>43031.83825231482</v>
      </c>
      <c r="B8654" s="20" t="str">
        <f>HYPERLINK("https://twitter.com/ManeshMatin","@ManeshMatin")</f>
        <v>@ManeshMatin</v>
      </c>
      <c r="C8654" s="21" t="s">
        <v>19065</v>
      </c>
      <c r="D8654" s="21" t="s">
        <v>19061</v>
      </c>
      <c r="E8654" s="22" t="str">
        <f>HYPERLINK("https://twitter.com/ManeshMatin/status/922660689314963456","922660689314963456")</f>
        <v>922660689314963456</v>
      </c>
      <c r="F8654" s="30" t="s">
        <v>411</v>
      </c>
      <c r="G8654" s="24">
        <v>10.0</v>
      </c>
      <c r="H8654" s="24">
        <v>4.0</v>
      </c>
      <c r="I8654" s="24">
        <v>4.0</v>
      </c>
      <c r="J8654" s="24">
        <v>0.0</v>
      </c>
      <c r="K8654" s="23" t="s">
        <v>34</v>
      </c>
      <c r="L8654" s="25">
        <v>42965.24450231482</v>
      </c>
      <c r="M8654" s="28"/>
      <c r="N8654" s="28"/>
      <c r="O8654" s="22" t="str">
        <f>HYPERLINK("https://pbs.twimg.com/profile_images/898528442345562112/EtrNk8qi_normal.jpg","View")</f>
        <v>View</v>
      </c>
      <c r="P8654" s="27"/>
    </row>
    <row r="8655">
      <c r="A8655" s="14">
        <v>43031.83825231482</v>
      </c>
      <c r="B8655" s="20" t="str">
        <f>HYPERLINK("https://twitter.com/FGoria","@FGoria")</f>
        <v>@FGoria</v>
      </c>
      <c r="C8655" s="21" t="s">
        <v>19066</v>
      </c>
      <c r="D8655" s="21" t="s">
        <v>19067</v>
      </c>
      <c r="E8655" s="22" t="str">
        <f>HYPERLINK("https://twitter.com/FGoria/status/922660691298934784","922660691298934784")</f>
        <v>922660691298934784</v>
      </c>
      <c r="F8655" s="23" t="s">
        <v>187</v>
      </c>
      <c r="G8655" s="24">
        <v>45205.0</v>
      </c>
      <c r="H8655" s="24">
        <v>411.0</v>
      </c>
      <c r="I8655" s="24">
        <v>0.0</v>
      </c>
      <c r="J8655" s="24">
        <v>0.0</v>
      </c>
      <c r="K8655" s="23" t="s">
        <v>34</v>
      </c>
      <c r="L8655" s="25">
        <v>39229.25</v>
      </c>
      <c r="M8655" s="26" t="s">
        <v>4239</v>
      </c>
      <c r="N8655" s="26" t="s">
        <v>19068</v>
      </c>
      <c r="O8655" s="22" t="str">
        <f>HYPERLINK("https://pbs.twimg.com/profile_images/662499913322897409/NeXfh-ja_normal.jpg","View")</f>
        <v>View</v>
      </c>
      <c r="P8655" s="27"/>
    </row>
    <row r="8656">
      <c r="A8656" s="14">
        <v>43031.83832175926</v>
      </c>
      <c r="B8656" s="20" t="str">
        <f>HYPERLINK("https://twitter.com/UngerAcademy","@UngerAcademy")</f>
        <v>@UngerAcademy</v>
      </c>
      <c r="C8656" s="21" t="s">
        <v>19069</v>
      </c>
      <c r="D8656" s="21" t="s">
        <v>19070</v>
      </c>
      <c r="E8656" s="22" t="str">
        <f>HYPERLINK("https://twitter.com/UngerAcademy/status/922660714678022144","922660714678022144")</f>
        <v>922660714678022144</v>
      </c>
      <c r="F8656" s="23" t="s">
        <v>187</v>
      </c>
      <c r="G8656" s="24">
        <v>879.0</v>
      </c>
      <c r="H8656" s="24">
        <v>713.0</v>
      </c>
      <c r="I8656" s="24">
        <v>0.0</v>
      </c>
      <c r="J8656" s="24">
        <v>0.0</v>
      </c>
      <c r="K8656" s="23" t="s">
        <v>34</v>
      </c>
      <c r="L8656" s="25">
        <v>42191.42873842592</v>
      </c>
      <c r="M8656" s="26" t="s">
        <v>2429</v>
      </c>
      <c r="N8656" s="26" t="s">
        <v>19071</v>
      </c>
      <c r="O8656" s="22" t="str">
        <f>HYPERLINK("https://pbs.twimg.com/profile_images/897770305896292353/-w0pdefd_normal.jpg","View")</f>
        <v>View</v>
      </c>
      <c r="P8656" s="27"/>
    </row>
    <row r="8657">
      <c r="A8657" s="14">
        <v>43031.838368055556</v>
      </c>
      <c r="B8657" s="20" t="str">
        <f>HYPERLINK("https://twitter.com/StockNewsUK","@StockNewsUK")</f>
        <v>@StockNewsUK</v>
      </c>
      <c r="C8657" s="21" t="s">
        <v>19072</v>
      </c>
      <c r="D8657" s="21" t="s">
        <v>19073</v>
      </c>
      <c r="E8657" s="22" t="str">
        <f>HYPERLINK("https://twitter.com/StockNewsUK/status/922660731027427328","922660731027427328")</f>
        <v>922660731027427328</v>
      </c>
      <c r="F8657" s="23" t="s">
        <v>187</v>
      </c>
      <c r="G8657" s="24">
        <v>90.0</v>
      </c>
      <c r="H8657" s="24">
        <v>0.0</v>
      </c>
      <c r="I8657" s="24">
        <v>0.0</v>
      </c>
      <c r="J8657" s="24">
        <v>0.0</v>
      </c>
      <c r="K8657" s="23" t="s">
        <v>34</v>
      </c>
      <c r="L8657" s="25">
        <v>41471.414814814816</v>
      </c>
      <c r="M8657" s="28"/>
      <c r="N8657" s="26" t="s">
        <v>19074</v>
      </c>
      <c r="O8657" s="22" t="str">
        <f>HYPERLINK("https://pbs.twimg.com/profile_images/378800000143114342/c8bf01c5b6c3f4a2f233abbce546cb20_normal.jpeg","View")</f>
        <v>View</v>
      </c>
      <c r="P8657" s="27"/>
    </row>
    <row r="8658">
      <c r="A8658" s="14">
        <v>43031.838379629626</v>
      </c>
      <c r="B8658" s="20" t="str">
        <f>HYPERLINK("https://twitter.com/CoreCenter","@CoreCenter")</f>
        <v>@CoreCenter</v>
      </c>
      <c r="C8658" s="21">
        <v>1.0</v>
      </c>
      <c r="D8658" s="21" t="s">
        <v>19016</v>
      </c>
      <c r="E8658" s="22" t="str">
        <f>HYPERLINK("https://twitter.com/CoreCenter/status/922660736396136448","922660736396136448")</f>
        <v>922660736396136448</v>
      </c>
      <c r="F8658" s="23" t="s">
        <v>55</v>
      </c>
      <c r="G8658" s="24">
        <v>1003.0</v>
      </c>
      <c r="H8658" s="24">
        <v>816.0</v>
      </c>
      <c r="I8658" s="24">
        <v>51.0</v>
      </c>
      <c r="J8658" s="24">
        <v>0.0</v>
      </c>
      <c r="K8658" s="23" t="s">
        <v>34</v>
      </c>
      <c r="L8658" s="25">
        <v>42307.31748842592</v>
      </c>
      <c r="M8658" s="28"/>
      <c r="N8658" s="26" t="s">
        <v>19075</v>
      </c>
      <c r="O8658" s="22" t="str">
        <f>HYPERLINK("https://pbs.twimg.com/profile_images/922975479350661120/jNAM9W3X_normal.jpg","View")</f>
        <v>View</v>
      </c>
      <c r="P8658" s="27"/>
    </row>
    <row r="8659">
      <c r="A8659" s="14">
        <v>43031.8387037037</v>
      </c>
      <c r="B8659" s="20" t="str">
        <f>HYPERLINK("https://twitter.com/chaostheprofess","@chaostheprofess")</f>
        <v>@chaostheprofess</v>
      </c>
      <c r="C8659" s="21" t="s">
        <v>19076</v>
      </c>
      <c r="D8659" s="21" t="s">
        <v>1642</v>
      </c>
      <c r="E8659" s="22" t="str">
        <f>HYPERLINK("https://twitter.com/chaostheprofess/status/922660855132520450","922660855132520450")</f>
        <v>922660855132520450</v>
      </c>
      <c r="F8659" s="23" t="s">
        <v>55</v>
      </c>
      <c r="G8659" s="24">
        <v>113.0</v>
      </c>
      <c r="H8659" s="24">
        <v>451.0</v>
      </c>
      <c r="I8659" s="24">
        <v>199.0</v>
      </c>
      <c r="J8659" s="24">
        <v>0.0</v>
      </c>
      <c r="K8659" s="23" t="s">
        <v>34</v>
      </c>
      <c r="L8659" s="25">
        <v>40238.226736111115</v>
      </c>
      <c r="M8659" s="26" t="s">
        <v>923</v>
      </c>
      <c r="N8659" s="26" t="s">
        <v>19077</v>
      </c>
      <c r="O8659" s="22" t="str">
        <f>HYPERLINK("https://pbs.twimg.com/profile_images/771221331060764673/TW1BHjSN_normal.jpg","View")</f>
        <v>View</v>
      </c>
      <c r="P8659" s="27"/>
    </row>
    <row r="8660">
      <c r="A8660" s="14">
        <v>43031.838738425926</v>
      </c>
      <c r="B8660" s="20" t="str">
        <f>HYPERLINK("https://twitter.com/normandin_jay","@normandin_jay")</f>
        <v>@normandin_jay</v>
      </c>
      <c r="C8660" s="21" t="s">
        <v>19078</v>
      </c>
      <c r="D8660" s="21" t="s">
        <v>16537</v>
      </c>
      <c r="E8660" s="22" t="str">
        <f>HYPERLINK("https://twitter.com/normandin_jay/status/922660866851352576","922660866851352576")</f>
        <v>922660866851352576</v>
      </c>
      <c r="F8660" s="23" t="s">
        <v>43</v>
      </c>
      <c r="G8660" s="24">
        <v>98.0</v>
      </c>
      <c r="H8660" s="24">
        <v>212.0</v>
      </c>
      <c r="I8660" s="24">
        <v>242.0</v>
      </c>
      <c r="J8660" s="24">
        <v>0.0</v>
      </c>
      <c r="K8660" s="23" t="s">
        <v>34</v>
      </c>
      <c r="L8660" s="25">
        <v>42640.8143287037</v>
      </c>
      <c r="M8660" s="28"/>
      <c r="N8660" s="28"/>
      <c r="O8660" s="22" t="str">
        <f>HYPERLINK("https://abs.twimg.com/sticky/default_profile_images/default_profile_normal.png","View")</f>
        <v>View</v>
      </c>
      <c r="P8660" s="27"/>
    </row>
    <row r="8661">
      <c r="A8661" s="14">
        <v>43031.83880787037</v>
      </c>
      <c r="B8661" s="20" t="str">
        <f>HYPERLINK("https://twitter.com/iamjitenderRana","@iamjitenderRana")</f>
        <v>@iamjitenderRana</v>
      </c>
      <c r="C8661" s="21" t="s">
        <v>19079</v>
      </c>
      <c r="D8661" s="21" t="s">
        <v>42</v>
      </c>
      <c r="E8661" s="22" t="str">
        <f>HYPERLINK("https://twitter.com/iamjitenderRana/status/922660890184335360","922660890184335360")</f>
        <v>922660890184335360</v>
      </c>
      <c r="F8661" s="23" t="s">
        <v>33</v>
      </c>
      <c r="G8661" s="24">
        <v>266.0</v>
      </c>
      <c r="H8661" s="24">
        <v>671.0</v>
      </c>
      <c r="I8661" s="24">
        <v>8501.0</v>
      </c>
      <c r="J8661" s="24">
        <v>0.0</v>
      </c>
      <c r="K8661" s="23" t="s">
        <v>34</v>
      </c>
      <c r="L8661" s="25">
        <v>42363.793229166666</v>
      </c>
      <c r="M8661" s="26" t="s">
        <v>204</v>
      </c>
      <c r="N8661" s="28"/>
      <c r="O8661" s="22" t="str">
        <f>HYPERLINK("https://pbs.twimg.com/profile_images/680585737708830720/H8jqAjy2_normal.jpg","View")</f>
        <v>View</v>
      </c>
      <c r="P8661" s="27"/>
    </row>
    <row r="8662">
      <c r="A8662" s="14">
        <v>43031.83899305556</v>
      </c>
      <c r="B8662" s="20" t="str">
        <f>HYPERLINK("https://twitter.com/JamesRoy","@JamesRoy")</f>
        <v>@JamesRoy</v>
      </c>
      <c r="C8662" s="21" t="s">
        <v>14836</v>
      </c>
      <c r="D8662" s="21" t="s">
        <v>19080</v>
      </c>
      <c r="E8662" s="22" t="str">
        <f>HYPERLINK("https://twitter.com/JamesRoy/status/922660957704413184","922660957704413184")</f>
        <v>922660957704413184</v>
      </c>
      <c r="F8662" s="23" t="s">
        <v>187</v>
      </c>
      <c r="G8662" s="24">
        <v>14551.0</v>
      </c>
      <c r="H8662" s="24">
        <v>0.0</v>
      </c>
      <c r="I8662" s="24">
        <v>0.0</v>
      </c>
      <c r="J8662" s="24">
        <v>0.0</v>
      </c>
      <c r="K8662" s="23" t="s">
        <v>34</v>
      </c>
      <c r="L8662" s="25">
        <v>39826.25667824074</v>
      </c>
      <c r="M8662" s="26" t="s">
        <v>14838</v>
      </c>
      <c r="N8662" s="26" t="s">
        <v>14839</v>
      </c>
      <c r="O8662" s="22" t="str">
        <f>HYPERLINK("https://pbs.twimg.com/profile_images/638077492847378432/_B521DK6_normal.jpg","View")</f>
        <v>View</v>
      </c>
      <c r="P8662" s="27"/>
    </row>
    <row r="8663">
      <c r="A8663" s="14">
        <v>43031.839120370365</v>
      </c>
      <c r="B8663" s="20" t="str">
        <f>HYPERLINK("https://twitter.com/xialiang896415","@xialiang896415")</f>
        <v>@xialiang896415</v>
      </c>
      <c r="C8663" s="21" t="s">
        <v>19081</v>
      </c>
      <c r="D8663" s="21" t="s">
        <v>19061</v>
      </c>
      <c r="E8663" s="22" t="str">
        <f>HYPERLINK("https://twitter.com/xialiang896415/status/922661006278455296","922661006278455296")</f>
        <v>922661006278455296</v>
      </c>
      <c r="F8663" s="23" t="s">
        <v>33</v>
      </c>
      <c r="G8663" s="24">
        <v>5.0</v>
      </c>
      <c r="H8663" s="24">
        <v>111.0</v>
      </c>
      <c r="I8663" s="24">
        <v>4.0</v>
      </c>
      <c r="J8663" s="24">
        <v>0.0</v>
      </c>
      <c r="K8663" s="23" t="s">
        <v>34</v>
      </c>
      <c r="L8663" s="25">
        <v>42991.17126157407</v>
      </c>
      <c r="M8663" s="26" t="s">
        <v>19082</v>
      </c>
      <c r="N8663" s="26" t="s">
        <v>19083</v>
      </c>
      <c r="O8663" s="22" t="str">
        <f>HYPERLINK("https://pbs.twimg.com/profile_images/907952944410107904/LLV6osws_normal.jpg","View")</f>
        <v>View</v>
      </c>
      <c r="P8663" s="27"/>
    </row>
    <row r="8664">
      <c r="A8664" s="14">
        <v>43031.83913194445</v>
      </c>
      <c r="B8664" s="20" t="str">
        <f>HYPERLINK("https://twitter.com/re_publicpr","@re_publicpr")</f>
        <v>@re_publicpr</v>
      </c>
      <c r="C8664" s="21" t="s">
        <v>19084</v>
      </c>
      <c r="D8664" s="21" t="s">
        <v>19085</v>
      </c>
      <c r="E8664" s="22" t="str">
        <f>HYPERLINK("https://twitter.com/re_publicpr/status/922661010040750080","922661010040750080")</f>
        <v>922661010040750080</v>
      </c>
      <c r="F8664" s="23" t="s">
        <v>39</v>
      </c>
      <c r="G8664" s="24">
        <v>39.0</v>
      </c>
      <c r="H8664" s="24">
        <v>186.0</v>
      </c>
      <c r="I8664" s="24">
        <v>0.0</v>
      </c>
      <c r="J8664" s="24">
        <v>1.0</v>
      </c>
      <c r="K8664" s="23" t="s">
        <v>34</v>
      </c>
      <c r="L8664" s="25">
        <v>42451.19887731482</v>
      </c>
      <c r="M8664" s="26" t="s">
        <v>6425</v>
      </c>
      <c r="N8664" s="26" t="s">
        <v>19086</v>
      </c>
      <c r="O8664" s="22" t="str">
        <f>HYPERLINK("https://pbs.twimg.com/profile_images/908176961884659712/PSy8o0KM_normal.jpg","View")</f>
        <v>View</v>
      </c>
      <c r="P8664" s="27"/>
    </row>
    <row r="8665">
      <c r="A8665" s="14">
        <v>43031.83915509259</v>
      </c>
      <c r="B8665" s="20" t="str">
        <f>HYPERLINK("https://twitter.com/xialiang896415","@xialiang896415")</f>
        <v>@xialiang896415</v>
      </c>
      <c r="C8665" s="21" t="s">
        <v>19081</v>
      </c>
      <c r="D8665" s="21" t="s">
        <v>19016</v>
      </c>
      <c r="E8665" s="22" t="str">
        <f>HYPERLINK("https://twitter.com/xialiang896415/status/922661015677943808","922661015677943808")</f>
        <v>922661015677943808</v>
      </c>
      <c r="F8665" s="23" t="s">
        <v>33</v>
      </c>
      <c r="G8665" s="24">
        <v>5.0</v>
      </c>
      <c r="H8665" s="24">
        <v>111.0</v>
      </c>
      <c r="I8665" s="24">
        <v>51.0</v>
      </c>
      <c r="J8665" s="24">
        <v>0.0</v>
      </c>
      <c r="K8665" s="23" t="s">
        <v>34</v>
      </c>
      <c r="L8665" s="25">
        <v>42991.17126157407</v>
      </c>
      <c r="M8665" s="26" t="s">
        <v>19082</v>
      </c>
      <c r="N8665" s="26" t="s">
        <v>19083</v>
      </c>
      <c r="O8665" s="22" t="str">
        <f>HYPERLINK("https://pbs.twimg.com/profile_images/907952944410107904/LLV6osws_normal.jpg","View")</f>
        <v>View</v>
      </c>
      <c r="P8665" s="27"/>
    </row>
    <row r="8666">
      <c r="A8666" s="14">
        <v>43031.83929398148</v>
      </c>
      <c r="B8666" s="20" t="str">
        <f>HYPERLINK("https://twitter.com/RSSpankajji","@RSSpankajji")</f>
        <v>@RSSpankajji</v>
      </c>
      <c r="C8666" s="21" t="s">
        <v>19087</v>
      </c>
      <c r="D8666" s="21" t="s">
        <v>42</v>
      </c>
      <c r="E8666" s="22" t="str">
        <f>HYPERLINK("https://twitter.com/RSSpankajji/status/922661066227585024","922661066227585024")</f>
        <v>922661066227585024</v>
      </c>
      <c r="F8666" s="23" t="s">
        <v>33</v>
      </c>
      <c r="G8666" s="24">
        <v>254.0</v>
      </c>
      <c r="H8666" s="24">
        <v>130.0</v>
      </c>
      <c r="I8666" s="24">
        <v>8501.0</v>
      </c>
      <c r="J8666" s="24">
        <v>0.0</v>
      </c>
      <c r="K8666" s="23" t="s">
        <v>34</v>
      </c>
      <c r="L8666" s="25">
        <v>42620.16075231481</v>
      </c>
      <c r="M8666" s="26" t="s">
        <v>575</v>
      </c>
      <c r="N8666" s="26" t="s">
        <v>19088</v>
      </c>
      <c r="O8666" s="22" t="str">
        <f>HYPERLINK("https://pbs.twimg.com/profile_images/819471970496606208/mKSutY9a_normal.jpg","View")</f>
        <v>View</v>
      </c>
      <c r="P8666" s="27"/>
    </row>
    <row r="8667">
      <c r="A8667" s="14">
        <v>43031.83943287037</v>
      </c>
      <c r="B8667" s="20" t="str">
        <f>HYPERLINK("https://twitter.com/kassembanda","@kassembanda")</f>
        <v>@kassembanda</v>
      </c>
      <c r="C8667" s="21" t="s">
        <v>19089</v>
      </c>
      <c r="D8667" s="21" t="s">
        <v>19016</v>
      </c>
      <c r="E8667" s="22" t="str">
        <f>HYPERLINK("https://twitter.com/kassembanda/status/922661116915994627","922661116915994627")</f>
        <v>922661116915994627</v>
      </c>
      <c r="F8667" s="23" t="s">
        <v>43</v>
      </c>
      <c r="G8667" s="24">
        <v>355.0</v>
      </c>
      <c r="H8667" s="24">
        <v>515.0</v>
      </c>
      <c r="I8667" s="24">
        <v>51.0</v>
      </c>
      <c r="J8667" s="24">
        <v>0.0</v>
      </c>
      <c r="K8667" s="23" t="s">
        <v>34</v>
      </c>
      <c r="L8667" s="25">
        <v>42323.86806712963</v>
      </c>
      <c r="M8667" s="26" t="s">
        <v>19090</v>
      </c>
      <c r="N8667" s="26" t="s">
        <v>19091</v>
      </c>
      <c r="O8667" s="22" t="str">
        <f>HYPERLINK("https://pbs.twimg.com/profile_images/883765260573970436/guV_zoC-_normal.jpg","View")</f>
        <v>View</v>
      </c>
      <c r="P8667" s="27"/>
    </row>
    <row r="8668">
      <c r="A8668" s="14">
        <v>43031.83949074074</v>
      </c>
      <c r="B8668" s="20" t="str">
        <f>HYPERLINK("https://twitter.com/chicago2503","@chicago2503")</f>
        <v>@chicago2503</v>
      </c>
      <c r="C8668" s="21" t="s">
        <v>19092</v>
      </c>
      <c r="D8668" s="21" t="s">
        <v>19016</v>
      </c>
      <c r="E8668" s="22" t="str">
        <f>HYPERLINK("https://twitter.com/chicago2503/status/922661140483715077","922661140483715077")</f>
        <v>922661140483715077</v>
      </c>
      <c r="F8668" s="23" t="s">
        <v>39</v>
      </c>
      <c r="G8668" s="24">
        <v>743.0</v>
      </c>
      <c r="H8668" s="24">
        <v>2249.0</v>
      </c>
      <c r="I8668" s="24">
        <v>51.0</v>
      </c>
      <c r="J8668" s="24">
        <v>0.0</v>
      </c>
      <c r="K8668" s="23" t="s">
        <v>34</v>
      </c>
      <c r="L8668" s="25">
        <v>39933.97131944445</v>
      </c>
      <c r="M8668" s="28"/>
      <c r="N8668" s="26" t="s">
        <v>19093</v>
      </c>
      <c r="O8668" s="22" t="str">
        <f>HYPERLINK("https://pbs.twimg.com/profile_images/704715063492530177/GZkIRQrd_normal.jpg","View")</f>
        <v>View</v>
      </c>
      <c r="P8668" s="27"/>
    </row>
    <row r="8669">
      <c r="A8669" s="14">
        <v>43031.83950231482</v>
      </c>
      <c r="B8669" s="20" t="str">
        <f>HYPERLINK("https://twitter.com/bensadi_farid","@bensadi_farid")</f>
        <v>@bensadi_farid</v>
      </c>
      <c r="C8669" s="21" t="s">
        <v>19094</v>
      </c>
      <c r="D8669" s="21" t="s">
        <v>19095</v>
      </c>
      <c r="E8669" s="22" t="str">
        <f>HYPERLINK("https://twitter.com/bensadi_farid/status/922661143621062656","922661143621062656")</f>
        <v>922661143621062656</v>
      </c>
      <c r="F8669" s="23" t="s">
        <v>33</v>
      </c>
      <c r="G8669" s="24">
        <v>918.0</v>
      </c>
      <c r="H8669" s="24">
        <v>1040.0</v>
      </c>
      <c r="I8669" s="24">
        <v>7.0</v>
      </c>
      <c r="J8669" s="24">
        <v>0.0</v>
      </c>
      <c r="K8669" s="23" t="s">
        <v>34</v>
      </c>
      <c r="L8669" s="25">
        <v>42931.58598379629</v>
      </c>
      <c r="M8669" s="26" t="s">
        <v>19096</v>
      </c>
      <c r="N8669" s="28"/>
      <c r="O8669" s="22" t="str">
        <f>HYPERLINK("https://pbs.twimg.com/profile_images/907658610385223682/JT5wId4P_normal.jpg","View")</f>
        <v>View</v>
      </c>
      <c r="P8669" s="27"/>
    </row>
    <row r="8670">
      <c r="A8670" s="14">
        <v>43031.839583333334</v>
      </c>
      <c r="B8670" s="20" t="str">
        <f>HYPERLINK("https://twitter.com/ddgoyal1996","@ddgoyal1996")</f>
        <v>@ddgoyal1996</v>
      </c>
      <c r="C8670" s="21" t="s">
        <v>19097</v>
      </c>
      <c r="D8670" s="21" t="s">
        <v>42</v>
      </c>
      <c r="E8670" s="22" t="str">
        <f>HYPERLINK("https://twitter.com/ddgoyal1996/status/922661174197477376","922661174197477376")</f>
        <v>922661174197477376</v>
      </c>
      <c r="F8670" s="23" t="s">
        <v>39</v>
      </c>
      <c r="G8670" s="24">
        <v>29.0</v>
      </c>
      <c r="H8670" s="24">
        <v>224.0</v>
      </c>
      <c r="I8670" s="24">
        <v>8501.0</v>
      </c>
      <c r="J8670" s="24">
        <v>0.0</v>
      </c>
      <c r="K8670" s="23" t="s">
        <v>34</v>
      </c>
      <c r="L8670" s="25">
        <v>42061.845497685186</v>
      </c>
      <c r="M8670" s="26" t="s">
        <v>575</v>
      </c>
      <c r="N8670" s="26" t="s">
        <v>19098</v>
      </c>
      <c r="O8670" s="22" t="str">
        <f>HYPERLINK("https://pbs.twimg.com/profile_images/848892066503442432/hLbLyJZI_normal.jpg","View")</f>
        <v>View</v>
      </c>
      <c r="P8670" s="27"/>
    </row>
    <row r="8671">
      <c r="A8671" s="14">
        <v>43031.83966435185</v>
      </c>
      <c r="B8671" s="20" t="str">
        <f>HYPERLINK("https://twitter.com/NarrendraM","@NarrendraM")</f>
        <v>@NarrendraM</v>
      </c>
      <c r="C8671" s="21" t="s">
        <v>2654</v>
      </c>
      <c r="D8671" s="21" t="s">
        <v>19099</v>
      </c>
      <c r="E8671" s="22" t="str">
        <f>HYPERLINK("https://twitter.com/NarrendraM/status/922661200483274753","922661200483274753")</f>
        <v>922661200483274753</v>
      </c>
      <c r="F8671" s="23" t="s">
        <v>187</v>
      </c>
      <c r="G8671" s="24">
        <v>2003.0</v>
      </c>
      <c r="H8671" s="24">
        <v>252.0</v>
      </c>
      <c r="I8671" s="24">
        <v>0.0</v>
      </c>
      <c r="J8671" s="24">
        <v>0.0</v>
      </c>
      <c r="K8671" s="23" t="s">
        <v>34</v>
      </c>
      <c r="L8671" s="25">
        <v>42471.0737037037</v>
      </c>
      <c r="M8671" s="26" t="s">
        <v>246</v>
      </c>
      <c r="N8671" s="26" t="s">
        <v>2656</v>
      </c>
      <c r="O8671" s="22" t="str">
        <f>HYPERLINK("https://pbs.twimg.com/profile_images/743939643738034176/WkGloI0u_normal.jpg","View")</f>
        <v>View</v>
      </c>
      <c r="P8671" s="27"/>
    </row>
    <row r="8672">
      <c r="A8672" s="14">
        <v>43031.83966435185</v>
      </c>
      <c r="B8672" s="20" t="str">
        <f>HYPERLINK("https://twitter.com/Ddamas_Dhruv","@Ddamas_Dhruv")</f>
        <v>@Ddamas_Dhruv</v>
      </c>
      <c r="C8672" s="21" t="s">
        <v>19100</v>
      </c>
      <c r="D8672" s="21" t="s">
        <v>42</v>
      </c>
      <c r="E8672" s="22" t="str">
        <f>HYPERLINK("https://twitter.com/Ddamas_Dhruv/status/922661202206982144","922661202206982144")</f>
        <v>922661202206982144</v>
      </c>
      <c r="F8672" s="23" t="s">
        <v>33</v>
      </c>
      <c r="G8672" s="24">
        <v>36.0</v>
      </c>
      <c r="H8672" s="24">
        <v>599.0</v>
      </c>
      <c r="I8672" s="24">
        <v>8501.0</v>
      </c>
      <c r="J8672" s="24">
        <v>0.0</v>
      </c>
      <c r="K8672" s="23" t="s">
        <v>34</v>
      </c>
      <c r="L8672" s="25">
        <v>40445.14158564815</v>
      </c>
      <c r="M8672" s="26" t="s">
        <v>207</v>
      </c>
      <c r="N8672" s="26" t="s">
        <v>19101</v>
      </c>
      <c r="O8672" s="22" t="str">
        <f>HYPERLINK("https://pbs.twimg.com/profile_images/849692735619571712/DS1gLQqc_normal.jpg","View")</f>
        <v>View</v>
      </c>
      <c r="P8672" s="27"/>
    </row>
    <row r="8673">
      <c r="A8673" s="14">
        <v>43031.83967592593</v>
      </c>
      <c r="B8673" s="20" t="str">
        <f>HYPERLINK("https://twitter.com/Oasis_Capital","@Oasis_Capital")</f>
        <v>@Oasis_Capital</v>
      </c>
      <c r="C8673" s="21" t="s">
        <v>19102</v>
      </c>
      <c r="D8673" s="21" t="s">
        <v>19103</v>
      </c>
      <c r="E8673" s="22" t="str">
        <f>HYPERLINK("https://twitter.com/Oasis_Capital/status/922661208523599872","922661208523599872")</f>
        <v>922661208523599872</v>
      </c>
      <c r="F8673" s="23" t="s">
        <v>55</v>
      </c>
      <c r="G8673" s="24">
        <v>766.0</v>
      </c>
      <c r="H8673" s="24">
        <v>922.0</v>
      </c>
      <c r="I8673" s="24">
        <v>0.0</v>
      </c>
      <c r="J8673" s="24">
        <v>0.0</v>
      </c>
      <c r="K8673" s="23" t="s">
        <v>34</v>
      </c>
      <c r="L8673" s="25">
        <v>41663.04461805556</v>
      </c>
      <c r="M8673" s="26" t="s">
        <v>19104</v>
      </c>
      <c r="N8673" s="26" t="s">
        <v>19105</v>
      </c>
      <c r="O8673" s="22" t="str">
        <f>HYPERLINK("https://pbs.twimg.com/profile_images/426646311127879680/ID_OOsRI_normal.jpeg","View")</f>
        <v>View</v>
      </c>
      <c r="P8673" s="27"/>
    </row>
    <row r="8674">
      <c r="A8674" s="14">
        <v>43031.83969907407</v>
      </c>
      <c r="B8674" s="20" t="str">
        <f>HYPERLINK("https://twitter.com/the__himanish","@the__himanish")</f>
        <v>@the__himanish</v>
      </c>
      <c r="C8674" s="21" t="s">
        <v>2612</v>
      </c>
      <c r="D8674" s="21" t="s">
        <v>19106</v>
      </c>
      <c r="E8674" s="22" t="str">
        <f>HYPERLINK("https://twitter.com/the__himanish/status/922661213896691712","922661213896691712")</f>
        <v>922661213896691712</v>
      </c>
      <c r="F8674" s="23" t="s">
        <v>187</v>
      </c>
      <c r="G8674" s="24">
        <v>1822.0</v>
      </c>
      <c r="H8674" s="24">
        <v>1621.0</v>
      </c>
      <c r="I8674" s="24">
        <v>0.0</v>
      </c>
      <c r="J8674" s="24">
        <v>0.0</v>
      </c>
      <c r="K8674" s="23" t="s">
        <v>34</v>
      </c>
      <c r="L8674" s="25">
        <v>40222.15178240741</v>
      </c>
      <c r="M8674" s="26" t="s">
        <v>96</v>
      </c>
      <c r="N8674" s="26" t="s">
        <v>2614</v>
      </c>
      <c r="O8674" s="22" t="str">
        <f>HYPERLINK("https://pbs.twimg.com/profile_images/914165533918015489/A6iR_gz2_normal.jpg","View")</f>
        <v>View</v>
      </c>
      <c r="P8674" s="27"/>
    </row>
    <row r="8675">
      <c r="A8675" s="14">
        <v>43031.83982638889</v>
      </c>
      <c r="B8675" s="20" t="str">
        <f>HYPERLINK("https://twitter.com/RaisinaSeries","@RaisinaSeries")</f>
        <v>@RaisinaSeries</v>
      </c>
      <c r="C8675" s="21" t="s">
        <v>14707</v>
      </c>
      <c r="D8675" s="21" t="s">
        <v>19016</v>
      </c>
      <c r="E8675" s="22" t="str">
        <f>HYPERLINK("https://twitter.com/RaisinaSeries/status/922661263099887616","922661263099887616")</f>
        <v>922661263099887616</v>
      </c>
      <c r="F8675" s="23" t="s">
        <v>39</v>
      </c>
      <c r="G8675" s="24">
        <v>24170.0</v>
      </c>
      <c r="H8675" s="24">
        <v>231.0</v>
      </c>
      <c r="I8675" s="24">
        <v>51.0</v>
      </c>
      <c r="J8675" s="24">
        <v>0.0</v>
      </c>
      <c r="K8675" s="23" t="s">
        <v>34</v>
      </c>
      <c r="L8675" s="25">
        <v>41291.49873842593</v>
      </c>
      <c r="M8675" s="26" t="s">
        <v>14709</v>
      </c>
      <c r="N8675" s="26" t="s">
        <v>14710</v>
      </c>
      <c r="O8675" s="22" t="str">
        <f>HYPERLINK("https://pbs.twimg.com/profile_images/835127600716525568/SKkzaFgh_normal.jpg","View")</f>
        <v>View</v>
      </c>
      <c r="P8675" s="27"/>
    </row>
    <row r="8676">
      <c r="A8676" s="14">
        <v>43031.83987268519</v>
      </c>
      <c r="B8676" s="20" t="str">
        <f>HYPERLINK("https://twitter.com/jayendraNmishra","@jayendraNmishra")</f>
        <v>@jayendraNmishra</v>
      </c>
      <c r="C8676" s="21" t="s">
        <v>19107</v>
      </c>
      <c r="D8676" s="21" t="s">
        <v>42</v>
      </c>
      <c r="E8676" s="22" t="str">
        <f>HYPERLINK("https://twitter.com/jayendraNmishra/status/922661277368926209","922661277368926209")</f>
        <v>922661277368926209</v>
      </c>
      <c r="F8676" s="23" t="s">
        <v>43</v>
      </c>
      <c r="G8676" s="24">
        <v>86.0</v>
      </c>
      <c r="H8676" s="24">
        <v>80.0</v>
      </c>
      <c r="I8676" s="24">
        <v>8501.0</v>
      </c>
      <c r="J8676" s="24">
        <v>0.0</v>
      </c>
      <c r="K8676" s="23" t="s">
        <v>34</v>
      </c>
      <c r="L8676" s="25">
        <v>42796.162314814814</v>
      </c>
      <c r="M8676" s="26" t="s">
        <v>19108</v>
      </c>
      <c r="N8676" s="26" t="s">
        <v>19109</v>
      </c>
      <c r="O8676" s="22" t="str">
        <f>HYPERLINK("https://pbs.twimg.com/profile_images/847092204313219074/XEit9BFm_normal.jpg","View")</f>
        <v>View</v>
      </c>
      <c r="P8676" s="27"/>
    </row>
    <row r="8677">
      <c r="A8677" s="14">
        <v>43031.83988425926</v>
      </c>
      <c r="B8677" s="20" t="str">
        <f>HYPERLINK("https://twitter.com/Shilpzzm","@Shilpzzm")</f>
        <v>@Shilpzzm</v>
      </c>
      <c r="C8677" s="21" t="s">
        <v>19110</v>
      </c>
      <c r="D8677" s="21" t="s">
        <v>42</v>
      </c>
      <c r="E8677" s="22" t="str">
        <f>HYPERLINK("https://twitter.com/Shilpzzm/status/922661280334331904","922661280334331904")</f>
        <v>922661280334331904</v>
      </c>
      <c r="F8677" s="23" t="s">
        <v>33</v>
      </c>
      <c r="G8677" s="24">
        <v>708.0</v>
      </c>
      <c r="H8677" s="24">
        <v>269.0</v>
      </c>
      <c r="I8677" s="24">
        <v>8501.0</v>
      </c>
      <c r="J8677" s="24">
        <v>0.0</v>
      </c>
      <c r="K8677" s="23" t="s">
        <v>34</v>
      </c>
      <c r="L8677" s="25">
        <v>41776.450532407405</v>
      </c>
      <c r="M8677" s="28"/>
      <c r="N8677" s="26" t="s">
        <v>19111</v>
      </c>
      <c r="O8677" s="22" t="str">
        <f>HYPERLINK("https://pbs.twimg.com/profile_images/492735762719186944/6z228rre_normal.jpeg","View")</f>
        <v>View</v>
      </c>
      <c r="P8677" s="27"/>
    </row>
    <row r="8678">
      <c r="A8678" s="14">
        <v>43031.84019675926</v>
      </c>
      <c r="B8678" s="20" t="str">
        <f>HYPERLINK("https://twitter.com/WinstonWellsIC","@WinstonWellsIC")</f>
        <v>@WinstonWellsIC</v>
      </c>
      <c r="C8678" s="21" t="s">
        <v>19112</v>
      </c>
      <c r="D8678" s="21" t="s">
        <v>19113</v>
      </c>
      <c r="E8678" s="22" t="str">
        <f>HYPERLINK("https://twitter.com/WinstonWellsIC/status/922661396139175938","922661396139175938")</f>
        <v>922661396139175938</v>
      </c>
      <c r="F8678" s="23" t="s">
        <v>55</v>
      </c>
      <c r="G8678" s="24">
        <v>218.0</v>
      </c>
      <c r="H8678" s="24">
        <v>233.0</v>
      </c>
      <c r="I8678" s="24">
        <v>0.0</v>
      </c>
      <c r="J8678" s="24">
        <v>0.0</v>
      </c>
      <c r="K8678" s="23" t="s">
        <v>34</v>
      </c>
      <c r="L8678" s="25">
        <v>41457.45019675926</v>
      </c>
      <c r="M8678" s="26" t="s">
        <v>19114</v>
      </c>
      <c r="N8678" s="26" t="s">
        <v>19115</v>
      </c>
      <c r="O8678" s="22" t="str">
        <f>HYPERLINK("https://pbs.twimg.com/profile_images/500599540278259713/hZ9mXXXv_normal.jpeg","View")</f>
        <v>View</v>
      </c>
      <c r="P8678" s="27"/>
    </row>
    <row r="8679">
      <c r="A8679" s="14">
        <v>43031.84028935185</v>
      </c>
      <c r="B8679" s="20" t="str">
        <f>HYPERLINK("https://twitter.com/archtomy","@archtomy")</f>
        <v>@archtomy</v>
      </c>
      <c r="C8679" s="21" t="s">
        <v>10581</v>
      </c>
      <c r="D8679" s="21" t="s">
        <v>19016</v>
      </c>
      <c r="E8679" s="22" t="str">
        <f>HYPERLINK("https://twitter.com/archtomy/status/922661428158349313","922661428158349313")</f>
        <v>922661428158349313</v>
      </c>
      <c r="F8679" s="23" t="s">
        <v>33</v>
      </c>
      <c r="G8679" s="24">
        <v>1165.0</v>
      </c>
      <c r="H8679" s="24">
        <v>1486.0</v>
      </c>
      <c r="I8679" s="24">
        <v>51.0</v>
      </c>
      <c r="J8679" s="24">
        <v>0.0</v>
      </c>
      <c r="K8679" s="23" t="s">
        <v>34</v>
      </c>
      <c r="L8679" s="25">
        <v>40040.374918981484</v>
      </c>
      <c r="M8679" s="26" t="s">
        <v>10582</v>
      </c>
      <c r="N8679" s="26" t="s">
        <v>10583</v>
      </c>
      <c r="O8679" s="22" t="str">
        <f>HYPERLINK("https://pbs.twimg.com/profile_images/704640337927471104/F3b82B2i_normal.jpg","View")</f>
        <v>View</v>
      </c>
      <c r="P8679" s="27"/>
    </row>
    <row r="8680">
      <c r="A8680" s="14">
        <v>43031.840416666666</v>
      </c>
      <c r="B8680" s="20" t="str">
        <f>HYPERLINK("https://twitter.com/rahul_sane","@rahul_sane")</f>
        <v>@rahul_sane</v>
      </c>
      <c r="C8680" s="21" t="s">
        <v>19116</v>
      </c>
      <c r="D8680" s="21" t="s">
        <v>42</v>
      </c>
      <c r="E8680" s="22" t="str">
        <f>HYPERLINK("https://twitter.com/rahul_sane/status/922661475117809664","922661475117809664")</f>
        <v>922661475117809664</v>
      </c>
      <c r="F8680" s="23" t="s">
        <v>33</v>
      </c>
      <c r="G8680" s="24">
        <v>1725.0</v>
      </c>
      <c r="H8680" s="24">
        <v>1505.0</v>
      </c>
      <c r="I8680" s="24">
        <v>8501.0</v>
      </c>
      <c r="J8680" s="24">
        <v>0.0</v>
      </c>
      <c r="K8680" s="23" t="s">
        <v>34</v>
      </c>
      <c r="L8680" s="25">
        <v>40585.058854166666</v>
      </c>
      <c r="M8680" s="28"/>
      <c r="N8680" s="28"/>
      <c r="O8680" s="22" t="str">
        <f>HYPERLINK("https://pbs.twimg.com/profile_images/877193786593603584/0gT9z62m_normal.jpg","View")</f>
        <v>View</v>
      </c>
      <c r="P8680" s="27"/>
    </row>
    <row r="8681">
      <c r="A8681" s="14">
        <v>43031.84060185185</v>
      </c>
      <c r="B8681" s="20" t="str">
        <f>HYPERLINK("https://twitter.com/InvestingLatest","@InvestingLatest")</f>
        <v>@InvestingLatest</v>
      </c>
      <c r="C8681" s="21" t="s">
        <v>3758</v>
      </c>
      <c r="D8681" s="21" t="s">
        <v>19117</v>
      </c>
      <c r="E8681" s="22" t="str">
        <f>HYPERLINK("https://twitter.com/InvestingLatest/status/922661540834181120","922661540834181120")</f>
        <v>922661540834181120</v>
      </c>
      <c r="F8681" s="23" t="s">
        <v>187</v>
      </c>
      <c r="G8681" s="24">
        <v>1534.0</v>
      </c>
      <c r="H8681" s="24">
        <v>33.0</v>
      </c>
      <c r="I8681" s="24">
        <v>0.0</v>
      </c>
      <c r="J8681" s="24">
        <v>0.0</v>
      </c>
      <c r="K8681" s="23" t="s">
        <v>34</v>
      </c>
      <c r="L8681" s="25">
        <v>41946.3308912037</v>
      </c>
      <c r="M8681" s="28"/>
      <c r="N8681" s="26" t="s">
        <v>3760</v>
      </c>
      <c r="O8681" s="22" t="str">
        <f>HYPERLINK("https://pbs.twimg.com/profile_images/529461684297945089/uscUz0UO_normal.jpeg","View")</f>
        <v>View</v>
      </c>
      <c r="P8681" s="27"/>
    </row>
    <row r="8682">
      <c r="A8682" s="14">
        <v>43031.84075231482</v>
      </c>
      <c r="B8682" s="20" t="str">
        <f>HYPERLINK("https://twitter.com/luinily","@luinily")</f>
        <v>@luinily</v>
      </c>
      <c r="C8682" s="21" t="s">
        <v>19118</v>
      </c>
      <c r="D8682" s="21" t="s">
        <v>19119</v>
      </c>
      <c r="E8682" s="22" t="str">
        <f>HYPERLINK("https://twitter.com/luinily/status/922661595133616128","922661595133616128")</f>
        <v>922661595133616128</v>
      </c>
      <c r="F8682" s="23" t="s">
        <v>3572</v>
      </c>
      <c r="G8682" s="24">
        <v>226.0</v>
      </c>
      <c r="H8682" s="24">
        <v>485.0</v>
      </c>
      <c r="I8682" s="24">
        <v>1.0</v>
      </c>
      <c r="J8682" s="24">
        <v>0.0</v>
      </c>
      <c r="K8682" s="23" t="s">
        <v>34</v>
      </c>
      <c r="L8682" s="25">
        <v>40219.21561342593</v>
      </c>
      <c r="M8682" s="26" t="s">
        <v>10404</v>
      </c>
      <c r="N8682" s="26" t="s">
        <v>19120</v>
      </c>
      <c r="O8682" s="22" t="str">
        <f>HYPERLINK("https://pbs.twimg.com/profile_images/574171874457821184/f1e8Uad7_normal.jpeg","View")</f>
        <v>View</v>
      </c>
      <c r="P8682" s="27"/>
    </row>
    <row r="8683">
      <c r="A8683" s="14">
        <v>43031.84082175926</v>
      </c>
      <c r="B8683" s="20" t="str">
        <f>HYPERLINK("https://twitter.com/nickjcmw","@nickjcmw")</f>
        <v>@nickjcmw</v>
      </c>
      <c r="C8683" s="21" t="s">
        <v>19121</v>
      </c>
      <c r="D8683" s="21" t="s">
        <v>19016</v>
      </c>
      <c r="E8683" s="22" t="str">
        <f>HYPERLINK("https://twitter.com/nickjcmw/status/922661620899250178","922661620899250178")</f>
        <v>922661620899250178</v>
      </c>
      <c r="F8683" s="23" t="s">
        <v>39</v>
      </c>
      <c r="G8683" s="24">
        <v>1047.0</v>
      </c>
      <c r="H8683" s="24">
        <v>4928.0</v>
      </c>
      <c r="I8683" s="24">
        <v>51.0</v>
      </c>
      <c r="J8683" s="24">
        <v>0.0</v>
      </c>
      <c r="K8683" s="23" t="s">
        <v>34</v>
      </c>
      <c r="L8683" s="25">
        <v>41598.597129629634</v>
      </c>
      <c r="M8683" s="28"/>
      <c r="N8683" s="26" t="s">
        <v>19122</v>
      </c>
      <c r="O8683" s="22" t="str">
        <f>HYPERLINK("https://pbs.twimg.com/profile_images/896520011245899776/SmcJLCCo_normal.jpg","View")</f>
        <v>View</v>
      </c>
      <c r="P8683" s="27"/>
    </row>
    <row r="8684">
      <c r="A8684" s="14">
        <v>43031.84085648148</v>
      </c>
      <c r="B8684" s="20" t="str">
        <f>HYPERLINK("https://twitter.com/DrShyamKumarCh1","@DrShyamKumarCh1")</f>
        <v>@DrShyamKumarCh1</v>
      </c>
      <c r="C8684" s="21" t="s">
        <v>19123</v>
      </c>
      <c r="D8684" s="21" t="s">
        <v>19016</v>
      </c>
      <c r="E8684" s="22" t="str">
        <f>HYPERLINK("https://twitter.com/DrShyamKumarCh1/status/922661634765553664","922661634765553664")</f>
        <v>922661634765553664</v>
      </c>
      <c r="F8684" s="23" t="s">
        <v>33</v>
      </c>
      <c r="G8684" s="24">
        <v>644.0</v>
      </c>
      <c r="H8684" s="24">
        <v>440.0</v>
      </c>
      <c r="I8684" s="24">
        <v>51.0</v>
      </c>
      <c r="J8684" s="24">
        <v>0.0</v>
      </c>
      <c r="K8684" s="23" t="s">
        <v>34</v>
      </c>
      <c r="L8684" s="25">
        <v>42795.93368055555</v>
      </c>
      <c r="M8684" s="26" t="s">
        <v>8314</v>
      </c>
      <c r="N8684" s="26" t="s">
        <v>19124</v>
      </c>
      <c r="O8684" s="22" t="str">
        <f>HYPERLINK("https://pbs.twimg.com/profile_images/913696801508569088/vgQH92dW_normal.jpg","View")</f>
        <v>View</v>
      </c>
      <c r="P8684" s="27"/>
    </row>
    <row r="8685">
      <c r="A8685" s="14">
        <v>43031.841203703705</v>
      </c>
      <c r="B8685" s="20" t="str">
        <f>HYPERLINK("https://twitter.com/KateEads","@KateEads")</f>
        <v>@KateEads</v>
      </c>
      <c r="C8685" s="21" t="s">
        <v>19125</v>
      </c>
      <c r="D8685" s="21" t="s">
        <v>19126</v>
      </c>
      <c r="E8685" s="22" t="str">
        <f>HYPERLINK("https://twitter.com/KateEads/status/922661761588834304","922661761588834304")</f>
        <v>922661761588834304</v>
      </c>
      <c r="F8685" s="23" t="s">
        <v>55</v>
      </c>
      <c r="G8685" s="24">
        <v>294.0</v>
      </c>
      <c r="H8685" s="24">
        <v>526.0</v>
      </c>
      <c r="I8685" s="24">
        <v>0.0</v>
      </c>
      <c r="J8685" s="24">
        <v>0.0</v>
      </c>
      <c r="K8685" s="23" t="s">
        <v>34</v>
      </c>
      <c r="L8685" s="25">
        <v>42744.74989583333</v>
      </c>
      <c r="M8685" s="26" t="s">
        <v>19127</v>
      </c>
      <c r="N8685" s="26" t="s">
        <v>19128</v>
      </c>
      <c r="O8685" s="22" t="str">
        <f>HYPERLINK("https://pbs.twimg.com/profile_images/875733379295043584/qZVe8v65_normal.jpg","View")</f>
        <v>View</v>
      </c>
      <c r="P8685" s="27"/>
    </row>
    <row r="8686">
      <c r="A8686" s="14">
        <v>43031.84127314815</v>
      </c>
      <c r="B8686" s="20" t="str">
        <f>HYPERLINK("https://twitter.com/SheilaSmithCFR","@SheilaSmithCFR")</f>
        <v>@SheilaSmithCFR</v>
      </c>
      <c r="C8686" s="21" t="s">
        <v>5595</v>
      </c>
      <c r="D8686" s="21" t="s">
        <v>18761</v>
      </c>
      <c r="E8686" s="22" t="str">
        <f>HYPERLINK("https://twitter.com/SheilaSmithCFR/status/922661786649800704","922661786649800704")</f>
        <v>922661786649800704</v>
      </c>
      <c r="F8686" s="23" t="s">
        <v>39</v>
      </c>
      <c r="G8686" s="24">
        <v>4431.0</v>
      </c>
      <c r="H8686" s="24">
        <v>310.0</v>
      </c>
      <c r="I8686" s="24">
        <v>11.0</v>
      </c>
      <c r="J8686" s="24">
        <v>0.0</v>
      </c>
      <c r="K8686" s="23" t="s">
        <v>34</v>
      </c>
      <c r="L8686" s="25">
        <v>40897.79835648148</v>
      </c>
      <c r="M8686" s="26" t="s">
        <v>4239</v>
      </c>
      <c r="N8686" s="26" t="s">
        <v>5596</v>
      </c>
      <c r="O8686" s="22" t="str">
        <f>HYPERLINK("https://pbs.twimg.com/profile_images/474587797337042945/HOSFbOao_normal.jpeg","View")</f>
        <v>View</v>
      </c>
      <c r="P8686" s="27"/>
    </row>
    <row r="8687">
      <c r="A8687" s="14">
        <v>43031.84133101851</v>
      </c>
      <c r="B8687" s="20" t="str">
        <f>HYPERLINK("https://twitter.com/sreesiva84","@sreesiva84")</f>
        <v>@sreesiva84</v>
      </c>
      <c r="C8687" s="21" t="s">
        <v>19129</v>
      </c>
      <c r="D8687" s="21" t="s">
        <v>42</v>
      </c>
      <c r="E8687" s="22" t="str">
        <f>HYPERLINK("https://twitter.com/sreesiva84/status/922661805779959808","922661805779959808")</f>
        <v>922661805779959808</v>
      </c>
      <c r="F8687" s="23" t="s">
        <v>39</v>
      </c>
      <c r="G8687" s="24">
        <v>185.0</v>
      </c>
      <c r="H8687" s="24">
        <v>234.0</v>
      </c>
      <c r="I8687" s="24">
        <v>8501.0</v>
      </c>
      <c r="J8687" s="24">
        <v>0.0</v>
      </c>
      <c r="K8687" s="23" t="s">
        <v>34</v>
      </c>
      <c r="L8687" s="25">
        <v>41072.18474537037</v>
      </c>
      <c r="M8687" s="26" t="s">
        <v>3224</v>
      </c>
      <c r="N8687" s="26" t="s">
        <v>19130</v>
      </c>
      <c r="O8687" s="22" t="str">
        <f>HYPERLINK("https://pbs.twimg.com/profile_images/677291719377850368/ISxa9thJ_normal.jpg","View")</f>
        <v>View</v>
      </c>
      <c r="P8687" s="27"/>
    </row>
    <row r="8688">
      <c r="A8688" s="14">
        <v>43031.84150462963</v>
      </c>
      <c r="B8688" s="20" t="str">
        <f>HYPERLINK("https://twitter.com/EgorStrekalin","@EgorStrekalin")</f>
        <v>@EgorStrekalin</v>
      </c>
      <c r="C8688" s="21" t="s">
        <v>19131</v>
      </c>
      <c r="D8688" s="21" t="s">
        <v>18162</v>
      </c>
      <c r="E8688" s="22" t="str">
        <f>HYPERLINK("https://twitter.com/EgorStrekalin/status/922661871202721795","922661871202721795")</f>
        <v>922661871202721795</v>
      </c>
      <c r="F8688" s="23" t="s">
        <v>55</v>
      </c>
      <c r="G8688" s="24">
        <v>2.0</v>
      </c>
      <c r="H8688" s="24">
        <v>2.0</v>
      </c>
      <c r="I8688" s="24">
        <v>59.0</v>
      </c>
      <c r="J8688" s="24">
        <v>0.0</v>
      </c>
      <c r="K8688" s="23" t="s">
        <v>34</v>
      </c>
      <c r="L8688" s="25">
        <v>43002.00638888888</v>
      </c>
      <c r="M8688" s="28"/>
      <c r="N8688" s="28"/>
      <c r="O8688" s="22" t="str">
        <f>HYPERLINK("https://pbs.twimg.com/profile_images/921965446135349248/LPNENiFd_normal.jpg","View")</f>
        <v>View</v>
      </c>
      <c r="P8688" s="27"/>
    </row>
    <row r="8689">
      <c r="A8689" s="14">
        <v>43031.84170138889</v>
      </c>
      <c r="B8689" s="20" t="str">
        <f>HYPERLINK("https://twitter.com/lynx55","@lynx55")</f>
        <v>@lynx55</v>
      </c>
      <c r="C8689" s="21" t="s">
        <v>1550</v>
      </c>
      <c r="D8689" s="21" t="s">
        <v>19016</v>
      </c>
      <c r="E8689" s="22" t="str">
        <f>HYPERLINK("https://twitter.com/lynx55/status/922661941356744704","922661941356744704")</f>
        <v>922661941356744704</v>
      </c>
      <c r="F8689" s="23" t="s">
        <v>33</v>
      </c>
      <c r="G8689" s="24">
        <v>4214.0</v>
      </c>
      <c r="H8689" s="24">
        <v>4422.0</v>
      </c>
      <c r="I8689" s="24">
        <v>51.0</v>
      </c>
      <c r="J8689" s="24">
        <v>0.0</v>
      </c>
      <c r="K8689" s="23" t="s">
        <v>34</v>
      </c>
      <c r="L8689" s="25">
        <v>39363.899872685186</v>
      </c>
      <c r="M8689" s="26" t="s">
        <v>1551</v>
      </c>
      <c r="N8689" s="26" t="s">
        <v>1552</v>
      </c>
      <c r="O8689" s="22" t="str">
        <f>HYPERLINK("https://pbs.twimg.com/profile_images/917384747403370496/4k9Tip0C_normal.jpg","View")</f>
        <v>View</v>
      </c>
      <c r="P8689" s="27"/>
    </row>
    <row r="8690">
      <c r="A8690" s="14">
        <v>43031.84181712963</v>
      </c>
      <c r="B8690" s="20" t="str">
        <f>HYPERLINK("https://twitter.com/JamesRoy","@JamesRoy")</f>
        <v>@JamesRoy</v>
      </c>
      <c r="C8690" s="21" t="s">
        <v>14836</v>
      </c>
      <c r="D8690" s="21" t="s">
        <v>19132</v>
      </c>
      <c r="E8690" s="22" t="str">
        <f>HYPERLINK("https://twitter.com/JamesRoy/status/922661983287173120","922661983287173120")</f>
        <v>922661983287173120</v>
      </c>
      <c r="F8690" s="23" t="s">
        <v>187</v>
      </c>
      <c r="G8690" s="24">
        <v>14551.0</v>
      </c>
      <c r="H8690" s="24">
        <v>0.0</v>
      </c>
      <c r="I8690" s="24">
        <v>0.0</v>
      </c>
      <c r="J8690" s="24">
        <v>0.0</v>
      </c>
      <c r="K8690" s="23" t="s">
        <v>34</v>
      </c>
      <c r="L8690" s="25">
        <v>39826.25667824074</v>
      </c>
      <c r="M8690" s="26" t="s">
        <v>14838</v>
      </c>
      <c r="N8690" s="26" t="s">
        <v>14839</v>
      </c>
      <c r="O8690" s="22" t="str">
        <f>HYPERLINK("https://pbs.twimg.com/profile_images/638077492847378432/_B521DK6_normal.jpg","View")</f>
        <v>View</v>
      </c>
      <c r="P8690" s="27"/>
    </row>
    <row r="8691">
      <c r="A8691" s="14">
        <v>43031.84199074074</v>
      </c>
      <c r="B8691" s="20" t="str">
        <f>HYPERLINK("https://twitter.com/Razer17441735","@Razer17441735")</f>
        <v>@Razer17441735</v>
      </c>
      <c r="C8691" s="21" t="s">
        <v>19133</v>
      </c>
      <c r="D8691" s="21" t="s">
        <v>18941</v>
      </c>
      <c r="E8691" s="22" t="str">
        <f>HYPERLINK("https://twitter.com/Razer17441735/status/922662046684139520","922662046684139520")</f>
        <v>922662046684139520</v>
      </c>
      <c r="F8691" s="23" t="s">
        <v>19134</v>
      </c>
      <c r="G8691" s="24">
        <v>173.0</v>
      </c>
      <c r="H8691" s="24">
        <v>1855.0</v>
      </c>
      <c r="I8691" s="24">
        <v>9.0</v>
      </c>
      <c r="J8691" s="24">
        <v>0.0</v>
      </c>
      <c r="K8691" s="23" t="s">
        <v>34</v>
      </c>
      <c r="L8691" s="25">
        <v>42907.14829861111</v>
      </c>
      <c r="M8691" s="26" t="s">
        <v>68</v>
      </c>
      <c r="N8691" s="26" t="s">
        <v>19135</v>
      </c>
      <c r="O8691" s="22" t="str">
        <f>HYPERLINK("https://pbs.twimg.com/profile_images/877474799391571968/tHcwTsPe_normal.jpg","View")</f>
        <v>View</v>
      </c>
      <c r="P8691" s="27"/>
    </row>
    <row r="8692">
      <c r="A8692" s="14">
        <v>43031.84206018518</v>
      </c>
      <c r="B8692" s="20" t="str">
        <f>HYPERLINK("https://twitter.com/RajChou34151373","@RajChou34151373")</f>
        <v>@RajChou34151373</v>
      </c>
      <c r="C8692" s="21" t="s">
        <v>19136</v>
      </c>
      <c r="D8692" s="21" t="s">
        <v>42</v>
      </c>
      <c r="E8692" s="22" t="str">
        <f>HYPERLINK("https://twitter.com/RajChou34151373/status/922662068725063682","922662068725063682")</f>
        <v>922662068725063682</v>
      </c>
      <c r="F8692" s="23" t="s">
        <v>33</v>
      </c>
      <c r="G8692" s="24">
        <v>4.0</v>
      </c>
      <c r="H8692" s="24">
        <v>56.0</v>
      </c>
      <c r="I8692" s="24">
        <v>8501.0</v>
      </c>
      <c r="J8692" s="24">
        <v>0.0</v>
      </c>
      <c r="K8692" s="23" t="s">
        <v>34</v>
      </c>
      <c r="L8692" s="25">
        <v>43029.03827546297</v>
      </c>
      <c r="M8692" s="26" t="s">
        <v>8314</v>
      </c>
      <c r="N8692" s="28"/>
      <c r="O8692" s="22" t="str">
        <f>HYPERLINK("https://pbs.twimg.com/profile_images/921727928106237954/8qTrHjMO_normal.jpg","View")</f>
        <v>View</v>
      </c>
      <c r="P8692" s="27"/>
    </row>
    <row r="8693">
      <c r="A8693" s="14">
        <v>43031.84226851852</v>
      </c>
      <c r="B8693" s="20" t="str">
        <f>HYPERLINK("https://twitter.com/shri0123","@shri0123")</f>
        <v>@shri0123</v>
      </c>
      <c r="C8693" s="21" t="s">
        <v>19137</v>
      </c>
      <c r="D8693" s="21" t="s">
        <v>42</v>
      </c>
      <c r="E8693" s="22" t="str">
        <f>HYPERLINK("https://twitter.com/shri0123/status/922662146416058368","922662146416058368")</f>
        <v>922662146416058368</v>
      </c>
      <c r="F8693" s="23" t="s">
        <v>33</v>
      </c>
      <c r="G8693" s="24">
        <v>226.0</v>
      </c>
      <c r="H8693" s="24">
        <v>637.0</v>
      </c>
      <c r="I8693" s="24">
        <v>8501.0</v>
      </c>
      <c r="J8693" s="24">
        <v>0.0</v>
      </c>
      <c r="K8693" s="23" t="s">
        <v>34</v>
      </c>
      <c r="L8693" s="25">
        <v>40182.08318287037</v>
      </c>
      <c r="M8693" s="26" t="s">
        <v>2262</v>
      </c>
      <c r="N8693" s="28"/>
      <c r="O8693" s="22" t="str">
        <f>HYPERLINK("https://pbs.twimg.com/profile_images/664355957/sh_normal.jpg","View")</f>
        <v>View</v>
      </c>
      <c r="P8693" s="27"/>
    </row>
    <row r="8694">
      <c r="A8694" s="14">
        <v>43031.842314814814</v>
      </c>
      <c r="B8694" s="20" t="str">
        <f>HYPERLINK("https://twitter.com/xandaodalapa","@xandaodalapa")</f>
        <v>@xandaodalapa</v>
      </c>
      <c r="C8694" s="21" t="s">
        <v>19138</v>
      </c>
      <c r="D8694" s="21" t="s">
        <v>18162</v>
      </c>
      <c r="E8694" s="22" t="str">
        <f>HYPERLINK("https://twitter.com/xandaodalapa/status/922662162836967424","922662162836967424")</f>
        <v>922662162836967424</v>
      </c>
      <c r="F8694" s="23" t="s">
        <v>33</v>
      </c>
      <c r="G8694" s="24">
        <v>2475.0</v>
      </c>
      <c r="H8694" s="24">
        <v>509.0</v>
      </c>
      <c r="I8694" s="24">
        <v>59.0</v>
      </c>
      <c r="J8694" s="24">
        <v>0.0</v>
      </c>
      <c r="K8694" s="23" t="s">
        <v>34</v>
      </c>
      <c r="L8694" s="25">
        <v>41318.25230324074</v>
      </c>
      <c r="M8694" s="28"/>
      <c r="N8694" s="28"/>
      <c r="O8694" s="22" t="str">
        <f>HYPERLINK("https://pbs.twimg.com/profile_images/878058883763384322/C29jV8Qn_normal.jpg","View")</f>
        <v>View</v>
      </c>
      <c r="P8694" s="27"/>
    </row>
    <row r="8695">
      <c r="A8695" s="14">
        <v>43031.84261574074</v>
      </c>
      <c r="B8695" s="20" t="str">
        <f>HYPERLINK("https://twitter.com/bankinformer","@bankinformer")</f>
        <v>@bankinformer</v>
      </c>
      <c r="C8695" s="21" t="s">
        <v>19139</v>
      </c>
      <c r="D8695" s="21" t="s">
        <v>19140</v>
      </c>
      <c r="E8695" s="22" t="str">
        <f>HYPERLINK("https://twitter.com/bankinformer/status/922662271301582849","922662271301582849")</f>
        <v>922662271301582849</v>
      </c>
      <c r="F8695" s="30" t="s">
        <v>191</v>
      </c>
      <c r="G8695" s="24">
        <v>2287.0</v>
      </c>
      <c r="H8695" s="24">
        <v>1167.0</v>
      </c>
      <c r="I8695" s="24">
        <v>0.0</v>
      </c>
      <c r="J8695" s="24">
        <v>0.0</v>
      </c>
      <c r="K8695" s="23" t="s">
        <v>34</v>
      </c>
      <c r="L8695" s="25">
        <v>40441.164618055554</v>
      </c>
      <c r="M8695" s="28"/>
      <c r="N8695" s="26" t="s">
        <v>19141</v>
      </c>
      <c r="O8695" s="22" t="str">
        <f>HYPERLINK("https://pbs.twimg.com/profile_images/1155852659/favicon8_normal.png","View")</f>
        <v>View</v>
      </c>
      <c r="P8695" s="27"/>
    </row>
    <row r="8696">
      <c r="A8696" s="14">
        <v>43031.84275462963</v>
      </c>
      <c r="B8696" s="20" t="str">
        <f>HYPERLINK("https://twitter.com/JapanTiming","@JapanTiming")</f>
        <v>@JapanTiming</v>
      </c>
      <c r="C8696" s="21" t="s">
        <v>19142</v>
      </c>
      <c r="D8696" s="21" t="s">
        <v>19143</v>
      </c>
      <c r="E8696" s="22" t="str">
        <f>HYPERLINK("https://twitter.com/JapanTiming/status/922662321427644416","922662321427644416")</f>
        <v>922662321427644416</v>
      </c>
      <c r="F8696" s="30" t="s">
        <v>411</v>
      </c>
      <c r="G8696" s="24">
        <v>1823.0</v>
      </c>
      <c r="H8696" s="24">
        <v>2083.0</v>
      </c>
      <c r="I8696" s="24">
        <v>0.0</v>
      </c>
      <c r="J8696" s="24">
        <v>0.0</v>
      </c>
      <c r="K8696" s="23" t="s">
        <v>34</v>
      </c>
      <c r="L8696" s="25">
        <v>41088.511412037034</v>
      </c>
      <c r="M8696" s="28"/>
      <c r="N8696" s="26" t="s">
        <v>19144</v>
      </c>
      <c r="O8696" s="22" t="str">
        <f>HYPERLINK("https://pbs.twimg.com/profile_images/2391418117/hacj9a03shfow5r1a27m_normal.jpeg","View")</f>
        <v>View</v>
      </c>
      <c r="P8696" s="27"/>
    </row>
    <row r="8697">
      <c r="A8697" s="14">
        <v>43031.84322916667</v>
      </c>
      <c r="B8697" s="20" t="str">
        <f>HYPERLINK("https://twitter.com/elenaku29057779","@elenaku29057779")</f>
        <v>@elenaku29057779</v>
      </c>
      <c r="C8697" s="21" t="s">
        <v>19145</v>
      </c>
      <c r="D8697" s="21" t="s">
        <v>18162</v>
      </c>
      <c r="E8697" s="22" t="str">
        <f>HYPERLINK("https://twitter.com/elenaku29057779/status/922662493645815810","922662493645815810")</f>
        <v>922662493645815810</v>
      </c>
      <c r="F8697" s="23" t="s">
        <v>55</v>
      </c>
      <c r="G8697" s="24">
        <v>1.0</v>
      </c>
      <c r="H8697" s="24">
        <v>0.0</v>
      </c>
      <c r="I8697" s="24">
        <v>59.0</v>
      </c>
      <c r="J8697" s="24">
        <v>0.0</v>
      </c>
      <c r="K8697" s="23" t="s">
        <v>34</v>
      </c>
      <c r="L8697" s="25">
        <v>43016.62204861111</v>
      </c>
      <c r="M8697" s="28"/>
      <c r="N8697" s="28"/>
      <c r="O8697" s="22" t="str">
        <f>HYPERLINK("https://abs.twimg.com/sticky/default_profile_images/default_profile_normal.png","View")</f>
        <v>View</v>
      </c>
      <c r="P8697" s="27"/>
    </row>
    <row r="8698">
      <c r="A8698" s="14">
        <v>43031.84327546296</v>
      </c>
      <c r="B8698" s="20" t="str">
        <f>HYPERLINK("https://twitter.com/onlinelords","@onlinelords")</f>
        <v>@onlinelords</v>
      </c>
      <c r="C8698" s="21" t="s">
        <v>14850</v>
      </c>
      <c r="D8698" s="21" t="s">
        <v>19146</v>
      </c>
      <c r="E8698" s="22" t="str">
        <f>HYPERLINK("https://twitter.com/onlinelords/status/922662510007869440","922662510007869440")</f>
        <v>922662510007869440</v>
      </c>
      <c r="F8698" s="23" t="s">
        <v>187</v>
      </c>
      <c r="G8698" s="24">
        <v>501.0</v>
      </c>
      <c r="H8698" s="24">
        <v>1815.0</v>
      </c>
      <c r="I8698" s="24">
        <v>0.0</v>
      </c>
      <c r="J8698" s="24">
        <v>0.0</v>
      </c>
      <c r="K8698" s="23" t="s">
        <v>34</v>
      </c>
      <c r="L8698" s="25">
        <v>42910.427141203705</v>
      </c>
      <c r="M8698" s="26" t="s">
        <v>567</v>
      </c>
      <c r="N8698" s="26" t="s">
        <v>14852</v>
      </c>
      <c r="O8698" s="22" t="str">
        <f>HYPERLINK("https://pbs.twimg.com/profile_images/919643248817254400/z8AUB3Qm_normal.jpg","View")</f>
        <v>View</v>
      </c>
      <c r="P8698" s="27"/>
    </row>
    <row r="8699">
      <c r="A8699" s="14">
        <v>43031.84335648148</v>
      </c>
      <c r="B8699" s="20" t="str">
        <f>HYPERLINK("https://twitter.com/Essay_Lords","@Essay_Lords")</f>
        <v>@Essay_Lords</v>
      </c>
      <c r="C8699" s="21" t="s">
        <v>773</v>
      </c>
      <c r="D8699" s="21" t="s">
        <v>19147</v>
      </c>
      <c r="E8699" s="22" t="str">
        <f>HYPERLINK("https://twitter.com/Essay_Lords/status/922662541637181440","922662541637181440")</f>
        <v>922662541637181440</v>
      </c>
      <c r="F8699" s="23" t="s">
        <v>187</v>
      </c>
      <c r="G8699" s="24">
        <v>4311.0</v>
      </c>
      <c r="H8699" s="24">
        <v>3617.0</v>
      </c>
      <c r="I8699" s="24">
        <v>0.0</v>
      </c>
      <c r="J8699" s="24">
        <v>0.0</v>
      </c>
      <c r="K8699" s="23" t="s">
        <v>34</v>
      </c>
      <c r="L8699" s="25">
        <v>41982.42165509259</v>
      </c>
      <c r="M8699" s="26" t="s">
        <v>567</v>
      </c>
      <c r="N8699" s="26" t="s">
        <v>775</v>
      </c>
      <c r="O8699" s="22" t="str">
        <f>HYPERLINK("https://pbs.twimg.com/profile_images/722066414362894336/kHUvL0fA_normal.jpg","View")</f>
        <v>View</v>
      </c>
      <c r="P8699" s="27"/>
    </row>
    <row r="8700">
      <c r="A8700" s="14">
        <v>43031.8434837963</v>
      </c>
      <c r="B8700" s="20" t="str">
        <f>HYPERLINK("https://twitter.com/BajpayeeTr","@BajpayeeTr")</f>
        <v>@BajpayeeTr</v>
      </c>
      <c r="C8700" s="21" t="s">
        <v>19148</v>
      </c>
      <c r="D8700" s="21" t="s">
        <v>42</v>
      </c>
      <c r="E8700" s="22" t="str">
        <f>HYPERLINK("https://twitter.com/BajpayeeTr/status/922662588072173568","922662588072173568")</f>
        <v>922662588072173568</v>
      </c>
      <c r="F8700" s="23" t="s">
        <v>33</v>
      </c>
      <c r="G8700" s="24">
        <v>129.0</v>
      </c>
      <c r="H8700" s="24">
        <v>653.0</v>
      </c>
      <c r="I8700" s="24">
        <v>8501.0</v>
      </c>
      <c r="J8700" s="24">
        <v>0.0</v>
      </c>
      <c r="K8700" s="23" t="s">
        <v>34</v>
      </c>
      <c r="L8700" s="25">
        <v>42896.36152777778</v>
      </c>
      <c r="M8700" s="26" t="s">
        <v>19149</v>
      </c>
      <c r="N8700" s="28"/>
      <c r="O8700" s="22" t="str">
        <f>HYPERLINK("https://pbs.twimg.com/profile_images/910558621942947840/BWccp66T_normal.jpg","View")</f>
        <v>View</v>
      </c>
      <c r="P8700" s="27"/>
    </row>
    <row r="8701">
      <c r="A8701" s="14">
        <v>43031.84363425926</v>
      </c>
      <c r="B8701" s="20" t="str">
        <f>HYPERLINK("https://twitter.com/jorgegarciagon3","@jorgegarciagon3")</f>
        <v>@jorgegarciagon3</v>
      </c>
      <c r="C8701" s="21" t="s">
        <v>19150</v>
      </c>
      <c r="D8701" s="21" t="s">
        <v>16208</v>
      </c>
      <c r="E8701" s="22" t="str">
        <f>HYPERLINK("https://twitter.com/jorgegarciagon3/status/922662642363269120","922662642363269120")</f>
        <v>922662642363269120</v>
      </c>
      <c r="F8701" s="23" t="s">
        <v>39</v>
      </c>
      <c r="G8701" s="24">
        <v>201.0</v>
      </c>
      <c r="H8701" s="24">
        <v>307.0</v>
      </c>
      <c r="I8701" s="24">
        <v>41.0</v>
      </c>
      <c r="J8701" s="24">
        <v>0.0</v>
      </c>
      <c r="K8701" s="23" t="s">
        <v>34</v>
      </c>
      <c r="L8701" s="25">
        <v>41576.47652777778</v>
      </c>
      <c r="M8701" s="26" t="s">
        <v>16274</v>
      </c>
      <c r="N8701" s="28"/>
      <c r="O8701" s="22" t="str">
        <f>HYPERLINK("https://pbs.twimg.com/profile_images/823736132441489408/6OtptJMY_normal.jpg","View")</f>
        <v>View</v>
      </c>
      <c r="P8701" s="27"/>
    </row>
    <row r="8702">
      <c r="A8702" s="14">
        <v>43031.84370370371</v>
      </c>
      <c r="B8702" s="20" t="str">
        <f>HYPERLINK("https://twitter.com/Sorgitzak","@Sorgitzak")</f>
        <v>@Sorgitzak</v>
      </c>
      <c r="C8702" s="21" t="s">
        <v>1122</v>
      </c>
      <c r="D8702" s="21" t="s">
        <v>19151</v>
      </c>
      <c r="E8702" s="22" t="str">
        <f>HYPERLINK("https://twitter.com/Sorgitzak/status/922662666384084993","922662666384084993")</f>
        <v>922662666384084993</v>
      </c>
      <c r="F8702" s="23" t="s">
        <v>187</v>
      </c>
      <c r="G8702" s="24">
        <v>723.0</v>
      </c>
      <c r="H8702" s="24">
        <v>1309.0</v>
      </c>
      <c r="I8702" s="24">
        <v>0.0</v>
      </c>
      <c r="J8702" s="24">
        <v>0.0</v>
      </c>
      <c r="K8702" s="23" t="s">
        <v>34</v>
      </c>
      <c r="L8702" s="25">
        <v>39990.552152777775</v>
      </c>
      <c r="M8702" s="26" t="s">
        <v>1124</v>
      </c>
      <c r="N8702" s="28"/>
      <c r="O8702" s="22" t="str">
        <f>HYPERLINK("https://pbs.twimg.com/profile_images/284404970/sorgitzak_normal.JPG","View")</f>
        <v>View</v>
      </c>
      <c r="P8702" s="27"/>
    </row>
    <row r="8703">
      <c r="A8703" s="14">
        <v>43031.84412037037</v>
      </c>
      <c r="B8703" s="20" t="str">
        <f>HYPERLINK("https://twitter.com/shalabhrocks","@shalabhrocks")</f>
        <v>@shalabhrocks</v>
      </c>
      <c r="C8703" s="21" t="s">
        <v>19152</v>
      </c>
      <c r="D8703" s="21" t="s">
        <v>42</v>
      </c>
      <c r="E8703" s="22" t="str">
        <f>HYPERLINK("https://twitter.com/shalabhrocks/status/922662817022595073","922662817022595073")</f>
        <v>922662817022595073</v>
      </c>
      <c r="F8703" s="23" t="s">
        <v>39</v>
      </c>
      <c r="G8703" s="24">
        <v>234.0</v>
      </c>
      <c r="H8703" s="24">
        <v>521.0</v>
      </c>
      <c r="I8703" s="24">
        <v>8501.0</v>
      </c>
      <c r="J8703" s="24">
        <v>0.0</v>
      </c>
      <c r="K8703" s="23" t="s">
        <v>34</v>
      </c>
      <c r="L8703" s="25">
        <v>40246.09118055555</v>
      </c>
      <c r="M8703" s="26" t="s">
        <v>6281</v>
      </c>
      <c r="N8703" s="26" t="s">
        <v>19153</v>
      </c>
      <c r="O8703" s="22" t="str">
        <f>HYPERLINK("https://pbs.twimg.com/profile_images/881621627846438912/SykbsdbH_normal.jpg","View")</f>
        <v>View</v>
      </c>
      <c r="P8703" s="27"/>
    </row>
    <row r="8704">
      <c r="A8704" s="14">
        <v>43031.844375</v>
      </c>
      <c r="B8704" s="20" t="str">
        <f>HYPERLINK("https://twitter.com/ankerrm","@ankerrm")</f>
        <v>@ankerrm</v>
      </c>
      <c r="C8704" s="21" t="s">
        <v>16164</v>
      </c>
      <c r="D8704" s="21" t="s">
        <v>42</v>
      </c>
      <c r="E8704" s="22" t="str">
        <f>HYPERLINK("https://twitter.com/ankerrm/status/922662911432159232","922662911432159232")</f>
        <v>922662911432159232</v>
      </c>
      <c r="F8704" s="23" t="s">
        <v>39</v>
      </c>
      <c r="G8704" s="24">
        <v>21.0</v>
      </c>
      <c r="H8704" s="24">
        <v>77.0</v>
      </c>
      <c r="I8704" s="24">
        <v>8501.0</v>
      </c>
      <c r="J8704" s="24">
        <v>0.0</v>
      </c>
      <c r="K8704" s="23" t="s">
        <v>34</v>
      </c>
      <c r="L8704" s="25">
        <v>40097.47211805556</v>
      </c>
      <c r="M8704" s="28"/>
      <c r="N8704" s="28"/>
      <c r="O8704" s="22" t="str">
        <f>HYPERLINK("https://abs.twimg.com/sticky/default_profile_images/default_profile_normal.png","View")</f>
        <v>View</v>
      </c>
      <c r="P8704" s="27"/>
    </row>
    <row r="8705">
      <c r="A8705" s="14">
        <v>43031.844502314816</v>
      </c>
      <c r="B8705" s="20" t="str">
        <f>HYPERLINK("https://twitter.com/jornalistavitor","@jornalistavitor")</f>
        <v>@jornalistavitor</v>
      </c>
      <c r="C8705" s="21" t="s">
        <v>18907</v>
      </c>
      <c r="D8705" s="21" t="s">
        <v>19016</v>
      </c>
      <c r="E8705" s="22" t="str">
        <f>HYPERLINK("https://twitter.com/jornalistavitor/status/922662953496834048","922662953496834048")</f>
        <v>922662953496834048</v>
      </c>
      <c r="F8705" s="23" t="s">
        <v>55</v>
      </c>
      <c r="G8705" s="24">
        <v>35081.0</v>
      </c>
      <c r="H8705" s="24">
        <v>26503.0</v>
      </c>
      <c r="I8705" s="24">
        <v>51.0</v>
      </c>
      <c r="J8705" s="24">
        <v>0.0</v>
      </c>
      <c r="K8705" s="23" t="s">
        <v>34</v>
      </c>
      <c r="L8705" s="25">
        <v>40220.39572916667</v>
      </c>
      <c r="M8705" s="26" t="s">
        <v>1124</v>
      </c>
      <c r="N8705" s="26" t="s">
        <v>18908</v>
      </c>
      <c r="O8705" s="22" t="str">
        <f>HYPERLINK("https://pbs.twimg.com/profile_images/378800000463633572/8494361443a9361de1017d497c5ee1f2_normal.jpeg","View")</f>
        <v>View</v>
      </c>
      <c r="P8705" s="27"/>
    </row>
    <row r="8706">
      <c r="A8706" s="14">
        <v>43031.8455324074</v>
      </c>
      <c r="B8706" s="20" t="str">
        <f>HYPERLINK("https://twitter.com/PANDITMUSTAFA","@PANDITMUSTAFA")</f>
        <v>@PANDITMUSTAFA</v>
      </c>
      <c r="C8706" s="21" t="s">
        <v>19154</v>
      </c>
      <c r="D8706" s="21" t="s">
        <v>42</v>
      </c>
      <c r="E8706" s="22" t="str">
        <f>HYPERLINK("https://twitter.com/PANDITMUSTAFA/status/922663328115073025","922663328115073025")</f>
        <v>922663328115073025</v>
      </c>
      <c r="F8706" s="23" t="s">
        <v>33</v>
      </c>
      <c r="G8706" s="24">
        <v>863.0</v>
      </c>
      <c r="H8706" s="24">
        <v>2254.0</v>
      </c>
      <c r="I8706" s="24">
        <v>8501.0</v>
      </c>
      <c r="J8706" s="24">
        <v>0.0</v>
      </c>
      <c r="K8706" s="23" t="s">
        <v>34</v>
      </c>
      <c r="L8706" s="25">
        <v>40081.03057870371</v>
      </c>
      <c r="M8706" s="26" t="s">
        <v>7787</v>
      </c>
      <c r="N8706" s="26" t="s">
        <v>19155</v>
      </c>
      <c r="O8706" s="22" t="str">
        <f>HYPERLINK("https://pbs.twimg.com/profile_images/745305757566918657/Zm-Q6Ytk_normal.jpg","View")</f>
        <v>View</v>
      </c>
      <c r="P8706" s="27"/>
    </row>
    <row r="8707">
      <c r="A8707" s="14">
        <v>43031.84601851852</v>
      </c>
      <c r="B8707" s="20" t="str">
        <f>HYPERLINK("https://twitter.com/n00bki11er","@n00bki11er")</f>
        <v>@n00bki11er</v>
      </c>
      <c r="C8707" s="21" t="s">
        <v>19156</v>
      </c>
      <c r="D8707" s="21" t="s">
        <v>19016</v>
      </c>
      <c r="E8707" s="22" t="str">
        <f>HYPERLINK("https://twitter.com/n00bki11er/status/922663505735532544","922663505735532544")</f>
        <v>922663505735532544</v>
      </c>
      <c r="F8707" s="23" t="s">
        <v>39</v>
      </c>
      <c r="G8707" s="24">
        <v>33.0</v>
      </c>
      <c r="H8707" s="24">
        <v>297.0</v>
      </c>
      <c r="I8707" s="24">
        <v>51.0</v>
      </c>
      <c r="J8707" s="24">
        <v>0.0</v>
      </c>
      <c r="K8707" s="23" t="s">
        <v>34</v>
      </c>
      <c r="L8707" s="25">
        <v>40591.03927083333</v>
      </c>
      <c r="M8707" s="26" t="s">
        <v>19157</v>
      </c>
      <c r="N8707" s="26" t="s">
        <v>19158</v>
      </c>
      <c r="O8707" s="22" t="str">
        <f>HYPERLINK("https://pbs.twimg.com/profile_images/847878873228259329/orXyBxqI_normal.jpg","View")</f>
        <v>View</v>
      </c>
      <c r="P8707" s="27"/>
    </row>
    <row r="8708">
      <c r="A8708" s="14">
        <v>43031.84622685185</v>
      </c>
      <c r="B8708" s="20" t="str">
        <f>HYPERLINK("https://twitter.com/jaras808","@jaras808")</f>
        <v>@jaras808</v>
      </c>
      <c r="C8708" s="21" t="s">
        <v>19159</v>
      </c>
      <c r="D8708" s="21" t="s">
        <v>19016</v>
      </c>
      <c r="E8708" s="22" t="str">
        <f>HYPERLINK("https://twitter.com/jaras808/status/922663581505720320","922663581505720320")</f>
        <v>922663581505720320</v>
      </c>
      <c r="F8708" s="23" t="s">
        <v>33</v>
      </c>
      <c r="G8708" s="24">
        <v>549.0</v>
      </c>
      <c r="H8708" s="24">
        <v>487.0</v>
      </c>
      <c r="I8708" s="24">
        <v>51.0</v>
      </c>
      <c r="J8708" s="24">
        <v>0.0</v>
      </c>
      <c r="K8708" s="23" t="s">
        <v>34</v>
      </c>
      <c r="L8708" s="25">
        <v>42050.506736111114</v>
      </c>
      <c r="M8708" s="28"/>
      <c r="N8708" s="28"/>
      <c r="O8708" s="22" t="str">
        <f>HYPERLINK("https://pbs.twimg.com/profile_images/666005670328713216/ETJnWJFa_normal.jpg","View")</f>
        <v>View</v>
      </c>
      <c r="P8708" s="27"/>
    </row>
    <row r="8709">
      <c r="A8709" s="14">
        <v>43031.846539351856</v>
      </c>
      <c r="B8709" s="20" t="str">
        <f>HYPERLINK("https://twitter.com/friendmoscow","@friendmoscow")</f>
        <v>@friendmoscow</v>
      </c>
      <c r="C8709" s="21" t="s">
        <v>17916</v>
      </c>
      <c r="D8709" s="21" t="s">
        <v>18162</v>
      </c>
      <c r="E8709" s="22" t="str">
        <f>HYPERLINK("https://twitter.com/friendmoscow/status/922663691966808064","922663691966808064")</f>
        <v>922663691966808064</v>
      </c>
      <c r="F8709" s="23" t="s">
        <v>55</v>
      </c>
      <c r="G8709" s="24">
        <v>3238.0</v>
      </c>
      <c r="H8709" s="24">
        <v>6.0</v>
      </c>
      <c r="I8709" s="24">
        <v>59.0</v>
      </c>
      <c r="J8709" s="24">
        <v>0.0</v>
      </c>
      <c r="K8709" s="23" t="s">
        <v>34</v>
      </c>
      <c r="L8709" s="25">
        <v>40488.26332175926</v>
      </c>
      <c r="M8709" s="26" t="s">
        <v>6293</v>
      </c>
      <c r="N8709" s="28"/>
      <c r="O8709" s="22" t="str">
        <f>HYPERLINK("https://pbs.twimg.com/profile_images/859951345826013184/qu_1UYfi_normal.jpg","View")</f>
        <v>View</v>
      </c>
      <c r="P8709" s="27"/>
    </row>
    <row r="8710">
      <c r="A8710" s="14">
        <v>43031.846759259264</v>
      </c>
      <c r="B8710" s="20" t="str">
        <f>HYPERLINK("https://twitter.com/vinodgundarwal1","@vinodgundarwal1")</f>
        <v>@vinodgundarwal1</v>
      </c>
      <c r="C8710" s="21" t="s">
        <v>19160</v>
      </c>
      <c r="D8710" s="21" t="s">
        <v>42</v>
      </c>
      <c r="E8710" s="22" t="str">
        <f>HYPERLINK("https://twitter.com/vinodgundarwal1/status/922663774753931264","922663774753931264")</f>
        <v>922663774753931264</v>
      </c>
      <c r="F8710" s="23" t="s">
        <v>33</v>
      </c>
      <c r="G8710" s="24">
        <v>65.0</v>
      </c>
      <c r="H8710" s="24">
        <v>408.0</v>
      </c>
      <c r="I8710" s="24">
        <v>8501.0</v>
      </c>
      <c r="J8710" s="24">
        <v>0.0</v>
      </c>
      <c r="K8710" s="23" t="s">
        <v>34</v>
      </c>
      <c r="L8710" s="25">
        <v>41063.22023148148</v>
      </c>
      <c r="M8710" s="26" t="s">
        <v>4912</v>
      </c>
      <c r="N8710" s="26" t="s">
        <v>19161</v>
      </c>
      <c r="O8710" s="22" t="str">
        <f>HYPERLINK("https://pbs.twimg.com/profile_images/469100460951879680/m7J2DICj_normal.jpeg","View")</f>
        <v>View</v>
      </c>
      <c r="P8710" s="27"/>
    </row>
    <row r="8711">
      <c r="A8711" s="14">
        <v>43031.84679398148</v>
      </c>
      <c r="B8711" s="20" t="str">
        <f>HYPERLINK("https://twitter.com/stockmarketpuls","@stockmarketpuls")</f>
        <v>@stockmarketpuls</v>
      </c>
      <c r="C8711" s="21" t="s">
        <v>19162</v>
      </c>
      <c r="D8711" s="21" t="s">
        <v>19163</v>
      </c>
      <c r="E8711" s="22" t="str">
        <f>HYPERLINK("https://twitter.com/stockmarketpuls/status/922663787332808704","922663787332808704")</f>
        <v>922663787332808704</v>
      </c>
      <c r="F8711" s="23" t="s">
        <v>91</v>
      </c>
      <c r="G8711" s="24">
        <v>1490.0</v>
      </c>
      <c r="H8711" s="24">
        <v>91.0</v>
      </c>
      <c r="I8711" s="24">
        <v>0.0</v>
      </c>
      <c r="J8711" s="24">
        <v>0.0</v>
      </c>
      <c r="K8711" s="23" t="s">
        <v>34</v>
      </c>
      <c r="L8711" s="25">
        <v>41365.475648148145</v>
      </c>
      <c r="M8711" s="26" t="s">
        <v>531</v>
      </c>
      <c r="N8711" s="26" t="s">
        <v>19164</v>
      </c>
      <c r="O8711" s="22" t="str">
        <f>HYPERLINK("https://pbs.twimg.com/profile_images/3462943067/a4819030bc38bd5a264542abbd4c9c8d_normal.png","View")</f>
        <v>View</v>
      </c>
      <c r="P8711" s="27"/>
    </row>
    <row r="8712">
      <c r="A8712" s="14">
        <v>43031.84695601852</v>
      </c>
      <c r="B8712" s="20" t="str">
        <f>HYPERLINK("https://twitter.com/jaras808","@jaras808")</f>
        <v>@jaras808</v>
      </c>
      <c r="C8712" s="21" t="s">
        <v>19159</v>
      </c>
      <c r="D8712" s="21" t="s">
        <v>19095</v>
      </c>
      <c r="E8712" s="22" t="str">
        <f>HYPERLINK("https://twitter.com/jaras808/status/922663845595897856","922663845595897856")</f>
        <v>922663845595897856</v>
      </c>
      <c r="F8712" s="23" t="s">
        <v>33</v>
      </c>
      <c r="G8712" s="24">
        <v>549.0</v>
      </c>
      <c r="H8712" s="24">
        <v>487.0</v>
      </c>
      <c r="I8712" s="24">
        <v>7.0</v>
      </c>
      <c r="J8712" s="24">
        <v>0.0</v>
      </c>
      <c r="K8712" s="23" t="s">
        <v>34</v>
      </c>
      <c r="L8712" s="25">
        <v>42050.506736111114</v>
      </c>
      <c r="M8712" s="28"/>
      <c r="N8712" s="28"/>
      <c r="O8712" s="22" t="str">
        <f>HYPERLINK("https://pbs.twimg.com/profile_images/666005670328713216/ETJnWJFa_normal.jpg","View")</f>
        <v>View</v>
      </c>
      <c r="P8712" s="27"/>
    </row>
    <row r="8713">
      <c r="A8713" s="14">
        <v>43031.84725694444</v>
      </c>
      <c r="B8713" s="20" t="str">
        <f t="shared" ref="B8713:B8714" si="162">HYPERLINK("https://twitter.com/asuka_250","@asuka_250")</f>
        <v>@asuka_250</v>
      </c>
      <c r="C8713" s="21" t="s">
        <v>8584</v>
      </c>
      <c r="D8713" s="21" t="s">
        <v>18162</v>
      </c>
      <c r="E8713" s="22" t="str">
        <f>HYPERLINK("https://twitter.com/asuka_250/status/922663955771809792","922663955771809792")</f>
        <v>922663955771809792</v>
      </c>
      <c r="F8713" s="23" t="s">
        <v>55</v>
      </c>
      <c r="G8713" s="24">
        <v>30812.0</v>
      </c>
      <c r="H8713" s="24">
        <v>30482.0</v>
      </c>
      <c r="I8713" s="24">
        <v>59.0</v>
      </c>
      <c r="J8713" s="24">
        <v>0.0</v>
      </c>
      <c r="K8713" s="23" t="s">
        <v>34</v>
      </c>
      <c r="L8713" s="25">
        <v>41943.172476851854</v>
      </c>
      <c r="M8713" s="26" t="s">
        <v>1224</v>
      </c>
      <c r="N8713" s="26" t="s">
        <v>8586</v>
      </c>
      <c r="O8713" s="22" t="str">
        <f t="shared" ref="O8713:O8714" si="163">HYPERLINK("https://pbs.twimg.com/profile_images/576284037486014464/dhYtI1qZ_normal.jpeg","View")</f>
        <v>View</v>
      </c>
      <c r="P8713" s="27"/>
    </row>
    <row r="8714">
      <c r="A8714" s="14">
        <v>43031.847291666665</v>
      </c>
      <c r="B8714" s="20" t="str">
        <f t="shared" si="162"/>
        <v>@asuka_250</v>
      </c>
      <c r="C8714" s="21" t="s">
        <v>8584</v>
      </c>
      <c r="D8714" s="21" t="s">
        <v>19016</v>
      </c>
      <c r="E8714" s="22" t="str">
        <f>HYPERLINK("https://twitter.com/asuka_250/status/922663967851294720","922663967851294720")</f>
        <v>922663967851294720</v>
      </c>
      <c r="F8714" s="23" t="s">
        <v>55</v>
      </c>
      <c r="G8714" s="24">
        <v>30812.0</v>
      </c>
      <c r="H8714" s="24">
        <v>30482.0</v>
      </c>
      <c r="I8714" s="24">
        <v>51.0</v>
      </c>
      <c r="J8714" s="24">
        <v>0.0</v>
      </c>
      <c r="K8714" s="23" t="s">
        <v>34</v>
      </c>
      <c r="L8714" s="25">
        <v>41943.172476851854</v>
      </c>
      <c r="M8714" s="26" t="s">
        <v>1224</v>
      </c>
      <c r="N8714" s="26" t="s">
        <v>8586</v>
      </c>
      <c r="O8714" s="22" t="str">
        <f t="shared" si="163"/>
        <v>View</v>
      </c>
      <c r="P8714" s="27"/>
    </row>
    <row r="8715">
      <c r="A8715" s="14">
        <v>43031.84732638889</v>
      </c>
      <c r="B8715" s="20" t="str">
        <f>HYPERLINK("https://twitter.com/ZacharyStern25","@ZacharyStern25")</f>
        <v>@ZacharyStern25</v>
      </c>
      <c r="C8715" s="21" t="s">
        <v>19165</v>
      </c>
      <c r="D8715" s="21" t="s">
        <v>19016</v>
      </c>
      <c r="E8715" s="22" t="str">
        <f>HYPERLINK("https://twitter.com/ZacharyStern25/status/922663978509115393","922663978509115393")</f>
        <v>922663978509115393</v>
      </c>
      <c r="F8715" s="23" t="s">
        <v>39</v>
      </c>
      <c r="G8715" s="24">
        <v>279.0</v>
      </c>
      <c r="H8715" s="24">
        <v>256.0</v>
      </c>
      <c r="I8715" s="24">
        <v>51.0</v>
      </c>
      <c r="J8715" s="24">
        <v>0.0</v>
      </c>
      <c r="K8715" s="23" t="s">
        <v>34</v>
      </c>
      <c r="L8715" s="25">
        <v>41932.87063657407</v>
      </c>
      <c r="M8715" s="26" t="s">
        <v>1563</v>
      </c>
      <c r="N8715" s="26" t="s">
        <v>19166</v>
      </c>
      <c r="O8715" s="22" t="str">
        <f>HYPERLINK("https://pbs.twimg.com/profile_images/922863413977419776/Kn9BpqEp_normal.jpg","View")</f>
        <v>View</v>
      </c>
      <c r="P8715" s="27"/>
    </row>
    <row r="8716">
      <c r="A8716" s="14">
        <v>43031.84737268518</v>
      </c>
      <c r="B8716" s="20" t="str">
        <f>HYPERLINK("https://twitter.com/Amit69880971","@Amit69880971")</f>
        <v>@Amit69880971</v>
      </c>
      <c r="C8716" s="21" t="s">
        <v>19167</v>
      </c>
      <c r="D8716" s="21" t="s">
        <v>19016</v>
      </c>
      <c r="E8716" s="22" t="str">
        <f>HYPERLINK("https://twitter.com/Amit69880971/status/922663995470835712","922663995470835712")</f>
        <v>922663995470835712</v>
      </c>
      <c r="F8716" s="23" t="s">
        <v>39</v>
      </c>
      <c r="G8716" s="24">
        <v>19.0</v>
      </c>
      <c r="H8716" s="24">
        <v>165.0</v>
      </c>
      <c r="I8716" s="24">
        <v>51.0</v>
      </c>
      <c r="J8716" s="24">
        <v>0.0</v>
      </c>
      <c r="K8716" s="23" t="s">
        <v>34</v>
      </c>
      <c r="L8716" s="25">
        <v>42812.87077546296</v>
      </c>
      <c r="M8716" s="26" t="s">
        <v>204</v>
      </c>
      <c r="N8716" s="26" t="s">
        <v>19168</v>
      </c>
      <c r="O8716" s="22" t="str">
        <f>HYPERLINK("https://pbs.twimg.com/profile_images/896296682429612033/17qDY7os_normal.jpg","View")</f>
        <v>View</v>
      </c>
      <c r="P8716" s="27"/>
    </row>
    <row r="8717">
      <c r="A8717" s="14">
        <v>43031.847557870366</v>
      </c>
      <c r="B8717" s="20" t="str">
        <f t="shared" ref="B8717:B8718" si="164">HYPERLINK("https://twitter.com/Sousuke_Koyama","@Sousuke_Koyama")</f>
        <v>@Sousuke_Koyama</v>
      </c>
      <c r="C8717" s="21" t="s">
        <v>19169</v>
      </c>
      <c r="D8717" s="21" t="s">
        <v>14990</v>
      </c>
      <c r="E8717" s="22" t="str">
        <f>HYPERLINK("https://twitter.com/Sousuke_Koyama/status/922664062160269313","922664062160269313")</f>
        <v>922664062160269313</v>
      </c>
      <c r="F8717" s="23" t="s">
        <v>55</v>
      </c>
      <c r="G8717" s="24">
        <v>10488.0</v>
      </c>
      <c r="H8717" s="24">
        <v>4534.0</v>
      </c>
      <c r="I8717" s="24">
        <v>10.0</v>
      </c>
      <c r="J8717" s="24">
        <v>0.0</v>
      </c>
      <c r="K8717" s="23" t="s">
        <v>34</v>
      </c>
      <c r="L8717" s="25">
        <v>40330.224120370374</v>
      </c>
      <c r="M8717" s="26" t="s">
        <v>19170</v>
      </c>
      <c r="N8717" s="26" t="s">
        <v>19171</v>
      </c>
      <c r="O8717" s="22" t="str">
        <f t="shared" ref="O8717:O8718" si="165">HYPERLINK("https://pbs.twimg.com/profile_images/628932146858602496/J1Kc2csc_normal.jpg","View")</f>
        <v>View</v>
      </c>
      <c r="P8717" s="27"/>
    </row>
    <row r="8718">
      <c r="A8718" s="14">
        <v>43031.84769675926</v>
      </c>
      <c r="B8718" s="20" t="str">
        <f t="shared" si="164"/>
        <v>@Sousuke_Koyama</v>
      </c>
      <c r="C8718" s="21" t="s">
        <v>19169</v>
      </c>
      <c r="D8718" s="21" t="s">
        <v>14986</v>
      </c>
      <c r="E8718" s="22" t="str">
        <f>HYPERLINK("https://twitter.com/Sousuke_Koyama/status/922664112059904000","922664112059904000")</f>
        <v>922664112059904000</v>
      </c>
      <c r="F8718" s="23" t="s">
        <v>55</v>
      </c>
      <c r="G8718" s="24">
        <v>10488.0</v>
      </c>
      <c r="H8718" s="24">
        <v>4534.0</v>
      </c>
      <c r="I8718" s="24">
        <v>11.0</v>
      </c>
      <c r="J8718" s="24">
        <v>0.0</v>
      </c>
      <c r="K8718" s="23" t="s">
        <v>34</v>
      </c>
      <c r="L8718" s="25">
        <v>40330.224120370374</v>
      </c>
      <c r="M8718" s="26" t="s">
        <v>19170</v>
      </c>
      <c r="N8718" s="26" t="s">
        <v>19171</v>
      </c>
      <c r="O8718" s="22" t="str">
        <f t="shared" si="165"/>
        <v>View</v>
      </c>
      <c r="P8718" s="27"/>
    </row>
    <row r="8719">
      <c r="A8719" s="14">
        <v>43031.847754629634</v>
      </c>
      <c r="B8719" s="20" t="str">
        <f>HYPERLINK("https://twitter.com/lavenderkiss","@lavenderkiss")</f>
        <v>@lavenderkiss</v>
      </c>
      <c r="C8719" s="21" t="s">
        <v>19172</v>
      </c>
      <c r="D8719" s="21" t="s">
        <v>17645</v>
      </c>
      <c r="E8719" s="22" t="str">
        <f>HYPERLINK("https://twitter.com/lavenderkiss/status/922664134851706880","922664134851706880")</f>
        <v>922664134851706880</v>
      </c>
      <c r="F8719" s="23" t="s">
        <v>19173</v>
      </c>
      <c r="G8719" s="24">
        <v>309.0</v>
      </c>
      <c r="H8719" s="24">
        <v>199.0</v>
      </c>
      <c r="I8719" s="24">
        <v>8.0</v>
      </c>
      <c r="J8719" s="24">
        <v>0.0</v>
      </c>
      <c r="K8719" s="23" t="s">
        <v>34</v>
      </c>
      <c r="L8719" s="25">
        <v>39880.62604166666</v>
      </c>
      <c r="M8719" s="26" t="s">
        <v>295</v>
      </c>
      <c r="N8719" s="26" t="s">
        <v>19174</v>
      </c>
      <c r="O8719" s="22" t="str">
        <f>HYPERLINK("https://pbs.twimg.com/profile_images/458786684847407104/jXjxRX_v_normal.jpeg","View")</f>
        <v>View</v>
      </c>
      <c r="P8719" s="27"/>
    </row>
    <row r="8720">
      <c r="A8720" s="14">
        <v>43031.847766203704</v>
      </c>
      <c r="B8720" s="20" t="str">
        <f>HYPERLINK("https://twitter.com/YUGESHBABU14","@YUGESHBABU14")</f>
        <v>@YUGESHBABU14</v>
      </c>
      <c r="C8720" s="21" t="s">
        <v>19175</v>
      </c>
      <c r="D8720" s="21" t="s">
        <v>42</v>
      </c>
      <c r="E8720" s="22" t="str">
        <f>HYPERLINK("https://twitter.com/YUGESHBABU14/status/922664137045417984","922664137045417984")</f>
        <v>922664137045417984</v>
      </c>
      <c r="F8720" s="23" t="s">
        <v>39</v>
      </c>
      <c r="G8720" s="24">
        <v>182.0</v>
      </c>
      <c r="H8720" s="24">
        <v>158.0</v>
      </c>
      <c r="I8720" s="24">
        <v>8501.0</v>
      </c>
      <c r="J8720" s="24">
        <v>0.0</v>
      </c>
      <c r="K8720" s="23" t="s">
        <v>34</v>
      </c>
      <c r="L8720" s="25">
        <v>40253.01056712963</v>
      </c>
      <c r="M8720" s="26" t="s">
        <v>19176</v>
      </c>
      <c r="N8720" s="26" t="s">
        <v>19177</v>
      </c>
      <c r="O8720" s="22" t="str">
        <f>HYPERLINK("https://pbs.twimg.com/profile_images/784698793719533568/KLO7LHlS_normal.jpg","View")</f>
        <v>View</v>
      </c>
      <c r="P8720" s="27"/>
    </row>
    <row r="8721">
      <c r="A8721" s="14">
        <v>43031.8478125</v>
      </c>
      <c r="B8721" s="20" t="str">
        <f>HYPERLINK("https://twitter.com/Ivikashi","@Ivikashi")</f>
        <v>@Ivikashi</v>
      </c>
      <c r="C8721" s="21" t="s">
        <v>19178</v>
      </c>
      <c r="D8721" s="21" t="s">
        <v>42</v>
      </c>
      <c r="E8721" s="22" t="str">
        <f>HYPERLINK("https://twitter.com/Ivikashi/status/922664155676426241","922664155676426241")</f>
        <v>922664155676426241</v>
      </c>
      <c r="F8721" s="23" t="s">
        <v>33</v>
      </c>
      <c r="G8721" s="24">
        <v>39.0</v>
      </c>
      <c r="H8721" s="24">
        <v>88.0</v>
      </c>
      <c r="I8721" s="24">
        <v>8501.0</v>
      </c>
      <c r="J8721" s="24">
        <v>0.0</v>
      </c>
      <c r="K8721" s="23" t="s">
        <v>34</v>
      </c>
      <c r="L8721" s="25">
        <v>42955.96037037037</v>
      </c>
      <c r="M8721" s="26" t="s">
        <v>19179</v>
      </c>
      <c r="N8721" s="26" t="s">
        <v>19180</v>
      </c>
      <c r="O8721" s="22" t="str">
        <f>HYPERLINK("https://pbs.twimg.com/profile_images/916566994807267328/7CNMX-ix_normal.jpg","View")</f>
        <v>View</v>
      </c>
      <c r="P8721" s="27"/>
    </row>
    <row r="8722">
      <c r="A8722" s="14">
        <v>43031.847916666666</v>
      </c>
      <c r="B8722" s="20" t="str">
        <f>HYPERLINK("https://twitter.com/asgerrojle","@asgerrojle")</f>
        <v>@asgerrojle</v>
      </c>
      <c r="C8722" s="21" t="s">
        <v>19181</v>
      </c>
      <c r="D8722" s="21" t="s">
        <v>19182</v>
      </c>
      <c r="E8722" s="22" t="str">
        <f>HYPERLINK("https://twitter.com/asgerrojle/status/922664190963171329","922664190963171329")</f>
        <v>922664190963171329</v>
      </c>
      <c r="F8722" s="23" t="s">
        <v>39</v>
      </c>
      <c r="G8722" s="24">
        <v>1581.0</v>
      </c>
      <c r="H8722" s="24">
        <v>1964.0</v>
      </c>
      <c r="I8722" s="24">
        <v>0.0</v>
      </c>
      <c r="J8722" s="24">
        <v>0.0</v>
      </c>
      <c r="K8722" s="23" t="s">
        <v>34</v>
      </c>
      <c r="L8722" s="25">
        <v>39873.07158564815</v>
      </c>
      <c r="M8722" s="26" t="s">
        <v>19183</v>
      </c>
      <c r="N8722" s="26" t="s">
        <v>19184</v>
      </c>
      <c r="O8722" s="22" t="str">
        <f>HYPERLINK("https://pbs.twimg.com/profile_images/1627188655/kabukicho_normal.jpg","View")</f>
        <v>View</v>
      </c>
      <c r="P8722" s="27"/>
    </row>
    <row r="8723">
      <c r="A8723" s="14">
        <v>43031.84797453704</v>
      </c>
      <c r="B8723" s="20" t="str">
        <f>HYPERLINK("https://twitter.com/asuka_250","@asuka_250")</f>
        <v>@asuka_250</v>
      </c>
      <c r="C8723" s="21" t="s">
        <v>8584</v>
      </c>
      <c r="D8723" s="21" t="s">
        <v>18983</v>
      </c>
      <c r="E8723" s="22" t="str">
        <f>HYPERLINK("https://twitter.com/asuka_250/status/922664212941303808","922664212941303808")</f>
        <v>922664212941303808</v>
      </c>
      <c r="F8723" s="23" t="s">
        <v>55</v>
      </c>
      <c r="G8723" s="24">
        <v>30812.0</v>
      </c>
      <c r="H8723" s="24">
        <v>30482.0</v>
      </c>
      <c r="I8723" s="24">
        <v>7.0</v>
      </c>
      <c r="J8723" s="24">
        <v>0.0</v>
      </c>
      <c r="K8723" s="23" t="s">
        <v>34</v>
      </c>
      <c r="L8723" s="25">
        <v>41943.172476851854</v>
      </c>
      <c r="M8723" s="26" t="s">
        <v>1224</v>
      </c>
      <c r="N8723" s="26" t="s">
        <v>8586</v>
      </c>
      <c r="O8723" s="22" t="str">
        <f>HYPERLINK("https://pbs.twimg.com/profile_images/576284037486014464/dhYtI1qZ_normal.jpeg","View")</f>
        <v>View</v>
      </c>
      <c r="P8723" s="27"/>
    </row>
    <row r="8724">
      <c r="A8724" s="14">
        <v>43031.84810185185</v>
      </c>
      <c r="B8724" s="20" t="str">
        <f>HYPERLINK("https://twitter.com/fuzzyguest","@fuzzyguest")</f>
        <v>@fuzzyguest</v>
      </c>
      <c r="C8724" s="21" t="s">
        <v>953</v>
      </c>
      <c r="D8724" s="21" t="s">
        <v>19016</v>
      </c>
      <c r="E8724" s="22" t="str">
        <f>HYPERLINK("https://twitter.com/fuzzyguest/status/922664259925843969","922664259925843969")</f>
        <v>922664259925843969</v>
      </c>
      <c r="F8724" s="23" t="s">
        <v>55</v>
      </c>
      <c r="G8724" s="24">
        <v>56.0</v>
      </c>
      <c r="H8724" s="24">
        <v>815.0</v>
      </c>
      <c r="I8724" s="24">
        <v>51.0</v>
      </c>
      <c r="J8724" s="24">
        <v>0.0</v>
      </c>
      <c r="K8724" s="23" t="s">
        <v>34</v>
      </c>
      <c r="L8724" s="25">
        <v>41335.81833333333</v>
      </c>
      <c r="M8724" s="26" t="s">
        <v>271</v>
      </c>
      <c r="N8724" s="28"/>
      <c r="O8724" s="22" t="str">
        <f>HYPERLINK("https://pbs.twimg.com/profile_images/378800000310251208/39e3ef268e83d4457361db41b199ea80_normal.jpeg","View")</f>
        <v>View</v>
      </c>
      <c r="P8724" s="27"/>
    </row>
    <row r="8725">
      <c r="A8725" s="14">
        <v>43031.84813657407</v>
      </c>
      <c r="B8725" s="20" t="str">
        <f>HYPERLINK("https://twitter.com/MoreShamLessWow","@MoreShamLessWow")</f>
        <v>@MoreShamLessWow</v>
      </c>
      <c r="C8725" s="21" t="s">
        <v>8133</v>
      </c>
      <c r="D8725" s="21" t="s">
        <v>18162</v>
      </c>
      <c r="E8725" s="22" t="str">
        <f>HYPERLINK("https://twitter.com/MoreShamLessWow/status/922664272135708672","922664272135708672")</f>
        <v>922664272135708672</v>
      </c>
      <c r="F8725" s="23" t="s">
        <v>8134</v>
      </c>
      <c r="G8725" s="24">
        <v>390.0</v>
      </c>
      <c r="H8725" s="24">
        <v>3141.0</v>
      </c>
      <c r="I8725" s="24">
        <v>59.0</v>
      </c>
      <c r="J8725" s="24">
        <v>0.0</v>
      </c>
      <c r="K8725" s="23" t="s">
        <v>34</v>
      </c>
      <c r="L8725" s="25">
        <v>43015.9462037037</v>
      </c>
      <c r="M8725" s="28"/>
      <c r="N8725" s="26" t="s">
        <v>8135</v>
      </c>
      <c r="O8725" s="22" t="str">
        <f>HYPERLINK("https://pbs.twimg.com/profile_images/917071167441244165/JhCl4xz1_normal.jpg","View")</f>
        <v>View</v>
      </c>
      <c r="P8725" s="27"/>
    </row>
    <row r="8726">
      <c r="A8726" s="14">
        <v>43031.84831018519</v>
      </c>
      <c r="B8726" s="20" t="str">
        <f>HYPERLINK("https://twitter.com/shailendrat","@shailendrat")</f>
        <v>@shailendrat</v>
      </c>
      <c r="C8726" s="21" t="s">
        <v>19185</v>
      </c>
      <c r="D8726" s="21" t="s">
        <v>19016</v>
      </c>
      <c r="E8726" s="22" t="str">
        <f>HYPERLINK("https://twitter.com/shailendrat/status/922664335557709824","922664335557709824")</f>
        <v>922664335557709824</v>
      </c>
      <c r="F8726" s="23" t="s">
        <v>33</v>
      </c>
      <c r="G8726" s="24">
        <v>16370.0</v>
      </c>
      <c r="H8726" s="24">
        <v>7969.0</v>
      </c>
      <c r="I8726" s="24">
        <v>51.0</v>
      </c>
      <c r="J8726" s="24">
        <v>0.0</v>
      </c>
      <c r="K8726" s="23" t="s">
        <v>34</v>
      </c>
      <c r="L8726" s="25">
        <v>39949.55644675926</v>
      </c>
      <c r="M8726" s="26" t="s">
        <v>19186</v>
      </c>
      <c r="N8726" s="26" t="s">
        <v>19187</v>
      </c>
      <c r="O8726" s="22" t="str">
        <f>HYPERLINK("https://pbs.twimg.com/profile_images/905626150356914176/TxCBowrB_normal.jpg","View")</f>
        <v>View</v>
      </c>
      <c r="P8726" s="27"/>
    </row>
    <row r="8727">
      <c r="A8727" s="14">
        <v>43031.848379629635</v>
      </c>
      <c r="B8727" s="20" t="str">
        <f>HYPERLINK("https://twitter.com/raphaelha67","@raphaelha67")</f>
        <v>@raphaelha67</v>
      </c>
      <c r="C8727" s="21" t="s">
        <v>19188</v>
      </c>
      <c r="D8727" s="21" t="s">
        <v>16537</v>
      </c>
      <c r="E8727" s="22" t="str">
        <f>HYPERLINK("https://twitter.com/raphaelha67/status/922664358676746240","922664358676746240")</f>
        <v>922664358676746240</v>
      </c>
      <c r="F8727" s="23" t="s">
        <v>39</v>
      </c>
      <c r="G8727" s="24">
        <v>454.0</v>
      </c>
      <c r="H8727" s="24">
        <v>13.0</v>
      </c>
      <c r="I8727" s="24">
        <v>242.0</v>
      </c>
      <c r="J8727" s="24">
        <v>0.0</v>
      </c>
      <c r="K8727" s="23" t="s">
        <v>34</v>
      </c>
      <c r="L8727" s="25">
        <v>42610.639375</v>
      </c>
      <c r="M8727" s="28"/>
      <c r="N8727" s="26" t="s">
        <v>19189</v>
      </c>
      <c r="O8727" s="22" t="str">
        <f>HYPERLINK("https://abs.twimg.com/sticky/default_profile_images/default_profile_normal.png","View")</f>
        <v>View</v>
      </c>
      <c r="P8727" s="27"/>
    </row>
    <row r="8728">
      <c r="A8728" s="14">
        <v>43031.84856481482</v>
      </c>
      <c r="B8728" s="20" t="str">
        <f>HYPERLINK("https://twitter.com/jornalistavitor","@jornalistavitor")</f>
        <v>@jornalistavitor</v>
      </c>
      <c r="C8728" s="21" t="s">
        <v>18907</v>
      </c>
      <c r="D8728" s="21" t="s">
        <v>18162</v>
      </c>
      <c r="E8728" s="22" t="str">
        <f>HYPERLINK("https://twitter.com/jornalistavitor/status/922664429614981120","922664429614981120")</f>
        <v>922664429614981120</v>
      </c>
      <c r="F8728" s="23" t="s">
        <v>55</v>
      </c>
      <c r="G8728" s="24">
        <v>35081.0</v>
      </c>
      <c r="H8728" s="24">
        <v>26503.0</v>
      </c>
      <c r="I8728" s="24">
        <v>59.0</v>
      </c>
      <c r="J8728" s="24">
        <v>0.0</v>
      </c>
      <c r="K8728" s="23" t="s">
        <v>34</v>
      </c>
      <c r="L8728" s="25">
        <v>40220.39572916667</v>
      </c>
      <c r="M8728" s="26" t="s">
        <v>1124</v>
      </c>
      <c r="N8728" s="26" t="s">
        <v>18908</v>
      </c>
      <c r="O8728" s="22" t="str">
        <f>HYPERLINK("https://pbs.twimg.com/profile_images/378800000463633572/8494361443a9361de1017d497c5ee1f2_normal.jpeg","View")</f>
        <v>View</v>
      </c>
      <c r="P8728" s="27"/>
    </row>
    <row r="8729">
      <c r="A8729" s="14">
        <v>43031.8487962963</v>
      </c>
      <c r="B8729" s="20" t="str">
        <f>HYPERLINK("https://twitter.com/Purplegarter1","@Purplegarter1")</f>
        <v>@Purplegarter1</v>
      </c>
      <c r="C8729" s="21" t="s">
        <v>19190</v>
      </c>
      <c r="D8729" s="21" t="s">
        <v>108</v>
      </c>
      <c r="E8729" s="22" t="str">
        <f>HYPERLINK("https://twitter.com/Purplegarter1/status/922664511592652801","922664511592652801")</f>
        <v>922664511592652801</v>
      </c>
      <c r="F8729" s="23" t="s">
        <v>230</v>
      </c>
      <c r="G8729" s="24">
        <v>5047.0</v>
      </c>
      <c r="H8729" s="24">
        <v>2989.0</v>
      </c>
      <c r="I8729" s="24">
        <v>88.0</v>
      </c>
      <c r="J8729" s="24">
        <v>0.0</v>
      </c>
      <c r="K8729" s="23" t="s">
        <v>34</v>
      </c>
      <c r="L8729" s="25">
        <v>41558.56601851852</v>
      </c>
      <c r="M8729" s="28"/>
      <c r="N8729" s="28"/>
      <c r="O8729" s="22" t="str">
        <f>HYPERLINK("https://pbs.twimg.com/profile_images/413699302611886080/geQ9MFWE_normal.jpeg","View")</f>
        <v>View</v>
      </c>
      <c r="P8729" s="27"/>
    </row>
    <row r="8730">
      <c r="A8730" s="14">
        <v>43031.84881944444</v>
      </c>
      <c r="B8730" s="20" t="str">
        <f>HYPERLINK("https://twitter.com/Capabilitist","@Capabilitist")</f>
        <v>@Capabilitist</v>
      </c>
      <c r="C8730" s="21" t="s">
        <v>19191</v>
      </c>
      <c r="D8730" s="21" t="s">
        <v>19016</v>
      </c>
      <c r="E8730" s="22" t="str">
        <f>HYPERLINK("https://twitter.com/Capabilitist/status/922664519805026304","922664519805026304")</f>
        <v>922664519805026304</v>
      </c>
      <c r="F8730" s="23" t="s">
        <v>33</v>
      </c>
      <c r="G8730" s="24">
        <v>98.0</v>
      </c>
      <c r="H8730" s="24">
        <v>578.0</v>
      </c>
      <c r="I8730" s="24">
        <v>51.0</v>
      </c>
      <c r="J8730" s="24">
        <v>0.0</v>
      </c>
      <c r="K8730" s="23" t="s">
        <v>34</v>
      </c>
      <c r="L8730" s="25">
        <v>41640.20027777778</v>
      </c>
      <c r="M8730" s="26" t="s">
        <v>19192</v>
      </c>
      <c r="N8730" s="26" t="s">
        <v>19193</v>
      </c>
      <c r="O8730" s="22" t="str">
        <f>HYPERLINK("https://pbs.twimg.com/profile_images/887205275450527744/o3CHhP63_normal.jpg","View")</f>
        <v>View</v>
      </c>
      <c r="P8730" s="27"/>
    </row>
    <row r="8731">
      <c r="A8731" s="14">
        <v>43031.84881944444</v>
      </c>
      <c r="B8731" s="20" t="str">
        <f>HYPERLINK("https://twitter.com/OnkarBangarPM","@OnkarBangarPM")</f>
        <v>@OnkarBangarPM</v>
      </c>
      <c r="C8731" s="21" t="s">
        <v>19194</v>
      </c>
      <c r="D8731" s="21" t="s">
        <v>42</v>
      </c>
      <c r="E8731" s="22" t="str">
        <f>HYPERLINK("https://twitter.com/OnkarBangarPM/status/922664521218457603","922664521218457603")</f>
        <v>922664521218457603</v>
      </c>
      <c r="F8731" s="23" t="s">
        <v>33</v>
      </c>
      <c r="G8731" s="24">
        <v>16.0</v>
      </c>
      <c r="H8731" s="24">
        <v>149.0</v>
      </c>
      <c r="I8731" s="24">
        <v>8501.0</v>
      </c>
      <c r="J8731" s="24">
        <v>0.0</v>
      </c>
      <c r="K8731" s="23" t="s">
        <v>34</v>
      </c>
      <c r="L8731" s="25">
        <v>42683.49512731482</v>
      </c>
      <c r="M8731" s="26" t="s">
        <v>19195</v>
      </c>
      <c r="N8731" s="26" t="s">
        <v>19196</v>
      </c>
      <c r="O8731" s="22" t="str">
        <f>HYPERLINK("https://pbs.twimg.com/profile_images/905643823899975680/VGCr27C2_normal.jpg","View")</f>
        <v>View</v>
      </c>
      <c r="P8731" s="27"/>
    </row>
    <row r="8732">
      <c r="A8732" s="14">
        <v>43031.84883101852</v>
      </c>
      <c r="B8732" s="20" t="str">
        <f t="shared" ref="B8732:B8733" si="166">HYPERLINK("https://twitter.com/asuka_250","@asuka_250")</f>
        <v>@asuka_250</v>
      </c>
      <c r="C8732" s="21" t="s">
        <v>8584</v>
      </c>
      <c r="D8732" s="21" t="s">
        <v>3965</v>
      </c>
      <c r="E8732" s="22" t="str">
        <f>HYPERLINK("https://twitter.com/asuka_250/status/922664523605016576","922664523605016576")</f>
        <v>922664523605016576</v>
      </c>
      <c r="F8732" s="23" t="s">
        <v>55</v>
      </c>
      <c r="G8732" s="24">
        <v>30812.0</v>
      </c>
      <c r="H8732" s="24">
        <v>30482.0</v>
      </c>
      <c r="I8732" s="24">
        <v>13.0</v>
      </c>
      <c r="J8732" s="24">
        <v>0.0</v>
      </c>
      <c r="K8732" s="23" t="s">
        <v>34</v>
      </c>
      <c r="L8732" s="25">
        <v>41943.172476851854</v>
      </c>
      <c r="M8732" s="26" t="s">
        <v>1224</v>
      </c>
      <c r="N8732" s="26" t="s">
        <v>8586</v>
      </c>
      <c r="O8732" s="22" t="str">
        <f t="shared" ref="O8732:O8733" si="167">HYPERLINK("https://pbs.twimg.com/profile_images/576284037486014464/dhYtI1qZ_normal.jpeg","View")</f>
        <v>View</v>
      </c>
      <c r="P8732" s="27"/>
    </row>
    <row r="8733">
      <c r="A8733" s="14">
        <v>43031.8491087963</v>
      </c>
      <c r="B8733" s="20" t="str">
        <f t="shared" si="166"/>
        <v>@asuka_250</v>
      </c>
      <c r="C8733" s="21" t="s">
        <v>8584</v>
      </c>
      <c r="D8733" s="21" t="s">
        <v>18788</v>
      </c>
      <c r="E8733" s="22" t="str">
        <f>HYPERLINK("https://twitter.com/asuka_250/status/922664624004018176","922664624004018176")</f>
        <v>922664624004018176</v>
      </c>
      <c r="F8733" s="23" t="s">
        <v>55</v>
      </c>
      <c r="G8733" s="24">
        <v>30812.0</v>
      </c>
      <c r="H8733" s="24">
        <v>30482.0</v>
      </c>
      <c r="I8733" s="24">
        <v>28.0</v>
      </c>
      <c r="J8733" s="24">
        <v>0.0</v>
      </c>
      <c r="K8733" s="23" t="s">
        <v>34</v>
      </c>
      <c r="L8733" s="25">
        <v>41943.172476851854</v>
      </c>
      <c r="M8733" s="26" t="s">
        <v>1224</v>
      </c>
      <c r="N8733" s="26" t="s">
        <v>8586</v>
      </c>
      <c r="O8733" s="22" t="str">
        <f t="shared" si="167"/>
        <v>View</v>
      </c>
      <c r="P8733" s="27"/>
    </row>
    <row r="8734">
      <c r="A8734" s="14">
        <v>43031.84934027778</v>
      </c>
      <c r="B8734" s="20" t="str">
        <f>HYPERLINK("https://twitter.com/holder_combes","@holder_combes")</f>
        <v>@holder_combes</v>
      </c>
      <c r="C8734" s="21" t="s">
        <v>19197</v>
      </c>
      <c r="D8734" s="21" t="s">
        <v>19198</v>
      </c>
      <c r="E8734" s="22" t="str">
        <f>HYPERLINK("https://twitter.com/holder_combes/status/922664710503219200","922664710503219200")</f>
        <v>922664710503219200</v>
      </c>
      <c r="F8734" s="30" t="s">
        <v>411</v>
      </c>
      <c r="G8734" s="24">
        <v>1105.0</v>
      </c>
      <c r="H8734" s="24">
        <v>1176.0</v>
      </c>
      <c r="I8734" s="24">
        <v>0.0</v>
      </c>
      <c r="J8734" s="24">
        <v>0.0</v>
      </c>
      <c r="K8734" s="23" t="s">
        <v>34</v>
      </c>
      <c r="L8734" s="25">
        <v>40368.291504629626</v>
      </c>
      <c r="M8734" s="26" t="s">
        <v>19199</v>
      </c>
      <c r="N8734" s="26" t="s">
        <v>19200</v>
      </c>
      <c r="O8734" s="22" t="str">
        <f>HYPERLINK("https://pbs.twimg.com/profile_images/469461249164443650/PcPz1kfg_normal.png","View")</f>
        <v>View</v>
      </c>
      <c r="P8734" s="27"/>
    </row>
    <row r="8735">
      <c r="A8735" s="14">
        <v>43031.849375000005</v>
      </c>
      <c r="B8735" s="20" t="str">
        <f>HYPERLINK("https://twitter.com/NAR","@NAR")</f>
        <v>@NAR</v>
      </c>
      <c r="C8735" s="21" t="s">
        <v>4255</v>
      </c>
      <c r="D8735" s="21" t="s">
        <v>19201</v>
      </c>
      <c r="E8735" s="22" t="str">
        <f>HYPERLINK("https://twitter.com/NAR/status/922664720934559744","922664720934559744")</f>
        <v>922664720934559744</v>
      </c>
      <c r="F8735" s="23" t="s">
        <v>1103</v>
      </c>
      <c r="G8735" s="24">
        <v>56998.0</v>
      </c>
      <c r="H8735" s="24">
        <v>23.0</v>
      </c>
      <c r="I8735" s="24">
        <v>7.0</v>
      </c>
      <c r="J8735" s="24">
        <v>11.0</v>
      </c>
      <c r="K8735" s="23" t="s">
        <v>34</v>
      </c>
      <c r="L8735" s="25">
        <v>40890.88686342593</v>
      </c>
      <c r="M8735" s="26" t="s">
        <v>923</v>
      </c>
      <c r="N8735" s="26" t="s">
        <v>4258</v>
      </c>
      <c r="O8735" s="22" t="str">
        <f>HYPERLINK("https://pbs.twimg.com/profile_images/669688096879841280/kyJYc3j-_normal.png","View")</f>
        <v>View</v>
      </c>
      <c r="P8735" s="27"/>
    </row>
    <row r="8736">
      <c r="A8736" s="14">
        <v>43031.84950231481</v>
      </c>
      <c r="B8736" s="20" t="str">
        <f t="shared" ref="B8736:B8737" si="168">HYPERLINK("https://twitter.com/asuka_250","@asuka_250")</f>
        <v>@asuka_250</v>
      </c>
      <c r="C8736" s="21" t="s">
        <v>8584</v>
      </c>
      <c r="D8736" s="21" t="s">
        <v>19202</v>
      </c>
      <c r="E8736" s="22" t="str">
        <f>HYPERLINK("https://twitter.com/asuka_250/status/922664769475133440","922664769475133440")</f>
        <v>922664769475133440</v>
      </c>
      <c r="F8736" s="23" t="s">
        <v>55</v>
      </c>
      <c r="G8736" s="24">
        <v>30812.0</v>
      </c>
      <c r="H8736" s="24">
        <v>30482.0</v>
      </c>
      <c r="I8736" s="24">
        <v>3.0</v>
      </c>
      <c r="J8736" s="24">
        <v>0.0</v>
      </c>
      <c r="K8736" s="23" t="s">
        <v>34</v>
      </c>
      <c r="L8736" s="25">
        <v>41943.172476851854</v>
      </c>
      <c r="M8736" s="26" t="s">
        <v>1224</v>
      </c>
      <c r="N8736" s="26" t="s">
        <v>8586</v>
      </c>
      <c r="O8736" s="22" t="str">
        <f t="shared" ref="O8736:O8737" si="169">HYPERLINK("https://pbs.twimg.com/profile_images/576284037486014464/dhYtI1qZ_normal.jpeg","View")</f>
        <v>View</v>
      </c>
      <c r="P8736" s="27"/>
    </row>
    <row r="8737">
      <c r="A8737" s="14">
        <v>43031.84961805555</v>
      </c>
      <c r="B8737" s="20" t="str">
        <f t="shared" si="168"/>
        <v>@asuka_250</v>
      </c>
      <c r="C8737" s="21" t="s">
        <v>8584</v>
      </c>
      <c r="D8737" s="21" t="s">
        <v>18609</v>
      </c>
      <c r="E8737" s="22" t="str">
        <f>HYPERLINK("https://twitter.com/asuka_250/status/922664808939339776","922664808939339776")</f>
        <v>922664808939339776</v>
      </c>
      <c r="F8737" s="23" t="s">
        <v>55</v>
      </c>
      <c r="G8737" s="24">
        <v>30812.0</v>
      </c>
      <c r="H8737" s="24">
        <v>30482.0</v>
      </c>
      <c r="I8737" s="24">
        <v>6.0</v>
      </c>
      <c r="J8737" s="24">
        <v>0.0</v>
      </c>
      <c r="K8737" s="23" t="s">
        <v>34</v>
      </c>
      <c r="L8737" s="25">
        <v>41943.172476851854</v>
      </c>
      <c r="M8737" s="26" t="s">
        <v>1224</v>
      </c>
      <c r="N8737" s="26" t="s">
        <v>8586</v>
      </c>
      <c r="O8737" s="22" t="str">
        <f t="shared" si="169"/>
        <v>View</v>
      </c>
      <c r="P8737" s="27"/>
    </row>
    <row r="8738">
      <c r="A8738" s="14">
        <v>43031.84967592593</v>
      </c>
      <c r="B8738" s="20" t="str">
        <f>HYPERLINK("https://twitter.com/9760vikassoni","@9760vikassoni")</f>
        <v>@9760vikassoni</v>
      </c>
      <c r="C8738" s="21" t="s">
        <v>19203</v>
      </c>
      <c r="D8738" s="21" t="s">
        <v>42</v>
      </c>
      <c r="E8738" s="22" t="str">
        <f>HYPERLINK("https://twitter.com/9760vikassoni/status/922664829944336384","922664829944336384")</f>
        <v>922664829944336384</v>
      </c>
      <c r="F8738" s="23" t="s">
        <v>33</v>
      </c>
      <c r="G8738" s="24">
        <v>264.0</v>
      </c>
      <c r="H8738" s="24">
        <v>585.0</v>
      </c>
      <c r="I8738" s="24">
        <v>8501.0</v>
      </c>
      <c r="J8738" s="24">
        <v>0.0</v>
      </c>
      <c r="K8738" s="23" t="s">
        <v>34</v>
      </c>
      <c r="L8738" s="25">
        <v>42298.31684027778</v>
      </c>
      <c r="M8738" s="26" t="s">
        <v>19204</v>
      </c>
      <c r="N8738" s="26" t="s">
        <v>19205</v>
      </c>
      <c r="O8738" s="22" t="str">
        <f>HYPERLINK("https://pbs.twimg.com/profile_images/868832571286618112/eM9QQ0Tp_normal.jpg","View")</f>
        <v>View</v>
      </c>
      <c r="P8738" s="27"/>
    </row>
    <row r="8739">
      <c r="A8739" s="14">
        <v>43031.8496875</v>
      </c>
      <c r="B8739" s="20" t="str">
        <f>HYPERLINK("https://twitter.com/TaBiCo_v030v","@TaBiCo_v030v")</f>
        <v>@TaBiCo_v030v</v>
      </c>
      <c r="C8739" s="21" t="s">
        <v>19206</v>
      </c>
      <c r="D8739" s="21" t="s">
        <v>1642</v>
      </c>
      <c r="E8739" s="22" t="str">
        <f>HYPERLINK("https://twitter.com/TaBiCo_v030v/status/922664834130313216","922664834130313216")</f>
        <v>922664834130313216</v>
      </c>
      <c r="F8739" s="23" t="s">
        <v>39</v>
      </c>
      <c r="G8739" s="24">
        <v>81.0</v>
      </c>
      <c r="H8739" s="24">
        <v>162.0</v>
      </c>
      <c r="I8739" s="24">
        <v>199.0</v>
      </c>
      <c r="J8739" s="24">
        <v>0.0</v>
      </c>
      <c r="K8739" s="23" t="s">
        <v>34</v>
      </c>
      <c r="L8739" s="25">
        <v>42540.023252314815</v>
      </c>
      <c r="M8739" s="26" t="s">
        <v>271</v>
      </c>
      <c r="N8739" s="26" t="s">
        <v>19207</v>
      </c>
      <c r="O8739" s="22" t="str">
        <f>HYPERLINK("https://pbs.twimg.com/profile_images/914832079547854848/OIsgWg_4_normal.jpg","View")</f>
        <v>View</v>
      </c>
      <c r="P8739" s="27"/>
    </row>
    <row r="8740">
      <c r="A8740" s="14">
        <v>43031.849814814814</v>
      </c>
      <c r="B8740" s="20" t="str">
        <f>HYPERLINK("https://twitter.com/saadsafeer5","@saadsafeer5")</f>
        <v>@saadsafeer5</v>
      </c>
      <c r="C8740" s="21" t="s">
        <v>19208</v>
      </c>
      <c r="D8740" s="21" t="s">
        <v>19016</v>
      </c>
      <c r="E8740" s="22" t="str">
        <f>HYPERLINK("https://twitter.com/saadsafeer5/status/922664882176131072","922664882176131072")</f>
        <v>922664882176131072</v>
      </c>
      <c r="F8740" s="23" t="s">
        <v>33</v>
      </c>
      <c r="G8740" s="24">
        <v>291.0</v>
      </c>
      <c r="H8740" s="24">
        <v>800.0</v>
      </c>
      <c r="I8740" s="24">
        <v>51.0</v>
      </c>
      <c r="J8740" s="24">
        <v>0.0</v>
      </c>
      <c r="K8740" s="23" t="s">
        <v>34</v>
      </c>
      <c r="L8740" s="25">
        <v>42117.12851851852</v>
      </c>
      <c r="M8740" s="26" t="s">
        <v>4549</v>
      </c>
      <c r="N8740" s="26" t="s">
        <v>19209</v>
      </c>
      <c r="O8740" s="22" t="str">
        <f>HYPERLINK("https://pbs.twimg.com/profile_images/921782684371816450/at3If3lU_normal.jpg","View")</f>
        <v>View</v>
      </c>
      <c r="P8740" s="27"/>
    </row>
    <row r="8741">
      <c r="A8741" s="14">
        <v>43031.85023148148</v>
      </c>
      <c r="B8741" s="20" t="str">
        <f>HYPERLINK("https://twitter.com/kazelectric","@kazelectric")</f>
        <v>@kazelectric</v>
      </c>
      <c r="C8741" s="21" t="s">
        <v>19210</v>
      </c>
      <c r="D8741" s="21" t="s">
        <v>18162</v>
      </c>
      <c r="E8741" s="22" t="str">
        <f>HYPERLINK("https://twitter.com/kazelectric/status/922665031195435008","922665031195435008")</f>
        <v>922665031195435008</v>
      </c>
      <c r="F8741" s="23" t="s">
        <v>39</v>
      </c>
      <c r="G8741" s="24">
        <v>1680.0</v>
      </c>
      <c r="H8741" s="24">
        <v>2078.0</v>
      </c>
      <c r="I8741" s="24">
        <v>59.0</v>
      </c>
      <c r="J8741" s="24">
        <v>0.0</v>
      </c>
      <c r="K8741" s="23" t="s">
        <v>34</v>
      </c>
      <c r="L8741" s="25">
        <v>40468.69534722222</v>
      </c>
      <c r="M8741" s="26" t="s">
        <v>71</v>
      </c>
      <c r="N8741" s="26" t="s">
        <v>19211</v>
      </c>
      <c r="O8741" s="22" t="str">
        <f>HYPERLINK("https://pbs.twimg.com/profile_images/917235898743271424/ATcoPrOz_normal.jpg","View")</f>
        <v>View</v>
      </c>
      <c r="P8741" s="27"/>
    </row>
    <row r="8742">
      <c r="A8742" s="14">
        <v>43031.85025462963</v>
      </c>
      <c r="B8742" s="20" t="str">
        <f>HYPERLINK("https://twitter.com/asuka_250","@asuka_250")</f>
        <v>@asuka_250</v>
      </c>
      <c r="C8742" s="21" t="s">
        <v>8584</v>
      </c>
      <c r="D8742" s="21" t="s">
        <v>19212</v>
      </c>
      <c r="E8742" s="22" t="str">
        <f>HYPERLINK("https://twitter.com/asuka_250/status/922665039789637634","922665039789637634")</f>
        <v>922665039789637634</v>
      </c>
      <c r="F8742" s="23" t="s">
        <v>55</v>
      </c>
      <c r="G8742" s="24">
        <v>30812.0</v>
      </c>
      <c r="H8742" s="24">
        <v>30482.0</v>
      </c>
      <c r="I8742" s="24">
        <v>6.0</v>
      </c>
      <c r="J8742" s="24">
        <v>2.0</v>
      </c>
      <c r="K8742" s="23" t="s">
        <v>34</v>
      </c>
      <c r="L8742" s="25">
        <v>41943.172476851854</v>
      </c>
      <c r="M8742" s="26" t="s">
        <v>1224</v>
      </c>
      <c r="N8742" s="26" t="s">
        <v>8586</v>
      </c>
      <c r="O8742" s="22" t="str">
        <f>HYPERLINK("https://pbs.twimg.com/profile_images/576284037486014464/dhYtI1qZ_normal.jpeg","View")</f>
        <v>View</v>
      </c>
      <c r="P8742" s="27"/>
    </row>
    <row r="8743">
      <c r="A8743" s="14">
        <v>43031.85072916667</v>
      </c>
      <c r="B8743" s="20" t="str">
        <f>HYPERLINK("https://twitter.com/Khiladi_rocks","@Khiladi_rocks")</f>
        <v>@Khiladi_rocks</v>
      </c>
      <c r="C8743" s="21" t="s">
        <v>19213</v>
      </c>
      <c r="D8743" s="21" t="s">
        <v>19214</v>
      </c>
      <c r="E8743" s="22" t="str">
        <f>HYPERLINK("https://twitter.com/Khiladi_rocks/status/922665213601595392","922665213601595392")</f>
        <v>922665213601595392</v>
      </c>
      <c r="F8743" s="30" t="s">
        <v>411</v>
      </c>
      <c r="G8743" s="24">
        <v>4618.0</v>
      </c>
      <c r="H8743" s="24">
        <v>921.0</v>
      </c>
      <c r="I8743" s="24">
        <v>0.0</v>
      </c>
      <c r="J8743" s="24">
        <v>0.0</v>
      </c>
      <c r="K8743" s="23" t="s">
        <v>34</v>
      </c>
      <c r="L8743" s="25">
        <v>40564.28288194444</v>
      </c>
      <c r="M8743" s="26" t="s">
        <v>575</v>
      </c>
      <c r="N8743" s="26" t="s">
        <v>19215</v>
      </c>
      <c r="O8743" s="22" t="str">
        <f>HYPERLINK("https://pbs.twimg.com/profile_images/814897353438023681/xQoVDdgj_normal.jpg","View")</f>
        <v>View</v>
      </c>
      <c r="P8743" s="27"/>
    </row>
    <row r="8744">
      <c r="A8744" s="14">
        <v>43031.85077546297</v>
      </c>
      <c r="B8744" s="20" t="str">
        <f>HYPERLINK("https://twitter.com/MicheleDTweets","@MicheleDTweets")</f>
        <v>@MicheleDTweets</v>
      </c>
      <c r="C8744" s="21" t="s">
        <v>19216</v>
      </c>
      <c r="D8744" s="21" t="s">
        <v>16537</v>
      </c>
      <c r="E8744" s="22" t="str">
        <f>HYPERLINK("https://twitter.com/MicheleDTweets/status/922665227702829056","922665227702829056")</f>
        <v>922665227702829056</v>
      </c>
      <c r="F8744" s="23" t="s">
        <v>39</v>
      </c>
      <c r="G8744" s="24">
        <v>394.0</v>
      </c>
      <c r="H8744" s="24">
        <v>1472.0</v>
      </c>
      <c r="I8744" s="24">
        <v>242.0</v>
      </c>
      <c r="J8744" s="24">
        <v>0.0</v>
      </c>
      <c r="K8744" s="23" t="s">
        <v>34</v>
      </c>
      <c r="L8744" s="25">
        <v>40816.835439814815</v>
      </c>
      <c r="M8744" s="28"/>
      <c r="N8744" s="26" t="s">
        <v>19217</v>
      </c>
      <c r="O8744" s="22" t="str">
        <f>HYPERLINK("https://pbs.twimg.com/profile_images/870267143270481921/3BlybVgB_normal.jpg","View")</f>
        <v>View</v>
      </c>
      <c r="P8744" s="27"/>
    </row>
    <row r="8745">
      <c r="A8745" s="14">
        <v>43031.85091435185</v>
      </c>
      <c r="B8745" s="20" t="str">
        <f>HYPERLINK("https://twitter.com/Amit_Mohan","@Amit_Mohan")</f>
        <v>@Amit_Mohan</v>
      </c>
      <c r="C8745" s="21" t="s">
        <v>19218</v>
      </c>
      <c r="D8745" s="21" t="s">
        <v>9888</v>
      </c>
      <c r="E8745" s="22" t="str">
        <f>HYPERLINK("https://twitter.com/Amit_Mohan/status/922665277250158592","922665277250158592")</f>
        <v>922665277250158592</v>
      </c>
      <c r="F8745" s="23" t="s">
        <v>39</v>
      </c>
      <c r="G8745" s="24">
        <v>63.0</v>
      </c>
      <c r="H8745" s="24">
        <v>645.0</v>
      </c>
      <c r="I8745" s="24">
        <v>7.0</v>
      </c>
      <c r="J8745" s="24">
        <v>0.0</v>
      </c>
      <c r="K8745" s="23" t="s">
        <v>34</v>
      </c>
      <c r="L8745" s="25">
        <v>39946.85795138889</v>
      </c>
      <c r="M8745" s="26" t="s">
        <v>1563</v>
      </c>
      <c r="N8745" s="26" t="s">
        <v>19219</v>
      </c>
      <c r="O8745" s="22" t="str">
        <f>HYPERLINK("https://pbs.twimg.com/profile_images/293266679/Amit_006_normal.jpg","View")</f>
        <v>View</v>
      </c>
      <c r="P8745" s="27"/>
    </row>
    <row r="8746">
      <c r="A8746" s="14">
        <v>43031.85113425926</v>
      </c>
      <c r="B8746" s="20" t="str">
        <f>HYPERLINK("https://twitter.com/SutopaDas10","@SutopaDas10")</f>
        <v>@SutopaDas10</v>
      </c>
      <c r="C8746" s="21" t="s">
        <v>19220</v>
      </c>
      <c r="D8746" s="21" t="s">
        <v>10614</v>
      </c>
      <c r="E8746" s="22" t="str">
        <f>HYPERLINK("https://twitter.com/SutopaDas10/status/922665360532258816","922665360532258816")</f>
        <v>922665360532258816</v>
      </c>
      <c r="F8746" s="23" t="s">
        <v>33</v>
      </c>
      <c r="G8746" s="24">
        <v>492.0</v>
      </c>
      <c r="H8746" s="24">
        <v>124.0</v>
      </c>
      <c r="I8746" s="24">
        <v>159.0</v>
      </c>
      <c r="J8746" s="24">
        <v>0.0</v>
      </c>
      <c r="K8746" s="23" t="s">
        <v>34</v>
      </c>
      <c r="L8746" s="25">
        <v>42902.302511574075</v>
      </c>
      <c r="M8746" s="28"/>
      <c r="N8746" s="28"/>
      <c r="O8746" s="22" t="str">
        <f>HYPERLINK("https://pbs.twimg.com/profile_images/891831389426987008/rrFAOANH_normal.jpg","View")</f>
        <v>View</v>
      </c>
      <c r="P8746" s="27"/>
    </row>
    <row r="8747">
      <c r="A8747" s="14">
        <v>43031.85141203704</v>
      </c>
      <c r="B8747" s="20" t="str">
        <f>HYPERLINK("https://twitter.com/snowdrop_514","@snowdrop_514")</f>
        <v>@snowdrop_514</v>
      </c>
      <c r="C8747" s="21" t="s">
        <v>19221</v>
      </c>
      <c r="D8747" s="21" t="s">
        <v>12974</v>
      </c>
      <c r="E8747" s="22" t="str">
        <f>HYPERLINK("https://twitter.com/snowdrop_514/status/922665460151205889","922665460151205889")</f>
        <v>922665460151205889</v>
      </c>
      <c r="F8747" s="23" t="s">
        <v>33</v>
      </c>
      <c r="G8747" s="24">
        <v>84.0</v>
      </c>
      <c r="H8747" s="24">
        <v>170.0</v>
      </c>
      <c r="I8747" s="24">
        <v>110.0</v>
      </c>
      <c r="J8747" s="24">
        <v>0.0</v>
      </c>
      <c r="K8747" s="23" t="s">
        <v>34</v>
      </c>
      <c r="L8747" s="25">
        <v>42945.69158564815</v>
      </c>
      <c r="M8747" s="26" t="s">
        <v>19222</v>
      </c>
      <c r="N8747" s="28"/>
      <c r="O8747" s="22" t="str">
        <f>HYPERLINK("https://pbs.twimg.com/profile_images/891468510001377280/tPrZFI1r_normal.jpg","View")</f>
        <v>View</v>
      </c>
      <c r="P8747" s="27"/>
    </row>
    <row r="8748">
      <c r="A8748" s="14">
        <v>43031.85170138889</v>
      </c>
      <c r="B8748" s="20" t="str">
        <f>HYPERLINK("https://twitter.com/NYCKevo","@NYCKevo")</f>
        <v>@NYCKevo</v>
      </c>
      <c r="C8748" s="21" t="s">
        <v>19223</v>
      </c>
      <c r="D8748" s="21" t="s">
        <v>19016</v>
      </c>
      <c r="E8748" s="22" t="str">
        <f>HYPERLINK("https://twitter.com/NYCKevo/status/922665564006440960","922665564006440960")</f>
        <v>922665564006440960</v>
      </c>
      <c r="F8748" s="23" t="s">
        <v>39</v>
      </c>
      <c r="G8748" s="24">
        <v>163.0</v>
      </c>
      <c r="H8748" s="24">
        <v>758.0</v>
      </c>
      <c r="I8748" s="24">
        <v>51.0</v>
      </c>
      <c r="J8748" s="24">
        <v>0.0</v>
      </c>
      <c r="K8748" s="23" t="s">
        <v>34</v>
      </c>
      <c r="L8748" s="25">
        <v>42306.374756944446</v>
      </c>
      <c r="M8748" s="26" t="s">
        <v>19224</v>
      </c>
      <c r="N8748" s="26" t="s">
        <v>19225</v>
      </c>
      <c r="O8748" s="22" t="str">
        <f>HYPERLINK("https://pbs.twimg.com/profile_images/896535110639636481/WDsZyECd_normal.jpg","View")</f>
        <v>View</v>
      </c>
      <c r="P8748" s="27"/>
    </row>
    <row r="8749">
      <c r="A8749" s="14">
        <v>43031.851851851854</v>
      </c>
      <c r="B8749" s="20" t="str">
        <f>HYPERLINK("https://twitter.com/womjet","@womjet")</f>
        <v>@womjet</v>
      </c>
      <c r="C8749" s="21" t="s">
        <v>19226</v>
      </c>
      <c r="D8749" s="21" t="s">
        <v>9013</v>
      </c>
      <c r="E8749" s="22" t="str">
        <f>HYPERLINK("https://twitter.com/womjet/status/922665620084178945","922665620084178945")</f>
        <v>922665620084178945</v>
      </c>
      <c r="F8749" s="23" t="s">
        <v>55</v>
      </c>
      <c r="G8749" s="24">
        <v>1459.0</v>
      </c>
      <c r="H8749" s="24">
        <v>38.0</v>
      </c>
      <c r="I8749" s="24">
        <v>31.0</v>
      </c>
      <c r="J8749" s="24">
        <v>0.0</v>
      </c>
      <c r="K8749" s="23" t="s">
        <v>34</v>
      </c>
      <c r="L8749" s="25">
        <v>40785.57135416666</v>
      </c>
      <c r="M8749" s="26" t="s">
        <v>19227</v>
      </c>
      <c r="N8749" s="26" t="s">
        <v>19228</v>
      </c>
      <c r="O8749" s="22" t="str">
        <f>HYPERLINK("https://pbs.twimg.com/profile_images/1764879409/DSC04385-rs_normal.jpg","View")</f>
        <v>View</v>
      </c>
      <c r="P8749" s="27"/>
    </row>
    <row r="8750">
      <c r="A8750" s="14">
        <v>43031.8519212963</v>
      </c>
      <c r="B8750" s="20" t="str">
        <f t="shared" ref="B8750:B8751" si="170">HYPERLINK("https://twitter.com/rotermeer","@rotermeer")</f>
        <v>@rotermeer</v>
      </c>
      <c r="C8750" s="21" t="s">
        <v>19229</v>
      </c>
      <c r="D8750" s="21" t="s">
        <v>14990</v>
      </c>
      <c r="E8750" s="22" t="str">
        <f>HYPERLINK("https://twitter.com/rotermeer/status/922665645765824512","922665645765824512")</f>
        <v>922665645765824512</v>
      </c>
      <c r="F8750" s="23" t="s">
        <v>18038</v>
      </c>
      <c r="G8750" s="24">
        <v>246.0</v>
      </c>
      <c r="H8750" s="24">
        <v>242.0</v>
      </c>
      <c r="I8750" s="24">
        <v>10.0</v>
      </c>
      <c r="J8750" s="24">
        <v>0.0</v>
      </c>
      <c r="K8750" s="23" t="s">
        <v>34</v>
      </c>
      <c r="L8750" s="25">
        <v>40297.36466435185</v>
      </c>
      <c r="M8750" s="26" t="s">
        <v>19230</v>
      </c>
      <c r="N8750" s="26" t="s">
        <v>19231</v>
      </c>
      <c r="O8750" s="22" t="str">
        <f t="shared" ref="O8750:O8751" si="171">HYPERLINK("https://pbs.twimg.com/profile_images/680605565563703297/Q-00P-mq_normal.png","View")</f>
        <v>View</v>
      </c>
      <c r="P8750" s="27"/>
    </row>
    <row r="8751">
      <c r="A8751" s="14">
        <v>43031.85194444444</v>
      </c>
      <c r="B8751" s="20" t="str">
        <f t="shared" si="170"/>
        <v>@rotermeer</v>
      </c>
      <c r="C8751" s="21" t="s">
        <v>19229</v>
      </c>
      <c r="D8751" s="21" t="s">
        <v>14986</v>
      </c>
      <c r="E8751" s="22" t="str">
        <f>HYPERLINK("https://twitter.com/rotermeer/status/922665653798019073","922665653798019073")</f>
        <v>922665653798019073</v>
      </c>
      <c r="F8751" s="23" t="s">
        <v>18038</v>
      </c>
      <c r="G8751" s="24">
        <v>246.0</v>
      </c>
      <c r="H8751" s="24">
        <v>242.0</v>
      </c>
      <c r="I8751" s="24">
        <v>11.0</v>
      </c>
      <c r="J8751" s="24">
        <v>0.0</v>
      </c>
      <c r="K8751" s="23" t="s">
        <v>34</v>
      </c>
      <c r="L8751" s="25">
        <v>40297.36466435185</v>
      </c>
      <c r="M8751" s="26" t="s">
        <v>19230</v>
      </c>
      <c r="N8751" s="26" t="s">
        <v>19231</v>
      </c>
      <c r="O8751" s="22" t="str">
        <f t="shared" si="171"/>
        <v>View</v>
      </c>
      <c r="P8751" s="27"/>
    </row>
    <row r="8752">
      <c r="A8752" s="14">
        <v>43031.85212962963</v>
      </c>
      <c r="B8752" s="20" t="str">
        <f>HYPERLINK("https://twitter.com/pravanksisodia","@pravanksisodia")</f>
        <v>@pravanksisodia</v>
      </c>
      <c r="C8752" s="21" t="s">
        <v>19232</v>
      </c>
      <c r="D8752" s="21" t="s">
        <v>42</v>
      </c>
      <c r="E8752" s="22" t="str">
        <f>HYPERLINK("https://twitter.com/pravanksisodia/status/922665717551448065","922665717551448065")</f>
        <v>922665717551448065</v>
      </c>
      <c r="F8752" s="23" t="s">
        <v>33</v>
      </c>
      <c r="G8752" s="24">
        <v>25.0</v>
      </c>
      <c r="H8752" s="24">
        <v>229.0</v>
      </c>
      <c r="I8752" s="24">
        <v>8501.0</v>
      </c>
      <c r="J8752" s="24">
        <v>0.0</v>
      </c>
      <c r="K8752" s="23" t="s">
        <v>34</v>
      </c>
      <c r="L8752" s="25">
        <v>40322.08778935185</v>
      </c>
      <c r="M8752" s="26" t="s">
        <v>1354</v>
      </c>
      <c r="N8752" s="28"/>
      <c r="O8752" s="22" t="str">
        <f>HYPERLINK("https://pbs.twimg.com/profile_images/894464834816819200/MFuoYBlZ_normal.jpg","View")</f>
        <v>View</v>
      </c>
      <c r="P8752" s="27"/>
    </row>
    <row r="8753">
      <c r="A8753" s="14">
        <v>43031.85212962963</v>
      </c>
      <c r="B8753" s="20" t="str">
        <f>HYPERLINK("https://twitter.com/hal_eye","@hal_eye")</f>
        <v>@hal_eye</v>
      </c>
      <c r="C8753" s="21" t="s">
        <v>19233</v>
      </c>
      <c r="D8753" s="21" t="s">
        <v>19016</v>
      </c>
      <c r="E8753" s="22" t="str">
        <f>HYPERLINK("https://twitter.com/hal_eye/status/922665719845851137","922665719845851137")</f>
        <v>922665719845851137</v>
      </c>
      <c r="F8753" s="23" t="s">
        <v>33</v>
      </c>
      <c r="G8753" s="24">
        <v>74.0</v>
      </c>
      <c r="H8753" s="24">
        <v>273.0</v>
      </c>
      <c r="I8753" s="24">
        <v>51.0</v>
      </c>
      <c r="J8753" s="24">
        <v>0.0</v>
      </c>
      <c r="K8753" s="23" t="s">
        <v>34</v>
      </c>
      <c r="L8753" s="25">
        <v>41550.050462962965</v>
      </c>
      <c r="M8753" s="28"/>
      <c r="N8753" s="26" t="s">
        <v>19234</v>
      </c>
      <c r="O8753" s="22" t="str">
        <f>HYPERLINK("https://pbs.twimg.com/profile_images/811679790973517824/ld1zB2jL_normal.jpg","View")</f>
        <v>View</v>
      </c>
      <c r="P8753" s="27"/>
    </row>
    <row r="8754">
      <c r="A8754" s="14">
        <v>43031.8521875</v>
      </c>
      <c r="B8754" s="20" t="str">
        <f>HYPERLINK("https://twitter.com/prakalprathi","@prakalprathi")</f>
        <v>@prakalprathi</v>
      </c>
      <c r="C8754" s="21" t="s">
        <v>19235</v>
      </c>
      <c r="D8754" s="21" t="s">
        <v>42</v>
      </c>
      <c r="E8754" s="22" t="str">
        <f>HYPERLINK("https://twitter.com/prakalprathi/status/922665741081628673","922665741081628673")</f>
        <v>922665741081628673</v>
      </c>
      <c r="F8754" s="23" t="s">
        <v>39</v>
      </c>
      <c r="G8754" s="24">
        <v>346.0</v>
      </c>
      <c r="H8754" s="24">
        <v>206.0</v>
      </c>
      <c r="I8754" s="24">
        <v>8501.0</v>
      </c>
      <c r="J8754" s="24">
        <v>0.0</v>
      </c>
      <c r="K8754" s="23" t="s">
        <v>34</v>
      </c>
      <c r="L8754" s="25">
        <v>39987.956041666665</v>
      </c>
      <c r="M8754" s="26" t="s">
        <v>204</v>
      </c>
      <c r="N8754" s="28"/>
      <c r="O8754" s="22" t="str">
        <f>HYPERLINK("https://pbs.twimg.com/profile_images/642024468466958336/gTKHda_c_normal.jpg","View")</f>
        <v>View</v>
      </c>
      <c r="P8754" s="27"/>
    </row>
    <row r="8755">
      <c r="A8755" s="14">
        <v>43031.85219907407</v>
      </c>
      <c r="B8755" s="20" t="str">
        <f>HYPERLINK("https://twitter.com/claws_off_BUB","@claws_off_BUB")</f>
        <v>@claws_off_BUB</v>
      </c>
      <c r="C8755" s="21" t="s">
        <v>19236</v>
      </c>
      <c r="D8755" s="21" t="s">
        <v>9013</v>
      </c>
      <c r="E8755" s="22" t="str">
        <f>HYPERLINK("https://twitter.com/claws_off_BUB/status/922665746223845376","922665746223845376")</f>
        <v>922665746223845376</v>
      </c>
      <c r="F8755" s="23" t="s">
        <v>33</v>
      </c>
      <c r="G8755" s="24">
        <v>133.0</v>
      </c>
      <c r="H8755" s="24">
        <v>96.0</v>
      </c>
      <c r="I8755" s="24">
        <v>31.0</v>
      </c>
      <c r="J8755" s="24">
        <v>0.0</v>
      </c>
      <c r="K8755" s="23" t="s">
        <v>34</v>
      </c>
      <c r="L8755" s="25">
        <v>42905.58725694445</v>
      </c>
      <c r="M8755" s="26" t="s">
        <v>19237</v>
      </c>
      <c r="N8755" s="26" t="s">
        <v>19238</v>
      </c>
      <c r="O8755" s="22" t="str">
        <f>HYPERLINK("https://pbs.twimg.com/profile_images/922538843076726785/XSg6pTGC_normal.jpg","View")</f>
        <v>View</v>
      </c>
      <c r="P8755" s="27"/>
    </row>
    <row r="8756">
      <c r="A8756" s="14">
        <v>43031.8524537037</v>
      </c>
      <c r="B8756" s="20" t="str">
        <f>HYPERLINK("https://twitter.com/ra_riding","@ra_riding")</f>
        <v>@ra_riding</v>
      </c>
      <c r="C8756" s="21" t="s">
        <v>19239</v>
      </c>
      <c r="D8756" s="21" t="s">
        <v>9013</v>
      </c>
      <c r="E8756" s="22" t="str">
        <f>HYPERLINK("https://twitter.com/ra_riding/status/922665836971671552","922665836971671552")</f>
        <v>922665836971671552</v>
      </c>
      <c r="F8756" s="23" t="s">
        <v>39</v>
      </c>
      <c r="G8756" s="24">
        <v>253.0</v>
      </c>
      <c r="H8756" s="24">
        <v>309.0</v>
      </c>
      <c r="I8756" s="24">
        <v>31.0</v>
      </c>
      <c r="J8756" s="24">
        <v>0.0</v>
      </c>
      <c r="K8756" s="23" t="s">
        <v>34</v>
      </c>
      <c r="L8756" s="25">
        <v>41336.138032407405</v>
      </c>
      <c r="M8756" s="28"/>
      <c r="N8756" s="26" t="s">
        <v>19240</v>
      </c>
      <c r="O8756" s="22" t="str">
        <f>HYPERLINK("https://pbs.twimg.com/profile_images/921209362948931589/HTIgWCqw_normal.jpg","View")</f>
        <v>View</v>
      </c>
      <c r="P8756" s="27"/>
    </row>
    <row r="8757">
      <c r="A8757" s="14">
        <v>43031.852685185186</v>
      </c>
      <c r="B8757" s="20" t="str">
        <f>HYPERLINK("https://twitter.com/KobeMatthew1923","@KobeMatthew1923")</f>
        <v>@KobeMatthew1923</v>
      </c>
      <c r="C8757" s="21" t="s">
        <v>19241</v>
      </c>
      <c r="D8757" s="21" t="s">
        <v>19016</v>
      </c>
      <c r="E8757" s="22" t="str">
        <f>HYPERLINK("https://twitter.com/KobeMatthew1923/status/922665920547389442","922665920547389442")</f>
        <v>922665920547389442</v>
      </c>
      <c r="F8757" s="23" t="s">
        <v>39</v>
      </c>
      <c r="G8757" s="24">
        <v>46.0</v>
      </c>
      <c r="H8757" s="24">
        <v>185.0</v>
      </c>
      <c r="I8757" s="24">
        <v>51.0</v>
      </c>
      <c r="J8757" s="24">
        <v>0.0</v>
      </c>
      <c r="K8757" s="23" t="s">
        <v>34</v>
      </c>
      <c r="L8757" s="25">
        <v>42961.70569444445</v>
      </c>
      <c r="M8757" s="26" t="s">
        <v>1964</v>
      </c>
      <c r="N8757" s="26" t="s">
        <v>19242</v>
      </c>
      <c r="O8757" s="22" t="str">
        <f>HYPERLINK("https://pbs.twimg.com/profile_images/911431125775601671/9CCtvmwz_normal.jpg","View")</f>
        <v>View</v>
      </c>
      <c r="P8757" s="27"/>
    </row>
    <row r="8758">
      <c r="A8758" s="14">
        <v>43031.85314814815</v>
      </c>
      <c r="B8758" s="20" t="str">
        <f>HYPERLINK("https://twitter.com/MyHistoryMaster","@MyHistoryMaster")</f>
        <v>@MyHistoryMaster</v>
      </c>
      <c r="C8758" s="21" t="s">
        <v>9759</v>
      </c>
      <c r="D8758" s="21" t="s">
        <v>19243</v>
      </c>
      <c r="E8758" s="22" t="str">
        <f>HYPERLINK("https://twitter.com/MyHistoryMaster/status/922666087522754561","922666087522754561")</f>
        <v>922666087522754561</v>
      </c>
      <c r="F8758" s="23" t="s">
        <v>55</v>
      </c>
      <c r="G8758" s="24">
        <v>46.0</v>
      </c>
      <c r="H8758" s="24">
        <v>98.0</v>
      </c>
      <c r="I8758" s="24">
        <v>2.0</v>
      </c>
      <c r="J8758" s="24">
        <v>0.0</v>
      </c>
      <c r="K8758" s="23" t="s">
        <v>34</v>
      </c>
      <c r="L8758" s="25">
        <v>42000.60366898148</v>
      </c>
      <c r="M8758" s="26" t="s">
        <v>920</v>
      </c>
      <c r="N8758" s="26" t="s">
        <v>9760</v>
      </c>
      <c r="O8758" s="22" t="str">
        <f>HYPERLINK("https://pbs.twimg.com/profile_images/823025688957419520/4_lFVc05_normal.jpg","View")</f>
        <v>View</v>
      </c>
      <c r="P8758" s="27"/>
    </row>
    <row r="8759">
      <c r="A8759" s="14">
        <v>43031.853425925925</v>
      </c>
      <c r="B8759" s="20" t="str">
        <f>HYPERLINK("https://twitter.com/TheresaAFallon","@TheresaAFallon")</f>
        <v>@TheresaAFallon</v>
      </c>
      <c r="C8759" s="21" t="s">
        <v>19244</v>
      </c>
      <c r="D8759" s="21" t="s">
        <v>7198</v>
      </c>
      <c r="E8759" s="22" t="str">
        <f>HYPERLINK("https://twitter.com/TheresaAFallon/status/922666189376995328","922666189376995328")</f>
        <v>922666189376995328</v>
      </c>
      <c r="F8759" s="23" t="s">
        <v>55</v>
      </c>
      <c r="G8759" s="24">
        <v>12486.0</v>
      </c>
      <c r="H8759" s="24">
        <v>9052.0</v>
      </c>
      <c r="I8759" s="24">
        <v>11.0</v>
      </c>
      <c r="J8759" s="24">
        <v>0.0</v>
      </c>
      <c r="K8759" s="23" t="s">
        <v>34</v>
      </c>
      <c r="L8759" s="25">
        <v>41721.55803240741</v>
      </c>
      <c r="M8759" s="26" t="s">
        <v>2660</v>
      </c>
      <c r="N8759" s="26" t="s">
        <v>19245</v>
      </c>
      <c r="O8759" s="22" t="str">
        <f>HYPERLINK("https://pbs.twimg.com/profile_images/649602371648000000/TR22zWWv_normal.png","View")</f>
        <v>View</v>
      </c>
      <c r="P8759" s="27"/>
    </row>
    <row r="8760">
      <c r="A8760" s="14">
        <v>43031.85393518519</v>
      </c>
      <c r="B8760" s="20" t="str">
        <f>HYPERLINK("https://twitter.com/tkoka","@tkoka")</f>
        <v>@tkoka</v>
      </c>
      <c r="C8760" s="21" t="s">
        <v>19246</v>
      </c>
      <c r="D8760" s="21" t="s">
        <v>1731</v>
      </c>
      <c r="E8760" s="22" t="str">
        <f>HYPERLINK("https://twitter.com/tkoka/status/922666373830008834","922666373830008834")</f>
        <v>922666373830008834</v>
      </c>
      <c r="F8760" s="23" t="s">
        <v>39</v>
      </c>
      <c r="G8760" s="24">
        <v>323.0</v>
      </c>
      <c r="H8760" s="24">
        <v>485.0</v>
      </c>
      <c r="I8760" s="24">
        <v>6.0</v>
      </c>
      <c r="J8760" s="24">
        <v>0.0</v>
      </c>
      <c r="K8760" s="23" t="s">
        <v>34</v>
      </c>
      <c r="L8760" s="25">
        <v>40448.95761574074</v>
      </c>
      <c r="M8760" s="26" t="s">
        <v>19247</v>
      </c>
      <c r="N8760" s="26" t="s">
        <v>19248</v>
      </c>
      <c r="O8760" s="22" t="str">
        <f>HYPERLINK("https://pbs.twimg.com/profile_images/2616883133/120916_1956_01_normal.jpg","View")</f>
        <v>View</v>
      </c>
      <c r="P8760" s="27"/>
    </row>
    <row r="8761">
      <c r="A8761" s="14">
        <v>43031.854351851856</v>
      </c>
      <c r="B8761" s="20" t="str">
        <f>HYPERLINK("https://twitter.com/chiibeesnow","@chiibeesnow")</f>
        <v>@chiibeesnow</v>
      </c>
      <c r="C8761" s="21" t="s">
        <v>19249</v>
      </c>
      <c r="D8761" s="21" t="s">
        <v>42</v>
      </c>
      <c r="E8761" s="22" t="str">
        <f>HYPERLINK("https://twitter.com/chiibeesnow/status/922666525063966720","922666525063966720")</f>
        <v>922666525063966720</v>
      </c>
      <c r="F8761" s="23" t="s">
        <v>39</v>
      </c>
      <c r="G8761" s="24">
        <v>94.0</v>
      </c>
      <c r="H8761" s="24">
        <v>84.0</v>
      </c>
      <c r="I8761" s="24">
        <v>8501.0</v>
      </c>
      <c r="J8761" s="24">
        <v>0.0</v>
      </c>
      <c r="K8761" s="23" t="s">
        <v>34</v>
      </c>
      <c r="L8761" s="25">
        <v>40840.08967592593</v>
      </c>
      <c r="M8761" s="28"/>
      <c r="N8761" s="28"/>
      <c r="O8761" s="22" t="str">
        <f>HYPERLINK("https://pbs.twimg.com/profile_images/889411895773376512/jB6G6fIn_normal.jpg","View")</f>
        <v>View</v>
      </c>
      <c r="P8761" s="27"/>
    </row>
    <row r="8762">
      <c r="A8762" s="14">
        <v>43031.85439814815</v>
      </c>
      <c r="B8762" s="20" t="str">
        <f>HYPERLINK("https://twitter.com/CHR_NGX50","@CHR_NGX50")</f>
        <v>@CHR_NGX50</v>
      </c>
      <c r="C8762" s="21" t="s">
        <v>19250</v>
      </c>
      <c r="D8762" s="21" t="s">
        <v>42</v>
      </c>
      <c r="E8762" s="22" t="str">
        <f>HYPERLINK("https://twitter.com/CHR_NGX50/status/922666542449356800","922666542449356800")</f>
        <v>922666542449356800</v>
      </c>
      <c r="F8762" s="23" t="s">
        <v>39</v>
      </c>
      <c r="G8762" s="24">
        <v>1310.0</v>
      </c>
      <c r="H8762" s="24">
        <v>1276.0</v>
      </c>
      <c r="I8762" s="24">
        <v>8501.0</v>
      </c>
      <c r="J8762" s="24">
        <v>0.0</v>
      </c>
      <c r="K8762" s="23" t="s">
        <v>34</v>
      </c>
      <c r="L8762" s="25">
        <v>42104.96822916667</v>
      </c>
      <c r="M8762" s="26" t="s">
        <v>19251</v>
      </c>
      <c r="N8762" s="26" t="s">
        <v>19252</v>
      </c>
      <c r="O8762" s="22" t="str">
        <f>HYPERLINK("https://pbs.twimg.com/profile_images/908596729989046272/t8nvqrh__normal.jpg","View")</f>
        <v>View</v>
      </c>
      <c r="P8762" s="27"/>
    </row>
    <row r="8763">
      <c r="A8763" s="14">
        <v>43031.85445601852</v>
      </c>
      <c r="B8763" s="20" t="str">
        <f>HYPERLINK("https://twitter.com/tkoka","@tkoka")</f>
        <v>@tkoka</v>
      </c>
      <c r="C8763" s="21" t="s">
        <v>19246</v>
      </c>
      <c r="D8763" s="21" t="s">
        <v>19202</v>
      </c>
      <c r="E8763" s="22" t="str">
        <f>HYPERLINK("https://twitter.com/tkoka/status/922666563429216258","922666563429216258")</f>
        <v>922666563429216258</v>
      </c>
      <c r="F8763" s="23" t="s">
        <v>39</v>
      </c>
      <c r="G8763" s="24">
        <v>323.0</v>
      </c>
      <c r="H8763" s="24">
        <v>485.0</v>
      </c>
      <c r="I8763" s="24">
        <v>3.0</v>
      </c>
      <c r="J8763" s="24">
        <v>0.0</v>
      </c>
      <c r="K8763" s="23" t="s">
        <v>34</v>
      </c>
      <c r="L8763" s="25">
        <v>40448.95761574074</v>
      </c>
      <c r="M8763" s="26" t="s">
        <v>19247</v>
      </c>
      <c r="N8763" s="26" t="s">
        <v>19248</v>
      </c>
      <c r="O8763" s="22" t="str">
        <f>HYPERLINK("https://pbs.twimg.com/profile_images/2616883133/120916_1956_01_normal.jpg","View")</f>
        <v>View</v>
      </c>
      <c r="P8763" s="27"/>
    </row>
    <row r="8764">
      <c r="A8764" s="14">
        <v>43031.8546875</v>
      </c>
      <c r="B8764" s="20" t="str">
        <f>HYPERLINK("https://twitter.com/URmaLiYaPawan","@URmaLiYaPawan")</f>
        <v>@URmaLiYaPawan</v>
      </c>
      <c r="C8764" s="21" t="s">
        <v>19253</v>
      </c>
      <c r="D8764" s="21" t="s">
        <v>42</v>
      </c>
      <c r="E8764" s="22" t="str">
        <f>HYPERLINK("https://twitter.com/URmaLiYaPawan/status/922666645683761152","922666645683761152")</f>
        <v>922666645683761152</v>
      </c>
      <c r="F8764" s="23" t="s">
        <v>33</v>
      </c>
      <c r="G8764" s="24">
        <v>440.0</v>
      </c>
      <c r="H8764" s="24">
        <v>41.0</v>
      </c>
      <c r="I8764" s="24">
        <v>8501.0</v>
      </c>
      <c r="J8764" s="24">
        <v>0.0</v>
      </c>
      <c r="K8764" s="23" t="s">
        <v>34</v>
      </c>
      <c r="L8764" s="25">
        <v>41438.1134375</v>
      </c>
      <c r="M8764" s="26" t="s">
        <v>19254</v>
      </c>
      <c r="N8764" s="26" t="s">
        <v>19255</v>
      </c>
      <c r="O8764" s="22" t="str">
        <f>HYPERLINK("https://pbs.twimg.com/profile_images/531987970526429184/y5zj7o45_normal.jpeg","View")</f>
        <v>View</v>
      </c>
      <c r="P8764" s="27"/>
    </row>
    <row r="8765">
      <c r="A8765" s="14">
        <v>43031.85475694445</v>
      </c>
      <c r="B8765" s="20" t="str">
        <f>HYPERLINK("https://twitter.com/Vickeyg591Gupta","@Vickeyg591Gupta")</f>
        <v>@Vickeyg591Gupta</v>
      </c>
      <c r="C8765" s="21" t="s">
        <v>19256</v>
      </c>
      <c r="D8765" s="21" t="s">
        <v>42</v>
      </c>
      <c r="E8765" s="22" t="str">
        <f>HYPERLINK("https://twitter.com/Vickeyg591Gupta/status/922666672531447809","922666672531447809")</f>
        <v>922666672531447809</v>
      </c>
      <c r="F8765" s="23" t="s">
        <v>33</v>
      </c>
      <c r="G8765" s="24">
        <v>391.0</v>
      </c>
      <c r="H8765" s="24">
        <v>1118.0</v>
      </c>
      <c r="I8765" s="24">
        <v>8501.0</v>
      </c>
      <c r="J8765" s="24">
        <v>0.0</v>
      </c>
      <c r="K8765" s="23" t="s">
        <v>34</v>
      </c>
      <c r="L8765" s="25">
        <v>41971.929884259254</v>
      </c>
      <c r="M8765" s="28"/>
      <c r="N8765" s="26" t="s">
        <v>19257</v>
      </c>
      <c r="O8765" s="22" t="str">
        <f>HYPERLINK("https://pbs.twimg.com/profile_images/660708258101919744/72Ax6btQ_normal.jpg","View")</f>
        <v>View</v>
      </c>
      <c r="P8765" s="27"/>
    </row>
    <row r="8766">
      <c r="A8766" s="14">
        <v>43031.85479166667</v>
      </c>
      <c r="B8766" s="20" t="str">
        <f>HYPERLINK("https://twitter.com/vanalich","@vanalich")</f>
        <v>@vanalich</v>
      </c>
      <c r="C8766" s="21" t="s">
        <v>18931</v>
      </c>
      <c r="D8766" s="21" t="s">
        <v>19258</v>
      </c>
      <c r="E8766" s="22" t="str">
        <f>HYPERLINK("https://twitter.com/vanalich/status/922666684397142017","922666684397142017")</f>
        <v>922666684397142017</v>
      </c>
      <c r="F8766" s="23" t="s">
        <v>39</v>
      </c>
      <c r="G8766" s="24">
        <v>1388.0</v>
      </c>
      <c r="H8766" s="24">
        <v>4944.0</v>
      </c>
      <c r="I8766" s="24">
        <v>7.0</v>
      </c>
      <c r="J8766" s="24">
        <v>0.0</v>
      </c>
      <c r="K8766" s="23" t="s">
        <v>34</v>
      </c>
      <c r="L8766" s="25">
        <v>40229.15311342593</v>
      </c>
      <c r="M8766" s="26" t="s">
        <v>2185</v>
      </c>
      <c r="N8766" s="26" t="s">
        <v>18932</v>
      </c>
      <c r="O8766" s="22" t="str">
        <f>HYPERLINK("https://pbs.twimg.com/profile_images/824948850829955073/PB6hnYnz_normal.jpg","View")</f>
        <v>View</v>
      </c>
      <c r="P8766" s="27"/>
    </row>
    <row r="8767">
      <c r="A8767" s="14">
        <v>43031.855219907404</v>
      </c>
      <c r="B8767" s="20" t="str">
        <f>HYPERLINK("https://twitter.com/storiesflowcom","@storiesflowcom")</f>
        <v>@storiesflowcom</v>
      </c>
      <c r="C8767" s="29" t="s">
        <v>4963</v>
      </c>
      <c r="D8767" s="21" t="s">
        <v>19259</v>
      </c>
      <c r="E8767" s="22" t="str">
        <f>HYPERLINK("https://twitter.com/storiesflowcom/status/922666839355871232","922666839355871232")</f>
        <v>922666839355871232</v>
      </c>
      <c r="F8767" s="23" t="s">
        <v>4965</v>
      </c>
      <c r="G8767" s="24">
        <v>1229.0</v>
      </c>
      <c r="H8767" s="24">
        <v>212.0</v>
      </c>
      <c r="I8767" s="24">
        <v>0.0</v>
      </c>
      <c r="J8767" s="24">
        <v>0.0</v>
      </c>
      <c r="K8767" s="23" t="s">
        <v>34</v>
      </c>
      <c r="L8767" s="25">
        <v>42334.56871527778</v>
      </c>
      <c r="M8767" s="28"/>
      <c r="N8767" s="26" t="s">
        <v>4966</v>
      </c>
      <c r="O8767" s="22" t="str">
        <f>HYPERLINK("https://pbs.twimg.com/profile_images/917886684649357312/aivZ5Pfc_normal.jpg","View")</f>
        <v>View</v>
      </c>
      <c r="P8767" s="27"/>
    </row>
    <row r="8768">
      <c r="A8768" s="14">
        <v>43031.85560185185</v>
      </c>
      <c r="B8768" s="20" t="str">
        <f>HYPERLINK("https://twitter.com/tkoka","@tkoka")</f>
        <v>@tkoka</v>
      </c>
      <c r="C8768" s="21" t="s">
        <v>19246</v>
      </c>
      <c r="D8768" s="21" t="s">
        <v>18788</v>
      </c>
      <c r="E8768" s="22" t="str">
        <f>HYPERLINK("https://twitter.com/tkoka/status/922666977587380224","922666977587380224")</f>
        <v>922666977587380224</v>
      </c>
      <c r="F8768" s="23" t="s">
        <v>39</v>
      </c>
      <c r="G8768" s="24">
        <v>323.0</v>
      </c>
      <c r="H8768" s="24">
        <v>485.0</v>
      </c>
      <c r="I8768" s="24">
        <v>28.0</v>
      </c>
      <c r="J8768" s="24">
        <v>0.0</v>
      </c>
      <c r="K8768" s="23" t="s">
        <v>34</v>
      </c>
      <c r="L8768" s="25">
        <v>40448.95761574074</v>
      </c>
      <c r="M8768" s="26" t="s">
        <v>19247</v>
      </c>
      <c r="N8768" s="26" t="s">
        <v>19248</v>
      </c>
      <c r="O8768" s="22" t="str">
        <f>HYPERLINK("https://pbs.twimg.com/profile_images/2616883133/120916_1956_01_normal.jpg","View")</f>
        <v>View</v>
      </c>
      <c r="P8768" s="27"/>
    </row>
    <row r="8769">
      <c r="A8769" s="14">
        <v>43031.855625</v>
      </c>
      <c r="B8769" s="20" t="str">
        <f>HYPERLINK("https://twitter.com/stein_m","@stein_m")</f>
        <v>@stein_m</v>
      </c>
      <c r="C8769" s="21" t="s">
        <v>19260</v>
      </c>
      <c r="D8769" s="21" t="s">
        <v>19261</v>
      </c>
      <c r="E8769" s="22" t="str">
        <f>HYPERLINK("https://twitter.com/stein_m/status/922666986563235841","922666986563235841")</f>
        <v>922666986563235841</v>
      </c>
      <c r="F8769" s="23" t="s">
        <v>55</v>
      </c>
      <c r="G8769" s="24">
        <v>9.0</v>
      </c>
      <c r="H8769" s="24">
        <v>2.0</v>
      </c>
      <c r="I8769" s="24">
        <v>0.0</v>
      </c>
      <c r="J8769" s="24">
        <v>0.0</v>
      </c>
      <c r="K8769" s="23" t="s">
        <v>34</v>
      </c>
      <c r="L8769" s="25">
        <v>40084.85334490741</v>
      </c>
      <c r="M8769" s="26" t="s">
        <v>923</v>
      </c>
      <c r="N8769" s="26" t="s">
        <v>19262</v>
      </c>
      <c r="O8769" s="22" t="str">
        <f>HYPERLINK("https://pbs.twimg.com/profile_images/702329982631047168/v3pRW4UJ_normal.jpg","View")</f>
        <v>View</v>
      </c>
      <c r="P8769" s="27"/>
    </row>
    <row r="8770">
      <c r="A8770" s="14">
        <v>43031.85563657407</v>
      </c>
      <c r="B8770" s="20" t="str">
        <f>HYPERLINK("https://twitter.com/PM_Nepal","@PM_Nepal")</f>
        <v>@PM_Nepal</v>
      </c>
      <c r="C8770" s="21" t="s">
        <v>19263</v>
      </c>
      <c r="D8770" s="21" t="s">
        <v>19264</v>
      </c>
      <c r="E8770" s="22" t="str">
        <f>HYPERLINK("https://twitter.com/PM_Nepal/status/922666990740709376","922666990740709376")</f>
        <v>922666990740709376</v>
      </c>
      <c r="F8770" s="23" t="s">
        <v>39</v>
      </c>
      <c r="G8770" s="24">
        <v>328758.0</v>
      </c>
      <c r="H8770" s="24">
        <v>13.0</v>
      </c>
      <c r="I8770" s="24">
        <v>12.0</v>
      </c>
      <c r="J8770" s="24">
        <v>101.0</v>
      </c>
      <c r="K8770" s="23" t="s">
        <v>34</v>
      </c>
      <c r="L8770" s="25">
        <v>42165.32157407407</v>
      </c>
      <c r="M8770" s="26" t="s">
        <v>19265</v>
      </c>
      <c r="N8770" s="26" t="s">
        <v>19266</v>
      </c>
      <c r="O8770" s="22" t="str">
        <f>HYPERLINK("https://pbs.twimg.com/profile_images/872366812566089729/hwDY6LPP_normal.jpg","View")</f>
        <v>View</v>
      </c>
      <c r="P8770" s="27"/>
    </row>
    <row r="8771">
      <c r="A8771" s="14">
        <v>43031.85581018518</v>
      </c>
      <c r="B8771" s="20" t="str">
        <f>HYPERLINK("https://twitter.com/Thoton","@Thoton")</f>
        <v>@Thoton</v>
      </c>
      <c r="C8771" s="21" t="s">
        <v>19267</v>
      </c>
      <c r="D8771" s="21" t="s">
        <v>19016</v>
      </c>
      <c r="E8771" s="22" t="str">
        <f>HYPERLINK("https://twitter.com/Thoton/status/922667054359965696","922667054359965696")</f>
        <v>922667054359965696</v>
      </c>
      <c r="F8771" s="23" t="s">
        <v>33</v>
      </c>
      <c r="G8771" s="24">
        <v>14230.0</v>
      </c>
      <c r="H8771" s="24">
        <v>4523.0</v>
      </c>
      <c r="I8771" s="24">
        <v>51.0</v>
      </c>
      <c r="J8771" s="24">
        <v>0.0</v>
      </c>
      <c r="K8771" s="23" t="s">
        <v>34</v>
      </c>
      <c r="L8771" s="25">
        <v>40388.14618055556</v>
      </c>
      <c r="M8771" s="26" t="s">
        <v>19268</v>
      </c>
      <c r="N8771" s="26" t="s">
        <v>19269</v>
      </c>
      <c r="O8771" s="22" t="str">
        <f>HYPERLINK("https://pbs.twimg.com/profile_images/875394157409320960/gQZv_1O4_normal.jpg","View")</f>
        <v>View</v>
      </c>
      <c r="P8771" s="27"/>
    </row>
    <row r="8772">
      <c r="A8772" s="14">
        <v>43031.85594907407</v>
      </c>
      <c r="B8772" s="20" t="str">
        <f>HYPERLINK("https://twitter.com/SHatibu","@SHatibu")</f>
        <v>@SHatibu</v>
      </c>
      <c r="C8772" s="21" t="s">
        <v>19270</v>
      </c>
      <c r="D8772" s="21" t="s">
        <v>19016</v>
      </c>
      <c r="E8772" s="22" t="str">
        <f>HYPERLINK("https://twitter.com/SHatibu/status/922667105069170688","922667105069170688")</f>
        <v>922667105069170688</v>
      </c>
      <c r="F8772" s="23" t="s">
        <v>33</v>
      </c>
      <c r="G8772" s="24">
        <v>403.0</v>
      </c>
      <c r="H8772" s="24">
        <v>1219.0</v>
      </c>
      <c r="I8772" s="24">
        <v>51.0</v>
      </c>
      <c r="J8772" s="24">
        <v>0.0</v>
      </c>
      <c r="K8772" s="23" t="s">
        <v>34</v>
      </c>
      <c r="L8772" s="25">
        <v>41058.90747685185</v>
      </c>
      <c r="M8772" s="26" t="s">
        <v>19271</v>
      </c>
      <c r="N8772" s="28"/>
      <c r="O8772" s="22" t="str">
        <f>HYPERLINK("https://pbs.twimg.com/profile_images/3220977519/ea83951f429ab8113c0fc80ff96a1a19_normal.jpeg","View")</f>
        <v>View</v>
      </c>
      <c r="P8772" s="27"/>
    </row>
    <row r="8773">
      <c r="A8773" s="14">
        <v>43031.85596064814</v>
      </c>
      <c r="B8773" s="20" t="str">
        <f t="shared" ref="B8773:B8774" si="172">HYPERLINK("https://twitter.com/Thoton","@Thoton")</f>
        <v>@Thoton</v>
      </c>
      <c r="C8773" s="21" t="s">
        <v>19267</v>
      </c>
      <c r="D8773" s="21" t="s">
        <v>18162</v>
      </c>
      <c r="E8773" s="22" t="str">
        <f>HYPERLINK("https://twitter.com/Thoton/status/922667106562215936","922667106562215936")</f>
        <v>922667106562215936</v>
      </c>
      <c r="F8773" s="23" t="s">
        <v>33</v>
      </c>
      <c r="G8773" s="24">
        <v>14230.0</v>
      </c>
      <c r="H8773" s="24">
        <v>4523.0</v>
      </c>
      <c r="I8773" s="24">
        <v>59.0</v>
      </c>
      <c r="J8773" s="24">
        <v>0.0</v>
      </c>
      <c r="K8773" s="23" t="s">
        <v>34</v>
      </c>
      <c r="L8773" s="25">
        <v>40388.14618055556</v>
      </c>
      <c r="M8773" s="26" t="s">
        <v>19268</v>
      </c>
      <c r="N8773" s="26" t="s">
        <v>19269</v>
      </c>
      <c r="O8773" s="22" t="str">
        <f t="shared" ref="O8773:O8774" si="173">HYPERLINK("https://pbs.twimg.com/profile_images/875394157409320960/gQZv_1O4_normal.jpg","View")</f>
        <v>View</v>
      </c>
      <c r="P8773" s="27"/>
    </row>
    <row r="8774">
      <c r="A8774" s="14">
        <v>43031.85615740741</v>
      </c>
      <c r="B8774" s="20" t="str">
        <f t="shared" si="172"/>
        <v>@Thoton</v>
      </c>
      <c r="C8774" s="21" t="s">
        <v>19267</v>
      </c>
      <c r="D8774" s="21" t="s">
        <v>18788</v>
      </c>
      <c r="E8774" s="22" t="str">
        <f>HYPERLINK("https://twitter.com/Thoton/status/922667180390457344","922667180390457344")</f>
        <v>922667180390457344</v>
      </c>
      <c r="F8774" s="23" t="s">
        <v>33</v>
      </c>
      <c r="G8774" s="24">
        <v>14230.0</v>
      </c>
      <c r="H8774" s="24">
        <v>4523.0</v>
      </c>
      <c r="I8774" s="24">
        <v>28.0</v>
      </c>
      <c r="J8774" s="24">
        <v>0.0</v>
      </c>
      <c r="K8774" s="23" t="s">
        <v>34</v>
      </c>
      <c r="L8774" s="25">
        <v>40388.14618055556</v>
      </c>
      <c r="M8774" s="26" t="s">
        <v>19268</v>
      </c>
      <c r="N8774" s="26" t="s">
        <v>19269</v>
      </c>
      <c r="O8774" s="22" t="str">
        <f t="shared" si="173"/>
        <v>View</v>
      </c>
      <c r="P8774" s="27"/>
    </row>
    <row r="8775">
      <c r="A8775" s="14">
        <v>43031.856203703705</v>
      </c>
      <c r="B8775" s="20" t="str">
        <f>HYPERLINK("https://twitter.com/jainesh1204","@jainesh1204")</f>
        <v>@jainesh1204</v>
      </c>
      <c r="C8775" s="21" t="s">
        <v>19272</v>
      </c>
      <c r="D8775" s="21" t="s">
        <v>19016</v>
      </c>
      <c r="E8775" s="22" t="str">
        <f>HYPERLINK("https://twitter.com/jainesh1204/status/922667194164568064","922667194164568064")</f>
        <v>922667194164568064</v>
      </c>
      <c r="F8775" s="23" t="s">
        <v>39</v>
      </c>
      <c r="G8775" s="24">
        <v>523.0</v>
      </c>
      <c r="H8775" s="24">
        <v>200.0</v>
      </c>
      <c r="I8775" s="24">
        <v>51.0</v>
      </c>
      <c r="J8775" s="24">
        <v>0.0</v>
      </c>
      <c r="K8775" s="23" t="s">
        <v>34</v>
      </c>
      <c r="L8775" s="25">
        <v>42235.32413194445</v>
      </c>
      <c r="M8775" s="26" t="s">
        <v>19273</v>
      </c>
      <c r="N8775" s="26" t="s">
        <v>19274</v>
      </c>
      <c r="O8775" s="22" t="str">
        <f>HYPERLINK("https://pbs.twimg.com/profile_images/887726853233950721/wUybfidM_normal.jpg","View")</f>
        <v>View</v>
      </c>
      <c r="P8775" s="27"/>
    </row>
    <row r="8776">
      <c r="A8776" s="14">
        <v>43031.8562962963</v>
      </c>
      <c r="B8776" s="20" t="str">
        <f>HYPERLINK("https://twitter.com/SsSiayers","@SsSiayers")</f>
        <v>@SsSiayers</v>
      </c>
      <c r="C8776" s="21" t="s">
        <v>19275</v>
      </c>
      <c r="D8776" s="21" t="s">
        <v>2369</v>
      </c>
      <c r="E8776" s="22" t="str">
        <f>HYPERLINK("https://twitter.com/SsSiayers/status/922667230705438726","922667230705438726")</f>
        <v>922667230705438726</v>
      </c>
      <c r="F8776" s="23" t="s">
        <v>33</v>
      </c>
      <c r="G8776" s="24">
        <v>28.0</v>
      </c>
      <c r="H8776" s="24">
        <v>1033.0</v>
      </c>
      <c r="I8776" s="24">
        <v>23.0</v>
      </c>
      <c r="J8776" s="24">
        <v>0.0</v>
      </c>
      <c r="K8776" s="23" t="s">
        <v>34</v>
      </c>
      <c r="L8776" s="25">
        <v>41743.94473379629</v>
      </c>
      <c r="M8776" s="26" t="s">
        <v>19276</v>
      </c>
      <c r="N8776" s="26" t="s">
        <v>19277</v>
      </c>
      <c r="O8776" s="22" t="str">
        <f>HYPERLINK("https://pbs.twimg.com/profile_images/749769175258783744/D84nDdx0_normal.jpg","View")</f>
        <v>View</v>
      </c>
      <c r="P8776" s="27"/>
    </row>
    <row r="8777">
      <c r="A8777" s="14">
        <v>43031.85631944444</v>
      </c>
      <c r="B8777" s="20" t="str">
        <f>HYPERLINK("https://twitter.com/BhakthLokesh","@BhakthLokesh")</f>
        <v>@BhakthLokesh</v>
      </c>
      <c r="C8777" s="21" t="s">
        <v>19278</v>
      </c>
      <c r="D8777" s="21" t="s">
        <v>19279</v>
      </c>
      <c r="E8777" s="22" t="str">
        <f>HYPERLINK("https://twitter.com/BhakthLokesh/status/922667238255034368","922667238255034368")</f>
        <v>922667238255034368</v>
      </c>
      <c r="F8777" s="23" t="s">
        <v>33</v>
      </c>
      <c r="G8777" s="24">
        <v>110.0</v>
      </c>
      <c r="H8777" s="24">
        <v>777.0</v>
      </c>
      <c r="I8777" s="24">
        <v>12.0</v>
      </c>
      <c r="J8777" s="24">
        <v>0.0</v>
      </c>
      <c r="K8777" s="23" t="s">
        <v>34</v>
      </c>
      <c r="L8777" s="25">
        <v>43008.51483796297</v>
      </c>
      <c r="M8777" s="26" t="s">
        <v>204</v>
      </c>
      <c r="N8777" s="26" t="s">
        <v>19280</v>
      </c>
      <c r="O8777" s="22" t="str">
        <f>HYPERLINK("https://pbs.twimg.com/profile_images/914214471781847040/LlK0EM_D_normal.jpg","View")</f>
        <v>View</v>
      </c>
      <c r="P8777" s="27"/>
    </row>
    <row r="8778">
      <c r="A8778" s="14">
        <v>43031.85637731482</v>
      </c>
      <c r="B8778" s="20" t="str">
        <f>HYPERLINK("https://twitter.com/Paboya108","@Paboya108")</f>
        <v>@Paboya108</v>
      </c>
      <c r="C8778" s="21" t="s">
        <v>19281</v>
      </c>
      <c r="D8778" s="21" t="s">
        <v>18788</v>
      </c>
      <c r="E8778" s="22" t="str">
        <f>HYPERLINK("https://twitter.com/Paboya108/status/922667257502711808","922667257502711808")</f>
        <v>922667257502711808</v>
      </c>
      <c r="F8778" s="23" t="s">
        <v>55</v>
      </c>
      <c r="G8778" s="24">
        <v>2609.0</v>
      </c>
      <c r="H8778" s="24">
        <v>2569.0</v>
      </c>
      <c r="I8778" s="24">
        <v>28.0</v>
      </c>
      <c r="J8778" s="24">
        <v>0.0</v>
      </c>
      <c r="K8778" s="23" t="s">
        <v>34</v>
      </c>
      <c r="L8778" s="25">
        <v>40969.43502314815</v>
      </c>
      <c r="M8778" s="28"/>
      <c r="N8778" s="26" t="s">
        <v>19282</v>
      </c>
      <c r="O8778" s="22" t="str">
        <f>HYPERLINK("https://pbs.twimg.com/profile_images/576879271626440704/6vAS2pnn_normal.jpeg","View")</f>
        <v>View</v>
      </c>
      <c r="P8778" s="27"/>
    </row>
    <row r="8779">
      <c r="A8779" s="14">
        <v>43031.85649305556</v>
      </c>
      <c r="B8779" s="20" t="str">
        <f>HYPERLINK("https://twitter.com/ColumnistOpn","@ColumnistOpn")</f>
        <v>@ColumnistOpn</v>
      </c>
      <c r="C8779" s="21" t="s">
        <v>19283</v>
      </c>
      <c r="D8779" s="21" t="s">
        <v>19284</v>
      </c>
      <c r="E8779" s="22" t="str">
        <f>HYPERLINK("https://twitter.com/ColumnistOpn/status/922667299898908675","922667299898908675")</f>
        <v>922667299898908675</v>
      </c>
      <c r="F8779" s="23" t="s">
        <v>187</v>
      </c>
      <c r="G8779" s="24">
        <v>7.0</v>
      </c>
      <c r="H8779" s="24">
        <v>0.0</v>
      </c>
      <c r="I8779" s="24">
        <v>0.0</v>
      </c>
      <c r="J8779" s="24">
        <v>0.0</v>
      </c>
      <c r="K8779" s="23" t="s">
        <v>34</v>
      </c>
      <c r="L8779" s="25">
        <v>42361.616875</v>
      </c>
      <c r="M8779" s="28"/>
      <c r="N8779" s="26" t="s">
        <v>19285</v>
      </c>
      <c r="O8779" s="22" t="str">
        <f>HYPERLINK("https://pbs.twimg.com/profile_images/918600353599418368/kGojYdr2_normal.jpg","View")</f>
        <v>View</v>
      </c>
      <c r="P8779" s="27"/>
    </row>
    <row r="8780">
      <c r="A8780" s="14">
        <v>43031.856724537036</v>
      </c>
      <c r="B8780" s="20" t="str">
        <f>HYPERLINK("https://twitter.com/joetrader6","@joetrader6")</f>
        <v>@joetrader6</v>
      </c>
      <c r="C8780" s="21" t="s">
        <v>19286</v>
      </c>
      <c r="D8780" s="21" t="s">
        <v>19016</v>
      </c>
      <c r="E8780" s="22" t="str">
        <f>HYPERLINK("https://twitter.com/joetrader6/status/922667383751368704","922667383751368704")</f>
        <v>922667383751368704</v>
      </c>
      <c r="F8780" s="23" t="s">
        <v>39</v>
      </c>
      <c r="G8780" s="24">
        <v>257.0</v>
      </c>
      <c r="H8780" s="24">
        <v>450.0</v>
      </c>
      <c r="I8780" s="24">
        <v>51.0</v>
      </c>
      <c r="J8780" s="24">
        <v>0.0</v>
      </c>
      <c r="K8780" s="23" t="s">
        <v>34</v>
      </c>
      <c r="L8780" s="25">
        <v>41226.43399305556</v>
      </c>
      <c r="M8780" s="28"/>
      <c r="N8780" s="26" t="s">
        <v>19287</v>
      </c>
      <c r="O8780" s="22" t="str">
        <f>HYPERLINK("https://pbs.twimg.com/profile_images/2849377721/080037e8101380451d04cb0e7f6c9621_normal.jpeg","View")</f>
        <v>View</v>
      </c>
      <c r="P8780" s="27"/>
    </row>
    <row r="8781">
      <c r="A8781" s="14">
        <v>43031.856724537036</v>
      </c>
      <c r="B8781" s="20" t="str">
        <f>HYPERLINK("https://twitter.com/tkoka","@tkoka")</f>
        <v>@tkoka</v>
      </c>
      <c r="C8781" s="21" t="s">
        <v>19246</v>
      </c>
      <c r="D8781" s="21" t="s">
        <v>18162</v>
      </c>
      <c r="E8781" s="22" t="str">
        <f>HYPERLINK("https://twitter.com/tkoka/status/922667386553192448","922667386553192448")</f>
        <v>922667386553192448</v>
      </c>
      <c r="F8781" s="23" t="s">
        <v>39</v>
      </c>
      <c r="G8781" s="24">
        <v>323.0</v>
      </c>
      <c r="H8781" s="24">
        <v>485.0</v>
      </c>
      <c r="I8781" s="24">
        <v>59.0</v>
      </c>
      <c r="J8781" s="24">
        <v>0.0</v>
      </c>
      <c r="K8781" s="23" t="s">
        <v>34</v>
      </c>
      <c r="L8781" s="25">
        <v>40448.95761574074</v>
      </c>
      <c r="M8781" s="26" t="s">
        <v>19247</v>
      </c>
      <c r="N8781" s="26" t="s">
        <v>19248</v>
      </c>
      <c r="O8781" s="22" t="str">
        <f>HYPERLINK("https://pbs.twimg.com/profile_images/2616883133/120916_1956_01_normal.jpg","View")</f>
        <v>View</v>
      </c>
      <c r="P8781" s="27"/>
    </row>
    <row r="8782">
      <c r="A8782" s="14">
        <v>43031.85673611111</v>
      </c>
      <c r="B8782" s="20" t="str">
        <f>HYPERLINK("https://twitter.com/pressopinion","@pressopinion")</f>
        <v>@pressopinion</v>
      </c>
      <c r="C8782" s="21" t="s">
        <v>19288</v>
      </c>
      <c r="D8782" s="21" t="s">
        <v>19289</v>
      </c>
      <c r="E8782" s="22" t="str">
        <f>HYPERLINK("https://twitter.com/pressopinion/status/922667387006148614","922667387006148614")</f>
        <v>922667387006148614</v>
      </c>
      <c r="F8782" s="23" t="s">
        <v>187</v>
      </c>
      <c r="G8782" s="24">
        <v>35.0</v>
      </c>
      <c r="H8782" s="24">
        <v>3.0</v>
      </c>
      <c r="I8782" s="24">
        <v>0.0</v>
      </c>
      <c r="J8782" s="24">
        <v>0.0</v>
      </c>
      <c r="K8782" s="23" t="s">
        <v>34</v>
      </c>
      <c r="L8782" s="25">
        <v>42505.82425925926</v>
      </c>
      <c r="M8782" s="26" t="s">
        <v>68</v>
      </c>
      <c r="N8782" s="26" t="s">
        <v>19290</v>
      </c>
      <c r="O8782" s="22" t="str">
        <f>HYPERLINK("https://pbs.twimg.com/profile_images/914597222091603968/GiRYsTpL_normal.jpg","View")</f>
        <v>View</v>
      </c>
      <c r="P8782" s="27"/>
    </row>
    <row r="8783">
      <c r="A8783" s="14">
        <v>43031.85680555555</v>
      </c>
      <c r="B8783" s="20" t="str">
        <f>HYPERLINK("https://twitter.com/saxenayash41","@saxenayash41")</f>
        <v>@saxenayash41</v>
      </c>
      <c r="C8783" s="21" t="s">
        <v>19291</v>
      </c>
      <c r="D8783" s="21" t="s">
        <v>42</v>
      </c>
      <c r="E8783" s="22" t="str">
        <f>HYPERLINK("https://twitter.com/saxenayash41/status/922667414717841408","922667414717841408")</f>
        <v>922667414717841408</v>
      </c>
      <c r="F8783" s="23" t="s">
        <v>33</v>
      </c>
      <c r="G8783" s="24">
        <v>100.0</v>
      </c>
      <c r="H8783" s="24">
        <v>777.0</v>
      </c>
      <c r="I8783" s="24">
        <v>8501.0</v>
      </c>
      <c r="J8783" s="24">
        <v>0.0</v>
      </c>
      <c r="K8783" s="23" t="s">
        <v>34</v>
      </c>
      <c r="L8783" s="25">
        <v>41575.250289351854</v>
      </c>
      <c r="M8783" s="26" t="s">
        <v>575</v>
      </c>
      <c r="N8783" s="26" t="s">
        <v>19292</v>
      </c>
      <c r="O8783" s="22" t="str">
        <f>HYPERLINK("https://pbs.twimg.com/profile_images/795482603344142336/0Cb9XtgF_normal.jpg","View")</f>
        <v>View</v>
      </c>
      <c r="P8783" s="27"/>
    </row>
    <row r="8784">
      <c r="A8784" s="14">
        <v>43031.85681712963</v>
      </c>
      <c r="B8784" s="20" t="str">
        <f>HYPERLINK("https://twitter.com/neocosmologist","@neocosmologist")</f>
        <v>@neocosmologist</v>
      </c>
      <c r="C8784" s="21" t="s">
        <v>10489</v>
      </c>
      <c r="D8784" s="21" t="s">
        <v>19258</v>
      </c>
      <c r="E8784" s="22" t="str">
        <f>HYPERLINK("https://twitter.com/neocosmologist/status/922667416370294786","922667416370294786")</f>
        <v>922667416370294786</v>
      </c>
      <c r="F8784" s="23" t="s">
        <v>230</v>
      </c>
      <c r="G8784" s="24">
        <v>171.0</v>
      </c>
      <c r="H8784" s="24">
        <v>159.0</v>
      </c>
      <c r="I8784" s="24">
        <v>7.0</v>
      </c>
      <c r="J8784" s="24">
        <v>0.0</v>
      </c>
      <c r="K8784" s="23" t="s">
        <v>34</v>
      </c>
      <c r="L8784" s="25">
        <v>41335.858310185184</v>
      </c>
      <c r="M8784" s="26" t="s">
        <v>10490</v>
      </c>
      <c r="N8784" s="26" t="s">
        <v>10491</v>
      </c>
      <c r="O8784" s="22" t="str">
        <f>HYPERLINK("https://pbs.twimg.com/profile_images/598492407097729024/EadwmyKS_normal.jpg","View")</f>
        <v>View</v>
      </c>
      <c r="P8784" s="27"/>
    </row>
    <row r="8785">
      <c r="A8785" s="14">
        <v>43031.85715277778</v>
      </c>
      <c r="B8785" s="20" t="str">
        <f>HYPERLINK("https://twitter.com/jainesh1204","@jainesh1204")</f>
        <v>@jainesh1204</v>
      </c>
      <c r="C8785" s="21" t="s">
        <v>19272</v>
      </c>
      <c r="D8785" s="21" t="s">
        <v>19095</v>
      </c>
      <c r="E8785" s="22" t="str">
        <f>HYPERLINK("https://twitter.com/jainesh1204/status/922667541972992000","922667541972992000")</f>
        <v>922667541972992000</v>
      </c>
      <c r="F8785" s="23" t="s">
        <v>39</v>
      </c>
      <c r="G8785" s="24">
        <v>523.0</v>
      </c>
      <c r="H8785" s="24">
        <v>200.0</v>
      </c>
      <c r="I8785" s="24">
        <v>7.0</v>
      </c>
      <c r="J8785" s="24">
        <v>0.0</v>
      </c>
      <c r="K8785" s="23" t="s">
        <v>34</v>
      </c>
      <c r="L8785" s="25">
        <v>42235.32413194445</v>
      </c>
      <c r="M8785" s="26" t="s">
        <v>19273</v>
      </c>
      <c r="N8785" s="26" t="s">
        <v>19274</v>
      </c>
      <c r="O8785" s="22" t="str">
        <f>HYPERLINK("https://pbs.twimg.com/profile_images/887726853233950721/wUybfidM_normal.jpg","View")</f>
        <v>View</v>
      </c>
      <c r="P8785" s="27"/>
    </row>
    <row r="8786">
      <c r="A8786" s="14">
        <v>43031.857199074075</v>
      </c>
      <c r="B8786" s="20" t="str">
        <f>HYPERLINK("https://twitter.com/LouanneCossa","@LouanneCossa")</f>
        <v>@LouanneCossa</v>
      </c>
      <c r="C8786" s="21" t="s">
        <v>19293</v>
      </c>
      <c r="D8786" s="21" t="s">
        <v>19243</v>
      </c>
      <c r="E8786" s="22" t="str">
        <f>HYPERLINK("https://twitter.com/LouanneCossa/status/922667554857824256","922667554857824256")</f>
        <v>922667554857824256</v>
      </c>
      <c r="F8786" s="23" t="s">
        <v>39</v>
      </c>
      <c r="G8786" s="24">
        <v>17.0</v>
      </c>
      <c r="H8786" s="24">
        <v>147.0</v>
      </c>
      <c r="I8786" s="24">
        <v>2.0</v>
      </c>
      <c r="J8786" s="24">
        <v>0.0</v>
      </c>
      <c r="K8786" s="23" t="s">
        <v>34</v>
      </c>
      <c r="L8786" s="25">
        <v>42694.370671296296</v>
      </c>
      <c r="M8786" s="26" t="s">
        <v>17049</v>
      </c>
      <c r="N8786" s="28"/>
      <c r="O8786" s="22" t="str">
        <f>HYPERLINK("https://pbs.twimg.com/profile_images/853792501819260928/tPzIKDGD_normal.jpg","View")</f>
        <v>View</v>
      </c>
      <c r="P8786" s="27"/>
    </row>
    <row r="8787">
      <c r="A8787" s="14">
        <v>43031.8575462963</v>
      </c>
      <c r="B8787" s="20" t="str">
        <f>HYPERLINK("https://twitter.com/Hindu__Rashtra","@Hindu__Rashtra")</f>
        <v>@Hindu__Rashtra</v>
      </c>
      <c r="C8787" s="21" t="s">
        <v>19294</v>
      </c>
      <c r="D8787" s="21" t="s">
        <v>42</v>
      </c>
      <c r="E8787" s="22" t="str">
        <f>HYPERLINK("https://twitter.com/Hindu__Rashtra/status/922667681538498560","922667681538498560")</f>
        <v>922667681538498560</v>
      </c>
      <c r="F8787" s="23" t="s">
        <v>33</v>
      </c>
      <c r="G8787" s="24">
        <v>930.0</v>
      </c>
      <c r="H8787" s="24">
        <v>814.0</v>
      </c>
      <c r="I8787" s="24">
        <v>8501.0</v>
      </c>
      <c r="J8787" s="24">
        <v>0.0</v>
      </c>
      <c r="K8787" s="23" t="s">
        <v>34</v>
      </c>
      <c r="L8787" s="25">
        <v>41322.33971064815</v>
      </c>
      <c r="M8787" s="26" t="s">
        <v>19295</v>
      </c>
      <c r="N8787" s="26" t="s">
        <v>8615</v>
      </c>
      <c r="O8787" s="22" t="str">
        <f>HYPERLINK("https://pbs.twimg.com/profile_images/916346421040648192/055_ZAc0_normal.jpg","View")</f>
        <v>View</v>
      </c>
      <c r="P8787" s="27"/>
    </row>
    <row r="8788">
      <c r="A8788" s="14">
        <v>43031.85774305556</v>
      </c>
      <c r="B8788" s="20" t="str">
        <f>HYPERLINK("https://twitter.com/psephy","@psephy")</f>
        <v>@psephy</v>
      </c>
      <c r="C8788" s="21" t="s">
        <v>19296</v>
      </c>
      <c r="D8788" s="21" t="s">
        <v>18162</v>
      </c>
      <c r="E8788" s="22" t="str">
        <f>HYPERLINK("https://twitter.com/psephy/status/922667752027852800","922667752027852800")</f>
        <v>922667752027852800</v>
      </c>
      <c r="F8788" s="23" t="s">
        <v>230</v>
      </c>
      <c r="G8788" s="24">
        <v>2059.0</v>
      </c>
      <c r="H8788" s="24">
        <v>1994.0</v>
      </c>
      <c r="I8788" s="24">
        <v>59.0</v>
      </c>
      <c r="J8788" s="24">
        <v>0.0</v>
      </c>
      <c r="K8788" s="23" t="s">
        <v>34</v>
      </c>
      <c r="L8788" s="25">
        <v>40283.028391203705</v>
      </c>
      <c r="M8788" s="26" t="s">
        <v>19297</v>
      </c>
      <c r="N8788" s="26" t="s">
        <v>19298</v>
      </c>
      <c r="O8788" s="22" t="str">
        <f>HYPERLINK("https://pbs.twimg.com/profile_images/378800000437838975/7e2769c47bca61bbe0b5e055f13554dd_normal.jpeg","View")</f>
        <v>View</v>
      </c>
      <c r="P8788" s="27"/>
    </row>
    <row r="8789">
      <c r="A8789" s="14">
        <v>43031.85822916667</v>
      </c>
      <c r="B8789" s="20" t="str">
        <f>HYPERLINK("https://twitter.com/AglaveSatish","@AglaveSatish")</f>
        <v>@AglaveSatish</v>
      </c>
      <c r="C8789" s="21" t="s">
        <v>19299</v>
      </c>
      <c r="D8789" s="21" t="s">
        <v>42</v>
      </c>
      <c r="E8789" s="22" t="str">
        <f>HYPERLINK("https://twitter.com/AglaveSatish/status/922667931309346816","922667931309346816")</f>
        <v>922667931309346816</v>
      </c>
      <c r="F8789" s="23" t="s">
        <v>33</v>
      </c>
      <c r="G8789" s="24">
        <v>19.0</v>
      </c>
      <c r="H8789" s="24">
        <v>36.0</v>
      </c>
      <c r="I8789" s="24">
        <v>8501.0</v>
      </c>
      <c r="J8789" s="24">
        <v>0.0</v>
      </c>
      <c r="K8789" s="23" t="s">
        <v>34</v>
      </c>
      <c r="L8789" s="25">
        <v>42903.32040509259</v>
      </c>
      <c r="M8789" s="26" t="s">
        <v>19300</v>
      </c>
      <c r="N8789" s="28"/>
      <c r="O8789" s="22" t="str">
        <f>HYPERLINK("https://pbs.twimg.com/profile_images/911855808081797121/zJ9qyn0H_normal.jpg","View")</f>
        <v>View</v>
      </c>
      <c r="P8789" s="27"/>
    </row>
    <row r="8790">
      <c r="A8790" s="14">
        <v>43031.85828703704</v>
      </c>
      <c r="B8790" s="20" t="str">
        <f>HYPERLINK("https://twitter.com/jornalistavitor","@jornalistavitor")</f>
        <v>@jornalistavitor</v>
      </c>
      <c r="C8790" s="21" t="s">
        <v>18907</v>
      </c>
      <c r="D8790" s="21" t="s">
        <v>19095</v>
      </c>
      <c r="E8790" s="22" t="str">
        <f>HYPERLINK("https://twitter.com/jornalistavitor/status/922667950427049984","922667950427049984")</f>
        <v>922667950427049984</v>
      </c>
      <c r="F8790" s="23" t="s">
        <v>55</v>
      </c>
      <c r="G8790" s="24">
        <v>35081.0</v>
      </c>
      <c r="H8790" s="24">
        <v>26503.0</v>
      </c>
      <c r="I8790" s="24">
        <v>7.0</v>
      </c>
      <c r="J8790" s="24">
        <v>0.0</v>
      </c>
      <c r="K8790" s="23" t="s">
        <v>34</v>
      </c>
      <c r="L8790" s="25">
        <v>40220.39572916667</v>
      </c>
      <c r="M8790" s="26" t="s">
        <v>1124</v>
      </c>
      <c r="N8790" s="26" t="s">
        <v>18908</v>
      </c>
      <c r="O8790" s="22" t="str">
        <f>HYPERLINK("https://pbs.twimg.com/profile_images/378800000463633572/8494361443a9361de1017d497c5ee1f2_normal.jpeg","View")</f>
        <v>View</v>
      </c>
      <c r="P8790" s="27"/>
    </row>
    <row r="8791">
      <c r="A8791" s="14">
        <v>43031.858298611114</v>
      </c>
      <c r="B8791" s="20" t="str">
        <f>HYPERLINK("https://twitter.com/shashiassar","@shashiassar")</f>
        <v>@shashiassar</v>
      </c>
      <c r="C8791" s="21" t="s">
        <v>19301</v>
      </c>
      <c r="D8791" s="21" t="s">
        <v>42</v>
      </c>
      <c r="E8791" s="22" t="str">
        <f>HYPERLINK("https://twitter.com/shashiassar/status/922667955581677569","922667955581677569")</f>
        <v>922667955581677569</v>
      </c>
      <c r="F8791" s="23" t="s">
        <v>33</v>
      </c>
      <c r="G8791" s="24">
        <v>704.0</v>
      </c>
      <c r="H8791" s="24">
        <v>2255.0</v>
      </c>
      <c r="I8791" s="24">
        <v>8501.0</v>
      </c>
      <c r="J8791" s="24">
        <v>0.0</v>
      </c>
      <c r="K8791" s="23" t="s">
        <v>34</v>
      </c>
      <c r="L8791" s="25">
        <v>42475.99711805556</v>
      </c>
      <c r="M8791" s="26" t="s">
        <v>2997</v>
      </c>
      <c r="N8791" s="26" t="s">
        <v>19302</v>
      </c>
      <c r="O8791" s="22" t="str">
        <f>HYPERLINK("https://pbs.twimg.com/profile_images/921043446109945856/ZBtYE--U_normal.jpg","View")</f>
        <v>View</v>
      </c>
      <c r="P8791" s="27"/>
    </row>
    <row r="8792">
      <c r="A8792" s="14">
        <v>43031.85854166667</v>
      </c>
      <c r="B8792" s="20" t="str">
        <f>HYPERLINK("https://twitter.com/BeQuiet321","@BeQuiet321")</f>
        <v>@BeQuiet321</v>
      </c>
      <c r="C8792" s="21" t="s">
        <v>19303</v>
      </c>
      <c r="D8792" s="21" t="s">
        <v>18162</v>
      </c>
      <c r="E8792" s="22" t="str">
        <f>HYPERLINK("https://twitter.com/BeQuiet321/status/922668042378711040","922668042378711040")</f>
        <v>922668042378711040</v>
      </c>
      <c r="F8792" s="23" t="s">
        <v>19304</v>
      </c>
      <c r="G8792" s="24">
        <v>80.0</v>
      </c>
      <c r="H8792" s="24">
        <v>1006.0</v>
      </c>
      <c r="I8792" s="24">
        <v>59.0</v>
      </c>
      <c r="J8792" s="24">
        <v>0.0</v>
      </c>
      <c r="K8792" s="23" t="s">
        <v>34</v>
      </c>
      <c r="L8792" s="25">
        <v>42935.28895833333</v>
      </c>
      <c r="M8792" s="26" t="s">
        <v>68</v>
      </c>
      <c r="N8792" s="28"/>
      <c r="O8792" s="22" t="str">
        <f>HYPERLINK("https://pbs.twimg.com/profile_images/887672845358305281/hM90DAId_normal.jpg","View")</f>
        <v>View</v>
      </c>
      <c r="P8792" s="27"/>
    </row>
    <row r="8793">
      <c r="A8793" s="14">
        <v>43031.85864583333</v>
      </c>
      <c r="B8793" s="20" t="str">
        <f>HYPERLINK("https://twitter.com/chauhanrohit10","@chauhanrohit10")</f>
        <v>@chauhanrohit10</v>
      </c>
      <c r="C8793" s="21" t="s">
        <v>19305</v>
      </c>
      <c r="D8793" s="21" t="s">
        <v>42</v>
      </c>
      <c r="E8793" s="22" t="str">
        <f>HYPERLINK("https://twitter.com/chauhanrohit10/status/922668081637478400","922668081637478400")</f>
        <v>922668081637478400</v>
      </c>
      <c r="F8793" s="23" t="s">
        <v>33</v>
      </c>
      <c r="G8793" s="24">
        <v>124.0</v>
      </c>
      <c r="H8793" s="24">
        <v>383.0</v>
      </c>
      <c r="I8793" s="24">
        <v>8501.0</v>
      </c>
      <c r="J8793" s="24">
        <v>0.0</v>
      </c>
      <c r="K8793" s="23" t="s">
        <v>34</v>
      </c>
      <c r="L8793" s="25">
        <v>41013.47074074074</v>
      </c>
      <c r="M8793" s="26" t="s">
        <v>19306</v>
      </c>
      <c r="N8793" s="26" t="s">
        <v>19307</v>
      </c>
      <c r="O8793" s="22" t="str">
        <f>HYPERLINK("https://pbs.twimg.com/profile_images/2684168944/a8ca48d0fc570dc9ce6f2e5840862080_normal.jpeg","View")</f>
        <v>View</v>
      </c>
      <c r="P8793" s="27"/>
    </row>
    <row r="8794">
      <c r="A8794" s="14">
        <v>43031.85922453704</v>
      </c>
      <c r="B8794" s="20" t="str">
        <f>HYPERLINK("https://twitter.com/e__mccarthy","@e__mccarthy")</f>
        <v>@e__mccarthy</v>
      </c>
      <c r="C8794" s="21" t="s">
        <v>19308</v>
      </c>
      <c r="D8794" s="21" t="s">
        <v>16208</v>
      </c>
      <c r="E8794" s="22" t="str">
        <f>HYPERLINK("https://twitter.com/e__mccarthy/status/922668289544908800","922668289544908800")</f>
        <v>922668289544908800</v>
      </c>
      <c r="F8794" s="23" t="s">
        <v>39</v>
      </c>
      <c r="G8794" s="24">
        <v>145.0</v>
      </c>
      <c r="H8794" s="24">
        <v>472.0</v>
      </c>
      <c r="I8794" s="24">
        <v>41.0</v>
      </c>
      <c r="J8794" s="24">
        <v>0.0</v>
      </c>
      <c r="K8794" s="23" t="s">
        <v>34</v>
      </c>
      <c r="L8794" s="25">
        <v>40208.371724537035</v>
      </c>
      <c r="M8794" s="26" t="s">
        <v>19309</v>
      </c>
      <c r="N8794" s="26" t="s">
        <v>19310</v>
      </c>
      <c r="O8794" s="22" t="str">
        <f>HYPERLINK("https://pbs.twimg.com/profile_images/745771001615548416/0hJASgSv_normal.jpg","View")</f>
        <v>View</v>
      </c>
      <c r="P8794" s="27"/>
    </row>
    <row r="8795">
      <c r="A8795" s="14">
        <v>43031.85939814815</v>
      </c>
      <c r="B8795" s="20" t="str">
        <f>HYPERLINK("https://twitter.com/TheIndiangag","@TheIndiangag")</f>
        <v>@TheIndiangag</v>
      </c>
      <c r="C8795" s="21" t="s">
        <v>19311</v>
      </c>
      <c r="D8795" s="21" t="s">
        <v>163</v>
      </c>
      <c r="E8795" s="22" t="str">
        <f>HYPERLINK("https://twitter.com/TheIndiangag/status/922668352396443648","922668352396443648")</f>
        <v>922668352396443648</v>
      </c>
      <c r="F8795" s="23" t="s">
        <v>33</v>
      </c>
      <c r="G8795" s="24">
        <v>213.0</v>
      </c>
      <c r="H8795" s="24">
        <v>201.0</v>
      </c>
      <c r="I8795" s="24">
        <v>1005.0</v>
      </c>
      <c r="J8795" s="24">
        <v>0.0</v>
      </c>
      <c r="K8795" s="23" t="s">
        <v>34</v>
      </c>
      <c r="L8795" s="25">
        <v>40310.10711805556</v>
      </c>
      <c r="M8795" s="26" t="s">
        <v>19312</v>
      </c>
      <c r="N8795" s="26" t="s">
        <v>19313</v>
      </c>
      <c r="O8795" s="22" t="str">
        <f>HYPERLINK("https://pbs.twimg.com/profile_images/515201645546700801/CnmZDaDs_normal.jpeg","View")</f>
        <v>View</v>
      </c>
      <c r="P8795" s="27"/>
    </row>
    <row r="8796">
      <c r="A8796" s="14">
        <v>43031.85952546296</v>
      </c>
      <c r="B8796" s="20" t="str">
        <f>HYPERLINK("https://twitter.com/debasishdas568","@debasishdas568")</f>
        <v>@debasishdas568</v>
      </c>
      <c r="C8796" s="21" t="s">
        <v>19314</v>
      </c>
      <c r="D8796" s="21" t="s">
        <v>19315</v>
      </c>
      <c r="E8796" s="22" t="str">
        <f>HYPERLINK("https://twitter.com/debasishdas568/status/922668400949706752","922668400949706752")</f>
        <v>922668400949706752</v>
      </c>
      <c r="F8796" s="23" t="s">
        <v>33</v>
      </c>
      <c r="G8796" s="24">
        <v>1443.0</v>
      </c>
      <c r="H8796" s="24">
        <v>88.0</v>
      </c>
      <c r="I8796" s="24">
        <v>5.0</v>
      </c>
      <c r="J8796" s="24">
        <v>0.0</v>
      </c>
      <c r="K8796" s="23" t="s">
        <v>34</v>
      </c>
      <c r="L8796" s="25">
        <v>41482.433599537035</v>
      </c>
      <c r="M8796" s="26" t="s">
        <v>19316</v>
      </c>
      <c r="N8796" s="26" t="s">
        <v>19317</v>
      </c>
      <c r="O8796" s="22" t="str">
        <f>HYPERLINK("https://pbs.twimg.com/profile_images/907896598998302720/K0Ia5M3p_normal.jpg","View")</f>
        <v>View</v>
      </c>
      <c r="P8796" s="27"/>
    </row>
    <row r="8797">
      <c r="A8797" s="14">
        <v>43031.85965277778</v>
      </c>
      <c r="B8797" s="20" t="str">
        <f>HYPERLINK("https://twitter.com/dpradhanbjp","@dpradhanbjp")</f>
        <v>@dpradhanbjp</v>
      </c>
      <c r="C8797" s="21" t="s">
        <v>19318</v>
      </c>
      <c r="D8797" s="21" t="s">
        <v>42</v>
      </c>
      <c r="E8797" s="22" t="str">
        <f>HYPERLINK("https://twitter.com/dpradhanbjp/status/922668446197858305","922668446197858305")</f>
        <v>922668446197858305</v>
      </c>
      <c r="F8797" s="23" t="s">
        <v>39</v>
      </c>
      <c r="G8797" s="24">
        <v>640086.0</v>
      </c>
      <c r="H8797" s="24">
        <v>1510.0</v>
      </c>
      <c r="I8797" s="24">
        <v>8501.0</v>
      </c>
      <c r="J8797" s="24">
        <v>0.0</v>
      </c>
      <c r="K8797" s="23" t="s">
        <v>34</v>
      </c>
      <c r="L8797" s="25">
        <v>41540.32335648148</v>
      </c>
      <c r="M8797" s="28"/>
      <c r="N8797" s="26" t="s">
        <v>19319</v>
      </c>
      <c r="O8797" s="22" t="str">
        <f>HYPERLINK("https://pbs.twimg.com/profile_images/586139075737849857/Z92jKYtn_normal.png","View")</f>
        <v>View</v>
      </c>
      <c r="P8797" s="27"/>
    </row>
    <row r="8798">
      <c r="A8798" s="14">
        <v>43031.859664351854</v>
      </c>
      <c r="B8798" s="20" t="str">
        <f>HYPERLINK("https://twitter.com/SoBeCharly","@SoBeCharly")</f>
        <v>@SoBeCharly</v>
      </c>
      <c r="C8798" s="21" t="s">
        <v>19320</v>
      </c>
      <c r="D8798" s="21" t="s">
        <v>16537</v>
      </c>
      <c r="E8798" s="22" t="str">
        <f>HYPERLINK("https://twitter.com/SoBeCharly/status/922668449289170946","922668449289170946")</f>
        <v>922668449289170946</v>
      </c>
      <c r="F8798" s="23" t="s">
        <v>43</v>
      </c>
      <c r="G8798" s="24">
        <v>397.0</v>
      </c>
      <c r="H8798" s="24">
        <v>430.0</v>
      </c>
      <c r="I8798" s="24">
        <v>242.0</v>
      </c>
      <c r="J8798" s="24">
        <v>0.0</v>
      </c>
      <c r="K8798" s="23" t="s">
        <v>34</v>
      </c>
      <c r="L8798" s="25">
        <v>40810.34773148148</v>
      </c>
      <c r="M8798" s="26" t="s">
        <v>19321</v>
      </c>
      <c r="N8798" s="28"/>
      <c r="O8798" s="22" t="str">
        <f>HYPERLINK("https://pbs.twimg.com/profile_images/497208248231927808/9fC3zJnc_normal.jpeg","View")</f>
        <v>View</v>
      </c>
      <c r="P8798" s="27"/>
    </row>
    <row r="8799">
      <c r="A8799" s="14">
        <v>43031.85971064815</v>
      </c>
      <c r="B8799" s="20" t="str">
        <f>HYPERLINK("https://twitter.com/smile_623","@smile_623")</f>
        <v>@smile_623</v>
      </c>
      <c r="C8799" s="21" t="s">
        <v>19322</v>
      </c>
      <c r="D8799" s="21" t="s">
        <v>105</v>
      </c>
      <c r="E8799" s="22" t="str">
        <f>HYPERLINK("https://twitter.com/smile_623/status/922668467819388928","922668467819388928")</f>
        <v>922668467819388928</v>
      </c>
      <c r="F8799" s="23" t="s">
        <v>39</v>
      </c>
      <c r="G8799" s="24">
        <v>83.0</v>
      </c>
      <c r="H8799" s="24">
        <v>33.0</v>
      </c>
      <c r="I8799" s="24">
        <v>69.0</v>
      </c>
      <c r="J8799" s="24">
        <v>0.0</v>
      </c>
      <c r="K8799" s="23" t="s">
        <v>34</v>
      </c>
      <c r="L8799" s="25">
        <v>40615.36494212963</v>
      </c>
      <c r="M8799" s="26" t="s">
        <v>19323</v>
      </c>
      <c r="N8799" s="26" t="s">
        <v>19324</v>
      </c>
      <c r="O8799" s="22" t="str">
        <f>HYPERLINK("https://pbs.twimg.com/profile_images/1542460277/110914_2145_01_normal.jpg","View")</f>
        <v>View</v>
      </c>
      <c r="P8799" s="27"/>
    </row>
    <row r="8800">
      <c r="A8800" s="14">
        <v>43031.859826388885</v>
      </c>
      <c r="B8800" s="20" t="str">
        <f>HYPERLINK("https://twitter.com/MitkaryS","@MitkaryS")</f>
        <v>@MitkaryS</v>
      </c>
      <c r="C8800" s="21" t="s">
        <v>19325</v>
      </c>
      <c r="D8800" s="21" t="s">
        <v>7370</v>
      </c>
      <c r="E8800" s="22" t="str">
        <f>HYPERLINK("https://twitter.com/MitkaryS/status/922668509104103426","922668509104103426")</f>
        <v>922668509104103426</v>
      </c>
      <c r="F8800" s="23" t="s">
        <v>33</v>
      </c>
      <c r="G8800" s="24">
        <v>793.0</v>
      </c>
      <c r="H8800" s="24">
        <v>1154.0</v>
      </c>
      <c r="I8800" s="24">
        <v>4.0</v>
      </c>
      <c r="J8800" s="24">
        <v>0.0</v>
      </c>
      <c r="K8800" s="23" t="s">
        <v>34</v>
      </c>
      <c r="L8800" s="25">
        <v>40022.457557870366</v>
      </c>
      <c r="M8800" s="26" t="s">
        <v>204</v>
      </c>
      <c r="N8800" s="26" t="s">
        <v>19326</v>
      </c>
      <c r="O8800" s="22" t="str">
        <f>HYPERLINK("https://pbs.twimg.com/profile_images/897324329368551425/7DD-ZOhT_normal.jpg","View")</f>
        <v>View</v>
      </c>
      <c r="P8800" s="27"/>
    </row>
    <row r="8801">
      <c r="A8801" s="14">
        <v>43031.86011574074</v>
      </c>
      <c r="B8801" s="20" t="str">
        <f>HYPERLINK("https://twitter.com/jambudweepan","@jambudweepan")</f>
        <v>@jambudweepan</v>
      </c>
      <c r="C8801" s="21" t="s">
        <v>19327</v>
      </c>
      <c r="D8801" s="21" t="s">
        <v>163</v>
      </c>
      <c r="E8801" s="22" t="str">
        <f>HYPERLINK("https://twitter.com/jambudweepan/status/922668615047843841","922668615047843841")</f>
        <v>922668615047843841</v>
      </c>
      <c r="F8801" s="23" t="s">
        <v>55</v>
      </c>
      <c r="G8801" s="24">
        <v>215.0</v>
      </c>
      <c r="H8801" s="24">
        <v>276.0</v>
      </c>
      <c r="I8801" s="24">
        <v>1005.0</v>
      </c>
      <c r="J8801" s="24">
        <v>0.0</v>
      </c>
      <c r="K8801" s="23" t="s">
        <v>34</v>
      </c>
      <c r="L8801" s="25">
        <v>42311.86211805556</v>
      </c>
      <c r="M8801" s="26" t="s">
        <v>423</v>
      </c>
      <c r="N8801" s="26" t="s">
        <v>19328</v>
      </c>
      <c r="O8801" s="22" t="str">
        <f>HYPERLINK("https://pbs.twimg.com/profile_images/661840225576972288/6ibTwdM__normal.jpg","View")</f>
        <v>View</v>
      </c>
      <c r="P8801" s="27"/>
    </row>
    <row r="8802">
      <c r="A8802" s="14">
        <v>43031.860127314816</v>
      </c>
      <c r="B8802" s="20" t="str">
        <f>HYPERLINK("https://twitter.com/NickD72601197","@NickD72601197")</f>
        <v>@NickD72601197</v>
      </c>
      <c r="C8802" s="21" t="s">
        <v>1098</v>
      </c>
      <c r="D8802" s="21" t="s">
        <v>18162</v>
      </c>
      <c r="E8802" s="22" t="str">
        <f>HYPERLINK("https://twitter.com/NickD72601197/status/922668616255967235","922668616255967235")</f>
        <v>922668616255967235</v>
      </c>
      <c r="F8802" s="23" t="s">
        <v>1099</v>
      </c>
      <c r="G8802" s="24">
        <v>258.0</v>
      </c>
      <c r="H8802" s="24">
        <v>2314.0</v>
      </c>
      <c r="I8802" s="24">
        <v>59.0</v>
      </c>
      <c r="J8802" s="24">
        <v>0.0</v>
      </c>
      <c r="K8802" s="23" t="s">
        <v>34</v>
      </c>
      <c r="L8802" s="25">
        <v>42904.52740740741</v>
      </c>
      <c r="M8802" s="26" t="s">
        <v>68</v>
      </c>
      <c r="N8802" s="26" t="s">
        <v>1100</v>
      </c>
      <c r="O8802" s="22" t="str">
        <f>HYPERLINK("https://pbs.twimg.com/profile_images/876525064207966210/JF-OGieZ_normal.jpg","View")</f>
        <v>View</v>
      </c>
      <c r="P8802" s="27"/>
    </row>
    <row r="8803">
      <c r="A8803" s="14">
        <v>43031.860196759255</v>
      </c>
      <c r="B8803" s="20" t="str">
        <f>HYPERLINK("https://twitter.com/RAJMEHTA5263","@RAJMEHTA5263")</f>
        <v>@RAJMEHTA5263</v>
      </c>
      <c r="C8803" s="21" t="s">
        <v>19329</v>
      </c>
      <c r="D8803" s="21" t="s">
        <v>42</v>
      </c>
      <c r="E8803" s="22" t="str">
        <f>HYPERLINK("https://twitter.com/RAJMEHTA5263/status/922668644735205376","922668644735205376")</f>
        <v>922668644735205376</v>
      </c>
      <c r="F8803" s="23" t="s">
        <v>33</v>
      </c>
      <c r="G8803" s="24">
        <v>194.0</v>
      </c>
      <c r="H8803" s="24">
        <v>487.0</v>
      </c>
      <c r="I8803" s="24">
        <v>8501.0</v>
      </c>
      <c r="J8803" s="24">
        <v>0.0</v>
      </c>
      <c r="K8803" s="23" t="s">
        <v>34</v>
      </c>
      <c r="L8803" s="25">
        <v>42922.36011574074</v>
      </c>
      <c r="M8803" s="26" t="s">
        <v>1354</v>
      </c>
      <c r="N8803" s="26" t="s">
        <v>19330</v>
      </c>
      <c r="O8803" s="22" t="str">
        <f>HYPERLINK("https://pbs.twimg.com/profile_images/905678678092218369/MTsaGkdi_normal.jpg","View")</f>
        <v>View</v>
      </c>
      <c r="P8803" s="27"/>
    </row>
    <row r="8804">
      <c r="A8804" s="14">
        <v>43031.86037037037</v>
      </c>
      <c r="B8804" s="20" t="str">
        <f>HYPERLINK("https://twitter.com/Tips_Guru","@Tips_Guru")</f>
        <v>@Tips_Guru</v>
      </c>
      <c r="C8804" s="21" t="s">
        <v>19331</v>
      </c>
      <c r="D8804" s="21" t="s">
        <v>42</v>
      </c>
      <c r="E8804" s="22" t="str">
        <f>HYPERLINK("https://twitter.com/Tips_Guru/status/922668704235651072","922668704235651072")</f>
        <v>922668704235651072</v>
      </c>
      <c r="F8804" s="23" t="s">
        <v>55</v>
      </c>
      <c r="G8804" s="24">
        <v>3744.0</v>
      </c>
      <c r="H8804" s="24">
        <v>565.0</v>
      </c>
      <c r="I8804" s="24">
        <v>8501.0</v>
      </c>
      <c r="J8804" s="24">
        <v>0.0</v>
      </c>
      <c r="K8804" s="23" t="s">
        <v>34</v>
      </c>
      <c r="L8804" s="25">
        <v>40158.421215277776</v>
      </c>
      <c r="M8804" s="26" t="s">
        <v>19332</v>
      </c>
      <c r="N8804" s="26" t="s">
        <v>19333</v>
      </c>
      <c r="O8804" s="22" t="str">
        <f>HYPERLINK("https://pbs.twimg.com/profile_images/903974434058379264/Sj4hKJFZ_normal.jpg","View")</f>
        <v>View</v>
      </c>
      <c r="P8804" s="27"/>
    </row>
    <row r="8805">
      <c r="A8805" s="14">
        <v>43031.860393518524</v>
      </c>
      <c r="B8805" s="20" t="str">
        <f>HYPERLINK("https://twitter.com/arajinM","@arajinM")</f>
        <v>@arajinM</v>
      </c>
      <c r="C8805" s="21" t="s">
        <v>19334</v>
      </c>
      <c r="D8805" s="21" t="s">
        <v>1642</v>
      </c>
      <c r="E8805" s="22" t="str">
        <f>HYPERLINK("https://twitter.com/arajinM/status/922668715061084160","922668715061084160")</f>
        <v>922668715061084160</v>
      </c>
      <c r="F8805" s="23" t="s">
        <v>55</v>
      </c>
      <c r="G8805" s="24">
        <v>1737.0</v>
      </c>
      <c r="H8805" s="24">
        <v>3961.0</v>
      </c>
      <c r="I8805" s="24">
        <v>199.0</v>
      </c>
      <c r="J8805" s="24">
        <v>0.0</v>
      </c>
      <c r="K8805" s="23" t="s">
        <v>34</v>
      </c>
      <c r="L8805" s="25">
        <v>40537.63111111111</v>
      </c>
      <c r="M8805" s="26" t="s">
        <v>19335</v>
      </c>
      <c r="N8805" s="26" t="s">
        <v>19336</v>
      </c>
      <c r="O8805" s="22" t="str">
        <f>HYPERLINK("https://pbs.twimg.com/profile_images/920145279214526464/SqLY0sdS_normal.jpg","View")</f>
        <v>View</v>
      </c>
      <c r="P8805" s="27"/>
    </row>
    <row r="8806">
      <c r="A8806" s="14">
        <v>43031.86040509259</v>
      </c>
      <c r="B8806" s="20" t="str">
        <f>HYPERLINK("https://twitter.com/LD7377","@LD7377")</f>
        <v>@LD7377</v>
      </c>
      <c r="C8806" s="21" t="s">
        <v>19337</v>
      </c>
      <c r="D8806" s="21" t="s">
        <v>16537</v>
      </c>
      <c r="E8806" s="22" t="str">
        <f>HYPERLINK("https://twitter.com/LD7377/status/922668719649693697","922668719649693697")</f>
        <v>922668719649693697</v>
      </c>
      <c r="F8806" s="23" t="s">
        <v>230</v>
      </c>
      <c r="G8806" s="24">
        <v>30.0</v>
      </c>
      <c r="H8806" s="24">
        <v>145.0</v>
      </c>
      <c r="I8806" s="24">
        <v>242.0</v>
      </c>
      <c r="J8806" s="24">
        <v>0.0</v>
      </c>
      <c r="K8806" s="23" t="s">
        <v>34</v>
      </c>
      <c r="L8806" s="25">
        <v>42929.94164351852</v>
      </c>
      <c r="M8806" s="28"/>
      <c r="N8806" s="28"/>
      <c r="O8806" s="22" t="str">
        <f>HYPERLINK("https://abs.twimg.com/sticky/default_profile_images/default_profile_normal.png","View")</f>
        <v>View</v>
      </c>
      <c r="P8806" s="27"/>
    </row>
    <row r="8807">
      <c r="A8807" s="14">
        <v>43031.860497685186</v>
      </c>
      <c r="B8807" s="20" t="str">
        <f>HYPERLINK("https://twitter.com/navabihani9","@navabihani9")</f>
        <v>@navabihani9</v>
      </c>
      <c r="C8807" s="21" t="s">
        <v>19338</v>
      </c>
      <c r="D8807" s="21" t="s">
        <v>19279</v>
      </c>
      <c r="E8807" s="22" t="str">
        <f>HYPERLINK("https://twitter.com/navabihani9/status/922668750007967744","922668750007967744")</f>
        <v>922668750007967744</v>
      </c>
      <c r="F8807" s="23" t="s">
        <v>33</v>
      </c>
      <c r="G8807" s="24">
        <v>321.0</v>
      </c>
      <c r="H8807" s="24">
        <v>260.0</v>
      </c>
      <c r="I8807" s="24">
        <v>12.0</v>
      </c>
      <c r="J8807" s="24">
        <v>0.0</v>
      </c>
      <c r="K8807" s="23" t="s">
        <v>34</v>
      </c>
      <c r="L8807" s="25">
        <v>42102.92701388889</v>
      </c>
      <c r="M8807" s="28"/>
      <c r="N8807" s="26" t="s">
        <v>19339</v>
      </c>
      <c r="O8807" s="22" t="str">
        <f>HYPERLINK("https://pbs.twimg.com/profile_images/586037159863287808/TUzW6XRY_normal.jpg","View")</f>
        <v>View</v>
      </c>
      <c r="P8807" s="27"/>
    </row>
    <row r="8808">
      <c r="A8808" s="14">
        <v>43031.86076388889</v>
      </c>
      <c r="B8808" s="20" t="str">
        <f>HYPERLINK("https://twitter.com/narendramobi","@narendramobi")</f>
        <v>@narendramobi</v>
      </c>
      <c r="C8808" s="21" t="s">
        <v>2226</v>
      </c>
      <c r="D8808" s="21" t="s">
        <v>42</v>
      </c>
      <c r="E8808" s="22" t="str">
        <f>HYPERLINK("https://twitter.com/narendramobi/status/922668846435024896","922668846435024896")</f>
        <v>922668846435024896</v>
      </c>
      <c r="F8808" s="23" t="s">
        <v>39</v>
      </c>
      <c r="G8808" s="24">
        <v>1763.0</v>
      </c>
      <c r="H8808" s="24">
        <v>366.0</v>
      </c>
      <c r="I8808" s="24">
        <v>8501.0</v>
      </c>
      <c r="J8808" s="24">
        <v>0.0</v>
      </c>
      <c r="K8808" s="23" t="s">
        <v>34</v>
      </c>
      <c r="L8808" s="25">
        <v>42406.222037037034</v>
      </c>
      <c r="M8808" s="28"/>
      <c r="N8808" s="26" t="s">
        <v>19340</v>
      </c>
      <c r="O8808" s="22" t="str">
        <f>HYPERLINK("https://pbs.twimg.com/profile_images/718446681600036864/ReaZ4jdM_normal.jpg","View")</f>
        <v>View</v>
      </c>
      <c r="P8808" s="27"/>
    </row>
    <row r="8809">
      <c r="A8809" s="14">
        <v>43031.860821759255</v>
      </c>
      <c r="B8809" s="20" t="str">
        <f>HYPERLINK("https://twitter.com/shivaprasad_124","@shivaprasad_124")</f>
        <v>@shivaprasad_124</v>
      </c>
      <c r="C8809" s="21" t="s">
        <v>19341</v>
      </c>
      <c r="D8809" s="21" t="s">
        <v>42</v>
      </c>
      <c r="E8809" s="22" t="str">
        <f>HYPERLINK("https://twitter.com/shivaprasad_124/status/922668867993845760","922668867993845760")</f>
        <v>922668867993845760</v>
      </c>
      <c r="F8809" s="23" t="s">
        <v>33</v>
      </c>
      <c r="G8809" s="24">
        <v>238.0</v>
      </c>
      <c r="H8809" s="24">
        <v>950.0</v>
      </c>
      <c r="I8809" s="24">
        <v>8501.0</v>
      </c>
      <c r="J8809" s="24">
        <v>0.0</v>
      </c>
      <c r="K8809" s="23" t="s">
        <v>34</v>
      </c>
      <c r="L8809" s="25">
        <v>40538.97255787037</v>
      </c>
      <c r="M8809" s="28"/>
      <c r="N8809" s="28"/>
      <c r="O8809" s="22" t="str">
        <f>HYPERLINK("https://pbs.twimg.com/profile_images/784264792110268416/8sCT3crf_normal.jpg","View")</f>
        <v>View</v>
      </c>
      <c r="P8809" s="27"/>
    </row>
    <row r="8810">
      <c r="A8810" s="14">
        <v>43031.860868055555</v>
      </c>
      <c r="B8810" s="20" t="str">
        <f>HYPERLINK("https://twitter.com/IamRitzV","@IamRitzV")</f>
        <v>@IamRitzV</v>
      </c>
      <c r="C8810" s="21" t="s">
        <v>14249</v>
      </c>
      <c r="D8810" s="21" t="s">
        <v>42</v>
      </c>
      <c r="E8810" s="22" t="str">
        <f>HYPERLINK("https://twitter.com/IamRitzV/status/922668885765165058","922668885765165058")</f>
        <v>922668885765165058</v>
      </c>
      <c r="F8810" s="23" t="s">
        <v>33</v>
      </c>
      <c r="G8810" s="24">
        <v>10661.0</v>
      </c>
      <c r="H8810" s="24">
        <v>374.0</v>
      </c>
      <c r="I8810" s="24">
        <v>8501.0</v>
      </c>
      <c r="J8810" s="24">
        <v>0.0</v>
      </c>
      <c r="K8810" s="23" t="s">
        <v>34</v>
      </c>
      <c r="L8810" s="25">
        <v>42394.006006944444</v>
      </c>
      <c r="M8810" s="26" t="s">
        <v>19342</v>
      </c>
      <c r="N8810" s="26" t="s">
        <v>19343</v>
      </c>
      <c r="O8810" s="22" t="str">
        <f>HYPERLINK("https://pbs.twimg.com/profile_images/911398167496753152/paNZdIA3_normal.jpg","View")</f>
        <v>View</v>
      </c>
      <c r="P8810" s="27"/>
    </row>
    <row r="8811">
      <c r="A8811" s="14">
        <v>43031.86105324074</v>
      </c>
      <c r="B8811" s="20" t="str">
        <f>HYPERLINK("https://twitter.com/BhakthLokesh","@BhakthLokesh")</f>
        <v>@BhakthLokesh</v>
      </c>
      <c r="C8811" s="21" t="s">
        <v>19278</v>
      </c>
      <c r="D8811" s="21" t="s">
        <v>42</v>
      </c>
      <c r="E8811" s="22" t="str">
        <f>HYPERLINK("https://twitter.com/BhakthLokesh/status/922668951833788417","922668951833788417")</f>
        <v>922668951833788417</v>
      </c>
      <c r="F8811" s="23" t="s">
        <v>33</v>
      </c>
      <c r="G8811" s="24">
        <v>110.0</v>
      </c>
      <c r="H8811" s="24">
        <v>777.0</v>
      </c>
      <c r="I8811" s="24">
        <v>8501.0</v>
      </c>
      <c r="J8811" s="24">
        <v>0.0</v>
      </c>
      <c r="K8811" s="23" t="s">
        <v>34</v>
      </c>
      <c r="L8811" s="25">
        <v>43008.51483796297</v>
      </c>
      <c r="M8811" s="26" t="s">
        <v>204</v>
      </c>
      <c r="N8811" s="26" t="s">
        <v>19280</v>
      </c>
      <c r="O8811" s="22" t="str">
        <f>HYPERLINK("https://pbs.twimg.com/profile_images/914214471781847040/LlK0EM_D_normal.jpg","View")</f>
        <v>View</v>
      </c>
      <c r="P8811" s="27"/>
    </row>
    <row r="8812">
      <c r="A8812" s="14">
        <v>43031.86152777778</v>
      </c>
      <c r="B8812" s="20" t="str">
        <f>HYPERLINK("https://twitter.com/theway2pawan","@theway2pawan")</f>
        <v>@theway2pawan</v>
      </c>
      <c r="C8812" s="21" t="s">
        <v>19344</v>
      </c>
      <c r="D8812" s="21" t="s">
        <v>42</v>
      </c>
      <c r="E8812" s="22" t="str">
        <f>HYPERLINK("https://twitter.com/theway2pawan/status/922669124248932352","922669124248932352")</f>
        <v>922669124248932352</v>
      </c>
      <c r="F8812" s="23" t="s">
        <v>33</v>
      </c>
      <c r="G8812" s="24">
        <v>168.0</v>
      </c>
      <c r="H8812" s="24">
        <v>294.0</v>
      </c>
      <c r="I8812" s="24">
        <v>8501.0</v>
      </c>
      <c r="J8812" s="24">
        <v>0.0</v>
      </c>
      <c r="K8812" s="23" t="s">
        <v>34</v>
      </c>
      <c r="L8812" s="25">
        <v>40307.16767361111</v>
      </c>
      <c r="M8812" s="26" t="s">
        <v>713</v>
      </c>
      <c r="N8812" s="26" t="s">
        <v>19345</v>
      </c>
      <c r="O8812" s="22" t="str">
        <f>HYPERLINK("https://pbs.twimg.com/profile_images/531802120379305984/ZqxGceBs_normal.jpeg","View")</f>
        <v>View</v>
      </c>
      <c r="P8812" s="27"/>
    </row>
    <row r="8813">
      <c r="A8813" s="14">
        <v>43031.861539351856</v>
      </c>
      <c r="B8813" s="20" t="str">
        <f>HYPERLINK("https://twitter.com/asia_active","@asia_active")</f>
        <v>@asia_active</v>
      </c>
      <c r="C8813" s="21" t="s">
        <v>19346</v>
      </c>
      <c r="D8813" s="21" t="s">
        <v>1642</v>
      </c>
      <c r="E8813" s="22" t="str">
        <f>HYPERLINK("https://twitter.com/asia_active/status/922669130456666112","922669130456666112")</f>
        <v>922669130456666112</v>
      </c>
      <c r="F8813" s="23" t="s">
        <v>19347</v>
      </c>
      <c r="G8813" s="24">
        <v>176.0</v>
      </c>
      <c r="H8813" s="24">
        <v>87.0</v>
      </c>
      <c r="I8813" s="24">
        <v>199.0</v>
      </c>
      <c r="J8813" s="24">
        <v>0.0</v>
      </c>
      <c r="K8813" s="23" t="s">
        <v>34</v>
      </c>
      <c r="L8813" s="25">
        <v>42987.96071759259</v>
      </c>
      <c r="M8813" s="26" t="s">
        <v>2068</v>
      </c>
      <c r="N8813" s="26" t="s">
        <v>19348</v>
      </c>
      <c r="O8813" s="22" t="str">
        <f>HYPERLINK("https://pbs.twimg.com/profile_images/906761632788779009/b5vfZXE0_normal.jpg","View")</f>
        <v>View</v>
      </c>
      <c r="P8813" s="27"/>
    </row>
    <row r="8814">
      <c r="A8814" s="14">
        <v>43031.862233796295</v>
      </c>
      <c r="B8814" s="20" t="str">
        <f>HYPERLINK("https://twitter.com/phanirajsk","@phanirajsk")</f>
        <v>@phanirajsk</v>
      </c>
      <c r="C8814" s="21" t="s">
        <v>19349</v>
      </c>
      <c r="D8814" s="21" t="s">
        <v>42</v>
      </c>
      <c r="E8814" s="22" t="str">
        <f>HYPERLINK("https://twitter.com/phanirajsk/status/922669380181340160","922669380181340160")</f>
        <v>922669380181340160</v>
      </c>
      <c r="F8814" s="23" t="s">
        <v>33</v>
      </c>
      <c r="G8814" s="24">
        <v>79.0</v>
      </c>
      <c r="H8814" s="24">
        <v>408.0</v>
      </c>
      <c r="I8814" s="24">
        <v>8501.0</v>
      </c>
      <c r="J8814" s="24">
        <v>0.0</v>
      </c>
      <c r="K8814" s="23" t="s">
        <v>34</v>
      </c>
      <c r="L8814" s="25">
        <v>42307.33658564815</v>
      </c>
      <c r="M8814" s="26" t="s">
        <v>8321</v>
      </c>
      <c r="N8814" s="26" t="s">
        <v>19350</v>
      </c>
      <c r="O8814" s="22" t="str">
        <f>HYPERLINK("https://pbs.twimg.com/profile_images/911631952041701376/yRZF0OaS_normal.jpg","View")</f>
        <v>View</v>
      </c>
      <c r="P8814" s="27"/>
    </row>
    <row r="8815">
      <c r="A8815" s="14">
        <v>43031.86273148148</v>
      </c>
      <c r="B8815" s="20" t="str">
        <f>HYPERLINK("https://twitter.com/japanking001","@japanking001")</f>
        <v>@japanking001</v>
      </c>
      <c r="C8815" s="21" t="s">
        <v>19351</v>
      </c>
      <c r="D8815" s="21" t="s">
        <v>19352</v>
      </c>
      <c r="E8815" s="22" t="str">
        <f>HYPERLINK("https://twitter.com/japanking001/status/922669561408774144","922669561408774144")</f>
        <v>922669561408774144</v>
      </c>
      <c r="F8815" s="23" t="s">
        <v>39</v>
      </c>
      <c r="G8815" s="24">
        <v>60.0</v>
      </c>
      <c r="H8815" s="24">
        <v>292.0</v>
      </c>
      <c r="I8815" s="24">
        <v>0.0</v>
      </c>
      <c r="J8815" s="24">
        <v>0.0</v>
      </c>
      <c r="K8815" s="23" t="s">
        <v>34</v>
      </c>
      <c r="L8815" s="25">
        <v>42794.280706018515</v>
      </c>
      <c r="M8815" s="26" t="s">
        <v>19353</v>
      </c>
      <c r="N8815" s="26" t="s">
        <v>19354</v>
      </c>
      <c r="O8815" s="22" t="str">
        <f>HYPERLINK("https://pbs.twimg.com/profile_images/836590218333429760/oTohTsoa_normal.jpg","View")</f>
        <v>View</v>
      </c>
      <c r="P8815" s="27"/>
    </row>
    <row r="8816">
      <c r="A8816" s="14">
        <v>43031.86292824074</v>
      </c>
      <c r="B8816" s="20" t="str">
        <f>HYPERLINK("https://twitter.com/agrawalshubha17","@agrawalshubha17")</f>
        <v>@agrawalshubha17</v>
      </c>
      <c r="C8816" s="21" t="s">
        <v>19355</v>
      </c>
      <c r="D8816" s="21" t="s">
        <v>42</v>
      </c>
      <c r="E8816" s="22" t="str">
        <f>HYPERLINK("https://twitter.com/agrawalshubha17/status/922669634238668800","922669634238668800")</f>
        <v>922669634238668800</v>
      </c>
      <c r="F8816" s="23" t="s">
        <v>33</v>
      </c>
      <c r="G8816" s="24">
        <v>1.0</v>
      </c>
      <c r="H8816" s="24">
        <v>87.0</v>
      </c>
      <c r="I8816" s="24">
        <v>8501.0</v>
      </c>
      <c r="J8816" s="24">
        <v>0.0</v>
      </c>
      <c r="K8816" s="23" t="s">
        <v>34</v>
      </c>
      <c r="L8816" s="25">
        <v>42296.39608796296</v>
      </c>
      <c r="M8816" s="28"/>
      <c r="N8816" s="28"/>
      <c r="O8816" s="22" t="str">
        <f>HYPERLINK("https://abs.twimg.com/sticky/default_profile_images/default_profile_normal.png","View")</f>
        <v>View</v>
      </c>
      <c r="P8816" s="27"/>
    </row>
    <row r="8817">
      <c r="A8817" s="14">
        <v>43031.86350694444</v>
      </c>
      <c r="B8817" s="20" t="str">
        <f>HYPERLINK("https://twitter.com/ChooseGudPerson","@ChooseGudPerson")</f>
        <v>@ChooseGudPerson</v>
      </c>
      <c r="C8817" s="21" t="s">
        <v>8621</v>
      </c>
      <c r="D8817" s="21" t="s">
        <v>19016</v>
      </c>
      <c r="E8817" s="22" t="str">
        <f>HYPERLINK("https://twitter.com/ChooseGudPerson/status/922669842552856577","922669842552856577")</f>
        <v>922669842552856577</v>
      </c>
      <c r="F8817" s="23" t="s">
        <v>33</v>
      </c>
      <c r="G8817" s="24">
        <v>327.0</v>
      </c>
      <c r="H8817" s="24">
        <v>286.0</v>
      </c>
      <c r="I8817" s="24">
        <v>51.0</v>
      </c>
      <c r="J8817" s="24">
        <v>0.0</v>
      </c>
      <c r="K8817" s="23" t="s">
        <v>34</v>
      </c>
      <c r="L8817" s="25">
        <v>42035.98407407408</v>
      </c>
      <c r="M8817" s="28"/>
      <c r="N8817" s="26" t="s">
        <v>8622</v>
      </c>
      <c r="O8817" s="22" t="str">
        <f>HYPERLINK("https://pbs.twimg.com/profile_images/856840622711463937/t5-IWQdE_normal.jpg","View")</f>
        <v>View</v>
      </c>
      <c r="P8817" s="27"/>
    </row>
    <row r="8818">
      <c r="A8818" s="14">
        <v>43031.863541666666</v>
      </c>
      <c r="B8818" s="20" t="str">
        <f>HYPERLINK("https://twitter.com/arnavsingh143","@arnavsingh143")</f>
        <v>@arnavsingh143</v>
      </c>
      <c r="C8818" s="21" t="s">
        <v>19356</v>
      </c>
      <c r="D8818" s="21" t="s">
        <v>42</v>
      </c>
      <c r="E8818" s="22" t="str">
        <f>HYPERLINK("https://twitter.com/arnavsingh143/status/922669853713903616","922669853713903616")</f>
        <v>922669853713903616</v>
      </c>
      <c r="F8818" s="23" t="s">
        <v>39</v>
      </c>
      <c r="G8818" s="24">
        <v>64.0</v>
      </c>
      <c r="H8818" s="24">
        <v>40.0</v>
      </c>
      <c r="I8818" s="24">
        <v>8501.0</v>
      </c>
      <c r="J8818" s="24">
        <v>0.0</v>
      </c>
      <c r="K8818" s="23" t="s">
        <v>34</v>
      </c>
      <c r="L8818" s="25">
        <v>42172.42964120371</v>
      </c>
      <c r="M8818" s="26" t="s">
        <v>575</v>
      </c>
      <c r="N8818" s="26" t="s">
        <v>19357</v>
      </c>
      <c r="O8818" s="22" t="str">
        <f>HYPERLINK("https://pbs.twimg.com/profile_images/845591929119264770/rxs-JHPl_normal.jpg","View")</f>
        <v>View</v>
      </c>
      <c r="P8818" s="27"/>
    </row>
    <row r="8819">
      <c r="A8819" s="14">
        <v>43031.863541666666</v>
      </c>
      <c r="B8819" s="20" t="str">
        <f>HYPERLINK("https://twitter.com/indradhoj","@indradhoj")</f>
        <v>@indradhoj</v>
      </c>
      <c r="C8819" s="21" t="s">
        <v>19358</v>
      </c>
      <c r="D8819" s="21" t="s">
        <v>19279</v>
      </c>
      <c r="E8819" s="22" t="str">
        <f>HYPERLINK("https://twitter.com/indradhoj/status/922669856071094273","922669856071094273")</f>
        <v>922669856071094273</v>
      </c>
      <c r="F8819" s="23" t="s">
        <v>769</v>
      </c>
      <c r="G8819" s="24">
        <v>15665.0</v>
      </c>
      <c r="H8819" s="24">
        <v>750.0</v>
      </c>
      <c r="I8819" s="24">
        <v>12.0</v>
      </c>
      <c r="J8819" s="24">
        <v>0.0</v>
      </c>
      <c r="K8819" s="23" t="s">
        <v>34</v>
      </c>
      <c r="L8819" s="25">
        <v>40547.86326388889</v>
      </c>
      <c r="M8819" s="26" t="s">
        <v>19359</v>
      </c>
      <c r="N8819" s="26" t="s">
        <v>19360</v>
      </c>
      <c r="O8819" s="22" t="str">
        <f>HYPERLINK("https://pbs.twimg.com/profile_images/907854362940252161/gFVXcNyK_normal.jpg","View")</f>
        <v>View</v>
      </c>
      <c r="P8819" s="27"/>
    </row>
    <row r="8820">
      <c r="A8820" s="14">
        <v>43031.86356481482</v>
      </c>
      <c r="B8820" s="20" t="str">
        <f>HYPERLINK("https://twitter.com/RajivPandya77","@RajivPandya77")</f>
        <v>@RajivPandya77</v>
      </c>
      <c r="C8820" s="21" t="s">
        <v>19361</v>
      </c>
      <c r="D8820" s="21" t="s">
        <v>42</v>
      </c>
      <c r="E8820" s="22" t="str">
        <f>HYPERLINK("https://twitter.com/RajivPandya77/status/922669865097338880","922669865097338880")</f>
        <v>922669865097338880</v>
      </c>
      <c r="F8820" s="23" t="s">
        <v>33</v>
      </c>
      <c r="G8820" s="24">
        <v>338.0</v>
      </c>
      <c r="H8820" s="24">
        <v>326.0</v>
      </c>
      <c r="I8820" s="24">
        <v>8501.0</v>
      </c>
      <c r="J8820" s="24">
        <v>0.0</v>
      </c>
      <c r="K8820" s="23" t="s">
        <v>34</v>
      </c>
      <c r="L8820" s="25">
        <v>42614.0721412037</v>
      </c>
      <c r="M8820" s="26" t="s">
        <v>19362</v>
      </c>
      <c r="N8820" s="26" t="s">
        <v>19363</v>
      </c>
      <c r="O8820" s="22" t="str">
        <f>HYPERLINK("https://pbs.twimg.com/profile_images/898892382455779328/d2Q9c_IY_normal.jpg","View")</f>
        <v>View</v>
      </c>
      <c r="P8820" s="27"/>
    </row>
    <row r="8821">
      <c r="A8821" s="14">
        <v>43031.863854166666</v>
      </c>
      <c r="B8821" s="20" t="str">
        <f>HYPERLINK("https://twitter.com/DineshGoswami88","@DineshGoswami88")</f>
        <v>@DineshGoswami88</v>
      </c>
      <c r="C8821" s="21" t="s">
        <v>19364</v>
      </c>
      <c r="D8821" s="21" t="s">
        <v>42</v>
      </c>
      <c r="E8821" s="22" t="str">
        <f>HYPERLINK("https://twitter.com/DineshGoswami88/status/922669968109342720","922669968109342720")</f>
        <v>922669968109342720</v>
      </c>
      <c r="F8821" s="23" t="s">
        <v>33</v>
      </c>
      <c r="G8821" s="24">
        <v>776.0</v>
      </c>
      <c r="H8821" s="24">
        <v>1050.0</v>
      </c>
      <c r="I8821" s="24">
        <v>8501.0</v>
      </c>
      <c r="J8821" s="24">
        <v>0.0</v>
      </c>
      <c r="K8821" s="23" t="s">
        <v>34</v>
      </c>
      <c r="L8821" s="25">
        <v>41321.3071412037</v>
      </c>
      <c r="M8821" s="26" t="s">
        <v>19365</v>
      </c>
      <c r="N8821" s="26" t="s">
        <v>19366</v>
      </c>
      <c r="O8821" s="22" t="str">
        <f>HYPERLINK("https://pbs.twimg.com/profile_images/825710269783429123/eYL-38IA_normal.jpg","View")</f>
        <v>View</v>
      </c>
      <c r="P8821" s="27"/>
    </row>
    <row r="8822">
      <c r="A8822" s="14">
        <v>43031.86452546297</v>
      </c>
      <c r="B8822" s="20" t="str">
        <f>HYPERLINK("https://twitter.com/kelvinmagreth19","@kelvinmagreth19")</f>
        <v>@kelvinmagreth19</v>
      </c>
      <c r="C8822" s="21" t="s">
        <v>19367</v>
      </c>
      <c r="D8822" s="21" t="s">
        <v>18788</v>
      </c>
      <c r="E8822" s="22" t="str">
        <f>HYPERLINK("https://twitter.com/kelvinmagreth19/status/922670211152666624","922670211152666624")</f>
        <v>922670211152666624</v>
      </c>
      <c r="F8822" s="23" t="s">
        <v>780</v>
      </c>
      <c r="G8822" s="24">
        <v>378.0</v>
      </c>
      <c r="H8822" s="24">
        <v>135.0</v>
      </c>
      <c r="I8822" s="24">
        <v>28.0</v>
      </c>
      <c r="J8822" s="24">
        <v>0.0</v>
      </c>
      <c r="K8822" s="23" t="s">
        <v>34</v>
      </c>
      <c r="L8822" s="25">
        <v>42041.18377314815</v>
      </c>
      <c r="M8822" s="26" t="s">
        <v>19368</v>
      </c>
      <c r="N8822" s="26" t="s">
        <v>19369</v>
      </c>
      <c r="O8822" s="22" t="str">
        <f>HYPERLINK("https://pbs.twimg.com/profile_images/788994186439749632/7ZxP4S3c_normal.jpg","View")</f>
        <v>View</v>
      </c>
      <c r="P8822" s="27"/>
    </row>
    <row r="8823">
      <c r="A8823" s="14">
        <v>43031.864537037036</v>
      </c>
      <c r="B8823" s="20" t="str">
        <f>HYPERLINK("https://twitter.com/rakeshgrn","@rakeshgrn")</f>
        <v>@rakeshgrn</v>
      </c>
      <c r="C8823" s="21" t="s">
        <v>19370</v>
      </c>
      <c r="D8823" s="21" t="s">
        <v>42</v>
      </c>
      <c r="E8823" s="22" t="str">
        <f>HYPERLINK("https://twitter.com/rakeshgrn/status/922670215988625409","922670215988625409")</f>
        <v>922670215988625409</v>
      </c>
      <c r="F8823" s="23" t="s">
        <v>33</v>
      </c>
      <c r="G8823" s="24">
        <v>601.0</v>
      </c>
      <c r="H8823" s="24">
        <v>690.0</v>
      </c>
      <c r="I8823" s="24">
        <v>8501.0</v>
      </c>
      <c r="J8823" s="24">
        <v>0.0</v>
      </c>
      <c r="K8823" s="23" t="s">
        <v>34</v>
      </c>
      <c r="L8823" s="25">
        <v>41505.063055555554</v>
      </c>
      <c r="M8823" s="28"/>
      <c r="N8823" s="26" t="s">
        <v>19371</v>
      </c>
      <c r="O8823" s="22" t="str">
        <f>HYPERLINK("https://pbs.twimg.com/profile_images/893445153909690368/JrY9eI7I_normal.jpg","View")</f>
        <v>View</v>
      </c>
      <c r="P8823" s="27"/>
    </row>
    <row r="8824">
      <c r="A8824" s="14">
        <v>43031.86508101852</v>
      </c>
      <c r="B8824" s="20" t="str">
        <f>HYPERLINK("https://twitter.com/SusieNielsen66","@SusieNielsen66")</f>
        <v>@SusieNielsen66</v>
      </c>
      <c r="C8824" s="21" t="s">
        <v>19372</v>
      </c>
      <c r="D8824" s="21" t="s">
        <v>16537</v>
      </c>
      <c r="E8824" s="22" t="str">
        <f>HYPERLINK("https://twitter.com/SusieNielsen66/status/922670413343264768","922670413343264768")</f>
        <v>922670413343264768</v>
      </c>
      <c r="F8824" s="23" t="s">
        <v>33</v>
      </c>
      <c r="G8824" s="24">
        <v>8.0</v>
      </c>
      <c r="H8824" s="24">
        <v>83.0</v>
      </c>
      <c r="I8824" s="24">
        <v>242.0</v>
      </c>
      <c r="J8824" s="24">
        <v>0.0</v>
      </c>
      <c r="K8824" s="23" t="s">
        <v>34</v>
      </c>
      <c r="L8824" s="25">
        <v>43007.916226851856</v>
      </c>
      <c r="M8824" s="28"/>
      <c r="N8824" s="28"/>
      <c r="O8824" s="22" t="str">
        <f>HYPERLINK("https://abs.twimg.com/sticky/default_profile_images/default_profile_normal.png","View")</f>
        <v>View</v>
      </c>
      <c r="P8824" s="27"/>
    </row>
    <row r="8825">
      <c r="A8825" s="14">
        <v>43031.865115740744</v>
      </c>
      <c r="B8825" s="20" t="str">
        <f>HYPERLINK("https://twitter.com/ModifyingNation","@ModifyingNation")</f>
        <v>@ModifyingNation</v>
      </c>
      <c r="C8825" s="21" t="s">
        <v>19373</v>
      </c>
      <c r="D8825" s="21" t="s">
        <v>19374</v>
      </c>
      <c r="E8825" s="22" t="str">
        <f>HYPERLINK("https://twitter.com/ModifyingNation/status/922670426677039105","922670426677039105")</f>
        <v>922670426677039105</v>
      </c>
      <c r="F8825" s="23" t="s">
        <v>187</v>
      </c>
      <c r="G8825" s="24">
        <v>14133.0</v>
      </c>
      <c r="H8825" s="24">
        <v>3322.0</v>
      </c>
      <c r="I8825" s="24">
        <v>0.0</v>
      </c>
      <c r="J8825" s="24">
        <v>1.0</v>
      </c>
      <c r="K8825" s="23" t="s">
        <v>34</v>
      </c>
      <c r="L8825" s="25">
        <v>41479.935752314814</v>
      </c>
      <c r="M8825" s="26" t="s">
        <v>19375</v>
      </c>
      <c r="N8825" s="26" t="s">
        <v>19376</v>
      </c>
      <c r="O8825" s="22" t="str">
        <f>HYPERLINK("https://pbs.twimg.com/profile_images/587149227295289344/mw9D6dm3_normal.jpg","View")</f>
        <v>View</v>
      </c>
      <c r="P8825" s="27"/>
    </row>
    <row r="8826">
      <c r="A8826" s="14">
        <v>43031.8653587963</v>
      </c>
      <c r="B8826" s="20" t="str">
        <f>HYPERLINK("https://twitter.com/NatriceR","@NatriceR")</f>
        <v>@NatriceR</v>
      </c>
      <c r="C8826" s="21" t="s">
        <v>19377</v>
      </c>
      <c r="D8826" s="21" t="s">
        <v>825</v>
      </c>
      <c r="E8826" s="22" t="str">
        <f>HYPERLINK("https://twitter.com/NatriceR/status/922670515516510209","922670515516510209")</f>
        <v>922670515516510209</v>
      </c>
      <c r="F8826" s="23" t="s">
        <v>230</v>
      </c>
      <c r="G8826" s="24">
        <v>13278.0</v>
      </c>
      <c r="H8826" s="24">
        <v>14511.0</v>
      </c>
      <c r="I8826" s="24">
        <v>109.0</v>
      </c>
      <c r="J8826" s="24">
        <v>0.0</v>
      </c>
      <c r="K8826" s="23" t="s">
        <v>34</v>
      </c>
      <c r="L8826" s="25">
        <v>40259.242476851854</v>
      </c>
      <c r="M8826" s="26" t="s">
        <v>19378</v>
      </c>
      <c r="N8826" s="26" t="s">
        <v>19379</v>
      </c>
      <c r="O8826" s="22" t="str">
        <f>HYPERLINK("https://pbs.twimg.com/profile_images/917426303804067841/PoDiS3IV_normal.jpg","View")</f>
        <v>View</v>
      </c>
      <c r="P8826" s="27"/>
    </row>
    <row r="8827">
      <c r="A8827" s="14">
        <v>43031.86541666667</v>
      </c>
      <c r="B8827" s="20" t="str">
        <f>HYPERLINK("https://twitter.com/AnindaSarkar15","@AnindaSarkar15")</f>
        <v>@AnindaSarkar15</v>
      </c>
      <c r="C8827" s="21" t="s">
        <v>19380</v>
      </c>
      <c r="D8827" s="21" t="s">
        <v>42</v>
      </c>
      <c r="E8827" s="22" t="str">
        <f>HYPERLINK("https://twitter.com/AnindaSarkar15/status/922670534130745344","922670534130745344")</f>
        <v>922670534130745344</v>
      </c>
      <c r="F8827" s="23" t="s">
        <v>33</v>
      </c>
      <c r="G8827" s="24">
        <v>379.0</v>
      </c>
      <c r="H8827" s="24">
        <v>1679.0</v>
      </c>
      <c r="I8827" s="24">
        <v>8501.0</v>
      </c>
      <c r="J8827" s="24">
        <v>0.0</v>
      </c>
      <c r="K8827" s="23" t="s">
        <v>34</v>
      </c>
      <c r="L8827" s="25">
        <v>42522.028969907406</v>
      </c>
      <c r="M8827" s="26" t="s">
        <v>19381</v>
      </c>
      <c r="N8827" s="26" t="s">
        <v>19382</v>
      </c>
      <c r="O8827" s="22" t="str">
        <f>HYPERLINK("https://pbs.twimg.com/profile_images/881492145445756928/pfc3Yaea_normal.jpg","View")</f>
        <v>View</v>
      </c>
      <c r="P8827" s="27"/>
    </row>
    <row r="8828">
      <c r="A8828" s="14">
        <v>43031.86547453704</v>
      </c>
      <c r="B8828" s="20" t="str">
        <f>HYPERLINK("https://twitter.com/ANKITSAINIBJP","@ANKITSAINIBJP")</f>
        <v>@ANKITSAINIBJP</v>
      </c>
      <c r="C8828" s="21" t="s">
        <v>19383</v>
      </c>
      <c r="D8828" s="21" t="s">
        <v>42</v>
      </c>
      <c r="E8828" s="22" t="str">
        <f>HYPERLINK("https://twitter.com/ANKITSAINIBJP/status/922670555332935680","922670555332935680")</f>
        <v>922670555332935680</v>
      </c>
      <c r="F8828" s="23" t="s">
        <v>33</v>
      </c>
      <c r="G8828" s="24">
        <v>300.0</v>
      </c>
      <c r="H8828" s="24">
        <v>518.0</v>
      </c>
      <c r="I8828" s="24">
        <v>8501.0</v>
      </c>
      <c r="J8828" s="24">
        <v>0.0</v>
      </c>
      <c r="K8828" s="23" t="s">
        <v>34</v>
      </c>
      <c r="L8828" s="25">
        <v>42285.435625</v>
      </c>
      <c r="M8828" s="26" t="s">
        <v>8019</v>
      </c>
      <c r="N8828" s="26" t="s">
        <v>19384</v>
      </c>
      <c r="O8828" s="22" t="str">
        <f>HYPERLINK("https://pbs.twimg.com/profile_images/872521989252055047/Xup4Zbl4_normal.jpg","View")</f>
        <v>View</v>
      </c>
      <c r="P8828" s="27"/>
    </row>
    <row r="8829">
      <c r="A8829" s="14">
        <v>43031.866006944445</v>
      </c>
      <c r="B8829" s="20" t="str">
        <f>HYPERLINK("https://twitter.com/Rajusjain3","@Rajusjain3")</f>
        <v>@Rajusjain3</v>
      </c>
      <c r="C8829" s="21" t="s">
        <v>19385</v>
      </c>
      <c r="D8829" s="21" t="s">
        <v>42</v>
      </c>
      <c r="E8829" s="22" t="str">
        <f>HYPERLINK("https://twitter.com/Rajusjain3/status/922670747100704769","922670747100704769")</f>
        <v>922670747100704769</v>
      </c>
      <c r="F8829" s="23" t="s">
        <v>33</v>
      </c>
      <c r="G8829" s="24">
        <v>459.0</v>
      </c>
      <c r="H8829" s="24">
        <v>213.0</v>
      </c>
      <c r="I8829" s="24">
        <v>8501.0</v>
      </c>
      <c r="J8829" s="24">
        <v>0.0</v>
      </c>
      <c r="K8829" s="23" t="s">
        <v>34</v>
      </c>
      <c r="L8829" s="25">
        <v>41921.89252314815</v>
      </c>
      <c r="M8829" s="26" t="s">
        <v>575</v>
      </c>
      <c r="N8829" s="26" t="s">
        <v>19386</v>
      </c>
      <c r="O8829" s="22" t="str">
        <f>HYPERLINK("https://pbs.twimg.com/profile_images/910722024368087040/En1lQu8y_normal.jpg","View")</f>
        <v>View</v>
      </c>
      <c r="P8829" s="27"/>
    </row>
    <row r="8830">
      <c r="A8830" s="14">
        <v>43031.866018518514</v>
      </c>
      <c r="B8830" s="20" t="str">
        <f>HYPERLINK("https://twitter.com/PAPPUPR07964753","@PAPPUPR07964753")</f>
        <v>@PAPPUPR07964753</v>
      </c>
      <c r="C8830" s="21" t="s">
        <v>19387</v>
      </c>
      <c r="D8830" s="21" t="s">
        <v>42</v>
      </c>
      <c r="E8830" s="22" t="str">
        <f>HYPERLINK("https://twitter.com/PAPPUPR07964753/status/922670752104554496","922670752104554496")</f>
        <v>922670752104554496</v>
      </c>
      <c r="F8830" s="23" t="s">
        <v>33</v>
      </c>
      <c r="G8830" s="24">
        <v>8.0</v>
      </c>
      <c r="H8830" s="24">
        <v>54.0</v>
      </c>
      <c r="I8830" s="24">
        <v>8501.0</v>
      </c>
      <c r="J8830" s="24">
        <v>0.0</v>
      </c>
      <c r="K8830" s="23" t="s">
        <v>34</v>
      </c>
      <c r="L8830" s="25">
        <v>42987.439733796295</v>
      </c>
      <c r="M8830" s="28"/>
      <c r="N8830" s="28"/>
      <c r="O8830" s="22" t="str">
        <f>HYPERLINK("https://pbs.twimg.com/profile_images/906591785111056384/pfW4IZeN_normal.jpg","View")</f>
        <v>View</v>
      </c>
      <c r="P8830" s="27"/>
    </row>
    <row r="8831">
      <c r="A8831" s="14">
        <v>43031.866377314815</v>
      </c>
      <c r="B8831" s="20" t="str">
        <f>HYPERLINK("https://twitter.com/JCAGOCAR","@JCAGOCAR")</f>
        <v>@JCAGOCAR</v>
      </c>
      <c r="C8831" s="21" t="s">
        <v>19388</v>
      </c>
      <c r="D8831" s="21" t="s">
        <v>19389</v>
      </c>
      <c r="E8831" s="22" t="str">
        <f>HYPERLINK("https://twitter.com/JCAGOCAR/status/922670881993830400","922670881993830400")</f>
        <v>922670881993830400</v>
      </c>
      <c r="F8831" s="23" t="s">
        <v>39</v>
      </c>
      <c r="G8831" s="24">
        <v>88.0</v>
      </c>
      <c r="H8831" s="24">
        <v>735.0</v>
      </c>
      <c r="I8831" s="24">
        <v>29.0</v>
      </c>
      <c r="J8831" s="24">
        <v>0.0</v>
      </c>
      <c r="K8831" s="23" t="s">
        <v>34</v>
      </c>
      <c r="L8831" s="25">
        <v>41732.69298611111</v>
      </c>
      <c r="M8831" s="28"/>
      <c r="N8831" s="28"/>
      <c r="O8831" s="22" t="str">
        <f>HYPERLINK("https://pbs.twimg.com/profile_images/825156365651881986/_1iWZPqA_normal.jpg","View")</f>
        <v>View</v>
      </c>
      <c r="P8831" s="27"/>
    </row>
    <row r="8832">
      <c r="A8832" s="14">
        <v>43031.86651620371</v>
      </c>
      <c r="B8832" s="20" t="str">
        <f>HYPERLINK("https://twitter.com/JoginderJadiya","@JoginderJadiya")</f>
        <v>@JoginderJadiya</v>
      </c>
      <c r="C8832" s="21" t="s">
        <v>19390</v>
      </c>
      <c r="D8832" s="21" t="s">
        <v>42</v>
      </c>
      <c r="E8832" s="22" t="str">
        <f>HYPERLINK("https://twitter.com/JoginderJadiya/status/922670933856448514","922670933856448514")</f>
        <v>922670933856448514</v>
      </c>
      <c r="F8832" s="23" t="s">
        <v>33</v>
      </c>
      <c r="G8832" s="24">
        <v>105.0</v>
      </c>
      <c r="H8832" s="24">
        <v>96.0</v>
      </c>
      <c r="I8832" s="24">
        <v>8501.0</v>
      </c>
      <c r="J8832" s="24">
        <v>0.0</v>
      </c>
      <c r="K8832" s="23" t="s">
        <v>34</v>
      </c>
      <c r="L8832" s="25">
        <v>40460.03167824074</v>
      </c>
      <c r="M8832" s="26" t="s">
        <v>423</v>
      </c>
      <c r="N8832" s="26" t="s">
        <v>19391</v>
      </c>
      <c r="O8832" s="22" t="str">
        <f>HYPERLINK("https://pbs.twimg.com/profile_images/797853867274858501/rgxe6c12_normal.jpg","View")</f>
        <v>View</v>
      </c>
      <c r="P8832" s="27"/>
    </row>
    <row r="8833">
      <c r="A8833" s="14">
        <v>43031.866527777776</v>
      </c>
      <c r="B8833" s="20" t="str">
        <f>HYPERLINK("https://twitter.com/astrojog","@astrojog")</f>
        <v>@astrojog</v>
      </c>
      <c r="C8833" s="21" t="s">
        <v>19392</v>
      </c>
      <c r="D8833" s="21" t="s">
        <v>19393</v>
      </c>
      <c r="E8833" s="22" t="str">
        <f>HYPERLINK("https://twitter.com/astrojog/status/922670937098481665","922670937098481665")</f>
        <v>922670937098481665</v>
      </c>
      <c r="F8833" s="23" t="s">
        <v>33</v>
      </c>
      <c r="G8833" s="24">
        <v>458.0</v>
      </c>
      <c r="H8833" s="24">
        <v>2143.0</v>
      </c>
      <c r="I8833" s="24">
        <v>2.0</v>
      </c>
      <c r="J8833" s="24">
        <v>0.0</v>
      </c>
      <c r="K8833" s="23" t="s">
        <v>34</v>
      </c>
      <c r="L8833" s="25">
        <v>39801.56533564815</v>
      </c>
      <c r="M8833" s="28"/>
      <c r="N8833" s="26" t="s">
        <v>19394</v>
      </c>
      <c r="O8833" s="22" t="str">
        <f>HYPERLINK("https://pbs.twimg.com/profile_images/2252870021/en-lemaitre-einstein_normal.jpg","View")</f>
        <v>View</v>
      </c>
      <c r="P8833" s="27"/>
    </row>
    <row r="8834">
      <c r="A8834" s="14">
        <v>43031.86778935185</v>
      </c>
      <c r="B8834" s="20" t="str">
        <f>HYPERLINK("https://twitter.com/KNZ48","@KNZ48")</f>
        <v>@KNZ48</v>
      </c>
      <c r="C8834" s="21" t="s">
        <v>19395</v>
      </c>
      <c r="D8834" s="21" t="s">
        <v>18162</v>
      </c>
      <c r="E8834" s="22" t="str">
        <f>HYPERLINK("https://twitter.com/KNZ48/status/922671395481333760","922671395481333760")</f>
        <v>922671395481333760</v>
      </c>
      <c r="F8834" s="23" t="s">
        <v>769</v>
      </c>
      <c r="G8834" s="24">
        <v>1271.0</v>
      </c>
      <c r="H8834" s="24">
        <v>139.0</v>
      </c>
      <c r="I8834" s="24">
        <v>59.0</v>
      </c>
      <c r="J8834" s="24">
        <v>0.0</v>
      </c>
      <c r="K8834" s="23" t="s">
        <v>34</v>
      </c>
      <c r="L8834" s="25">
        <v>41157.95971064815</v>
      </c>
      <c r="M8834" s="28"/>
      <c r="N8834" s="26" t="s">
        <v>19396</v>
      </c>
      <c r="O8834" s="22" t="str">
        <f>HYPERLINK("https://pbs.twimg.com/profile_images/467222026969571328/eH1U4zzs_normal.jpeg","View")</f>
        <v>View</v>
      </c>
      <c r="P8834" s="27"/>
    </row>
    <row r="8835">
      <c r="A8835" s="14">
        <v>43031.86814814815</v>
      </c>
      <c r="B8835" s="20" t="str">
        <f t="shared" ref="B8835:B8836" si="174">HYPERLINK("https://twitter.com/Sanjeev55234222","@Sanjeev55234222")</f>
        <v>@Sanjeev55234222</v>
      </c>
      <c r="C8835" s="21" t="s">
        <v>19397</v>
      </c>
      <c r="D8835" s="21" t="s">
        <v>1882</v>
      </c>
      <c r="E8835" s="22" t="str">
        <f>HYPERLINK("https://twitter.com/Sanjeev55234222/status/922671524590448642","922671524590448642")</f>
        <v>922671524590448642</v>
      </c>
      <c r="F8835" s="23" t="s">
        <v>43</v>
      </c>
      <c r="G8835" s="24">
        <v>2.0</v>
      </c>
      <c r="H8835" s="24">
        <v>94.0</v>
      </c>
      <c r="I8835" s="24">
        <v>6.0</v>
      </c>
      <c r="J8835" s="24">
        <v>0.0</v>
      </c>
      <c r="K8835" s="23" t="s">
        <v>34</v>
      </c>
      <c r="L8835" s="25">
        <v>43025.84657407408</v>
      </c>
      <c r="M8835" s="28"/>
      <c r="N8835" s="28"/>
      <c r="O8835" s="22" t="str">
        <f t="shared" ref="O8835:O8836" si="175">HYPERLINK("https://pbs.twimg.com/profile_images/920492138634256384/jUBczYZi_normal.jpg","View")</f>
        <v>View</v>
      </c>
      <c r="P8835" s="27"/>
    </row>
    <row r="8836">
      <c r="A8836" s="14">
        <v>43031.86821759259</v>
      </c>
      <c r="B8836" s="20" t="str">
        <f t="shared" si="174"/>
        <v>@Sanjeev55234222</v>
      </c>
      <c r="C8836" s="21" t="s">
        <v>19397</v>
      </c>
      <c r="D8836" s="21" t="s">
        <v>42</v>
      </c>
      <c r="E8836" s="22" t="str">
        <f>HYPERLINK("https://twitter.com/Sanjeev55234222/status/922671547889827842","922671547889827842")</f>
        <v>922671547889827842</v>
      </c>
      <c r="F8836" s="23" t="s">
        <v>43</v>
      </c>
      <c r="G8836" s="24">
        <v>2.0</v>
      </c>
      <c r="H8836" s="24">
        <v>94.0</v>
      </c>
      <c r="I8836" s="24">
        <v>8501.0</v>
      </c>
      <c r="J8836" s="24">
        <v>0.0</v>
      </c>
      <c r="K8836" s="23" t="s">
        <v>34</v>
      </c>
      <c r="L8836" s="25">
        <v>43025.84657407408</v>
      </c>
      <c r="M8836" s="28"/>
      <c r="N8836" s="28"/>
      <c r="O8836" s="22" t="str">
        <f t="shared" si="175"/>
        <v>View</v>
      </c>
      <c r="P8836" s="27"/>
    </row>
    <row r="8837">
      <c r="A8837" s="14">
        <v>43031.868680555555</v>
      </c>
      <c r="B8837" s="20" t="str">
        <f>HYPERLINK("https://twitter.com/pant_bjpudit","@pant_bjpudit")</f>
        <v>@pant_bjpudit</v>
      </c>
      <c r="C8837" s="21" t="s">
        <v>19398</v>
      </c>
      <c r="D8837" s="21" t="s">
        <v>42</v>
      </c>
      <c r="E8837" s="22" t="str">
        <f>HYPERLINK("https://twitter.com/pant_bjpudit/status/922671715381141504","922671715381141504")</f>
        <v>922671715381141504</v>
      </c>
      <c r="F8837" s="23" t="s">
        <v>39</v>
      </c>
      <c r="G8837" s="24">
        <v>67.0</v>
      </c>
      <c r="H8837" s="24">
        <v>224.0</v>
      </c>
      <c r="I8837" s="24">
        <v>8501.0</v>
      </c>
      <c r="J8837" s="24">
        <v>0.0</v>
      </c>
      <c r="K8837" s="23" t="s">
        <v>34</v>
      </c>
      <c r="L8837" s="25">
        <v>40014.94915509259</v>
      </c>
      <c r="M8837" s="26" t="s">
        <v>3600</v>
      </c>
      <c r="N8837" s="26" t="s">
        <v>19399</v>
      </c>
      <c r="O8837" s="22" t="str">
        <f>HYPERLINK("https://pbs.twimg.com/profile_images/921969128633786368/8-6gA5ld_normal.jpg","View")</f>
        <v>View</v>
      </c>
      <c r="P8837" s="27"/>
    </row>
    <row r="8838">
      <c r="A8838" s="14">
        <v>43031.8687037037</v>
      </c>
      <c r="B8838" s="20" t="str">
        <f>HYPERLINK("https://twitter.com/BJPVOTE","@BJPVOTE")</f>
        <v>@BJPVOTE</v>
      </c>
      <c r="C8838" s="21" t="s">
        <v>11515</v>
      </c>
      <c r="D8838" s="21" t="s">
        <v>19400</v>
      </c>
      <c r="E8838" s="22" t="str">
        <f>HYPERLINK("https://twitter.com/BJPVOTE/status/922671725275365376","922671725275365376")</f>
        <v>922671725275365376</v>
      </c>
      <c r="F8838" s="23" t="s">
        <v>33</v>
      </c>
      <c r="G8838" s="24">
        <v>1720.0</v>
      </c>
      <c r="H8838" s="24">
        <v>1463.0</v>
      </c>
      <c r="I8838" s="24">
        <v>0.0</v>
      </c>
      <c r="J8838" s="24">
        <v>0.0</v>
      </c>
      <c r="K8838" s="23" t="s">
        <v>34</v>
      </c>
      <c r="L8838" s="25">
        <v>41784.30064814815</v>
      </c>
      <c r="M8838" s="26" t="s">
        <v>204</v>
      </c>
      <c r="N8838" s="26" t="s">
        <v>11517</v>
      </c>
      <c r="O8838" s="22" t="str">
        <f>HYPERLINK("https://pbs.twimg.com/profile_images/832931027941224448/7cW4iE9r_normal.jpg","View")</f>
        <v>View</v>
      </c>
      <c r="P8838" s="27"/>
    </row>
    <row r="8839">
      <c r="A8839" s="14">
        <v>43031.86876157408</v>
      </c>
      <c r="B8839" s="20" t="str">
        <f>HYPERLINK("https://twitter.com/acceentee","@acceentee")</f>
        <v>@acceentee</v>
      </c>
      <c r="C8839" s="21" t="s">
        <v>19401</v>
      </c>
      <c r="D8839" s="21" t="s">
        <v>16537</v>
      </c>
      <c r="E8839" s="22" t="str">
        <f>HYPERLINK("https://twitter.com/acceentee/status/922671746418970626","922671746418970626")</f>
        <v>922671746418970626</v>
      </c>
      <c r="F8839" s="23" t="s">
        <v>33</v>
      </c>
      <c r="G8839" s="24">
        <v>58.0</v>
      </c>
      <c r="H8839" s="24">
        <v>649.0</v>
      </c>
      <c r="I8839" s="24">
        <v>242.0</v>
      </c>
      <c r="J8839" s="24">
        <v>0.0</v>
      </c>
      <c r="K8839" s="23" t="s">
        <v>34</v>
      </c>
      <c r="L8839" s="25">
        <v>42930.59452546296</v>
      </c>
      <c r="M8839" s="28"/>
      <c r="N8839" s="28"/>
      <c r="O8839" s="22" t="str">
        <f>HYPERLINK("https://abs.twimg.com/sticky/default_profile_images/default_profile_normal.png","View")</f>
        <v>View</v>
      </c>
      <c r="P8839" s="27"/>
    </row>
    <row r="8840">
      <c r="A8840" s="14">
        <v>43031.86878472222</v>
      </c>
      <c r="B8840" s="20" t="str">
        <f>HYPERLINK("https://twitter.com/GauravsunNM","@GauravsunNM")</f>
        <v>@GauravsunNM</v>
      </c>
      <c r="C8840" s="21" t="s">
        <v>19402</v>
      </c>
      <c r="D8840" s="21" t="s">
        <v>42</v>
      </c>
      <c r="E8840" s="22" t="str">
        <f>HYPERLINK("https://twitter.com/GauravsunNM/status/922671756510314497","922671756510314497")</f>
        <v>922671756510314497</v>
      </c>
      <c r="F8840" s="23" t="s">
        <v>33</v>
      </c>
      <c r="G8840" s="24">
        <v>7.0</v>
      </c>
      <c r="H8840" s="24">
        <v>55.0</v>
      </c>
      <c r="I8840" s="24">
        <v>8501.0</v>
      </c>
      <c r="J8840" s="24">
        <v>0.0</v>
      </c>
      <c r="K8840" s="23" t="s">
        <v>34</v>
      </c>
      <c r="L8840" s="25">
        <v>42625.824942129635</v>
      </c>
      <c r="M8840" s="26" t="s">
        <v>19403</v>
      </c>
      <c r="N8840" s="26" t="s">
        <v>19404</v>
      </c>
      <c r="O8840" s="22" t="str">
        <f>HYPERLINK("https://pbs.twimg.com/profile_images/919781405772488705/6WtjcVMF_normal.jpg","View")</f>
        <v>View</v>
      </c>
      <c r="P8840" s="27"/>
    </row>
    <row r="8841">
      <c r="A8841" s="14">
        <v>43031.869201388894</v>
      </c>
      <c r="B8841" s="20" t="str">
        <f>HYPERLINK("https://twitter.com/energyanirudha","@energyanirudha")</f>
        <v>@energyanirudha</v>
      </c>
      <c r="C8841" s="21" t="s">
        <v>19405</v>
      </c>
      <c r="D8841" s="21" t="s">
        <v>42</v>
      </c>
      <c r="E8841" s="22" t="str">
        <f>HYPERLINK("https://twitter.com/energyanirudha/status/922671907631087617","922671907631087617")</f>
        <v>922671907631087617</v>
      </c>
      <c r="F8841" s="23" t="s">
        <v>33</v>
      </c>
      <c r="G8841" s="24">
        <v>19.0</v>
      </c>
      <c r="H8841" s="24">
        <v>98.0</v>
      </c>
      <c r="I8841" s="24">
        <v>8501.0</v>
      </c>
      <c r="J8841" s="24">
        <v>0.0</v>
      </c>
      <c r="K8841" s="23" t="s">
        <v>34</v>
      </c>
      <c r="L8841" s="25">
        <v>41566.74365740741</v>
      </c>
      <c r="M8841" s="26" t="s">
        <v>19406</v>
      </c>
      <c r="N8841" s="26" t="s">
        <v>19407</v>
      </c>
      <c r="O8841" s="22" t="str">
        <f>HYPERLINK("https://pbs.twimg.com/profile_images/571225461334618112/xjNsDaDi_normal.jpeg","View")</f>
        <v>View</v>
      </c>
      <c r="P8841" s="27"/>
    </row>
    <row r="8842">
      <c r="A8842" s="14">
        <v>43031.869988425926</v>
      </c>
      <c r="B8842" s="20" t="str">
        <f>HYPERLINK("https://twitter.com/breaking_news_4","@breaking_news_4")</f>
        <v>@breaking_news_4</v>
      </c>
      <c r="C8842" s="21" t="s">
        <v>5830</v>
      </c>
      <c r="D8842" s="21" t="s">
        <v>15870</v>
      </c>
      <c r="E8842" s="22" t="str">
        <f>HYPERLINK("https://twitter.com/breaking_news_4/status/922672191103295490","922672191103295490")</f>
        <v>922672191103295490</v>
      </c>
      <c r="F8842" s="23" t="s">
        <v>187</v>
      </c>
      <c r="G8842" s="24">
        <v>1564.0</v>
      </c>
      <c r="H8842" s="24">
        <v>168.0</v>
      </c>
      <c r="I8842" s="24">
        <v>0.0</v>
      </c>
      <c r="J8842" s="24">
        <v>0.0</v>
      </c>
      <c r="K8842" s="23" t="s">
        <v>34</v>
      </c>
      <c r="L8842" s="25">
        <v>41323.59861111111</v>
      </c>
      <c r="M8842" s="28"/>
      <c r="N8842" s="28"/>
      <c r="O8842" s="22" t="str">
        <f>HYPERLINK("https://pbs.twimg.com/profile_images/3506234829/a38e573d69ee71fcc25830b97d00c179_normal.png","View")</f>
        <v>View</v>
      </c>
      <c r="P8842" s="27"/>
    </row>
    <row r="8843">
      <c r="A8843" s="14">
        <v>43031.87011574074</v>
      </c>
      <c r="B8843" s="20" t="str">
        <f>HYPERLINK("https://twitter.com/surendrchouhan","@surendrchouhan")</f>
        <v>@surendrchouhan</v>
      </c>
      <c r="C8843" s="21" t="s">
        <v>19408</v>
      </c>
      <c r="D8843" s="21" t="s">
        <v>42</v>
      </c>
      <c r="E8843" s="22" t="str">
        <f>HYPERLINK("https://twitter.com/surendrchouhan/status/922672238037307392","922672238037307392")</f>
        <v>922672238037307392</v>
      </c>
      <c r="F8843" s="23" t="s">
        <v>33</v>
      </c>
      <c r="G8843" s="24">
        <v>131.0</v>
      </c>
      <c r="H8843" s="24">
        <v>393.0</v>
      </c>
      <c r="I8843" s="24">
        <v>8501.0</v>
      </c>
      <c r="J8843" s="24">
        <v>0.0</v>
      </c>
      <c r="K8843" s="23" t="s">
        <v>34</v>
      </c>
      <c r="L8843" s="25">
        <v>40785.32625</v>
      </c>
      <c r="M8843" s="26" t="s">
        <v>19409</v>
      </c>
      <c r="N8843" s="26" t="s">
        <v>19410</v>
      </c>
      <c r="O8843" s="22" t="str">
        <f>HYPERLINK("https://pbs.twimg.com/profile_images/921345692265725952/btAcW1r8_normal.jpg","View")</f>
        <v>View</v>
      </c>
      <c r="P8843" s="27"/>
    </row>
    <row r="8844">
      <c r="A8844" s="14">
        <v>43031.8702199074</v>
      </c>
      <c r="B8844" s="20" t="str">
        <f>HYPERLINK("https://twitter.com/MarcoNavarroLor","@MarcoNavarroLor")</f>
        <v>@MarcoNavarroLor</v>
      </c>
      <c r="C8844" s="21" t="s">
        <v>14895</v>
      </c>
      <c r="D8844" s="21" t="s">
        <v>19016</v>
      </c>
      <c r="E8844" s="22" t="str">
        <f>HYPERLINK("https://twitter.com/MarcoNavarroLor/status/922672274242768896","922672274242768896")</f>
        <v>922672274242768896</v>
      </c>
      <c r="F8844" s="23" t="s">
        <v>39</v>
      </c>
      <c r="G8844" s="24">
        <v>682.0</v>
      </c>
      <c r="H8844" s="24">
        <v>100.0</v>
      </c>
      <c r="I8844" s="24">
        <v>51.0</v>
      </c>
      <c r="J8844" s="24">
        <v>0.0</v>
      </c>
      <c r="K8844" s="23" t="s">
        <v>34</v>
      </c>
      <c r="L8844" s="25">
        <v>42314.45510416667</v>
      </c>
      <c r="M8844" s="26" t="s">
        <v>14896</v>
      </c>
      <c r="N8844" s="26" t="s">
        <v>14897</v>
      </c>
      <c r="O8844" s="22" t="str">
        <f>HYPERLINK("https://pbs.twimg.com/profile_images/913887688268402688/p4NueOZE_normal.jpg","View")</f>
        <v>View</v>
      </c>
      <c r="P8844" s="27"/>
    </row>
    <row r="8845">
      <c r="A8845" s="14">
        <v>43031.87087962963</v>
      </c>
      <c r="B8845" s="20" t="str">
        <f>HYPERLINK("https://twitter.com/NeoPaladin1","@NeoPaladin1")</f>
        <v>@NeoPaladin1</v>
      </c>
      <c r="C8845" s="21" t="s">
        <v>19411</v>
      </c>
      <c r="D8845" s="21" t="s">
        <v>19412</v>
      </c>
      <c r="E8845" s="22" t="str">
        <f>HYPERLINK("https://twitter.com/NeoPaladin1/status/922672512860688384","922672512860688384")</f>
        <v>922672512860688384</v>
      </c>
      <c r="F8845" s="23" t="s">
        <v>55</v>
      </c>
      <c r="G8845" s="24">
        <v>2.0</v>
      </c>
      <c r="H8845" s="24">
        <v>21.0</v>
      </c>
      <c r="I8845" s="24">
        <v>0.0</v>
      </c>
      <c r="J8845" s="24">
        <v>0.0</v>
      </c>
      <c r="K8845" s="23" t="s">
        <v>34</v>
      </c>
      <c r="L8845" s="25">
        <v>42686.8546412037</v>
      </c>
      <c r="M8845" s="28"/>
      <c r="N8845" s="28"/>
      <c r="O8845" s="22" t="str">
        <f>HYPERLINK("https://pbs.twimg.com/profile_images/855208315005026304/CI0RVjnH_normal.jpg","View")</f>
        <v>View</v>
      </c>
      <c r="P8845" s="27"/>
    </row>
    <row r="8846">
      <c r="A8846" s="14">
        <v>43031.87090277778</v>
      </c>
      <c r="B8846" s="20" t="str">
        <f>HYPERLINK("https://twitter.com/NorthKoreaRR","@NorthKoreaRR")</f>
        <v>@NorthKoreaRR</v>
      </c>
      <c r="C8846" s="21" t="s">
        <v>19413</v>
      </c>
      <c r="D8846" s="21" t="s">
        <v>19414</v>
      </c>
      <c r="E8846" s="22" t="str">
        <f>HYPERLINK("https://twitter.com/NorthKoreaRR/status/922672522398720000","922672522398720000")</f>
        <v>922672522398720000</v>
      </c>
      <c r="F8846" s="23" t="s">
        <v>13234</v>
      </c>
      <c r="G8846" s="24">
        <v>3144.0</v>
      </c>
      <c r="H8846" s="24">
        <v>1399.0</v>
      </c>
      <c r="I8846" s="24">
        <v>0.0</v>
      </c>
      <c r="J8846" s="24">
        <v>1.0</v>
      </c>
      <c r="K8846" s="23" t="s">
        <v>34</v>
      </c>
      <c r="L8846" s="25">
        <v>42025.70512731481</v>
      </c>
      <c r="M8846" s="28"/>
      <c r="N8846" s="26" t="s">
        <v>19415</v>
      </c>
      <c r="O8846" s="22" t="str">
        <f>HYPERLINK("https://pbs.twimg.com/profile_images/749156764680159232/SAyY9j5T_normal.jpg","View")</f>
        <v>View</v>
      </c>
      <c r="P8846" s="27"/>
    </row>
    <row r="8847">
      <c r="A8847" s="14">
        <v>43031.87128472222</v>
      </c>
      <c r="B8847" s="20" t="str">
        <f>HYPERLINK("https://twitter.com/canaemt","@canaemt")</f>
        <v>@canaemt</v>
      </c>
      <c r="C8847" s="21" t="s">
        <v>19416</v>
      </c>
      <c r="D8847" s="21" t="s">
        <v>11750</v>
      </c>
      <c r="E8847" s="22" t="str">
        <f>HYPERLINK("https://twitter.com/canaemt/status/922672662551314432","922672662551314432")</f>
        <v>922672662551314432</v>
      </c>
      <c r="F8847" s="23" t="s">
        <v>33</v>
      </c>
      <c r="G8847" s="24">
        <v>111.0</v>
      </c>
      <c r="H8847" s="24">
        <v>337.0</v>
      </c>
      <c r="I8847" s="24">
        <v>35.0</v>
      </c>
      <c r="J8847" s="24">
        <v>0.0</v>
      </c>
      <c r="K8847" s="23" t="s">
        <v>34</v>
      </c>
      <c r="L8847" s="25">
        <v>40542.149733796294</v>
      </c>
      <c r="M8847" s="28"/>
      <c r="N8847" s="26" t="s">
        <v>19417</v>
      </c>
      <c r="O8847" s="22" t="str">
        <f>HYPERLINK("https://pbs.twimg.com/profile_images/900584924863909888/R67f8gl4_normal.jpg","View")</f>
        <v>View</v>
      </c>
      <c r="P8847" s="27"/>
    </row>
    <row r="8848">
      <c r="A8848" s="14">
        <v>43031.87140046296</v>
      </c>
      <c r="B8848" s="20" t="str">
        <f>HYPERLINK("https://twitter.com/UpdatesMalaysia","@UpdatesMalaysia")</f>
        <v>@UpdatesMalaysia</v>
      </c>
      <c r="C8848" s="21" t="s">
        <v>19418</v>
      </c>
      <c r="D8848" s="21" t="s">
        <v>19419</v>
      </c>
      <c r="E8848" s="22" t="str">
        <f>HYPERLINK("https://twitter.com/UpdatesMalaysia/status/922672704704061440","922672704704061440")</f>
        <v>922672704704061440</v>
      </c>
      <c r="F8848" s="23" t="s">
        <v>19418</v>
      </c>
      <c r="G8848" s="24">
        <v>188.0</v>
      </c>
      <c r="H8848" s="24">
        <v>507.0</v>
      </c>
      <c r="I8848" s="24">
        <v>0.0</v>
      </c>
      <c r="J8848" s="24">
        <v>0.0</v>
      </c>
      <c r="K8848" s="23" t="s">
        <v>34</v>
      </c>
      <c r="L8848" s="25">
        <v>42552.298113425924</v>
      </c>
      <c r="M8848" s="26" t="s">
        <v>19420</v>
      </c>
      <c r="N8848" s="28"/>
      <c r="O8848" s="22" t="str">
        <f>HYPERLINK("https://pbs.twimg.com/profile_images/851420871990300672/DqzExEzs_normal.jpg","View")</f>
        <v>View</v>
      </c>
      <c r="P8848" s="27"/>
    </row>
    <row r="8849">
      <c r="A8849" s="14">
        <v>43031.87173611111</v>
      </c>
      <c r="B8849" s="20" t="str">
        <f>HYPERLINK("https://twitter.com/tamraraven","@tamraraven")</f>
        <v>@tamraraven</v>
      </c>
      <c r="C8849" s="21" t="s">
        <v>19421</v>
      </c>
      <c r="D8849" s="21" t="s">
        <v>108</v>
      </c>
      <c r="E8849" s="22" t="str">
        <f>HYPERLINK("https://twitter.com/tamraraven/status/922672825927790593","922672825927790593")</f>
        <v>922672825927790593</v>
      </c>
      <c r="F8849" s="23" t="s">
        <v>39</v>
      </c>
      <c r="G8849" s="24">
        <v>2796.0</v>
      </c>
      <c r="H8849" s="24">
        <v>5001.0</v>
      </c>
      <c r="I8849" s="24">
        <v>88.0</v>
      </c>
      <c r="J8849" s="24">
        <v>0.0</v>
      </c>
      <c r="K8849" s="23" t="s">
        <v>34</v>
      </c>
      <c r="L8849" s="25">
        <v>40578.94949074074</v>
      </c>
      <c r="M8849" s="26" t="s">
        <v>19422</v>
      </c>
      <c r="N8849" s="26" t="s">
        <v>19423</v>
      </c>
      <c r="O8849" s="22" t="str">
        <f>HYPERLINK("https://pbs.twimg.com/profile_images/1886945817/GSTM_baby_icon_125_normal.jpg","View")</f>
        <v>View</v>
      </c>
      <c r="P8849" s="27"/>
    </row>
    <row r="8850">
      <c r="A8850" s="14">
        <v>43031.871817129635</v>
      </c>
      <c r="B8850" s="20" t="str">
        <f>HYPERLINK("https://twitter.com/poleco_lunaaxis","@poleco_lunaaxis")</f>
        <v>@poleco_lunaaxis</v>
      </c>
      <c r="C8850" s="21" t="s">
        <v>19424</v>
      </c>
      <c r="D8850" s="21" t="s">
        <v>42</v>
      </c>
      <c r="E8850" s="22" t="str">
        <f>HYPERLINK("https://twitter.com/poleco_lunaaxis/status/922672855694721026","922672855694721026")</f>
        <v>922672855694721026</v>
      </c>
      <c r="F8850" s="23" t="s">
        <v>55</v>
      </c>
      <c r="G8850" s="24">
        <v>79.0</v>
      </c>
      <c r="H8850" s="24">
        <v>193.0</v>
      </c>
      <c r="I8850" s="24">
        <v>8501.0</v>
      </c>
      <c r="J8850" s="24">
        <v>0.0</v>
      </c>
      <c r="K8850" s="23" t="s">
        <v>34</v>
      </c>
      <c r="L8850" s="25">
        <v>43018.602430555555</v>
      </c>
      <c r="M8850" s="26" t="s">
        <v>19425</v>
      </c>
      <c r="N8850" s="26" t="s">
        <v>19426</v>
      </c>
      <c r="O8850" s="22" t="str">
        <f>HYPERLINK("https://pbs.twimg.com/profile_images/917867710742016000/r5cHT_FQ_normal.jpg","View")</f>
        <v>View</v>
      </c>
      <c r="P8850" s="27"/>
    </row>
    <row r="8851">
      <c r="A8851" s="14">
        <v>43031.871828703705</v>
      </c>
      <c r="B8851" s="20" t="str">
        <f>HYPERLINK("https://twitter.com/anupam4bjp","@anupam4bjp")</f>
        <v>@anupam4bjp</v>
      </c>
      <c r="C8851" s="21" t="s">
        <v>19427</v>
      </c>
      <c r="D8851" s="21" t="s">
        <v>42</v>
      </c>
      <c r="E8851" s="22" t="str">
        <f>HYPERLINK("https://twitter.com/anupam4bjp/status/922672856462270466","922672856462270466")</f>
        <v>922672856462270466</v>
      </c>
      <c r="F8851" s="23" t="s">
        <v>33</v>
      </c>
      <c r="G8851" s="24">
        <v>59.0</v>
      </c>
      <c r="H8851" s="24">
        <v>377.0</v>
      </c>
      <c r="I8851" s="24">
        <v>8501.0</v>
      </c>
      <c r="J8851" s="24">
        <v>0.0</v>
      </c>
      <c r="K8851" s="23" t="s">
        <v>34</v>
      </c>
      <c r="L8851" s="25">
        <v>42675.097858796296</v>
      </c>
      <c r="M8851" s="26" t="s">
        <v>19428</v>
      </c>
      <c r="N8851" s="26" t="s">
        <v>19429</v>
      </c>
      <c r="O8851" s="22" t="str">
        <f>HYPERLINK("https://pbs.twimg.com/profile_images/860821314499727361/bCsLBXR9_normal.jpg","View")</f>
        <v>View</v>
      </c>
      <c r="P8851" s="27"/>
    </row>
    <row r="8852">
      <c r="A8852" s="14">
        <v>43031.871840277774</v>
      </c>
      <c r="B8852" s="20" t="str">
        <f>HYPERLINK("https://twitter.com/tamraraven","@tamraraven")</f>
        <v>@tamraraven</v>
      </c>
      <c r="C8852" s="21" t="s">
        <v>19421</v>
      </c>
      <c r="D8852" s="21" t="s">
        <v>760</v>
      </c>
      <c r="E8852" s="22" t="str">
        <f>HYPERLINK("https://twitter.com/tamraraven/status/922672863529730048","922672863529730048")</f>
        <v>922672863529730048</v>
      </c>
      <c r="F8852" s="23" t="s">
        <v>39</v>
      </c>
      <c r="G8852" s="24">
        <v>2796.0</v>
      </c>
      <c r="H8852" s="24">
        <v>5001.0</v>
      </c>
      <c r="I8852" s="24">
        <v>62.0</v>
      </c>
      <c r="J8852" s="24">
        <v>0.0</v>
      </c>
      <c r="K8852" s="23" t="s">
        <v>34</v>
      </c>
      <c r="L8852" s="25">
        <v>40578.94949074074</v>
      </c>
      <c r="M8852" s="26" t="s">
        <v>19422</v>
      </c>
      <c r="N8852" s="26" t="s">
        <v>19423</v>
      </c>
      <c r="O8852" s="22" t="str">
        <f>HYPERLINK("https://pbs.twimg.com/profile_images/1886945817/GSTM_baby_icon_125_normal.jpg","View")</f>
        <v>View</v>
      </c>
      <c r="P8852" s="27"/>
    </row>
    <row r="8853">
      <c r="A8853" s="14">
        <v>43031.87230324074</v>
      </c>
      <c r="B8853" s="20" t="str">
        <f>HYPERLINK("https://twitter.com/Batzul","@Batzul")</f>
        <v>@Batzul</v>
      </c>
      <c r="C8853" s="21" t="s">
        <v>19430</v>
      </c>
      <c r="D8853" s="21" t="s">
        <v>19016</v>
      </c>
      <c r="E8853" s="22" t="str">
        <f>HYPERLINK("https://twitter.com/Batzul/status/922673029187911681","922673029187911681")</f>
        <v>922673029187911681</v>
      </c>
      <c r="F8853" s="23" t="s">
        <v>39</v>
      </c>
      <c r="G8853" s="24">
        <v>5899.0</v>
      </c>
      <c r="H8853" s="24">
        <v>338.0</v>
      </c>
      <c r="I8853" s="24">
        <v>51.0</v>
      </c>
      <c r="J8853" s="24">
        <v>0.0</v>
      </c>
      <c r="K8853" s="23" t="s">
        <v>34</v>
      </c>
      <c r="L8853" s="25">
        <v>40098.465162037035</v>
      </c>
      <c r="M8853" s="26" t="s">
        <v>19431</v>
      </c>
      <c r="N8853" s="26" t="s">
        <v>19432</v>
      </c>
      <c r="O8853" s="22" t="str">
        <f>HYPERLINK("https://pbs.twimg.com/profile_images/785735965197279232/z57Dc-Rf_normal.jpg","View")</f>
        <v>View</v>
      </c>
      <c r="P8853" s="27"/>
    </row>
    <row r="8854">
      <c r="A8854" s="14">
        <v>43031.87232638889</v>
      </c>
      <c r="B8854" s="20" t="str">
        <f>HYPERLINK("https://twitter.com/oldcongressi","@oldcongressi")</f>
        <v>@oldcongressi</v>
      </c>
      <c r="C8854" s="21" t="s">
        <v>19433</v>
      </c>
      <c r="D8854" s="21" t="s">
        <v>42</v>
      </c>
      <c r="E8854" s="22" t="str">
        <f>HYPERLINK("https://twitter.com/oldcongressi/status/922673040621674496","922673040621674496")</f>
        <v>922673040621674496</v>
      </c>
      <c r="F8854" s="23" t="s">
        <v>33</v>
      </c>
      <c r="G8854" s="24">
        <v>64.0</v>
      </c>
      <c r="H8854" s="24">
        <v>119.0</v>
      </c>
      <c r="I8854" s="24">
        <v>8501.0</v>
      </c>
      <c r="J8854" s="24">
        <v>0.0</v>
      </c>
      <c r="K8854" s="23" t="s">
        <v>34</v>
      </c>
      <c r="L8854" s="25">
        <v>42547.367476851854</v>
      </c>
      <c r="M8854" s="28"/>
      <c r="N8854" s="26" t="s">
        <v>19434</v>
      </c>
      <c r="O8854" s="22" t="str">
        <f>HYPERLINK("https://pbs.twimg.com/profile_images/802640272324775936/ENyq72di_normal.jpg","View")</f>
        <v>View</v>
      </c>
      <c r="P8854" s="27"/>
    </row>
    <row r="8855">
      <c r="A8855" s="14">
        <v>43031.87241898148</v>
      </c>
      <c r="B8855" s="20" t="str">
        <f>HYPERLINK("https://twitter.com/pndesh1","@pndesh1")</f>
        <v>@pndesh1</v>
      </c>
      <c r="C8855" s="21" t="s">
        <v>19435</v>
      </c>
      <c r="D8855" s="21" t="s">
        <v>42</v>
      </c>
      <c r="E8855" s="22" t="str">
        <f>HYPERLINK("https://twitter.com/pndesh1/status/922673071420424192","922673071420424192")</f>
        <v>922673071420424192</v>
      </c>
      <c r="F8855" s="23" t="s">
        <v>33</v>
      </c>
      <c r="G8855" s="24">
        <v>0.0</v>
      </c>
      <c r="H8855" s="24">
        <v>43.0</v>
      </c>
      <c r="I8855" s="24">
        <v>8501.0</v>
      </c>
      <c r="J8855" s="24">
        <v>0.0</v>
      </c>
      <c r="K8855" s="23" t="s">
        <v>34</v>
      </c>
      <c r="L8855" s="25">
        <v>43010.00846064815</v>
      </c>
      <c r="M8855" s="26" t="s">
        <v>19436</v>
      </c>
      <c r="N8855" s="26" t="s">
        <v>19437</v>
      </c>
      <c r="O8855" s="22" t="str">
        <f>HYPERLINK("https://pbs.twimg.com/profile_images/922154933603909632/W-vXbfsg_normal.jpg","View")</f>
        <v>View</v>
      </c>
      <c r="P8855" s="27"/>
    </row>
    <row r="8856">
      <c r="A8856" s="14">
        <v>43031.8725</v>
      </c>
      <c r="B8856" s="20" t="str">
        <f>HYPERLINK("https://twitter.com/tamraraven","@tamraraven")</f>
        <v>@tamraraven</v>
      </c>
      <c r="C8856" s="21" t="s">
        <v>19421</v>
      </c>
      <c r="D8856" s="21" t="s">
        <v>2157</v>
      </c>
      <c r="E8856" s="22" t="str">
        <f>HYPERLINK("https://twitter.com/tamraraven/status/922673100029812736","922673100029812736")</f>
        <v>922673100029812736</v>
      </c>
      <c r="F8856" s="23" t="s">
        <v>39</v>
      </c>
      <c r="G8856" s="24">
        <v>2796.0</v>
      </c>
      <c r="H8856" s="24">
        <v>5001.0</v>
      </c>
      <c r="I8856" s="24">
        <v>12.0</v>
      </c>
      <c r="J8856" s="24">
        <v>0.0</v>
      </c>
      <c r="K8856" s="23" t="s">
        <v>34</v>
      </c>
      <c r="L8856" s="25">
        <v>40578.94949074074</v>
      </c>
      <c r="M8856" s="26" t="s">
        <v>19422</v>
      </c>
      <c r="N8856" s="26" t="s">
        <v>19423</v>
      </c>
      <c r="O8856" s="22" t="str">
        <f>HYPERLINK("https://pbs.twimg.com/profile_images/1886945817/GSTM_baby_icon_125_normal.jpg","View")</f>
        <v>View</v>
      </c>
      <c r="P8856" s="27"/>
    </row>
    <row r="8857">
      <c r="A8857" s="14">
        <v>43031.87311342593</v>
      </c>
      <c r="B8857" s="20" t="str">
        <f>HYPERLINK("https://twitter.com/yuuji_K1","@yuuji_K1")</f>
        <v>@yuuji_K1</v>
      </c>
      <c r="C8857" s="21" t="s">
        <v>5882</v>
      </c>
      <c r="D8857" s="21" t="s">
        <v>17832</v>
      </c>
      <c r="E8857" s="22" t="str">
        <f>HYPERLINK("https://twitter.com/yuuji_K1/status/922673324479488000","922673324479488000")</f>
        <v>922673324479488000</v>
      </c>
      <c r="F8857" s="23" t="s">
        <v>39</v>
      </c>
      <c r="G8857" s="24">
        <v>2341.0</v>
      </c>
      <c r="H8857" s="24">
        <v>2256.0</v>
      </c>
      <c r="I8857" s="24">
        <v>6.0</v>
      </c>
      <c r="J8857" s="24">
        <v>0.0</v>
      </c>
      <c r="K8857" s="23" t="s">
        <v>34</v>
      </c>
      <c r="L8857" s="25">
        <v>41720.116006944445</v>
      </c>
      <c r="M8857" s="28"/>
      <c r="N8857" s="26" t="s">
        <v>5883</v>
      </c>
      <c r="O8857" s="22" t="str">
        <f>HYPERLINK("https://pbs.twimg.com/profile_images/447319649642770432/l3MsVwx__normal.jpeg","View")</f>
        <v>View</v>
      </c>
      <c r="P8857" s="27"/>
    </row>
    <row r="8858">
      <c r="A8858" s="14">
        <v>43031.87327546296</v>
      </c>
      <c r="B8858" s="20" t="str">
        <f>HYPERLINK("https://twitter.com/JapanPress_wky","@JapanPress_wky")</f>
        <v>@JapanPress_wky</v>
      </c>
      <c r="C8858" s="21" t="s">
        <v>13033</v>
      </c>
      <c r="D8858" s="21" t="s">
        <v>13034</v>
      </c>
      <c r="E8858" s="22" t="str">
        <f>HYPERLINK("https://twitter.com/JapanPress_wky/status/922673382297968640","922673382297968640")</f>
        <v>922673382297968640</v>
      </c>
      <c r="F8858" s="30" t="s">
        <v>659</v>
      </c>
      <c r="G8858" s="24">
        <v>1253.0</v>
      </c>
      <c r="H8858" s="24">
        <v>176.0</v>
      </c>
      <c r="I8858" s="24">
        <v>0.0</v>
      </c>
      <c r="J8858" s="24">
        <v>0.0</v>
      </c>
      <c r="K8858" s="23" t="s">
        <v>34</v>
      </c>
      <c r="L8858" s="25">
        <v>40821.911782407406</v>
      </c>
      <c r="M8858" s="26" t="s">
        <v>923</v>
      </c>
      <c r="N8858" s="26" t="s">
        <v>13035</v>
      </c>
      <c r="O8858" s="22" t="str">
        <f>HYPERLINK("https://pbs.twimg.com/profile_images/1595831534/JapanPress_wky_normal.jpg","View")</f>
        <v>View</v>
      </c>
      <c r="P8858" s="27"/>
    </row>
    <row r="8859">
      <c r="A8859" s="14">
        <v>43031.87354166667</v>
      </c>
      <c r="B8859" s="20" t="str">
        <f>HYPERLINK("https://twitter.com/chandansinha011","@chandansinha011")</f>
        <v>@chandansinha011</v>
      </c>
      <c r="C8859" s="21" t="s">
        <v>19438</v>
      </c>
      <c r="D8859" s="21" t="s">
        <v>42</v>
      </c>
      <c r="E8859" s="22" t="str">
        <f>HYPERLINK("https://twitter.com/chandansinha011/status/922673479861678080","922673479861678080")</f>
        <v>922673479861678080</v>
      </c>
      <c r="F8859" s="23" t="s">
        <v>33</v>
      </c>
      <c r="G8859" s="24">
        <v>23.0</v>
      </c>
      <c r="H8859" s="24">
        <v>153.0</v>
      </c>
      <c r="I8859" s="24">
        <v>8501.0</v>
      </c>
      <c r="J8859" s="24">
        <v>0.0</v>
      </c>
      <c r="K8859" s="23" t="s">
        <v>34</v>
      </c>
      <c r="L8859" s="25">
        <v>42899.952569444446</v>
      </c>
      <c r="M8859" s="26" t="s">
        <v>19439</v>
      </c>
      <c r="N8859" s="26" t="s">
        <v>19440</v>
      </c>
      <c r="O8859" s="22" t="str">
        <f>HYPERLINK("https://pbs.twimg.com/profile_images/874870030332297216/_kOREJ_s_normal.jpg","View")</f>
        <v>View</v>
      </c>
      <c r="P8859" s="27"/>
    </row>
    <row r="8860">
      <c r="A8860" s="14">
        <v>43031.87378472222</v>
      </c>
      <c r="B8860" s="20" t="str">
        <f t="shared" ref="B8860:B8862" si="176">HYPERLINK("https://twitter.com/yuuji_K1","@yuuji_K1")</f>
        <v>@yuuji_K1</v>
      </c>
      <c r="C8860" s="21" t="s">
        <v>5882</v>
      </c>
      <c r="D8860" s="21" t="s">
        <v>19258</v>
      </c>
      <c r="E8860" s="22" t="str">
        <f>HYPERLINK("https://twitter.com/yuuji_K1/status/922673566906068992","922673566906068992")</f>
        <v>922673566906068992</v>
      </c>
      <c r="F8860" s="23" t="s">
        <v>39</v>
      </c>
      <c r="G8860" s="24">
        <v>2341.0</v>
      </c>
      <c r="H8860" s="24">
        <v>2256.0</v>
      </c>
      <c r="I8860" s="24">
        <v>7.0</v>
      </c>
      <c r="J8860" s="24">
        <v>0.0</v>
      </c>
      <c r="K8860" s="23" t="s">
        <v>34</v>
      </c>
      <c r="L8860" s="25">
        <v>41720.116006944445</v>
      </c>
      <c r="M8860" s="28"/>
      <c r="N8860" s="26" t="s">
        <v>5883</v>
      </c>
      <c r="O8860" s="22" t="str">
        <f t="shared" ref="O8860:O8862" si="177">HYPERLINK("https://pbs.twimg.com/profile_images/447319649642770432/l3MsVwx__normal.jpeg","View")</f>
        <v>View</v>
      </c>
      <c r="P8860" s="27"/>
    </row>
    <row r="8861">
      <c r="A8861" s="14">
        <v>43031.87384259259</v>
      </c>
      <c r="B8861" s="20" t="str">
        <f t="shared" si="176"/>
        <v>@yuuji_K1</v>
      </c>
      <c r="C8861" s="21" t="s">
        <v>5882</v>
      </c>
      <c r="D8861" s="21" t="s">
        <v>18983</v>
      </c>
      <c r="E8861" s="22" t="str">
        <f>HYPERLINK("https://twitter.com/yuuji_K1/status/922673588347420672","922673588347420672")</f>
        <v>922673588347420672</v>
      </c>
      <c r="F8861" s="23" t="s">
        <v>39</v>
      </c>
      <c r="G8861" s="24">
        <v>2341.0</v>
      </c>
      <c r="H8861" s="24">
        <v>2256.0</v>
      </c>
      <c r="I8861" s="24">
        <v>7.0</v>
      </c>
      <c r="J8861" s="24">
        <v>0.0</v>
      </c>
      <c r="K8861" s="23" t="s">
        <v>34</v>
      </c>
      <c r="L8861" s="25">
        <v>41720.116006944445</v>
      </c>
      <c r="M8861" s="28"/>
      <c r="N8861" s="26" t="s">
        <v>5883</v>
      </c>
      <c r="O8861" s="22" t="str">
        <f t="shared" si="177"/>
        <v>View</v>
      </c>
      <c r="P8861" s="27"/>
    </row>
    <row r="8862">
      <c r="A8862" s="14">
        <v>43031.87386574074</v>
      </c>
      <c r="B8862" s="20" t="str">
        <f t="shared" si="176"/>
        <v>@yuuji_K1</v>
      </c>
      <c r="C8862" s="21" t="s">
        <v>5882</v>
      </c>
      <c r="D8862" s="21" t="s">
        <v>18917</v>
      </c>
      <c r="E8862" s="22" t="str">
        <f>HYPERLINK("https://twitter.com/yuuji_K1/status/922673595905581056","922673595905581056")</f>
        <v>922673595905581056</v>
      </c>
      <c r="F8862" s="23" t="s">
        <v>39</v>
      </c>
      <c r="G8862" s="24">
        <v>2341.0</v>
      </c>
      <c r="H8862" s="24">
        <v>2256.0</v>
      </c>
      <c r="I8862" s="24">
        <v>6.0</v>
      </c>
      <c r="J8862" s="24">
        <v>0.0</v>
      </c>
      <c r="K8862" s="23" t="s">
        <v>34</v>
      </c>
      <c r="L8862" s="25">
        <v>41720.116006944445</v>
      </c>
      <c r="M8862" s="28"/>
      <c r="N8862" s="26" t="s">
        <v>5883</v>
      </c>
      <c r="O8862" s="22" t="str">
        <f t="shared" si="177"/>
        <v>View</v>
      </c>
      <c r="P8862" s="27"/>
    </row>
    <row r="8863">
      <c r="A8863" s="14">
        <v>43031.87403935185</v>
      </c>
      <c r="B8863" s="20" t="str">
        <f>HYPERLINK("https://twitter.com/2010_nair","@2010_nair")</f>
        <v>@2010_nair</v>
      </c>
      <c r="C8863" s="21" t="s">
        <v>19441</v>
      </c>
      <c r="D8863" s="21" t="s">
        <v>42</v>
      </c>
      <c r="E8863" s="22" t="str">
        <f>HYPERLINK("https://twitter.com/2010_nair/status/922673657876320257","922673657876320257")</f>
        <v>922673657876320257</v>
      </c>
      <c r="F8863" s="23" t="s">
        <v>33</v>
      </c>
      <c r="G8863" s="24">
        <v>43.0</v>
      </c>
      <c r="H8863" s="24">
        <v>72.0</v>
      </c>
      <c r="I8863" s="24">
        <v>8501.0</v>
      </c>
      <c r="J8863" s="24">
        <v>0.0</v>
      </c>
      <c r="K8863" s="23" t="s">
        <v>34</v>
      </c>
      <c r="L8863" s="25">
        <v>41785.389131944445</v>
      </c>
      <c r="M8863" s="26" t="s">
        <v>246</v>
      </c>
      <c r="N8863" s="26" t="s">
        <v>19442</v>
      </c>
      <c r="O8863" s="22" t="str">
        <f>HYPERLINK("https://pbs.twimg.com/profile_images/902939875317600257/a3e3ydTX_normal.jpg","View")</f>
        <v>View</v>
      </c>
      <c r="P8863" s="27"/>
    </row>
    <row r="8864">
      <c r="A8864" s="14">
        <v>43031.874074074076</v>
      </c>
      <c r="B8864" s="20" t="str">
        <f>HYPERLINK("https://twitter.com/___som__som","@___som__som")</f>
        <v>@___som__som</v>
      </c>
      <c r="C8864" s="21" t="s">
        <v>19443</v>
      </c>
      <c r="D8864" s="21" t="s">
        <v>9013</v>
      </c>
      <c r="E8864" s="22" t="str">
        <f>HYPERLINK("https://twitter.com/___som__som/status/922673672229232640","922673672229232640")</f>
        <v>922673672229232640</v>
      </c>
      <c r="F8864" s="23" t="s">
        <v>39</v>
      </c>
      <c r="G8864" s="24">
        <v>145.0</v>
      </c>
      <c r="H8864" s="24">
        <v>366.0</v>
      </c>
      <c r="I8864" s="24">
        <v>31.0</v>
      </c>
      <c r="J8864" s="24">
        <v>0.0</v>
      </c>
      <c r="K8864" s="23" t="s">
        <v>34</v>
      </c>
      <c r="L8864" s="25">
        <v>41976.1509375</v>
      </c>
      <c r="M8864" s="28"/>
      <c r="N8864" s="26" t="s">
        <v>19444</v>
      </c>
      <c r="O8864" s="22" t="str">
        <f>HYPERLINK("https://pbs.twimg.com/profile_images/914930347036442624/xS_R85M8_normal.jpg","View")</f>
        <v>View</v>
      </c>
      <c r="P8864" s="27"/>
    </row>
    <row r="8865">
      <c r="A8865" s="14">
        <v>43031.874131944445</v>
      </c>
      <c r="B8865" s="20" t="str">
        <f>HYPERLINK("https://twitter.com/mansukhmandviya","@mansukhmandviya")</f>
        <v>@mansukhmandviya</v>
      </c>
      <c r="C8865" s="21" t="s">
        <v>19445</v>
      </c>
      <c r="D8865" s="21" t="s">
        <v>42</v>
      </c>
      <c r="E8865" s="22" t="str">
        <f>HYPERLINK("https://twitter.com/mansukhmandviya/status/922673690965295105","922673690965295105")</f>
        <v>922673690965295105</v>
      </c>
      <c r="F8865" s="23" t="s">
        <v>39</v>
      </c>
      <c r="G8865" s="24">
        <v>179655.0</v>
      </c>
      <c r="H8865" s="24">
        <v>286.0</v>
      </c>
      <c r="I8865" s="24">
        <v>8501.0</v>
      </c>
      <c r="J8865" s="24">
        <v>0.0</v>
      </c>
      <c r="K8865" s="23" t="s">
        <v>34</v>
      </c>
      <c r="L8865" s="25">
        <v>40886.4041087963</v>
      </c>
      <c r="M8865" s="26" t="s">
        <v>19446</v>
      </c>
      <c r="N8865" s="26" t="s">
        <v>19447</v>
      </c>
      <c r="O8865" s="22" t="str">
        <f>HYPERLINK("https://pbs.twimg.com/profile_images/904768670257233920/bK-LMY1K_normal.jpg","View")</f>
        <v>View</v>
      </c>
      <c r="P8865" s="27"/>
    </row>
    <row r="8866">
      <c r="A8866" s="14">
        <v>43031.87415509259</v>
      </c>
      <c r="B8866" s="20" t="str">
        <f>HYPERLINK("https://twitter.com/ysaumitra","@ysaumitra")</f>
        <v>@ysaumitra</v>
      </c>
      <c r="C8866" s="21" t="s">
        <v>19448</v>
      </c>
      <c r="D8866" s="21" t="s">
        <v>42</v>
      </c>
      <c r="E8866" s="22" t="str">
        <f>HYPERLINK("https://twitter.com/ysaumitra/status/922673699668467713","922673699668467713")</f>
        <v>922673699668467713</v>
      </c>
      <c r="F8866" s="23" t="s">
        <v>33</v>
      </c>
      <c r="G8866" s="24">
        <v>318.0</v>
      </c>
      <c r="H8866" s="24">
        <v>321.0</v>
      </c>
      <c r="I8866" s="24">
        <v>8501.0</v>
      </c>
      <c r="J8866" s="24">
        <v>0.0</v>
      </c>
      <c r="K8866" s="23" t="s">
        <v>34</v>
      </c>
      <c r="L8866" s="25">
        <v>39922.01230324074</v>
      </c>
      <c r="M8866" s="26" t="s">
        <v>19449</v>
      </c>
      <c r="N8866" s="26" t="s">
        <v>19450</v>
      </c>
      <c r="O8866" s="22" t="str">
        <f>HYPERLINK("https://pbs.twimg.com/profile_images/810360943485956097/JEtYDPMl_normal.jpg","View")</f>
        <v>View</v>
      </c>
      <c r="P8866" s="27"/>
    </row>
    <row r="8867">
      <c r="A8867" s="14">
        <v>43031.87449074074</v>
      </c>
      <c r="B8867" s="20" t="str">
        <f>HYPERLINK("https://twitter.com/TruthMedicinee","@TruthMedicinee")</f>
        <v>@TruthMedicinee</v>
      </c>
      <c r="C8867" s="21" t="s">
        <v>19451</v>
      </c>
      <c r="D8867" s="21" t="s">
        <v>42</v>
      </c>
      <c r="E8867" s="22" t="str">
        <f>HYPERLINK("https://twitter.com/TruthMedicinee/status/922673824599912448","922673824599912448")</f>
        <v>922673824599912448</v>
      </c>
      <c r="F8867" s="23" t="s">
        <v>39</v>
      </c>
      <c r="G8867" s="24">
        <v>207.0</v>
      </c>
      <c r="H8867" s="24">
        <v>843.0</v>
      </c>
      <c r="I8867" s="24">
        <v>8501.0</v>
      </c>
      <c r="J8867" s="24">
        <v>0.0</v>
      </c>
      <c r="K8867" s="23" t="s">
        <v>34</v>
      </c>
      <c r="L8867" s="25">
        <v>40135.021875</v>
      </c>
      <c r="M8867" s="26" t="s">
        <v>19452</v>
      </c>
      <c r="N8867" s="26" t="s">
        <v>19453</v>
      </c>
      <c r="O8867" s="22" t="str">
        <f>HYPERLINK("https://pbs.twimg.com/profile_images/811761739847135232/7A1tU8VT_normal.jpg","View")</f>
        <v>View</v>
      </c>
      <c r="P8867" s="27"/>
    </row>
    <row r="8868">
      <c r="A8868" s="14">
        <v>43031.87498842593</v>
      </c>
      <c r="B8868" s="20" t="str">
        <f>HYPERLINK("https://twitter.com/volkada1345","@volkada1345")</f>
        <v>@volkada1345</v>
      </c>
      <c r="C8868" s="21" t="s">
        <v>423</v>
      </c>
      <c r="D8868" s="21" t="s">
        <v>42</v>
      </c>
      <c r="E8868" s="22" t="str">
        <f>HYPERLINK("https://twitter.com/volkada1345/status/922674004292354048","922674004292354048")</f>
        <v>922674004292354048</v>
      </c>
      <c r="F8868" s="23" t="s">
        <v>33</v>
      </c>
      <c r="G8868" s="24">
        <v>152.0</v>
      </c>
      <c r="H8868" s="24">
        <v>635.0</v>
      </c>
      <c r="I8868" s="24">
        <v>8501.0</v>
      </c>
      <c r="J8868" s="24">
        <v>0.0</v>
      </c>
      <c r="K8868" s="23" t="s">
        <v>34</v>
      </c>
      <c r="L8868" s="25">
        <v>41285.76847222222</v>
      </c>
      <c r="M8868" s="26" t="s">
        <v>19454</v>
      </c>
      <c r="N8868" s="28"/>
      <c r="O8868" s="22" t="str">
        <f>HYPERLINK("https://pbs.twimg.com/profile_images/603417920526356480/7TmJsdur_normal.jpg","View")</f>
        <v>View</v>
      </c>
      <c r="P8868" s="27"/>
    </row>
    <row r="8869">
      <c r="A8869" s="14">
        <v>43031.87550925926</v>
      </c>
      <c r="B8869" s="20" t="str">
        <f>HYPERLINK("https://twitter.com/JAIN2202","@JAIN2202")</f>
        <v>@JAIN2202</v>
      </c>
      <c r="C8869" s="21" t="s">
        <v>19455</v>
      </c>
      <c r="D8869" s="21" t="s">
        <v>42</v>
      </c>
      <c r="E8869" s="22" t="str">
        <f>HYPERLINK("https://twitter.com/JAIN2202/status/922674192163598336","922674192163598336")</f>
        <v>922674192163598336</v>
      </c>
      <c r="F8869" s="23" t="s">
        <v>33</v>
      </c>
      <c r="G8869" s="24">
        <v>378.0</v>
      </c>
      <c r="H8869" s="24">
        <v>500.0</v>
      </c>
      <c r="I8869" s="24">
        <v>8501.0</v>
      </c>
      <c r="J8869" s="24">
        <v>0.0</v>
      </c>
      <c r="K8869" s="23" t="s">
        <v>34</v>
      </c>
      <c r="L8869" s="25">
        <v>40572.231041666666</v>
      </c>
      <c r="M8869" s="26" t="s">
        <v>4398</v>
      </c>
      <c r="N8869" s="26" t="s">
        <v>19456</v>
      </c>
      <c r="O8869" s="22" t="str">
        <f>HYPERLINK("https://pbs.twimg.com/profile_images/728799932677689344/vVJZ2WkZ_normal.jpg","View")</f>
        <v>View</v>
      </c>
      <c r="P8869" s="27"/>
    </row>
    <row r="8870">
      <c r="A8870" s="14">
        <v>43031.87556712963</v>
      </c>
      <c r="B8870" s="20" t="str">
        <f>HYPERLINK("https://twitter.com/krunal29695","@krunal29695")</f>
        <v>@krunal29695</v>
      </c>
      <c r="C8870" s="21" t="s">
        <v>19457</v>
      </c>
      <c r="D8870" s="21" t="s">
        <v>42</v>
      </c>
      <c r="E8870" s="22" t="str">
        <f>HYPERLINK("https://twitter.com/krunal29695/status/922674211381944320","922674211381944320")</f>
        <v>922674211381944320</v>
      </c>
      <c r="F8870" s="23" t="s">
        <v>33</v>
      </c>
      <c r="G8870" s="24">
        <v>97.0</v>
      </c>
      <c r="H8870" s="24">
        <v>605.0</v>
      </c>
      <c r="I8870" s="24">
        <v>8501.0</v>
      </c>
      <c r="J8870" s="24">
        <v>0.0</v>
      </c>
      <c r="K8870" s="23" t="s">
        <v>34</v>
      </c>
      <c r="L8870" s="25">
        <v>42328.918333333335</v>
      </c>
      <c r="M8870" s="26" t="s">
        <v>19458</v>
      </c>
      <c r="N8870" s="26" t="s">
        <v>19459</v>
      </c>
      <c r="O8870" s="22" t="str">
        <f>HYPERLINK("https://pbs.twimg.com/profile_images/883738260601794560/RhrDvos8_normal.jpg","View")</f>
        <v>View</v>
      </c>
      <c r="P8870" s="27"/>
    </row>
    <row r="8871">
      <c r="A8871" s="14">
        <v>43031.876168981486</v>
      </c>
      <c r="B8871" s="20" t="str">
        <f>HYPERLINK("https://twitter.com/mm_Ahmedabad","@mm_Ahmedabad")</f>
        <v>@mm_Ahmedabad</v>
      </c>
      <c r="C8871" s="21" t="s">
        <v>19460</v>
      </c>
      <c r="D8871" s="21" t="s">
        <v>19374</v>
      </c>
      <c r="E8871" s="22" t="str">
        <f>HYPERLINK("https://twitter.com/mm_Ahmedabad/status/922674430555377665","922674430555377665")</f>
        <v>922674430555377665</v>
      </c>
      <c r="F8871" s="23" t="s">
        <v>187</v>
      </c>
      <c r="G8871" s="24">
        <v>69.0</v>
      </c>
      <c r="H8871" s="24">
        <v>5.0</v>
      </c>
      <c r="I8871" s="24">
        <v>0.0</v>
      </c>
      <c r="J8871" s="24">
        <v>0.0</v>
      </c>
      <c r="K8871" s="23" t="s">
        <v>34</v>
      </c>
      <c r="L8871" s="25">
        <v>42856.96420138889</v>
      </c>
      <c r="M8871" s="26" t="s">
        <v>1633</v>
      </c>
      <c r="N8871" s="26" t="s">
        <v>19461</v>
      </c>
      <c r="O8871" s="22" t="str">
        <f>HYPERLINK("https://pbs.twimg.com/profile_images/859293750236983296/Ou6Rorph_normal.jpg","View")</f>
        <v>View</v>
      </c>
      <c r="P8871" s="27"/>
    </row>
    <row r="8872">
      <c r="A8872" s="14">
        <v>43031.87630787037</v>
      </c>
      <c r="B8872" s="20" t="str">
        <f>HYPERLINK("https://twitter.com/GOMP","@GOMP")</f>
        <v>@GOMP</v>
      </c>
      <c r="C8872" s="21" t="s">
        <v>19462</v>
      </c>
      <c r="D8872" s="21" t="s">
        <v>19463</v>
      </c>
      <c r="E8872" s="22" t="str">
        <f>HYPERLINK("https://twitter.com/GOMP/status/922674480849342465","922674480849342465")</f>
        <v>922674480849342465</v>
      </c>
      <c r="F8872" s="30" t="s">
        <v>191</v>
      </c>
      <c r="G8872" s="24">
        <v>168.0</v>
      </c>
      <c r="H8872" s="24">
        <v>108.0</v>
      </c>
      <c r="I8872" s="24">
        <v>0.0</v>
      </c>
      <c r="J8872" s="24">
        <v>1.0</v>
      </c>
      <c r="K8872" s="23" t="s">
        <v>34</v>
      </c>
      <c r="L8872" s="25">
        <v>39545.56180555555</v>
      </c>
      <c r="M8872" s="26" t="s">
        <v>19464</v>
      </c>
      <c r="N8872" s="26" t="s">
        <v>19465</v>
      </c>
      <c r="O8872" s="22" t="str">
        <f>HYPERLINK("https://pbs.twimg.com/profile_images/62279891/sucks_normal.jpg","View")</f>
        <v>View</v>
      </c>
      <c r="P8872" s="27"/>
    </row>
    <row r="8873">
      <c r="A8873" s="14">
        <v>43031.87650462963</v>
      </c>
      <c r="B8873" s="20" t="str">
        <f>HYPERLINK("https://twitter.com/edgawanewcomer","@edgawanewcomer")</f>
        <v>@edgawanewcomer</v>
      </c>
      <c r="C8873" s="21" t="s">
        <v>19466</v>
      </c>
      <c r="D8873" s="21" t="s">
        <v>7198</v>
      </c>
      <c r="E8873" s="22" t="str">
        <f>HYPERLINK("https://twitter.com/edgawanewcomer/status/922674552617934848","922674552617934848")</f>
        <v>922674552617934848</v>
      </c>
      <c r="F8873" s="23" t="s">
        <v>55</v>
      </c>
      <c r="G8873" s="24">
        <v>70.0</v>
      </c>
      <c r="H8873" s="24">
        <v>412.0</v>
      </c>
      <c r="I8873" s="24">
        <v>11.0</v>
      </c>
      <c r="J8873" s="24">
        <v>0.0</v>
      </c>
      <c r="K8873" s="23" t="s">
        <v>34</v>
      </c>
      <c r="L8873" s="25">
        <v>42931.68939814815</v>
      </c>
      <c r="M8873" s="26" t="s">
        <v>19467</v>
      </c>
      <c r="N8873" s="26" t="s">
        <v>19468</v>
      </c>
      <c r="O8873" s="22" t="str">
        <f>HYPERLINK("https://pbs.twimg.com/profile_images/886749143233814529/Wer1UREb_normal.jpg","View")</f>
        <v>View</v>
      </c>
      <c r="P8873" s="27"/>
    </row>
    <row r="8874">
      <c r="A8874" s="14">
        <v>43031.8765162037</v>
      </c>
      <c r="B8874" s="20" t="str">
        <f>HYPERLINK("https://twitter.com/yuuji_K1","@yuuji_K1")</f>
        <v>@yuuji_K1</v>
      </c>
      <c r="C8874" s="21" t="s">
        <v>5882</v>
      </c>
      <c r="D8874" s="21" t="s">
        <v>18162</v>
      </c>
      <c r="E8874" s="22" t="str">
        <f>HYPERLINK("https://twitter.com/yuuji_K1/status/922674557906960384","922674557906960384")</f>
        <v>922674557906960384</v>
      </c>
      <c r="F8874" s="23" t="s">
        <v>39</v>
      </c>
      <c r="G8874" s="24">
        <v>2341.0</v>
      </c>
      <c r="H8874" s="24">
        <v>2256.0</v>
      </c>
      <c r="I8874" s="24">
        <v>59.0</v>
      </c>
      <c r="J8874" s="24">
        <v>0.0</v>
      </c>
      <c r="K8874" s="23" t="s">
        <v>34</v>
      </c>
      <c r="L8874" s="25">
        <v>41720.116006944445</v>
      </c>
      <c r="M8874" s="28"/>
      <c r="N8874" s="26" t="s">
        <v>5883</v>
      </c>
      <c r="O8874" s="22" t="str">
        <f>HYPERLINK("https://pbs.twimg.com/profile_images/447319649642770432/l3MsVwx__normal.jpeg","View")</f>
        <v>View</v>
      </c>
      <c r="P8874" s="27"/>
    </row>
    <row r="8875">
      <c r="A8875" s="14">
        <v>43031.87657407408</v>
      </c>
      <c r="B8875" s="20" t="str">
        <f>HYPERLINK("https://twitter.com/AzzhureSpain","@AzzhureSpain")</f>
        <v>@AzzhureSpain</v>
      </c>
      <c r="C8875" s="21" t="s">
        <v>19469</v>
      </c>
      <c r="D8875" s="21" t="s">
        <v>19016</v>
      </c>
      <c r="E8875" s="22" t="str">
        <f>HYPERLINK("https://twitter.com/AzzhureSpain/status/922674577477722112","922674577477722112")</f>
        <v>922674577477722112</v>
      </c>
      <c r="F8875" s="23" t="s">
        <v>1799</v>
      </c>
      <c r="G8875" s="24">
        <v>18.0</v>
      </c>
      <c r="H8875" s="24">
        <v>91.0</v>
      </c>
      <c r="I8875" s="24">
        <v>51.0</v>
      </c>
      <c r="J8875" s="24">
        <v>0.0</v>
      </c>
      <c r="K8875" s="23" t="s">
        <v>34</v>
      </c>
      <c r="L8875" s="25">
        <v>42644.35935185185</v>
      </c>
      <c r="M8875" s="28"/>
      <c r="N8875" s="28"/>
      <c r="O8875" s="22" t="str">
        <f>HYPERLINK("https://pbs.twimg.com/profile_images/782244588992036864/bUGc3ck4_normal.jpg","View")</f>
        <v>View</v>
      </c>
      <c r="P8875" s="27"/>
    </row>
    <row r="8876">
      <c r="A8876" s="14">
        <v>43031.87702546296</v>
      </c>
      <c r="B8876" s="20" t="str">
        <f>HYPERLINK("https://twitter.com/PradeepLNair1","@PradeepLNair1")</f>
        <v>@PradeepLNair1</v>
      </c>
      <c r="C8876" s="21" t="s">
        <v>19470</v>
      </c>
      <c r="D8876" s="21" t="s">
        <v>42</v>
      </c>
      <c r="E8876" s="22" t="str">
        <f>HYPERLINK("https://twitter.com/PradeepLNair1/status/922674743106420736","922674743106420736")</f>
        <v>922674743106420736</v>
      </c>
      <c r="F8876" s="23" t="s">
        <v>33</v>
      </c>
      <c r="G8876" s="24">
        <v>9.0</v>
      </c>
      <c r="H8876" s="24">
        <v>64.0</v>
      </c>
      <c r="I8876" s="24">
        <v>8501.0</v>
      </c>
      <c r="J8876" s="24">
        <v>0.0</v>
      </c>
      <c r="K8876" s="23" t="s">
        <v>34</v>
      </c>
      <c r="L8876" s="25">
        <v>42891.132939814815</v>
      </c>
      <c r="M8876" s="28"/>
      <c r="N8876" s="28"/>
      <c r="O8876" s="22" t="str">
        <f>HYPERLINK("https://abs.twimg.com/sticky/default_profile_images/default_profile_normal.png","View")</f>
        <v>View</v>
      </c>
      <c r="P8876" s="27"/>
    </row>
    <row r="8877">
      <c r="A8877" s="14">
        <v>43031.87792824074</v>
      </c>
      <c r="B8877" s="20" t="str">
        <f>HYPERLINK("https://twitter.com/sravannavate","@sravannavate")</f>
        <v>@sravannavate</v>
      </c>
      <c r="C8877" s="21" t="s">
        <v>19471</v>
      </c>
      <c r="D8877" s="21" t="s">
        <v>42</v>
      </c>
      <c r="E8877" s="22" t="str">
        <f>HYPERLINK("https://twitter.com/sravannavate/status/922675070580822016","922675070580822016")</f>
        <v>922675070580822016</v>
      </c>
      <c r="F8877" s="23" t="s">
        <v>39</v>
      </c>
      <c r="G8877" s="24">
        <v>205.0</v>
      </c>
      <c r="H8877" s="24">
        <v>398.0</v>
      </c>
      <c r="I8877" s="24">
        <v>8501.0</v>
      </c>
      <c r="J8877" s="24">
        <v>0.0</v>
      </c>
      <c r="K8877" s="23" t="s">
        <v>34</v>
      </c>
      <c r="L8877" s="25">
        <v>41564.59318287037</v>
      </c>
      <c r="M8877" s="26" t="s">
        <v>167</v>
      </c>
      <c r="N8877" s="26" t="s">
        <v>19472</v>
      </c>
      <c r="O8877" s="22" t="str">
        <f>HYPERLINK("https://pbs.twimg.com/profile_images/749657575545827328/9iTsjVmE_normal.jpg","View")</f>
        <v>View</v>
      </c>
      <c r="P8877" s="27"/>
    </row>
    <row r="8878">
      <c r="A8878" s="14">
        <v>43031.878125</v>
      </c>
      <c r="B8878" s="20" t="str">
        <f>HYPERLINK("https://twitter.com/fukushimaexpos2","@fukushimaexpos2")</f>
        <v>@fukushimaexpos2</v>
      </c>
      <c r="C8878" s="21" t="s">
        <v>19473</v>
      </c>
      <c r="D8878" s="21" t="s">
        <v>1731</v>
      </c>
      <c r="E8878" s="22" t="str">
        <f>HYPERLINK("https://twitter.com/fukushimaexpos2/status/922675138872598530","922675138872598530")</f>
        <v>922675138872598530</v>
      </c>
      <c r="F8878" s="23" t="s">
        <v>33</v>
      </c>
      <c r="G8878" s="24">
        <v>11.0</v>
      </c>
      <c r="H8878" s="24">
        <v>75.0</v>
      </c>
      <c r="I8878" s="24">
        <v>6.0</v>
      </c>
      <c r="J8878" s="24">
        <v>0.0</v>
      </c>
      <c r="K8878" s="23" t="s">
        <v>34</v>
      </c>
      <c r="L8878" s="25">
        <v>43029.65770833333</v>
      </c>
      <c r="M8878" s="28"/>
      <c r="N8878" s="26" t="s">
        <v>19474</v>
      </c>
      <c r="O8878" s="22" t="str">
        <f>HYPERLINK("https://pbs.twimg.com/profile_images/921878119622914048/Vn30Q11n_normal.jpg","View")</f>
        <v>View</v>
      </c>
      <c r="P8878" s="27"/>
    </row>
    <row r="8879">
      <c r="A8879" s="14">
        <v>43031.8783912037</v>
      </c>
      <c r="B8879" s="20" t="str">
        <f>HYPERLINK("https://twitter.com/queeniem","@queeniem")</f>
        <v>@queeniem</v>
      </c>
      <c r="C8879" s="21" t="s">
        <v>19475</v>
      </c>
      <c r="D8879" s="21" t="s">
        <v>19476</v>
      </c>
      <c r="E8879" s="22" t="str">
        <f>HYPERLINK("https://twitter.com/queeniem/status/922675235832307712","922675235832307712")</f>
        <v>922675235832307712</v>
      </c>
      <c r="F8879" s="23" t="s">
        <v>55</v>
      </c>
      <c r="G8879" s="24">
        <v>535.0</v>
      </c>
      <c r="H8879" s="24">
        <v>2174.0</v>
      </c>
      <c r="I8879" s="24">
        <v>0.0</v>
      </c>
      <c r="J8879" s="24">
        <v>0.0</v>
      </c>
      <c r="K8879" s="23" t="s">
        <v>34</v>
      </c>
      <c r="L8879" s="25">
        <v>39568.99923611111</v>
      </c>
      <c r="M8879" s="26" t="s">
        <v>2185</v>
      </c>
      <c r="N8879" s="26" t="s">
        <v>19477</v>
      </c>
      <c r="O8879" s="22" t="str">
        <f>HYPERLINK("https://pbs.twimg.com/profile_images/862587424437706752/MIgOVge__normal.jpg","View")</f>
        <v>View</v>
      </c>
      <c r="P8879" s="27"/>
    </row>
    <row r="8880">
      <c r="A8880" s="14">
        <v>43031.87878472223</v>
      </c>
      <c r="B8880" s="20" t="str">
        <f>HYPERLINK("https://twitter.com/Tweet_Shreesha","@Tweet_Shreesha")</f>
        <v>@Tweet_Shreesha</v>
      </c>
      <c r="C8880" s="21" t="s">
        <v>19478</v>
      </c>
      <c r="D8880" s="21" t="s">
        <v>42</v>
      </c>
      <c r="E8880" s="22" t="str">
        <f>HYPERLINK("https://twitter.com/Tweet_Shreesha/status/922675377826283520","922675377826283520")</f>
        <v>922675377826283520</v>
      </c>
      <c r="F8880" s="23" t="s">
        <v>33</v>
      </c>
      <c r="G8880" s="24">
        <v>127.0</v>
      </c>
      <c r="H8880" s="24">
        <v>383.0</v>
      </c>
      <c r="I8880" s="24">
        <v>8501.0</v>
      </c>
      <c r="J8880" s="24">
        <v>0.0</v>
      </c>
      <c r="K8880" s="23" t="s">
        <v>34</v>
      </c>
      <c r="L8880" s="25">
        <v>41419.88202546296</v>
      </c>
      <c r="M8880" s="28"/>
      <c r="N8880" s="26" t="s">
        <v>19479</v>
      </c>
      <c r="O8880" s="22" t="str">
        <f>HYPERLINK("https://pbs.twimg.com/profile_images/858578164414427137/u4SxOlbt_normal.jpg","View")</f>
        <v>View</v>
      </c>
      <c r="P8880" s="27"/>
    </row>
    <row r="8881">
      <c r="A8881" s="14">
        <v>43031.87894675926</v>
      </c>
      <c r="B8881" s="20" t="str">
        <f>HYPERLINK("https://twitter.com/JaIn10VaIbHaV","@JaIn10VaIbHaV")</f>
        <v>@JaIn10VaIbHaV</v>
      </c>
      <c r="C8881" s="21" t="s">
        <v>19480</v>
      </c>
      <c r="D8881" s="21" t="s">
        <v>42</v>
      </c>
      <c r="E8881" s="22" t="str">
        <f>HYPERLINK("https://twitter.com/JaIn10VaIbHaV/status/922675435837591552","922675435837591552")</f>
        <v>922675435837591552</v>
      </c>
      <c r="F8881" s="23" t="s">
        <v>33</v>
      </c>
      <c r="G8881" s="24">
        <v>119.0</v>
      </c>
      <c r="H8881" s="24">
        <v>319.0</v>
      </c>
      <c r="I8881" s="24">
        <v>8501.0</v>
      </c>
      <c r="J8881" s="24">
        <v>0.0</v>
      </c>
      <c r="K8881" s="23" t="s">
        <v>34</v>
      </c>
      <c r="L8881" s="25">
        <v>40114.89910879629</v>
      </c>
      <c r="M8881" s="26" t="s">
        <v>204</v>
      </c>
      <c r="N8881" s="26" t="s">
        <v>19481</v>
      </c>
      <c r="O8881" s="22" t="str">
        <f>HYPERLINK("https://pbs.twimg.com/profile_images/676803246917201920/kQu-3ezs_normal.jpg","View")</f>
        <v>View</v>
      </c>
      <c r="P8881" s="27"/>
    </row>
    <row r="8882">
      <c r="A8882" s="14">
        <v>43031.87907407407</v>
      </c>
      <c r="B8882" s="20" t="str">
        <f>HYPERLINK("https://twitter.com/Estrcp","@Estrcp")</f>
        <v>@Estrcp</v>
      </c>
      <c r="C8882" s="21" t="s">
        <v>16513</v>
      </c>
      <c r="D8882" s="21" t="s">
        <v>19016</v>
      </c>
      <c r="E8882" s="22" t="str">
        <f>HYPERLINK("https://twitter.com/Estrcp/status/922675482348412928","922675482348412928")</f>
        <v>922675482348412928</v>
      </c>
      <c r="F8882" s="23" t="s">
        <v>33</v>
      </c>
      <c r="G8882" s="24">
        <v>700.0</v>
      </c>
      <c r="H8882" s="24">
        <v>648.0</v>
      </c>
      <c r="I8882" s="24">
        <v>51.0</v>
      </c>
      <c r="J8882" s="24">
        <v>0.0</v>
      </c>
      <c r="K8882" s="23" t="s">
        <v>34</v>
      </c>
      <c r="L8882" s="25">
        <v>40675.505532407406</v>
      </c>
      <c r="M8882" s="28"/>
      <c r="N8882" s="26" t="s">
        <v>16514</v>
      </c>
      <c r="O8882" s="22" t="str">
        <f>HYPERLINK("https://pbs.twimg.com/profile_images/895657803179843585/zE6-3L2A_normal.jpg","View")</f>
        <v>View</v>
      </c>
      <c r="P8882" s="27"/>
    </row>
    <row r="8883">
      <c r="A8883" s="14">
        <v>43031.879166666666</v>
      </c>
      <c r="B8883" s="20" t="str">
        <f>HYPERLINK("https://twitter.com/RajureRajkumar","@RajureRajkumar")</f>
        <v>@RajureRajkumar</v>
      </c>
      <c r="C8883" s="21" t="s">
        <v>19482</v>
      </c>
      <c r="D8883" s="21" t="s">
        <v>42</v>
      </c>
      <c r="E8883" s="22" t="str">
        <f>HYPERLINK("https://twitter.com/RajureRajkumar/status/922675517169459200","922675517169459200")</f>
        <v>922675517169459200</v>
      </c>
      <c r="F8883" s="23" t="s">
        <v>33</v>
      </c>
      <c r="G8883" s="24">
        <v>19.0</v>
      </c>
      <c r="H8883" s="24">
        <v>133.0</v>
      </c>
      <c r="I8883" s="24">
        <v>8501.0</v>
      </c>
      <c r="J8883" s="24">
        <v>0.0</v>
      </c>
      <c r="K8883" s="23" t="s">
        <v>34</v>
      </c>
      <c r="L8883" s="25">
        <v>40982.238587962966</v>
      </c>
      <c r="M8883" s="26" t="s">
        <v>19483</v>
      </c>
      <c r="N8883" s="26" t="s">
        <v>19484</v>
      </c>
      <c r="O8883" s="22" t="str">
        <f>HYPERLINK("https://pbs.twimg.com/profile_images/720207145573027841/g2fgZwa__normal.jpg","View")</f>
        <v>View</v>
      </c>
      <c r="P8883" s="27"/>
    </row>
    <row r="8884">
      <c r="A8884" s="14">
        <v>43031.87918981482</v>
      </c>
      <c r="B8884" s="20" t="str">
        <f>HYPERLINK("https://twitter.com/MayuYoshidaNews","@MayuYoshidaNews")</f>
        <v>@MayuYoshidaNews</v>
      </c>
      <c r="C8884" s="21" t="s">
        <v>19485</v>
      </c>
      <c r="D8884" s="21" t="s">
        <v>5126</v>
      </c>
      <c r="E8884" s="22" t="str">
        <f>HYPERLINK("https://twitter.com/MayuYoshidaNews/status/922675526564683776","922675526564683776")</f>
        <v>922675526564683776</v>
      </c>
      <c r="F8884" s="23" t="s">
        <v>39</v>
      </c>
      <c r="G8884" s="24">
        <v>1143.0</v>
      </c>
      <c r="H8884" s="24">
        <v>552.0</v>
      </c>
      <c r="I8884" s="24">
        <v>7.0</v>
      </c>
      <c r="J8884" s="24">
        <v>0.0</v>
      </c>
      <c r="K8884" s="23" t="s">
        <v>34</v>
      </c>
      <c r="L8884" s="25">
        <v>40202.93206018519</v>
      </c>
      <c r="M8884" s="26" t="s">
        <v>1518</v>
      </c>
      <c r="N8884" s="26" t="s">
        <v>19486</v>
      </c>
      <c r="O8884" s="22" t="str">
        <f>HYPERLINK("https://pbs.twimg.com/profile_images/824185707669417984/lzqKhkrX_normal.jpg","View")</f>
        <v>View</v>
      </c>
      <c r="P8884" s="27"/>
    </row>
    <row r="8885">
      <c r="A8885" s="14">
        <v>43031.87921296296</v>
      </c>
      <c r="B8885" s="20" t="str">
        <f>HYPERLINK("https://twitter.com/claudosky","@claudosky")</f>
        <v>@claudosky</v>
      </c>
      <c r="C8885" s="21" t="s">
        <v>19487</v>
      </c>
      <c r="D8885" s="21" t="s">
        <v>17703</v>
      </c>
      <c r="E8885" s="22" t="str">
        <f>HYPERLINK("https://twitter.com/claudosky/status/922675533955072001","922675533955072001")</f>
        <v>922675533955072001</v>
      </c>
      <c r="F8885" s="23" t="s">
        <v>55</v>
      </c>
      <c r="G8885" s="24">
        <v>4815.0</v>
      </c>
      <c r="H8885" s="24">
        <v>145.0</v>
      </c>
      <c r="I8885" s="24">
        <v>23.0</v>
      </c>
      <c r="J8885" s="24">
        <v>0.0</v>
      </c>
      <c r="K8885" s="23" t="s">
        <v>34</v>
      </c>
      <c r="L8885" s="25">
        <v>41593.45108796297</v>
      </c>
      <c r="M8885" s="26" t="s">
        <v>19488</v>
      </c>
      <c r="N8885" s="26" t="s">
        <v>19489</v>
      </c>
      <c r="O8885" s="22" t="str">
        <f>HYPERLINK("https://pbs.twimg.com/profile_images/911496383127048192/qH8Fz2Gl_normal.jpg","View")</f>
        <v>View</v>
      </c>
      <c r="P8885" s="27"/>
    </row>
    <row r="8886">
      <c r="A8886" s="14">
        <v>43031.87950231481</v>
      </c>
      <c r="B8886" s="20" t="str">
        <f>HYPERLINK("https://twitter.com/banaffles_22","@banaffles_22")</f>
        <v>@banaffles_22</v>
      </c>
      <c r="C8886" s="21" t="s">
        <v>19490</v>
      </c>
      <c r="D8886" s="21" t="s">
        <v>42</v>
      </c>
      <c r="E8886" s="22" t="str">
        <f>HYPERLINK("https://twitter.com/banaffles_22/status/922675640289050625","922675640289050625")</f>
        <v>922675640289050625</v>
      </c>
      <c r="F8886" s="23" t="s">
        <v>33</v>
      </c>
      <c r="G8886" s="24">
        <v>16.0</v>
      </c>
      <c r="H8886" s="24">
        <v>76.0</v>
      </c>
      <c r="I8886" s="24">
        <v>8501.0</v>
      </c>
      <c r="J8886" s="24">
        <v>0.0</v>
      </c>
      <c r="K8886" s="23" t="s">
        <v>34</v>
      </c>
      <c r="L8886" s="25">
        <v>42842.235393518524</v>
      </c>
      <c r="M8886" s="28"/>
      <c r="N8886" s="28"/>
      <c r="O8886" s="22" t="str">
        <f>HYPERLINK("https://abs.twimg.com/sticky/default_profile_images/default_profile_normal.png","View")</f>
        <v>View</v>
      </c>
      <c r="P8886" s="27"/>
    </row>
    <row r="8887">
      <c r="A8887" s="14">
        <v>43031.87957175926</v>
      </c>
      <c r="B8887" s="20" t="str">
        <f>HYPERLINK("https://twitter.com/hridyes","@hridyes")</f>
        <v>@hridyes</v>
      </c>
      <c r="C8887" s="21" t="s">
        <v>19491</v>
      </c>
      <c r="D8887" s="21" t="s">
        <v>42</v>
      </c>
      <c r="E8887" s="22" t="str">
        <f>HYPERLINK("https://twitter.com/hridyes/status/922675666067259393","922675666067259393")</f>
        <v>922675666067259393</v>
      </c>
      <c r="F8887" s="23" t="s">
        <v>39</v>
      </c>
      <c r="G8887" s="24">
        <v>104.0</v>
      </c>
      <c r="H8887" s="24">
        <v>110.0</v>
      </c>
      <c r="I8887" s="24">
        <v>8501.0</v>
      </c>
      <c r="J8887" s="24">
        <v>0.0</v>
      </c>
      <c r="K8887" s="23" t="s">
        <v>34</v>
      </c>
      <c r="L8887" s="25">
        <v>41943.31542824074</v>
      </c>
      <c r="M8887" s="28"/>
      <c r="N8887" s="26" t="s">
        <v>19492</v>
      </c>
      <c r="O8887" s="22" t="str">
        <f>HYPERLINK("https://pbs.twimg.com/profile_images/797859193097256961/y22hZXf5_normal.jpg","View")</f>
        <v>View</v>
      </c>
      <c r="P8887" s="27"/>
    </row>
    <row r="8888">
      <c r="A8888" s="14">
        <v>43031.87986111111</v>
      </c>
      <c r="B8888" s="20" t="str">
        <f>HYPERLINK("https://twitter.com/lisa14791","@lisa14791")</f>
        <v>@lisa14791</v>
      </c>
      <c r="C8888" s="21" t="s">
        <v>19493</v>
      </c>
      <c r="D8888" s="21" t="s">
        <v>19494</v>
      </c>
      <c r="E8888" s="22" t="str">
        <f>HYPERLINK("https://twitter.com/lisa14791/status/922675769029128193","922675769029128193")</f>
        <v>922675769029128193</v>
      </c>
      <c r="F8888" s="23" t="s">
        <v>4619</v>
      </c>
      <c r="G8888" s="24">
        <v>116.0</v>
      </c>
      <c r="H8888" s="24">
        <v>225.0</v>
      </c>
      <c r="I8888" s="24">
        <v>0.0</v>
      </c>
      <c r="J8888" s="24">
        <v>0.0</v>
      </c>
      <c r="K8888" s="23" t="s">
        <v>34</v>
      </c>
      <c r="L8888" s="25">
        <v>42657.38763888889</v>
      </c>
      <c r="M8888" s="26" t="s">
        <v>68</v>
      </c>
      <c r="N8888" s="28"/>
      <c r="O8888" s="22" t="str">
        <f>HYPERLINK("https://pbs.twimg.com/profile_images/788149345329766400/uQ5WHQ-H_normal.jpg","View")</f>
        <v>View</v>
      </c>
      <c r="P8888" s="27"/>
    </row>
    <row r="8889">
      <c r="A8889" s="14">
        <v>43031.87993055556</v>
      </c>
      <c r="B8889" s="20" t="str">
        <f>HYPERLINK("https://twitter.com/cllrjjames","@cllrjjames")</f>
        <v>@cllrjjames</v>
      </c>
      <c r="C8889" s="21" t="s">
        <v>19495</v>
      </c>
      <c r="D8889" s="21" t="s">
        <v>6403</v>
      </c>
      <c r="E8889" s="22" t="str">
        <f>HYPERLINK("https://twitter.com/cllrjjames/status/922675796204023808","922675796204023808")</f>
        <v>922675796204023808</v>
      </c>
      <c r="F8889" s="23" t="s">
        <v>230</v>
      </c>
      <c r="G8889" s="24">
        <v>766.0</v>
      </c>
      <c r="H8889" s="24">
        <v>615.0</v>
      </c>
      <c r="I8889" s="24">
        <v>97.0</v>
      </c>
      <c r="J8889" s="24">
        <v>0.0</v>
      </c>
      <c r="K8889" s="23" t="s">
        <v>34</v>
      </c>
      <c r="L8889" s="25">
        <v>40906.11046296296</v>
      </c>
      <c r="M8889" s="26" t="s">
        <v>19496</v>
      </c>
      <c r="N8889" s="26" t="s">
        <v>19497</v>
      </c>
      <c r="O8889" s="22" t="str">
        <f>HYPERLINK("https://pbs.twimg.com/profile_images/703521839906164736/c0XCV3Fm_normal.jpg","View")</f>
        <v>View</v>
      </c>
      <c r="P8889" s="27"/>
    </row>
    <row r="8890">
      <c r="A8890" s="14">
        <v>43031.87998842592</v>
      </c>
      <c r="B8890" s="20" t="str">
        <f>HYPERLINK("https://twitter.com/Amos_Jw","@Amos_Jw")</f>
        <v>@Amos_Jw</v>
      </c>
      <c r="C8890" s="21" t="s">
        <v>19498</v>
      </c>
      <c r="D8890" s="21" t="s">
        <v>19016</v>
      </c>
      <c r="E8890" s="22" t="str">
        <f>HYPERLINK("https://twitter.com/Amos_Jw/status/922675815896240134","922675815896240134")</f>
        <v>922675815896240134</v>
      </c>
      <c r="F8890" s="23" t="s">
        <v>33</v>
      </c>
      <c r="G8890" s="24">
        <v>442.0</v>
      </c>
      <c r="H8890" s="24">
        <v>76.0</v>
      </c>
      <c r="I8890" s="24">
        <v>51.0</v>
      </c>
      <c r="J8890" s="24">
        <v>0.0</v>
      </c>
      <c r="K8890" s="23" t="s">
        <v>34</v>
      </c>
      <c r="L8890" s="25">
        <v>41615.058229166665</v>
      </c>
      <c r="M8890" s="26" t="s">
        <v>19499</v>
      </c>
      <c r="N8890" s="26" t="s">
        <v>19500</v>
      </c>
      <c r="O8890" s="22" t="str">
        <f>HYPERLINK("https://pbs.twimg.com/profile_images/921626838207787008/H_CjfU4I_normal.jpg","View")</f>
        <v>View</v>
      </c>
      <c r="P8890" s="27"/>
    </row>
    <row r="8891">
      <c r="A8891" s="14">
        <v>43031.880324074074</v>
      </c>
      <c r="B8891" s="20" t="str">
        <f>HYPERLINK("https://twitter.com/rajesh20972","@rajesh20972")</f>
        <v>@rajesh20972</v>
      </c>
      <c r="C8891" s="21" t="s">
        <v>19501</v>
      </c>
      <c r="D8891" s="21" t="s">
        <v>42</v>
      </c>
      <c r="E8891" s="22" t="str">
        <f>HYPERLINK("https://twitter.com/rajesh20972/status/922675936088145926","922675936088145926")</f>
        <v>922675936088145926</v>
      </c>
      <c r="F8891" s="23" t="s">
        <v>33</v>
      </c>
      <c r="G8891" s="24">
        <v>53.0</v>
      </c>
      <c r="H8891" s="24">
        <v>283.0</v>
      </c>
      <c r="I8891" s="24">
        <v>8501.0</v>
      </c>
      <c r="J8891" s="24">
        <v>0.0</v>
      </c>
      <c r="K8891" s="23" t="s">
        <v>34</v>
      </c>
      <c r="L8891" s="25">
        <v>42975.80454861111</v>
      </c>
      <c r="M8891" s="26" t="s">
        <v>19502</v>
      </c>
      <c r="N8891" s="26" t="s">
        <v>19503</v>
      </c>
      <c r="O8891" s="22" t="str">
        <f>HYPERLINK("https://pbs.twimg.com/profile_images/907087910804975616/J6-O7pLT_normal.jpg","View")</f>
        <v>View</v>
      </c>
      <c r="P8891" s="27"/>
    </row>
    <row r="8892">
      <c r="A8892" s="14">
        <v>43031.88046296296</v>
      </c>
      <c r="B8892" s="20" t="str">
        <f>HYPERLINK("https://twitter.com/SureshChavhanke","@SureshChavhanke")</f>
        <v>@SureshChavhanke</v>
      </c>
      <c r="C8892" s="21" t="s">
        <v>19504</v>
      </c>
      <c r="D8892" s="21" t="s">
        <v>42</v>
      </c>
      <c r="E8892" s="22" t="str">
        <f>HYPERLINK("https://twitter.com/SureshChavhanke/status/922675987417989120","922675987417989120")</f>
        <v>922675987417989120</v>
      </c>
      <c r="F8892" s="23" t="s">
        <v>39</v>
      </c>
      <c r="G8892" s="24">
        <v>341715.0</v>
      </c>
      <c r="H8892" s="24">
        <v>186.0</v>
      </c>
      <c r="I8892" s="24">
        <v>8501.0</v>
      </c>
      <c r="J8892" s="24">
        <v>0.0</v>
      </c>
      <c r="K8892" s="23" t="s">
        <v>34</v>
      </c>
      <c r="L8892" s="25">
        <v>40189.045127314814</v>
      </c>
      <c r="M8892" s="26" t="s">
        <v>19505</v>
      </c>
      <c r="N8892" s="26" t="s">
        <v>19506</v>
      </c>
      <c r="O8892" s="22" t="str">
        <f>HYPERLINK("https://pbs.twimg.com/profile_images/864893314570403841/EvnI7gLW_normal.jpg","View")</f>
        <v>View</v>
      </c>
      <c r="P8892" s="27"/>
    </row>
    <row r="8893">
      <c r="A8893" s="14">
        <v>43031.88060185185</v>
      </c>
      <c r="B8893" s="20" t="str">
        <f>HYPERLINK("https://twitter.com/BSICBocconi","@BSICBocconi")</f>
        <v>@BSICBocconi</v>
      </c>
      <c r="C8893" s="21" t="s">
        <v>19507</v>
      </c>
      <c r="D8893" s="21" t="s">
        <v>19508</v>
      </c>
      <c r="E8893" s="22" t="str">
        <f>HYPERLINK("https://twitter.com/BSICBocconi/status/922676036491345920","922676036491345920")</f>
        <v>922676036491345920</v>
      </c>
      <c r="F8893" s="30" t="s">
        <v>411</v>
      </c>
      <c r="G8893" s="24">
        <v>303.0</v>
      </c>
      <c r="H8893" s="24">
        <v>147.0</v>
      </c>
      <c r="I8893" s="24">
        <v>0.0</v>
      </c>
      <c r="J8893" s="24">
        <v>0.0</v>
      </c>
      <c r="K8893" s="23" t="s">
        <v>34</v>
      </c>
      <c r="L8893" s="25">
        <v>41340.50121527778</v>
      </c>
      <c r="M8893" s="26" t="s">
        <v>19509</v>
      </c>
      <c r="N8893" s="26" t="s">
        <v>19510</v>
      </c>
      <c r="O8893" s="22" t="str">
        <f>HYPERLINK("https://pbs.twimg.com/profile_images/734316877585997824/VXWGLVnV_normal.jpg","View")</f>
        <v>View</v>
      </c>
      <c r="P8893" s="27"/>
    </row>
    <row r="8894">
      <c r="A8894" s="14">
        <v>43031.88068287037</v>
      </c>
      <c r="B8894" s="20" t="str">
        <f>HYPERLINK("https://twitter.com/triffin90","@triffin90")</f>
        <v>@triffin90</v>
      </c>
      <c r="C8894" s="21" t="s">
        <v>19511</v>
      </c>
      <c r="D8894" s="21" t="s">
        <v>8493</v>
      </c>
      <c r="E8894" s="22" t="str">
        <f>HYPERLINK("https://twitter.com/triffin90/status/922676065310527488","922676065310527488")</f>
        <v>922676065310527488</v>
      </c>
      <c r="F8894" s="23" t="s">
        <v>39</v>
      </c>
      <c r="G8894" s="24">
        <v>145.0</v>
      </c>
      <c r="H8894" s="24">
        <v>64.0</v>
      </c>
      <c r="I8894" s="24">
        <v>10.0</v>
      </c>
      <c r="J8894" s="24">
        <v>0.0</v>
      </c>
      <c r="K8894" s="23" t="s">
        <v>34</v>
      </c>
      <c r="L8894" s="25">
        <v>40308.69275462963</v>
      </c>
      <c r="M8894" s="26" t="s">
        <v>19512</v>
      </c>
      <c r="N8894" s="26" t="s">
        <v>19513</v>
      </c>
      <c r="O8894" s="22" t="str">
        <f>HYPERLINK("https://pbs.twimg.com/profile_images/846928438426513409/qkpKjh4x_normal.jpg","View")</f>
        <v>View</v>
      </c>
      <c r="P8894" s="27"/>
    </row>
    <row r="8895">
      <c r="A8895" s="14">
        <v>43031.8812962963</v>
      </c>
      <c r="B8895" s="20" t="str">
        <f>HYPERLINK("https://twitter.com/Wrangle75112470","@Wrangle75112470")</f>
        <v>@Wrangle75112470</v>
      </c>
      <c r="C8895" s="21" t="s">
        <v>19514</v>
      </c>
      <c r="D8895" s="21" t="s">
        <v>16537</v>
      </c>
      <c r="E8895" s="22" t="str">
        <f>HYPERLINK("https://twitter.com/Wrangle75112470/status/922676290271961088","922676290271961088")</f>
        <v>922676290271961088</v>
      </c>
      <c r="F8895" s="23" t="s">
        <v>33</v>
      </c>
      <c r="G8895" s="24">
        <v>90.0</v>
      </c>
      <c r="H8895" s="24">
        <v>1048.0</v>
      </c>
      <c r="I8895" s="24">
        <v>242.0</v>
      </c>
      <c r="J8895" s="24">
        <v>0.0</v>
      </c>
      <c r="K8895" s="23" t="s">
        <v>34</v>
      </c>
      <c r="L8895" s="25">
        <v>42972.96136574074</v>
      </c>
      <c r="M8895" s="26" t="s">
        <v>3327</v>
      </c>
      <c r="N8895" s="26" t="s">
        <v>19515</v>
      </c>
      <c r="O8895" s="22" t="str">
        <f>HYPERLINK("https://pbs.twimg.com/profile_images/901355490944339968/ok6JXuAo_normal.jpg","View")</f>
        <v>View</v>
      </c>
      <c r="P8895" s="27"/>
    </row>
    <row r="8896">
      <c r="A8896" s="14">
        <v>43031.88241898148</v>
      </c>
      <c r="B8896" s="20" t="str">
        <f>HYPERLINK("https://twitter.com/jtlenaghan","@jtlenaghan")</f>
        <v>@jtlenaghan</v>
      </c>
      <c r="C8896" s="21" t="s">
        <v>19516</v>
      </c>
      <c r="D8896" s="21" t="s">
        <v>6403</v>
      </c>
      <c r="E8896" s="22" t="str">
        <f>HYPERLINK("https://twitter.com/jtlenaghan/status/922676694976221184","922676694976221184")</f>
        <v>922676694976221184</v>
      </c>
      <c r="F8896" s="23" t="s">
        <v>55</v>
      </c>
      <c r="G8896" s="24">
        <v>80.0</v>
      </c>
      <c r="H8896" s="24">
        <v>94.0</v>
      </c>
      <c r="I8896" s="24">
        <v>97.0</v>
      </c>
      <c r="J8896" s="24">
        <v>0.0</v>
      </c>
      <c r="K8896" s="23" t="s">
        <v>34</v>
      </c>
      <c r="L8896" s="25">
        <v>40925.73023148148</v>
      </c>
      <c r="M8896" s="26" t="s">
        <v>19517</v>
      </c>
      <c r="N8896" s="26" t="s">
        <v>19518</v>
      </c>
      <c r="O8896" s="22" t="str">
        <f>HYPERLINK("https://pbs.twimg.com/profile_images/833173964436467713/jtM9qn4x_normal.jpg","View")</f>
        <v>View</v>
      </c>
      <c r="P8896" s="27"/>
    </row>
    <row r="8897">
      <c r="A8897" s="14">
        <v>43031.88247685185</v>
      </c>
      <c r="B8897" s="20" t="str">
        <f>HYPERLINK("https://twitter.com/Psycho_Engineer","@Psycho_Engineer")</f>
        <v>@Psycho_Engineer</v>
      </c>
      <c r="C8897" s="21" t="s">
        <v>19519</v>
      </c>
      <c r="D8897" s="21" t="s">
        <v>42</v>
      </c>
      <c r="E8897" s="22" t="str">
        <f>HYPERLINK("https://twitter.com/Psycho_Engineer/status/922676716920647680","922676716920647680")</f>
        <v>922676716920647680</v>
      </c>
      <c r="F8897" s="23" t="s">
        <v>33</v>
      </c>
      <c r="G8897" s="24">
        <v>50.0</v>
      </c>
      <c r="H8897" s="24">
        <v>113.0</v>
      </c>
      <c r="I8897" s="24">
        <v>8501.0</v>
      </c>
      <c r="J8897" s="24">
        <v>0.0</v>
      </c>
      <c r="K8897" s="23" t="s">
        <v>34</v>
      </c>
      <c r="L8897" s="25">
        <v>40983.43219907407</v>
      </c>
      <c r="M8897" s="26" t="s">
        <v>19520</v>
      </c>
      <c r="N8897" s="26" t="s">
        <v>19521</v>
      </c>
      <c r="O8897" s="22" t="str">
        <f>HYPERLINK("https://pbs.twimg.com/profile_images/893106564650770432/udaQtCY6_normal.jpg","View")</f>
        <v>View</v>
      </c>
      <c r="P8897" s="27"/>
    </row>
    <row r="8898">
      <c r="A8898" s="14">
        <v>43031.882569444446</v>
      </c>
      <c r="B8898" s="20" t="str">
        <f>HYPERLINK("https://twitter.com/PianetBardock","@PianetBardock")</f>
        <v>@PianetBardock</v>
      </c>
      <c r="C8898" s="21" t="s">
        <v>19522</v>
      </c>
      <c r="D8898" s="21" t="s">
        <v>2369</v>
      </c>
      <c r="E8898" s="22" t="str">
        <f>HYPERLINK("https://twitter.com/PianetBardock/status/922676752316551170","922676752316551170")</f>
        <v>922676752316551170</v>
      </c>
      <c r="F8898" s="23" t="s">
        <v>33</v>
      </c>
      <c r="G8898" s="24">
        <v>19.0</v>
      </c>
      <c r="H8898" s="24">
        <v>1431.0</v>
      </c>
      <c r="I8898" s="24">
        <v>23.0</v>
      </c>
      <c r="J8898" s="24">
        <v>0.0</v>
      </c>
      <c r="K8898" s="23" t="s">
        <v>34</v>
      </c>
      <c r="L8898" s="25">
        <v>41082.18960648148</v>
      </c>
      <c r="M8898" s="26" t="s">
        <v>19523</v>
      </c>
      <c r="N8898" s="26" t="s">
        <v>19524</v>
      </c>
      <c r="O8898" s="22" t="str">
        <f>HYPERLINK("https://pbs.twimg.com/profile_images/764250773077254148/fGJu3UZV_normal.jpg","View")</f>
        <v>View</v>
      </c>
      <c r="P8898" s="27"/>
    </row>
    <row r="8899">
      <c r="A8899" s="14">
        <v>43031.88319444444</v>
      </c>
      <c r="B8899" s="20" t="str">
        <f>HYPERLINK("https://twitter.com/vishaltg","@vishaltg")</f>
        <v>@vishaltg</v>
      </c>
      <c r="C8899" s="21" t="s">
        <v>19525</v>
      </c>
      <c r="D8899" s="21" t="s">
        <v>42</v>
      </c>
      <c r="E8899" s="22" t="str">
        <f>HYPERLINK("https://twitter.com/vishaltg/status/922676976929738752","922676976929738752")</f>
        <v>922676976929738752</v>
      </c>
      <c r="F8899" s="23" t="s">
        <v>33</v>
      </c>
      <c r="G8899" s="24">
        <v>529.0</v>
      </c>
      <c r="H8899" s="24">
        <v>1131.0</v>
      </c>
      <c r="I8899" s="24">
        <v>8501.0</v>
      </c>
      <c r="J8899" s="24">
        <v>0.0</v>
      </c>
      <c r="K8899" s="23" t="s">
        <v>34</v>
      </c>
      <c r="L8899" s="25">
        <v>40489.31792824074</v>
      </c>
      <c r="M8899" s="26" t="s">
        <v>204</v>
      </c>
      <c r="N8899" s="26" t="s">
        <v>19526</v>
      </c>
      <c r="O8899" s="22" t="str">
        <f>HYPERLINK("https://pbs.twimg.com/profile_images/825036746173747200/540lmO13_normal.jpg","View")</f>
        <v>View</v>
      </c>
      <c r="P8899" s="27"/>
    </row>
    <row r="8900">
      <c r="A8900" s="14">
        <v>43031.88321759259</v>
      </c>
      <c r="B8900" s="20" t="str">
        <f>HYPERLINK("https://twitter.com/Cookiemuffen","@Cookiemuffen")</f>
        <v>@Cookiemuffen</v>
      </c>
      <c r="C8900" s="21" t="s">
        <v>16302</v>
      </c>
      <c r="D8900" s="21" t="s">
        <v>19527</v>
      </c>
      <c r="E8900" s="22" t="str">
        <f>HYPERLINK("https://twitter.com/Cookiemuffen/status/922676986824347648","922676986824347648")</f>
        <v>922676986824347648</v>
      </c>
      <c r="F8900" s="23" t="s">
        <v>230</v>
      </c>
      <c r="G8900" s="24">
        <v>3189.0</v>
      </c>
      <c r="H8900" s="24">
        <v>3384.0</v>
      </c>
      <c r="I8900" s="24">
        <v>1.0</v>
      </c>
      <c r="J8900" s="24">
        <v>0.0</v>
      </c>
      <c r="K8900" s="23" t="s">
        <v>34</v>
      </c>
      <c r="L8900" s="25">
        <v>40208.50670138889</v>
      </c>
      <c r="M8900" s="26" t="s">
        <v>16303</v>
      </c>
      <c r="N8900" s="26" t="s">
        <v>16304</v>
      </c>
      <c r="O8900" s="22" t="str">
        <f>HYPERLINK("https://pbs.twimg.com/profile_images/875544477070479360/GHK0HYJN_normal.jpg","View")</f>
        <v>View</v>
      </c>
      <c r="P8900" s="27"/>
    </row>
    <row r="8901">
      <c r="A8901" s="14">
        <v>43031.88333333333</v>
      </c>
      <c r="B8901" s="20" t="str">
        <f>HYPERLINK("https://twitter.com/ArmorCavSpin","@ArmorCavSpin")</f>
        <v>@ArmorCavSpin</v>
      </c>
      <c r="C8901" s="21" t="s">
        <v>17799</v>
      </c>
      <c r="D8901" s="21" t="s">
        <v>19528</v>
      </c>
      <c r="E8901" s="22" t="str">
        <f>HYPERLINK("https://twitter.com/ArmorCavSpin/status/922677028700143616","922677028700143616")</f>
        <v>922677028700143616</v>
      </c>
      <c r="F8901" s="23" t="s">
        <v>55</v>
      </c>
      <c r="G8901" s="24">
        <v>13838.0</v>
      </c>
      <c r="H8901" s="24">
        <v>12346.0</v>
      </c>
      <c r="I8901" s="24">
        <v>1.0</v>
      </c>
      <c r="J8901" s="24">
        <v>0.0</v>
      </c>
      <c r="K8901" s="23" t="s">
        <v>34</v>
      </c>
      <c r="L8901" s="25">
        <v>39948.59069444444</v>
      </c>
      <c r="M8901" s="26" t="s">
        <v>17801</v>
      </c>
      <c r="N8901" s="26" t="s">
        <v>17802</v>
      </c>
      <c r="O8901" s="22" t="str">
        <f>HYPERLINK("https://pbs.twimg.com/profile_images/2761357740/ea6911700058c078018367dea110654c_normal.jpeg","View")</f>
        <v>View</v>
      </c>
      <c r="P8901" s="27"/>
    </row>
    <row r="8902">
      <c r="A8902" s="14">
        <v>43031.88342592593</v>
      </c>
      <c r="B8902" s="20" t="str">
        <f>HYPERLINK("https://twitter.com/kei20090224","@kei20090224")</f>
        <v>@kei20090224</v>
      </c>
      <c r="C8902" s="21" t="s">
        <v>19529</v>
      </c>
      <c r="D8902" s="21" t="s">
        <v>19530</v>
      </c>
      <c r="E8902" s="22" t="str">
        <f>HYPERLINK("https://twitter.com/kei20090224/status/922677061373739008","922677061373739008")</f>
        <v>922677061373739008</v>
      </c>
      <c r="F8902" s="23" t="s">
        <v>39</v>
      </c>
      <c r="G8902" s="24">
        <v>217.0</v>
      </c>
      <c r="H8902" s="24">
        <v>766.0</v>
      </c>
      <c r="I8902" s="24">
        <v>3.0</v>
      </c>
      <c r="J8902" s="24">
        <v>0.0</v>
      </c>
      <c r="K8902" s="23" t="s">
        <v>34</v>
      </c>
      <c r="L8902" s="25">
        <v>40276.425092592595</v>
      </c>
      <c r="M8902" s="26" t="s">
        <v>923</v>
      </c>
      <c r="N8902" s="28"/>
      <c r="O8902" s="22" t="str">
        <f>HYPERLINK("https://pbs.twimg.com/profile_images/2422181957/image_normal.jpg","View")</f>
        <v>View</v>
      </c>
      <c r="P8902" s="27"/>
    </row>
    <row r="8903">
      <c r="A8903" s="14">
        <v>43031.88440972222</v>
      </c>
      <c r="B8903" s="20" t="str">
        <f>HYPERLINK("https://twitter.com/TamasakaTomozo","@TamasakaTomozo")</f>
        <v>@TamasakaTomozo</v>
      </c>
      <c r="C8903" s="21" t="s">
        <v>19531</v>
      </c>
      <c r="D8903" s="21" t="s">
        <v>1642</v>
      </c>
      <c r="E8903" s="22" t="str">
        <f>HYPERLINK("https://twitter.com/TamasakaTomozo/status/922677417092583424","922677417092583424")</f>
        <v>922677417092583424</v>
      </c>
      <c r="F8903" s="23" t="s">
        <v>55</v>
      </c>
      <c r="G8903" s="24">
        <v>8.0</v>
      </c>
      <c r="H8903" s="24">
        <v>70.0</v>
      </c>
      <c r="I8903" s="24">
        <v>199.0</v>
      </c>
      <c r="J8903" s="24">
        <v>0.0</v>
      </c>
      <c r="K8903" s="23" t="s">
        <v>34</v>
      </c>
      <c r="L8903" s="25">
        <v>43028.344189814816</v>
      </c>
      <c r="M8903" s="26" t="s">
        <v>19532</v>
      </c>
      <c r="N8903" s="26" t="s">
        <v>19533</v>
      </c>
      <c r="O8903" s="22" t="str">
        <f>HYPERLINK("https://pbs.twimg.com/profile_images/922680958406443008/Z0j1ZfNo_normal.jpg","View")</f>
        <v>View</v>
      </c>
      <c r="P8903" s="27"/>
    </row>
    <row r="8904">
      <c r="A8904" s="14">
        <v>43031.88449074074</v>
      </c>
      <c r="B8904" s="20" t="str">
        <f>HYPERLINK("https://twitter.com/wm88wm88","@wm88wm88")</f>
        <v>@wm88wm88</v>
      </c>
      <c r="C8904" s="21" t="s">
        <v>19534</v>
      </c>
      <c r="D8904" s="21" t="s">
        <v>12974</v>
      </c>
      <c r="E8904" s="22" t="str">
        <f>HYPERLINK("https://twitter.com/wm88wm88/status/922677448461795328","922677448461795328")</f>
        <v>922677448461795328</v>
      </c>
      <c r="F8904" s="23" t="s">
        <v>39</v>
      </c>
      <c r="G8904" s="24">
        <v>482.0</v>
      </c>
      <c r="H8904" s="24">
        <v>238.0</v>
      </c>
      <c r="I8904" s="24">
        <v>110.0</v>
      </c>
      <c r="J8904" s="24">
        <v>0.0</v>
      </c>
      <c r="K8904" s="23" t="s">
        <v>34</v>
      </c>
      <c r="L8904" s="25">
        <v>40875.43645833334</v>
      </c>
      <c r="M8904" s="26" t="s">
        <v>19535</v>
      </c>
      <c r="N8904" s="26" t="s">
        <v>19536</v>
      </c>
      <c r="O8904" s="22" t="str">
        <f>HYPERLINK("https://pbs.twimg.com/profile_images/922996808837558272/1rObWUwK_normal.jpg","View")</f>
        <v>View</v>
      </c>
      <c r="P8904" s="27"/>
    </row>
    <row r="8905">
      <c r="A8905" s="14">
        <v>43031.88479166667</v>
      </c>
      <c r="B8905" s="20" t="str">
        <f>HYPERLINK("https://twitter.com/Kapilchhabra91","@Kapilchhabra91")</f>
        <v>@Kapilchhabra91</v>
      </c>
      <c r="C8905" s="21" t="s">
        <v>19537</v>
      </c>
      <c r="D8905" s="21" t="s">
        <v>42</v>
      </c>
      <c r="E8905" s="22" t="str">
        <f>HYPERLINK("https://twitter.com/Kapilchhabra91/status/922677554674356224","922677554674356224")</f>
        <v>922677554674356224</v>
      </c>
      <c r="F8905" s="23" t="s">
        <v>33</v>
      </c>
      <c r="G8905" s="24">
        <v>62.0</v>
      </c>
      <c r="H8905" s="24">
        <v>366.0</v>
      </c>
      <c r="I8905" s="24">
        <v>8501.0</v>
      </c>
      <c r="J8905" s="24">
        <v>0.0</v>
      </c>
      <c r="K8905" s="23" t="s">
        <v>34</v>
      </c>
      <c r="L8905" s="25">
        <v>42228.20515046296</v>
      </c>
      <c r="M8905" s="26" t="s">
        <v>19538</v>
      </c>
      <c r="N8905" s="26" t="s">
        <v>19539</v>
      </c>
      <c r="O8905" s="22" t="str">
        <f>HYPERLINK("https://pbs.twimg.com/profile_images/631440182110126080/ZHFcvbh1_normal.jpg","View")</f>
        <v>View</v>
      </c>
      <c r="P8905" s="27"/>
    </row>
    <row r="8906">
      <c r="A8906" s="14">
        <v>43031.88487268519</v>
      </c>
      <c r="B8906" s="20" t="str">
        <f>HYPERLINK("https://twitter.com/wickeduttam28","@wickeduttam28")</f>
        <v>@wickeduttam28</v>
      </c>
      <c r="C8906" s="21" t="s">
        <v>19540</v>
      </c>
      <c r="D8906" s="21" t="s">
        <v>42</v>
      </c>
      <c r="E8906" s="22" t="str">
        <f>HYPERLINK("https://twitter.com/wickeduttam28/status/922677584286040064","922677584286040064")</f>
        <v>922677584286040064</v>
      </c>
      <c r="F8906" s="23" t="s">
        <v>33</v>
      </c>
      <c r="G8906" s="24">
        <v>6.0</v>
      </c>
      <c r="H8906" s="24">
        <v>61.0</v>
      </c>
      <c r="I8906" s="24">
        <v>8501.0</v>
      </c>
      <c r="J8906" s="24">
        <v>0.0</v>
      </c>
      <c r="K8906" s="23" t="s">
        <v>34</v>
      </c>
      <c r="L8906" s="25">
        <v>42761.114699074074</v>
      </c>
      <c r="M8906" s="28"/>
      <c r="N8906" s="26" t="s">
        <v>19541</v>
      </c>
      <c r="O8906" s="22" t="str">
        <f>HYPERLINK("https://pbs.twimg.com/profile_images/824573804957536258/KNdpbhdJ_normal.jpg","View")</f>
        <v>View</v>
      </c>
      <c r="P8906" s="27"/>
    </row>
    <row r="8907">
      <c r="A8907" s="14">
        <v>43031.88501157408</v>
      </c>
      <c r="B8907" s="20" t="str">
        <f>HYPERLINK("https://twitter.com/edgawanewcomer","@edgawanewcomer")</f>
        <v>@edgawanewcomer</v>
      </c>
      <c r="C8907" s="21" t="s">
        <v>19466</v>
      </c>
      <c r="D8907" s="21" t="s">
        <v>19542</v>
      </c>
      <c r="E8907" s="22" t="str">
        <f>HYPERLINK("https://twitter.com/edgawanewcomer/status/922677633615241217","922677633615241217")</f>
        <v>922677633615241217</v>
      </c>
      <c r="F8907" s="23" t="s">
        <v>55</v>
      </c>
      <c r="G8907" s="24">
        <v>70.0</v>
      </c>
      <c r="H8907" s="24">
        <v>412.0</v>
      </c>
      <c r="I8907" s="24">
        <v>12.0</v>
      </c>
      <c r="J8907" s="24">
        <v>0.0</v>
      </c>
      <c r="K8907" s="23" t="s">
        <v>34</v>
      </c>
      <c r="L8907" s="25">
        <v>42931.68939814815</v>
      </c>
      <c r="M8907" s="26" t="s">
        <v>19467</v>
      </c>
      <c r="N8907" s="26" t="s">
        <v>19468</v>
      </c>
      <c r="O8907" s="22" t="str">
        <f>HYPERLINK("https://pbs.twimg.com/profile_images/886749143233814529/Wer1UREb_normal.jpg","View")</f>
        <v>View</v>
      </c>
      <c r="P8907" s="27"/>
    </row>
    <row r="8908">
      <c r="A8908" s="14">
        <v>43031.88508101852</v>
      </c>
      <c r="B8908" s="20" t="str">
        <f>HYPERLINK("https://twitter.com/shalimarguru","@shalimarguru")</f>
        <v>@shalimarguru</v>
      </c>
      <c r="C8908" s="21" t="s">
        <v>19543</v>
      </c>
      <c r="D8908" s="21" t="s">
        <v>19544</v>
      </c>
      <c r="E8908" s="22" t="str">
        <f>HYPERLINK("https://twitter.com/shalimarguru/status/922677659431309312","922677659431309312")</f>
        <v>922677659431309312</v>
      </c>
      <c r="F8908" s="23" t="s">
        <v>55</v>
      </c>
      <c r="G8908" s="24">
        <v>1078.0</v>
      </c>
      <c r="H8908" s="24">
        <v>1709.0</v>
      </c>
      <c r="I8908" s="24">
        <v>0.0</v>
      </c>
      <c r="J8908" s="24">
        <v>0.0</v>
      </c>
      <c r="K8908" s="23" t="s">
        <v>34</v>
      </c>
      <c r="L8908" s="25">
        <v>39998.35974537037</v>
      </c>
      <c r="M8908" s="26" t="s">
        <v>19545</v>
      </c>
      <c r="N8908" s="26" t="s">
        <v>19546</v>
      </c>
      <c r="O8908" s="22" t="str">
        <f>HYPERLINK("https://pbs.twimg.com/profile_images/630508564/2010-01-11_19-51-57.122_normal.jpg","View")</f>
        <v>View</v>
      </c>
      <c r="P8908" s="27"/>
    </row>
    <row r="8909">
      <c r="A8909" s="14">
        <v>43031.88556712963</v>
      </c>
      <c r="B8909" s="20" t="str">
        <f>HYPERLINK("https://twitter.com/hikosaemon","@hikosaemon")</f>
        <v>@hikosaemon</v>
      </c>
      <c r="C8909" s="21" t="s">
        <v>19547</v>
      </c>
      <c r="D8909" s="21" t="s">
        <v>19548</v>
      </c>
      <c r="E8909" s="22" t="str">
        <f>HYPERLINK("https://twitter.com/hikosaemon/status/922677837986959360","922677837986959360")</f>
        <v>922677837986959360</v>
      </c>
      <c r="F8909" s="23" t="s">
        <v>4619</v>
      </c>
      <c r="G8909" s="24">
        <v>10869.0</v>
      </c>
      <c r="H8909" s="24">
        <v>6719.0</v>
      </c>
      <c r="I8909" s="24">
        <v>0.0</v>
      </c>
      <c r="J8909" s="24">
        <v>0.0</v>
      </c>
      <c r="K8909" s="23" t="s">
        <v>34</v>
      </c>
      <c r="L8909" s="25">
        <v>39933.02936342593</v>
      </c>
      <c r="M8909" s="26" t="s">
        <v>923</v>
      </c>
      <c r="N8909" s="26" t="s">
        <v>19549</v>
      </c>
      <c r="O8909" s="22" t="str">
        <f>HYPERLINK("https://pbs.twimg.com/profile_images/667341467203993600/K4ONEP4k_normal.png","View")</f>
        <v>View</v>
      </c>
      <c r="P8909" s="27"/>
    </row>
    <row r="8910">
      <c r="A8910" s="14">
        <v>43031.88568287037</v>
      </c>
      <c r="B8910" s="20" t="str">
        <f>HYPERLINK("https://twitter.com/GrandpaJerry0","@GrandpaJerry0")</f>
        <v>@GrandpaJerry0</v>
      </c>
      <c r="C8910" s="21" t="s">
        <v>19550</v>
      </c>
      <c r="D8910" s="21" t="s">
        <v>19551</v>
      </c>
      <c r="E8910" s="22" t="str">
        <f>HYPERLINK("https://twitter.com/GrandpaJerry0/status/922677880470978560","922677880470978560")</f>
        <v>922677880470978560</v>
      </c>
      <c r="F8910" s="23" t="s">
        <v>55</v>
      </c>
      <c r="G8910" s="24">
        <v>83.0</v>
      </c>
      <c r="H8910" s="24">
        <v>338.0</v>
      </c>
      <c r="I8910" s="24">
        <v>0.0</v>
      </c>
      <c r="J8910" s="24">
        <v>1.0</v>
      </c>
      <c r="K8910" s="23" t="s">
        <v>34</v>
      </c>
      <c r="L8910" s="25">
        <v>42430.42451388889</v>
      </c>
      <c r="M8910" s="26" t="s">
        <v>1024</v>
      </c>
      <c r="N8910" s="26" t="s">
        <v>19552</v>
      </c>
      <c r="O8910" s="22" t="str">
        <f>HYPERLINK("https://pbs.twimg.com/profile_images/831898222088089600/M1Ot5Myg_normal.jpg","View")</f>
        <v>View</v>
      </c>
      <c r="P8910" s="27"/>
    </row>
    <row r="8911">
      <c r="A8911" s="14">
        <v>43031.88670138889</v>
      </c>
      <c r="B8911" s="20" t="str">
        <f>HYPERLINK("https://twitter.com/SushilS58713145","@SushilS58713145")</f>
        <v>@SushilS58713145</v>
      </c>
      <c r="C8911" s="21" t="s">
        <v>19553</v>
      </c>
      <c r="D8911" s="21" t="s">
        <v>42</v>
      </c>
      <c r="E8911" s="22" t="str">
        <f>HYPERLINK("https://twitter.com/SushilS58713145/status/922678246407147520","922678246407147520")</f>
        <v>922678246407147520</v>
      </c>
      <c r="F8911" s="23" t="s">
        <v>33</v>
      </c>
      <c r="G8911" s="24">
        <v>2.0</v>
      </c>
      <c r="H8911" s="24">
        <v>84.0</v>
      </c>
      <c r="I8911" s="24">
        <v>8501.0</v>
      </c>
      <c r="J8911" s="24">
        <v>0.0</v>
      </c>
      <c r="K8911" s="23" t="s">
        <v>34</v>
      </c>
      <c r="L8911" s="25">
        <v>43008.26202546296</v>
      </c>
      <c r="M8911" s="26" t="s">
        <v>204</v>
      </c>
      <c r="N8911" s="26" t="s">
        <v>19554</v>
      </c>
      <c r="O8911" s="22" t="str">
        <f>HYPERLINK("https://pbs.twimg.com/profile_images/914119382648856576/TF6l-56l_normal.jpg","View")</f>
        <v>View</v>
      </c>
      <c r="P8911" s="27"/>
    </row>
    <row r="8912">
      <c r="A8912" s="14">
        <v>43031.88688657407</v>
      </c>
      <c r="B8912" s="20" t="str">
        <f>HYPERLINK("https://twitter.com/Ravikumar_NS","@Ravikumar_NS")</f>
        <v>@Ravikumar_NS</v>
      </c>
      <c r="C8912" s="21" t="s">
        <v>19555</v>
      </c>
      <c r="D8912" s="21" t="s">
        <v>42</v>
      </c>
      <c r="E8912" s="22" t="str">
        <f>HYPERLINK("https://twitter.com/Ravikumar_NS/status/922678313348243456","922678313348243456")</f>
        <v>922678313348243456</v>
      </c>
      <c r="F8912" s="23" t="s">
        <v>55</v>
      </c>
      <c r="G8912" s="24">
        <v>40.0</v>
      </c>
      <c r="H8912" s="24">
        <v>18.0</v>
      </c>
      <c r="I8912" s="24">
        <v>8501.0</v>
      </c>
      <c r="J8912" s="24">
        <v>0.0</v>
      </c>
      <c r="K8912" s="23" t="s">
        <v>34</v>
      </c>
      <c r="L8912" s="25">
        <v>42682.91270833333</v>
      </c>
      <c r="M8912" s="28"/>
      <c r="N8912" s="28"/>
      <c r="O8912" s="22" t="str">
        <f>HYPERLINK("https://pbs.twimg.com/profile_images/892687854043766784/lCRQ_T0H_normal.jpg","View")</f>
        <v>View</v>
      </c>
      <c r="P8912" s="27"/>
    </row>
    <row r="8913">
      <c r="A8913" s="14">
        <v>43031.88700231482</v>
      </c>
      <c r="B8913" s="20" t="str">
        <f>HYPERLINK("https://twitter.com/elisabethkirche","@elisabethkirche")</f>
        <v>@elisabethkirche</v>
      </c>
      <c r="C8913" s="21" t="s">
        <v>19556</v>
      </c>
      <c r="D8913" s="21" t="s">
        <v>8782</v>
      </c>
      <c r="E8913" s="22" t="str">
        <f>HYPERLINK("https://twitter.com/elisabethkirche/status/922678358936190976","922678358936190976")</f>
        <v>922678358936190976</v>
      </c>
      <c r="F8913" s="23" t="s">
        <v>55</v>
      </c>
      <c r="G8913" s="24">
        <v>783.0</v>
      </c>
      <c r="H8913" s="24">
        <v>462.0</v>
      </c>
      <c r="I8913" s="24">
        <v>20.0</v>
      </c>
      <c r="J8913" s="24">
        <v>0.0</v>
      </c>
      <c r="K8913" s="23" t="s">
        <v>34</v>
      </c>
      <c r="L8913" s="25">
        <v>40426.9365625</v>
      </c>
      <c r="M8913" s="28"/>
      <c r="N8913" s="26" t="s">
        <v>19557</v>
      </c>
      <c r="O8913" s="22" t="str">
        <f>HYPERLINK("https://pbs.twimg.com/profile_images/1566860628/030224-006_normal.jpg","View")</f>
        <v>View</v>
      </c>
      <c r="P8913" s="27"/>
    </row>
    <row r="8914">
      <c r="A8914" s="14">
        <v>43031.88710648148</v>
      </c>
      <c r="B8914" s="20" t="str">
        <f>HYPERLINK("https://twitter.com/gauravs51718501","@gauravs51718501")</f>
        <v>@gauravs51718501</v>
      </c>
      <c r="C8914" s="21" t="s">
        <v>19558</v>
      </c>
      <c r="D8914" s="21" t="s">
        <v>42</v>
      </c>
      <c r="E8914" s="22" t="str">
        <f>HYPERLINK("https://twitter.com/gauravs51718501/status/922678396185747457","922678396185747457")</f>
        <v>922678396185747457</v>
      </c>
      <c r="F8914" s="23" t="s">
        <v>33</v>
      </c>
      <c r="G8914" s="24">
        <v>73.0</v>
      </c>
      <c r="H8914" s="24">
        <v>357.0</v>
      </c>
      <c r="I8914" s="24">
        <v>8501.0</v>
      </c>
      <c r="J8914" s="24">
        <v>0.0</v>
      </c>
      <c r="K8914" s="23" t="s">
        <v>34</v>
      </c>
      <c r="L8914" s="25">
        <v>42681.382523148146</v>
      </c>
      <c r="M8914" s="26" t="s">
        <v>96</v>
      </c>
      <c r="N8914" s="26" t="s">
        <v>19559</v>
      </c>
      <c r="O8914" s="22" t="str">
        <f>HYPERLINK("https://pbs.twimg.com/profile_images/795942078588911616/JGohZJPu_normal.jpg","View")</f>
        <v>View</v>
      </c>
      <c r="P8914" s="27"/>
    </row>
    <row r="8915">
      <c r="A8915" s="14">
        <v>43031.88753472222</v>
      </c>
      <c r="B8915" s="20" t="str">
        <f>HYPERLINK("https://twitter.com/annafifield","@annafifield")</f>
        <v>@annafifield</v>
      </c>
      <c r="C8915" s="21" t="s">
        <v>19560</v>
      </c>
      <c r="D8915" s="21" t="s">
        <v>19561</v>
      </c>
      <c r="E8915" s="22" t="str">
        <f>HYPERLINK("https://twitter.com/annafifield/status/922678548535631873","922678548535631873")</f>
        <v>922678548535631873</v>
      </c>
      <c r="F8915" s="23" t="s">
        <v>4619</v>
      </c>
      <c r="G8915" s="24">
        <v>66515.0</v>
      </c>
      <c r="H8915" s="24">
        <v>1321.0</v>
      </c>
      <c r="I8915" s="24">
        <v>9.0</v>
      </c>
      <c r="J8915" s="24">
        <v>8.0</v>
      </c>
      <c r="K8915" s="23" t="s">
        <v>34</v>
      </c>
      <c r="L8915" s="25">
        <v>40040.3068287037</v>
      </c>
      <c r="M8915" s="26" t="s">
        <v>19562</v>
      </c>
      <c r="N8915" s="26" t="s">
        <v>19563</v>
      </c>
      <c r="O8915" s="22" t="str">
        <f>HYPERLINK("https://pbs.twimg.com/profile_images/691449618329006080/ZtSbU6cz_normal.jpg","View")</f>
        <v>View</v>
      </c>
      <c r="P8915" s="27"/>
    </row>
    <row r="8916">
      <c r="A8916" s="14">
        <v>43031.88753472222</v>
      </c>
      <c r="B8916" s="20" t="str">
        <f>HYPERLINK("https://twitter.com/manakisandeep","@manakisandeep")</f>
        <v>@manakisandeep</v>
      </c>
      <c r="C8916" s="21" t="s">
        <v>19564</v>
      </c>
      <c r="D8916" s="21" t="s">
        <v>42</v>
      </c>
      <c r="E8916" s="22" t="str">
        <f>HYPERLINK("https://twitter.com/manakisandeep/status/922678549563113473","922678549563113473")</f>
        <v>922678549563113473</v>
      </c>
      <c r="F8916" s="23" t="s">
        <v>33</v>
      </c>
      <c r="G8916" s="24">
        <v>401.0</v>
      </c>
      <c r="H8916" s="24">
        <v>615.0</v>
      </c>
      <c r="I8916" s="24">
        <v>8501.0</v>
      </c>
      <c r="J8916" s="24">
        <v>0.0</v>
      </c>
      <c r="K8916" s="23" t="s">
        <v>34</v>
      </c>
      <c r="L8916" s="25">
        <v>42637.9705324074</v>
      </c>
      <c r="M8916" s="26" t="s">
        <v>19565</v>
      </c>
      <c r="N8916" s="26" t="s">
        <v>19566</v>
      </c>
      <c r="O8916" s="22" t="str">
        <f>HYPERLINK("https://pbs.twimg.com/profile_images/900009061143400448/4I0HJlOP_normal.jpg","View")</f>
        <v>View</v>
      </c>
      <c r="P8916" s="27"/>
    </row>
    <row r="8917">
      <c r="A8917" s="14">
        <v>43031.88763888889</v>
      </c>
      <c r="B8917" s="20" t="str">
        <f>HYPERLINK("https://twitter.com/ManchurianDevil","@ManchurianDevil")</f>
        <v>@ManchurianDevil</v>
      </c>
      <c r="C8917" s="21" t="s">
        <v>19567</v>
      </c>
      <c r="D8917" s="21" t="s">
        <v>19568</v>
      </c>
      <c r="E8917" s="22" t="str">
        <f>HYPERLINK("https://twitter.com/ManchurianDevil/status/922678587332886528","922678587332886528")</f>
        <v>922678587332886528</v>
      </c>
      <c r="F8917" s="23" t="s">
        <v>55</v>
      </c>
      <c r="G8917" s="24">
        <v>2593.0</v>
      </c>
      <c r="H8917" s="24">
        <v>5002.0</v>
      </c>
      <c r="I8917" s="24">
        <v>9.0</v>
      </c>
      <c r="J8917" s="24">
        <v>0.0</v>
      </c>
      <c r="K8917" s="23" t="s">
        <v>34</v>
      </c>
      <c r="L8917" s="25">
        <v>40204.04494212963</v>
      </c>
      <c r="M8917" s="26" t="s">
        <v>19569</v>
      </c>
      <c r="N8917" s="26" t="s">
        <v>19570</v>
      </c>
      <c r="O8917" s="22" t="str">
        <f>HYPERLINK("https://pbs.twimg.com/profile_images/3322402956/160bd92477ce47a4db7da262e9b94cbf_normal.png","View")</f>
        <v>View</v>
      </c>
      <c r="P8917" s="27"/>
    </row>
    <row r="8918">
      <c r="A8918" s="14">
        <v>43031.88780092592</v>
      </c>
      <c r="B8918" s="20" t="str">
        <f>HYPERLINK("https://twitter.com/mohitfreedom","@mohitfreedom")</f>
        <v>@mohitfreedom</v>
      </c>
      <c r="C8918" s="21" t="s">
        <v>19571</v>
      </c>
      <c r="D8918" s="21" t="s">
        <v>42</v>
      </c>
      <c r="E8918" s="22" t="str">
        <f>HYPERLINK("https://twitter.com/mohitfreedom/status/922678644929003520","922678644929003520")</f>
        <v>922678644929003520</v>
      </c>
      <c r="F8918" s="23" t="s">
        <v>230</v>
      </c>
      <c r="G8918" s="24">
        <v>225306.0</v>
      </c>
      <c r="H8918" s="24">
        <v>1260.0</v>
      </c>
      <c r="I8918" s="24">
        <v>8501.0</v>
      </c>
      <c r="J8918" s="24">
        <v>0.0</v>
      </c>
      <c r="K8918" s="23" t="s">
        <v>34</v>
      </c>
      <c r="L8918" s="25">
        <v>39986.32393518518</v>
      </c>
      <c r="M8918" s="26" t="s">
        <v>19572</v>
      </c>
      <c r="N8918" s="26" t="s">
        <v>19573</v>
      </c>
      <c r="O8918" s="22" t="str">
        <f>HYPERLINK("https://pbs.twimg.com/profile_images/922446915307954176/74vVFLKY_normal.jpg","View")</f>
        <v>View</v>
      </c>
      <c r="P8918" s="27"/>
    </row>
    <row r="8919">
      <c r="A8919" s="14">
        <v>43031.887824074074</v>
      </c>
      <c r="B8919" s="20" t="str">
        <f>HYPERLINK("https://twitter.com/kbh4153","@kbh4153")</f>
        <v>@kbh4153</v>
      </c>
      <c r="C8919" s="21" t="s">
        <v>19574</v>
      </c>
      <c r="D8919" s="21" t="s">
        <v>19568</v>
      </c>
      <c r="E8919" s="22" t="str">
        <f>HYPERLINK("https://twitter.com/kbh4153/status/922678653363699712","922678653363699712")</f>
        <v>922678653363699712</v>
      </c>
      <c r="F8919" s="23" t="s">
        <v>33</v>
      </c>
      <c r="G8919" s="24">
        <v>2850.0</v>
      </c>
      <c r="H8919" s="24">
        <v>4996.0</v>
      </c>
      <c r="I8919" s="24">
        <v>9.0</v>
      </c>
      <c r="J8919" s="24">
        <v>0.0</v>
      </c>
      <c r="K8919" s="23" t="s">
        <v>34</v>
      </c>
      <c r="L8919" s="25">
        <v>40706.72813657408</v>
      </c>
      <c r="M8919" s="28"/>
      <c r="N8919" s="26" t="s">
        <v>19575</v>
      </c>
      <c r="O8919" s="22" t="str">
        <f>HYPERLINK("https://pbs.twimg.com/profile_images/3374008346/a946abc632b654851008d11b908a5561_normal.jpeg","View")</f>
        <v>View</v>
      </c>
      <c r="P8919" s="27"/>
    </row>
    <row r="8920">
      <c r="A8920" s="14">
        <v>43031.88790509259</v>
      </c>
      <c r="B8920" s="20" t="str">
        <f>HYPERLINK("https://twitter.com/KhulanJ","@KhulanJ")</f>
        <v>@KhulanJ</v>
      </c>
      <c r="C8920" s="21" t="s">
        <v>19576</v>
      </c>
      <c r="D8920" s="21" t="s">
        <v>19258</v>
      </c>
      <c r="E8920" s="22" t="str">
        <f>HYPERLINK("https://twitter.com/KhulanJ/status/922678683491483648","922678683491483648")</f>
        <v>922678683491483648</v>
      </c>
      <c r="F8920" s="23" t="s">
        <v>55</v>
      </c>
      <c r="G8920" s="24">
        <v>5300.0</v>
      </c>
      <c r="H8920" s="24">
        <v>4053.0</v>
      </c>
      <c r="I8920" s="24">
        <v>7.0</v>
      </c>
      <c r="J8920" s="24">
        <v>0.0</v>
      </c>
      <c r="K8920" s="23" t="s">
        <v>34</v>
      </c>
      <c r="L8920" s="25">
        <v>40035.82361111111</v>
      </c>
      <c r="M8920" s="26" t="s">
        <v>18062</v>
      </c>
      <c r="N8920" s="26" t="s">
        <v>19577</v>
      </c>
      <c r="O8920" s="22" t="str">
        <f>HYPERLINK("https://pbs.twimg.com/profile_images/903649003081830405/6U_C4Eq5_normal.jpg","View")</f>
        <v>View</v>
      </c>
      <c r="P8920" s="27"/>
    </row>
    <row r="8921">
      <c r="A8921" s="14">
        <v>43031.88803240741</v>
      </c>
      <c r="B8921" s="20" t="str">
        <f>HYPERLINK("https://twitter.com/udaybwj","@udaybwj")</f>
        <v>@udaybwj</v>
      </c>
      <c r="C8921" s="21" t="s">
        <v>19578</v>
      </c>
      <c r="D8921" s="21" t="s">
        <v>42</v>
      </c>
      <c r="E8921" s="22" t="str">
        <f>HYPERLINK("https://twitter.com/udaybwj/status/922678731583320064","922678731583320064")</f>
        <v>922678731583320064</v>
      </c>
      <c r="F8921" s="23" t="s">
        <v>33</v>
      </c>
      <c r="G8921" s="24">
        <v>96.0</v>
      </c>
      <c r="H8921" s="24">
        <v>32.0</v>
      </c>
      <c r="I8921" s="24">
        <v>8501.0</v>
      </c>
      <c r="J8921" s="24">
        <v>0.0</v>
      </c>
      <c r="K8921" s="23" t="s">
        <v>34</v>
      </c>
      <c r="L8921" s="25">
        <v>42762.26565972222</v>
      </c>
      <c r="M8921" s="26" t="s">
        <v>4398</v>
      </c>
      <c r="N8921" s="26" t="s">
        <v>19579</v>
      </c>
      <c r="O8921" s="22" t="str">
        <f>HYPERLINK("https://pbs.twimg.com/profile_images/825026341422714880/jyVpT78K_normal.jpg","View")</f>
        <v>View</v>
      </c>
      <c r="P8921" s="27"/>
    </row>
    <row r="8922">
      <c r="A8922" s="14">
        <v>43031.88858796297</v>
      </c>
      <c r="B8922" s="20" t="str">
        <f>HYPERLINK("https://twitter.com/shaktisinha","@shaktisinha")</f>
        <v>@shaktisinha</v>
      </c>
      <c r="C8922" s="21" t="s">
        <v>19580</v>
      </c>
      <c r="D8922" s="21" t="s">
        <v>42</v>
      </c>
      <c r="E8922" s="22" t="str">
        <f>HYPERLINK("https://twitter.com/shaktisinha/status/922678931387432960","922678931387432960")</f>
        <v>922678931387432960</v>
      </c>
      <c r="F8922" s="23" t="s">
        <v>230</v>
      </c>
      <c r="G8922" s="24">
        <v>1738.0</v>
      </c>
      <c r="H8922" s="24">
        <v>392.0</v>
      </c>
      <c r="I8922" s="24">
        <v>8501.0</v>
      </c>
      <c r="J8922" s="24">
        <v>0.0</v>
      </c>
      <c r="K8922" s="23" t="s">
        <v>34</v>
      </c>
      <c r="L8922" s="25">
        <v>40001.12635416667</v>
      </c>
      <c r="M8922" s="28"/>
      <c r="N8922" s="26" t="s">
        <v>19581</v>
      </c>
      <c r="O8922" s="22" t="str">
        <f>HYPERLINK("https://pbs.twimg.com/profile_images/494114883902771200/NAonunsX_normal.jpeg","View")</f>
        <v>View</v>
      </c>
      <c r="P8922" s="27"/>
    </row>
    <row r="8923">
      <c r="A8923" s="14">
        <v>43031.88858796297</v>
      </c>
      <c r="B8923" s="20" t="str">
        <f>HYPERLINK("https://twitter.com/kamesh_gadia","@kamesh_gadia")</f>
        <v>@kamesh_gadia</v>
      </c>
      <c r="C8923" s="21" t="s">
        <v>19582</v>
      </c>
      <c r="D8923" s="21" t="s">
        <v>42</v>
      </c>
      <c r="E8923" s="22" t="str">
        <f>HYPERLINK("https://twitter.com/kamesh_gadia/status/922678933509758976","922678933509758976")</f>
        <v>922678933509758976</v>
      </c>
      <c r="F8923" s="23" t="s">
        <v>33</v>
      </c>
      <c r="G8923" s="24">
        <v>1917.0</v>
      </c>
      <c r="H8923" s="24">
        <v>645.0</v>
      </c>
      <c r="I8923" s="24">
        <v>8501.0</v>
      </c>
      <c r="J8923" s="24">
        <v>0.0</v>
      </c>
      <c r="K8923" s="23" t="s">
        <v>34</v>
      </c>
      <c r="L8923" s="25">
        <v>41489.45711805556</v>
      </c>
      <c r="M8923" s="28"/>
      <c r="N8923" s="26" t="s">
        <v>19583</v>
      </c>
      <c r="O8923" s="22" t="str">
        <f>HYPERLINK("https://pbs.twimg.com/profile_images/771999371252510720/wW-fNkV4_normal.jpg","View")</f>
        <v>View</v>
      </c>
      <c r="P8923" s="27"/>
    </row>
    <row r="8924">
      <c r="A8924" s="14">
        <v>43031.888611111106</v>
      </c>
      <c r="B8924" s="20" t="str">
        <f>HYPERLINK("https://twitter.com/guyonblackybx","@guyonblackybx")</f>
        <v>@guyonblackybx</v>
      </c>
      <c r="C8924" s="21" t="s">
        <v>19584</v>
      </c>
      <c r="D8924" s="21" t="s">
        <v>42</v>
      </c>
      <c r="E8924" s="22" t="str">
        <f>HYPERLINK("https://twitter.com/guyonblackybx/status/922678940988088320","922678940988088320")</f>
        <v>922678940988088320</v>
      </c>
      <c r="F8924" s="23" t="s">
        <v>33</v>
      </c>
      <c r="G8924" s="24">
        <v>174.0</v>
      </c>
      <c r="H8924" s="24">
        <v>303.0</v>
      </c>
      <c r="I8924" s="24">
        <v>8501.0</v>
      </c>
      <c r="J8924" s="24">
        <v>0.0</v>
      </c>
      <c r="K8924" s="23" t="s">
        <v>34</v>
      </c>
      <c r="L8924" s="25">
        <v>39654.59344907408</v>
      </c>
      <c r="M8924" s="26" t="s">
        <v>603</v>
      </c>
      <c r="N8924" s="26" t="s">
        <v>19585</v>
      </c>
      <c r="O8924" s="22" t="str">
        <f>HYPERLINK("https://pbs.twimg.com/profile_images/883445507426721792/e5AFk0bX_normal.jpg","View")</f>
        <v>View</v>
      </c>
      <c r="P8924" s="27"/>
    </row>
    <row r="8925">
      <c r="A8925" s="14">
        <v>43031.888703703706</v>
      </c>
      <c r="B8925" s="20" t="str">
        <f>HYPERLINK("https://twitter.com/Ahuja0001","@Ahuja0001")</f>
        <v>@Ahuja0001</v>
      </c>
      <c r="C8925" s="21" t="s">
        <v>19586</v>
      </c>
      <c r="D8925" s="21" t="s">
        <v>42</v>
      </c>
      <c r="E8925" s="22" t="str">
        <f>HYPERLINK("https://twitter.com/Ahuja0001/status/922678974718689280","922678974718689280")</f>
        <v>922678974718689280</v>
      </c>
      <c r="F8925" s="23" t="s">
        <v>39</v>
      </c>
      <c r="G8925" s="24">
        <v>621.0</v>
      </c>
      <c r="H8925" s="24">
        <v>1614.0</v>
      </c>
      <c r="I8925" s="24">
        <v>8501.0</v>
      </c>
      <c r="J8925" s="24">
        <v>0.0</v>
      </c>
      <c r="K8925" s="23" t="s">
        <v>34</v>
      </c>
      <c r="L8925" s="25">
        <v>41431.1416087963</v>
      </c>
      <c r="M8925" s="26" t="s">
        <v>19587</v>
      </c>
      <c r="N8925" s="26" t="s">
        <v>19588</v>
      </c>
      <c r="O8925" s="22" t="str">
        <f>HYPERLINK("https://pbs.twimg.com/profile_images/904571501755510784/YvHXjNxl_normal.jpg","View")</f>
        <v>View</v>
      </c>
      <c r="P8925" s="27"/>
    </row>
    <row r="8926">
      <c r="A8926" s="14">
        <v>43031.889085648145</v>
      </c>
      <c r="B8926" s="20" t="str">
        <f>HYPERLINK("https://twitter.com/SSachindrakumar","@SSachindrakumar")</f>
        <v>@SSachindrakumar</v>
      </c>
      <c r="C8926" s="21" t="s">
        <v>19589</v>
      </c>
      <c r="D8926" s="21" t="s">
        <v>42</v>
      </c>
      <c r="E8926" s="22" t="str">
        <f>HYPERLINK("https://twitter.com/SSachindrakumar/status/922679110807126016","922679110807126016")</f>
        <v>922679110807126016</v>
      </c>
      <c r="F8926" s="23" t="s">
        <v>33</v>
      </c>
      <c r="G8926" s="24">
        <v>15.0</v>
      </c>
      <c r="H8926" s="24">
        <v>103.0</v>
      </c>
      <c r="I8926" s="24">
        <v>8501.0</v>
      </c>
      <c r="J8926" s="24">
        <v>0.0</v>
      </c>
      <c r="K8926" s="23" t="s">
        <v>34</v>
      </c>
      <c r="L8926" s="25">
        <v>42882.92778935185</v>
      </c>
      <c r="M8926" s="28"/>
      <c r="N8926" s="28"/>
      <c r="O8926" s="22" t="str">
        <f>HYPERLINK("https://abs.twimg.com/sticky/default_profile_images/default_profile_normal.png","View")</f>
        <v>View</v>
      </c>
      <c r="P8926" s="27"/>
    </row>
    <row r="8927">
      <c r="A8927" s="14">
        <v>43031.88915509259</v>
      </c>
      <c r="B8927" s="20" t="str">
        <f>HYPERLINK("https://twitter.com/kyoshiro2067","@kyoshiro2067")</f>
        <v>@kyoshiro2067</v>
      </c>
      <c r="C8927" s="21" t="s">
        <v>19590</v>
      </c>
      <c r="D8927" s="21" t="s">
        <v>19568</v>
      </c>
      <c r="E8927" s="22" t="str">
        <f>HYPERLINK("https://twitter.com/kyoshiro2067/status/922679135905787904","922679135905787904")</f>
        <v>922679135905787904</v>
      </c>
      <c r="F8927" s="23" t="s">
        <v>230</v>
      </c>
      <c r="G8927" s="24">
        <v>619.0</v>
      </c>
      <c r="H8927" s="24">
        <v>203.0</v>
      </c>
      <c r="I8927" s="24">
        <v>9.0</v>
      </c>
      <c r="J8927" s="24">
        <v>0.0</v>
      </c>
      <c r="K8927" s="23" t="s">
        <v>34</v>
      </c>
      <c r="L8927" s="25">
        <v>39329.77258101852</v>
      </c>
      <c r="M8927" s="26" t="s">
        <v>19591</v>
      </c>
      <c r="N8927" s="26" t="s">
        <v>19592</v>
      </c>
      <c r="O8927" s="22" t="str">
        <f>HYPERLINK("https://pbs.twimg.com/profile_images/894823365361283072/zF88_YUf_normal.jpg","View")</f>
        <v>View</v>
      </c>
      <c r="P8927" s="27"/>
    </row>
    <row r="8928">
      <c r="A8928" s="14">
        <v>43031.88928240741</v>
      </c>
      <c r="B8928" s="20" t="str">
        <f>HYPERLINK("https://twitter.com/RobertoPrusso","@RobertoPrusso")</f>
        <v>@RobertoPrusso</v>
      </c>
      <c r="C8928" s="21" t="s">
        <v>19593</v>
      </c>
      <c r="D8928" s="21" t="s">
        <v>17703</v>
      </c>
      <c r="E8928" s="22" t="str">
        <f>HYPERLINK("https://twitter.com/RobertoPrusso/status/922679184165498880","922679184165498880")</f>
        <v>922679184165498880</v>
      </c>
      <c r="F8928" s="23" t="s">
        <v>55</v>
      </c>
      <c r="G8928" s="24">
        <v>2589.0</v>
      </c>
      <c r="H8928" s="24">
        <v>2899.0</v>
      </c>
      <c r="I8928" s="24">
        <v>23.0</v>
      </c>
      <c r="J8928" s="24">
        <v>0.0</v>
      </c>
      <c r="K8928" s="23" t="s">
        <v>34</v>
      </c>
      <c r="L8928" s="25">
        <v>40884.11450231481</v>
      </c>
      <c r="M8928" s="26" t="s">
        <v>19594</v>
      </c>
      <c r="N8928" s="26" t="s">
        <v>19595</v>
      </c>
      <c r="O8928" s="22" t="str">
        <f>HYPERLINK("https://pbs.twimg.com/profile_images/566406724400082944/UKlvD8mH_normal.jpeg","View")</f>
        <v>View</v>
      </c>
      <c r="P8928" s="27"/>
    </row>
    <row r="8929">
      <c r="A8929" s="14">
        <v>43031.88979166667</v>
      </c>
      <c r="B8929" s="20" t="str">
        <f>HYPERLINK("https://twitter.com/manbownewoption","@manbownewoption")</f>
        <v>@manbownewoption</v>
      </c>
      <c r="C8929" s="21" t="s">
        <v>19596</v>
      </c>
      <c r="D8929" s="21" t="s">
        <v>19568</v>
      </c>
      <c r="E8929" s="22" t="str">
        <f>HYPERLINK("https://twitter.com/manbownewoption/status/922679368840704002","922679368840704002")</f>
        <v>922679368840704002</v>
      </c>
      <c r="F8929" s="23" t="s">
        <v>769</v>
      </c>
      <c r="G8929" s="24">
        <v>1550.0</v>
      </c>
      <c r="H8929" s="24">
        <v>1075.0</v>
      </c>
      <c r="I8929" s="24">
        <v>9.0</v>
      </c>
      <c r="J8929" s="24">
        <v>0.0</v>
      </c>
      <c r="K8929" s="23" t="s">
        <v>34</v>
      </c>
      <c r="L8929" s="25">
        <v>41109.80159722222</v>
      </c>
      <c r="M8929" s="26" t="s">
        <v>71</v>
      </c>
      <c r="N8929" s="26" t="s">
        <v>19597</v>
      </c>
      <c r="O8929" s="22" t="str">
        <f>HYPERLINK("https://pbs.twimg.com/profile_images/2414103502/P1280865_normal.jpg","View")</f>
        <v>View</v>
      </c>
      <c r="P8929" s="27"/>
    </row>
    <row r="8930">
      <c r="A8930" s="14">
        <v>43031.89</v>
      </c>
      <c r="B8930" s="20" t="str">
        <f>HYPERLINK("https://twitter.com/ashokgogia123","@ashokgogia123")</f>
        <v>@ashokgogia123</v>
      </c>
      <c r="C8930" s="21" t="s">
        <v>6876</v>
      </c>
      <c r="D8930" s="21" t="s">
        <v>19568</v>
      </c>
      <c r="E8930" s="22" t="str">
        <f>HYPERLINK("https://twitter.com/ashokgogia123/status/922679445345001472","922679445345001472")</f>
        <v>922679445345001472</v>
      </c>
      <c r="F8930" s="23" t="s">
        <v>33</v>
      </c>
      <c r="G8930" s="24">
        <v>153.0</v>
      </c>
      <c r="H8930" s="24">
        <v>153.0</v>
      </c>
      <c r="I8930" s="24">
        <v>9.0</v>
      </c>
      <c r="J8930" s="24">
        <v>0.0</v>
      </c>
      <c r="K8930" s="23" t="s">
        <v>34</v>
      </c>
      <c r="L8930" s="25">
        <v>42814.32091435185</v>
      </c>
      <c r="M8930" s="28"/>
      <c r="N8930" s="26" t="s">
        <v>6878</v>
      </c>
      <c r="O8930" s="22" t="str">
        <f>HYPERLINK("https://pbs.twimg.com/profile_images/922425655882670080/mqE75qpA_normal.jpg","View")</f>
        <v>View</v>
      </c>
      <c r="P8930" s="27"/>
    </row>
    <row r="8931">
      <c r="A8931" s="14">
        <v>43031.89047453704</v>
      </c>
      <c r="B8931" s="20" t="str">
        <f>HYPERLINK("https://twitter.com/rajatpant1996","@rajatpant1996")</f>
        <v>@rajatpant1996</v>
      </c>
      <c r="C8931" s="21" t="s">
        <v>19598</v>
      </c>
      <c r="D8931" s="21" t="s">
        <v>42</v>
      </c>
      <c r="E8931" s="22" t="str">
        <f>HYPERLINK("https://twitter.com/rajatpant1996/status/922679617357357056","922679617357357056")</f>
        <v>922679617357357056</v>
      </c>
      <c r="F8931" s="23" t="s">
        <v>33</v>
      </c>
      <c r="G8931" s="24">
        <v>17.0</v>
      </c>
      <c r="H8931" s="24">
        <v>292.0</v>
      </c>
      <c r="I8931" s="24">
        <v>8501.0</v>
      </c>
      <c r="J8931" s="24">
        <v>0.0</v>
      </c>
      <c r="K8931" s="23" t="s">
        <v>34</v>
      </c>
      <c r="L8931" s="25">
        <v>40260.186678240745</v>
      </c>
      <c r="M8931" s="28"/>
      <c r="N8931" s="28"/>
      <c r="O8931" s="22" t="str">
        <f>HYPERLINK("https://pbs.twimg.com/profile_images/683995641693900800/fOXmESVW_normal.jpg","View")</f>
        <v>View</v>
      </c>
      <c r="P8931" s="27"/>
    </row>
    <row r="8932">
      <c r="A8932" s="14">
        <v>43031.89072916667</v>
      </c>
      <c r="B8932" s="20" t="str">
        <f>HYPERLINK("https://twitter.com/Hariom525","@Hariom525")</f>
        <v>@Hariom525</v>
      </c>
      <c r="C8932" s="21" t="s">
        <v>19599</v>
      </c>
      <c r="D8932" s="21" t="s">
        <v>42</v>
      </c>
      <c r="E8932" s="22" t="str">
        <f>HYPERLINK("https://twitter.com/Hariom525/status/922679706696028160","922679706696028160")</f>
        <v>922679706696028160</v>
      </c>
      <c r="F8932" s="23" t="s">
        <v>33</v>
      </c>
      <c r="G8932" s="24">
        <v>2046.0</v>
      </c>
      <c r="H8932" s="24">
        <v>551.0</v>
      </c>
      <c r="I8932" s="24">
        <v>8501.0</v>
      </c>
      <c r="J8932" s="24">
        <v>0.0</v>
      </c>
      <c r="K8932" s="23" t="s">
        <v>34</v>
      </c>
      <c r="L8932" s="25">
        <v>41569.992685185185</v>
      </c>
      <c r="M8932" s="26" t="s">
        <v>19600</v>
      </c>
      <c r="N8932" s="26" t="s">
        <v>19601</v>
      </c>
      <c r="O8932" s="22" t="str">
        <f>HYPERLINK("https://pbs.twimg.com/profile_images/378800000637663011/bb85a6e505f81af58f21027b3ffd284c_normal.jpeg","View")</f>
        <v>View</v>
      </c>
      <c r="P8932" s="27"/>
    </row>
    <row r="8933">
      <c r="A8933" s="14">
        <v>43031.891180555554</v>
      </c>
      <c r="B8933" s="20" t="str">
        <f>HYPERLINK("https://twitter.com/bhatia_anand","@bhatia_anand")</f>
        <v>@bhatia_anand</v>
      </c>
      <c r="C8933" s="21" t="s">
        <v>19602</v>
      </c>
      <c r="D8933" s="21" t="s">
        <v>42</v>
      </c>
      <c r="E8933" s="22" t="str">
        <f>HYPERLINK("https://twitter.com/bhatia_anand/status/922679872966635520","922679872966635520")</f>
        <v>922679872966635520</v>
      </c>
      <c r="F8933" s="23" t="s">
        <v>39</v>
      </c>
      <c r="G8933" s="24">
        <v>1135.0</v>
      </c>
      <c r="H8933" s="24">
        <v>1562.0</v>
      </c>
      <c r="I8933" s="24">
        <v>8501.0</v>
      </c>
      <c r="J8933" s="24">
        <v>0.0</v>
      </c>
      <c r="K8933" s="23" t="s">
        <v>34</v>
      </c>
      <c r="L8933" s="25">
        <v>40292.476493055554</v>
      </c>
      <c r="M8933" s="26" t="s">
        <v>204</v>
      </c>
      <c r="N8933" s="26" t="s">
        <v>19603</v>
      </c>
      <c r="O8933" s="22" t="str">
        <f>HYPERLINK("https://pbs.twimg.com/profile_images/857456359394074624/zy48WSLj_normal.jpg","View")</f>
        <v>View</v>
      </c>
      <c r="P8933" s="27"/>
    </row>
    <row r="8934">
      <c r="A8934" s="14">
        <v>43031.891493055555</v>
      </c>
      <c r="B8934" s="20" t="str">
        <f>HYPERLINK("https://twitter.com/japanideas","@japanideas")</f>
        <v>@japanideas</v>
      </c>
      <c r="C8934" s="21" t="s">
        <v>19604</v>
      </c>
      <c r="D8934" s="21" t="s">
        <v>19605</v>
      </c>
      <c r="E8934" s="22" t="str">
        <f>HYPERLINK("https://twitter.com/japanideas/status/922679983557902336","922679983557902336")</f>
        <v>922679983557902336</v>
      </c>
      <c r="F8934" s="23" t="s">
        <v>39</v>
      </c>
      <c r="G8934" s="24">
        <v>747.0</v>
      </c>
      <c r="H8934" s="24">
        <v>1079.0</v>
      </c>
      <c r="I8934" s="24">
        <v>0.0</v>
      </c>
      <c r="J8934" s="24">
        <v>0.0</v>
      </c>
      <c r="K8934" s="23" t="s">
        <v>34</v>
      </c>
      <c r="L8934" s="25">
        <v>40816.34670138889</v>
      </c>
      <c r="M8934" s="26" t="s">
        <v>19606</v>
      </c>
      <c r="N8934" s="26" t="s">
        <v>19607</v>
      </c>
      <c r="O8934" s="22" t="str">
        <f>HYPERLINK("https://pbs.twimg.com/profile_images/378800000323667051/7314a87a42516da5f549459c7ff1ac4b_normal.jpeg","View")</f>
        <v>View</v>
      </c>
      <c r="P8934" s="27"/>
    </row>
    <row r="8935">
      <c r="A8935" s="14">
        <v>43031.8924074074</v>
      </c>
      <c r="B8935" s="20" t="str">
        <f>HYPERLINK("https://twitter.com/democracynow","@democracynow")</f>
        <v>@democracynow</v>
      </c>
      <c r="C8935" s="21" t="s">
        <v>19608</v>
      </c>
      <c r="D8935" s="21" t="s">
        <v>19609</v>
      </c>
      <c r="E8935" s="22" t="str">
        <f>HYPERLINK("https://twitter.com/democracynow/status/922680315419746309","922680315419746309")</f>
        <v>922680315419746309</v>
      </c>
      <c r="F8935" s="23" t="s">
        <v>427</v>
      </c>
      <c r="G8935" s="24">
        <v>618912.0</v>
      </c>
      <c r="H8935" s="24">
        <v>6055.0</v>
      </c>
      <c r="I8935" s="24">
        <v>18.0</v>
      </c>
      <c r="J8935" s="24">
        <v>16.0</v>
      </c>
      <c r="K8935" s="23" t="s">
        <v>34</v>
      </c>
      <c r="L8935" s="25">
        <v>39744.57471064815</v>
      </c>
      <c r="M8935" s="26" t="s">
        <v>2534</v>
      </c>
      <c r="N8935" s="26" t="s">
        <v>19610</v>
      </c>
      <c r="O8935" s="22" t="str">
        <f>HYPERLINK("https://pbs.twimg.com/profile_images/913900876280074240/N-NffDb1_normal.jpg","View")</f>
        <v>View</v>
      </c>
      <c r="P8935" s="27"/>
    </row>
    <row r="8936">
      <c r="A8936" s="14">
        <v>43031.89300925926</v>
      </c>
      <c r="B8936" s="20" t="str">
        <f>HYPERLINK("https://twitter.com/andy1676","@andy1676")</f>
        <v>@andy1676</v>
      </c>
      <c r="C8936" s="21" t="s">
        <v>10639</v>
      </c>
      <c r="D8936" s="21" t="s">
        <v>19611</v>
      </c>
      <c r="E8936" s="22" t="str">
        <f>HYPERLINK("https://twitter.com/andy1676/status/922680535792488448","922680535792488448")</f>
        <v>922680535792488448</v>
      </c>
      <c r="F8936" s="23" t="s">
        <v>33</v>
      </c>
      <c r="G8936" s="24">
        <v>102.0</v>
      </c>
      <c r="H8936" s="24">
        <v>236.0</v>
      </c>
      <c r="I8936" s="24">
        <v>47.0</v>
      </c>
      <c r="J8936" s="24">
        <v>0.0</v>
      </c>
      <c r="K8936" s="23" t="s">
        <v>34</v>
      </c>
      <c r="L8936" s="25">
        <v>41432.04332175926</v>
      </c>
      <c r="M8936" s="28"/>
      <c r="N8936" s="28"/>
      <c r="O8936" s="22" t="str">
        <f>HYPERLINK("https://pbs.twimg.com/profile_images/904752516855848960/i-ncXt4S_normal.jpg","View")</f>
        <v>View</v>
      </c>
      <c r="P8936" s="27"/>
    </row>
    <row r="8937">
      <c r="A8937" s="14">
        <v>43031.89320601852</v>
      </c>
      <c r="B8937" s="20" t="str">
        <f>HYPERLINK("https://twitter.com/cmbn10","@cmbn10")</f>
        <v>@cmbn10</v>
      </c>
      <c r="C8937" s="21" t="s">
        <v>19612</v>
      </c>
      <c r="D8937" s="21" t="s">
        <v>1731</v>
      </c>
      <c r="E8937" s="22" t="str">
        <f>HYPERLINK("https://twitter.com/cmbn10/status/922680605791346688","922680605791346688")</f>
        <v>922680605791346688</v>
      </c>
      <c r="F8937" s="23" t="s">
        <v>33</v>
      </c>
      <c r="G8937" s="24">
        <v>267.0</v>
      </c>
      <c r="H8937" s="24">
        <v>521.0</v>
      </c>
      <c r="I8937" s="24">
        <v>6.0</v>
      </c>
      <c r="J8937" s="24">
        <v>0.0</v>
      </c>
      <c r="K8937" s="23" t="s">
        <v>34</v>
      </c>
      <c r="L8937" s="25">
        <v>42423.09746527778</v>
      </c>
      <c r="M8937" s="28"/>
      <c r="N8937" s="26" t="s">
        <v>19613</v>
      </c>
      <c r="O8937" s="22" t="str">
        <f>HYPERLINK("https://pbs.twimg.com/profile_images/761529220862320640/Sf8hZCYz_normal.jpg","View")</f>
        <v>View</v>
      </c>
      <c r="P8937" s="27"/>
    </row>
    <row r="8938">
      <c r="A8938" s="14">
        <v>43031.893530092595</v>
      </c>
      <c r="B8938" s="20" t="str">
        <f>HYPERLINK("https://twitter.com/JharsugudaBjp","@JharsugudaBjp")</f>
        <v>@JharsugudaBjp</v>
      </c>
      <c r="C8938" s="21" t="s">
        <v>19614</v>
      </c>
      <c r="D8938" s="21" t="s">
        <v>42</v>
      </c>
      <c r="E8938" s="22" t="str">
        <f>HYPERLINK("https://twitter.com/JharsugudaBjp/status/922680721264713728","922680721264713728")</f>
        <v>922680721264713728</v>
      </c>
      <c r="F8938" s="23" t="s">
        <v>33</v>
      </c>
      <c r="G8938" s="24">
        <v>19.0</v>
      </c>
      <c r="H8938" s="24">
        <v>30.0</v>
      </c>
      <c r="I8938" s="24">
        <v>8501.0</v>
      </c>
      <c r="J8938" s="24">
        <v>0.0</v>
      </c>
      <c r="K8938" s="23" t="s">
        <v>34</v>
      </c>
      <c r="L8938" s="25">
        <v>42915.3644212963</v>
      </c>
      <c r="M8938" s="26" t="s">
        <v>19615</v>
      </c>
      <c r="N8938" s="26" t="s">
        <v>19616</v>
      </c>
      <c r="O8938" s="22" t="str">
        <f>HYPERLINK("https://pbs.twimg.com/profile_images/880453042805538816/kyvNtyna_normal.jpg","View")</f>
        <v>View</v>
      </c>
      <c r="P8938" s="27"/>
    </row>
    <row r="8939">
      <c r="A8939" s="14">
        <v>43031.89357638889</v>
      </c>
      <c r="B8939" s="20" t="str">
        <f>HYPERLINK("https://twitter.com/V_GiriJi","@V_GiriJi")</f>
        <v>@V_GiriJi</v>
      </c>
      <c r="C8939" s="21" t="s">
        <v>19617</v>
      </c>
      <c r="D8939" s="21" t="s">
        <v>42</v>
      </c>
      <c r="E8939" s="22" t="str">
        <f>HYPERLINK("https://twitter.com/V_GiriJi/status/922680737815547904","922680737815547904")</f>
        <v>922680737815547904</v>
      </c>
      <c r="F8939" s="23" t="s">
        <v>33</v>
      </c>
      <c r="G8939" s="24">
        <v>189.0</v>
      </c>
      <c r="H8939" s="24">
        <v>145.0</v>
      </c>
      <c r="I8939" s="24">
        <v>8501.0</v>
      </c>
      <c r="J8939" s="24">
        <v>0.0</v>
      </c>
      <c r="K8939" s="23" t="s">
        <v>34</v>
      </c>
      <c r="L8939" s="25">
        <v>40680.92240740741</v>
      </c>
      <c r="M8939" s="26" t="s">
        <v>19618</v>
      </c>
      <c r="N8939" s="26" t="s">
        <v>19619</v>
      </c>
      <c r="O8939" s="22" t="str">
        <f>HYPERLINK("https://pbs.twimg.com/profile_images/905041127367204865/Jxuuwa_e_normal.jpg","View")</f>
        <v>View</v>
      </c>
      <c r="P8939" s="27"/>
    </row>
    <row r="8940">
      <c r="A8940" s="14">
        <v>43031.89384259259</v>
      </c>
      <c r="B8940" s="20" t="str">
        <f>HYPERLINK("https://twitter.com/joelnanderson","@joelnanderson")</f>
        <v>@joelnanderson</v>
      </c>
      <c r="C8940" s="21" t="s">
        <v>19620</v>
      </c>
      <c r="D8940" s="21" t="s">
        <v>19621</v>
      </c>
      <c r="E8940" s="22" t="str">
        <f>HYPERLINK("https://twitter.com/joelnanderson/status/922680835295264768","922680835295264768")</f>
        <v>922680835295264768</v>
      </c>
      <c r="F8940" s="23" t="s">
        <v>39</v>
      </c>
      <c r="G8940" s="24">
        <v>1083.0</v>
      </c>
      <c r="H8940" s="24">
        <v>947.0</v>
      </c>
      <c r="I8940" s="24">
        <v>18.0</v>
      </c>
      <c r="J8940" s="24">
        <v>0.0</v>
      </c>
      <c r="K8940" s="23" t="s">
        <v>34</v>
      </c>
      <c r="L8940" s="25">
        <v>40070.89667824074</v>
      </c>
      <c r="M8940" s="26" t="s">
        <v>19622</v>
      </c>
      <c r="N8940" s="26" t="s">
        <v>19623</v>
      </c>
      <c r="O8940" s="22" t="str">
        <f>HYPERLINK("https://pbs.twimg.com/profile_images/899520317877624832/qAhp5pf8_normal.jpg","View")</f>
        <v>View</v>
      </c>
      <c r="P8940" s="27"/>
    </row>
    <row r="8941">
      <c r="A8941" s="14">
        <v>43031.89384259259</v>
      </c>
      <c r="B8941" s="20" t="str">
        <f>HYPERLINK("https://twitter.com/ChiragMShah1","@ChiragMShah1")</f>
        <v>@ChiragMShah1</v>
      </c>
      <c r="C8941" s="21" t="s">
        <v>19624</v>
      </c>
      <c r="D8941" s="21" t="s">
        <v>42</v>
      </c>
      <c r="E8941" s="22" t="str">
        <f>HYPERLINK("https://twitter.com/ChiragMShah1/status/922680836243075072","922680836243075072")</f>
        <v>922680836243075072</v>
      </c>
      <c r="F8941" s="23" t="s">
        <v>33</v>
      </c>
      <c r="G8941" s="24">
        <v>367.0</v>
      </c>
      <c r="H8941" s="24">
        <v>145.0</v>
      </c>
      <c r="I8941" s="24">
        <v>8501.0</v>
      </c>
      <c r="J8941" s="24">
        <v>0.0</v>
      </c>
      <c r="K8941" s="23" t="s">
        <v>34</v>
      </c>
      <c r="L8941" s="25">
        <v>40793.25611111111</v>
      </c>
      <c r="M8941" s="26" t="s">
        <v>2967</v>
      </c>
      <c r="N8941" s="26" t="s">
        <v>19625</v>
      </c>
      <c r="O8941" s="22" t="str">
        <f>HYPERLINK("https://pbs.twimg.com/profile_images/880859123885064192/NbekfLh4_normal.jpg","View")</f>
        <v>View</v>
      </c>
      <c r="P8941" s="27"/>
    </row>
    <row r="8942">
      <c r="A8942" s="14">
        <v>43031.89422453704</v>
      </c>
      <c r="B8942" s="20" t="str">
        <f>HYPERLINK("https://twitter.com/yandao","@yandao")</f>
        <v>@yandao</v>
      </c>
      <c r="C8942" s="21" t="s">
        <v>19626</v>
      </c>
      <c r="D8942" s="21" t="s">
        <v>1747</v>
      </c>
      <c r="E8942" s="22" t="str">
        <f>HYPERLINK("https://twitter.com/yandao/status/922680975661961216","922680975661961216")</f>
        <v>922680975661961216</v>
      </c>
      <c r="F8942" s="23" t="s">
        <v>19627</v>
      </c>
      <c r="G8942" s="24">
        <v>58.0</v>
      </c>
      <c r="H8942" s="24">
        <v>209.0</v>
      </c>
      <c r="I8942" s="24">
        <v>41.0</v>
      </c>
      <c r="J8942" s="24">
        <v>0.0</v>
      </c>
      <c r="K8942" s="23" t="s">
        <v>34</v>
      </c>
      <c r="L8942" s="25">
        <v>39242.352106481485</v>
      </c>
      <c r="M8942" s="26" t="s">
        <v>923</v>
      </c>
      <c r="N8942" s="26" t="s">
        <v>19628</v>
      </c>
      <c r="O8942" s="22" t="str">
        <f>HYPERLINK("https://pbs.twimg.com/profile_images/656843206/4129694214_ca5e8848a8_normal.jpg","View")</f>
        <v>View</v>
      </c>
      <c r="P8942" s="27"/>
    </row>
    <row r="8943">
      <c r="A8943" s="14">
        <v>43031.894537037035</v>
      </c>
      <c r="B8943" s="20" t="str">
        <f>HYPERLINK("https://twitter.com/QxNews","@QxNews")</f>
        <v>@QxNews</v>
      </c>
      <c r="C8943" s="21" t="s">
        <v>3818</v>
      </c>
      <c r="D8943" s="21" t="s">
        <v>19621</v>
      </c>
      <c r="E8943" s="22" t="str">
        <f>HYPERLINK("https://twitter.com/QxNews/status/922681088996098049","922681088996098049")</f>
        <v>922681088996098049</v>
      </c>
      <c r="F8943" s="23" t="s">
        <v>3819</v>
      </c>
      <c r="G8943" s="24">
        <v>3220.0</v>
      </c>
      <c r="H8943" s="24">
        <v>271.0</v>
      </c>
      <c r="I8943" s="24">
        <v>18.0</v>
      </c>
      <c r="J8943" s="24">
        <v>0.0</v>
      </c>
      <c r="K8943" s="23" t="s">
        <v>34</v>
      </c>
      <c r="L8943" s="25">
        <v>41497.85806712963</v>
      </c>
      <c r="M8943" s="26" t="s">
        <v>905</v>
      </c>
      <c r="N8943" s="26" t="s">
        <v>3820</v>
      </c>
      <c r="O8943" s="22" t="str">
        <f>HYPERLINK("https://pbs.twimg.com/profile_images/597288578092240896/ePlmSYCH_normal.png","View")</f>
        <v>View</v>
      </c>
      <c r="P8943" s="27"/>
    </row>
    <row r="8944">
      <c r="A8944" s="14">
        <v>43031.89467592593</v>
      </c>
      <c r="B8944" s="20" t="str">
        <f>HYPERLINK("https://twitter.com/PascoRevolution","@PascoRevolution")</f>
        <v>@PascoRevolution</v>
      </c>
      <c r="C8944" s="21" t="s">
        <v>19629</v>
      </c>
      <c r="D8944" s="21" t="s">
        <v>19630</v>
      </c>
      <c r="E8944" s="22" t="str">
        <f>HYPERLINK("https://twitter.com/PascoRevolution/status/922681138677723136","922681138677723136")</f>
        <v>922681138677723136</v>
      </c>
      <c r="F8944" s="23" t="s">
        <v>187</v>
      </c>
      <c r="G8944" s="24">
        <v>4723.0</v>
      </c>
      <c r="H8944" s="24">
        <v>2155.0</v>
      </c>
      <c r="I8944" s="24">
        <v>0.0</v>
      </c>
      <c r="J8944" s="24">
        <v>0.0</v>
      </c>
      <c r="K8944" s="23" t="s">
        <v>34</v>
      </c>
      <c r="L8944" s="25">
        <v>42165.44295138889</v>
      </c>
      <c r="M8944" s="26" t="s">
        <v>19631</v>
      </c>
      <c r="N8944" s="26" t="s">
        <v>19632</v>
      </c>
      <c r="O8944" s="22" t="str">
        <f>HYPERLINK("https://pbs.twimg.com/profile_images/758332670199861248/IE5KqSWD_normal.jpg","View")</f>
        <v>View</v>
      </c>
      <c r="P8944" s="27"/>
    </row>
    <row r="8945">
      <c r="A8945" s="14">
        <v>43031.89474537037</v>
      </c>
      <c r="B8945" s="20" t="str">
        <f>HYPERLINK("https://twitter.com/ParmarRahuls","@ParmarRahuls")</f>
        <v>@ParmarRahuls</v>
      </c>
      <c r="C8945" s="21" t="s">
        <v>19633</v>
      </c>
      <c r="D8945" s="21" t="s">
        <v>42</v>
      </c>
      <c r="E8945" s="22" t="str">
        <f>HYPERLINK("https://twitter.com/ParmarRahuls/status/922681161985511424","922681161985511424")</f>
        <v>922681161985511424</v>
      </c>
      <c r="F8945" s="23" t="s">
        <v>39</v>
      </c>
      <c r="G8945" s="24">
        <v>377.0</v>
      </c>
      <c r="H8945" s="24">
        <v>570.0</v>
      </c>
      <c r="I8945" s="24">
        <v>8501.0</v>
      </c>
      <c r="J8945" s="24">
        <v>0.0</v>
      </c>
      <c r="K8945" s="23" t="s">
        <v>34</v>
      </c>
      <c r="L8945" s="25">
        <v>41539.853217592594</v>
      </c>
      <c r="M8945" s="26" t="s">
        <v>204</v>
      </c>
      <c r="N8945" s="26" t="s">
        <v>19634</v>
      </c>
      <c r="O8945" s="22" t="str">
        <f>HYPERLINK("https://pbs.twimg.com/profile_images/714110967102246912/CSC7JN9W_normal.jpg","View")</f>
        <v>View</v>
      </c>
      <c r="P8945" s="27"/>
    </row>
    <row r="8946">
      <c r="A8946" s="14">
        <v>43031.89480324074</v>
      </c>
      <c r="B8946" s="20" t="str">
        <f>HYPERLINK("https://twitter.com/mswa966","@mswa966")</f>
        <v>@mswa966</v>
      </c>
      <c r="C8946" s="21" t="s">
        <v>19635</v>
      </c>
      <c r="D8946" s="21" t="s">
        <v>19636</v>
      </c>
      <c r="E8946" s="22" t="str">
        <f>HYPERLINK("https://twitter.com/mswa966/status/922681185997697024","922681185997697024")</f>
        <v>922681185997697024</v>
      </c>
      <c r="F8946" s="23" t="s">
        <v>39</v>
      </c>
      <c r="G8946" s="24">
        <v>199.0</v>
      </c>
      <c r="H8946" s="24">
        <v>1437.0</v>
      </c>
      <c r="I8946" s="24">
        <v>0.0</v>
      </c>
      <c r="J8946" s="24">
        <v>0.0</v>
      </c>
      <c r="K8946" s="23" t="s">
        <v>34</v>
      </c>
      <c r="L8946" s="25">
        <v>41527.16039351852</v>
      </c>
      <c r="M8946" s="26" t="s">
        <v>19637</v>
      </c>
      <c r="N8946" s="26" t="s">
        <v>19638</v>
      </c>
      <c r="O8946" s="22" t="str">
        <f>HYPERLINK("https://pbs.twimg.com/profile_images/756152477095858176/WPSFcTbj_normal.jpg","View")</f>
        <v>View</v>
      </c>
      <c r="P8946" s="27"/>
    </row>
    <row r="8947">
      <c r="A8947" s="14">
        <v>43031.895104166666</v>
      </c>
      <c r="B8947" s="20" t="str">
        <f>HYPERLINK("https://twitter.com/drsatya74","@drsatya74")</f>
        <v>@drsatya74</v>
      </c>
      <c r="C8947" s="21" t="s">
        <v>19639</v>
      </c>
      <c r="D8947" s="21" t="s">
        <v>42</v>
      </c>
      <c r="E8947" s="22" t="str">
        <f>HYPERLINK("https://twitter.com/drsatya74/status/922681294315597824","922681294315597824")</f>
        <v>922681294315597824</v>
      </c>
      <c r="F8947" s="23" t="s">
        <v>43</v>
      </c>
      <c r="G8947" s="24">
        <v>398.0</v>
      </c>
      <c r="H8947" s="24">
        <v>205.0</v>
      </c>
      <c r="I8947" s="24">
        <v>8501.0</v>
      </c>
      <c r="J8947" s="24">
        <v>0.0</v>
      </c>
      <c r="K8947" s="23" t="s">
        <v>34</v>
      </c>
      <c r="L8947" s="25">
        <v>40465.66628472222</v>
      </c>
      <c r="M8947" s="26" t="s">
        <v>19640</v>
      </c>
      <c r="N8947" s="26" t="s">
        <v>19641</v>
      </c>
      <c r="O8947" s="22" t="str">
        <f>HYPERLINK("https://pbs.twimg.com/profile_images/3406909126/186230421b2fc0584994dc9dafd3617d_normal.jpeg","View")</f>
        <v>View</v>
      </c>
      <c r="P8947" s="27"/>
    </row>
    <row r="8948">
      <c r="A8948" s="14">
        <v>43031.89520833333</v>
      </c>
      <c r="B8948" s="20" t="str">
        <f>HYPERLINK("https://twitter.com/todayng","@todayng")</f>
        <v>@todayng</v>
      </c>
      <c r="C8948" s="21" t="s">
        <v>16428</v>
      </c>
      <c r="D8948" s="21" t="s">
        <v>19642</v>
      </c>
      <c r="E8948" s="22" t="str">
        <f>HYPERLINK("https://twitter.com/todayng/status/922681329203871744","922681329203871744")</f>
        <v>922681329203871744</v>
      </c>
      <c r="F8948" s="30" t="s">
        <v>411</v>
      </c>
      <c r="G8948" s="24">
        <v>108379.0</v>
      </c>
      <c r="H8948" s="24">
        <v>2.0</v>
      </c>
      <c r="I8948" s="24">
        <v>0.0</v>
      </c>
      <c r="J8948" s="24">
        <v>0.0</v>
      </c>
      <c r="K8948" s="23" t="s">
        <v>34</v>
      </c>
      <c r="L8948" s="25">
        <v>41743.180659722224</v>
      </c>
      <c r="M8948" s="28"/>
      <c r="N8948" s="26" t="s">
        <v>16430</v>
      </c>
      <c r="O8948" s="22" t="str">
        <f>HYPERLINK("https://pbs.twimg.com/profile_images/891304751882788864/FmD9OUZy_normal.jpg","View")</f>
        <v>View</v>
      </c>
      <c r="P8948" s="22" t="str">
        <f>HYPERLINK("https://ctrlq.org/maps/address/#9.062813,7.51898289","Map")</f>
        <v>Map</v>
      </c>
    </row>
    <row r="8949">
      <c r="A8949" s="14">
        <v>43031.89524305555</v>
      </c>
      <c r="B8949" s="20" t="str">
        <f>HYPERLINK("https://twitter.com/NigeriaNewsdesk","@NigeriaNewsdesk")</f>
        <v>@NigeriaNewsdesk</v>
      </c>
      <c r="C8949" s="21" t="s">
        <v>16431</v>
      </c>
      <c r="D8949" s="21" t="s">
        <v>19643</v>
      </c>
      <c r="E8949" s="22" t="str">
        <f>HYPERLINK("https://twitter.com/NigeriaNewsdesk/status/922681342164209664","922681342164209664")</f>
        <v>922681342164209664</v>
      </c>
      <c r="F8949" s="30" t="s">
        <v>411</v>
      </c>
      <c r="G8949" s="24">
        <v>1444474.0</v>
      </c>
      <c r="H8949" s="24">
        <v>2.0</v>
      </c>
      <c r="I8949" s="24">
        <v>0.0</v>
      </c>
      <c r="J8949" s="24">
        <v>4.0</v>
      </c>
      <c r="K8949" s="23" t="s">
        <v>34</v>
      </c>
      <c r="L8949" s="25">
        <v>40137.121666666666</v>
      </c>
      <c r="M8949" s="28"/>
      <c r="N8949" s="26" t="s">
        <v>16433</v>
      </c>
      <c r="O8949" s="22" t="str">
        <f>HYPERLINK("https://pbs.twimg.com/profile_images/559635895909752832/5m7oAlGi_normal.png","View")</f>
        <v>View</v>
      </c>
      <c r="P8949" s="22" t="str">
        <f>HYPERLINK("https://ctrlq.org/maps/address/#6.61496451,3.36136043","Map")</f>
        <v>Map</v>
      </c>
    </row>
    <row r="8950">
      <c r="A8950" s="14">
        <v>43031.89534722222</v>
      </c>
      <c r="B8950" s="20" t="str">
        <f>HYPERLINK("https://twitter.com/JesusRiera14","@JesusRiera14")</f>
        <v>@JesusRiera14</v>
      </c>
      <c r="C8950" s="21" t="s">
        <v>19644</v>
      </c>
      <c r="D8950" s="21" t="s">
        <v>16537</v>
      </c>
      <c r="E8950" s="22" t="str">
        <f>HYPERLINK("https://twitter.com/JesusRiera14/status/922681380659658752","922681380659658752")</f>
        <v>922681380659658752</v>
      </c>
      <c r="F8950" s="23" t="s">
        <v>39</v>
      </c>
      <c r="G8950" s="24">
        <v>1439.0</v>
      </c>
      <c r="H8950" s="24">
        <v>592.0</v>
      </c>
      <c r="I8950" s="24">
        <v>242.0</v>
      </c>
      <c r="J8950" s="24">
        <v>0.0</v>
      </c>
      <c r="K8950" s="23" t="s">
        <v>34</v>
      </c>
      <c r="L8950" s="25">
        <v>40225.39697916667</v>
      </c>
      <c r="M8950" s="26" t="s">
        <v>19645</v>
      </c>
      <c r="N8950" s="26" t="s">
        <v>19646</v>
      </c>
      <c r="O8950" s="22" t="str">
        <f>HYPERLINK("https://pbs.twimg.com/profile_images/916710793546207232/nVFWrlXC_normal.jpg","View")</f>
        <v>View</v>
      </c>
      <c r="P8950" s="27"/>
    </row>
    <row r="8951">
      <c r="A8951" s="14">
        <v>43031.89538194444</v>
      </c>
      <c r="B8951" s="20" t="str">
        <f>HYPERLINK("https://twitter.com/noza8ouji","@noza8ouji")</f>
        <v>@noza8ouji</v>
      </c>
      <c r="C8951" s="21" t="s">
        <v>19647</v>
      </c>
      <c r="D8951" s="21" t="s">
        <v>14986</v>
      </c>
      <c r="E8951" s="22" t="str">
        <f>HYPERLINK("https://twitter.com/noza8ouji/status/922681391929626624","922681391929626624")</f>
        <v>922681391929626624</v>
      </c>
      <c r="F8951" s="23" t="s">
        <v>33</v>
      </c>
      <c r="G8951" s="24">
        <v>469.0</v>
      </c>
      <c r="H8951" s="24">
        <v>903.0</v>
      </c>
      <c r="I8951" s="24">
        <v>11.0</v>
      </c>
      <c r="J8951" s="24">
        <v>0.0</v>
      </c>
      <c r="K8951" s="23" t="s">
        <v>34</v>
      </c>
      <c r="L8951" s="25">
        <v>40194.297314814816</v>
      </c>
      <c r="M8951" s="26" t="s">
        <v>19648</v>
      </c>
      <c r="N8951" s="26" t="s">
        <v>19649</v>
      </c>
      <c r="O8951" s="22" t="str">
        <f>HYPERLINK("https://pbs.twimg.com/profile_images/749127940378546176/34NbQGVC_normal.jpg","View")</f>
        <v>View</v>
      </c>
      <c r="P8951" s="27"/>
    </row>
    <row r="8952">
      <c r="A8952" s="14">
        <v>43031.895532407405</v>
      </c>
      <c r="B8952" s="20" t="str">
        <f>HYPERLINK("https://twitter.com/rbnpbt","@rbnpbt")</f>
        <v>@rbnpbt</v>
      </c>
      <c r="C8952" s="21" t="s">
        <v>19650</v>
      </c>
      <c r="D8952" s="21" t="s">
        <v>19279</v>
      </c>
      <c r="E8952" s="22" t="str">
        <f>HYPERLINK("https://twitter.com/rbnpbt/status/922681448359804928","922681448359804928")</f>
        <v>922681448359804928</v>
      </c>
      <c r="F8952" s="23" t="s">
        <v>33</v>
      </c>
      <c r="G8952" s="24">
        <v>501.0</v>
      </c>
      <c r="H8952" s="24">
        <v>1037.0</v>
      </c>
      <c r="I8952" s="24">
        <v>12.0</v>
      </c>
      <c r="J8952" s="24">
        <v>0.0</v>
      </c>
      <c r="K8952" s="23" t="s">
        <v>34</v>
      </c>
      <c r="L8952" s="25">
        <v>41327.888287037036</v>
      </c>
      <c r="M8952" s="26" t="s">
        <v>19651</v>
      </c>
      <c r="N8952" s="26" t="s">
        <v>19652</v>
      </c>
      <c r="O8952" s="22" t="str">
        <f>HYPERLINK("https://pbs.twimg.com/profile_images/872902498478174208/jfXPJ1y9_normal.jpg","View")</f>
        <v>View</v>
      </c>
      <c r="P8952" s="27"/>
    </row>
    <row r="8953">
      <c r="A8953" s="14">
        <v>43031.89616898148</v>
      </c>
      <c r="B8953" s="20" t="str">
        <f>HYPERLINK("https://twitter.com/vishalbhatt7","@vishalbhatt7")</f>
        <v>@vishalbhatt7</v>
      </c>
      <c r="C8953" s="21" t="s">
        <v>19653</v>
      </c>
      <c r="D8953" s="21" t="s">
        <v>42</v>
      </c>
      <c r="E8953" s="22" t="str">
        <f>HYPERLINK("https://twitter.com/vishalbhatt7/status/922681677935083520","922681677935083520")</f>
        <v>922681677935083520</v>
      </c>
      <c r="F8953" s="23" t="s">
        <v>39</v>
      </c>
      <c r="G8953" s="24">
        <v>83.0</v>
      </c>
      <c r="H8953" s="24">
        <v>198.0</v>
      </c>
      <c r="I8953" s="24">
        <v>8501.0</v>
      </c>
      <c r="J8953" s="24">
        <v>0.0</v>
      </c>
      <c r="K8953" s="23" t="s">
        <v>34</v>
      </c>
      <c r="L8953" s="25">
        <v>40112.3149537037</v>
      </c>
      <c r="M8953" s="26" t="s">
        <v>19654</v>
      </c>
      <c r="N8953" s="26" t="s">
        <v>19655</v>
      </c>
      <c r="O8953" s="22" t="str">
        <f>HYPERLINK("https://pbs.twimg.com/profile_images/694763101326053376/y2eULlwv_normal.jpg","View")</f>
        <v>View</v>
      </c>
      <c r="P8953" s="27"/>
    </row>
    <row r="8954">
      <c r="A8954" s="14">
        <v>43031.89672453704</v>
      </c>
      <c r="B8954" s="20" t="str">
        <f>HYPERLINK("https://twitter.com/akinto70","@akinto70")</f>
        <v>@akinto70</v>
      </c>
      <c r="C8954" s="21" t="s">
        <v>12334</v>
      </c>
      <c r="D8954" s="21" t="s">
        <v>19656</v>
      </c>
      <c r="E8954" s="22" t="str">
        <f>HYPERLINK("https://twitter.com/akinto70/status/922681880851427328","922681880851427328")</f>
        <v>922681880851427328</v>
      </c>
      <c r="F8954" s="23" t="s">
        <v>187</v>
      </c>
      <c r="G8954" s="24">
        <v>269.0</v>
      </c>
      <c r="H8954" s="24">
        <v>314.0</v>
      </c>
      <c r="I8954" s="24">
        <v>0.0</v>
      </c>
      <c r="J8954" s="24">
        <v>0.0</v>
      </c>
      <c r="K8954" s="23" t="s">
        <v>34</v>
      </c>
      <c r="L8954" s="25">
        <v>41013.93835648148</v>
      </c>
      <c r="M8954" s="26" t="s">
        <v>12336</v>
      </c>
      <c r="N8954" s="26" t="s">
        <v>12337</v>
      </c>
      <c r="O8954" s="22" t="str">
        <f>HYPERLINK("https://pbs.twimg.com/profile_images/843536542551425024/S5IJjqKR_normal.jpg","View")</f>
        <v>View</v>
      </c>
      <c r="P8954" s="27"/>
    </row>
    <row r="8955">
      <c r="A8955" s="14">
        <v>43031.89677083334</v>
      </c>
      <c r="B8955" s="20" t="str">
        <f>HYPERLINK("https://twitter.com/Sunilpa67964545","@Sunilpa67964545")</f>
        <v>@Sunilpa67964545</v>
      </c>
      <c r="C8955" s="21" t="s">
        <v>19657</v>
      </c>
      <c r="D8955" s="21" t="s">
        <v>42</v>
      </c>
      <c r="E8955" s="22" t="str">
        <f>HYPERLINK("https://twitter.com/Sunilpa67964545/status/922681898630922240","922681898630922240")</f>
        <v>922681898630922240</v>
      </c>
      <c r="F8955" s="23" t="s">
        <v>33</v>
      </c>
      <c r="G8955" s="24">
        <v>340.0</v>
      </c>
      <c r="H8955" s="24">
        <v>406.0</v>
      </c>
      <c r="I8955" s="24">
        <v>8501.0</v>
      </c>
      <c r="J8955" s="24">
        <v>0.0</v>
      </c>
      <c r="K8955" s="23" t="s">
        <v>34</v>
      </c>
      <c r="L8955" s="25">
        <v>42906.43273148148</v>
      </c>
      <c r="M8955" s="26" t="s">
        <v>11320</v>
      </c>
      <c r="N8955" s="26" t="s">
        <v>19658</v>
      </c>
      <c r="O8955" s="22" t="str">
        <f>HYPERLINK("https://pbs.twimg.com/profile_images/877240607969861634/8fNrZB90_normal.jpg","View")</f>
        <v>View</v>
      </c>
      <c r="P8955" s="27"/>
    </row>
    <row r="8956">
      <c r="A8956" s="14">
        <v>43031.89702546297</v>
      </c>
      <c r="B8956" s="20" t="str">
        <f>HYPERLINK("https://twitter.com/mredinburgh","@mredinburgh")</f>
        <v>@mredinburgh</v>
      </c>
      <c r="C8956" s="21" t="s">
        <v>19659</v>
      </c>
      <c r="D8956" s="21" t="s">
        <v>19621</v>
      </c>
      <c r="E8956" s="22" t="str">
        <f>HYPERLINK("https://twitter.com/mredinburgh/status/922681988699623425","922681988699623425")</f>
        <v>922681988699623425</v>
      </c>
      <c r="F8956" s="23" t="s">
        <v>230</v>
      </c>
      <c r="G8956" s="24">
        <v>992.0</v>
      </c>
      <c r="H8956" s="24">
        <v>1034.0</v>
      </c>
      <c r="I8956" s="24">
        <v>18.0</v>
      </c>
      <c r="J8956" s="24">
        <v>0.0</v>
      </c>
      <c r="K8956" s="23" t="s">
        <v>34</v>
      </c>
      <c r="L8956" s="25">
        <v>40148.59717592593</v>
      </c>
      <c r="M8956" s="26" t="s">
        <v>19660</v>
      </c>
      <c r="N8956" s="26" t="s">
        <v>19661</v>
      </c>
      <c r="O8956" s="22" t="str">
        <f>HYPERLINK("https://pbs.twimg.com/profile_images/922549058841038848/D8xE-GGp_normal.jpg","View")</f>
        <v>View</v>
      </c>
      <c r="P8956" s="27"/>
    </row>
    <row r="8957">
      <c r="A8957" s="14">
        <v>43031.89710648148</v>
      </c>
      <c r="B8957" s="20" t="str">
        <f>HYPERLINK("https://twitter.com/SG_8503","@SG_8503")</f>
        <v>@SG_8503</v>
      </c>
      <c r="C8957" s="21" t="s">
        <v>19662</v>
      </c>
      <c r="D8957" s="21" t="s">
        <v>42</v>
      </c>
      <c r="E8957" s="22" t="str">
        <f>HYPERLINK("https://twitter.com/SG_8503/status/922682018370072576","922682018370072576")</f>
        <v>922682018370072576</v>
      </c>
      <c r="F8957" s="23" t="s">
        <v>33</v>
      </c>
      <c r="G8957" s="24">
        <v>10.0</v>
      </c>
      <c r="H8957" s="24">
        <v>36.0</v>
      </c>
      <c r="I8957" s="24">
        <v>8501.0</v>
      </c>
      <c r="J8957" s="24">
        <v>0.0</v>
      </c>
      <c r="K8957" s="23" t="s">
        <v>34</v>
      </c>
      <c r="L8957" s="25">
        <v>42328.38253472222</v>
      </c>
      <c r="M8957" s="28"/>
      <c r="N8957" s="28"/>
      <c r="O8957" s="22" t="str">
        <f>HYPERLINK("https://abs.twimg.com/sticky/default_profile_images/default_profile_normal.png","View")</f>
        <v>View</v>
      </c>
      <c r="P8957" s="27"/>
    </row>
    <row r="8958">
      <c r="A8958" s="14">
        <v>43031.89738425926</v>
      </c>
      <c r="B8958" s="20" t="str">
        <f>HYPERLINK("https://twitter.com/shankarkafle007","@shankarkafle007")</f>
        <v>@shankarkafle007</v>
      </c>
      <c r="C8958" s="21" t="s">
        <v>19663</v>
      </c>
      <c r="D8958" s="21" t="s">
        <v>19279</v>
      </c>
      <c r="E8958" s="22" t="str">
        <f>HYPERLINK("https://twitter.com/shankarkafle007/status/922682117762322433","922682117762322433")</f>
        <v>922682117762322433</v>
      </c>
      <c r="F8958" s="23" t="s">
        <v>33</v>
      </c>
      <c r="G8958" s="24">
        <v>121.0</v>
      </c>
      <c r="H8958" s="24">
        <v>510.0</v>
      </c>
      <c r="I8958" s="24">
        <v>12.0</v>
      </c>
      <c r="J8958" s="24">
        <v>0.0</v>
      </c>
      <c r="K8958" s="23" t="s">
        <v>34</v>
      </c>
      <c r="L8958" s="25">
        <v>41852.092939814815</v>
      </c>
      <c r="M8958" s="26" t="s">
        <v>19664</v>
      </c>
      <c r="N8958" s="26" t="s">
        <v>19665</v>
      </c>
      <c r="O8958" s="22" t="str">
        <f>HYPERLINK("https://pbs.twimg.com/profile_images/890209575177080832/fvhBTTOb_normal.jpg","View")</f>
        <v>View</v>
      </c>
      <c r="P8958" s="27"/>
    </row>
    <row r="8959">
      <c r="A8959" s="14">
        <v>43031.89740740741</v>
      </c>
      <c r="B8959" s="20" t="str">
        <f>HYPERLINK("https://twitter.com/amitabh_aks","@amitabh_aks")</f>
        <v>@amitabh_aks</v>
      </c>
      <c r="C8959" s="21" t="s">
        <v>19666</v>
      </c>
      <c r="D8959" s="21" t="s">
        <v>42</v>
      </c>
      <c r="E8959" s="22" t="str">
        <f>HYPERLINK("https://twitter.com/amitabh_aks/status/922682126947950592","922682126947950592")</f>
        <v>922682126947950592</v>
      </c>
      <c r="F8959" s="23" t="s">
        <v>39</v>
      </c>
      <c r="G8959" s="24">
        <v>490.0</v>
      </c>
      <c r="H8959" s="24">
        <v>1728.0</v>
      </c>
      <c r="I8959" s="24">
        <v>8501.0</v>
      </c>
      <c r="J8959" s="24">
        <v>0.0</v>
      </c>
      <c r="K8959" s="23" t="s">
        <v>34</v>
      </c>
      <c r="L8959" s="25">
        <v>40166.216782407406</v>
      </c>
      <c r="M8959" s="26" t="s">
        <v>136</v>
      </c>
      <c r="N8959" s="26" t="s">
        <v>19667</v>
      </c>
      <c r="O8959" s="22" t="str">
        <f>HYPERLINK("https://pbs.twimg.com/profile_images/908097363314724864/F3MqdM9u_normal.jpg","View")</f>
        <v>View</v>
      </c>
      <c r="P8959" s="27"/>
    </row>
    <row r="8960">
      <c r="A8960" s="14">
        <v>43031.897685185184</v>
      </c>
      <c r="B8960" s="20" t="str">
        <f>HYPERLINK("https://twitter.com/QasimQueso","@QasimQueso")</f>
        <v>@QasimQueso</v>
      </c>
      <c r="C8960" s="21" t="s">
        <v>19668</v>
      </c>
      <c r="D8960" s="21" t="s">
        <v>19621</v>
      </c>
      <c r="E8960" s="22" t="str">
        <f>HYPERLINK("https://twitter.com/QasimQueso/status/922682226378268675","922682226378268675")</f>
        <v>922682226378268675</v>
      </c>
      <c r="F8960" s="23" t="s">
        <v>55</v>
      </c>
      <c r="G8960" s="24">
        <v>271.0</v>
      </c>
      <c r="H8960" s="24">
        <v>360.0</v>
      </c>
      <c r="I8960" s="24">
        <v>18.0</v>
      </c>
      <c r="J8960" s="24">
        <v>0.0</v>
      </c>
      <c r="K8960" s="23" t="s">
        <v>34</v>
      </c>
      <c r="L8960" s="25">
        <v>40684.313425925924</v>
      </c>
      <c r="M8960" s="28"/>
      <c r="N8960" s="26" t="s">
        <v>19669</v>
      </c>
      <c r="O8960" s="22" t="str">
        <f>HYPERLINK("https://pbs.twimg.com/profile_images/853463944056459264/17-bRLgc_normal.jpg","View")</f>
        <v>View</v>
      </c>
      <c r="P8960" s="27"/>
    </row>
    <row r="8961">
      <c r="A8961" s="14">
        <v>43031.897731481484</v>
      </c>
      <c r="B8961" s="20" t="str">
        <f>HYPERLINK("https://twitter.com/HarshangDesai","@HarshangDesai")</f>
        <v>@HarshangDesai</v>
      </c>
      <c r="C8961" s="21" t="s">
        <v>19670</v>
      </c>
      <c r="D8961" s="21" t="s">
        <v>430</v>
      </c>
      <c r="E8961" s="22" t="str">
        <f>HYPERLINK("https://twitter.com/HarshangDesai/status/922682245604765696","922682245604765696")</f>
        <v>922682245604765696</v>
      </c>
      <c r="F8961" s="23" t="s">
        <v>33</v>
      </c>
      <c r="G8961" s="24">
        <v>229.0</v>
      </c>
      <c r="H8961" s="24">
        <v>179.0</v>
      </c>
      <c r="I8961" s="24">
        <v>62.0</v>
      </c>
      <c r="J8961" s="24">
        <v>0.0</v>
      </c>
      <c r="K8961" s="23" t="s">
        <v>34</v>
      </c>
      <c r="L8961" s="25">
        <v>42949.961736111116</v>
      </c>
      <c r="M8961" s="28"/>
      <c r="N8961" s="26" t="s">
        <v>19671</v>
      </c>
      <c r="O8961" s="22" t="str">
        <f>HYPERLINK("https://pbs.twimg.com/profile_images/914380798488305665/SpcuNaS__normal.jpg","View")</f>
        <v>View</v>
      </c>
      <c r="P8961" s="27"/>
    </row>
    <row r="8962">
      <c r="A8962" s="14">
        <v>43031.89774305555</v>
      </c>
      <c r="B8962" s="20" t="str">
        <f>HYPERLINK("https://twitter.com/cmaasitsc","@cmaasitsc")</f>
        <v>@cmaasitsc</v>
      </c>
      <c r="C8962" s="21" t="s">
        <v>19672</v>
      </c>
      <c r="D8962" s="21" t="s">
        <v>42</v>
      </c>
      <c r="E8962" s="22" t="str">
        <f>HYPERLINK("https://twitter.com/cmaasitsc/status/922682249635553280","922682249635553280")</f>
        <v>922682249635553280</v>
      </c>
      <c r="F8962" s="23" t="s">
        <v>33</v>
      </c>
      <c r="G8962" s="24">
        <v>42.0</v>
      </c>
      <c r="H8962" s="24">
        <v>151.0</v>
      </c>
      <c r="I8962" s="24">
        <v>8501.0</v>
      </c>
      <c r="J8962" s="24">
        <v>0.0</v>
      </c>
      <c r="K8962" s="23" t="s">
        <v>34</v>
      </c>
      <c r="L8962" s="25">
        <v>42387.32449074074</v>
      </c>
      <c r="M8962" s="26" t="s">
        <v>19673</v>
      </c>
      <c r="N8962" s="26" t="s">
        <v>19674</v>
      </c>
      <c r="O8962" s="22" t="str">
        <f>HYPERLINK("https://pbs.twimg.com/profile_images/920459803586990080/v0ppPI7O_normal.jpg","View")</f>
        <v>View</v>
      </c>
      <c r="P8962" s="27"/>
    </row>
    <row r="8963">
      <c r="A8963" s="14">
        <v>43031.8981712963</v>
      </c>
      <c r="B8963" s="20" t="str">
        <f>HYPERLINK("https://twitter.com/bbello2015","@bbello2015")</f>
        <v>@bbello2015</v>
      </c>
      <c r="C8963" s="21" t="s">
        <v>16459</v>
      </c>
      <c r="D8963" s="21" t="s">
        <v>19675</v>
      </c>
      <c r="E8963" s="22" t="str">
        <f>HYPERLINK("https://twitter.com/bbello2015/status/922682402945806343","922682402945806343")</f>
        <v>922682402945806343</v>
      </c>
      <c r="F8963" s="23" t="s">
        <v>187</v>
      </c>
      <c r="G8963" s="24">
        <v>1308.0</v>
      </c>
      <c r="H8963" s="24">
        <v>339.0</v>
      </c>
      <c r="I8963" s="24">
        <v>0.0</v>
      </c>
      <c r="J8963" s="24">
        <v>0.0</v>
      </c>
      <c r="K8963" s="23" t="s">
        <v>34</v>
      </c>
      <c r="L8963" s="25">
        <v>40609.22513888889</v>
      </c>
      <c r="M8963" s="26" t="s">
        <v>16461</v>
      </c>
      <c r="N8963" s="26" t="s">
        <v>16462</v>
      </c>
      <c r="O8963" s="22" t="str">
        <f>HYPERLINK("https://pbs.twimg.com/profile_images/898413184188530688/1uVx-t23_normal.jpg","View")</f>
        <v>View</v>
      </c>
      <c r="P8963" s="27"/>
    </row>
    <row r="8964">
      <c r="A8964" s="14">
        <v>43031.89839120371</v>
      </c>
      <c r="B8964" s="20" t="str">
        <f>HYPERLINK("https://twitter.com/MercedeLuzi23","@MercedeLuzi23")</f>
        <v>@MercedeLuzi23</v>
      </c>
      <c r="C8964" s="21" t="s">
        <v>19676</v>
      </c>
      <c r="D8964" s="21" t="s">
        <v>19677</v>
      </c>
      <c r="E8964" s="22" t="str">
        <f>HYPERLINK("https://twitter.com/MercedeLuzi23/status/922682485531664384","922682485531664384")</f>
        <v>922682485531664384</v>
      </c>
      <c r="F8964" s="23" t="s">
        <v>55</v>
      </c>
      <c r="G8964" s="24">
        <v>153.0</v>
      </c>
      <c r="H8964" s="24">
        <v>238.0</v>
      </c>
      <c r="I8964" s="24">
        <v>0.0</v>
      </c>
      <c r="J8964" s="24">
        <v>0.0</v>
      </c>
      <c r="K8964" s="23" t="s">
        <v>34</v>
      </c>
      <c r="L8964" s="25">
        <v>41810.67982638889</v>
      </c>
      <c r="M8964" s="26" t="s">
        <v>1362</v>
      </c>
      <c r="N8964" s="28"/>
      <c r="O8964" s="22" t="str">
        <f>HYPERLINK("https://pbs.twimg.com/profile_images/669887192207093762/MMboT8N2_normal.jpg","View")</f>
        <v>View</v>
      </c>
      <c r="P8964" s="27"/>
    </row>
    <row r="8965">
      <c r="A8965" s="14">
        <v>43031.89877314815</v>
      </c>
      <c r="B8965" s="20" t="str">
        <f>HYPERLINK("https://twitter.com/NavdeepGurjar12","@NavdeepGurjar12")</f>
        <v>@NavdeepGurjar12</v>
      </c>
      <c r="C8965" s="21" t="s">
        <v>19678</v>
      </c>
      <c r="D8965" s="21" t="s">
        <v>42</v>
      </c>
      <c r="E8965" s="22" t="str">
        <f>HYPERLINK("https://twitter.com/NavdeepGurjar12/status/922682621275947008","922682621275947008")</f>
        <v>922682621275947008</v>
      </c>
      <c r="F8965" s="23" t="s">
        <v>33</v>
      </c>
      <c r="G8965" s="24">
        <v>27.0</v>
      </c>
      <c r="H8965" s="24">
        <v>112.0</v>
      </c>
      <c r="I8965" s="24">
        <v>8501.0</v>
      </c>
      <c r="J8965" s="24">
        <v>0.0</v>
      </c>
      <c r="K8965" s="23" t="s">
        <v>34</v>
      </c>
      <c r="L8965" s="25">
        <v>42994.4919212963</v>
      </c>
      <c r="M8965" s="26" t="s">
        <v>19679</v>
      </c>
      <c r="N8965" s="26" t="s">
        <v>19680</v>
      </c>
      <c r="O8965" s="22" t="str">
        <f>HYPERLINK("https://pbs.twimg.com/profile_images/909131919232720896/SUF3apW6_normal.jpg","View")</f>
        <v>View</v>
      </c>
      <c r="P8965" s="27"/>
    </row>
    <row r="8966">
      <c r="A8966" s="14">
        <v>43031.8987962963</v>
      </c>
      <c r="B8966" s="20" t="str">
        <f>HYPERLINK("https://twitter.com/Kenlenkirk","@Kenlenkirk")</f>
        <v>@Kenlenkirk</v>
      </c>
      <c r="C8966" s="21" t="s">
        <v>19681</v>
      </c>
      <c r="D8966" s="21" t="s">
        <v>19682</v>
      </c>
      <c r="E8966" s="22" t="str">
        <f>HYPERLINK("https://twitter.com/Kenlenkirk/status/922682629744484353","922682629744484353")</f>
        <v>922682629744484353</v>
      </c>
      <c r="F8966" s="23" t="s">
        <v>187</v>
      </c>
      <c r="G8966" s="24">
        <v>181064.0</v>
      </c>
      <c r="H8966" s="24">
        <v>1320.0</v>
      </c>
      <c r="I8966" s="24">
        <v>0.0</v>
      </c>
      <c r="J8966" s="24">
        <v>0.0</v>
      </c>
      <c r="K8966" s="23" t="s">
        <v>34</v>
      </c>
      <c r="L8966" s="25">
        <v>40353.51231481481</v>
      </c>
      <c r="M8966" s="35" t="s">
        <v>19683</v>
      </c>
      <c r="N8966" s="26" t="s">
        <v>19684</v>
      </c>
      <c r="O8966" s="22" t="str">
        <f>HYPERLINK("https://pbs.twimg.com/profile_images/1823640681/Doc_Reefer_by_Nicky_Crop_Orange_NDP_Leaves_normal.jpg","View")</f>
        <v>View</v>
      </c>
      <c r="P8966" s="27"/>
    </row>
    <row r="8967">
      <c r="A8967" s="14">
        <v>43031.89880787037</v>
      </c>
      <c r="B8967" s="20" t="str">
        <f>HYPERLINK("https://twitter.com/niki0892","@niki0892")</f>
        <v>@niki0892</v>
      </c>
      <c r="C8967" s="21" t="s">
        <v>19685</v>
      </c>
      <c r="D8967" s="21" t="s">
        <v>19686</v>
      </c>
      <c r="E8967" s="22" t="str">
        <f>HYPERLINK("https://twitter.com/niki0892/status/922682635469623296","922682635469623296")</f>
        <v>922682635469623296</v>
      </c>
      <c r="F8967" s="23" t="s">
        <v>187</v>
      </c>
      <c r="G8967" s="24">
        <v>8.0</v>
      </c>
      <c r="H8967" s="24">
        <v>20.0</v>
      </c>
      <c r="I8967" s="24">
        <v>0.0</v>
      </c>
      <c r="J8967" s="24">
        <v>0.0</v>
      </c>
      <c r="K8967" s="23" t="s">
        <v>34</v>
      </c>
      <c r="L8967" s="25">
        <v>42582.16081018519</v>
      </c>
      <c r="M8967" s="26" t="s">
        <v>4623</v>
      </c>
      <c r="N8967" s="28"/>
      <c r="O8967" s="22" t="str">
        <f>HYPERLINK("https://pbs.twimg.com/profile_images/827095519331627009/2ee2t5V__normal.jpg","View")</f>
        <v>View</v>
      </c>
      <c r="P8967" s="27"/>
    </row>
    <row r="8968">
      <c r="A8968" s="14">
        <v>43031.89903935185</v>
      </c>
      <c r="B8968" s="20" t="str">
        <f>HYPERLINK("https://twitter.com/vkuwal","@vkuwal")</f>
        <v>@vkuwal</v>
      </c>
      <c r="C8968" s="21" t="s">
        <v>19687</v>
      </c>
      <c r="D8968" s="21" t="s">
        <v>42</v>
      </c>
      <c r="E8968" s="22" t="str">
        <f>HYPERLINK("https://twitter.com/vkuwal/status/922682720433487872","922682720433487872")</f>
        <v>922682720433487872</v>
      </c>
      <c r="F8968" s="23" t="s">
        <v>33</v>
      </c>
      <c r="G8968" s="24">
        <v>4867.0</v>
      </c>
      <c r="H8968" s="24">
        <v>224.0</v>
      </c>
      <c r="I8968" s="24">
        <v>8501.0</v>
      </c>
      <c r="J8968" s="24">
        <v>0.0</v>
      </c>
      <c r="K8968" s="23" t="s">
        <v>34</v>
      </c>
      <c r="L8968" s="25">
        <v>40891.98921296296</v>
      </c>
      <c r="M8968" s="26" t="s">
        <v>19688</v>
      </c>
      <c r="N8968" s="26" t="s">
        <v>19689</v>
      </c>
      <c r="O8968" s="22" t="str">
        <f>HYPERLINK("https://pbs.twimg.com/profile_images/923040909733720064/j3iuJ309_normal.jpg","View")</f>
        <v>View</v>
      </c>
      <c r="P8968" s="27"/>
    </row>
    <row r="8969">
      <c r="A8969" s="14">
        <v>43031.8990625</v>
      </c>
      <c r="B8969" s="20" t="str">
        <f>HYPERLINK("https://twitter.com/good0night0baby","@good0night0baby")</f>
        <v>@good0night0baby</v>
      </c>
      <c r="C8969" s="21" t="s">
        <v>19690</v>
      </c>
      <c r="D8969" s="21" t="s">
        <v>1642</v>
      </c>
      <c r="E8969" s="22" t="str">
        <f>HYPERLINK("https://twitter.com/good0night0baby/status/922682727886761985","922682727886761985")</f>
        <v>922682727886761985</v>
      </c>
      <c r="F8969" s="23" t="s">
        <v>39</v>
      </c>
      <c r="G8969" s="24">
        <v>115.0</v>
      </c>
      <c r="H8969" s="24">
        <v>308.0</v>
      </c>
      <c r="I8969" s="24">
        <v>199.0</v>
      </c>
      <c r="J8969" s="24">
        <v>0.0</v>
      </c>
      <c r="K8969" s="23" t="s">
        <v>34</v>
      </c>
      <c r="L8969" s="25">
        <v>41790.39108796296</v>
      </c>
      <c r="M8969" s="28"/>
      <c r="N8969" s="28"/>
      <c r="O8969" s="22" t="str">
        <f>HYPERLINK("https://pbs.twimg.com/profile_images/646717058198048768/mcrh8cF7_normal.jpg","View")</f>
        <v>View</v>
      </c>
      <c r="P8969" s="27"/>
    </row>
    <row r="8970">
      <c r="A8970" s="14">
        <v>43031.899189814816</v>
      </c>
      <c r="B8970" s="20" t="str">
        <f t="shared" ref="B8970:B8971" si="178">HYPERLINK("https://twitter.com/danborusensya","@danborusensya")</f>
        <v>@danborusensya</v>
      </c>
      <c r="C8970" s="21" t="s">
        <v>19691</v>
      </c>
      <c r="D8970" s="21" t="s">
        <v>14990</v>
      </c>
      <c r="E8970" s="22" t="str">
        <f>HYPERLINK("https://twitter.com/danborusensya/status/922682772858085377","922682772858085377")</f>
        <v>922682772858085377</v>
      </c>
      <c r="F8970" s="23" t="s">
        <v>33</v>
      </c>
      <c r="G8970" s="24">
        <v>83.0</v>
      </c>
      <c r="H8970" s="24">
        <v>66.0</v>
      </c>
      <c r="I8970" s="24">
        <v>10.0</v>
      </c>
      <c r="J8970" s="24">
        <v>0.0</v>
      </c>
      <c r="K8970" s="23" t="s">
        <v>34</v>
      </c>
      <c r="L8970" s="25">
        <v>42272.233136574076</v>
      </c>
      <c r="M8970" s="26" t="s">
        <v>19692</v>
      </c>
      <c r="N8970" s="26" t="s">
        <v>19693</v>
      </c>
      <c r="O8970" s="22" t="str">
        <f t="shared" ref="O8970:O8971" si="179">HYPERLINK("https://pbs.twimg.com/profile_images/647389401627004928/uujOjtoZ_normal.jpg","View")</f>
        <v>View</v>
      </c>
      <c r="P8970" s="27"/>
    </row>
    <row r="8971">
      <c r="A8971" s="14">
        <v>43031.89922453703</v>
      </c>
      <c r="B8971" s="20" t="str">
        <f t="shared" si="178"/>
        <v>@danborusensya</v>
      </c>
      <c r="C8971" s="21" t="s">
        <v>19691</v>
      </c>
      <c r="D8971" s="21" t="s">
        <v>14986</v>
      </c>
      <c r="E8971" s="22" t="str">
        <f>HYPERLINK("https://twitter.com/danborusensya/status/922682784866373632","922682784866373632")</f>
        <v>922682784866373632</v>
      </c>
      <c r="F8971" s="23" t="s">
        <v>33</v>
      </c>
      <c r="G8971" s="24">
        <v>83.0</v>
      </c>
      <c r="H8971" s="24">
        <v>66.0</v>
      </c>
      <c r="I8971" s="24">
        <v>11.0</v>
      </c>
      <c r="J8971" s="24">
        <v>0.0</v>
      </c>
      <c r="K8971" s="23" t="s">
        <v>34</v>
      </c>
      <c r="L8971" s="25">
        <v>42272.233136574076</v>
      </c>
      <c r="M8971" s="26" t="s">
        <v>19692</v>
      </c>
      <c r="N8971" s="26" t="s">
        <v>19693</v>
      </c>
      <c r="O8971" s="22" t="str">
        <f t="shared" si="179"/>
        <v>View</v>
      </c>
      <c r="P8971" s="27"/>
    </row>
    <row r="8972">
      <c r="A8972" s="14">
        <v>43031.899456018524</v>
      </c>
      <c r="B8972" s="20" t="str">
        <f>HYPERLINK("https://twitter.com/dbagabe","@dbagabe")</f>
        <v>@dbagabe</v>
      </c>
      <c r="C8972" s="21" t="s">
        <v>19694</v>
      </c>
      <c r="D8972" s="21" t="s">
        <v>17300</v>
      </c>
      <c r="E8972" s="22" t="str">
        <f>HYPERLINK("https://twitter.com/dbagabe/status/922682870874849280","922682870874849280")</f>
        <v>922682870874849280</v>
      </c>
      <c r="F8972" s="23" t="s">
        <v>39</v>
      </c>
      <c r="G8972" s="24">
        <v>44.0</v>
      </c>
      <c r="H8972" s="24">
        <v>78.0</v>
      </c>
      <c r="I8972" s="24">
        <v>7.0</v>
      </c>
      <c r="J8972" s="24">
        <v>0.0</v>
      </c>
      <c r="K8972" s="23" t="s">
        <v>34</v>
      </c>
      <c r="L8972" s="25">
        <v>39995.31826388889</v>
      </c>
      <c r="M8972" s="28"/>
      <c r="N8972" s="26" t="s">
        <v>19695</v>
      </c>
      <c r="O8972" s="22" t="str">
        <f>HYPERLINK("https://pbs.twimg.com/profile_images/433329897180647424/Wt7EZNI5_normal.jpeg","View")</f>
        <v>View</v>
      </c>
      <c r="P8972" s="27"/>
    </row>
    <row r="8973">
      <c r="A8973" s="14">
        <v>43031.899513888886</v>
      </c>
      <c r="B8973" s="20" t="str">
        <f>HYPERLINK("https://twitter.com/MyDailyReporter","@MyDailyReporter")</f>
        <v>@MyDailyReporter</v>
      </c>
      <c r="C8973" s="21" t="s">
        <v>19696</v>
      </c>
      <c r="D8973" s="21" t="s">
        <v>19697</v>
      </c>
      <c r="E8973" s="22" t="str">
        <f>HYPERLINK("https://twitter.com/MyDailyReporter/status/922682892563746816","922682892563746816")</f>
        <v>922682892563746816</v>
      </c>
      <c r="F8973" s="23" t="s">
        <v>187</v>
      </c>
      <c r="G8973" s="24">
        <v>300.0</v>
      </c>
      <c r="H8973" s="24">
        <v>0.0</v>
      </c>
      <c r="I8973" s="24">
        <v>0.0</v>
      </c>
      <c r="J8973" s="24">
        <v>0.0</v>
      </c>
      <c r="K8973" s="23" t="s">
        <v>34</v>
      </c>
      <c r="L8973" s="25">
        <v>42308.46364583333</v>
      </c>
      <c r="M8973" s="28"/>
      <c r="N8973" s="28"/>
      <c r="O8973" s="22" t="str">
        <f>HYPERLINK("https://pbs.twimg.com/profile_images/660520809585315841/YEKGmz9g_normal.png","View")</f>
        <v>View</v>
      </c>
      <c r="P8973" s="27"/>
    </row>
    <row r="8974">
      <c r="A8974" s="14">
        <v>43031.90013888889</v>
      </c>
      <c r="B8974" s="20" t="str">
        <f>HYPERLINK("https://twitter.com/Kenlenkirk","@Kenlenkirk")</f>
        <v>@Kenlenkirk</v>
      </c>
      <c r="C8974" s="21" t="s">
        <v>19681</v>
      </c>
      <c r="D8974" s="21" t="s">
        <v>19682</v>
      </c>
      <c r="E8974" s="22" t="str">
        <f>HYPERLINK("https://twitter.com/Kenlenkirk/status/922683117369995264","922683117369995264")</f>
        <v>922683117369995264</v>
      </c>
      <c r="F8974" s="23" t="s">
        <v>187</v>
      </c>
      <c r="G8974" s="24">
        <v>181064.0</v>
      </c>
      <c r="H8974" s="24">
        <v>1320.0</v>
      </c>
      <c r="I8974" s="24">
        <v>0.0</v>
      </c>
      <c r="J8974" s="24">
        <v>0.0</v>
      </c>
      <c r="K8974" s="23" t="s">
        <v>34</v>
      </c>
      <c r="L8974" s="25">
        <v>40353.51231481481</v>
      </c>
      <c r="M8974" s="35" t="s">
        <v>19683</v>
      </c>
      <c r="N8974" s="26" t="s">
        <v>19684</v>
      </c>
      <c r="O8974" s="22" t="str">
        <f>HYPERLINK("https://pbs.twimg.com/profile_images/1823640681/Doc_Reefer_by_Nicky_Crop_Orange_NDP_Leaves_normal.jpg","View")</f>
        <v>View</v>
      </c>
      <c r="P8974" s="27"/>
    </row>
    <row r="8975">
      <c r="A8975" s="14">
        <v>43031.90013888889</v>
      </c>
      <c r="B8975" s="20" t="str">
        <f>HYPERLINK("https://twitter.com/ColumnistWorld","@ColumnistWorld")</f>
        <v>@ColumnistWorld</v>
      </c>
      <c r="C8975" s="21" t="s">
        <v>5757</v>
      </c>
      <c r="D8975" s="21" t="s">
        <v>19698</v>
      </c>
      <c r="E8975" s="22" t="str">
        <f>HYPERLINK("https://twitter.com/ColumnistWorld/status/922683118879985664","922683118879985664")</f>
        <v>922683118879985664</v>
      </c>
      <c r="F8975" s="23" t="s">
        <v>187</v>
      </c>
      <c r="G8975" s="24">
        <v>26.0</v>
      </c>
      <c r="H8975" s="24">
        <v>0.0</v>
      </c>
      <c r="I8975" s="24">
        <v>0.0</v>
      </c>
      <c r="J8975" s="24">
        <v>0.0</v>
      </c>
      <c r="K8975" s="23" t="s">
        <v>34</v>
      </c>
      <c r="L8975" s="25">
        <v>42370.48368055555</v>
      </c>
      <c r="M8975" s="28"/>
      <c r="N8975" s="26" t="s">
        <v>5759</v>
      </c>
      <c r="O8975" s="22" t="str">
        <f>HYPERLINK("https://pbs.twimg.com/profile_images/918677245367111680/nbvPzXP0_normal.jpg","View")</f>
        <v>View</v>
      </c>
      <c r="P8975" s="27"/>
    </row>
    <row r="8976">
      <c r="A8976" s="14">
        <v>43031.90016203704</v>
      </c>
      <c r="B8976" s="20" t="str">
        <f>HYPERLINK("https://twitter.com/1mpeople","@1mpeople")</f>
        <v>@1mpeople</v>
      </c>
      <c r="C8976" s="21" t="s">
        <v>19699</v>
      </c>
      <c r="D8976" s="21" t="s">
        <v>19700</v>
      </c>
      <c r="E8976" s="22" t="str">
        <f>HYPERLINK("https://twitter.com/1mpeople/status/922683125569765376","922683125569765376")</f>
        <v>922683125569765376</v>
      </c>
      <c r="F8976" s="23" t="s">
        <v>19701</v>
      </c>
      <c r="G8976" s="24">
        <v>433.0</v>
      </c>
      <c r="H8976" s="24">
        <v>75.0</v>
      </c>
      <c r="I8976" s="24">
        <v>0.0</v>
      </c>
      <c r="J8976" s="24">
        <v>0.0</v>
      </c>
      <c r="K8976" s="23" t="s">
        <v>34</v>
      </c>
      <c r="L8976" s="25">
        <v>40963.74228009259</v>
      </c>
      <c r="M8976" s="26" t="s">
        <v>974</v>
      </c>
      <c r="N8976" s="26" t="s">
        <v>19702</v>
      </c>
      <c r="O8976" s="22" t="str">
        <f>HYPERLINK("https://pbs.twimg.com/profile_images/751306967222595588/QR17H4xP_normal.jpg","View")</f>
        <v>View</v>
      </c>
      <c r="P8976" s="27"/>
    </row>
    <row r="8977">
      <c r="A8977" s="14">
        <v>43031.90038194445</v>
      </c>
      <c r="B8977" s="20" t="str">
        <f>HYPERLINK("https://twitter.com/MukeshKumarJo15","@MukeshKumarJo15")</f>
        <v>@MukeshKumarJo15</v>
      </c>
      <c r="C8977" s="21" t="s">
        <v>19703</v>
      </c>
      <c r="D8977" s="21" t="s">
        <v>42</v>
      </c>
      <c r="E8977" s="22" t="str">
        <f>HYPERLINK("https://twitter.com/MukeshKumarJo15/status/922683204493967360","922683204493967360")</f>
        <v>922683204493967360</v>
      </c>
      <c r="F8977" s="23" t="s">
        <v>33</v>
      </c>
      <c r="G8977" s="24">
        <v>1636.0</v>
      </c>
      <c r="H8977" s="24">
        <v>711.0</v>
      </c>
      <c r="I8977" s="24">
        <v>8501.0</v>
      </c>
      <c r="J8977" s="24">
        <v>0.0</v>
      </c>
      <c r="K8977" s="23" t="s">
        <v>34</v>
      </c>
      <c r="L8977" s="25">
        <v>42702.88993055555</v>
      </c>
      <c r="M8977" s="26" t="s">
        <v>204</v>
      </c>
      <c r="N8977" s="26" t="s">
        <v>19704</v>
      </c>
      <c r="O8977" s="22" t="str">
        <f>HYPERLINK("https://pbs.twimg.com/profile_images/920480714235064320/ta78IwTz_normal.jpg","View")</f>
        <v>View</v>
      </c>
      <c r="P8977" s="27"/>
    </row>
    <row r="8978">
      <c r="A8978" s="14">
        <v>43031.90041666667</v>
      </c>
      <c r="B8978" s="20" t="str">
        <f>HYPERLINK("https://twitter.com/pJq2720","@pJq2720")</f>
        <v>@pJq2720</v>
      </c>
      <c r="C8978" s="21" t="s">
        <v>19705</v>
      </c>
      <c r="D8978" s="21" t="s">
        <v>42</v>
      </c>
      <c r="E8978" s="22" t="str">
        <f>HYPERLINK("https://twitter.com/pJq2720/status/922683217974583296","922683217974583296")</f>
        <v>922683217974583296</v>
      </c>
      <c r="F8978" s="23" t="s">
        <v>33</v>
      </c>
      <c r="G8978" s="24">
        <v>25.0</v>
      </c>
      <c r="H8978" s="24">
        <v>1340.0</v>
      </c>
      <c r="I8978" s="24">
        <v>8501.0</v>
      </c>
      <c r="J8978" s="24">
        <v>0.0</v>
      </c>
      <c r="K8978" s="23" t="s">
        <v>34</v>
      </c>
      <c r="L8978" s="25">
        <v>41086.45082175926</v>
      </c>
      <c r="M8978" s="26" t="s">
        <v>19706</v>
      </c>
      <c r="N8978" s="26" t="s">
        <v>19707</v>
      </c>
      <c r="O8978" s="22" t="str">
        <f>HYPERLINK("https://pbs.twimg.com/profile_images/749731886910414848/Kzl4aMlC_normal.jpg","View")</f>
        <v>View</v>
      </c>
      <c r="P8978" s="27"/>
    </row>
    <row r="8979">
      <c r="A8979" s="14">
        <v>43031.90049768519</v>
      </c>
      <c r="B8979" s="20" t="str">
        <f>HYPERLINK("https://twitter.com/pmstillman","@pmstillman")</f>
        <v>@pmstillman</v>
      </c>
      <c r="C8979" s="21" t="s">
        <v>19708</v>
      </c>
      <c r="D8979" s="21" t="s">
        <v>16537</v>
      </c>
      <c r="E8979" s="22" t="str">
        <f>HYPERLINK("https://twitter.com/pmstillman/status/922683246898499584","922683246898499584")</f>
        <v>922683246898499584</v>
      </c>
      <c r="F8979" s="23" t="s">
        <v>43</v>
      </c>
      <c r="G8979" s="24">
        <v>1535.0</v>
      </c>
      <c r="H8979" s="24">
        <v>4566.0</v>
      </c>
      <c r="I8979" s="24">
        <v>242.0</v>
      </c>
      <c r="J8979" s="24">
        <v>0.0</v>
      </c>
      <c r="K8979" s="23" t="s">
        <v>34</v>
      </c>
      <c r="L8979" s="25">
        <v>42375.676412037035</v>
      </c>
      <c r="M8979" s="26" t="s">
        <v>19709</v>
      </c>
      <c r="N8979" s="26" t="s">
        <v>19710</v>
      </c>
      <c r="O8979" s="22" t="str">
        <f>HYPERLINK("https://pbs.twimg.com/profile_images/685489021632512000/LORc2f71_normal.jpg","View")</f>
        <v>View</v>
      </c>
      <c r="P8979" s="27"/>
    </row>
    <row r="8980">
      <c r="A8980" s="14">
        <v>43031.90054398148</v>
      </c>
      <c r="B8980" s="20" t="str">
        <f>HYPERLINK("https://twitter.com/AjayPat74667166","@AjayPat74667166")</f>
        <v>@AjayPat74667166</v>
      </c>
      <c r="C8980" s="21" t="s">
        <v>19711</v>
      </c>
      <c r="D8980" s="21" t="s">
        <v>42</v>
      </c>
      <c r="E8980" s="22" t="str">
        <f>HYPERLINK("https://twitter.com/AjayPat74667166/status/922683265047183360","922683265047183360")</f>
        <v>922683265047183360</v>
      </c>
      <c r="F8980" s="23" t="s">
        <v>33</v>
      </c>
      <c r="G8980" s="24">
        <v>2.0</v>
      </c>
      <c r="H8980" s="24">
        <v>60.0</v>
      </c>
      <c r="I8980" s="24">
        <v>8501.0</v>
      </c>
      <c r="J8980" s="24">
        <v>0.0</v>
      </c>
      <c r="K8980" s="23" t="s">
        <v>34</v>
      </c>
      <c r="L8980" s="25">
        <v>43004.90467592592</v>
      </c>
      <c r="M8980" s="26" t="s">
        <v>1707</v>
      </c>
      <c r="N8980" s="26" t="s">
        <v>19712</v>
      </c>
      <c r="O8980" s="22" t="str">
        <f>HYPERLINK("https://pbs.twimg.com/profile_images/920320728548876288/_fw2EL9U_normal.jpg","View")</f>
        <v>View</v>
      </c>
      <c r="P8980" s="27"/>
    </row>
    <row r="8981">
      <c r="A8981" s="14">
        <v>43031.900624999995</v>
      </c>
      <c r="B8981" s="20" t="str">
        <f>HYPERLINK("https://twitter.com/sonirline","@sonirline")</f>
        <v>@sonirline</v>
      </c>
      <c r="C8981" s="21" t="s">
        <v>19713</v>
      </c>
      <c r="D8981" s="21" t="s">
        <v>42</v>
      </c>
      <c r="E8981" s="22" t="str">
        <f>HYPERLINK("https://twitter.com/sonirline/status/922683294491258880","922683294491258880")</f>
        <v>922683294491258880</v>
      </c>
      <c r="F8981" s="23" t="s">
        <v>33</v>
      </c>
      <c r="G8981" s="24">
        <v>15.0</v>
      </c>
      <c r="H8981" s="24">
        <v>286.0</v>
      </c>
      <c r="I8981" s="24">
        <v>8501.0</v>
      </c>
      <c r="J8981" s="24">
        <v>0.0</v>
      </c>
      <c r="K8981" s="23" t="s">
        <v>34</v>
      </c>
      <c r="L8981" s="25">
        <v>41593.031331018516</v>
      </c>
      <c r="M8981" s="26" t="s">
        <v>19714</v>
      </c>
      <c r="N8981" s="26" t="s">
        <v>19715</v>
      </c>
      <c r="O8981" s="22" t="str">
        <f>HYPERLINK("https://pbs.twimg.com/profile_images/922099156453224448/9mTBcm6s_normal.jpg","View")</f>
        <v>View</v>
      </c>
      <c r="P8981" s="27"/>
    </row>
    <row r="8982">
      <c r="A8982" s="14">
        <v>43031.900972222225</v>
      </c>
      <c r="B8982" s="20" t="str">
        <f>HYPERLINK("https://twitter.com/TertuliaDigita1","@TertuliaDigita1")</f>
        <v>@TertuliaDigita1</v>
      </c>
      <c r="C8982" s="21" t="s">
        <v>19716</v>
      </c>
      <c r="D8982" s="21" t="s">
        <v>19717</v>
      </c>
      <c r="E8982" s="22" t="str">
        <f>HYPERLINK("https://twitter.com/TertuliaDigita1/status/922683421469675520","922683421469675520")</f>
        <v>922683421469675520</v>
      </c>
      <c r="F8982" s="23" t="s">
        <v>187</v>
      </c>
      <c r="G8982" s="24">
        <v>3409.0</v>
      </c>
      <c r="H8982" s="24">
        <v>4296.0</v>
      </c>
      <c r="I8982" s="24">
        <v>0.0</v>
      </c>
      <c r="J8982" s="24">
        <v>0.0</v>
      </c>
      <c r="K8982" s="23" t="s">
        <v>34</v>
      </c>
      <c r="L8982" s="25">
        <v>41588.30731481481</v>
      </c>
      <c r="M8982" s="28"/>
      <c r="N8982" s="26" t="s">
        <v>19718</v>
      </c>
      <c r="O8982" s="22" t="str">
        <f>HYPERLINK("https://pbs.twimg.com/profile_images/378800000721541271/97c466d8d389724ea3b8360f9416aa32_normal.jpeg","View")</f>
        <v>View</v>
      </c>
      <c r="P8982" s="27"/>
    </row>
    <row r="8983">
      <c r="A8983" s="14">
        <v>43031.90106481481</v>
      </c>
      <c r="B8983" s="20" t="str">
        <f>HYPERLINK("https://twitter.com/erasmodill","@erasmodill")</f>
        <v>@erasmodill</v>
      </c>
      <c r="C8983" s="21" t="s">
        <v>19719</v>
      </c>
      <c r="D8983" s="21" t="s">
        <v>19720</v>
      </c>
      <c r="E8983" s="22" t="str">
        <f>HYPERLINK("https://twitter.com/erasmodill/status/922683452272627713","922683452272627713")</f>
        <v>922683452272627713</v>
      </c>
      <c r="F8983" s="23" t="s">
        <v>187</v>
      </c>
      <c r="G8983" s="24">
        <v>713.0</v>
      </c>
      <c r="H8983" s="24">
        <v>615.0</v>
      </c>
      <c r="I8983" s="24">
        <v>0.0</v>
      </c>
      <c r="J8983" s="24">
        <v>0.0</v>
      </c>
      <c r="K8983" s="23" t="s">
        <v>34</v>
      </c>
      <c r="L8983" s="25">
        <v>41270.147615740745</v>
      </c>
      <c r="M8983" s="26" t="s">
        <v>15388</v>
      </c>
      <c r="N8983" s="26" t="s">
        <v>19721</v>
      </c>
      <c r="O8983" s="22" t="str">
        <f>HYPERLINK("https://pbs.twimg.com/profile_images/3027954306/3982553e14bcdc35dc80fc5208000efc_normal.jpeg","View")</f>
        <v>View</v>
      </c>
      <c r="P8983" s="27"/>
    </row>
    <row r="8984">
      <c r="A8984" s="14">
        <v>43031.90130787037</v>
      </c>
      <c r="B8984" s="20" t="str">
        <f>HYPERLINK("https://twitter.com/preetibeniwal","@preetibeniwal")</f>
        <v>@preetibeniwal</v>
      </c>
      <c r="C8984" s="21" t="s">
        <v>19722</v>
      </c>
      <c r="D8984" s="21" t="s">
        <v>42</v>
      </c>
      <c r="E8984" s="22" t="str">
        <f>HYPERLINK("https://twitter.com/preetibeniwal/status/922683540164235264","922683540164235264")</f>
        <v>922683540164235264</v>
      </c>
      <c r="F8984" s="23" t="s">
        <v>33</v>
      </c>
      <c r="G8984" s="24">
        <v>1071.0</v>
      </c>
      <c r="H8984" s="24">
        <v>491.0</v>
      </c>
      <c r="I8984" s="24">
        <v>8501.0</v>
      </c>
      <c r="J8984" s="24">
        <v>0.0</v>
      </c>
      <c r="K8984" s="23" t="s">
        <v>34</v>
      </c>
      <c r="L8984" s="25">
        <v>40794.509930555556</v>
      </c>
      <c r="M8984" s="26" t="s">
        <v>246</v>
      </c>
      <c r="N8984" s="28"/>
      <c r="O8984" s="22" t="str">
        <f>HYPERLINK("https://pbs.twimg.com/profile_images/851862286796898305/Qrt5h1rR_normal.jpg","View")</f>
        <v>View</v>
      </c>
      <c r="P8984" s="27"/>
    </row>
    <row r="8985">
      <c r="A8985" s="14">
        <v>43031.90152777778</v>
      </c>
      <c r="B8985" s="20" t="str">
        <f>HYPERLINK("https://twitter.com/nyiint","@nyiint")</f>
        <v>@nyiint</v>
      </c>
      <c r="C8985" s="21" t="s">
        <v>5754</v>
      </c>
      <c r="D8985" s="21" t="s">
        <v>19723</v>
      </c>
      <c r="E8985" s="22" t="str">
        <f>HYPERLINK("https://twitter.com/nyiint/status/922683622737547264","922683622737547264")</f>
        <v>922683622737547264</v>
      </c>
      <c r="F8985" s="23" t="s">
        <v>187</v>
      </c>
      <c r="G8985" s="24">
        <v>16.0</v>
      </c>
      <c r="H8985" s="24">
        <v>0.0</v>
      </c>
      <c r="I8985" s="24">
        <v>0.0</v>
      </c>
      <c r="J8985" s="24">
        <v>0.0</v>
      </c>
      <c r="K8985" s="23" t="s">
        <v>34</v>
      </c>
      <c r="L8985" s="25">
        <v>42982.23821759259</v>
      </c>
      <c r="M8985" s="26" t="s">
        <v>4746</v>
      </c>
      <c r="N8985" s="26" t="s">
        <v>5756</v>
      </c>
      <c r="O8985" s="22" t="str">
        <f>HYPERLINK("https://pbs.twimg.com/profile_images/912810467730403330/LNww9UbF_normal.jpg","View")</f>
        <v>View</v>
      </c>
      <c r="P8985" s="27"/>
    </row>
    <row r="8986">
      <c r="A8986" s="14">
        <v>43031.90174768519</v>
      </c>
      <c r="B8986" s="20" t="str">
        <f>HYPERLINK("https://twitter.com/angjohnston","@angjohnston")</f>
        <v>@angjohnston</v>
      </c>
      <c r="C8986" s="21" t="s">
        <v>19724</v>
      </c>
      <c r="D8986" s="21" t="s">
        <v>19725</v>
      </c>
      <c r="E8986" s="22" t="str">
        <f>HYPERLINK("https://twitter.com/angjohnston/status/922683699228958720","922683699228958720")</f>
        <v>922683699228958720</v>
      </c>
      <c r="F8986" s="23" t="s">
        <v>55</v>
      </c>
      <c r="G8986" s="24">
        <v>1942.0</v>
      </c>
      <c r="H8986" s="24">
        <v>839.0</v>
      </c>
      <c r="I8986" s="24">
        <v>0.0</v>
      </c>
      <c r="J8986" s="24">
        <v>1.0</v>
      </c>
      <c r="K8986" s="23" t="s">
        <v>34</v>
      </c>
      <c r="L8986" s="25">
        <v>39864.45471064815</v>
      </c>
      <c r="M8986" s="26" t="s">
        <v>3693</v>
      </c>
      <c r="N8986" s="26" t="s">
        <v>19726</v>
      </c>
      <c r="O8986" s="22" t="str">
        <f>HYPERLINK("https://pbs.twimg.com/profile_images/503357484120408066/YyTUDt6f_normal.jpeg","View")</f>
        <v>View</v>
      </c>
      <c r="P8986" s="27"/>
    </row>
    <row r="8987">
      <c r="A8987" s="14">
        <v>43031.90185185186</v>
      </c>
      <c r="B8987" s="20" t="str">
        <f>HYPERLINK("https://twitter.com/semwal_rakesh","@semwal_rakesh")</f>
        <v>@semwal_rakesh</v>
      </c>
      <c r="C8987" s="21" t="s">
        <v>19727</v>
      </c>
      <c r="D8987" s="21" t="s">
        <v>42</v>
      </c>
      <c r="E8987" s="22" t="str">
        <f>HYPERLINK("https://twitter.com/semwal_rakesh/status/922683738630295552","922683738630295552")</f>
        <v>922683738630295552</v>
      </c>
      <c r="F8987" s="23" t="s">
        <v>33</v>
      </c>
      <c r="G8987" s="24">
        <v>28.0</v>
      </c>
      <c r="H8987" s="24">
        <v>356.0</v>
      </c>
      <c r="I8987" s="24">
        <v>8501.0</v>
      </c>
      <c r="J8987" s="24">
        <v>0.0</v>
      </c>
      <c r="K8987" s="23" t="s">
        <v>34</v>
      </c>
      <c r="L8987" s="25">
        <v>40127.87818287037</v>
      </c>
      <c r="M8987" s="28"/>
      <c r="N8987" s="26" t="s">
        <v>19728</v>
      </c>
      <c r="O8987" s="22" t="str">
        <f>HYPERLINK("https://pbs.twimg.com/profile_images/715551638694404097/l-R1rgUQ_normal.jpg","View")</f>
        <v>View</v>
      </c>
      <c r="P8987" s="27"/>
    </row>
    <row r="8988">
      <c r="A8988" s="14">
        <v>43031.90195601852</v>
      </c>
      <c r="B8988" s="20" t="str">
        <f>HYPERLINK("https://twitter.com/NlcosRenesmee","@NlcosRenesmee")</f>
        <v>@NlcosRenesmee</v>
      </c>
      <c r="C8988" s="21" t="s">
        <v>19729</v>
      </c>
      <c r="D8988" s="21" t="s">
        <v>42</v>
      </c>
      <c r="E8988" s="22" t="str">
        <f>HYPERLINK("https://twitter.com/NlcosRenesmee/status/922683775208660993","922683775208660993")</f>
        <v>922683775208660993</v>
      </c>
      <c r="F8988" s="23" t="s">
        <v>33</v>
      </c>
      <c r="G8988" s="24">
        <v>63.0</v>
      </c>
      <c r="H8988" s="24">
        <v>2225.0</v>
      </c>
      <c r="I8988" s="24">
        <v>8501.0</v>
      </c>
      <c r="J8988" s="24">
        <v>0.0</v>
      </c>
      <c r="K8988" s="23" t="s">
        <v>34</v>
      </c>
      <c r="L8988" s="25">
        <v>40684.23905092593</v>
      </c>
      <c r="M8988" s="26" t="s">
        <v>19730</v>
      </c>
      <c r="N8988" s="26" t="s">
        <v>19731</v>
      </c>
      <c r="O8988" s="22" t="str">
        <f>HYPERLINK("https://pbs.twimg.com/profile_images/764947244458078209/uvngiGYG_normal.jpg","View")</f>
        <v>View</v>
      </c>
      <c r="P8988" s="27"/>
    </row>
    <row r="8989">
      <c r="A8989" s="14">
        <v>43031.90203703704</v>
      </c>
      <c r="B8989" s="20" t="str">
        <f>HYPERLINK("https://twitter.com/vltacocowater","@vltacocowater")</f>
        <v>@vltacocowater</v>
      </c>
      <c r="C8989" s="21" t="s">
        <v>19732</v>
      </c>
      <c r="D8989" s="21" t="s">
        <v>42</v>
      </c>
      <c r="E8989" s="22" t="str">
        <f>HYPERLINK("https://twitter.com/vltacocowater/status/922683806221561857","922683806221561857")</f>
        <v>922683806221561857</v>
      </c>
      <c r="F8989" s="23" t="s">
        <v>33</v>
      </c>
      <c r="G8989" s="24">
        <v>21.0</v>
      </c>
      <c r="H8989" s="24">
        <v>1352.0</v>
      </c>
      <c r="I8989" s="24">
        <v>8501.0</v>
      </c>
      <c r="J8989" s="24">
        <v>0.0</v>
      </c>
      <c r="K8989" s="23" t="s">
        <v>34</v>
      </c>
      <c r="L8989" s="25">
        <v>41082.48211805556</v>
      </c>
      <c r="M8989" s="26" t="s">
        <v>19733</v>
      </c>
      <c r="N8989" s="26" t="s">
        <v>19734</v>
      </c>
      <c r="O8989" s="22" t="str">
        <f>HYPERLINK("https://pbs.twimg.com/profile_images/764375017715040256/l76pzY-E_normal.jpg","View")</f>
        <v>View</v>
      </c>
      <c r="P8989" s="27"/>
    </row>
    <row r="8990">
      <c r="A8990" s="14">
        <v>43031.90211805556</v>
      </c>
      <c r="B8990" s="20" t="str">
        <f>HYPERLINK("https://twitter.com/waratte1110","@waratte1110")</f>
        <v>@waratte1110</v>
      </c>
      <c r="C8990" s="21" t="s">
        <v>19735</v>
      </c>
      <c r="D8990" s="21" t="s">
        <v>42</v>
      </c>
      <c r="E8990" s="22" t="str">
        <f>HYPERLINK("https://twitter.com/waratte1110/status/922683833534775297","922683833534775297")</f>
        <v>922683833534775297</v>
      </c>
      <c r="F8990" s="23" t="s">
        <v>39</v>
      </c>
      <c r="G8990" s="24">
        <v>37.0</v>
      </c>
      <c r="H8990" s="24">
        <v>53.0</v>
      </c>
      <c r="I8990" s="24">
        <v>8501.0</v>
      </c>
      <c r="J8990" s="24">
        <v>0.0</v>
      </c>
      <c r="K8990" s="23" t="s">
        <v>34</v>
      </c>
      <c r="L8990" s="25">
        <v>42863.42554398148</v>
      </c>
      <c r="M8990" s="26" t="s">
        <v>8012</v>
      </c>
      <c r="N8990" s="26" t="s">
        <v>19736</v>
      </c>
      <c r="O8990" s="22" t="str">
        <f>HYPERLINK("https://pbs.twimg.com/profile_images/869873013650407425/INcYtU21_normal.jpg","View")</f>
        <v>View</v>
      </c>
      <c r="P8990" s="27"/>
    </row>
    <row r="8991">
      <c r="A8991" s="14">
        <v>43031.902349537035</v>
      </c>
      <c r="B8991" s="20" t="str">
        <f>HYPERLINK("https://twitter.com/miravnaik20","@miravnaik20")</f>
        <v>@miravnaik20</v>
      </c>
      <c r="C8991" s="21" t="s">
        <v>19737</v>
      </c>
      <c r="D8991" s="21" t="s">
        <v>42</v>
      </c>
      <c r="E8991" s="22" t="str">
        <f>HYPERLINK("https://twitter.com/miravnaik20/status/922683916804222976","922683916804222976")</f>
        <v>922683916804222976</v>
      </c>
      <c r="F8991" s="23" t="s">
        <v>33</v>
      </c>
      <c r="G8991" s="24">
        <v>1348.0</v>
      </c>
      <c r="H8991" s="24">
        <v>872.0</v>
      </c>
      <c r="I8991" s="24">
        <v>8501.0</v>
      </c>
      <c r="J8991" s="24">
        <v>0.0</v>
      </c>
      <c r="K8991" s="23" t="s">
        <v>34</v>
      </c>
      <c r="L8991" s="25">
        <v>41938.414930555555</v>
      </c>
      <c r="M8991" s="26" t="s">
        <v>1354</v>
      </c>
      <c r="N8991" s="26" t="s">
        <v>19738</v>
      </c>
      <c r="O8991" s="22" t="str">
        <f>HYPERLINK("https://pbs.twimg.com/profile_images/784302352685674496/gnseB_Pc_normal.jpg","View")</f>
        <v>View</v>
      </c>
      <c r="P8991" s="27"/>
    </row>
    <row r="8992">
      <c r="A8992" s="14">
        <v>43031.902349537035</v>
      </c>
      <c r="B8992" s="20" t="str">
        <f>HYPERLINK("https://twitter.com/TribuneWorld","@TribuneWorld")</f>
        <v>@TribuneWorld</v>
      </c>
      <c r="C8992" s="21" t="s">
        <v>5746</v>
      </c>
      <c r="D8992" s="21" t="s">
        <v>19739</v>
      </c>
      <c r="E8992" s="22" t="str">
        <f>HYPERLINK("https://twitter.com/TribuneWorld/status/922683919962705921","922683919962705921")</f>
        <v>922683919962705921</v>
      </c>
      <c r="F8992" s="23" t="s">
        <v>187</v>
      </c>
      <c r="G8992" s="24">
        <v>97.0</v>
      </c>
      <c r="H8992" s="24">
        <v>0.0</v>
      </c>
      <c r="I8992" s="24">
        <v>0.0</v>
      </c>
      <c r="J8992" s="24">
        <v>0.0</v>
      </c>
      <c r="K8992" s="23" t="s">
        <v>34</v>
      </c>
      <c r="L8992" s="25">
        <v>42502.35219907407</v>
      </c>
      <c r="M8992" s="26" t="s">
        <v>762</v>
      </c>
      <c r="N8992" s="26" t="s">
        <v>5748</v>
      </c>
      <c r="O8992" s="22" t="str">
        <f>HYPERLINK("https://pbs.twimg.com/profile_images/884044391823712256/EmtohZxH_normal.jpg","View")</f>
        <v>View</v>
      </c>
      <c r="P8992" s="27"/>
    </row>
    <row r="8993">
      <c r="A8993" s="14">
        <v>43031.90238425926</v>
      </c>
      <c r="B8993" s="20" t="str">
        <f>HYPERLINK("https://twitter.com/NaraniwalGaurav","@NaraniwalGaurav")</f>
        <v>@NaraniwalGaurav</v>
      </c>
      <c r="C8993" s="21" t="s">
        <v>19740</v>
      </c>
      <c r="D8993" s="21" t="s">
        <v>42</v>
      </c>
      <c r="E8993" s="22" t="str">
        <f>HYPERLINK("https://twitter.com/NaraniwalGaurav/status/922683930041397248","922683930041397248")</f>
        <v>922683930041397248</v>
      </c>
      <c r="F8993" s="23" t="s">
        <v>33</v>
      </c>
      <c r="G8993" s="24">
        <v>43.0</v>
      </c>
      <c r="H8993" s="24">
        <v>260.0</v>
      </c>
      <c r="I8993" s="24">
        <v>8501.0</v>
      </c>
      <c r="J8993" s="24">
        <v>0.0</v>
      </c>
      <c r="K8993" s="23" t="s">
        <v>34</v>
      </c>
      <c r="L8993" s="25">
        <v>42427.00954861111</v>
      </c>
      <c r="M8993" s="26" t="s">
        <v>12857</v>
      </c>
      <c r="N8993" s="26" t="s">
        <v>19741</v>
      </c>
      <c r="O8993" s="22" t="str">
        <f>HYPERLINK("https://pbs.twimg.com/profile_images/899977681181081600/Wc2nXPTi_normal.jpg","View")</f>
        <v>View</v>
      </c>
      <c r="P8993" s="27"/>
    </row>
    <row r="8994">
      <c r="A8994" s="14">
        <v>43031.90241898148</v>
      </c>
      <c r="B8994" s="20" t="str">
        <f>HYPERLINK("https://twitter.com/caethemagic","@caethemagic")</f>
        <v>@caethemagic</v>
      </c>
      <c r="C8994" s="21" t="s">
        <v>19742</v>
      </c>
      <c r="D8994" s="21" t="s">
        <v>19621</v>
      </c>
      <c r="E8994" s="22" t="str">
        <f>HYPERLINK("https://twitter.com/caethemagic/status/922683944725766144","922683944725766144")</f>
        <v>922683944725766144</v>
      </c>
      <c r="F8994" s="23" t="s">
        <v>33</v>
      </c>
      <c r="G8994" s="24">
        <v>1380.0</v>
      </c>
      <c r="H8994" s="24">
        <v>1175.0</v>
      </c>
      <c r="I8994" s="24">
        <v>18.0</v>
      </c>
      <c r="J8994" s="24">
        <v>0.0</v>
      </c>
      <c r="K8994" s="23" t="s">
        <v>34</v>
      </c>
      <c r="L8994" s="25">
        <v>40205.10244212963</v>
      </c>
      <c r="M8994" s="26" t="s">
        <v>19743</v>
      </c>
      <c r="N8994" s="26" t="s">
        <v>19744</v>
      </c>
      <c r="O8994" s="22" t="str">
        <f>HYPERLINK("https://pbs.twimg.com/profile_images/482053275424796672/GpPpV_gG_normal.png","View")</f>
        <v>View</v>
      </c>
      <c r="P8994" s="27"/>
    </row>
    <row r="8995">
      <c r="A8995" s="14">
        <v>43031.90258101852</v>
      </c>
      <c r="B8995" s="20" t="str">
        <f>HYPERLINK("https://twitter.com/periodicalw","@periodicalw")</f>
        <v>@periodicalw</v>
      </c>
      <c r="C8995" s="21" t="s">
        <v>5750</v>
      </c>
      <c r="D8995" s="21" t="s">
        <v>19745</v>
      </c>
      <c r="E8995" s="22" t="str">
        <f>HYPERLINK("https://twitter.com/periodicalw/status/922684004276502528","922684004276502528")</f>
        <v>922684004276502528</v>
      </c>
      <c r="F8995" s="23" t="s">
        <v>187</v>
      </c>
      <c r="G8995" s="24">
        <v>13.0</v>
      </c>
      <c r="H8995" s="24">
        <v>0.0</v>
      </c>
      <c r="I8995" s="24">
        <v>0.0</v>
      </c>
      <c r="J8995" s="24">
        <v>0.0</v>
      </c>
      <c r="K8995" s="23" t="s">
        <v>34</v>
      </c>
      <c r="L8995" s="25">
        <v>42054.98625</v>
      </c>
      <c r="M8995" s="28"/>
      <c r="N8995" s="26" t="s">
        <v>5752</v>
      </c>
      <c r="O8995" s="22" t="str">
        <f>HYPERLINK("https://pbs.twimg.com/profile_images/919747762345906181/R3fj25Fb_normal.jpg","View")</f>
        <v>View</v>
      </c>
      <c r="P8995" s="27"/>
    </row>
    <row r="8996">
      <c r="A8996" s="14">
        <v>43031.90278935185</v>
      </c>
      <c r="B8996" s="20" t="str">
        <f>HYPERLINK("https://twitter.com/an_sahoo","@an_sahoo")</f>
        <v>@an_sahoo</v>
      </c>
      <c r="C8996" s="21" t="s">
        <v>19746</v>
      </c>
      <c r="D8996" s="21" t="s">
        <v>42</v>
      </c>
      <c r="E8996" s="22" t="str">
        <f>HYPERLINK("https://twitter.com/an_sahoo/status/922684077634916352","922684077634916352")</f>
        <v>922684077634916352</v>
      </c>
      <c r="F8996" s="23" t="s">
        <v>33</v>
      </c>
      <c r="G8996" s="24">
        <v>13.0</v>
      </c>
      <c r="H8996" s="24">
        <v>81.0</v>
      </c>
      <c r="I8996" s="24">
        <v>8501.0</v>
      </c>
      <c r="J8996" s="24">
        <v>0.0</v>
      </c>
      <c r="K8996" s="23" t="s">
        <v>34</v>
      </c>
      <c r="L8996" s="25">
        <v>40001.08206018519</v>
      </c>
      <c r="M8996" s="28"/>
      <c r="N8996" s="26" t="s">
        <v>19747</v>
      </c>
      <c r="O8996" s="22" t="str">
        <f>HYPERLINK("https://pbs.twimg.com/profile_images/804589350272937984/KVrTWXbk_normal.jpg","View")</f>
        <v>View</v>
      </c>
      <c r="P8996" s="27"/>
    </row>
    <row r="8997">
      <c r="A8997" s="14">
        <v>43031.902916666666</v>
      </c>
      <c r="B8997" s="20" t="str">
        <f>HYPERLINK("https://twitter.com/Edomka","@Edomka")</f>
        <v>@Edomka</v>
      </c>
      <c r="C8997" s="21" t="s">
        <v>17791</v>
      </c>
      <c r="D8997" s="21" t="s">
        <v>19748</v>
      </c>
      <c r="E8997" s="22" t="str">
        <f>HYPERLINK("https://twitter.com/Edomka/status/922684123096940544","922684123096940544")</f>
        <v>922684123096940544</v>
      </c>
      <c r="F8997" s="23" t="s">
        <v>55</v>
      </c>
      <c r="G8997" s="24">
        <v>3999.0</v>
      </c>
      <c r="H8997" s="24">
        <v>840.0</v>
      </c>
      <c r="I8997" s="24">
        <v>0.0</v>
      </c>
      <c r="J8997" s="24">
        <v>1.0</v>
      </c>
      <c r="K8997" s="23" t="s">
        <v>34</v>
      </c>
      <c r="L8997" s="25">
        <v>41021.60325231482</v>
      </c>
      <c r="M8997" s="26" t="s">
        <v>17793</v>
      </c>
      <c r="N8997" s="26" t="s">
        <v>17794</v>
      </c>
      <c r="O8997" s="22" t="str">
        <f>HYPERLINK("https://pbs.twimg.com/profile_images/886759969240096768/wYpOqC7R_normal.jpg","View")</f>
        <v>View</v>
      </c>
      <c r="P8997" s="27"/>
    </row>
    <row r="8998">
      <c r="A8998" s="14">
        <v>43031.90292824074</v>
      </c>
      <c r="B8998" s="20" t="str">
        <f>HYPERLINK("https://twitter.com/BenjaminHodzi10","@BenjaminHodzi10")</f>
        <v>@BenjaminHodzi10</v>
      </c>
      <c r="C8998" s="21" t="s">
        <v>19749</v>
      </c>
      <c r="D8998" s="21" t="s">
        <v>13295</v>
      </c>
      <c r="E8998" s="22" t="str">
        <f>HYPERLINK("https://twitter.com/BenjaminHodzi10/status/922684127341662208","922684127341662208")</f>
        <v>922684127341662208</v>
      </c>
      <c r="F8998" s="23" t="s">
        <v>33</v>
      </c>
      <c r="G8998" s="24">
        <v>6.0</v>
      </c>
      <c r="H8998" s="24">
        <v>0.0</v>
      </c>
      <c r="I8998" s="24">
        <v>19.0</v>
      </c>
      <c r="J8998" s="24">
        <v>0.0</v>
      </c>
      <c r="K8998" s="23" t="s">
        <v>34</v>
      </c>
      <c r="L8998" s="25">
        <v>43031.87685185185</v>
      </c>
      <c r="M8998" s="26" t="s">
        <v>19750</v>
      </c>
      <c r="N8998" s="26" t="s">
        <v>19751</v>
      </c>
      <c r="O8998" s="22" t="str">
        <f>HYPERLINK("https://pbs.twimg.com/profile_images/922679785503055872/nLpAmAe0_normal.jpg","View")</f>
        <v>View</v>
      </c>
      <c r="P8998" s="27"/>
    </row>
    <row r="8999">
      <c r="A8999" s="14">
        <v>43031.90310185185</v>
      </c>
      <c r="B8999" s="20" t="str">
        <f>HYPERLINK("https://twitter.com/surum_","@surum_")</f>
        <v>@surum_</v>
      </c>
      <c r="C8999" s="21" t="s">
        <v>19752</v>
      </c>
      <c r="D8999" s="21" t="s">
        <v>32</v>
      </c>
      <c r="E8999" s="22" t="str">
        <f>HYPERLINK("https://twitter.com/surum_/status/922684190956679168","922684190956679168")</f>
        <v>922684190956679168</v>
      </c>
      <c r="F8999" s="23" t="s">
        <v>33</v>
      </c>
      <c r="G8999" s="24">
        <v>10184.0</v>
      </c>
      <c r="H8999" s="24">
        <v>2725.0</v>
      </c>
      <c r="I8999" s="24">
        <v>471.0</v>
      </c>
      <c r="J8999" s="24">
        <v>0.0</v>
      </c>
      <c r="K8999" s="23" t="s">
        <v>34</v>
      </c>
      <c r="L8999" s="25">
        <v>41454.45045138889</v>
      </c>
      <c r="M8999" s="26" t="s">
        <v>7790</v>
      </c>
      <c r="N8999" s="26" t="s">
        <v>19753</v>
      </c>
      <c r="O8999" s="22" t="str">
        <f>HYPERLINK("https://pbs.twimg.com/profile_images/919533019270123521/aB6ILyUA_normal.jpg","View")</f>
        <v>View</v>
      </c>
      <c r="P8999" s="27"/>
    </row>
    <row r="9000">
      <c r="A9000" s="14">
        <v>43031.90335648148</v>
      </c>
      <c r="B9000" s="20" t="str">
        <f>HYPERLINK("https://twitter.com/Japanese_Paris","@Japanese_Paris")</f>
        <v>@Japanese_Paris</v>
      </c>
      <c r="C9000" s="21" t="s">
        <v>19754</v>
      </c>
      <c r="D9000" s="21" t="s">
        <v>1642</v>
      </c>
      <c r="E9000" s="22" t="str">
        <f>HYPERLINK("https://twitter.com/Japanese_Paris/status/922684282581139456","922684282581139456")</f>
        <v>922684282581139456</v>
      </c>
      <c r="F9000" s="23" t="s">
        <v>33</v>
      </c>
      <c r="G9000" s="24">
        <v>2173.0</v>
      </c>
      <c r="H9000" s="24">
        <v>1536.0</v>
      </c>
      <c r="I9000" s="24">
        <v>199.0</v>
      </c>
      <c r="J9000" s="24">
        <v>0.0</v>
      </c>
      <c r="K9000" s="23" t="s">
        <v>34</v>
      </c>
      <c r="L9000" s="25">
        <v>39836.27923611111</v>
      </c>
      <c r="M9000" s="26" t="s">
        <v>19755</v>
      </c>
      <c r="N9000" s="26" t="s">
        <v>19756</v>
      </c>
      <c r="O9000" s="22" t="str">
        <f>HYPERLINK("https://pbs.twimg.com/profile_images/3744950605/8892f24e2b59092b609d450cf47f5320_normal.jpeg","View")</f>
        <v>View</v>
      </c>
      <c r="P9000" s="27"/>
    </row>
    <row r="9001">
      <c r="A9001" s="14">
        <v>43031.903437500005</v>
      </c>
      <c r="B9001" s="20" t="str">
        <f>HYPERLINK("https://twitter.com/lalitramandeep","@lalitramandeep")</f>
        <v>@lalitramandeep</v>
      </c>
      <c r="C9001" s="21" t="s">
        <v>19757</v>
      </c>
      <c r="D9001" s="21" t="s">
        <v>42</v>
      </c>
      <c r="E9001" s="22" t="str">
        <f>HYPERLINK("https://twitter.com/lalitramandeep/status/922684311744151552","922684311744151552")</f>
        <v>922684311744151552</v>
      </c>
      <c r="F9001" s="23" t="s">
        <v>33</v>
      </c>
      <c r="G9001" s="24">
        <v>19.0</v>
      </c>
      <c r="H9001" s="24">
        <v>117.0</v>
      </c>
      <c r="I9001" s="24">
        <v>8501.0</v>
      </c>
      <c r="J9001" s="24">
        <v>0.0</v>
      </c>
      <c r="K9001" s="23" t="s">
        <v>34</v>
      </c>
      <c r="L9001" s="25">
        <v>42988.15825231481</v>
      </c>
      <c r="M9001" s="26" t="s">
        <v>575</v>
      </c>
      <c r="N9001" s="28"/>
      <c r="O9001" s="22" t="str">
        <f>HYPERLINK("https://pbs.twimg.com/profile_images/906833437478158336/6VO3fM9C_normal.jpg","View")</f>
        <v>View</v>
      </c>
      <c r="P9001" s="27"/>
    </row>
    <row r="9002">
      <c r="A9002" s="14">
        <v>43031.9034837963</v>
      </c>
      <c r="B9002" s="20" t="str">
        <f>HYPERLINK("https://twitter.com/CEOMagazineEMEA","@CEOMagazineEMEA")</f>
        <v>@CEOMagazineEMEA</v>
      </c>
      <c r="C9002" s="21" t="s">
        <v>17569</v>
      </c>
      <c r="D9002" s="21" t="s">
        <v>19758</v>
      </c>
      <c r="E9002" s="22" t="str">
        <f>HYPERLINK("https://twitter.com/CEOMagazineEMEA/status/922684328311775233","922684328311775233")</f>
        <v>922684328311775233</v>
      </c>
      <c r="F9002" s="23" t="s">
        <v>10415</v>
      </c>
      <c r="G9002" s="24">
        <v>379.0</v>
      </c>
      <c r="H9002" s="24">
        <v>171.0</v>
      </c>
      <c r="I9002" s="24">
        <v>1.0</v>
      </c>
      <c r="J9002" s="24">
        <v>0.0</v>
      </c>
      <c r="K9002" s="23" t="s">
        <v>34</v>
      </c>
      <c r="L9002" s="25">
        <v>41772.94315972222</v>
      </c>
      <c r="M9002" s="26" t="s">
        <v>19759</v>
      </c>
      <c r="N9002" s="26" t="s">
        <v>17572</v>
      </c>
      <c r="O9002" s="22" t="str">
        <f>HYPERLINK("https://pbs.twimg.com/profile_images/850163195008491520/_NMPlSe4_normal.jpg","View")</f>
        <v>View</v>
      </c>
      <c r="P9002" s="27"/>
    </row>
    <row r="9003">
      <c r="A9003" s="14">
        <v>43031.90349537037</v>
      </c>
      <c r="B9003" s="20" t="str">
        <f>HYPERLINK("https://twitter.com/iseyatan","@iseyatan")</f>
        <v>@iseyatan</v>
      </c>
      <c r="C9003" s="21" t="s">
        <v>19760</v>
      </c>
      <c r="D9003" s="21" t="s">
        <v>4857</v>
      </c>
      <c r="E9003" s="22" t="str">
        <f>HYPERLINK("https://twitter.com/iseyatan/status/922684333529341952","922684333529341952")</f>
        <v>922684333529341952</v>
      </c>
      <c r="F9003" s="23" t="s">
        <v>33</v>
      </c>
      <c r="G9003" s="24">
        <v>191.0</v>
      </c>
      <c r="H9003" s="24">
        <v>697.0</v>
      </c>
      <c r="I9003" s="24">
        <v>55.0</v>
      </c>
      <c r="J9003" s="24">
        <v>0.0</v>
      </c>
      <c r="K9003" s="23" t="s">
        <v>34</v>
      </c>
      <c r="L9003" s="25">
        <v>42727.0486574074</v>
      </c>
      <c r="M9003" s="28"/>
      <c r="N9003" s="26" t="s">
        <v>19761</v>
      </c>
      <c r="O9003" s="22" t="str">
        <f>HYPERLINK("https://pbs.twimg.com/profile_images/812226439432896512/-9NppFOo_normal.jpg","View")</f>
        <v>View</v>
      </c>
      <c r="P9003" s="27"/>
    </row>
    <row r="9004">
      <c r="A9004" s="14">
        <v>43031.90357638889</v>
      </c>
      <c r="B9004" s="20" t="str">
        <f>HYPERLINK("https://twitter.com/niraj_lad","@niraj_lad")</f>
        <v>@niraj_lad</v>
      </c>
      <c r="C9004" s="21" t="s">
        <v>19762</v>
      </c>
      <c r="D9004" s="21" t="s">
        <v>42</v>
      </c>
      <c r="E9004" s="22" t="str">
        <f>HYPERLINK("https://twitter.com/niraj_lad/status/922684364915429377","922684364915429377")</f>
        <v>922684364915429377</v>
      </c>
      <c r="F9004" s="23" t="s">
        <v>39</v>
      </c>
      <c r="G9004" s="24">
        <v>7.0</v>
      </c>
      <c r="H9004" s="24">
        <v>63.0</v>
      </c>
      <c r="I9004" s="24">
        <v>8501.0</v>
      </c>
      <c r="J9004" s="24">
        <v>0.0</v>
      </c>
      <c r="K9004" s="23" t="s">
        <v>34</v>
      </c>
      <c r="L9004" s="25">
        <v>41468.1283912037</v>
      </c>
      <c r="M9004" s="28"/>
      <c r="N9004" s="28"/>
      <c r="O9004" s="22" t="str">
        <f>HYPERLINK("https://pbs.twimg.com/profile_images/470954499675140096/azmXquBc_normal.jpeg","View")</f>
        <v>View</v>
      </c>
      <c r="P9004" s="27"/>
    </row>
    <row r="9005">
      <c r="A9005" s="14">
        <v>43031.90405092592</v>
      </c>
      <c r="B9005" s="20" t="str">
        <f>HYPERLINK("https://twitter.com/an_sahoo","@an_sahoo")</f>
        <v>@an_sahoo</v>
      </c>
      <c r="C9005" s="21" t="s">
        <v>19746</v>
      </c>
      <c r="D9005" s="21" t="s">
        <v>19763</v>
      </c>
      <c r="E9005" s="22" t="str">
        <f>HYPERLINK("https://twitter.com/an_sahoo/status/922684533115441153","922684533115441153")</f>
        <v>922684533115441153</v>
      </c>
      <c r="F9005" s="23" t="s">
        <v>33</v>
      </c>
      <c r="G9005" s="24">
        <v>13.0</v>
      </c>
      <c r="H9005" s="24">
        <v>81.0</v>
      </c>
      <c r="I9005" s="24">
        <v>0.0</v>
      </c>
      <c r="J9005" s="24">
        <v>0.0</v>
      </c>
      <c r="K9005" s="23" t="s">
        <v>34</v>
      </c>
      <c r="L9005" s="25">
        <v>40001.08206018519</v>
      </c>
      <c r="M9005" s="28"/>
      <c r="N9005" s="26" t="s">
        <v>19747</v>
      </c>
      <c r="O9005" s="22" t="str">
        <f>HYPERLINK("https://pbs.twimg.com/profile_images/804589350272937984/KVrTWXbk_normal.jpg","View")</f>
        <v>View</v>
      </c>
      <c r="P9005" s="27"/>
    </row>
    <row r="9006">
      <c r="A9006" s="14">
        <v>43031.904444444444</v>
      </c>
      <c r="B9006" s="20" t="str">
        <f>HYPERLINK("https://twitter.com/ManishK88735543","@ManishK88735543")</f>
        <v>@ManishK88735543</v>
      </c>
      <c r="C9006" s="21" t="s">
        <v>19764</v>
      </c>
      <c r="D9006" s="21" t="s">
        <v>42</v>
      </c>
      <c r="E9006" s="22" t="str">
        <f>HYPERLINK("https://twitter.com/ManishK88735543/status/922684677646946304","922684677646946304")</f>
        <v>922684677646946304</v>
      </c>
      <c r="F9006" s="23" t="s">
        <v>33</v>
      </c>
      <c r="G9006" s="24">
        <v>1.0</v>
      </c>
      <c r="H9006" s="24">
        <v>68.0</v>
      </c>
      <c r="I9006" s="24">
        <v>8501.0</v>
      </c>
      <c r="J9006" s="24">
        <v>0.0</v>
      </c>
      <c r="K9006" s="23" t="s">
        <v>34</v>
      </c>
      <c r="L9006" s="25">
        <v>43031.75497685185</v>
      </c>
      <c r="M9006" s="26" t="s">
        <v>5073</v>
      </c>
      <c r="N9006" s="26" t="s">
        <v>19765</v>
      </c>
      <c r="O9006" s="22" t="str">
        <f>HYPERLINK("https://pbs.twimg.com/profile_images/922688538092568576/iLzdx1a__normal.jpg","View")</f>
        <v>View</v>
      </c>
      <c r="P9006" s="27"/>
    </row>
    <row r="9007">
      <c r="A9007" s="14">
        <v>43031.904444444444</v>
      </c>
      <c r="B9007" s="20" t="str">
        <f>HYPERLINK("https://twitter.com/ukigumokafka","@ukigumokafka")</f>
        <v>@ukigumokafka</v>
      </c>
      <c r="C9007" s="21" t="s">
        <v>19766</v>
      </c>
      <c r="D9007" s="21" t="s">
        <v>19767</v>
      </c>
      <c r="E9007" s="22" t="str">
        <f>HYPERLINK("https://twitter.com/ukigumokafka/status/922684678263341056","922684678263341056")</f>
        <v>922684678263341056</v>
      </c>
      <c r="F9007" s="23" t="s">
        <v>39</v>
      </c>
      <c r="G9007" s="24">
        <v>181.0</v>
      </c>
      <c r="H9007" s="24">
        <v>649.0</v>
      </c>
      <c r="I9007" s="24">
        <v>0.0</v>
      </c>
      <c r="J9007" s="24">
        <v>0.0</v>
      </c>
      <c r="K9007" s="23" t="s">
        <v>34</v>
      </c>
      <c r="L9007" s="25">
        <v>40015.21204861111</v>
      </c>
      <c r="M9007" s="28"/>
      <c r="N9007" s="26" t="s">
        <v>19768</v>
      </c>
      <c r="O9007" s="22" t="str">
        <f>HYPERLINK("https://pbs.twimg.com/profile_images/622401125166088192/BLzXQJia_normal.jpg","View")</f>
        <v>View</v>
      </c>
      <c r="P9007" s="27"/>
    </row>
    <row r="9008">
      <c r="A9008" s="14">
        <v>43031.904710648145</v>
      </c>
      <c r="B9008" s="20" t="str">
        <f>HYPERLINK("https://twitter.com/81ILoveJapan","@81ILoveJapan")</f>
        <v>@81ILoveJapan</v>
      </c>
      <c r="C9008" s="21" t="s">
        <v>7180</v>
      </c>
      <c r="D9008" s="21" t="s">
        <v>19769</v>
      </c>
      <c r="E9008" s="22" t="str">
        <f>HYPERLINK("https://twitter.com/81ILoveJapan/status/922684776061992960","922684776061992960")</f>
        <v>922684776061992960</v>
      </c>
      <c r="F9008" s="23" t="s">
        <v>7182</v>
      </c>
      <c r="G9008" s="24">
        <v>73.0</v>
      </c>
      <c r="H9008" s="24">
        <v>325.0</v>
      </c>
      <c r="I9008" s="24">
        <v>1.0</v>
      </c>
      <c r="J9008" s="24">
        <v>0.0</v>
      </c>
      <c r="K9008" s="23" t="s">
        <v>34</v>
      </c>
      <c r="L9008" s="25">
        <v>43017.014756944445</v>
      </c>
      <c r="M9008" s="28"/>
      <c r="N9008" s="28"/>
      <c r="O9008" s="22" t="str">
        <f>HYPERLINK("https://pbs.twimg.com/profile_images/917294754252996614/2lWRChsz_normal.jpg","View")</f>
        <v>View</v>
      </c>
      <c r="P9008" s="27"/>
    </row>
    <row r="9009">
      <c r="A9009" s="14">
        <v>43031.90483796297</v>
      </c>
      <c r="B9009" s="20" t="str">
        <f>HYPERLINK("https://twitter.com/51_oorer","@51_oorer")</f>
        <v>@51_oorer</v>
      </c>
      <c r="C9009" s="21" t="s">
        <v>19770</v>
      </c>
      <c r="D9009" s="21" t="s">
        <v>1642</v>
      </c>
      <c r="E9009" s="22" t="str">
        <f>HYPERLINK("https://twitter.com/51_oorer/status/922684821482196994","922684821482196994")</f>
        <v>922684821482196994</v>
      </c>
      <c r="F9009" s="23" t="s">
        <v>39</v>
      </c>
      <c r="G9009" s="24">
        <v>1100.0</v>
      </c>
      <c r="H9009" s="24">
        <v>448.0</v>
      </c>
      <c r="I9009" s="24">
        <v>199.0</v>
      </c>
      <c r="J9009" s="24">
        <v>0.0</v>
      </c>
      <c r="K9009" s="23" t="s">
        <v>34</v>
      </c>
      <c r="L9009" s="25">
        <v>41236.455555555556</v>
      </c>
      <c r="M9009" s="28"/>
      <c r="N9009" s="26" t="s">
        <v>19771</v>
      </c>
      <c r="O9009" s="22" t="str">
        <f>HYPERLINK("https://pbs.twimg.com/profile_images/854652453668569088/zUmGzSzo_normal.jpg","View")</f>
        <v>View</v>
      </c>
      <c r="P9009" s="27"/>
    </row>
    <row r="9010">
      <c r="A9010" s="14">
        <v>43031.90486111111</v>
      </c>
      <c r="B9010" s="20" t="str">
        <f>HYPERLINK("https://twitter.com/Surinde74829614","@Surinde74829614")</f>
        <v>@Surinde74829614</v>
      </c>
      <c r="C9010" s="21" t="s">
        <v>19772</v>
      </c>
      <c r="D9010" s="21" t="s">
        <v>42</v>
      </c>
      <c r="E9010" s="22" t="str">
        <f>HYPERLINK("https://twitter.com/Surinde74829614/status/922684827286978560","922684827286978560")</f>
        <v>922684827286978560</v>
      </c>
      <c r="F9010" s="23" t="s">
        <v>39</v>
      </c>
      <c r="G9010" s="24">
        <v>232.0</v>
      </c>
      <c r="H9010" s="24">
        <v>126.0</v>
      </c>
      <c r="I9010" s="24">
        <v>8501.0</v>
      </c>
      <c r="J9010" s="24">
        <v>0.0</v>
      </c>
      <c r="K9010" s="23" t="s">
        <v>34</v>
      </c>
      <c r="L9010" s="25">
        <v>41698.25943287037</v>
      </c>
      <c r="M9010" s="26" t="s">
        <v>19773</v>
      </c>
      <c r="N9010" s="26" t="s">
        <v>19774</v>
      </c>
      <c r="O9010" s="22" t="str">
        <f>HYPERLINK("https://pbs.twimg.com/profile_images/661441041849958400/NeQG8i6C_normal.jpg","View")</f>
        <v>View</v>
      </c>
      <c r="P9010" s="27"/>
    </row>
    <row r="9011">
      <c r="A9011" s="14">
        <v>43031.905081018514</v>
      </c>
      <c r="B9011" s="20" t="str">
        <f>HYPERLINK("https://twitter.com/Dengerow","@Dengerow")</f>
        <v>@Dengerow</v>
      </c>
      <c r="C9011" s="21" t="s">
        <v>19775</v>
      </c>
      <c r="D9011" s="21" t="s">
        <v>19776</v>
      </c>
      <c r="E9011" s="22" t="str">
        <f>HYPERLINK("https://twitter.com/Dengerow/status/922684909701025792","922684909701025792")</f>
        <v>922684909701025792</v>
      </c>
      <c r="F9011" s="23" t="s">
        <v>55</v>
      </c>
      <c r="G9011" s="24">
        <v>503.0</v>
      </c>
      <c r="H9011" s="24">
        <v>385.0</v>
      </c>
      <c r="I9011" s="24">
        <v>0.0</v>
      </c>
      <c r="J9011" s="24">
        <v>0.0</v>
      </c>
      <c r="K9011" s="23" t="s">
        <v>34</v>
      </c>
      <c r="L9011" s="25">
        <v>41290.760625</v>
      </c>
      <c r="M9011" s="26" t="s">
        <v>19777</v>
      </c>
      <c r="N9011" s="26" t="s">
        <v>19778</v>
      </c>
      <c r="O9011" s="22" t="str">
        <f>HYPERLINK("https://pbs.twimg.com/profile_images/3118901035/36ecc3c7a08717b2b04d401f876f16fc_normal.jpeg","View")</f>
        <v>View</v>
      </c>
      <c r="P9011" s="27"/>
    </row>
    <row r="9012">
      <c r="A9012" s="14">
        <v>43031.90509259259</v>
      </c>
      <c r="B9012" s="20" t="str">
        <f>HYPERLINK("https://twitter.com/AllNewsNetWorld","@AllNewsNetWorld")</f>
        <v>@AllNewsNetWorld</v>
      </c>
      <c r="C9012" s="21" t="s">
        <v>5930</v>
      </c>
      <c r="D9012" s="21" t="s">
        <v>19779</v>
      </c>
      <c r="E9012" s="22" t="str">
        <f>HYPERLINK("https://twitter.com/AllNewsNetWorld/status/922684912561475584","922684912561475584")</f>
        <v>922684912561475584</v>
      </c>
      <c r="F9012" s="23" t="s">
        <v>187</v>
      </c>
      <c r="G9012" s="24">
        <v>33.0</v>
      </c>
      <c r="H9012" s="24">
        <v>19.0</v>
      </c>
      <c r="I9012" s="24">
        <v>0.0</v>
      </c>
      <c r="J9012" s="24">
        <v>0.0</v>
      </c>
      <c r="K9012" s="23" t="s">
        <v>34</v>
      </c>
      <c r="L9012" s="25">
        <v>41463.496145833335</v>
      </c>
      <c r="M9012" s="28"/>
      <c r="N9012" s="28"/>
      <c r="O9012" s="22" t="str">
        <f>HYPERLINK("https://abs.twimg.com/sticky/default_profile_images/default_profile_normal.png","View")</f>
        <v>View</v>
      </c>
      <c r="P9012" s="27"/>
    </row>
    <row r="9013">
      <c r="A9013" s="14">
        <v>43031.90515046296</v>
      </c>
      <c r="B9013" s="20" t="str">
        <f>HYPERLINK("https://twitter.com/nkDarkDrgmailc1","@nkDarkDrgmailc1")</f>
        <v>@nkDarkDrgmailc1</v>
      </c>
      <c r="C9013" s="21" t="s">
        <v>18603</v>
      </c>
      <c r="D9013" s="21" t="s">
        <v>19258</v>
      </c>
      <c r="E9013" s="22" t="str">
        <f>HYPERLINK("https://twitter.com/nkDarkDrgmailc1/status/922684933964906498","922684933964906498")</f>
        <v>922684933964906498</v>
      </c>
      <c r="F9013" s="23" t="s">
        <v>33</v>
      </c>
      <c r="G9013" s="24">
        <v>4136.0</v>
      </c>
      <c r="H9013" s="24">
        <v>2888.0</v>
      </c>
      <c r="I9013" s="24">
        <v>7.0</v>
      </c>
      <c r="J9013" s="24">
        <v>0.0</v>
      </c>
      <c r="K9013" s="23" t="s">
        <v>34</v>
      </c>
      <c r="L9013" s="25">
        <v>42002.184340277774</v>
      </c>
      <c r="M9013" s="28"/>
      <c r="N9013" s="26" t="s">
        <v>18605</v>
      </c>
      <c r="O9013" s="22" t="str">
        <f>HYPERLINK("https://pbs.twimg.com/profile_images/549546382671900672/AD_kn2tS_normal.jpeg","View")</f>
        <v>View</v>
      </c>
      <c r="P9013" s="27"/>
    </row>
    <row r="9014">
      <c r="A9014" s="14">
        <v>43031.90541666667</v>
      </c>
      <c r="B9014" s="20" t="str">
        <f>HYPERLINK("https://twitter.com/AbdulBarri4444","@AbdulBarri4444")</f>
        <v>@AbdulBarri4444</v>
      </c>
      <c r="C9014" s="21" t="s">
        <v>19780</v>
      </c>
      <c r="D9014" s="21" t="s">
        <v>42</v>
      </c>
      <c r="E9014" s="22" t="str">
        <f>HYPERLINK("https://twitter.com/AbdulBarri4444/status/922685030651981824","922685030651981824")</f>
        <v>922685030651981824</v>
      </c>
      <c r="F9014" s="23" t="s">
        <v>33</v>
      </c>
      <c r="G9014" s="24">
        <v>674.0</v>
      </c>
      <c r="H9014" s="24">
        <v>1070.0</v>
      </c>
      <c r="I9014" s="24">
        <v>8501.0</v>
      </c>
      <c r="J9014" s="24">
        <v>0.0</v>
      </c>
      <c r="K9014" s="23" t="s">
        <v>34</v>
      </c>
      <c r="L9014" s="25">
        <v>42517.47068287037</v>
      </c>
      <c r="M9014" s="28"/>
      <c r="N9014" s="26" t="s">
        <v>19781</v>
      </c>
      <c r="O9014" s="22" t="str">
        <f>HYPERLINK("https://pbs.twimg.com/profile_images/845601509123481600/uVE85iTL_normal.jpg","View")</f>
        <v>View</v>
      </c>
      <c r="P9014" s="27"/>
    </row>
    <row r="9015">
      <c r="A9015" s="14">
        <v>43031.90541666667</v>
      </c>
      <c r="B9015" s="20" t="str">
        <f>HYPERLINK("https://twitter.com/bharatsiyer","@bharatsiyer")</f>
        <v>@bharatsiyer</v>
      </c>
      <c r="C9015" s="21" t="s">
        <v>19782</v>
      </c>
      <c r="D9015" s="21" t="s">
        <v>163</v>
      </c>
      <c r="E9015" s="22" t="str">
        <f>HYPERLINK("https://twitter.com/bharatsiyer/status/922685031323140096","922685031323140096")</f>
        <v>922685031323140096</v>
      </c>
      <c r="F9015" s="23" t="s">
        <v>33</v>
      </c>
      <c r="G9015" s="24">
        <v>109.0</v>
      </c>
      <c r="H9015" s="24">
        <v>249.0</v>
      </c>
      <c r="I9015" s="24">
        <v>1005.0</v>
      </c>
      <c r="J9015" s="24">
        <v>0.0</v>
      </c>
      <c r="K9015" s="23" t="s">
        <v>34</v>
      </c>
      <c r="L9015" s="25">
        <v>40042.07571759259</v>
      </c>
      <c r="M9015" s="26" t="s">
        <v>1991</v>
      </c>
      <c r="N9015" s="26" t="s">
        <v>19783</v>
      </c>
      <c r="O9015" s="22" t="str">
        <f>HYPERLINK("https://pbs.twimg.com/profile_images/901936311426179072/oqgz_wMr_normal.jpg","View")</f>
        <v>View</v>
      </c>
      <c r="P9015" s="27"/>
    </row>
    <row r="9016">
      <c r="A9016" s="14">
        <v>43031.905590277776</v>
      </c>
      <c r="B9016" s="20" t="str">
        <f>HYPERLINK("https://twitter.com/Newslockergames","@Newslockergames")</f>
        <v>@Newslockergames</v>
      </c>
      <c r="C9016" s="21" t="s">
        <v>13445</v>
      </c>
      <c r="D9016" s="21" t="s">
        <v>19784</v>
      </c>
      <c r="E9016" s="22" t="str">
        <f>HYPERLINK("https://twitter.com/Newslockergames/status/922685095064072198","922685095064072198")</f>
        <v>922685095064072198</v>
      </c>
      <c r="F9016" s="23" t="s">
        <v>1020</v>
      </c>
      <c r="G9016" s="24">
        <v>1375.0</v>
      </c>
      <c r="H9016" s="24">
        <v>1223.0</v>
      </c>
      <c r="I9016" s="24">
        <v>0.0</v>
      </c>
      <c r="J9016" s="24">
        <v>0.0</v>
      </c>
      <c r="K9016" s="23" t="s">
        <v>34</v>
      </c>
      <c r="L9016" s="25">
        <v>41113.51090277778</v>
      </c>
      <c r="M9016" s="28"/>
      <c r="N9016" s="26" t="s">
        <v>13447</v>
      </c>
      <c r="O9016" s="22" t="str">
        <f>HYPERLINK("https://pbs.twimg.com/profile_images/588647153540685824/kwznbl2a_normal.png","View")</f>
        <v>View</v>
      </c>
      <c r="P9016" s="27"/>
    </row>
    <row r="9017">
      <c r="A9017" s="14">
        <v>43031.90576388889</v>
      </c>
      <c r="B9017" s="20" t="str">
        <f>HYPERLINK("https://twitter.com/trumpathon","@trumpathon")</f>
        <v>@trumpathon</v>
      </c>
      <c r="C9017" s="21" t="s">
        <v>11143</v>
      </c>
      <c r="D9017" s="21" t="s">
        <v>19785</v>
      </c>
      <c r="E9017" s="22" t="str">
        <f>HYPERLINK("https://twitter.com/trumpathon/status/922685156309241856","922685156309241856")</f>
        <v>922685156309241856</v>
      </c>
      <c r="F9017" s="30" t="s">
        <v>191</v>
      </c>
      <c r="G9017" s="24">
        <v>513.0</v>
      </c>
      <c r="H9017" s="24">
        <v>263.0</v>
      </c>
      <c r="I9017" s="24">
        <v>0.0</v>
      </c>
      <c r="J9017" s="24">
        <v>0.0</v>
      </c>
      <c r="K9017" s="23" t="s">
        <v>34</v>
      </c>
      <c r="L9017" s="25">
        <v>41660.50895833333</v>
      </c>
      <c r="M9017" s="28"/>
      <c r="N9017" s="26" t="s">
        <v>11145</v>
      </c>
      <c r="O9017" s="22" t="str">
        <f>HYPERLINK("https://pbs.twimg.com/profile_images/835521451310493696/m9w442dK_normal.jpg","View")</f>
        <v>View</v>
      </c>
      <c r="P9017" s="27"/>
    </row>
    <row r="9018">
      <c r="A9018" s="14">
        <v>43031.9059375</v>
      </c>
      <c r="B9018" s="20" t="str">
        <f>HYPERLINK("https://twitter.com/ouHstonREAgent7","@ouHstonREAgent7")</f>
        <v>@ouHstonREAgent7</v>
      </c>
      <c r="C9018" s="21" t="s">
        <v>19786</v>
      </c>
      <c r="D9018" s="21" t="s">
        <v>42</v>
      </c>
      <c r="E9018" s="22" t="str">
        <f>HYPERLINK("https://twitter.com/ouHstonREAgent7/status/922685217097338881","922685217097338881")</f>
        <v>922685217097338881</v>
      </c>
      <c r="F9018" s="23" t="s">
        <v>55</v>
      </c>
      <c r="G9018" s="24">
        <v>231.0</v>
      </c>
      <c r="H9018" s="24">
        <v>0.0</v>
      </c>
      <c r="I9018" s="24">
        <v>8501.0</v>
      </c>
      <c r="J9018" s="24">
        <v>0.0</v>
      </c>
      <c r="K9018" s="23" t="s">
        <v>34</v>
      </c>
      <c r="L9018" s="25">
        <v>41796.69318287037</v>
      </c>
      <c r="M9018" s="26" t="s">
        <v>987</v>
      </c>
      <c r="N9018" s="26" t="s">
        <v>19787</v>
      </c>
      <c r="O9018" s="22" t="str">
        <f>HYPERLINK("https://pbs.twimg.com/profile_images/569731582202613760/cEBu4d9t_normal.jpeg","View")</f>
        <v>View</v>
      </c>
      <c r="P9018" s="27"/>
    </row>
    <row r="9019">
      <c r="A9019" s="14">
        <v>43031.9059837963</v>
      </c>
      <c r="B9019" s="20" t="str">
        <f>HYPERLINK("https://twitter.com/Binod32490352","@Binod32490352")</f>
        <v>@Binod32490352</v>
      </c>
      <c r="C9019" s="21" t="s">
        <v>19788</v>
      </c>
      <c r="D9019" s="21" t="s">
        <v>42</v>
      </c>
      <c r="E9019" s="22" t="str">
        <f>HYPERLINK("https://twitter.com/Binod32490352/status/922685233928978432","922685233928978432")</f>
        <v>922685233928978432</v>
      </c>
      <c r="F9019" s="23" t="s">
        <v>33</v>
      </c>
      <c r="G9019" s="24">
        <v>1.0</v>
      </c>
      <c r="H9019" s="24">
        <v>59.0</v>
      </c>
      <c r="I9019" s="24">
        <v>8501.0</v>
      </c>
      <c r="J9019" s="24">
        <v>0.0</v>
      </c>
      <c r="K9019" s="23" t="s">
        <v>34</v>
      </c>
      <c r="L9019" s="25">
        <v>43007.32577546296</v>
      </c>
      <c r="M9019" s="26" t="s">
        <v>3042</v>
      </c>
      <c r="N9019" s="26" t="s">
        <v>19789</v>
      </c>
      <c r="O9019" s="22" t="str">
        <f>HYPERLINK("https://pbs.twimg.com/profile_images/913780719607939072/q-blBDS7_normal.jpg","View")</f>
        <v>View</v>
      </c>
      <c r="P9019" s="27"/>
    </row>
    <row r="9020">
      <c r="A9020" s="14">
        <v>43031.90614583333</v>
      </c>
      <c r="B9020" s="20" t="str">
        <f>HYPERLINK("https://twitter.com/cegonzalezj1","@cegonzalezj1")</f>
        <v>@cegonzalezj1</v>
      </c>
      <c r="C9020" s="21" t="s">
        <v>19790</v>
      </c>
      <c r="D9020" s="21" t="s">
        <v>19016</v>
      </c>
      <c r="E9020" s="22" t="str">
        <f>HYPERLINK("https://twitter.com/cegonzalezj1/status/922685293060329474","922685293060329474")</f>
        <v>922685293060329474</v>
      </c>
      <c r="F9020" s="23" t="s">
        <v>33</v>
      </c>
      <c r="G9020" s="24">
        <v>2705.0</v>
      </c>
      <c r="H9020" s="24">
        <v>4997.0</v>
      </c>
      <c r="I9020" s="24">
        <v>51.0</v>
      </c>
      <c r="J9020" s="24">
        <v>0.0</v>
      </c>
      <c r="K9020" s="23" t="s">
        <v>34</v>
      </c>
      <c r="L9020" s="25">
        <v>41626.949641203704</v>
      </c>
      <c r="M9020" s="26" t="s">
        <v>19791</v>
      </c>
      <c r="N9020" s="26" t="s">
        <v>19792</v>
      </c>
      <c r="O9020" s="22" t="str">
        <f>HYPERLINK("https://pbs.twimg.com/profile_images/517723697235628032/lLxeBXjN_normal.jpeg","View")</f>
        <v>View</v>
      </c>
      <c r="P9020" s="27"/>
    </row>
    <row r="9021">
      <c r="A9021" s="14">
        <v>43031.90623842593</v>
      </c>
      <c r="B9021" s="20" t="str">
        <f>HYPERLINK("https://twitter.com/makkuro3","@makkuro3")</f>
        <v>@makkuro3</v>
      </c>
      <c r="C9021" s="21" t="s">
        <v>19793</v>
      </c>
      <c r="D9021" s="21" t="s">
        <v>19568</v>
      </c>
      <c r="E9021" s="22" t="str">
        <f>HYPERLINK("https://twitter.com/makkuro3/status/922685328619474944","922685328619474944")</f>
        <v>922685328619474944</v>
      </c>
      <c r="F9021" s="23" t="s">
        <v>2289</v>
      </c>
      <c r="G9021" s="24">
        <v>221.0</v>
      </c>
      <c r="H9021" s="24">
        <v>415.0</v>
      </c>
      <c r="I9021" s="24">
        <v>9.0</v>
      </c>
      <c r="J9021" s="24">
        <v>0.0</v>
      </c>
      <c r="K9021" s="23" t="s">
        <v>34</v>
      </c>
      <c r="L9021" s="25">
        <v>39957.16259259259</v>
      </c>
      <c r="M9021" s="26" t="s">
        <v>19794</v>
      </c>
      <c r="N9021" s="26" t="s">
        <v>19795</v>
      </c>
      <c r="O9021" s="22" t="str">
        <f>HYPERLINK("https://pbs.twimg.com/profile_images/228065938/_________normal.JPG","View")</f>
        <v>View</v>
      </c>
      <c r="P9021" s="27"/>
    </row>
    <row r="9022">
      <c r="A9022" s="14">
        <v>43031.90628472222</v>
      </c>
      <c r="B9022" s="20" t="str">
        <f>HYPERLINK("https://twitter.com/trtworld","@trtworld")</f>
        <v>@trtworld</v>
      </c>
      <c r="C9022" s="21" t="s">
        <v>17085</v>
      </c>
      <c r="D9022" s="21" t="s">
        <v>19796</v>
      </c>
      <c r="E9022" s="22" t="str">
        <f>HYPERLINK("https://twitter.com/trtworld/status/922685343408820224","922685343408820224")</f>
        <v>922685343408820224</v>
      </c>
      <c r="F9022" s="23" t="s">
        <v>1103</v>
      </c>
      <c r="G9022" s="24">
        <v>113400.0</v>
      </c>
      <c r="H9022" s="24">
        <v>9.0</v>
      </c>
      <c r="I9022" s="24">
        <v>3.0</v>
      </c>
      <c r="J9022" s="24">
        <v>2.0</v>
      </c>
      <c r="K9022" s="23" t="s">
        <v>34</v>
      </c>
      <c r="L9022" s="25">
        <v>42076.183124999996</v>
      </c>
      <c r="M9022" s="28"/>
      <c r="N9022" s="26" t="s">
        <v>17087</v>
      </c>
      <c r="O9022" s="22" t="str">
        <f>HYPERLINK("https://pbs.twimg.com/profile_images/604916087180754945/1aMHMBIj_normal.png","View")</f>
        <v>View</v>
      </c>
      <c r="P9022" s="27"/>
    </row>
    <row r="9023">
      <c r="A9023" s="14">
        <v>43031.90638888889</v>
      </c>
      <c r="B9023" s="20" t="str">
        <f>HYPERLINK("https://twitter.com/alllibertynews","@alllibertynews")</f>
        <v>@alllibertynews</v>
      </c>
      <c r="C9023" s="21" t="s">
        <v>14766</v>
      </c>
      <c r="D9023" s="21" t="s">
        <v>19016</v>
      </c>
      <c r="E9023" s="22" t="str">
        <f>HYPERLINK("https://twitter.com/alllibertynews/status/922685381904158720","922685381904158720")</f>
        <v>922685381904158720</v>
      </c>
      <c r="F9023" s="23" t="s">
        <v>14767</v>
      </c>
      <c r="G9023" s="24">
        <v>15794.0</v>
      </c>
      <c r="H9023" s="24">
        <v>4312.0</v>
      </c>
      <c r="I9023" s="24">
        <v>51.0</v>
      </c>
      <c r="J9023" s="24">
        <v>0.0</v>
      </c>
      <c r="K9023" s="23" t="s">
        <v>34</v>
      </c>
      <c r="L9023" s="25">
        <v>42355.88988425926</v>
      </c>
      <c r="M9023" s="28"/>
      <c r="N9023" s="28"/>
      <c r="O9023" s="22" t="str">
        <f>HYPERLINK("https://pbs.twimg.com/profile_images/677726486694989824/x5Umx9Jt_normal.png","View")</f>
        <v>View</v>
      </c>
      <c r="P9023" s="27"/>
    </row>
    <row r="9024">
      <c r="A9024" s="14">
        <v>43031.90645833334</v>
      </c>
      <c r="B9024" s="20" t="str">
        <f>HYPERLINK("https://twitter.com/maria57795237","@maria57795237")</f>
        <v>@maria57795237</v>
      </c>
      <c r="C9024" s="21" t="s">
        <v>19797</v>
      </c>
      <c r="D9024" s="21" t="s">
        <v>42</v>
      </c>
      <c r="E9024" s="22" t="str">
        <f>HYPERLINK("https://twitter.com/maria57795237/status/922685408290463750","922685408290463750")</f>
        <v>922685408290463750</v>
      </c>
      <c r="F9024" s="23" t="s">
        <v>33</v>
      </c>
      <c r="G9024" s="24">
        <v>1237.0</v>
      </c>
      <c r="H9024" s="24">
        <v>1540.0</v>
      </c>
      <c r="I9024" s="24">
        <v>8501.0</v>
      </c>
      <c r="J9024" s="24">
        <v>0.0</v>
      </c>
      <c r="K9024" s="23" t="s">
        <v>34</v>
      </c>
      <c r="L9024" s="25">
        <v>41724.90186342593</v>
      </c>
      <c r="M9024" s="28"/>
      <c r="N9024" s="26" t="s">
        <v>19798</v>
      </c>
      <c r="O9024" s="22" t="str">
        <f>HYPERLINK("https://abs.twimg.com/sticky/default_profile_images/default_profile_normal.png","View")</f>
        <v>View</v>
      </c>
      <c r="P9024" s="27"/>
    </row>
    <row r="9025">
      <c r="A9025" s="14">
        <v>43031.90650462963</v>
      </c>
      <c r="B9025" s="20" t="str">
        <f>HYPERLINK("https://twitter.com/ISDP_SJC","@ISDP_SJC")</f>
        <v>@ISDP_SJC</v>
      </c>
      <c r="C9025" s="21" t="s">
        <v>19799</v>
      </c>
      <c r="D9025" s="21" t="s">
        <v>19800</v>
      </c>
      <c r="E9025" s="22" t="str">
        <f>HYPERLINK("https://twitter.com/ISDP_SJC/status/922685424363065346","922685424363065346")</f>
        <v>922685424363065346</v>
      </c>
      <c r="F9025" s="23" t="s">
        <v>230</v>
      </c>
      <c r="G9025" s="24">
        <v>33.0</v>
      </c>
      <c r="H9025" s="24">
        <v>116.0</v>
      </c>
      <c r="I9025" s="24">
        <v>1.0</v>
      </c>
      <c r="J9025" s="24">
        <v>0.0</v>
      </c>
      <c r="K9025" s="23" t="s">
        <v>34</v>
      </c>
      <c r="L9025" s="25">
        <v>42501.0646412037</v>
      </c>
      <c r="M9025" s="28"/>
      <c r="N9025" s="26" t="s">
        <v>19801</v>
      </c>
      <c r="O9025" s="22" t="str">
        <f>HYPERLINK("https://pbs.twimg.com/profile_images/730404469255622656/Xsd3XgWP_normal.jpg","View")</f>
        <v>View</v>
      </c>
      <c r="P9025" s="27"/>
    </row>
    <row r="9026">
      <c r="A9026" s="14">
        <v>43031.90672453704</v>
      </c>
      <c r="B9026" s="20" t="str">
        <f>HYPERLINK("https://twitter.com/azrieSGLM","@azrieSGLM")</f>
        <v>@azrieSGLM</v>
      </c>
      <c r="C9026" s="21" t="s">
        <v>19802</v>
      </c>
      <c r="D9026" s="21" t="s">
        <v>4001</v>
      </c>
      <c r="E9026" s="22" t="str">
        <f>HYPERLINK("https://twitter.com/azrieSGLM/status/922685505413746688","922685505413746688")</f>
        <v>922685505413746688</v>
      </c>
      <c r="F9026" s="23" t="s">
        <v>33</v>
      </c>
      <c r="G9026" s="24">
        <v>379.0</v>
      </c>
      <c r="H9026" s="24">
        <v>581.0</v>
      </c>
      <c r="I9026" s="24">
        <v>58.0</v>
      </c>
      <c r="J9026" s="24">
        <v>0.0</v>
      </c>
      <c r="K9026" s="23" t="s">
        <v>34</v>
      </c>
      <c r="L9026" s="25">
        <v>40916.29574074074</v>
      </c>
      <c r="M9026" s="26" t="s">
        <v>19803</v>
      </c>
      <c r="N9026" s="26" t="s">
        <v>19804</v>
      </c>
      <c r="O9026" s="22" t="str">
        <f>HYPERLINK("https://pbs.twimg.com/profile_images/639850647597117440/lg_qC1rq_normal.jpg","View")</f>
        <v>View</v>
      </c>
      <c r="P9026" s="27"/>
    </row>
    <row r="9027">
      <c r="A9027" s="14">
        <v>43031.90725694444</v>
      </c>
      <c r="B9027" s="20" t="str">
        <f>HYPERLINK("https://twitter.com/JT__JaredTaylor","@JT__JaredTaylor")</f>
        <v>@JT__JaredTaylor</v>
      </c>
      <c r="C9027" s="21" t="s">
        <v>19805</v>
      </c>
      <c r="D9027" s="21" t="s">
        <v>42</v>
      </c>
      <c r="E9027" s="22" t="str">
        <f>HYPERLINK("https://twitter.com/JT__JaredTaylor/status/922685694983770112","922685694983770112")</f>
        <v>922685694983770112</v>
      </c>
      <c r="F9027" s="23" t="s">
        <v>33</v>
      </c>
      <c r="G9027" s="24">
        <v>77.0</v>
      </c>
      <c r="H9027" s="24">
        <v>2265.0</v>
      </c>
      <c r="I9027" s="24">
        <v>8501.0</v>
      </c>
      <c r="J9027" s="24">
        <v>0.0</v>
      </c>
      <c r="K9027" s="23" t="s">
        <v>34</v>
      </c>
      <c r="L9027" s="25">
        <v>40884.479375</v>
      </c>
      <c r="M9027" s="26" t="s">
        <v>17826</v>
      </c>
      <c r="N9027" s="26" t="s">
        <v>19806</v>
      </c>
      <c r="O9027" s="22" t="str">
        <f>HYPERLINK("https://pbs.twimg.com/profile_images/763002668436557825/gKK9PpfV_normal.jpg","View")</f>
        <v>View</v>
      </c>
      <c r="P9027" s="27"/>
    </row>
    <row r="9028">
      <c r="A9028" s="14">
        <v>43031.908425925925</v>
      </c>
      <c r="B9028" s="20" t="str">
        <f>HYPERLINK("https://twitter.com/vijayup9999","@vijayup9999")</f>
        <v>@vijayup9999</v>
      </c>
      <c r="C9028" s="21" t="s">
        <v>19807</v>
      </c>
      <c r="D9028" s="21" t="s">
        <v>42</v>
      </c>
      <c r="E9028" s="22" t="str">
        <f>HYPERLINK("https://twitter.com/vijayup9999/status/922686122123251712","922686122123251712")</f>
        <v>922686122123251712</v>
      </c>
      <c r="F9028" s="23" t="s">
        <v>33</v>
      </c>
      <c r="G9028" s="24">
        <v>680.0</v>
      </c>
      <c r="H9028" s="24">
        <v>186.0</v>
      </c>
      <c r="I9028" s="24">
        <v>8501.0</v>
      </c>
      <c r="J9028" s="24">
        <v>0.0</v>
      </c>
      <c r="K9028" s="23" t="s">
        <v>34</v>
      </c>
      <c r="L9028" s="25">
        <v>41602.81318287037</v>
      </c>
      <c r="M9028" s="26" t="s">
        <v>575</v>
      </c>
      <c r="N9028" s="26" t="s">
        <v>19808</v>
      </c>
      <c r="O9028" s="22" t="str">
        <f>HYPERLINK("https://pbs.twimg.com/profile_images/883164989355425792/ZRFXFZbX_normal.jpg","View")</f>
        <v>View</v>
      </c>
      <c r="P9028" s="27"/>
    </row>
    <row r="9029">
      <c r="A9029" s="14">
        <v>43031.908483796295</v>
      </c>
      <c r="B9029" s="20" t="str">
        <f>HYPERLINK("https://twitter.com/PethInMotion","@PethInMotion")</f>
        <v>@PethInMotion</v>
      </c>
      <c r="C9029" s="21" t="s">
        <v>19809</v>
      </c>
      <c r="D9029" s="21" t="s">
        <v>3965</v>
      </c>
      <c r="E9029" s="22" t="str">
        <f>HYPERLINK("https://twitter.com/PethInMotion/status/922686142281142272","922686142281142272")</f>
        <v>922686142281142272</v>
      </c>
      <c r="F9029" s="23" t="s">
        <v>780</v>
      </c>
      <c r="G9029" s="24">
        <v>997.0</v>
      </c>
      <c r="H9029" s="24">
        <v>814.0</v>
      </c>
      <c r="I9029" s="24">
        <v>13.0</v>
      </c>
      <c r="J9029" s="24">
        <v>0.0</v>
      </c>
      <c r="K9029" s="23" t="s">
        <v>34</v>
      </c>
      <c r="L9029" s="25">
        <v>42192.02511574074</v>
      </c>
      <c r="M9029" s="26" t="s">
        <v>19810</v>
      </c>
      <c r="N9029" s="26" t="s">
        <v>19811</v>
      </c>
      <c r="O9029" s="22" t="str">
        <f>HYPERLINK("https://pbs.twimg.com/profile_images/894206555452837889/FBK_VqY0_normal.jpg","View")</f>
        <v>View</v>
      </c>
      <c r="P9029" s="27"/>
    </row>
    <row r="9030">
      <c r="A9030" s="14">
        <v>43031.90859953704</v>
      </c>
      <c r="B9030" s="20" t="str">
        <f>HYPERLINK("https://twitter.com/revolution_fr","@revolution_fr")</f>
        <v>@revolution_fr</v>
      </c>
      <c r="C9030" s="21" t="s">
        <v>321</v>
      </c>
      <c r="D9030" s="21" t="s">
        <v>19568</v>
      </c>
      <c r="E9030" s="22" t="str">
        <f>HYPERLINK("https://twitter.com/revolution_fr/status/922686185025228800","922686185025228800")</f>
        <v>922686185025228800</v>
      </c>
      <c r="F9030" s="23" t="s">
        <v>43</v>
      </c>
      <c r="G9030" s="24">
        <v>2647.0</v>
      </c>
      <c r="H9030" s="24">
        <v>3619.0</v>
      </c>
      <c r="I9030" s="24">
        <v>9.0</v>
      </c>
      <c r="J9030" s="24">
        <v>0.0</v>
      </c>
      <c r="K9030" s="23" t="s">
        <v>34</v>
      </c>
      <c r="L9030" s="25">
        <v>42400.312430555554</v>
      </c>
      <c r="M9030" s="26" t="s">
        <v>323</v>
      </c>
      <c r="N9030" s="26" t="s">
        <v>324</v>
      </c>
      <c r="O9030" s="22" t="str">
        <f>HYPERLINK("https://pbs.twimg.com/profile_images/912005330749575173/gmtBFZtv_normal.jpg","View")</f>
        <v>View</v>
      </c>
      <c r="P9030" s="27"/>
    </row>
    <row r="9031">
      <c r="A9031" s="14">
        <v>43031.90864583333</v>
      </c>
      <c r="B9031" s="20" t="str">
        <f>HYPERLINK("https://twitter.com/theradiantboy","@theradiantboy")</f>
        <v>@theradiantboy</v>
      </c>
      <c r="C9031" s="21" t="s">
        <v>19812</v>
      </c>
      <c r="D9031" s="21" t="s">
        <v>1642</v>
      </c>
      <c r="E9031" s="22" t="str">
        <f>HYPERLINK("https://twitter.com/theradiantboy/status/922686199915008002","922686199915008002")</f>
        <v>922686199915008002</v>
      </c>
      <c r="F9031" s="23" t="s">
        <v>39</v>
      </c>
      <c r="G9031" s="24">
        <v>370.0</v>
      </c>
      <c r="H9031" s="24">
        <v>222.0</v>
      </c>
      <c r="I9031" s="24">
        <v>199.0</v>
      </c>
      <c r="J9031" s="24">
        <v>0.0</v>
      </c>
      <c r="K9031" s="23" t="s">
        <v>34</v>
      </c>
      <c r="L9031" s="25">
        <v>41774.03973379629</v>
      </c>
      <c r="M9031" s="28"/>
      <c r="N9031" s="26" t="s">
        <v>19813</v>
      </c>
      <c r="O9031" s="22" t="str">
        <f>HYPERLINK("https://pbs.twimg.com/profile_images/643708868418125824/5_RKEVwM_normal.jpg","View")</f>
        <v>View</v>
      </c>
      <c r="P9031" s="27"/>
    </row>
    <row r="9032">
      <c r="A9032" s="14">
        <v>43031.90866898149</v>
      </c>
      <c r="B9032" s="20" t="str">
        <f>HYPERLINK("https://twitter.com/KungFu_Chacha","@KungFu_Chacha")</f>
        <v>@KungFu_Chacha</v>
      </c>
      <c r="C9032" s="21" t="s">
        <v>19814</v>
      </c>
      <c r="D9032" s="21" t="s">
        <v>42</v>
      </c>
      <c r="E9032" s="22" t="str">
        <f>HYPERLINK("https://twitter.com/KungFu_Chacha/status/922686209075408896","922686209075408896")</f>
        <v>922686209075408896</v>
      </c>
      <c r="F9032" s="23" t="s">
        <v>39</v>
      </c>
      <c r="G9032" s="24">
        <v>123.0</v>
      </c>
      <c r="H9032" s="24">
        <v>282.0</v>
      </c>
      <c r="I9032" s="24">
        <v>8501.0</v>
      </c>
      <c r="J9032" s="24">
        <v>0.0</v>
      </c>
      <c r="K9032" s="23" t="s">
        <v>34</v>
      </c>
      <c r="L9032" s="25">
        <v>42371.80253472222</v>
      </c>
      <c r="M9032" s="26" t="s">
        <v>19815</v>
      </c>
      <c r="N9032" s="28"/>
      <c r="O9032" s="22" t="str">
        <f>HYPERLINK("https://pbs.twimg.com/profile_images/697149118494322688/elteyUgl_normal.png","View")</f>
        <v>View</v>
      </c>
      <c r="P9032" s="27"/>
    </row>
    <row r="9033">
      <c r="A9033" s="14">
        <v>43031.90888888889</v>
      </c>
      <c r="B9033" s="20" t="str">
        <f>HYPERLINK("https://twitter.com/iharshitthaker","@iharshitthaker")</f>
        <v>@iharshitthaker</v>
      </c>
      <c r="C9033" s="21" t="s">
        <v>19816</v>
      </c>
      <c r="D9033" s="21" t="s">
        <v>42</v>
      </c>
      <c r="E9033" s="22" t="str">
        <f>HYPERLINK("https://twitter.com/iharshitthaker/status/922686286430908422","922686286430908422")</f>
        <v>922686286430908422</v>
      </c>
      <c r="F9033" s="23" t="s">
        <v>33</v>
      </c>
      <c r="G9033" s="24">
        <v>747.0</v>
      </c>
      <c r="H9033" s="24">
        <v>4992.0</v>
      </c>
      <c r="I9033" s="24">
        <v>8501.0</v>
      </c>
      <c r="J9033" s="24">
        <v>0.0</v>
      </c>
      <c r="K9033" s="23" t="s">
        <v>34</v>
      </c>
      <c r="L9033" s="25">
        <v>40720.178715277776</v>
      </c>
      <c r="M9033" s="26" t="s">
        <v>19817</v>
      </c>
      <c r="N9033" s="26" t="s">
        <v>19818</v>
      </c>
      <c r="O9033" s="22" t="str">
        <f>HYPERLINK("https://pbs.twimg.com/profile_images/920855832522190858/WbJTtJK4_normal.jpg","View")</f>
        <v>View</v>
      </c>
      <c r="P9033" s="27"/>
    </row>
    <row r="9034">
      <c r="A9034" s="14">
        <v>43031.90893518519</v>
      </c>
      <c r="B9034" s="20" t="str">
        <f>HYPERLINK("https://twitter.com/LellanyRoycee","@LellanyRoycee")</f>
        <v>@LellanyRoycee</v>
      </c>
      <c r="C9034" s="21" t="s">
        <v>19819</v>
      </c>
      <c r="D9034" s="21" t="s">
        <v>42</v>
      </c>
      <c r="E9034" s="22" t="str">
        <f>HYPERLINK("https://twitter.com/LellanyRoycee/status/922686304462213120","922686304462213120")</f>
        <v>922686304462213120</v>
      </c>
      <c r="F9034" s="23" t="s">
        <v>33</v>
      </c>
      <c r="G9034" s="24">
        <v>32.0</v>
      </c>
      <c r="H9034" s="24">
        <v>1415.0</v>
      </c>
      <c r="I9034" s="24">
        <v>8501.0</v>
      </c>
      <c r="J9034" s="24">
        <v>0.0</v>
      </c>
      <c r="K9034" s="23" t="s">
        <v>34</v>
      </c>
      <c r="L9034" s="25">
        <v>41084.15876157407</v>
      </c>
      <c r="M9034" s="26" t="s">
        <v>5422</v>
      </c>
      <c r="N9034" s="26" t="s">
        <v>19820</v>
      </c>
      <c r="O9034" s="22" t="str">
        <f>HYPERLINK("https://pbs.twimg.com/profile_images/750414030024667136/rU22N4EX_normal.jpg","View")</f>
        <v>View</v>
      </c>
      <c r="P9034" s="27"/>
    </row>
    <row r="9035">
      <c r="A9035" s="14">
        <v>43031.909166666665</v>
      </c>
      <c r="B9035" s="20" t="str">
        <f>HYPERLINK("https://twitter.com/dipti_ranjan5","@dipti_ranjan5")</f>
        <v>@dipti_ranjan5</v>
      </c>
      <c r="C9035" s="21" t="s">
        <v>19821</v>
      </c>
      <c r="D9035" s="21" t="s">
        <v>42</v>
      </c>
      <c r="E9035" s="22" t="str">
        <f>HYPERLINK("https://twitter.com/dipti_ranjan5/status/922686389577179136","922686389577179136")</f>
        <v>922686389577179136</v>
      </c>
      <c r="F9035" s="23" t="s">
        <v>33</v>
      </c>
      <c r="G9035" s="24">
        <v>33.0</v>
      </c>
      <c r="H9035" s="24">
        <v>136.0</v>
      </c>
      <c r="I9035" s="24">
        <v>8501.0</v>
      </c>
      <c r="J9035" s="24">
        <v>0.0</v>
      </c>
      <c r="K9035" s="23" t="s">
        <v>34</v>
      </c>
      <c r="L9035" s="25">
        <v>42118.44700231482</v>
      </c>
      <c r="M9035" s="26" t="s">
        <v>19822</v>
      </c>
      <c r="N9035" s="26" t="s">
        <v>19823</v>
      </c>
      <c r="O9035" s="22" t="str">
        <f>HYPERLINK("https://abs.twimg.com/sticky/default_profile_images/default_profile_normal.png","View")</f>
        <v>View</v>
      </c>
      <c r="P9035" s="27"/>
    </row>
    <row r="9036">
      <c r="A9036" s="14">
        <v>43031.909259259264</v>
      </c>
      <c r="B9036" s="20" t="str">
        <f>HYPERLINK("https://twitter.com/Zhabar0nBrown","@Zhabar0nBrown")</f>
        <v>@Zhabar0nBrown</v>
      </c>
      <c r="C9036" s="21" t="s">
        <v>19824</v>
      </c>
      <c r="D9036" s="21" t="s">
        <v>42</v>
      </c>
      <c r="E9036" s="22" t="str">
        <f>HYPERLINK("https://twitter.com/Zhabar0nBrown/status/922686420623470592","922686420623470592")</f>
        <v>922686420623470592</v>
      </c>
      <c r="F9036" s="23" t="s">
        <v>33</v>
      </c>
      <c r="G9036" s="24">
        <v>127.0</v>
      </c>
      <c r="H9036" s="24">
        <v>2302.0</v>
      </c>
      <c r="I9036" s="24">
        <v>8501.0</v>
      </c>
      <c r="J9036" s="24">
        <v>0.0</v>
      </c>
      <c r="K9036" s="23" t="s">
        <v>34</v>
      </c>
      <c r="L9036" s="25">
        <v>40644.05179398148</v>
      </c>
      <c r="M9036" s="26" t="s">
        <v>19825</v>
      </c>
      <c r="N9036" s="26" t="s">
        <v>19826</v>
      </c>
      <c r="O9036" s="22" t="str">
        <f>HYPERLINK("https://pbs.twimg.com/profile_images/763003444030480384/6e91q8J3_normal.jpg","View")</f>
        <v>View</v>
      </c>
      <c r="P9036" s="27"/>
    </row>
    <row r="9037">
      <c r="A9037" s="14">
        <v>43031.90935185185</v>
      </c>
      <c r="B9037" s="20" t="str">
        <f>HYPERLINK("https://twitter.com/boklol0","@boklol0")</f>
        <v>@boklol0</v>
      </c>
      <c r="C9037" s="21" t="s">
        <v>19827</v>
      </c>
      <c r="D9037" s="21" t="s">
        <v>42</v>
      </c>
      <c r="E9037" s="22" t="str">
        <f>HYPERLINK("https://twitter.com/boklol0/status/922686457013198848","922686457013198848")</f>
        <v>922686457013198848</v>
      </c>
      <c r="F9037" s="23" t="s">
        <v>33</v>
      </c>
      <c r="G9037" s="24">
        <v>192.0</v>
      </c>
      <c r="H9037" s="24">
        <v>211.0</v>
      </c>
      <c r="I9037" s="24">
        <v>8501.0</v>
      </c>
      <c r="J9037" s="24">
        <v>0.0</v>
      </c>
      <c r="K9037" s="23" t="s">
        <v>34</v>
      </c>
      <c r="L9037" s="25">
        <v>42952.408738425926</v>
      </c>
      <c r="M9037" s="28"/>
      <c r="N9037" s="26" t="s">
        <v>19828</v>
      </c>
      <c r="O9037" s="22" t="str">
        <f>HYPERLINK("https://pbs.twimg.com/profile_images/893878074051145728/avbVGqFX_normal.jpg","View")</f>
        <v>View</v>
      </c>
      <c r="P9037" s="27"/>
    </row>
    <row r="9038">
      <c r="A9038" s="14">
        <v>43031.909953703704</v>
      </c>
      <c r="B9038" s="20" t="str">
        <f>HYPERLINK("https://twitter.com/BastilleGlobal","@BastilleGlobal")</f>
        <v>@BastilleGlobal</v>
      </c>
      <c r="C9038" s="21" t="s">
        <v>19829</v>
      </c>
      <c r="D9038" s="21" t="s">
        <v>19830</v>
      </c>
      <c r="E9038" s="22" t="str">
        <f>HYPERLINK("https://twitter.com/BastilleGlobal/status/922686674445971456","922686674445971456")</f>
        <v>922686674445971456</v>
      </c>
      <c r="F9038" s="23" t="s">
        <v>19831</v>
      </c>
      <c r="G9038" s="24">
        <v>17.0</v>
      </c>
      <c r="H9038" s="24">
        <v>9.0</v>
      </c>
      <c r="I9038" s="24">
        <v>0.0</v>
      </c>
      <c r="J9038" s="24">
        <v>0.0</v>
      </c>
      <c r="K9038" s="23" t="s">
        <v>34</v>
      </c>
      <c r="L9038" s="25">
        <v>42955.954097222224</v>
      </c>
      <c r="M9038" s="28"/>
      <c r="N9038" s="28"/>
      <c r="O9038" s="22" t="str">
        <f>HYPERLINK("https://pbs.twimg.com/profile_images/895913959986929665/1gZZloVM_normal.jpg","View")</f>
        <v>View</v>
      </c>
      <c r="P9038" s="27"/>
    </row>
    <row r="9039">
      <c r="A9039" s="14">
        <v>43031.91070601852</v>
      </c>
      <c r="B9039" s="20" t="str">
        <f>HYPERLINK("https://twitter.com/Sest_Zoap","@Sest_Zoap")</f>
        <v>@Sest_Zoap</v>
      </c>
      <c r="C9039" s="21" t="s">
        <v>19832</v>
      </c>
      <c r="D9039" s="21" t="s">
        <v>19833</v>
      </c>
      <c r="E9039" s="22" t="str">
        <f>HYPERLINK("https://twitter.com/Sest_Zoap/status/922686945670631424","922686945670631424")</f>
        <v>922686945670631424</v>
      </c>
      <c r="F9039" s="23" t="s">
        <v>39</v>
      </c>
      <c r="G9039" s="24">
        <v>139.0</v>
      </c>
      <c r="H9039" s="24">
        <v>124.0</v>
      </c>
      <c r="I9039" s="24">
        <v>10.0</v>
      </c>
      <c r="J9039" s="24">
        <v>0.0</v>
      </c>
      <c r="K9039" s="23" t="s">
        <v>34</v>
      </c>
      <c r="L9039" s="25">
        <v>42573.53833333333</v>
      </c>
      <c r="M9039" s="26" t="s">
        <v>19834</v>
      </c>
      <c r="N9039" s="26" t="s">
        <v>19835</v>
      </c>
      <c r="O9039" s="22" t="str">
        <f>HYPERLINK("https://pbs.twimg.com/profile_images/815388763907989504/j4SU21Do_normal.jpg","View")</f>
        <v>View</v>
      </c>
      <c r="P9039" s="27"/>
    </row>
    <row r="9040">
      <c r="A9040" s="14">
        <v>43031.91084490741</v>
      </c>
      <c r="B9040" s="20" t="str">
        <f>HYPERLINK("https://twitter.com/Jsenavirathna","@Jsenavirathna")</f>
        <v>@Jsenavirathna</v>
      </c>
      <c r="C9040" s="21" t="s">
        <v>19836</v>
      </c>
      <c r="D9040" s="21" t="s">
        <v>7816</v>
      </c>
      <c r="E9040" s="22" t="str">
        <f>HYPERLINK("https://twitter.com/Jsenavirathna/status/922686998695043072","922686998695043072")</f>
        <v>922686998695043072</v>
      </c>
      <c r="F9040" s="23" t="s">
        <v>33</v>
      </c>
      <c r="G9040" s="24">
        <v>0.0</v>
      </c>
      <c r="H9040" s="24">
        <v>37.0</v>
      </c>
      <c r="I9040" s="24">
        <v>41.0</v>
      </c>
      <c r="J9040" s="24">
        <v>0.0</v>
      </c>
      <c r="K9040" s="23" t="s">
        <v>34</v>
      </c>
      <c r="L9040" s="25">
        <v>42068.257615740746</v>
      </c>
      <c r="M9040" s="28"/>
      <c r="N9040" s="28"/>
      <c r="O9040" s="22" t="str">
        <f>HYPERLINK("https://pbs.twimg.com/profile_images/874652974231953409/Ajo_nb_F_normal.jpg","View")</f>
        <v>View</v>
      </c>
      <c r="P9040" s="27"/>
    </row>
    <row r="9041">
      <c r="A9041" s="14">
        <v>43031.91085648148</v>
      </c>
      <c r="B9041" s="20" t="str">
        <f>HYPERLINK("https://twitter.com/NTKRNow","@NTKRNow")</f>
        <v>@NTKRNow</v>
      </c>
      <c r="C9041" s="21" t="s">
        <v>14875</v>
      </c>
      <c r="D9041" s="21" t="s">
        <v>19837</v>
      </c>
      <c r="E9041" s="22" t="str">
        <f>HYPERLINK("https://twitter.com/NTKRNow/status/922686999617826817","922686999617826817")</f>
        <v>922686999617826817</v>
      </c>
      <c r="F9041" s="23" t="s">
        <v>187</v>
      </c>
      <c r="G9041" s="24">
        <v>605.0</v>
      </c>
      <c r="H9041" s="24">
        <v>4.0</v>
      </c>
      <c r="I9041" s="24">
        <v>0.0</v>
      </c>
      <c r="J9041" s="24">
        <v>0.0</v>
      </c>
      <c r="K9041" s="23" t="s">
        <v>34</v>
      </c>
      <c r="L9041" s="25">
        <v>42402.810625</v>
      </c>
      <c r="M9041" s="28"/>
      <c r="N9041" s="28"/>
      <c r="O9041" s="22" t="str">
        <f>HYPERLINK("https://abs.twimg.com/sticky/default_profile_images/default_profile_normal.png","View")</f>
        <v>View</v>
      </c>
      <c r="P9041" s="27"/>
    </row>
    <row r="9042">
      <c r="A9042" s="14">
        <v>43031.911631944444</v>
      </c>
      <c r="B9042" s="20" t="str">
        <f>HYPERLINK("https://twitter.com/pikanadadan","@pikanadadan")</f>
        <v>@pikanadadan</v>
      </c>
      <c r="C9042" s="21" t="s">
        <v>19838</v>
      </c>
      <c r="D9042" s="21" t="s">
        <v>105</v>
      </c>
      <c r="E9042" s="22" t="str">
        <f>HYPERLINK("https://twitter.com/pikanadadan/status/922687281181310977","922687281181310977")</f>
        <v>922687281181310977</v>
      </c>
      <c r="F9042" s="23" t="s">
        <v>39</v>
      </c>
      <c r="G9042" s="24">
        <v>244.0</v>
      </c>
      <c r="H9042" s="24">
        <v>372.0</v>
      </c>
      <c r="I9042" s="24">
        <v>69.0</v>
      </c>
      <c r="J9042" s="24">
        <v>0.0</v>
      </c>
      <c r="K9042" s="23" t="s">
        <v>34</v>
      </c>
      <c r="L9042" s="25">
        <v>42074.86108796296</v>
      </c>
      <c r="M9042" s="26" t="s">
        <v>19839</v>
      </c>
      <c r="N9042" s="26" t="s">
        <v>19840</v>
      </c>
      <c r="O9042" s="22" t="str">
        <f>HYPERLINK("https://pbs.twimg.com/profile_images/903077100814344192/RRjykOS7_normal.jpg","View")</f>
        <v>View</v>
      </c>
      <c r="P9042" s="27"/>
    </row>
    <row r="9043">
      <c r="A9043" s="14">
        <v>43031.91170138889</v>
      </c>
      <c r="B9043" s="20" t="str">
        <f>HYPERLINK("https://twitter.com/salauoba","@salauoba")</f>
        <v>@salauoba</v>
      </c>
      <c r="C9043" s="21" t="s">
        <v>19841</v>
      </c>
      <c r="D9043" s="21" t="s">
        <v>3965</v>
      </c>
      <c r="E9043" s="22" t="str">
        <f>HYPERLINK("https://twitter.com/salauoba/status/922687307920048128","922687307920048128")</f>
        <v>922687307920048128</v>
      </c>
      <c r="F9043" s="23" t="s">
        <v>780</v>
      </c>
      <c r="G9043" s="24">
        <v>215.0</v>
      </c>
      <c r="H9043" s="24">
        <v>1301.0</v>
      </c>
      <c r="I9043" s="24">
        <v>13.0</v>
      </c>
      <c r="J9043" s="24">
        <v>0.0</v>
      </c>
      <c r="K9043" s="23" t="s">
        <v>34</v>
      </c>
      <c r="L9043" s="25">
        <v>42038.207754629635</v>
      </c>
      <c r="M9043" s="26" t="s">
        <v>19842</v>
      </c>
      <c r="N9043" s="26" t="s">
        <v>19843</v>
      </c>
      <c r="O9043" s="22" t="str">
        <f>HYPERLINK("https://pbs.twimg.com/profile_images/814444787524837376/jLFtzsit_normal.jpg","View")</f>
        <v>View</v>
      </c>
      <c r="P9043" s="27"/>
    </row>
    <row r="9044">
      <c r="A9044" s="14">
        <v>43031.911990740744</v>
      </c>
      <c r="B9044" s="20" t="str">
        <f>HYPERLINK("https://twitter.com/atsokmr","@atsokmr")</f>
        <v>@atsokmr</v>
      </c>
      <c r="C9044" s="21" t="s">
        <v>19844</v>
      </c>
      <c r="D9044" s="21" t="s">
        <v>1642</v>
      </c>
      <c r="E9044" s="22" t="str">
        <f>HYPERLINK("https://twitter.com/atsokmr/status/922687410596732928","922687410596732928")</f>
        <v>922687410596732928</v>
      </c>
      <c r="F9044" s="23" t="s">
        <v>43</v>
      </c>
      <c r="G9044" s="24">
        <v>377.0</v>
      </c>
      <c r="H9044" s="24">
        <v>331.0</v>
      </c>
      <c r="I9044" s="24">
        <v>199.0</v>
      </c>
      <c r="J9044" s="24">
        <v>0.0</v>
      </c>
      <c r="K9044" s="23" t="s">
        <v>34</v>
      </c>
      <c r="L9044" s="25">
        <v>40055.308483796296</v>
      </c>
      <c r="M9044" s="28"/>
      <c r="N9044" s="28"/>
      <c r="O9044" s="22" t="str">
        <f>HYPERLINK("https://pbs.twimg.com/profile_images/768471919079239680/GyCjw5qB_normal.jpg","View")</f>
        <v>View</v>
      </c>
      <c r="P9044" s="27"/>
    </row>
    <row r="9045">
      <c r="A9045" s="14">
        <v>43031.91229166667</v>
      </c>
      <c r="B9045" s="20" t="str">
        <f>HYPERLINK("https://twitter.com/MorgensenJim","@MorgensenJim")</f>
        <v>@MorgensenJim</v>
      </c>
      <c r="C9045" s="21" t="s">
        <v>19845</v>
      </c>
      <c r="D9045" s="21" t="s">
        <v>16537</v>
      </c>
      <c r="E9045" s="22" t="str">
        <f>HYPERLINK("https://twitter.com/MorgensenJim/status/922687521196331009","922687521196331009")</f>
        <v>922687521196331009</v>
      </c>
      <c r="F9045" s="23" t="s">
        <v>39</v>
      </c>
      <c r="G9045" s="24">
        <v>145.0</v>
      </c>
      <c r="H9045" s="24">
        <v>181.0</v>
      </c>
      <c r="I9045" s="24">
        <v>242.0</v>
      </c>
      <c r="J9045" s="24">
        <v>0.0</v>
      </c>
      <c r="K9045" s="23" t="s">
        <v>34</v>
      </c>
      <c r="L9045" s="25">
        <v>42566.101064814815</v>
      </c>
      <c r="M9045" s="26" t="s">
        <v>19846</v>
      </c>
      <c r="N9045" s="28"/>
      <c r="O9045" s="22" t="str">
        <f>HYPERLINK("https://pbs.twimg.com/profile_images/758779098768420864/ZBKz7nqu_normal.jpg","View")</f>
        <v>View</v>
      </c>
      <c r="P9045" s="27"/>
    </row>
    <row r="9046">
      <c r="A9046" s="14">
        <v>43031.91243055556</v>
      </c>
      <c r="B9046" s="20" t="str">
        <f>HYPERLINK("https://twitter.com/yadvirr","@yadvirr")</f>
        <v>@yadvirr</v>
      </c>
      <c r="C9046" s="21" t="s">
        <v>19847</v>
      </c>
      <c r="D9046" s="21" t="s">
        <v>42</v>
      </c>
      <c r="E9046" s="22" t="str">
        <f>HYPERLINK("https://twitter.com/yadvirr/status/922687571246833664","922687571246833664")</f>
        <v>922687571246833664</v>
      </c>
      <c r="F9046" s="23" t="s">
        <v>33</v>
      </c>
      <c r="G9046" s="24">
        <v>1.0</v>
      </c>
      <c r="H9046" s="24">
        <v>21.0</v>
      </c>
      <c r="I9046" s="24">
        <v>8501.0</v>
      </c>
      <c r="J9046" s="24">
        <v>0.0</v>
      </c>
      <c r="K9046" s="23" t="s">
        <v>34</v>
      </c>
      <c r="L9046" s="25">
        <v>43028.81520833333</v>
      </c>
      <c r="M9046" s="28"/>
      <c r="N9046" s="28"/>
      <c r="O9046" s="22" t="str">
        <f>HYPERLINK("https://abs.twimg.com/sticky/default_profile_images/default_profile_normal.png","View")</f>
        <v>View</v>
      </c>
      <c r="P9046" s="27"/>
    </row>
    <row r="9047">
      <c r="A9047" s="14">
        <v>43031.912824074076</v>
      </c>
      <c r="B9047" s="20" t="str">
        <f>HYPERLINK("https://twitter.com/Veracious2020","@Veracious2020")</f>
        <v>@Veracious2020</v>
      </c>
      <c r="C9047" s="21" t="s">
        <v>19848</v>
      </c>
      <c r="D9047" s="21" t="s">
        <v>16537</v>
      </c>
      <c r="E9047" s="22" t="str">
        <f>HYPERLINK("https://twitter.com/Veracious2020/status/922687715228962816","922687715228962816")</f>
        <v>922687715228962816</v>
      </c>
      <c r="F9047" s="23" t="s">
        <v>39</v>
      </c>
      <c r="G9047" s="24">
        <v>15.0</v>
      </c>
      <c r="H9047" s="24">
        <v>28.0</v>
      </c>
      <c r="I9047" s="24">
        <v>242.0</v>
      </c>
      <c r="J9047" s="24">
        <v>0.0</v>
      </c>
      <c r="K9047" s="23" t="s">
        <v>34</v>
      </c>
      <c r="L9047" s="25">
        <v>42769.5215625</v>
      </c>
      <c r="M9047" s="26" t="s">
        <v>68</v>
      </c>
      <c r="N9047" s="26" t="s">
        <v>19849</v>
      </c>
      <c r="O9047" s="22" t="str">
        <f>HYPERLINK("https://pbs.twimg.com/profile_images/827620110391062528/k2elMuHN_normal.jpg","View")</f>
        <v>View</v>
      </c>
      <c r="P9047" s="27"/>
    </row>
    <row r="9048">
      <c r="A9048" s="14">
        <v>43031.913148148145</v>
      </c>
      <c r="B9048" s="20" t="str">
        <f>HYPERLINK("https://twitter.com/SunnyRajblood","@SunnyRajblood")</f>
        <v>@SunnyRajblood</v>
      </c>
      <c r="C9048" s="21" t="s">
        <v>19850</v>
      </c>
      <c r="D9048" s="21" t="s">
        <v>42</v>
      </c>
      <c r="E9048" s="22" t="str">
        <f>HYPERLINK("https://twitter.com/SunnyRajblood/status/922687833055334400","922687833055334400")</f>
        <v>922687833055334400</v>
      </c>
      <c r="F9048" s="23" t="s">
        <v>33</v>
      </c>
      <c r="G9048" s="24">
        <v>386.0</v>
      </c>
      <c r="H9048" s="24">
        <v>270.0</v>
      </c>
      <c r="I9048" s="24">
        <v>8501.0</v>
      </c>
      <c r="J9048" s="24">
        <v>0.0</v>
      </c>
      <c r="K9048" s="23" t="s">
        <v>34</v>
      </c>
      <c r="L9048" s="25">
        <v>42943.33039351852</v>
      </c>
      <c r="M9048" s="26" t="s">
        <v>2739</v>
      </c>
      <c r="N9048" s="28"/>
      <c r="O9048" s="22" t="str">
        <f>HYPERLINK("https://pbs.twimg.com/profile_images/891930757177851904/1SQfSd0e_normal.jpg","View")</f>
        <v>View</v>
      </c>
      <c r="P9048" s="27"/>
    </row>
    <row r="9049">
      <c r="A9049" s="14">
        <v>43031.9140625</v>
      </c>
      <c r="B9049" s="20" t="str">
        <f>HYPERLINK("https://twitter.com/WatchmansPost","@WatchmansPost")</f>
        <v>@WatchmansPost</v>
      </c>
      <c r="C9049" s="21" t="s">
        <v>12485</v>
      </c>
      <c r="D9049" s="21" t="s">
        <v>18788</v>
      </c>
      <c r="E9049" s="22" t="str">
        <f>HYPERLINK("https://twitter.com/WatchmansPost/status/922688163486846976","922688163486846976")</f>
        <v>922688163486846976</v>
      </c>
      <c r="F9049" s="23" t="s">
        <v>33</v>
      </c>
      <c r="G9049" s="24">
        <v>278.0</v>
      </c>
      <c r="H9049" s="24">
        <v>377.0</v>
      </c>
      <c r="I9049" s="24">
        <v>28.0</v>
      </c>
      <c r="J9049" s="24">
        <v>0.0</v>
      </c>
      <c r="K9049" s="23" t="s">
        <v>34</v>
      </c>
      <c r="L9049" s="25">
        <v>42810.40630787037</v>
      </c>
      <c r="M9049" s="26" t="s">
        <v>12487</v>
      </c>
      <c r="N9049" s="26" t="s">
        <v>12488</v>
      </c>
      <c r="O9049" s="22" t="str">
        <f>HYPERLINK("https://pbs.twimg.com/profile_images/877638562862313472/u7zuVJcA_normal.jpg","View")</f>
        <v>View</v>
      </c>
      <c r="P9049" s="27"/>
    </row>
    <row r="9050">
      <c r="A9050" s="14">
        <v>43031.91408564815</v>
      </c>
      <c r="B9050" s="20" t="str">
        <f>HYPERLINK("https://twitter.com/02CRMBL","@02CRMBL")</f>
        <v>@02CRMBL</v>
      </c>
      <c r="C9050" s="21" t="s">
        <v>19851</v>
      </c>
      <c r="D9050" s="21" t="s">
        <v>19621</v>
      </c>
      <c r="E9050" s="22" t="str">
        <f>HYPERLINK("https://twitter.com/02CRMBL/status/922688170873053184","922688170873053184")</f>
        <v>922688170873053184</v>
      </c>
      <c r="F9050" s="23" t="s">
        <v>86</v>
      </c>
      <c r="G9050" s="24">
        <v>179.0</v>
      </c>
      <c r="H9050" s="24">
        <v>353.0</v>
      </c>
      <c r="I9050" s="24">
        <v>18.0</v>
      </c>
      <c r="J9050" s="24">
        <v>0.0</v>
      </c>
      <c r="K9050" s="23" t="s">
        <v>34</v>
      </c>
      <c r="L9050" s="25">
        <v>41507.69724537037</v>
      </c>
      <c r="M9050" s="26" t="s">
        <v>13309</v>
      </c>
      <c r="N9050" s="28"/>
      <c r="O9050" s="22" t="str">
        <f>HYPERLINK("https://pbs.twimg.com/profile_images/779369907184103424/WHQ-FyNP_normal.jpg","View")</f>
        <v>View</v>
      </c>
      <c r="P9050" s="27"/>
    </row>
    <row r="9051">
      <c r="A9051" s="14">
        <v>43031.91416666667</v>
      </c>
      <c r="B9051" s="20" t="str">
        <f>HYPERLINK("https://twitter.com/prahlad_gupta","@prahlad_gupta")</f>
        <v>@prahlad_gupta</v>
      </c>
      <c r="C9051" s="21" t="s">
        <v>19852</v>
      </c>
      <c r="D9051" s="21" t="s">
        <v>42</v>
      </c>
      <c r="E9051" s="22" t="str">
        <f>HYPERLINK("https://twitter.com/prahlad_gupta/status/922688199176151042","922688199176151042")</f>
        <v>922688199176151042</v>
      </c>
      <c r="F9051" s="23" t="s">
        <v>33</v>
      </c>
      <c r="G9051" s="24">
        <v>26.0</v>
      </c>
      <c r="H9051" s="24">
        <v>76.0</v>
      </c>
      <c r="I9051" s="24">
        <v>8501.0</v>
      </c>
      <c r="J9051" s="24">
        <v>0.0</v>
      </c>
      <c r="K9051" s="23" t="s">
        <v>34</v>
      </c>
      <c r="L9051" s="25">
        <v>40763.166712962964</v>
      </c>
      <c r="M9051" s="28"/>
      <c r="N9051" s="26" t="s">
        <v>19853</v>
      </c>
      <c r="O9051" s="22" t="str">
        <f>HYPERLINK("https://pbs.twimg.com/profile_images/825826582853873664/b5aFDi7K_normal.jpg","View")</f>
        <v>View</v>
      </c>
      <c r="P9051" s="27"/>
    </row>
    <row r="9052">
      <c r="A9052" s="14">
        <v>43031.914259259254</v>
      </c>
      <c r="B9052" s="20" t="str">
        <f>HYPERLINK("https://twitter.com/Shingarist","@Shingarist")</f>
        <v>@Shingarist</v>
      </c>
      <c r="C9052" s="21" t="s">
        <v>19854</v>
      </c>
      <c r="D9052" s="21" t="s">
        <v>12974</v>
      </c>
      <c r="E9052" s="22" t="str">
        <f>HYPERLINK("https://twitter.com/Shingarist/status/922688232512413696","922688232512413696")</f>
        <v>922688232512413696</v>
      </c>
      <c r="F9052" s="23" t="s">
        <v>33</v>
      </c>
      <c r="G9052" s="24">
        <v>97.0</v>
      </c>
      <c r="H9052" s="24">
        <v>152.0</v>
      </c>
      <c r="I9052" s="24">
        <v>110.0</v>
      </c>
      <c r="J9052" s="24">
        <v>0.0</v>
      </c>
      <c r="K9052" s="23" t="s">
        <v>34</v>
      </c>
      <c r="L9052" s="25">
        <v>41805.48039351852</v>
      </c>
      <c r="M9052" s="26" t="s">
        <v>4577</v>
      </c>
      <c r="N9052" s="26" t="s">
        <v>19855</v>
      </c>
      <c r="O9052" s="22" t="str">
        <f>HYPERLINK("https://pbs.twimg.com/profile_images/797802644475514880/kSjbd6GH_normal.jpg","View")</f>
        <v>View</v>
      </c>
      <c r="P9052" s="27"/>
    </row>
    <row r="9053">
      <c r="A9053" s="14">
        <v>43031.91444444444</v>
      </c>
      <c r="B9053" s="20" t="str">
        <f>HYPERLINK("https://twitter.com/Wht2post","@Wht2post")</f>
        <v>@Wht2post</v>
      </c>
      <c r="C9053" s="21" t="s">
        <v>19856</v>
      </c>
      <c r="D9053" s="21" t="s">
        <v>42</v>
      </c>
      <c r="E9053" s="22" t="str">
        <f>HYPERLINK("https://twitter.com/Wht2post/status/922688300477046785","922688300477046785")</f>
        <v>922688300477046785</v>
      </c>
      <c r="F9053" s="23" t="s">
        <v>33</v>
      </c>
      <c r="G9053" s="24">
        <v>19.0</v>
      </c>
      <c r="H9053" s="24">
        <v>140.0</v>
      </c>
      <c r="I9053" s="24">
        <v>8501.0</v>
      </c>
      <c r="J9053" s="24">
        <v>0.0</v>
      </c>
      <c r="K9053" s="23" t="s">
        <v>34</v>
      </c>
      <c r="L9053" s="25">
        <v>42238.47336805555</v>
      </c>
      <c r="M9053" s="28"/>
      <c r="N9053" s="28"/>
      <c r="O9053" s="22" t="str">
        <f>HYPERLINK("https://pbs.twimg.com/profile_images/827769741351723008/PE9MOZax_normal.jpg","View")</f>
        <v>View</v>
      </c>
      <c r="P9053" s="27"/>
    </row>
    <row r="9054">
      <c r="A9054" s="14">
        <v>43031.914768518516</v>
      </c>
      <c r="B9054" s="20" t="str">
        <f>HYPERLINK("https://twitter.com/abhinavrai327","@abhinavrai327")</f>
        <v>@abhinavrai327</v>
      </c>
      <c r="C9054" s="21" t="s">
        <v>19857</v>
      </c>
      <c r="D9054" s="21" t="s">
        <v>19016</v>
      </c>
      <c r="E9054" s="22" t="str">
        <f>HYPERLINK("https://twitter.com/abhinavrai327/status/922688418752094208","922688418752094208")</f>
        <v>922688418752094208</v>
      </c>
      <c r="F9054" s="23" t="s">
        <v>33</v>
      </c>
      <c r="G9054" s="24">
        <v>73.0</v>
      </c>
      <c r="H9054" s="24">
        <v>168.0</v>
      </c>
      <c r="I9054" s="24">
        <v>51.0</v>
      </c>
      <c r="J9054" s="24">
        <v>0.0</v>
      </c>
      <c r="K9054" s="23" t="s">
        <v>34</v>
      </c>
      <c r="L9054" s="25">
        <v>41697.2671875</v>
      </c>
      <c r="M9054" s="26" t="s">
        <v>4533</v>
      </c>
      <c r="N9054" s="26" t="s">
        <v>19858</v>
      </c>
      <c r="O9054" s="22" t="str">
        <f>HYPERLINK("https://pbs.twimg.com/profile_images/919027164552376320/_eKKsuNU_normal.jpg","View")</f>
        <v>View</v>
      </c>
      <c r="P9054" s="27"/>
    </row>
    <row r="9055">
      <c r="A9055" s="14">
        <v>43031.91483796296</v>
      </c>
      <c r="B9055" s="20" t="str">
        <f t="shared" ref="B9055:B9056" si="180">HYPERLINK("https://twitter.com/KohNagao","@KohNagao")</f>
        <v>@KohNagao</v>
      </c>
      <c r="C9055" s="21" t="s">
        <v>9123</v>
      </c>
      <c r="D9055" s="21" t="s">
        <v>18162</v>
      </c>
      <c r="E9055" s="22" t="str">
        <f>HYPERLINK("https://twitter.com/KohNagao/status/922688443251085312","922688443251085312")</f>
        <v>922688443251085312</v>
      </c>
      <c r="F9055" s="23" t="s">
        <v>55</v>
      </c>
      <c r="G9055" s="24">
        <v>746.0</v>
      </c>
      <c r="H9055" s="24">
        <v>562.0</v>
      </c>
      <c r="I9055" s="24">
        <v>59.0</v>
      </c>
      <c r="J9055" s="24">
        <v>0.0</v>
      </c>
      <c r="K9055" s="23" t="s">
        <v>34</v>
      </c>
      <c r="L9055" s="25">
        <v>42038.797673611116</v>
      </c>
      <c r="M9055" s="26" t="s">
        <v>9124</v>
      </c>
      <c r="N9055" s="26" t="s">
        <v>9125</v>
      </c>
      <c r="O9055" s="22" t="str">
        <f t="shared" ref="O9055:O9056" si="181">HYPERLINK("https://pbs.twimg.com/profile_images/906035209585360903/BiManyQC_normal.jpg","View")</f>
        <v>View</v>
      </c>
      <c r="P9055" s="27"/>
    </row>
    <row r="9056">
      <c r="A9056" s="14">
        <v>43031.91519675926</v>
      </c>
      <c r="B9056" s="20" t="str">
        <f t="shared" si="180"/>
        <v>@KohNagao</v>
      </c>
      <c r="C9056" s="21" t="s">
        <v>9123</v>
      </c>
      <c r="D9056" s="21" t="s">
        <v>18983</v>
      </c>
      <c r="E9056" s="22" t="str">
        <f>HYPERLINK("https://twitter.com/KohNagao/status/922688573484224512","922688573484224512")</f>
        <v>922688573484224512</v>
      </c>
      <c r="F9056" s="23" t="s">
        <v>55</v>
      </c>
      <c r="G9056" s="24">
        <v>746.0</v>
      </c>
      <c r="H9056" s="24">
        <v>562.0</v>
      </c>
      <c r="I9056" s="24">
        <v>7.0</v>
      </c>
      <c r="J9056" s="24">
        <v>0.0</v>
      </c>
      <c r="K9056" s="23" t="s">
        <v>34</v>
      </c>
      <c r="L9056" s="25">
        <v>42038.797673611116</v>
      </c>
      <c r="M9056" s="26" t="s">
        <v>9124</v>
      </c>
      <c r="N9056" s="26" t="s">
        <v>9125</v>
      </c>
      <c r="O9056" s="22" t="str">
        <f t="shared" si="181"/>
        <v>View</v>
      </c>
      <c r="P9056" s="27"/>
    </row>
    <row r="9057">
      <c r="A9057" s="14">
        <v>43031.915347222224</v>
      </c>
      <c r="B9057" s="20" t="str">
        <f>HYPERLINK("https://twitter.com/calumkln","@calumkln")</f>
        <v>@calumkln</v>
      </c>
      <c r="C9057" s="21" t="s">
        <v>19859</v>
      </c>
      <c r="D9057" s="21" t="s">
        <v>42</v>
      </c>
      <c r="E9057" s="22" t="str">
        <f>HYPERLINK("https://twitter.com/calumkln/status/922688630518419456","922688630518419456")</f>
        <v>922688630518419456</v>
      </c>
      <c r="F9057" s="23" t="s">
        <v>33</v>
      </c>
      <c r="G9057" s="24">
        <v>31.0</v>
      </c>
      <c r="H9057" s="24">
        <v>1335.0</v>
      </c>
      <c r="I9057" s="24">
        <v>8501.0</v>
      </c>
      <c r="J9057" s="24">
        <v>0.0</v>
      </c>
      <c r="K9057" s="23" t="s">
        <v>34</v>
      </c>
      <c r="L9057" s="25">
        <v>41083.23855324074</v>
      </c>
      <c r="M9057" s="26" t="s">
        <v>19860</v>
      </c>
      <c r="N9057" s="28"/>
      <c r="O9057" s="22" t="str">
        <f>HYPERLINK("https://pbs.twimg.com/profile_images/764239906596089856/Eql3FxNt_normal.jpg","View")</f>
        <v>View</v>
      </c>
      <c r="P9057" s="27"/>
    </row>
    <row r="9058">
      <c r="A9058" s="14">
        <v>43031.91570601852</v>
      </c>
      <c r="B9058" s="20" t="str">
        <f>HYPERLINK("https://twitter.com/KohNagao","@KohNagao")</f>
        <v>@KohNagao</v>
      </c>
      <c r="C9058" s="21" t="s">
        <v>9123</v>
      </c>
      <c r="D9058" s="21" t="s">
        <v>18788</v>
      </c>
      <c r="E9058" s="22" t="str">
        <f>HYPERLINK("https://twitter.com/KohNagao/status/922688760290140160","922688760290140160")</f>
        <v>922688760290140160</v>
      </c>
      <c r="F9058" s="23" t="s">
        <v>55</v>
      </c>
      <c r="G9058" s="24">
        <v>746.0</v>
      </c>
      <c r="H9058" s="24">
        <v>562.0</v>
      </c>
      <c r="I9058" s="24">
        <v>28.0</v>
      </c>
      <c r="J9058" s="24">
        <v>0.0</v>
      </c>
      <c r="K9058" s="23" t="s">
        <v>34</v>
      </c>
      <c r="L9058" s="25">
        <v>42038.797673611116</v>
      </c>
      <c r="M9058" s="26" t="s">
        <v>9124</v>
      </c>
      <c r="N9058" s="26" t="s">
        <v>9125</v>
      </c>
      <c r="O9058" s="22" t="str">
        <f>HYPERLINK("https://pbs.twimg.com/profile_images/906035209585360903/BiManyQC_normal.jpg","View")</f>
        <v>View</v>
      </c>
      <c r="P9058" s="27"/>
    </row>
    <row r="9059">
      <c r="A9059" s="14">
        <v>43031.91578703704</v>
      </c>
      <c r="B9059" s="20" t="str">
        <f>HYPERLINK("https://twitter.com/hindustani89","@hindustani89")</f>
        <v>@hindustani89</v>
      </c>
      <c r="C9059" s="21" t="s">
        <v>15462</v>
      </c>
      <c r="D9059" s="21" t="s">
        <v>42</v>
      </c>
      <c r="E9059" s="22" t="str">
        <f>HYPERLINK("https://twitter.com/hindustani89/status/922688786919841793","922688786919841793")</f>
        <v>922688786919841793</v>
      </c>
      <c r="F9059" s="23" t="s">
        <v>43</v>
      </c>
      <c r="G9059" s="24">
        <v>138.0</v>
      </c>
      <c r="H9059" s="24">
        <v>477.0</v>
      </c>
      <c r="I9059" s="24">
        <v>8501.0</v>
      </c>
      <c r="J9059" s="24">
        <v>0.0</v>
      </c>
      <c r="K9059" s="23" t="s">
        <v>34</v>
      </c>
      <c r="L9059" s="25">
        <v>41417.87237268519</v>
      </c>
      <c r="M9059" s="26" t="s">
        <v>19861</v>
      </c>
      <c r="N9059" s="26" t="s">
        <v>19862</v>
      </c>
      <c r="O9059" s="22" t="str">
        <f>HYPERLINK("https://pbs.twimg.com/profile_images/378800000297544254/a4c8e8ddb99c2125600bd53d8103aed2_normal.jpeg","View")</f>
        <v>View</v>
      </c>
      <c r="P9059" s="27"/>
    </row>
    <row r="9060">
      <c r="A9060" s="14">
        <v>43031.91594907407</v>
      </c>
      <c r="B9060" s="20" t="str">
        <f>HYPERLINK("https://twitter.com/Shekhawatkamal","@Shekhawatkamal")</f>
        <v>@Shekhawatkamal</v>
      </c>
      <c r="C9060" s="21" t="s">
        <v>19863</v>
      </c>
      <c r="D9060" s="21" t="s">
        <v>42</v>
      </c>
      <c r="E9060" s="22" t="str">
        <f>HYPERLINK("https://twitter.com/Shekhawatkamal/status/922688848424968192","922688848424968192")</f>
        <v>922688848424968192</v>
      </c>
      <c r="F9060" s="23" t="s">
        <v>33</v>
      </c>
      <c r="G9060" s="24">
        <v>30.0</v>
      </c>
      <c r="H9060" s="24">
        <v>58.0</v>
      </c>
      <c r="I9060" s="24">
        <v>8501.0</v>
      </c>
      <c r="J9060" s="24">
        <v>0.0</v>
      </c>
      <c r="K9060" s="23" t="s">
        <v>34</v>
      </c>
      <c r="L9060" s="25">
        <v>40730.84370370371</v>
      </c>
      <c r="M9060" s="28"/>
      <c r="N9060" s="28"/>
      <c r="O9060" s="22" t="str">
        <f>HYPERLINK("https://pbs.twimg.com/profile_images/804253738349121536/wcaND3rJ_normal.jpg","View")</f>
        <v>View</v>
      </c>
      <c r="P9060" s="27"/>
    </row>
    <row r="9061">
      <c r="A9061" s="14">
        <v>43031.91600694445</v>
      </c>
      <c r="B9061" s="20" t="str">
        <f>HYPERLINK("https://twitter.com/pairsonnalitesB","@pairsonnalitesB")</f>
        <v>@pairsonnalitesB</v>
      </c>
      <c r="C9061" s="21" t="s">
        <v>19864</v>
      </c>
      <c r="D9061" s="21" t="s">
        <v>19865</v>
      </c>
      <c r="E9061" s="22" t="str">
        <f>HYPERLINK("https://twitter.com/pairsonnalitesB/status/922688869950279680","922688869950279680")</f>
        <v>922688869950279680</v>
      </c>
      <c r="F9061" s="30" t="s">
        <v>411</v>
      </c>
      <c r="G9061" s="24">
        <v>964.0</v>
      </c>
      <c r="H9061" s="24">
        <v>779.0</v>
      </c>
      <c r="I9061" s="24">
        <v>0.0</v>
      </c>
      <c r="J9061" s="24">
        <v>0.0</v>
      </c>
      <c r="K9061" s="23" t="s">
        <v>34</v>
      </c>
      <c r="L9061" s="25">
        <v>40422.587685185186</v>
      </c>
      <c r="M9061" s="26" t="s">
        <v>19866</v>
      </c>
      <c r="N9061" s="26" t="s">
        <v>19867</v>
      </c>
      <c r="O9061" s="22" t="str">
        <f>HYPERLINK("https://pbs.twimg.com/profile_images/378800000775177579/f4d24ae9116c8e7bc5fbef81c2ab05f3_normal.png","View")</f>
        <v>View</v>
      </c>
      <c r="P9061" s="22" t="str">
        <f>HYPERLINK("https://ctrlq.org/maps/address/#-23.55902666,-46.64960938","Map")</f>
        <v>Map</v>
      </c>
    </row>
    <row r="9062">
      <c r="A9062" s="14">
        <v>43031.91604166667</v>
      </c>
      <c r="B9062" s="20" t="str">
        <f>HYPERLINK("https://twitter.com/KartikM16849411","@KartikM16849411")</f>
        <v>@KartikM16849411</v>
      </c>
      <c r="C9062" s="21" t="s">
        <v>19868</v>
      </c>
      <c r="D9062" s="21" t="s">
        <v>163</v>
      </c>
      <c r="E9062" s="22" t="str">
        <f>HYPERLINK("https://twitter.com/KartikM16849411/status/922688879647391744","922688879647391744")</f>
        <v>922688879647391744</v>
      </c>
      <c r="F9062" s="23" t="s">
        <v>33</v>
      </c>
      <c r="G9062" s="24">
        <v>127.0</v>
      </c>
      <c r="H9062" s="24">
        <v>462.0</v>
      </c>
      <c r="I9062" s="24">
        <v>1005.0</v>
      </c>
      <c r="J9062" s="24">
        <v>0.0</v>
      </c>
      <c r="K9062" s="23" t="s">
        <v>34</v>
      </c>
      <c r="L9062" s="25">
        <v>42529.190879629634</v>
      </c>
      <c r="M9062" s="26" t="s">
        <v>227</v>
      </c>
      <c r="N9062" s="26" t="s">
        <v>19869</v>
      </c>
      <c r="O9062" s="22" t="str">
        <f>HYPERLINK("https://pbs.twimg.com/profile_images/905356559563202560/gev3_w1p_normal.jpg","View")</f>
        <v>View</v>
      </c>
      <c r="P9062" s="27"/>
    </row>
    <row r="9063">
      <c r="A9063" s="14">
        <v>43031.91614583333</v>
      </c>
      <c r="B9063" s="20" t="str">
        <f>HYPERLINK("https://twitter.com/KohNagao","@KohNagao")</f>
        <v>@KohNagao</v>
      </c>
      <c r="C9063" s="21" t="s">
        <v>9123</v>
      </c>
      <c r="D9063" s="21" t="s">
        <v>19202</v>
      </c>
      <c r="E9063" s="22" t="str">
        <f>HYPERLINK("https://twitter.com/KohNagao/status/922688919694557184","922688919694557184")</f>
        <v>922688919694557184</v>
      </c>
      <c r="F9063" s="23" t="s">
        <v>55</v>
      </c>
      <c r="G9063" s="24">
        <v>746.0</v>
      </c>
      <c r="H9063" s="24">
        <v>562.0</v>
      </c>
      <c r="I9063" s="24">
        <v>3.0</v>
      </c>
      <c r="J9063" s="24">
        <v>0.0</v>
      </c>
      <c r="K9063" s="23" t="s">
        <v>34</v>
      </c>
      <c r="L9063" s="25">
        <v>42038.797673611116</v>
      </c>
      <c r="M9063" s="26" t="s">
        <v>9124</v>
      </c>
      <c r="N9063" s="26" t="s">
        <v>9125</v>
      </c>
      <c r="O9063" s="22" t="str">
        <f>HYPERLINK("https://pbs.twimg.com/profile_images/906035209585360903/BiManyQC_normal.jpg","View")</f>
        <v>View</v>
      </c>
      <c r="P9063" s="27"/>
    </row>
    <row r="9064">
      <c r="A9064" s="14">
        <v>43031.916226851856</v>
      </c>
      <c r="B9064" s="20" t="str">
        <f>HYPERLINK("https://twitter.com/HarishAgrawal21","@HarishAgrawal21")</f>
        <v>@HarishAgrawal21</v>
      </c>
      <c r="C9064" s="21" t="s">
        <v>19870</v>
      </c>
      <c r="D9064" s="21" t="s">
        <v>42</v>
      </c>
      <c r="E9064" s="22" t="str">
        <f>HYPERLINK("https://twitter.com/HarishAgrawal21/status/922688949084024832","922688949084024832")</f>
        <v>922688949084024832</v>
      </c>
      <c r="F9064" s="23" t="s">
        <v>33</v>
      </c>
      <c r="G9064" s="24">
        <v>145.0</v>
      </c>
      <c r="H9064" s="24">
        <v>509.0</v>
      </c>
      <c r="I9064" s="24">
        <v>8501.0</v>
      </c>
      <c r="J9064" s="24">
        <v>0.0</v>
      </c>
      <c r="K9064" s="23" t="s">
        <v>34</v>
      </c>
      <c r="L9064" s="25">
        <v>41642.201215277775</v>
      </c>
      <c r="M9064" s="26" t="s">
        <v>19871</v>
      </c>
      <c r="N9064" s="26" t="s">
        <v>19872</v>
      </c>
      <c r="O9064" s="22" t="str">
        <f>HYPERLINK("https://pbs.twimg.com/profile_images/711590023510892544/fc_JS-98_normal.jpg","View")</f>
        <v>View</v>
      </c>
      <c r="P9064" s="27"/>
    </row>
    <row r="9065">
      <c r="A9065" s="14">
        <v>43031.916249999995</v>
      </c>
      <c r="B9065" s="20" t="str">
        <f t="shared" ref="B9065:B9066" si="182">HYPERLINK("https://twitter.com/KohNagao","@KohNagao")</f>
        <v>@KohNagao</v>
      </c>
      <c r="C9065" s="21" t="s">
        <v>9123</v>
      </c>
      <c r="D9065" s="21" t="s">
        <v>18609</v>
      </c>
      <c r="E9065" s="22" t="str">
        <f>HYPERLINK("https://twitter.com/KohNagao/status/922688955736317952","922688955736317952")</f>
        <v>922688955736317952</v>
      </c>
      <c r="F9065" s="23" t="s">
        <v>55</v>
      </c>
      <c r="G9065" s="24">
        <v>746.0</v>
      </c>
      <c r="H9065" s="24">
        <v>562.0</v>
      </c>
      <c r="I9065" s="24">
        <v>6.0</v>
      </c>
      <c r="J9065" s="24">
        <v>0.0</v>
      </c>
      <c r="K9065" s="23" t="s">
        <v>34</v>
      </c>
      <c r="L9065" s="25">
        <v>42038.797673611116</v>
      </c>
      <c r="M9065" s="26" t="s">
        <v>9124</v>
      </c>
      <c r="N9065" s="26" t="s">
        <v>9125</v>
      </c>
      <c r="O9065" s="22" t="str">
        <f t="shared" ref="O9065:O9066" si="183">HYPERLINK("https://pbs.twimg.com/profile_images/906035209585360903/BiManyQC_normal.jpg","View")</f>
        <v>View</v>
      </c>
      <c r="P9065" s="27"/>
    </row>
    <row r="9066">
      <c r="A9066" s="14">
        <v>43031.91645833333</v>
      </c>
      <c r="B9066" s="20" t="str">
        <f t="shared" si="182"/>
        <v>@KohNagao</v>
      </c>
      <c r="C9066" s="21" t="s">
        <v>9123</v>
      </c>
      <c r="D9066" s="21" t="s">
        <v>1731</v>
      </c>
      <c r="E9066" s="22" t="str">
        <f>HYPERLINK("https://twitter.com/KohNagao/status/922689031707619328","922689031707619328")</f>
        <v>922689031707619328</v>
      </c>
      <c r="F9066" s="23" t="s">
        <v>55</v>
      </c>
      <c r="G9066" s="24">
        <v>746.0</v>
      </c>
      <c r="H9066" s="24">
        <v>562.0</v>
      </c>
      <c r="I9066" s="24">
        <v>6.0</v>
      </c>
      <c r="J9066" s="24">
        <v>0.0</v>
      </c>
      <c r="K9066" s="23" t="s">
        <v>34</v>
      </c>
      <c r="L9066" s="25">
        <v>42038.797673611116</v>
      </c>
      <c r="M9066" s="26" t="s">
        <v>9124</v>
      </c>
      <c r="N9066" s="26" t="s">
        <v>9125</v>
      </c>
      <c r="O9066" s="22" t="str">
        <f t="shared" si="183"/>
        <v>View</v>
      </c>
      <c r="P9066" s="27"/>
    </row>
    <row r="9067">
      <c r="A9067" s="14">
        <v>43031.916712962964</v>
      </c>
      <c r="B9067" s="20" t="str">
        <f>HYPERLINK("https://twitter.com/psoby","@psoby")</f>
        <v>@psoby</v>
      </c>
      <c r="C9067" s="21" t="s">
        <v>19873</v>
      </c>
      <c r="D9067" s="21" t="s">
        <v>19874</v>
      </c>
      <c r="E9067" s="22" t="str">
        <f>HYPERLINK("https://twitter.com/psoby/status/922689122858405888","922689122858405888")</f>
        <v>922689122858405888</v>
      </c>
      <c r="F9067" s="23" t="s">
        <v>91</v>
      </c>
      <c r="G9067" s="24">
        <v>577.0</v>
      </c>
      <c r="H9067" s="24">
        <v>2353.0</v>
      </c>
      <c r="I9067" s="24">
        <v>0.0</v>
      </c>
      <c r="J9067" s="24">
        <v>0.0</v>
      </c>
      <c r="K9067" s="23" t="s">
        <v>34</v>
      </c>
      <c r="L9067" s="25">
        <v>40067.8078125</v>
      </c>
      <c r="M9067" s="26" t="s">
        <v>19875</v>
      </c>
      <c r="N9067" s="26" t="s">
        <v>19876</v>
      </c>
      <c r="O9067" s="22" t="str">
        <f>HYPERLINK("https://pbs.twimg.com/profile_images/491583683715821568/prW8sv6d_normal.jpeg","View")</f>
        <v>View</v>
      </c>
      <c r="P9067" s="27"/>
    </row>
    <row r="9068">
      <c r="A9068" s="14">
        <v>43031.916874999995</v>
      </c>
      <c r="B9068" s="20" t="str">
        <f>HYPERLINK("https://twitter.com/ForeignAffairs","@ForeignAffairs")</f>
        <v>@ForeignAffairs</v>
      </c>
      <c r="C9068" s="21" t="s">
        <v>11339</v>
      </c>
      <c r="D9068" s="21" t="s">
        <v>19877</v>
      </c>
      <c r="E9068" s="22" t="str">
        <f>HYPERLINK("https://twitter.com/ForeignAffairs/status/922689181477982208","922689181477982208")</f>
        <v>922689181477982208</v>
      </c>
      <c r="F9068" s="23" t="s">
        <v>427</v>
      </c>
      <c r="G9068" s="24">
        <v>625896.0</v>
      </c>
      <c r="H9068" s="24">
        <v>2186.0</v>
      </c>
      <c r="I9068" s="24">
        <v>7.0</v>
      </c>
      <c r="J9068" s="24">
        <v>4.0</v>
      </c>
      <c r="K9068" s="23" t="s">
        <v>34</v>
      </c>
      <c r="L9068" s="25">
        <v>39861.438472222224</v>
      </c>
      <c r="M9068" s="26" t="s">
        <v>2534</v>
      </c>
      <c r="N9068" s="26" t="s">
        <v>11341</v>
      </c>
      <c r="O9068" s="22" t="str">
        <f>HYPERLINK("https://pbs.twimg.com/profile_images/472450440747962369/mUbM-DPs_normal.jpeg","View")</f>
        <v>View</v>
      </c>
      <c r="P9068" s="27"/>
    </row>
    <row r="9069">
      <c r="A9069" s="14">
        <v>43031.91703703704</v>
      </c>
      <c r="B9069" s="20" t="str">
        <f>HYPERLINK("https://twitter.com/japantimes","@japantimes")</f>
        <v>@japantimes</v>
      </c>
      <c r="C9069" s="21" t="s">
        <v>3842</v>
      </c>
      <c r="D9069" s="21" t="s">
        <v>19878</v>
      </c>
      <c r="E9069" s="22" t="str">
        <f>HYPERLINK("https://twitter.com/japantimes/status/922689242316328960","922689242316328960")</f>
        <v>922689242316328960</v>
      </c>
      <c r="F9069" s="23" t="s">
        <v>427</v>
      </c>
      <c r="G9069" s="24">
        <v>257870.0</v>
      </c>
      <c r="H9069" s="24">
        <v>40.0</v>
      </c>
      <c r="I9069" s="24">
        <v>7.0</v>
      </c>
      <c r="J9069" s="24">
        <v>5.0</v>
      </c>
      <c r="K9069" s="23" t="s">
        <v>34</v>
      </c>
      <c r="L9069" s="25">
        <v>39275.096875</v>
      </c>
      <c r="M9069" s="26" t="s">
        <v>923</v>
      </c>
      <c r="N9069" s="26" t="s">
        <v>3844</v>
      </c>
      <c r="O9069" s="22" t="str">
        <f>HYPERLINK("https://pbs.twimg.com/profile_images/877093724714434560/RlloH0si_normal.jpg","View")</f>
        <v>View</v>
      </c>
      <c r="P9069" s="27"/>
    </row>
    <row r="9070">
      <c r="A9070" s="14">
        <v>43031.917222222226</v>
      </c>
      <c r="B9070" s="20" t="str">
        <f>HYPERLINK("https://twitter.com/rajjain73","@rajjain73")</f>
        <v>@rajjain73</v>
      </c>
      <c r="C9070" s="21" t="s">
        <v>19879</v>
      </c>
      <c r="D9070" s="21" t="s">
        <v>42</v>
      </c>
      <c r="E9070" s="22" t="str">
        <f>HYPERLINK("https://twitter.com/rajjain73/status/922689306761801729","922689306761801729")</f>
        <v>922689306761801729</v>
      </c>
      <c r="F9070" s="23" t="s">
        <v>33</v>
      </c>
      <c r="G9070" s="24">
        <v>436.0</v>
      </c>
      <c r="H9070" s="24">
        <v>632.0</v>
      </c>
      <c r="I9070" s="24">
        <v>8501.0</v>
      </c>
      <c r="J9070" s="24">
        <v>0.0</v>
      </c>
      <c r="K9070" s="23" t="s">
        <v>34</v>
      </c>
      <c r="L9070" s="25">
        <v>41653.15398148148</v>
      </c>
      <c r="M9070" s="26" t="s">
        <v>1210</v>
      </c>
      <c r="N9070" s="26" t="s">
        <v>19880</v>
      </c>
      <c r="O9070" s="22" t="str">
        <f>HYPERLINK("https://pbs.twimg.com/profile_images/843702681659088898/JM_P8Kag_normal.jpg","View")</f>
        <v>View</v>
      </c>
      <c r="P9070" s="27"/>
    </row>
    <row r="9071">
      <c r="A9071" s="14">
        <v>43031.91726851852</v>
      </c>
      <c r="B9071" s="20" t="str">
        <f>HYPERLINK("https://twitter.com/H_loves_Europe","@H_loves_Europe")</f>
        <v>@H_loves_Europe</v>
      </c>
      <c r="C9071" s="21" t="s">
        <v>19881</v>
      </c>
      <c r="D9071" s="21" t="s">
        <v>19882</v>
      </c>
      <c r="E9071" s="22" t="str">
        <f>HYPERLINK("https://twitter.com/H_loves_Europe/status/922689324600254464","922689324600254464")</f>
        <v>922689324600254464</v>
      </c>
      <c r="F9071" s="23" t="s">
        <v>39</v>
      </c>
      <c r="G9071" s="24">
        <v>320.0</v>
      </c>
      <c r="H9071" s="24">
        <v>649.0</v>
      </c>
      <c r="I9071" s="24">
        <v>7.0</v>
      </c>
      <c r="J9071" s="24">
        <v>0.0</v>
      </c>
      <c r="K9071" s="23" t="s">
        <v>34</v>
      </c>
      <c r="L9071" s="25">
        <v>40707.266064814816</v>
      </c>
      <c r="M9071" s="28"/>
      <c r="N9071" s="26" t="s">
        <v>19883</v>
      </c>
      <c r="O9071" s="22" t="str">
        <f>HYPERLINK("https://pbs.twimg.com/profile_images/865599074778497024/CjWlQU6e_normal.jpg","View")</f>
        <v>View</v>
      </c>
      <c r="P9071" s="27"/>
    </row>
    <row r="9072">
      <c r="A9072" s="14">
        <v>43031.91730324074</v>
      </c>
      <c r="B9072" s="20" t="str">
        <f>HYPERLINK("https://twitter.com/jpmeeradubey74","@jpmeeradubey74")</f>
        <v>@jpmeeradubey74</v>
      </c>
      <c r="C9072" s="21" t="s">
        <v>19884</v>
      </c>
      <c r="D9072" s="21" t="s">
        <v>42</v>
      </c>
      <c r="E9072" s="22" t="str">
        <f>HYPERLINK("https://twitter.com/jpmeeradubey74/status/922689339636764672","922689339636764672")</f>
        <v>922689339636764672</v>
      </c>
      <c r="F9072" s="23" t="s">
        <v>33</v>
      </c>
      <c r="G9072" s="24">
        <v>3337.0</v>
      </c>
      <c r="H9072" s="24">
        <v>4990.0</v>
      </c>
      <c r="I9072" s="24">
        <v>8501.0</v>
      </c>
      <c r="J9072" s="24">
        <v>0.0</v>
      </c>
      <c r="K9072" s="23" t="s">
        <v>34</v>
      </c>
      <c r="L9072" s="25">
        <v>41929.3025462963</v>
      </c>
      <c r="M9072" s="28"/>
      <c r="N9072" s="26" t="s">
        <v>19885</v>
      </c>
      <c r="O9072" s="22" t="str">
        <f>HYPERLINK("https://pbs.twimg.com/profile_images/918452749720748033/gCPq16Ot_normal.jpg","View")</f>
        <v>View</v>
      </c>
      <c r="P9072" s="27"/>
    </row>
    <row r="9073">
      <c r="A9073" s="14">
        <v>43031.91738425926</v>
      </c>
      <c r="B9073" s="20" t="str">
        <f>HYPERLINK("https://twitter.com/annafifield","@annafifield")</f>
        <v>@annafifield</v>
      </c>
      <c r="C9073" s="21" t="s">
        <v>19560</v>
      </c>
      <c r="D9073" s="21" t="s">
        <v>18941</v>
      </c>
      <c r="E9073" s="22" t="str">
        <f>HYPERLINK("https://twitter.com/annafifield/status/922689365385662464","922689365385662464")</f>
        <v>922689365385662464</v>
      </c>
      <c r="F9073" s="23" t="s">
        <v>4619</v>
      </c>
      <c r="G9073" s="24">
        <v>66515.0</v>
      </c>
      <c r="H9073" s="24">
        <v>1321.0</v>
      </c>
      <c r="I9073" s="24">
        <v>9.0</v>
      </c>
      <c r="J9073" s="24">
        <v>0.0</v>
      </c>
      <c r="K9073" s="23" t="s">
        <v>34</v>
      </c>
      <c r="L9073" s="25">
        <v>40040.3068287037</v>
      </c>
      <c r="M9073" s="26" t="s">
        <v>19562</v>
      </c>
      <c r="N9073" s="26" t="s">
        <v>19563</v>
      </c>
      <c r="O9073" s="22" t="str">
        <f>HYPERLINK("https://pbs.twimg.com/profile_images/691449618329006080/ZtSbU6cz_normal.jpg","View")</f>
        <v>View</v>
      </c>
      <c r="P9073" s="27"/>
    </row>
    <row r="9074">
      <c r="A9074" s="14">
        <v>43031.91741898148</v>
      </c>
      <c r="B9074" s="20" t="str">
        <f>HYPERLINK("https://twitter.com/MeshramMohini","@MeshramMohini")</f>
        <v>@MeshramMohini</v>
      </c>
      <c r="C9074" s="21" t="s">
        <v>19886</v>
      </c>
      <c r="D9074" s="21" t="s">
        <v>42</v>
      </c>
      <c r="E9074" s="22" t="str">
        <f>HYPERLINK("https://twitter.com/MeshramMohini/status/922689378169839616","922689378169839616")</f>
        <v>922689378169839616</v>
      </c>
      <c r="F9074" s="23" t="s">
        <v>33</v>
      </c>
      <c r="G9074" s="24">
        <v>132.0</v>
      </c>
      <c r="H9074" s="24">
        <v>206.0</v>
      </c>
      <c r="I9074" s="24">
        <v>8501.0</v>
      </c>
      <c r="J9074" s="24">
        <v>0.0</v>
      </c>
      <c r="K9074" s="23" t="s">
        <v>34</v>
      </c>
      <c r="L9074" s="25">
        <v>41089.302199074074</v>
      </c>
      <c r="M9074" s="26" t="s">
        <v>1545</v>
      </c>
      <c r="N9074" s="26" t="s">
        <v>19887</v>
      </c>
      <c r="O9074" s="22" t="str">
        <f>HYPERLINK("https://pbs.twimg.com/profile_images/609704990853038080/aPOUmKlY_normal.jpg","View")</f>
        <v>View</v>
      </c>
      <c r="P9074" s="27"/>
    </row>
    <row r="9075">
      <c r="A9075" s="14">
        <v>43031.91748842593</v>
      </c>
      <c r="B9075" s="20" t="str">
        <f>HYPERLINK("https://twitter.com/am23JRdVNPNlxf4","@am23JRdVNPNlxf4")</f>
        <v>@am23JRdVNPNlxf4</v>
      </c>
      <c r="C9075" s="21">
        <v>9.19140161879E11</v>
      </c>
      <c r="D9075" s="21" t="s">
        <v>42</v>
      </c>
      <c r="E9075" s="22" t="str">
        <f>HYPERLINK("https://twitter.com/am23JRdVNPNlxf4/status/922689403906068480","922689403906068480")</f>
        <v>922689403906068480</v>
      </c>
      <c r="F9075" s="23" t="s">
        <v>33</v>
      </c>
      <c r="G9075" s="24">
        <v>1356.0</v>
      </c>
      <c r="H9075" s="24">
        <v>3985.0</v>
      </c>
      <c r="I9075" s="24">
        <v>8501.0</v>
      </c>
      <c r="J9075" s="24">
        <v>0.0</v>
      </c>
      <c r="K9075" s="23" t="s">
        <v>34</v>
      </c>
      <c r="L9075" s="25">
        <v>42934.213229166664</v>
      </c>
      <c r="M9075" s="26" t="s">
        <v>9644</v>
      </c>
      <c r="N9075" s="26" t="s">
        <v>19888</v>
      </c>
      <c r="O9075" s="22" t="str">
        <f>HYPERLINK("https://pbs.twimg.com/profile_images/915997600750329856/j7fIrd3p_normal.jpg","View")</f>
        <v>View</v>
      </c>
      <c r="P9075" s="27"/>
    </row>
    <row r="9076">
      <c r="A9076" s="14">
        <v>43031.918078703704</v>
      </c>
      <c r="B9076" s="20" t="str">
        <f>HYPERLINK("https://twitter.com/ZeliaLH","@ZeliaLH")</f>
        <v>@ZeliaLH</v>
      </c>
      <c r="C9076" s="21" t="s">
        <v>19889</v>
      </c>
      <c r="D9076" s="21" t="s">
        <v>19890</v>
      </c>
      <c r="E9076" s="22" t="str">
        <f>HYPERLINK("https://twitter.com/ZeliaLH/status/922689617190518784","922689617190518784")</f>
        <v>922689617190518784</v>
      </c>
      <c r="F9076" s="23" t="s">
        <v>55</v>
      </c>
      <c r="G9076" s="24">
        <v>171.0</v>
      </c>
      <c r="H9076" s="24">
        <v>80.0</v>
      </c>
      <c r="I9076" s="24">
        <v>0.0</v>
      </c>
      <c r="J9076" s="24">
        <v>0.0</v>
      </c>
      <c r="K9076" s="23" t="s">
        <v>34</v>
      </c>
      <c r="L9076" s="25">
        <v>39982.77899305556</v>
      </c>
      <c r="M9076" s="26" t="s">
        <v>853</v>
      </c>
      <c r="N9076" s="26" t="s">
        <v>19891</v>
      </c>
      <c r="O9076" s="22" t="str">
        <f>HYPERLINK("https://pbs.twimg.com/profile_images/827422276727427073/pRm7NnV8_normal.jpg","View")</f>
        <v>View</v>
      </c>
      <c r="P9076" s="27"/>
    </row>
    <row r="9077">
      <c r="A9077" s="14">
        <v>43031.918599537035</v>
      </c>
      <c r="B9077" s="20" t="str">
        <f>HYPERLINK("https://twitter.com/jc_ciel","@jc_ciel")</f>
        <v>@jc_ciel</v>
      </c>
      <c r="C9077" s="21" t="s">
        <v>19892</v>
      </c>
      <c r="D9077" s="21" t="s">
        <v>1474</v>
      </c>
      <c r="E9077" s="22" t="str">
        <f>HYPERLINK("https://twitter.com/jc_ciel/status/922689807490228224","922689807490228224")</f>
        <v>922689807490228224</v>
      </c>
      <c r="F9077" s="23" t="s">
        <v>39</v>
      </c>
      <c r="G9077" s="24">
        <v>866.0</v>
      </c>
      <c r="H9077" s="24">
        <v>69.0</v>
      </c>
      <c r="I9077" s="24">
        <v>29.0</v>
      </c>
      <c r="J9077" s="24">
        <v>0.0</v>
      </c>
      <c r="K9077" s="23" t="s">
        <v>34</v>
      </c>
      <c r="L9077" s="25">
        <v>40788.89195601852</v>
      </c>
      <c r="M9077" s="28"/>
      <c r="N9077" s="28"/>
      <c r="O9077" s="22" t="str">
        <f>HYPERLINK("https://pbs.twimg.com/profile_images/914507014109151235/j-XwAth1_normal.jpg","View")</f>
        <v>View</v>
      </c>
      <c r="P9077" s="27"/>
    </row>
    <row r="9078">
      <c r="A9078" s="14">
        <v>43031.91865740741</v>
      </c>
      <c r="B9078" s="20" t="str">
        <f>HYPERLINK("https://twitter.com/ab041937","@ab041937")</f>
        <v>@ab041937</v>
      </c>
      <c r="C9078" s="21" t="s">
        <v>19893</v>
      </c>
      <c r="D9078" s="21" t="s">
        <v>42</v>
      </c>
      <c r="E9078" s="22" t="str">
        <f>HYPERLINK("https://twitter.com/ab041937/status/922689829497839616","922689829497839616")</f>
        <v>922689829497839616</v>
      </c>
      <c r="F9078" s="23" t="s">
        <v>55</v>
      </c>
      <c r="G9078" s="24">
        <v>792.0</v>
      </c>
      <c r="H9078" s="24">
        <v>710.0</v>
      </c>
      <c r="I9078" s="24">
        <v>8501.0</v>
      </c>
      <c r="J9078" s="24">
        <v>0.0</v>
      </c>
      <c r="K9078" s="23" t="s">
        <v>34</v>
      </c>
      <c r="L9078" s="25">
        <v>41870.04733796296</v>
      </c>
      <c r="M9078" s="26" t="s">
        <v>3507</v>
      </c>
      <c r="N9078" s="26" t="s">
        <v>19894</v>
      </c>
      <c r="O9078" s="22" t="str">
        <f>HYPERLINK("https://pbs.twimg.com/profile_images/608623811504668673/16294432_normal.jpg","View")</f>
        <v>View</v>
      </c>
      <c r="P9078" s="27"/>
    </row>
    <row r="9079">
      <c r="A9079" s="14">
        <v>43031.918865740736</v>
      </c>
      <c r="B9079" s="20" t="str">
        <f>HYPERLINK("https://twitter.com/bhujdigitalpay","@bhujdigitalpay")</f>
        <v>@bhujdigitalpay</v>
      </c>
      <c r="C9079" s="21" t="s">
        <v>19895</v>
      </c>
      <c r="D9079" s="21" t="s">
        <v>42</v>
      </c>
      <c r="E9079" s="22" t="str">
        <f>HYPERLINK("https://twitter.com/bhujdigitalpay/status/922689902973804545","922689902973804545")</f>
        <v>922689902973804545</v>
      </c>
      <c r="F9079" s="23" t="s">
        <v>33</v>
      </c>
      <c r="G9079" s="24">
        <v>788.0</v>
      </c>
      <c r="H9079" s="24">
        <v>3868.0</v>
      </c>
      <c r="I9079" s="24">
        <v>8501.0</v>
      </c>
      <c r="J9079" s="24">
        <v>0.0</v>
      </c>
      <c r="K9079" s="23" t="s">
        <v>34</v>
      </c>
      <c r="L9079" s="25">
        <v>40301.10711805556</v>
      </c>
      <c r="M9079" s="26" t="s">
        <v>246</v>
      </c>
      <c r="N9079" s="26" t="s">
        <v>19896</v>
      </c>
      <c r="O9079" s="22" t="str">
        <f>HYPERLINK("https://pbs.twimg.com/profile_images/894261311860768768/56xLjLpI_normal.jpg","View")</f>
        <v>View</v>
      </c>
      <c r="P9079" s="27"/>
    </row>
    <row r="9080">
      <c r="A9080" s="14">
        <v>43031.91890046296</v>
      </c>
      <c r="B9080" s="20" t="str">
        <f>HYPERLINK("https://twitter.com/jepangnet","@jepangnet")</f>
        <v>@jepangnet</v>
      </c>
      <c r="C9080" s="29" t="s">
        <v>3404</v>
      </c>
      <c r="D9080" s="21" t="s">
        <v>19897</v>
      </c>
      <c r="E9080" s="22" t="str">
        <f>HYPERLINK("https://twitter.com/jepangnet/status/922689917624430592","922689917624430592")</f>
        <v>922689917624430592</v>
      </c>
      <c r="F9080" s="23" t="s">
        <v>187</v>
      </c>
      <c r="G9080" s="24">
        <v>1830.0</v>
      </c>
      <c r="H9080" s="24">
        <v>73.0</v>
      </c>
      <c r="I9080" s="24">
        <v>0.0</v>
      </c>
      <c r="J9080" s="24">
        <v>0.0</v>
      </c>
      <c r="K9080" s="23" t="s">
        <v>34</v>
      </c>
      <c r="L9080" s="25">
        <v>41367.07915509259</v>
      </c>
      <c r="M9080" s="28"/>
      <c r="N9080" s="26" t="s">
        <v>3406</v>
      </c>
      <c r="O9080" s="22" t="str">
        <f>HYPERLINK("https://pbs.twimg.com/profile_images/584780080838115328/JAX1NIUM_normal.jpg","View")</f>
        <v>View</v>
      </c>
      <c r="P9080" s="27"/>
    </row>
    <row r="9081">
      <c r="A9081" s="14">
        <v>43031.91899305556</v>
      </c>
      <c r="B9081" s="20" t="str">
        <f>HYPERLINK("https://twitter.com/urutobi","@urutobi")</f>
        <v>@urutobi</v>
      </c>
      <c r="C9081" s="21" t="s">
        <v>19898</v>
      </c>
      <c r="D9081" s="21" t="s">
        <v>8782</v>
      </c>
      <c r="E9081" s="22" t="str">
        <f>HYPERLINK("https://twitter.com/urutobi/status/922689950176329728","922689950176329728")</f>
        <v>922689950176329728</v>
      </c>
      <c r="F9081" s="23" t="s">
        <v>55</v>
      </c>
      <c r="G9081" s="24">
        <v>2135.0</v>
      </c>
      <c r="H9081" s="24">
        <v>1275.0</v>
      </c>
      <c r="I9081" s="24">
        <v>20.0</v>
      </c>
      <c r="J9081" s="24">
        <v>0.0</v>
      </c>
      <c r="K9081" s="23" t="s">
        <v>34</v>
      </c>
      <c r="L9081" s="25">
        <v>39981.7712962963</v>
      </c>
      <c r="M9081" s="26" t="s">
        <v>19899</v>
      </c>
      <c r="N9081" s="26" t="s">
        <v>19900</v>
      </c>
      <c r="O9081" s="22" t="str">
        <f>HYPERLINK("https://pbs.twimg.com/profile_images/1864131264/f919_normal.jpg","View")</f>
        <v>View</v>
      </c>
      <c r="P9081" s="27"/>
    </row>
    <row r="9082">
      <c r="A9082" s="14">
        <v>43031.91924768519</v>
      </c>
      <c r="B9082" s="20" t="str">
        <f>HYPERLINK("https://twitter.com/nihonneko222","@nihonneko222")</f>
        <v>@nihonneko222</v>
      </c>
      <c r="C9082" s="21" t="s">
        <v>19901</v>
      </c>
      <c r="D9082" s="21" t="s">
        <v>42</v>
      </c>
      <c r="E9082" s="22" t="str">
        <f>HYPERLINK("https://twitter.com/nihonneko222/status/922690043495424000","922690043495424000")</f>
        <v>922690043495424000</v>
      </c>
      <c r="F9082" s="23" t="s">
        <v>55</v>
      </c>
      <c r="G9082" s="24">
        <v>1010.0</v>
      </c>
      <c r="H9082" s="24">
        <v>1042.0</v>
      </c>
      <c r="I9082" s="24">
        <v>8501.0</v>
      </c>
      <c r="J9082" s="24">
        <v>0.0</v>
      </c>
      <c r="K9082" s="23" t="s">
        <v>34</v>
      </c>
      <c r="L9082" s="25">
        <v>42923.082824074074</v>
      </c>
      <c r="M9082" s="28"/>
      <c r="N9082" s="26" t="s">
        <v>19902</v>
      </c>
      <c r="O9082" s="22" t="str">
        <f>HYPERLINK("https://pbs.twimg.com/profile_images/892685286974435329/_UQvzyLZ_normal.jpg","View")</f>
        <v>View</v>
      </c>
      <c r="P9082" s="27"/>
    </row>
    <row r="9083">
      <c r="A9083" s="14">
        <v>43031.91929398148</v>
      </c>
      <c r="B9083" s="20" t="str">
        <f>HYPERLINK("https://twitter.com/shalutaneja45","@shalutaneja45")</f>
        <v>@shalutaneja45</v>
      </c>
      <c r="C9083" s="21" t="s">
        <v>19903</v>
      </c>
      <c r="D9083" s="21" t="s">
        <v>42</v>
      </c>
      <c r="E9083" s="22" t="str">
        <f>HYPERLINK("https://twitter.com/shalutaneja45/status/922690060025135104","922690060025135104")</f>
        <v>922690060025135104</v>
      </c>
      <c r="F9083" s="23" t="s">
        <v>33</v>
      </c>
      <c r="G9083" s="24">
        <v>9109.0</v>
      </c>
      <c r="H9083" s="24">
        <v>28.0</v>
      </c>
      <c r="I9083" s="24">
        <v>8501.0</v>
      </c>
      <c r="J9083" s="24">
        <v>0.0</v>
      </c>
      <c r="K9083" s="23" t="s">
        <v>34</v>
      </c>
      <c r="L9083" s="25">
        <v>42209.189305555556</v>
      </c>
      <c r="M9083" s="26" t="s">
        <v>204</v>
      </c>
      <c r="N9083" s="26" t="s">
        <v>19904</v>
      </c>
      <c r="O9083" s="22" t="str">
        <f>HYPERLINK("https://pbs.twimg.com/profile_images/922369943659671552/58iu_zoN_normal.jpg","View")</f>
        <v>View</v>
      </c>
      <c r="P9083" s="27"/>
    </row>
    <row r="9084">
      <c r="A9084" s="14">
        <v>43031.919432870374</v>
      </c>
      <c r="B9084" s="20" t="str">
        <f>HYPERLINK("https://twitter.com/salah2048","@salah2048")</f>
        <v>@salah2048</v>
      </c>
      <c r="C9084" s="21" t="s">
        <v>19905</v>
      </c>
      <c r="D9084" s="21" t="s">
        <v>19906</v>
      </c>
      <c r="E9084" s="22" t="str">
        <f>HYPERLINK("https://twitter.com/salah2048/status/922690107504766976","922690107504766976")</f>
        <v>922690107504766976</v>
      </c>
      <c r="F9084" s="23" t="s">
        <v>39</v>
      </c>
      <c r="G9084" s="24">
        <v>1449.0</v>
      </c>
      <c r="H9084" s="24">
        <v>1220.0</v>
      </c>
      <c r="I9084" s="24">
        <v>7.0</v>
      </c>
      <c r="J9084" s="24">
        <v>0.0</v>
      </c>
      <c r="K9084" s="23" t="s">
        <v>34</v>
      </c>
      <c r="L9084" s="25">
        <v>40989.33519675926</v>
      </c>
      <c r="M9084" s="26" t="s">
        <v>19907</v>
      </c>
      <c r="N9084" s="32" t="s">
        <v>19908</v>
      </c>
      <c r="O9084" s="22" t="str">
        <f>HYPERLINK("https://pbs.twimg.com/profile_images/3645771942/fbd0304366485d6f6b718f7690ca5bed_normal.jpeg","View")</f>
        <v>View</v>
      </c>
      <c r="P9084" s="27"/>
    </row>
    <row r="9085">
      <c r="A9085" s="14">
        <v>43031.91960648148</v>
      </c>
      <c r="B9085" s="20" t="str">
        <f>HYPERLINK("https://twitter.com/_UpMoon","@_UpMoon")</f>
        <v>@_UpMoon</v>
      </c>
      <c r="C9085" s="21" t="s">
        <v>19909</v>
      </c>
      <c r="D9085" s="21" t="s">
        <v>42</v>
      </c>
      <c r="E9085" s="22" t="str">
        <f>HYPERLINK("https://twitter.com/_UpMoon/status/922690171832819712","922690171832819712")</f>
        <v>922690171832819712</v>
      </c>
      <c r="F9085" s="23" t="s">
        <v>55</v>
      </c>
      <c r="G9085" s="24">
        <v>409.0</v>
      </c>
      <c r="H9085" s="24">
        <v>430.0</v>
      </c>
      <c r="I9085" s="24">
        <v>8501.0</v>
      </c>
      <c r="J9085" s="24">
        <v>0.0</v>
      </c>
      <c r="K9085" s="23" t="s">
        <v>34</v>
      </c>
      <c r="L9085" s="25">
        <v>40288.226747685185</v>
      </c>
      <c r="M9085" s="26" t="s">
        <v>19910</v>
      </c>
      <c r="N9085" s="26" t="s">
        <v>19911</v>
      </c>
      <c r="O9085" s="22" t="str">
        <f>HYPERLINK("https://pbs.twimg.com/profile_images/915415964677574656/UjCu5kLt_normal.jpg","View")</f>
        <v>View</v>
      </c>
      <c r="P9085" s="27"/>
    </row>
    <row r="9086">
      <c r="A9086" s="14">
        <v>43031.91965277778</v>
      </c>
      <c r="B9086" s="20" t="str">
        <f>HYPERLINK("https://twitter.com/satishej","@satishej")</f>
        <v>@satishej</v>
      </c>
      <c r="C9086" s="21" t="s">
        <v>19912</v>
      </c>
      <c r="D9086" s="21" t="s">
        <v>163</v>
      </c>
      <c r="E9086" s="22" t="str">
        <f>HYPERLINK("https://twitter.com/satishej/status/922690188643569664","922690188643569664")</f>
        <v>922690188643569664</v>
      </c>
      <c r="F9086" s="23" t="s">
        <v>55</v>
      </c>
      <c r="G9086" s="24">
        <v>113.0</v>
      </c>
      <c r="H9086" s="24">
        <v>108.0</v>
      </c>
      <c r="I9086" s="24">
        <v>1005.0</v>
      </c>
      <c r="J9086" s="24">
        <v>0.0</v>
      </c>
      <c r="K9086" s="23" t="s">
        <v>34</v>
      </c>
      <c r="L9086" s="25">
        <v>41764.869791666664</v>
      </c>
      <c r="M9086" s="28"/>
      <c r="N9086" s="28"/>
      <c r="O9086" s="22" t="str">
        <f>HYPERLINK("https://pbs.twimg.com/profile_images/519730454765654016/51tf3VQU_normal.jpeg","View")</f>
        <v>View</v>
      </c>
      <c r="P9086" s="27"/>
    </row>
    <row r="9087">
      <c r="A9087" s="14">
        <v>43031.91976851852</v>
      </c>
      <c r="B9087" s="20" t="str">
        <f>HYPERLINK("https://twitter.com/ForgeRat","@ForgeRat")</f>
        <v>@ForgeRat</v>
      </c>
      <c r="C9087" s="21" t="s">
        <v>19913</v>
      </c>
      <c r="D9087" s="21" t="s">
        <v>19621</v>
      </c>
      <c r="E9087" s="22" t="str">
        <f>HYPERLINK("https://twitter.com/ForgeRat/status/922690229361836032","922690229361836032")</f>
        <v>922690229361836032</v>
      </c>
      <c r="F9087" s="23" t="s">
        <v>43</v>
      </c>
      <c r="G9087" s="24">
        <v>1675.0</v>
      </c>
      <c r="H9087" s="24">
        <v>2352.0</v>
      </c>
      <c r="I9087" s="24">
        <v>18.0</v>
      </c>
      <c r="J9087" s="24">
        <v>0.0</v>
      </c>
      <c r="K9087" s="23" t="s">
        <v>34</v>
      </c>
      <c r="L9087" s="25">
        <v>41450.01446759259</v>
      </c>
      <c r="M9087" s="28"/>
      <c r="N9087" s="26" t="s">
        <v>19914</v>
      </c>
      <c r="O9087" s="22" t="str">
        <f>HYPERLINK("https://pbs.twimg.com/profile_images/630099609914732545/Pa8mZHSW_normal.png","View")</f>
        <v>View</v>
      </c>
      <c r="P9087" s="27"/>
    </row>
    <row r="9088">
      <c r="A9088" s="14">
        <v>43031.92003472222</v>
      </c>
      <c r="B9088" s="20" t="str">
        <f>HYPERLINK("https://twitter.com/Kimwrig22665659","@Kimwrig22665659")</f>
        <v>@Kimwrig22665659</v>
      </c>
      <c r="C9088" s="21" t="s">
        <v>19915</v>
      </c>
      <c r="D9088" s="21" t="s">
        <v>19882</v>
      </c>
      <c r="E9088" s="22" t="str">
        <f>HYPERLINK("https://twitter.com/Kimwrig22665659/status/922690327483441153","922690327483441153")</f>
        <v>922690327483441153</v>
      </c>
      <c r="F9088" s="23" t="s">
        <v>43</v>
      </c>
      <c r="G9088" s="24">
        <v>59.0</v>
      </c>
      <c r="H9088" s="24">
        <v>174.0</v>
      </c>
      <c r="I9088" s="24">
        <v>7.0</v>
      </c>
      <c r="J9088" s="24">
        <v>0.0</v>
      </c>
      <c r="K9088" s="23" t="s">
        <v>34</v>
      </c>
      <c r="L9088" s="25">
        <v>42797.38394675926</v>
      </c>
      <c r="M9088" s="28"/>
      <c r="N9088" s="26" t="s">
        <v>19916</v>
      </c>
      <c r="O9088" s="22" t="str">
        <f>HYPERLINK("https://pbs.twimg.com/profile_images/901313949718650880/bQijw3b8_normal.jpg","View")</f>
        <v>View</v>
      </c>
      <c r="P9088" s="27"/>
    </row>
    <row r="9089">
      <c r="A9089" s="14">
        <v>43031.92016203704</v>
      </c>
      <c r="B9089" s="20" t="str">
        <f>HYPERLINK("https://twitter.com/Alfons226","@Alfons226")</f>
        <v>@Alfons226</v>
      </c>
      <c r="C9089" s="21" t="s">
        <v>19917</v>
      </c>
      <c r="D9089" s="21" t="s">
        <v>42</v>
      </c>
      <c r="E9089" s="22" t="str">
        <f>HYPERLINK("https://twitter.com/Alfons226/status/922690372588912640","922690372588912640")</f>
        <v>922690372588912640</v>
      </c>
      <c r="F9089" s="23" t="s">
        <v>33</v>
      </c>
      <c r="G9089" s="24">
        <v>1319.0</v>
      </c>
      <c r="H9089" s="24">
        <v>1416.0</v>
      </c>
      <c r="I9089" s="24">
        <v>8501.0</v>
      </c>
      <c r="J9089" s="24">
        <v>0.0</v>
      </c>
      <c r="K9089" s="23" t="s">
        <v>34</v>
      </c>
      <c r="L9089" s="25">
        <v>42864.06935185185</v>
      </c>
      <c r="M9089" s="28"/>
      <c r="N9089" s="26" t="s">
        <v>19918</v>
      </c>
      <c r="O9089" s="22" t="str">
        <f>HYPERLINK("https://pbs.twimg.com/profile_images/861881321961992192/P5EojmGf_normal.jpg","View")</f>
        <v>View</v>
      </c>
      <c r="P9089" s="27"/>
    </row>
    <row r="9090">
      <c r="A9090" s="14">
        <v>43031.92060185185</v>
      </c>
      <c r="B9090" s="20" t="str">
        <f>HYPERLINK("https://twitter.com/331107adp1","@331107adp1")</f>
        <v>@331107adp1</v>
      </c>
      <c r="C9090" s="21" t="s">
        <v>13197</v>
      </c>
      <c r="D9090" s="21" t="s">
        <v>13198</v>
      </c>
      <c r="E9090" s="22" t="str">
        <f>HYPERLINK("https://twitter.com/331107adp1/status/922690534128447488","922690534128447488")</f>
        <v>922690534128447488</v>
      </c>
      <c r="F9090" s="30" t="s">
        <v>659</v>
      </c>
      <c r="G9090" s="24">
        <v>5.0</v>
      </c>
      <c r="H9090" s="24">
        <v>0.0</v>
      </c>
      <c r="I9090" s="24">
        <v>0.0</v>
      </c>
      <c r="J9090" s="24">
        <v>0.0</v>
      </c>
      <c r="K9090" s="23" t="s">
        <v>34</v>
      </c>
      <c r="L9090" s="25">
        <v>42351.960069444445</v>
      </c>
      <c r="M9090" s="28"/>
      <c r="N9090" s="28"/>
      <c r="O9090" s="22" t="str">
        <f>HYPERLINK("https://abs.twimg.com/sticky/default_profile_images/default_profile_normal.png","View")</f>
        <v>View</v>
      </c>
      <c r="P9090" s="27"/>
    </row>
    <row r="9091">
      <c r="A9091" s="14">
        <v>43031.92091435185</v>
      </c>
      <c r="B9091" s="20" t="str">
        <f>HYPERLINK("https://twitter.com/culture_japan","@culture_japan")</f>
        <v>@culture_japan</v>
      </c>
      <c r="C9091" s="21" t="s">
        <v>3690</v>
      </c>
      <c r="D9091" s="21" t="s">
        <v>19919</v>
      </c>
      <c r="E9091" s="22" t="str">
        <f>HYPERLINK("https://twitter.com/culture_japan/status/922690647789834242","922690647789834242")</f>
        <v>922690647789834242</v>
      </c>
      <c r="F9091" s="23" t="s">
        <v>3692</v>
      </c>
      <c r="G9091" s="24">
        <v>202.0</v>
      </c>
      <c r="H9091" s="24">
        <v>369.0</v>
      </c>
      <c r="I9091" s="24">
        <v>0.0</v>
      </c>
      <c r="J9091" s="24">
        <v>0.0</v>
      </c>
      <c r="K9091" s="23" t="s">
        <v>34</v>
      </c>
      <c r="L9091" s="25">
        <v>42985.21491898148</v>
      </c>
      <c r="M9091" s="26" t="s">
        <v>3693</v>
      </c>
      <c r="N9091" s="26" t="s">
        <v>3694</v>
      </c>
      <c r="O9091" s="22" t="str">
        <f>HYPERLINK("https://pbs.twimg.com/profile_images/905765841622495233/8kPmmi5H_normal.jpg","View")</f>
        <v>View</v>
      </c>
      <c r="P9091" s="27"/>
    </row>
    <row r="9092">
      <c r="A9092" s="14">
        <v>43031.921793981484</v>
      </c>
      <c r="B9092" s="20" t="str">
        <f>HYPERLINK("https://twitter.com/tiwari_1983","@tiwari_1983")</f>
        <v>@tiwari_1983</v>
      </c>
      <c r="C9092" s="21" t="s">
        <v>19920</v>
      </c>
      <c r="D9092" s="21" t="s">
        <v>42</v>
      </c>
      <c r="E9092" s="22" t="str">
        <f>HYPERLINK("https://twitter.com/tiwari_1983/status/922690965135085569","922690965135085569")</f>
        <v>922690965135085569</v>
      </c>
      <c r="F9092" s="23" t="s">
        <v>33</v>
      </c>
      <c r="G9092" s="24">
        <v>235.0</v>
      </c>
      <c r="H9092" s="24">
        <v>1008.0</v>
      </c>
      <c r="I9092" s="24">
        <v>8501.0</v>
      </c>
      <c r="J9092" s="24">
        <v>0.0</v>
      </c>
      <c r="K9092" s="23" t="s">
        <v>34</v>
      </c>
      <c r="L9092" s="25">
        <v>40724.88959490741</v>
      </c>
      <c r="M9092" s="28"/>
      <c r="N9092" s="28"/>
      <c r="O9092" s="22" t="str">
        <f>HYPERLINK("https://pbs.twimg.com/profile_images/500703079428145153/ln5o1D4x_normal.jpeg","View")</f>
        <v>View</v>
      </c>
      <c r="P9092" s="27"/>
    </row>
    <row r="9093">
      <c r="A9093" s="14">
        <v>43031.92190972222</v>
      </c>
      <c r="B9093" s="20" t="str">
        <f>HYPERLINK("https://twitter.com/_sakshithakur","@_sakshithakur")</f>
        <v>@_sakshithakur</v>
      </c>
      <c r="C9093" s="21" t="s">
        <v>19921</v>
      </c>
      <c r="D9093" s="21" t="s">
        <v>2861</v>
      </c>
      <c r="E9093" s="22" t="str">
        <f>HYPERLINK("https://twitter.com/_sakshithakur/status/922691005614211072","922691005614211072")</f>
        <v>922691005614211072</v>
      </c>
      <c r="F9093" s="23" t="s">
        <v>33</v>
      </c>
      <c r="G9093" s="24">
        <v>36.0</v>
      </c>
      <c r="H9093" s="24">
        <v>149.0</v>
      </c>
      <c r="I9093" s="24">
        <v>40.0</v>
      </c>
      <c r="J9093" s="24">
        <v>0.0</v>
      </c>
      <c r="K9093" s="23" t="s">
        <v>34</v>
      </c>
      <c r="L9093" s="25">
        <v>42790.91337962963</v>
      </c>
      <c r="M9093" s="28"/>
      <c r="N9093" s="26" t="s">
        <v>19922</v>
      </c>
      <c r="O9093" s="22" t="str">
        <f>HYPERLINK("https://pbs.twimg.com/profile_images/893135176804450305/Ws-D_7m4_normal.jpg","View")</f>
        <v>View</v>
      </c>
      <c r="P9093" s="27"/>
    </row>
    <row r="9094">
      <c r="A9094" s="14">
        <v>43031.92228009259</v>
      </c>
      <c r="B9094" s="20" t="str">
        <f>HYPERLINK("https://twitter.com/WaiteKoey","@WaiteKoey")</f>
        <v>@WaiteKoey</v>
      </c>
      <c r="C9094" s="21" t="s">
        <v>19923</v>
      </c>
      <c r="D9094" s="21" t="s">
        <v>19924</v>
      </c>
      <c r="E9094" s="22" t="str">
        <f>HYPERLINK("https://twitter.com/WaiteKoey/status/922691140016574465","922691140016574465")</f>
        <v>922691140016574465</v>
      </c>
      <c r="F9094" s="23" t="s">
        <v>33</v>
      </c>
      <c r="G9094" s="24">
        <v>2.0</v>
      </c>
      <c r="H9094" s="24">
        <v>71.0</v>
      </c>
      <c r="I9094" s="24">
        <v>1.0</v>
      </c>
      <c r="J9094" s="24">
        <v>0.0</v>
      </c>
      <c r="K9094" s="23" t="s">
        <v>34</v>
      </c>
      <c r="L9094" s="25">
        <v>43014.15521990741</v>
      </c>
      <c r="M9094" s="28"/>
      <c r="N9094" s="28"/>
      <c r="O9094" s="22" t="str">
        <f>HYPERLINK("https://abs.twimg.com/sticky/default_profile_images/default_profile_normal.png","View")</f>
        <v>View</v>
      </c>
      <c r="P9094" s="27"/>
    </row>
    <row r="9095">
      <c r="A9095" s="14">
        <v>43031.922743055555</v>
      </c>
      <c r="B9095" s="20" t="str">
        <f>HYPERLINK("https://twitter.com/BatzayaY","@BatzayaY")</f>
        <v>@BatzayaY</v>
      </c>
      <c r="C9095" s="21" t="s">
        <v>19925</v>
      </c>
      <c r="D9095" s="21" t="s">
        <v>8665</v>
      </c>
      <c r="E9095" s="22" t="str">
        <f>HYPERLINK("https://twitter.com/BatzayaY/status/922691310137565185","922691310137565185")</f>
        <v>922691310137565185</v>
      </c>
      <c r="F9095" s="23" t="s">
        <v>33</v>
      </c>
      <c r="G9095" s="24">
        <v>266.0</v>
      </c>
      <c r="H9095" s="24">
        <v>335.0</v>
      </c>
      <c r="I9095" s="24">
        <v>67.0</v>
      </c>
      <c r="J9095" s="24">
        <v>0.0</v>
      </c>
      <c r="K9095" s="23" t="s">
        <v>34</v>
      </c>
      <c r="L9095" s="25">
        <v>41654.2816087963</v>
      </c>
      <c r="M9095" s="28"/>
      <c r="N9095" s="26" t="s">
        <v>19926</v>
      </c>
      <c r="O9095" s="22" t="str">
        <f>HYPERLINK("https://pbs.twimg.com/profile_images/546668656382328832/C0lUFB_3_normal.jpeg","View")</f>
        <v>View</v>
      </c>
      <c r="P9095" s="27"/>
    </row>
    <row r="9096">
      <c r="A9096" s="14">
        <v>43031.92337962963</v>
      </c>
      <c r="B9096" s="20" t="str">
        <f>HYPERLINK("https://twitter.com/rkpanchal0807","@rkpanchal0807")</f>
        <v>@rkpanchal0807</v>
      </c>
      <c r="C9096" s="21" t="s">
        <v>19927</v>
      </c>
      <c r="D9096" s="21" t="s">
        <v>42</v>
      </c>
      <c r="E9096" s="22" t="str">
        <f>HYPERLINK("https://twitter.com/rkpanchal0807/status/922691541696729089","922691541696729089")</f>
        <v>922691541696729089</v>
      </c>
      <c r="F9096" s="23" t="s">
        <v>33</v>
      </c>
      <c r="G9096" s="24">
        <v>21.0</v>
      </c>
      <c r="H9096" s="24">
        <v>41.0</v>
      </c>
      <c r="I9096" s="24">
        <v>8501.0</v>
      </c>
      <c r="J9096" s="24">
        <v>0.0</v>
      </c>
      <c r="K9096" s="23" t="s">
        <v>34</v>
      </c>
      <c r="L9096" s="25">
        <v>41727.96197916666</v>
      </c>
      <c r="M9096" s="26" t="s">
        <v>2310</v>
      </c>
      <c r="N9096" s="26" t="s">
        <v>19928</v>
      </c>
      <c r="O9096" s="22" t="str">
        <f>HYPERLINK("https://pbs.twimg.com/profile_images/906179183566565376/JAqZ3rIW_normal.jpg","View")</f>
        <v>View</v>
      </c>
      <c r="P9096" s="27"/>
    </row>
    <row r="9097">
      <c r="A9097" s="14">
        <v>43031.92417824074</v>
      </c>
      <c r="B9097" s="20" t="str">
        <f>HYPERLINK("https://twitter.com/AlexContestBot","@AlexContestBot")</f>
        <v>@AlexContestBot</v>
      </c>
      <c r="C9097" s="21" t="s">
        <v>6445</v>
      </c>
      <c r="D9097" s="21" t="s">
        <v>2861</v>
      </c>
      <c r="E9097" s="22" t="str">
        <f>HYPERLINK("https://twitter.com/AlexContestBot/status/922691828645629952","922691828645629952")</f>
        <v>922691828645629952</v>
      </c>
      <c r="F9097" s="23" t="s">
        <v>6446</v>
      </c>
      <c r="G9097" s="24">
        <v>609.0</v>
      </c>
      <c r="H9097" s="24">
        <v>5002.0</v>
      </c>
      <c r="I9097" s="24">
        <v>40.0</v>
      </c>
      <c r="J9097" s="24">
        <v>0.0</v>
      </c>
      <c r="K9097" s="23" t="s">
        <v>34</v>
      </c>
      <c r="L9097" s="25">
        <v>42987.538981481484</v>
      </c>
      <c r="M9097" s="28"/>
      <c r="N9097" s="28"/>
      <c r="O9097" s="22" t="str">
        <f>HYPERLINK("https://abs.twimg.com/sticky/default_profile_images/default_profile_normal.png","View")</f>
        <v>View</v>
      </c>
      <c r="P9097" s="27"/>
    </row>
    <row r="9098">
      <c r="A9098" s="14">
        <v>43031.92446759259</v>
      </c>
      <c r="B9098" s="20" t="str">
        <f>HYPERLINK("https://twitter.com/xiezi_cocomo","@xiezi_cocomo")</f>
        <v>@xiezi_cocomo</v>
      </c>
      <c r="C9098" s="21" t="s">
        <v>19929</v>
      </c>
      <c r="D9098" s="21" t="s">
        <v>19621</v>
      </c>
      <c r="E9098" s="22" t="str">
        <f>HYPERLINK("https://twitter.com/xiezi_cocomo/status/922691936049393664","922691936049393664")</f>
        <v>922691936049393664</v>
      </c>
      <c r="F9098" s="23" t="s">
        <v>55</v>
      </c>
      <c r="G9098" s="24">
        <v>129.0</v>
      </c>
      <c r="H9098" s="24">
        <v>49.0</v>
      </c>
      <c r="I9098" s="24">
        <v>18.0</v>
      </c>
      <c r="J9098" s="24">
        <v>0.0</v>
      </c>
      <c r="K9098" s="23" t="s">
        <v>34</v>
      </c>
      <c r="L9098" s="25">
        <v>42321.608506944445</v>
      </c>
      <c r="M9098" s="26" t="s">
        <v>19930</v>
      </c>
      <c r="N9098" s="26" t="s">
        <v>19931</v>
      </c>
      <c r="O9098" s="22" t="str">
        <f>HYPERLINK("https://pbs.twimg.com/profile_images/665323502673596416/274rpXgd_normal.jpg","View")</f>
        <v>View</v>
      </c>
      <c r="P9098" s="27"/>
    </row>
    <row r="9099">
      <c r="A9099" s="14">
        <v>43031.9252662037</v>
      </c>
      <c r="B9099" s="20" t="str">
        <f>HYPERLINK("https://twitter.com/stewariagra","@stewariagra")</f>
        <v>@stewariagra</v>
      </c>
      <c r="C9099" s="21" t="s">
        <v>19932</v>
      </c>
      <c r="D9099" s="21" t="s">
        <v>42</v>
      </c>
      <c r="E9099" s="22" t="str">
        <f>HYPERLINK("https://twitter.com/stewariagra/status/922692223811989504","922692223811989504")</f>
        <v>922692223811989504</v>
      </c>
      <c r="F9099" s="23" t="s">
        <v>33</v>
      </c>
      <c r="G9099" s="24">
        <v>476.0</v>
      </c>
      <c r="H9099" s="24">
        <v>2316.0</v>
      </c>
      <c r="I9099" s="24">
        <v>8501.0</v>
      </c>
      <c r="J9099" s="24">
        <v>0.0</v>
      </c>
      <c r="K9099" s="23" t="s">
        <v>34</v>
      </c>
      <c r="L9099" s="25">
        <v>40377.173622685186</v>
      </c>
      <c r="M9099" s="26" t="s">
        <v>19933</v>
      </c>
      <c r="N9099" s="26" t="s">
        <v>19934</v>
      </c>
      <c r="O9099" s="22" t="str">
        <f>HYPERLINK("https://pbs.twimg.com/profile_images/718808390005161984/AwxT7EiM_normal.jpg","View")</f>
        <v>View</v>
      </c>
      <c r="P9099" s="27"/>
    </row>
    <row r="9100">
      <c r="A9100" s="14">
        <v>43031.925358796296</v>
      </c>
      <c r="B9100" s="20" t="str">
        <f>HYPERLINK("https://twitter.com/prakulagarwal23","@prakulagarwal23")</f>
        <v>@prakulagarwal23</v>
      </c>
      <c r="C9100" s="21" t="s">
        <v>19935</v>
      </c>
      <c r="D9100" s="21" t="s">
        <v>42</v>
      </c>
      <c r="E9100" s="22" t="str">
        <f>HYPERLINK("https://twitter.com/prakulagarwal23/status/922692258075377666","922692258075377666")</f>
        <v>922692258075377666</v>
      </c>
      <c r="F9100" s="23" t="s">
        <v>33</v>
      </c>
      <c r="G9100" s="24">
        <v>26.0</v>
      </c>
      <c r="H9100" s="24">
        <v>173.0</v>
      </c>
      <c r="I9100" s="24">
        <v>8501.0</v>
      </c>
      <c r="J9100" s="24">
        <v>0.0</v>
      </c>
      <c r="K9100" s="23" t="s">
        <v>34</v>
      </c>
      <c r="L9100" s="25">
        <v>40798.32792824074</v>
      </c>
      <c r="M9100" s="28"/>
      <c r="N9100" s="28"/>
      <c r="O9100" s="22" t="str">
        <f>HYPERLINK("https://abs.twimg.com/sticky/default_profile_images/default_profile_normal.png","View")</f>
        <v>View</v>
      </c>
      <c r="P9100" s="27"/>
    </row>
    <row r="9101">
      <c r="A9101" s="14">
        <v>43031.92548611111</v>
      </c>
      <c r="B9101" s="20" t="str">
        <f>HYPERLINK("https://twitter.com/StarAdvertiser","@StarAdvertiser")</f>
        <v>@StarAdvertiser</v>
      </c>
      <c r="C9101" s="21" t="s">
        <v>18327</v>
      </c>
      <c r="D9101" s="21" t="s">
        <v>19936</v>
      </c>
      <c r="E9101" s="22" t="str">
        <f>HYPERLINK("https://twitter.com/StarAdvertiser/status/922692303092842497","922692303092842497")</f>
        <v>922692303092842497</v>
      </c>
      <c r="F9101" s="23" t="s">
        <v>55</v>
      </c>
      <c r="G9101" s="24">
        <v>65854.0</v>
      </c>
      <c r="H9101" s="24">
        <v>64.0</v>
      </c>
      <c r="I9101" s="24">
        <v>1.0</v>
      </c>
      <c r="J9101" s="24">
        <v>3.0</v>
      </c>
      <c r="K9101" s="23" t="s">
        <v>34</v>
      </c>
      <c r="L9101" s="25">
        <v>40262.57983796296</v>
      </c>
      <c r="M9101" s="26" t="s">
        <v>8659</v>
      </c>
      <c r="N9101" s="26" t="s">
        <v>18329</v>
      </c>
      <c r="O9101" s="22" t="str">
        <f>HYPERLINK("https://pbs.twimg.com/profile_images/458796544200679426/TIwpuRqm_normal.png","View")</f>
        <v>View</v>
      </c>
      <c r="P9101" s="27"/>
    </row>
    <row r="9102">
      <c r="A9102" s="14">
        <v>43031.92549768518</v>
      </c>
      <c r="B9102" s="20" t="str">
        <f>HYPERLINK("https://twitter.com/devsharma99","@devsharma99")</f>
        <v>@devsharma99</v>
      </c>
      <c r="C9102" s="21" t="s">
        <v>19937</v>
      </c>
      <c r="D9102" s="21" t="s">
        <v>42</v>
      </c>
      <c r="E9102" s="22" t="str">
        <f>HYPERLINK("https://twitter.com/devsharma99/status/922692306498551808","922692306498551808")</f>
        <v>922692306498551808</v>
      </c>
      <c r="F9102" s="23" t="s">
        <v>33</v>
      </c>
      <c r="G9102" s="24">
        <v>270.0</v>
      </c>
      <c r="H9102" s="24">
        <v>1530.0</v>
      </c>
      <c r="I9102" s="24">
        <v>8501.0</v>
      </c>
      <c r="J9102" s="24">
        <v>0.0</v>
      </c>
      <c r="K9102" s="23" t="s">
        <v>34</v>
      </c>
      <c r="L9102" s="25">
        <v>40142.96886574074</v>
      </c>
      <c r="M9102" s="26" t="s">
        <v>19938</v>
      </c>
      <c r="N9102" s="26" t="s">
        <v>6337</v>
      </c>
      <c r="O9102" s="22" t="str">
        <f>HYPERLINK("https://pbs.twimg.com/profile_images/909865827989577728/ExBS4Tt1_normal.jpg","View")</f>
        <v>View</v>
      </c>
      <c r="P9102" s="27"/>
    </row>
    <row r="9103">
      <c r="A9103" s="14">
        <v>43031.92555555556</v>
      </c>
      <c r="B9103" s="20" t="str">
        <f>HYPERLINK("https://twitter.com/newslivenetwork","@newslivenetwork")</f>
        <v>@newslivenetwork</v>
      </c>
      <c r="C9103" s="21" t="s">
        <v>89</v>
      </c>
      <c r="D9103" s="21" t="s">
        <v>19939</v>
      </c>
      <c r="E9103" s="22" t="str">
        <f>HYPERLINK("https://twitter.com/newslivenetwork/status/922692328694931456","922692328694931456")</f>
        <v>922692328694931456</v>
      </c>
      <c r="F9103" s="23" t="s">
        <v>91</v>
      </c>
      <c r="G9103" s="24">
        <v>271.0</v>
      </c>
      <c r="H9103" s="24">
        <v>87.0</v>
      </c>
      <c r="I9103" s="24">
        <v>0.0</v>
      </c>
      <c r="J9103" s="24">
        <v>0.0</v>
      </c>
      <c r="K9103" s="23" t="s">
        <v>34</v>
      </c>
      <c r="L9103" s="25">
        <v>42741.47196759259</v>
      </c>
      <c r="M9103" s="26" t="s">
        <v>92</v>
      </c>
      <c r="N9103" s="26" t="s">
        <v>93</v>
      </c>
      <c r="O9103" s="22" t="str">
        <f>HYPERLINK("https://pbs.twimg.com/profile_images/877414144424660992/scfhocj3_normal.jpg","View")</f>
        <v>View</v>
      </c>
      <c r="P9103" s="27"/>
    </row>
    <row r="9104">
      <c r="A9104" s="14">
        <v>43031.926307870366</v>
      </c>
      <c r="B9104" s="20" t="str">
        <f>HYPERLINK("https://twitter.com/et657470","@et657470")</f>
        <v>@et657470</v>
      </c>
      <c r="C9104" s="21" t="s">
        <v>19940</v>
      </c>
      <c r="D9104" s="21" t="s">
        <v>17703</v>
      </c>
      <c r="E9104" s="22" t="str">
        <f>HYPERLINK("https://twitter.com/et657470/status/922692599823073280","922692599823073280")</f>
        <v>922692599823073280</v>
      </c>
      <c r="F9104" s="23" t="s">
        <v>33</v>
      </c>
      <c r="G9104" s="24">
        <v>1213.0</v>
      </c>
      <c r="H9104" s="24">
        <v>1261.0</v>
      </c>
      <c r="I9104" s="24">
        <v>23.0</v>
      </c>
      <c r="J9104" s="24">
        <v>0.0</v>
      </c>
      <c r="K9104" s="23" t="s">
        <v>34</v>
      </c>
      <c r="L9104" s="25">
        <v>42234.01185185185</v>
      </c>
      <c r="M9104" s="26" t="s">
        <v>19941</v>
      </c>
      <c r="N9104" s="26" t="s">
        <v>19942</v>
      </c>
      <c r="O9104" s="22" t="str">
        <f>HYPERLINK("https://pbs.twimg.com/profile_images/871430073336946688/G2fcbD7-_normal.jpg","View")</f>
        <v>View</v>
      </c>
      <c r="P9104" s="27"/>
    </row>
    <row r="9105">
      <c r="A9105" s="14">
        <v>43031.926782407405</v>
      </c>
      <c r="B9105" s="20" t="str">
        <f>HYPERLINK("https://twitter.com/2v4vcqxrrjlUHzi","@2v4vcqxrrjlUHzi")</f>
        <v>@2v4vcqxrrjlUHzi</v>
      </c>
      <c r="C9105" s="21" t="s">
        <v>19943</v>
      </c>
      <c r="D9105" s="21" t="s">
        <v>42</v>
      </c>
      <c r="E9105" s="22" t="str">
        <f>HYPERLINK("https://twitter.com/2v4vcqxrrjlUHzi/status/922692771772805120","922692771772805120")</f>
        <v>922692771772805120</v>
      </c>
      <c r="F9105" s="23" t="s">
        <v>33</v>
      </c>
      <c r="G9105" s="24">
        <v>382.0</v>
      </c>
      <c r="H9105" s="24">
        <v>804.0</v>
      </c>
      <c r="I9105" s="24">
        <v>8501.0</v>
      </c>
      <c r="J9105" s="24">
        <v>0.0</v>
      </c>
      <c r="K9105" s="23" t="s">
        <v>34</v>
      </c>
      <c r="L9105" s="25">
        <v>43011.95141203704</v>
      </c>
      <c r="M9105" s="28"/>
      <c r="N9105" s="26" t="s">
        <v>19944</v>
      </c>
      <c r="O9105" s="22" t="str">
        <f>HYPERLINK("https://pbs.twimg.com/profile_images/915479646098952193/E2d5V_zs_normal.jpg","View")</f>
        <v>View</v>
      </c>
      <c r="P9105" s="27"/>
    </row>
    <row r="9106">
      <c r="A9106" s="14">
        <v>43031.92744212963</v>
      </c>
      <c r="B9106" s="20" t="str">
        <f>HYPERLINK("https://twitter.com/dinesh171976","@dinesh171976")</f>
        <v>@dinesh171976</v>
      </c>
      <c r="C9106" s="21" t="s">
        <v>19945</v>
      </c>
      <c r="D9106" s="21" t="s">
        <v>42</v>
      </c>
      <c r="E9106" s="22" t="str">
        <f>HYPERLINK("https://twitter.com/dinesh171976/status/922693010961371137","922693010961371137")</f>
        <v>922693010961371137</v>
      </c>
      <c r="F9106" s="23" t="s">
        <v>39</v>
      </c>
      <c r="G9106" s="24">
        <v>14.0</v>
      </c>
      <c r="H9106" s="24">
        <v>84.0</v>
      </c>
      <c r="I9106" s="24">
        <v>8501.0</v>
      </c>
      <c r="J9106" s="24">
        <v>0.0</v>
      </c>
      <c r="K9106" s="23" t="s">
        <v>34</v>
      </c>
      <c r="L9106" s="25">
        <v>40789.40490740741</v>
      </c>
      <c r="M9106" s="26" t="s">
        <v>195</v>
      </c>
      <c r="N9106" s="28"/>
      <c r="O9106" s="22" t="str">
        <f>HYPERLINK("https://pbs.twimg.com/profile_images/754174126022070272/sZGMFwFS_normal.jpg","View")</f>
        <v>View</v>
      </c>
      <c r="P9106" s="27"/>
    </row>
    <row r="9107">
      <c r="A9107" s="14">
        <v>43031.927500000005</v>
      </c>
      <c r="B9107" s="20" t="str">
        <f>HYPERLINK("https://twitter.com/PublicSituation","@PublicSituation")</f>
        <v>@PublicSituation</v>
      </c>
      <c r="C9107" s="21" t="s">
        <v>12284</v>
      </c>
      <c r="D9107" s="21" t="s">
        <v>19906</v>
      </c>
      <c r="E9107" s="22" t="str">
        <f>HYPERLINK("https://twitter.com/PublicSituation/status/922693030917935105","922693030917935105")</f>
        <v>922693030917935105</v>
      </c>
      <c r="F9107" s="23" t="s">
        <v>12285</v>
      </c>
      <c r="G9107" s="24">
        <v>3421.0</v>
      </c>
      <c r="H9107" s="24">
        <v>3219.0</v>
      </c>
      <c r="I9107" s="24">
        <v>7.0</v>
      </c>
      <c r="J9107" s="24">
        <v>0.0</v>
      </c>
      <c r="K9107" s="23" t="s">
        <v>34</v>
      </c>
      <c r="L9107" s="25">
        <v>42488.26296296297</v>
      </c>
      <c r="M9107" s="26" t="s">
        <v>12286</v>
      </c>
      <c r="N9107" s="26" t="s">
        <v>12287</v>
      </c>
      <c r="O9107" s="22" t="str">
        <f>HYPERLINK("https://pbs.twimg.com/profile_images/859458512698650625/sRsalqLV_normal.jpg","View")</f>
        <v>View</v>
      </c>
      <c r="P9107" s="27"/>
    </row>
    <row r="9108">
      <c r="A9108" s="14">
        <v>43031.9278125</v>
      </c>
      <c r="B9108" s="20" t="str">
        <f>HYPERLINK("https://twitter.com/akaXochi","@akaXochi")</f>
        <v>@akaXochi</v>
      </c>
      <c r="C9108" s="21" t="s">
        <v>19946</v>
      </c>
      <c r="D9108" s="21" t="s">
        <v>19947</v>
      </c>
      <c r="E9108" s="22" t="str">
        <f>HYPERLINK("https://twitter.com/akaXochi/status/922693146848518144","922693146848518144")</f>
        <v>922693146848518144</v>
      </c>
      <c r="F9108" s="23" t="s">
        <v>55</v>
      </c>
      <c r="G9108" s="24">
        <v>2317.0</v>
      </c>
      <c r="H9108" s="24">
        <v>3582.0</v>
      </c>
      <c r="I9108" s="24">
        <v>0.0</v>
      </c>
      <c r="J9108" s="24">
        <v>0.0</v>
      </c>
      <c r="K9108" s="23" t="s">
        <v>34</v>
      </c>
      <c r="L9108" s="25">
        <v>39984.09652777778</v>
      </c>
      <c r="M9108" s="26" t="s">
        <v>5724</v>
      </c>
      <c r="N9108" s="26" t="s">
        <v>19948</v>
      </c>
      <c r="O9108" s="22" t="str">
        <f>HYPERLINK("https://pbs.twimg.com/profile_images/272737158/17996748v2147483647_350x350_Front_normal.jpg","View")</f>
        <v>View</v>
      </c>
      <c r="P9108" s="27"/>
    </row>
    <row r="9109">
      <c r="A9109" s="14">
        <v>43031.92837962963</v>
      </c>
      <c r="B9109" s="20" t="str">
        <f>HYPERLINK("https://twitter.com/kevin_matara","@kevin_matara")</f>
        <v>@kevin_matara</v>
      </c>
      <c r="C9109" s="21" t="s">
        <v>19949</v>
      </c>
      <c r="D9109" s="21" t="s">
        <v>32</v>
      </c>
      <c r="E9109" s="22" t="str">
        <f>HYPERLINK("https://twitter.com/kevin_matara/status/922693351878615040","922693351878615040")</f>
        <v>922693351878615040</v>
      </c>
      <c r="F9109" s="23" t="s">
        <v>33</v>
      </c>
      <c r="G9109" s="24">
        <v>504.0</v>
      </c>
      <c r="H9109" s="24">
        <v>284.0</v>
      </c>
      <c r="I9109" s="24">
        <v>471.0</v>
      </c>
      <c r="J9109" s="24">
        <v>0.0</v>
      </c>
      <c r="K9109" s="23" t="s">
        <v>34</v>
      </c>
      <c r="L9109" s="25">
        <v>41592.65684027778</v>
      </c>
      <c r="M9109" s="28"/>
      <c r="N9109" s="26" t="s">
        <v>19950</v>
      </c>
      <c r="O9109" s="22" t="str">
        <f>HYPERLINK("https://pbs.twimg.com/profile_images/912903246058000386/YA0UzMFO_normal.jpg","View")</f>
        <v>View</v>
      </c>
      <c r="P9109" s="27"/>
    </row>
    <row r="9110">
      <c r="A9110" s="14">
        <v>43031.92854166667</v>
      </c>
      <c r="B9110" s="20" t="str">
        <f>HYPERLINK("https://twitter.com/OverTheMoonbat","@OverTheMoonbat")</f>
        <v>@OverTheMoonbat</v>
      </c>
      <c r="C9110" s="21" t="s">
        <v>4474</v>
      </c>
      <c r="D9110" s="21" t="s">
        <v>19951</v>
      </c>
      <c r="E9110" s="22" t="str">
        <f>HYPERLINK("https://twitter.com/OverTheMoonbat/status/922693411320336385","922693411320336385")</f>
        <v>922693411320336385</v>
      </c>
      <c r="F9110" s="23" t="s">
        <v>55</v>
      </c>
      <c r="G9110" s="24">
        <v>11027.0</v>
      </c>
      <c r="H9110" s="24">
        <v>12017.0</v>
      </c>
      <c r="I9110" s="24">
        <v>0.0</v>
      </c>
      <c r="J9110" s="24">
        <v>0.0</v>
      </c>
      <c r="K9110" s="23" t="s">
        <v>34</v>
      </c>
      <c r="L9110" s="25">
        <v>40896.593831018516</v>
      </c>
      <c r="M9110" s="28"/>
      <c r="N9110" s="26" t="s">
        <v>4476</v>
      </c>
      <c r="O9110" s="22" t="str">
        <f>HYPERLINK("https://pbs.twimg.com/profile_images/823236506932236288/SlElOA6Z_normal.jpg","View")</f>
        <v>View</v>
      </c>
      <c r="P9110" s="27"/>
    </row>
    <row r="9111">
      <c r="A9111" s="14">
        <v>43031.928622685184</v>
      </c>
      <c r="B9111" s="20" t="str">
        <f>HYPERLINK("https://twitter.com/Deepak66010293","@Deepak66010293")</f>
        <v>@Deepak66010293</v>
      </c>
      <c r="C9111" s="21" t="s">
        <v>19952</v>
      </c>
      <c r="D9111" s="21" t="s">
        <v>42</v>
      </c>
      <c r="E9111" s="22" t="str">
        <f>HYPERLINK("https://twitter.com/Deepak66010293/status/922693441275936768","922693441275936768")</f>
        <v>922693441275936768</v>
      </c>
      <c r="F9111" s="23" t="s">
        <v>33</v>
      </c>
      <c r="G9111" s="24">
        <v>42.0</v>
      </c>
      <c r="H9111" s="24">
        <v>96.0</v>
      </c>
      <c r="I9111" s="24">
        <v>8501.0</v>
      </c>
      <c r="J9111" s="24">
        <v>0.0</v>
      </c>
      <c r="K9111" s="23" t="s">
        <v>34</v>
      </c>
      <c r="L9111" s="25">
        <v>42845.13549768519</v>
      </c>
      <c r="M9111" s="28"/>
      <c r="N9111" s="28"/>
      <c r="O9111" s="22" t="str">
        <f>HYPERLINK("https://pbs.twimg.com/profile_images/855019396539891712/eAn1DNiT_normal.jpg","View")</f>
        <v>View</v>
      </c>
      <c r="P9111" s="27"/>
    </row>
    <row r="9112">
      <c r="A9112" s="14">
        <v>43031.928935185184</v>
      </c>
      <c r="B9112" s="20" t="str">
        <f>HYPERLINK("https://twitter.com/sirhardikpatel","@sirhardikpatel")</f>
        <v>@sirhardikpatel</v>
      </c>
      <c r="C9112" s="21" t="s">
        <v>13794</v>
      </c>
      <c r="D9112" s="21" t="s">
        <v>42</v>
      </c>
      <c r="E9112" s="22" t="str">
        <f>HYPERLINK("https://twitter.com/sirhardikpatel/status/922693552995311616","922693552995311616")</f>
        <v>922693552995311616</v>
      </c>
      <c r="F9112" s="23" t="s">
        <v>33</v>
      </c>
      <c r="G9112" s="24">
        <v>39.0</v>
      </c>
      <c r="H9112" s="24">
        <v>124.0</v>
      </c>
      <c r="I9112" s="24">
        <v>8501.0</v>
      </c>
      <c r="J9112" s="24">
        <v>0.0</v>
      </c>
      <c r="K9112" s="23" t="s">
        <v>34</v>
      </c>
      <c r="L9112" s="25">
        <v>42526.471875</v>
      </c>
      <c r="M9112" s="26" t="s">
        <v>19953</v>
      </c>
      <c r="N9112" s="26" t="s">
        <v>19954</v>
      </c>
      <c r="O9112" s="22" t="str">
        <f>HYPERLINK("https://pbs.twimg.com/profile_images/921748258568880130/XBzewGbv_normal.jpg","View")</f>
        <v>View</v>
      </c>
      <c r="P9112" s="27"/>
    </row>
    <row r="9113">
      <c r="A9113" s="14">
        <v>43031.928981481484</v>
      </c>
      <c r="B9113" s="20" t="str">
        <f>HYPERLINK("https://twitter.com/Ronyrajputsingh","@Ronyrajputsingh")</f>
        <v>@Ronyrajputsingh</v>
      </c>
      <c r="C9113" s="21" t="s">
        <v>19955</v>
      </c>
      <c r="D9113" s="21" t="s">
        <v>42</v>
      </c>
      <c r="E9113" s="22" t="str">
        <f>HYPERLINK("https://twitter.com/Ronyrajputsingh/status/922693568610762752","922693568610762752")</f>
        <v>922693568610762752</v>
      </c>
      <c r="F9113" s="23" t="s">
        <v>33</v>
      </c>
      <c r="G9113" s="24">
        <v>200.0</v>
      </c>
      <c r="H9113" s="24">
        <v>309.0</v>
      </c>
      <c r="I9113" s="24">
        <v>8501.0</v>
      </c>
      <c r="J9113" s="24">
        <v>0.0</v>
      </c>
      <c r="K9113" s="23" t="s">
        <v>34</v>
      </c>
      <c r="L9113" s="25">
        <v>42479.51849537037</v>
      </c>
      <c r="M9113" s="26" t="s">
        <v>19956</v>
      </c>
      <c r="N9113" s="26" t="s">
        <v>19957</v>
      </c>
      <c r="O9113" s="22" t="str">
        <f>HYPERLINK("https://pbs.twimg.com/profile_images/795054824555282432/UrAfnNvz_normal.jpg","View")</f>
        <v>View</v>
      </c>
      <c r="P9113" s="27"/>
    </row>
    <row r="9114">
      <c r="A9114" s="14">
        <v>43031.929236111115</v>
      </c>
      <c r="B9114" s="20" t="str">
        <f>HYPERLINK("https://twitter.com/arthurjameslobo","@arthurjameslobo")</f>
        <v>@arthurjameslobo</v>
      </c>
      <c r="C9114" s="21" t="s">
        <v>19958</v>
      </c>
      <c r="D9114" s="21" t="s">
        <v>19959</v>
      </c>
      <c r="E9114" s="22" t="str">
        <f>HYPERLINK("https://twitter.com/arthurjameslobo/status/922693660130541568","922693660130541568")</f>
        <v>922693660130541568</v>
      </c>
      <c r="F9114" s="23" t="s">
        <v>55</v>
      </c>
      <c r="G9114" s="24">
        <v>28.0</v>
      </c>
      <c r="H9114" s="24">
        <v>157.0</v>
      </c>
      <c r="I9114" s="24">
        <v>0.0</v>
      </c>
      <c r="J9114" s="24">
        <v>0.0</v>
      </c>
      <c r="K9114" s="23" t="s">
        <v>34</v>
      </c>
      <c r="L9114" s="25">
        <v>40917.215960648144</v>
      </c>
      <c r="M9114" s="26" t="s">
        <v>19960</v>
      </c>
      <c r="N9114" s="26" t="s">
        <v>19961</v>
      </c>
      <c r="O9114" s="22" t="str">
        <f>HYPERLINK("https://pbs.twimg.com/profile_images/1750256837/Picture_normal.jpg","View")</f>
        <v>View</v>
      </c>
      <c r="P9114" s="27"/>
    </row>
    <row r="9115">
      <c r="A9115" s="14">
        <v>43031.92943287037</v>
      </c>
      <c r="B9115" s="20" t="str">
        <f>HYPERLINK("https://twitter.com/manash919821","@manash919821")</f>
        <v>@manash919821</v>
      </c>
      <c r="C9115" s="21" t="s">
        <v>19962</v>
      </c>
      <c r="D9115" s="21" t="s">
        <v>42</v>
      </c>
      <c r="E9115" s="22" t="str">
        <f>HYPERLINK("https://twitter.com/manash919821/status/922693733925117952","922693733925117952")</f>
        <v>922693733925117952</v>
      </c>
      <c r="F9115" s="23" t="s">
        <v>33</v>
      </c>
      <c r="G9115" s="24">
        <v>95.0</v>
      </c>
      <c r="H9115" s="24">
        <v>251.0</v>
      </c>
      <c r="I9115" s="24">
        <v>8501.0</v>
      </c>
      <c r="J9115" s="24">
        <v>0.0</v>
      </c>
      <c r="K9115" s="23" t="s">
        <v>34</v>
      </c>
      <c r="L9115" s="25">
        <v>41960.06181712963</v>
      </c>
      <c r="M9115" s="26" t="s">
        <v>3042</v>
      </c>
      <c r="N9115" s="26" t="s">
        <v>19963</v>
      </c>
      <c r="O9115" s="22" t="str">
        <f>HYPERLINK("https://pbs.twimg.com/profile_images/899985171994128384/HLIypbt6_normal.jpg","View")</f>
        <v>View</v>
      </c>
      <c r="P9115" s="27"/>
    </row>
    <row r="9116">
      <c r="A9116" s="14">
        <v>43031.92958333333</v>
      </c>
      <c r="B9116" s="20" t="str">
        <f>HYPERLINK("https://twitter.com/PeppeAmicarelli","@PeppeAmicarelli")</f>
        <v>@PeppeAmicarelli</v>
      </c>
      <c r="C9116" s="21" t="s">
        <v>19964</v>
      </c>
      <c r="D9116" s="21" t="s">
        <v>17703</v>
      </c>
      <c r="E9116" s="22" t="str">
        <f>HYPERLINK("https://twitter.com/PeppeAmicarelli/status/922693788610514945","922693788610514945")</f>
        <v>922693788610514945</v>
      </c>
      <c r="F9116" s="23" t="s">
        <v>33</v>
      </c>
      <c r="G9116" s="24">
        <v>2888.0</v>
      </c>
      <c r="H9116" s="24">
        <v>2863.0</v>
      </c>
      <c r="I9116" s="24">
        <v>23.0</v>
      </c>
      <c r="J9116" s="24">
        <v>0.0</v>
      </c>
      <c r="K9116" s="23" t="s">
        <v>34</v>
      </c>
      <c r="L9116" s="25">
        <v>41280.101736111115</v>
      </c>
      <c r="M9116" s="28"/>
      <c r="N9116" s="26" t="s">
        <v>19965</v>
      </c>
      <c r="O9116" s="22" t="str">
        <f>HYPERLINK("https://pbs.twimg.com/profile_images/815488548883329024/Qk-QD-j1_normal.jpg","View")</f>
        <v>View</v>
      </c>
      <c r="P9116" s="27"/>
    </row>
    <row r="9117">
      <c r="A9117" s="14">
        <v>43031.929606481484</v>
      </c>
      <c r="B9117" s="20" t="str">
        <f>HYPERLINK("https://twitter.com/realPapillonJr","@realPapillonJr")</f>
        <v>@realPapillonJr</v>
      </c>
      <c r="C9117" s="21" t="s">
        <v>19966</v>
      </c>
      <c r="D9117" s="21" t="s">
        <v>19967</v>
      </c>
      <c r="E9117" s="22" t="str">
        <f>HYPERLINK("https://twitter.com/realPapillonJr/status/922693795858096128","922693795858096128")</f>
        <v>922693795858096128</v>
      </c>
      <c r="F9117" s="23" t="s">
        <v>19968</v>
      </c>
      <c r="G9117" s="24">
        <v>1897.0</v>
      </c>
      <c r="H9117" s="24">
        <v>2045.0</v>
      </c>
      <c r="I9117" s="24">
        <v>0.0</v>
      </c>
      <c r="J9117" s="24">
        <v>0.0</v>
      </c>
      <c r="K9117" s="23" t="s">
        <v>34</v>
      </c>
      <c r="L9117" s="25">
        <v>40770.847395833334</v>
      </c>
      <c r="M9117" s="26" t="s">
        <v>19227</v>
      </c>
      <c r="N9117" s="26" t="s">
        <v>19969</v>
      </c>
      <c r="O9117" s="22" t="str">
        <f>HYPERLINK("https://pbs.twimg.com/profile_images/864346027125481473/YAh49EhX_normal.jpg","View")</f>
        <v>View</v>
      </c>
      <c r="P9117" s="27"/>
    </row>
    <row r="9118">
      <c r="A9118" s="14">
        <v>43031.929884259254</v>
      </c>
      <c r="B9118" s="20" t="str">
        <f>HYPERLINK("https://twitter.com/apbmandate","@apbmandate")</f>
        <v>@apbmandate</v>
      </c>
      <c r="C9118" s="21" t="s">
        <v>4569</v>
      </c>
      <c r="D9118" s="21" t="s">
        <v>19970</v>
      </c>
      <c r="E9118" s="22" t="str">
        <f>HYPERLINK("https://twitter.com/apbmandate/status/922693895040917505","922693895040917505")</f>
        <v>922693895040917505</v>
      </c>
      <c r="F9118" s="23" t="s">
        <v>4571</v>
      </c>
      <c r="G9118" s="24">
        <v>637.0</v>
      </c>
      <c r="H9118" s="24">
        <v>1049.0</v>
      </c>
      <c r="I9118" s="24">
        <v>3.0</v>
      </c>
      <c r="J9118" s="24">
        <v>2.0</v>
      </c>
      <c r="K9118" s="23" t="s">
        <v>34</v>
      </c>
      <c r="L9118" s="25">
        <v>42385.682650462964</v>
      </c>
      <c r="M9118" s="28"/>
      <c r="N9118" s="26" t="s">
        <v>4572</v>
      </c>
      <c r="O9118" s="22" t="str">
        <f>HYPERLINK("https://pbs.twimg.com/profile_images/688519010887925760/TgkjjFd8_normal.png","View")</f>
        <v>View</v>
      </c>
      <c r="P9118" s="27"/>
    </row>
    <row r="9119">
      <c r="A9119" s="14">
        <v>43031.93082175926</v>
      </c>
      <c r="B9119" s="20" t="str">
        <f>HYPERLINK("https://twitter.com/mutsusoken","@mutsusoken")</f>
        <v>@mutsusoken</v>
      </c>
      <c r="C9119" s="21" t="s">
        <v>19971</v>
      </c>
      <c r="D9119" s="21" t="s">
        <v>19972</v>
      </c>
      <c r="E9119" s="22" t="str">
        <f>HYPERLINK("https://twitter.com/mutsusoken/status/922694238718001152","922694238718001152")</f>
        <v>922694238718001152</v>
      </c>
      <c r="F9119" s="23" t="s">
        <v>39</v>
      </c>
      <c r="G9119" s="24">
        <v>723.0</v>
      </c>
      <c r="H9119" s="24">
        <v>1003.0</v>
      </c>
      <c r="I9119" s="24">
        <v>0.0</v>
      </c>
      <c r="J9119" s="24">
        <v>0.0</v>
      </c>
      <c r="K9119" s="23" t="s">
        <v>34</v>
      </c>
      <c r="L9119" s="25">
        <v>41257.74585648148</v>
      </c>
      <c r="M9119" s="26" t="s">
        <v>271</v>
      </c>
      <c r="N9119" s="26" t="s">
        <v>19973</v>
      </c>
      <c r="O9119" s="22" t="str">
        <f>HYPERLINK("https://pbs.twimg.com/profile_images/2976760403/51bbd1956ef1a3378f939f563df2efe2_normal.jpeg","View")</f>
        <v>View</v>
      </c>
      <c r="P9119" s="27"/>
    </row>
    <row r="9120">
      <c r="A9120" s="14">
        <v>43031.93090277778</v>
      </c>
      <c r="B9120" s="20" t="str">
        <f>HYPERLINK("https://twitter.com/GatishilSurat","@GatishilSurat")</f>
        <v>@GatishilSurat</v>
      </c>
      <c r="C9120" s="21" t="s">
        <v>19974</v>
      </c>
      <c r="D9120" s="21" t="s">
        <v>42</v>
      </c>
      <c r="E9120" s="22" t="str">
        <f>HYPERLINK("https://twitter.com/GatishilSurat/status/922694265456566272","922694265456566272")</f>
        <v>922694265456566272</v>
      </c>
      <c r="F9120" s="23" t="s">
        <v>33</v>
      </c>
      <c r="G9120" s="24">
        <v>22.0</v>
      </c>
      <c r="H9120" s="24">
        <v>41.0</v>
      </c>
      <c r="I9120" s="24">
        <v>8501.0</v>
      </c>
      <c r="J9120" s="24">
        <v>0.0</v>
      </c>
      <c r="K9120" s="23" t="s">
        <v>34</v>
      </c>
      <c r="L9120" s="25">
        <v>42986.59513888889</v>
      </c>
      <c r="M9120" s="26" t="s">
        <v>11320</v>
      </c>
      <c r="N9120" s="28"/>
      <c r="O9120" s="22" t="str">
        <f>HYPERLINK("https://pbs.twimg.com/profile_images/906618729735233537/JSbnKIny_normal.jpg","View")</f>
        <v>View</v>
      </c>
      <c r="P9120" s="27"/>
    </row>
    <row r="9121">
      <c r="A9121" s="14">
        <v>43031.930972222224</v>
      </c>
      <c r="B9121" s="20" t="str">
        <f>HYPERLINK("https://twitter.com/Matribhakt","@Matribhakt")</f>
        <v>@Matribhakt</v>
      </c>
      <c r="C9121" s="21" t="s">
        <v>19975</v>
      </c>
      <c r="D9121" s="21" t="s">
        <v>42</v>
      </c>
      <c r="E9121" s="22" t="str">
        <f>HYPERLINK("https://twitter.com/Matribhakt/status/922694290991611904","922694290991611904")</f>
        <v>922694290991611904</v>
      </c>
      <c r="F9121" s="23" t="s">
        <v>33</v>
      </c>
      <c r="G9121" s="24">
        <v>45.0</v>
      </c>
      <c r="H9121" s="24">
        <v>115.0</v>
      </c>
      <c r="I9121" s="24">
        <v>8501.0</v>
      </c>
      <c r="J9121" s="24">
        <v>0.0</v>
      </c>
      <c r="K9121" s="23" t="s">
        <v>34</v>
      </c>
      <c r="L9121" s="25">
        <v>42650.31040509259</v>
      </c>
      <c r="M9121" s="26" t="s">
        <v>2770</v>
      </c>
      <c r="N9121" s="26" t="s">
        <v>19976</v>
      </c>
      <c r="O9121" s="22" t="str">
        <f>HYPERLINK("https://pbs.twimg.com/profile_images/832492433980190720/qmDaLywI_normal.jpg","View")</f>
        <v>View</v>
      </c>
      <c r="P9121" s="27"/>
    </row>
    <row r="9122">
      <c r="A9122" s="14">
        <v>43031.93111111112</v>
      </c>
      <c r="B9122" s="20" t="str">
        <f>HYPERLINK("https://twitter.com/JeetuSi01443907","@JeetuSi01443907")</f>
        <v>@JeetuSi01443907</v>
      </c>
      <c r="C9122" s="21" t="s">
        <v>19977</v>
      </c>
      <c r="D9122" s="21" t="s">
        <v>42</v>
      </c>
      <c r="E9122" s="22" t="str">
        <f>HYPERLINK("https://twitter.com/JeetuSi01443907/status/922694341818290177","922694341818290177")</f>
        <v>922694341818290177</v>
      </c>
      <c r="F9122" s="23" t="s">
        <v>33</v>
      </c>
      <c r="G9122" s="24">
        <v>21.0</v>
      </c>
      <c r="H9122" s="24">
        <v>37.0</v>
      </c>
      <c r="I9122" s="24">
        <v>8501.0</v>
      </c>
      <c r="J9122" s="24">
        <v>0.0</v>
      </c>
      <c r="K9122" s="23" t="s">
        <v>34</v>
      </c>
      <c r="L9122" s="25">
        <v>43009.00842592593</v>
      </c>
      <c r="M9122" s="26" t="s">
        <v>14718</v>
      </c>
      <c r="N9122" s="26" t="s">
        <v>19978</v>
      </c>
      <c r="O9122" s="22" t="str">
        <f>HYPERLINK("https://pbs.twimg.com/profile_images/916696608447885312/nCj9vmgG_normal.jpg","View")</f>
        <v>View</v>
      </c>
      <c r="P9122" s="27"/>
    </row>
    <row r="9123">
      <c r="A9123" s="14">
        <v>43031.93115740741</v>
      </c>
      <c r="B9123" s="20" t="str">
        <f>HYPERLINK("https://twitter.com/CopperBronzed","@CopperBronzed")</f>
        <v>@CopperBronzed</v>
      </c>
      <c r="C9123" s="21" t="s">
        <v>19979</v>
      </c>
      <c r="D9123" s="21" t="s">
        <v>10614</v>
      </c>
      <c r="E9123" s="22" t="str">
        <f>HYPERLINK("https://twitter.com/CopperBronzed/status/922694359581188096","922694359581188096")</f>
        <v>922694359581188096</v>
      </c>
      <c r="F9123" s="23" t="s">
        <v>4516</v>
      </c>
      <c r="G9123" s="24">
        <v>1202.0</v>
      </c>
      <c r="H9123" s="24">
        <v>100.0</v>
      </c>
      <c r="I9123" s="24">
        <v>159.0</v>
      </c>
      <c r="J9123" s="24">
        <v>0.0</v>
      </c>
      <c r="K9123" s="23" t="s">
        <v>34</v>
      </c>
      <c r="L9123" s="25">
        <v>41115.46774305555</v>
      </c>
      <c r="M9123" s="26" t="s">
        <v>19980</v>
      </c>
      <c r="N9123" s="26" t="s">
        <v>19981</v>
      </c>
      <c r="O9123" s="22" t="str">
        <f>HYPERLINK("https://pbs.twimg.com/profile_images/922874822866227202/XyAig9G5_normal.jpg","View")</f>
        <v>View</v>
      </c>
      <c r="P9123" s="27"/>
    </row>
    <row r="9124">
      <c r="A9124" s="14">
        <v>43031.931180555555</v>
      </c>
      <c r="B9124" s="20" t="str">
        <f>HYPERLINK("https://twitter.com/YourAnonRevolt","@YourAnonRevolt")</f>
        <v>@YourAnonRevolt</v>
      </c>
      <c r="C9124" s="21" t="s">
        <v>7005</v>
      </c>
      <c r="D9124" s="21" t="s">
        <v>1731</v>
      </c>
      <c r="E9124" s="22" t="str">
        <f>HYPERLINK("https://twitter.com/YourAnonRevolt/status/922694365587300358","922694365587300358")</f>
        <v>922694365587300358</v>
      </c>
      <c r="F9124" s="23" t="s">
        <v>33</v>
      </c>
      <c r="G9124" s="24">
        <v>11008.0</v>
      </c>
      <c r="H9124" s="24">
        <v>4104.0</v>
      </c>
      <c r="I9124" s="24">
        <v>6.0</v>
      </c>
      <c r="J9124" s="24">
        <v>0.0</v>
      </c>
      <c r="K9124" s="23" t="s">
        <v>34</v>
      </c>
      <c r="L9124" s="25">
        <v>42478.10021990741</v>
      </c>
      <c r="M9124" s="26" t="s">
        <v>7007</v>
      </c>
      <c r="N9124" s="26" t="s">
        <v>7008</v>
      </c>
      <c r="O9124" s="22" t="str">
        <f>HYPERLINK("https://pbs.twimg.com/profile_images/881398153030713344/FN9uhI_M_normal.jpg","View")</f>
        <v>View</v>
      </c>
      <c r="P9124" s="27"/>
    </row>
    <row r="9125">
      <c r="A9125" s="14">
        <v>43031.93127314815</v>
      </c>
      <c r="B9125" s="20" t="str">
        <f>HYPERLINK("https://twitter.com/hamsoon","@hamsoon")</f>
        <v>@hamsoon</v>
      </c>
      <c r="C9125" s="21" t="s">
        <v>19982</v>
      </c>
      <c r="D9125" s="21" t="s">
        <v>19983</v>
      </c>
      <c r="E9125" s="22" t="str">
        <f>HYPERLINK("https://twitter.com/hamsoon/status/922694399708008448","922694399708008448")</f>
        <v>922694399708008448</v>
      </c>
      <c r="F9125" s="23" t="s">
        <v>55</v>
      </c>
      <c r="G9125" s="24">
        <v>5321.0</v>
      </c>
      <c r="H9125" s="24">
        <v>5383.0</v>
      </c>
      <c r="I9125" s="24">
        <v>1.0</v>
      </c>
      <c r="J9125" s="24">
        <v>0.0</v>
      </c>
      <c r="K9125" s="23" t="s">
        <v>34</v>
      </c>
      <c r="L9125" s="25">
        <v>41750.48820601852</v>
      </c>
      <c r="M9125" s="26" t="s">
        <v>311</v>
      </c>
      <c r="N9125" s="26" t="s">
        <v>19984</v>
      </c>
      <c r="O9125" s="22" t="str">
        <f>HYPERLINK("https://pbs.twimg.com/profile_images/753178294766493696/mN2PAV8b_normal.jpg","View")</f>
        <v>View</v>
      </c>
      <c r="P9125" s="27"/>
    </row>
    <row r="9126">
      <c r="A9126" s="14">
        <v>43031.9315162037</v>
      </c>
      <c r="B9126" s="20" t="str">
        <f>HYPERLINK("https://twitter.com/amitsinghai16","@amitsinghai16")</f>
        <v>@amitsinghai16</v>
      </c>
      <c r="C9126" s="21" t="s">
        <v>19985</v>
      </c>
      <c r="D9126" s="21" t="s">
        <v>42</v>
      </c>
      <c r="E9126" s="22" t="str">
        <f>HYPERLINK("https://twitter.com/amitsinghai16/status/922694489344442368","922694489344442368")</f>
        <v>922694489344442368</v>
      </c>
      <c r="F9126" s="23" t="s">
        <v>33</v>
      </c>
      <c r="G9126" s="24">
        <v>179.0</v>
      </c>
      <c r="H9126" s="24">
        <v>183.0</v>
      </c>
      <c r="I9126" s="24">
        <v>8501.0</v>
      </c>
      <c r="J9126" s="24">
        <v>0.0</v>
      </c>
      <c r="K9126" s="23" t="s">
        <v>34</v>
      </c>
      <c r="L9126" s="25">
        <v>40499.473761574074</v>
      </c>
      <c r="M9126" s="26" t="s">
        <v>204</v>
      </c>
      <c r="N9126" s="26" t="s">
        <v>19986</v>
      </c>
      <c r="O9126" s="22" t="str">
        <f>HYPERLINK("https://pbs.twimg.com/profile_images/482632244721246209/oiv_jU8R_normal.jpeg","View")</f>
        <v>View</v>
      </c>
      <c r="P9126" s="27"/>
    </row>
    <row r="9127">
      <c r="A9127" s="14">
        <v>43031.932175925926</v>
      </c>
      <c r="B9127" s="20" t="str">
        <f>HYPERLINK("https://twitter.com/paoladelusa","@paoladelusa")</f>
        <v>@paoladelusa</v>
      </c>
      <c r="C9127" s="21" t="s">
        <v>19987</v>
      </c>
      <c r="D9127" s="21" t="s">
        <v>17703</v>
      </c>
      <c r="E9127" s="22" t="str">
        <f>HYPERLINK("https://twitter.com/paoladelusa/status/922694725915865088","922694725915865088")</f>
        <v>922694725915865088</v>
      </c>
      <c r="F9127" s="23" t="s">
        <v>55</v>
      </c>
      <c r="G9127" s="24">
        <v>7286.0</v>
      </c>
      <c r="H9127" s="24">
        <v>2012.0</v>
      </c>
      <c r="I9127" s="24">
        <v>23.0</v>
      </c>
      <c r="J9127" s="24">
        <v>0.0</v>
      </c>
      <c r="K9127" s="23" t="s">
        <v>34</v>
      </c>
      <c r="L9127" s="25">
        <v>40699.154965277776</v>
      </c>
      <c r="M9127" s="26" t="s">
        <v>19988</v>
      </c>
      <c r="N9127" s="26" t="s">
        <v>19989</v>
      </c>
      <c r="O9127" s="22" t="str">
        <f>HYPERLINK("https://pbs.twimg.com/profile_images/913348307199647745/h62UX0K3_normal.jpg","View")</f>
        <v>View</v>
      </c>
      <c r="P9127" s="27"/>
    </row>
    <row r="9128">
      <c r="A9128" s="14">
        <v>43031.932175925926</v>
      </c>
      <c r="B9128" s="20" t="str">
        <f>HYPERLINK("https://twitter.com/nikumaruya714","@nikumaruya714")</f>
        <v>@nikumaruya714</v>
      </c>
      <c r="C9128" s="21" t="s">
        <v>19990</v>
      </c>
      <c r="D9128" s="21" t="s">
        <v>42</v>
      </c>
      <c r="E9128" s="22" t="str">
        <f>HYPERLINK("https://twitter.com/nikumaruya714/status/922694727287308288","922694727287308288")</f>
        <v>922694727287308288</v>
      </c>
      <c r="F9128" s="23" t="s">
        <v>39</v>
      </c>
      <c r="G9128" s="24">
        <v>534.0</v>
      </c>
      <c r="H9128" s="24">
        <v>744.0</v>
      </c>
      <c r="I9128" s="24">
        <v>8501.0</v>
      </c>
      <c r="J9128" s="24">
        <v>0.0</v>
      </c>
      <c r="K9128" s="23" t="s">
        <v>34</v>
      </c>
      <c r="L9128" s="25">
        <v>42914.34931712963</v>
      </c>
      <c r="M9128" s="26" t="s">
        <v>71</v>
      </c>
      <c r="N9128" s="26" t="s">
        <v>19991</v>
      </c>
      <c r="O9128" s="22" t="str">
        <f>HYPERLINK("https://pbs.twimg.com/profile_images/917032954680950784/5IS8voeJ_normal.jpg","View")</f>
        <v>View</v>
      </c>
      <c r="P9128" s="27"/>
    </row>
    <row r="9129">
      <c r="A9129" s="14">
        <v>43031.93246527778</v>
      </c>
      <c r="B9129" s="20" t="str">
        <f>HYPERLINK("https://twitter.com/cl139","@cl139")</f>
        <v>@cl139</v>
      </c>
      <c r="C9129" s="21" t="s">
        <v>19992</v>
      </c>
      <c r="D9129" s="21" t="s">
        <v>19993</v>
      </c>
      <c r="E9129" s="22" t="str">
        <f>HYPERLINK("https://twitter.com/cl139/status/922694831981453312","922694831981453312")</f>
        <v>922694831981453312</v>
      </c>
      <c r="F9129" s="23" t="s">
        <v>39</v>
      </c>
      <c r="G9129" s="24">
        <v>340.0</v>
      </c>
      <c r="H9129" s="24">
        <v>94.0</v>
      </c>
      <c r="I9129" s="24">
        <v>0.0</v>
      </c>
      <c r="J9129" s="24">
        <v>0.0</v>
      </c>
      <c r="K9129" s="23" t="s">
        <v>34</v>
      </c>
      <c r="L9129" s="25">
        <v>41209.86394675926</v>
      </c>
      <c r="M9129" s="26" t="s">
        <v>19994</v>
      </c>
      <c r="N9129" s="26" t="s">
        <v>19995</v>
      </c>
      <c r="O9129" s="22" t="str">
        <f>HYPERLINK("https://pbs.twimg.com/profile_images/904615558825467905/pKwHOqaA_normal.jpg","View")</f>
        <v>View</v>
      </c>
      <c r="P9129" s="27"/>
    </row>
    <row r="9130">
      <c r="A9130" s="14">
        <v>43031.93262731482</v>
      </c>
      <c r="B9130" s="20" t="str">
        <f>HYPERLINK("https://twitter.com/forum_modi1","@forum_modi1")</f>
        <v>@forum_modi1</v>
      </c>
      <c r="C9130" s="21" t="s">
        <v>19996</v>
      </c>
      <c r="D9130" s="21" t="s">
        <v>19906</v>
      </c>
      <c r="E9130" s="22" t="str">
        <f>HYPERLINK("https://twitter.com/forum_modi1/status/922694889439100928","922694889439100928")</f>
        <v>922694889439100928</v>
      </c>
      <c r="F9130" s="23" t="s">
        <v>33</v>
      </c>
      <c r="G9130" s="24">
        <v>130.0</v>
      </c>
      <c r="H9130" s="24">
        <v>144.0</v>
      </c>
      <c r="I9130" s="24">
        <v>7.0</v>
      </c>
      <c r="J9130" s="24">
        <v>0.0</v>
      </c>
      <c r="K9130" s="23" t="s">
        <v>34</v>
      </c>
      <c r="L9130" s="25">
        <v>41461.461863425924</v>
      </c>
      <c r="M9130" s="26" t="s">
        <v>3144</v>
      </c>
      <c r="N9130" s="26" t="s">
        <v>19997</v>
      </c>
      <c r="O9130" s="22" t="str">
        <f>HYPERLINK("https://pbs.twimg.com/profile_images/415118498218512384/J1o77r9J_normal.jpeg","View")</f>
        <v>View</v>
      </c>
      <c r="P9130" s="27"/>
    </row>
    <row r="9131">
      <c r="A9131" s="14">
        <v>43031.93262731482</v>
      </c>
      <c r="B9131" s="20" t="str">
        <f>HYPERLINK("https://twitter.com/radguerrilla","@radguerrilla")</f>
        <v>@radguerrilla</v>
      </c>
      <c r="C9131" s="21" t="s">
        <v>19998</v>
      </c>
      <c r="D9131" s="21" t="s">
        <v>19621</v>
      </c>
      <c r="E9131" s="22" t="str">
        <f>HYPERLINK("https://twitter.com/radguerrilla/status/922694891532103680","922694891532103680")</f>
        <v>922694891532103680</v>
      </c>
      <c r="F9131" s="23" t="s">
        <v>39</v>
      </c>
      <c r="G9131" s="24">
        <v>117.0</v>
      </c>
      <c r="H9131" s="24">
        <v>186.0</v>
      </c>
      <c r="I9131" s="24">
        <v>18.0</v>
      </c>
      <c r="J9131" s="24">
        <v>0.0</v>
      </c>
      <c r="K9131" s="23" t="s">
        <v>34</v>
      </c>
      <c r="L9131" s="25">
        <v>42381.921689814815</v>
      </c>
      <c r="M9131" s="26" t="s">
        <v>3507</v>
      </c>
      <c r="N9131" s="26" t="s">
        <v>19999</v>
      </c>
      <c r="O9131" s="22" t="str">
        <f>HYPERLINK("https://pbs.twimg.com/profile_images/922712093090033664/GhlDqKz6_normal.jpg","View")</f>
        <v>View</v>
      </c>
      <c r="P9131" s="27"/>
    </row>
    <row r="9132">
      <c r="A9132" s="14">
        <v>43031.93267361111</v>
      </c>
      <c r="B9132" s="20" t="str">
        <f>HYPERLINK("https://twitter.com/RanjitS39575974","@RanjitS39575974")</f>
        <v>@RanjitS39575974</v>
      </c>
      <c r="C9132" s="21" t="s">
        <v>20000</v>
      </c>
      <c r="D9132" s="21" t="s">
        <v>42</v>
      </c>
      <c r="E9132" s="22" t="str">
        <f>HYPERLINK("https://twitter.com/RanjitS39575974/status/922694908489748480","922694908489748480")</f>
        <v>922694908489748480</v>
      </c>
      <c r="F9132" s="23" t="s">
        <v>33</v>
      </c>
      <c r="G9132" s="24">
        <v>3.0</v>
      </c>
      <c r="H9132" s="24">
        <v>19.0</v>
      </c>
      <c r="I9132" s="24">
        <v>8501.0</v>
      </c>
      <c r="J9132" s="24">
        <v>0.0</v>
      </c>
      <c r="K9132" s="23" t="s">
        <v>34</v>
      </c>
      <c r="L9132" s="25">
        <v>42950.01818287037</v>
      </c>
      <c r="M9132" s="28"/>
      <c r="N9132" s="28"/>
      <c r="O9132" s="22" t="str">
        <f>HYPERLINK("https://abs.twimg.com/sticky/default_profile_images/default_profile_normal.png","View")</f>
        <v>View</v>
      </c>
      <c r="P9132" s="27"/>
    </row>
    <row r="9133">
      <c r="A9133" s="14">
        <v>43031.93332175926</v>
      </c>
      <c r="B9133" s="20" t="str">
        <f>HYPERLINK("https://twitter.com/bjpmaithili","@bjpmaithili")</f>
        <v>@bjpmaithili</v>
      </c>
      <c r="C9133" s="21" t="s">
        <v>20001</v>
      </c>
      <c r="D9133" s="21" t="s">
        <v>42</v>
      </c>
      <c r="E9133" s="22" t="str">
        <f>HYPERLINK("https://twitter.com/bjpmaithili/status/922695140896100354","922695140896100354")</f>
        <v>922695140896100354</v>
      </c>
      <c r="F9133" s="23" t="s">
        <v>33</v>
      </c>
      <c r="G9133" s="24">
        <v>1007.0</v>
      </c>
      <c r="H9133" s="24">
        <v>1224.0</v>
      </c>
      <c r="I9133" s="24">
        <v>8501.0</v>
      </c>
      <c r="J9133" s="24">
        <v>0.0</v>
      </c>
      <c r="K9133" s="23" t="s">
        <v>34</v>
      </c>
      <c r="L9133" s="25">
        <v>41074.065300925926</v>
      </c>
      <c r="M9133" s="26" t="s">
        <v>9985</v>
      </c>
      <c r="N9133" s="28"/>
      <c r="O9133" s="22" t="str">
        <f>HYPERLINK("https://pbs.twimg.com/profile_images/2309983212/focwxveaykx0todkdd24_normal.jpeg","View")</f>
        <v>View</v>
      </c>
      <c r="P9133" s="27"/>
    </row>
    <row r="9134">
      <c r="A9134" s="14">
        <v>43031.93335648148</v>
      </c>
      <c r="B9134" s="20" t="str">
        <f>HYPERLINK("https://twitter.com/AliwaOkello","@AliwaOkello")</f>
        <v>@AliwaOkello</v>
      </c>
      <c r="C9134" s="21" t="s">
        <v>956</v>
      </c>
      <c r="D9134" s="21" t="s">
        <v>20002</v>
      </c>
      <c r="E9134" s="22" t="str">
        <f>HYPERLINK("https://twitter.com/AliwaOkello/status/922695155093733377","922695155093733377")</f>
        <v>922695155093733377</v>
      </c>
      <c r="F9134" s="30" t="s">
        <v>191</v>
      </c>
      <c r="G9134" s="24">
        <v>197.0</v>
      </c>
      <c r="H9134" s="24">
        <v>30.0</v>
      </c>
      <c r="I9134" s="24">
        <v>0.0</v>
      </c>
      <c r="J9134" s="24">
        <v>0.0</v>
      </c>
      <c r="K9134" s="23" t="s">
        <v>34</v>
      </c>
      <c r="L9134" s="25">
        <v>41411.1703587963</v>
      </c>
      <c r="M9134" s="26" t="s">
        <v>114</v>
      </c>
      <c r="N9134" s="26" t="s">
        <v>958</v>
      </c>
      <c r="O9134" s="22" t="str">
        <f>HYPERLINK("https://pbs.twimg.com/profile_images/796582872782094337/y1nb7iEB_normal.jpg","View")</f>
        <v>View</v>
      </c>
      <c r="P9134" s="27"/>
    </row>
    <row r="9135">
      <c r="A9135" s="14">
        <v>43031.933391203704</v>
      </c>
      <c r="B9135" s="20" t="str">
        <f>HYPERLINK("https://twitter.com/HeadbangingHip","@HeadbangingHip")</f>
        <v>@HeadbangingHip</v>
      </c>
      <c r="C9135" s="21" t="s">
        <v>20003</v>
      </c>
      <c r="D9135" s="21" t="s">
        <v>19833</v>
      </c>
      <c r="E9135" s="22" t="str">
        <f>HYPERLINK("https://twitter.com/HeadbangingHip/status/922695166997286912","922695166997286912")</f>
        <v>922695166997286912</v>
      </c>
      <c r="F9135" s="23" t="s">
        <v>33</v>
      </c>
      <c r="G9135" s="24">
        <v>42.0</v>
      </c>
      <c r="H9135" s="24">
        <v>114.0</v>
      </c>
      <c r="I9135" s="24">
        <v>10.0</v>
      </c>
      <c r="J9135" s="24">
        <v>0.0</v>
      </c>
      <c r="K9135" s="23" t="s">
        <v>34</v>
      </c>
      <c r="L9135" s="25">
        <v>42502.8575</v>
      </c>
      <c r="M9135" s="26" t="s">
        <v>660</v>
      </c>
      <c r="N9135" s="26" t="s">
        <v>20004</v>
      </c>
      <c r="O9135" s="22" t="str">
        <f>HYPERLINK("https://pbs.twimg.com/profile_images/732992903987892226/5dzTcfGP_normal.jpg","View")</f>
        <v>View</v>
      </c>
      <c r="P9135" s="27"/>
    </row>
    <row r="9136">
      <c r="A9136" s="14">
        <v>43031.93365740741</v>
      </c>
      <c r="B9136" s="20" t="str">
        <f>HYPERLINK("https://twitter.com/lsingh1089","@lsingh1089")</f>
        <v>@lsingh1089</v>
      </c>
      <c r="C9136" s="21" t="s">
        <v>20005</v>
      </c>
      <c r="D9136" s="21" t="s">
        <v>42</v>
      </c>
      <c r="E9136" s="22" t="str">
        <f>HYPERLINK("https://twitter.com/lsingh1089/status/922695262841200640","922695262841200640")</f>
        <v>922695262841200640</v>
      </c>
      <c r="F9136" s="23" t="s">
        <v>33</v>
      </c>
      <c r="G9136" s="24">
        <v>148.0</v>
      </c>
      <c r="H9136" s="24">
        <v>321.0</v>
      </c>
      <c r="I9136" s="24">
        <v>8501.0</v>
      </c>
      <c r="J9136" s="24">
        <v>0.0</v>
      </c>
      <c r="K9136" s="23" t="s">
        <v>34</v>
      </c>
      <c r="L9136" s="25">
        <v>42130.489537037036</v>
      </c>
      <c r="M9136" s="26" t="s">
        <v>603</v>
      </c>
      <c r="N9136" s="26" t="s">
        <v>20006</v>
      </c>
      <c r="O9136" s="22" t="str">
        <f>HYPERLINK("https://pbs.twimg.com/profile_images/921567172677156864/kKrs9kpf_normal.jpg","View")</f>
        <v>View</v>
      </c>
      <c r="P9136" s="27"/>
    </row>
    <row r="9137">
      <c r="A9137" s="14">
        <v>43031.933703703704</v>
      </c>
      <c r="B9137" s="20" t="str">
        <f>HYPERLINK("https://twitter.com/miro_bey","@miro_bey")</f>
        <v>@miro_bey</v>
      </c>
      <c r="C9137" s="21" t="s">
        <v>17593</v>
      </c>
      <c r="D9137" s="21" t="s">
        <v>20007</v>
      </c>
      <c r="E9137" s="22" t="str">
        <f>HYPERLINK("https://twitter.com/miro_bey/status/922695281879199744","922695281879199744")</f>
        <v>922695281879199744</v>
      </c>
      <c r="F9137" s="23" t="s">
        <v>39</v>
      </c>
      <c r="G9137" s="24">
        <v>1092.0</v>
      </c>
      <c r="H9137" s="24">
        <v>456.0</v>
      </c>
      <c r="I9137" s="24">
        <v>3.0</v>
      </c>
      <c r="J9137" s="24">
        <v>0.0</v>
      </c>
      <c r="K9137" s="23" t="s">
        <v>34</v>
      </c>
      <c r="L9137" s="25">
        <v>41634.72525462963</v>
      </c>
      <c r="M9137" s="28"/>
      <c r="N9137" s="26" t="s">
        <v>17594</v>
      </c>
      <c r="O9137" s="22" t="str">
        <f>HYPERLINK("https://pbs.twimg.com/profile_images/912392692470083584/OQf6pA1F_normal.jpg","View")</f>
        <v>View</v>
      </c>
      <c r="P9137" s="27"/>
    </row>
    <row r="9138">
      <c r="A9138" s="14">
        <v>43031.93378472222</v>
      </c>
      <c r="B9138" s="20" t="str">
        <f>HYPERLINK("https://twitter.com/fffffirstfirst","@fffffirstfirst")</f>
        <v>@fffffirstfirst</v>
      </c>
      <c r="C9138" s="21" t="s">
        <v>20008</v>
      </c>
      <c r="D9138" s="21" t="s">
        <v>18248</v>
      </c>
      <c r="E9138" s="22" t="str">
        <f>HYPERLINK("https://twitter.com/fffffirstfirst/status/922695311495221249","922695311495221249")</f>
        <v>922695311495221249</v>
      </c>
      <c r="F9138" s="23" t="s">
        <v>39</v>
      </c>
      <c r="G9138" s="24">
        <v>126.0</v>
      </c>
      <c r="H9138" s="24">
        <v>225.0</v>
      </c>
      <c r="I9138" s="24">
        <v>117.0</v>
      </c>
      <c r="J9138" s="24">
        <v>0.0</v>
      </c>
      <c r="K9138" s="23" t="s">
        <v>34</v>
      </c>
      <c r="L9138" s="25">
        <v>42042.76519675926</v>
      </c>
      <c r="M9138" s="26" t="s">
        <v>1735</v>
      </c>
      <c r="N9138" s="26" t="s">
        <v>20008</v>
      </c>
      <c r="O9138" s="22" t="str">
        <f>HYPERLINK("https://pbs.twimg.com/profile_images/886617127062446081/N07z92sl_normal.jpg","View")</f>
        <v>View</v>
      </c>
      <c r="P9138" s="27"/>
    </row>
    <row r="9139">
      <c r="A9139" s="14">
        <v>43031.93424768519</v>
      </c>
      <c r="B9139" s="20" t="str">
        <f>HYPERLINK("https://twitter.com/Divsbabs","@Divsbabs")</f>
        <v>@Divsbabs</v>
      </c>
      <c r="C9139" s="21" t="s">
        <v>20009</v>
      </c>
      <c r="D9139" s="21" t="s">
        <v>42</v>
      </c>
      <c r="E9139" s="22" t="str">
        <f>HYPERLINK("https://twitter.com/Divsbabs/status/922695479716130817","922695479716130817")</f>
        <v>922695479716130817</v>
      </c>
      <c r="F9139" s="23" t="s">
        <v>39</v>
      </c>
      <c r="G9139" s="24">
        <v>7731.0</v>
      </c>
      <c r="H9139" s="24">
        <v>853.0</v>
      </c>
      <c r="I9139" s="24">
        <v>8501.0</v>
      </c>
      <c r="J9139" s="24">
        <v>0.0</v>
      </c>
      <c r="K9139" s="23" t="s">
        <v>34</v>
      </c>
      <c r="L9139" s="25">
        <v>40078.65548611111</v>
      </c>
      <c r="M9139" s="26" t="s">
        <v>20010</v>
      </c>
      <c r="N9139" s="26" t="s">
        <v>20011</v>
      </c>
      <c r="O9139" s="22" t="str">
        <f>HYPERLINK("https://pbs.twimg.com/profile_images/921340068769525760/i9dTNHyd_normal.jpg","View")</f>
        <v>View</v>
      </c>
      <c r="P9139" s="27"/>
    </row>
    <row r="9140">
      <c r="A9140" s="14">
        <v>43031.93481481481</v>
      </c>
      <c r="B9140" s="20" t="str">
        <f>HYPERLINK("https://twitter.com/PMSinghNC","@PMSinghNC")</f>
        <v>@PMSinghNC</v>
      </c>
      <c r="C9140" s="21" t="s">
        <v>20012</v>
      </c>
      <c r="D9140" s="21" t="s">
        <v>20013</v>
      </c>
      <c r="E9140" s="22" t="str">
        <f>HYPERLINK("https://twitter.com/PMSinghNC/status/922695685102637056","922695685102637056")</f>
        <v>922695685102637056</v>
      </c>
      <c r="F9140" s="23" t="s">
        <v>55</v>
      </c>
      <c r="G9140" s="24">
        <v>298.0</v>
      </c>
      <c r="H9140" s="24">
        <v>105.0</v>
      </c>
      <c r="I9140" s="24">
        <v>0.0</v>
      </c>
      <c r="J9140" s="24">
        <v>20.0</v>
      </c>
      <c r="K9140" s="23" t="s">
        <v>34</v>
      </c>
      <c r="L9140" s="25">
        <v>42996.07386574074</v>
      </c>
      <c r="M9140" s="26" t="s">
        <v>5297</v>
      </c>
      <c r="N9140" s="26" t="s">
        <v>20014</v>
      </c>
      <c r="O9140" s="22" t="str">
        <f>HYPERLINK("https://pbs.twimg.com/profile_images/909726939128070145/C7agCSpc_normal.jpg","View")</f>
        <v>View</v>
      </c>
      <c r="P9140" s="27"/>
    </row>
    <row r="9141">
      <c r="A9141" s="14">
        <v>43031.93486111111</v>
      </c>
      <c r="B9141" s="20" t="str">
        <f>HYPERLINK("https://twitter.com/PoonamY63369842","@PoonamY63369842")</f>
        <v>@PoonamY63369842</v>
      </c>
      <c r="C9141" s="21" t="s">
        <v>20015</v>
      </c>
      <c r="D9141" s="21" t="s">
        <v>42</v>
      </c>
      <c r="E9141" s="22" t="str">
        <f>HYPERLINK("https://twitter.com/PoonamY63369842/status/922695702505054208","922695702505054208")</f>
        <v>922695702505054208</v>
      </c>
      <c r="F9141" s="23" t="s">
        <v>33</v>
      </c>
      <c r="G9141" s="24">
        <v>58.0</v>
      </c>
      <c r="H9141" s="24">
        <v>168.0</v>
      </c>
      <c r="I9141" s="24">
        <v>8501.0</v>
      </c>
      <c r="J9141" s="24">
        <v>0.0</v>
      </c>
      <c r="K9141" s="23" t="s">
        <v>34</v>
      </c>
      <c r="L9141" s="25">
        <v>42617.466307870374</v>
      </c>
      <c r="M9141" s="28"/>
      <c r="N9141" s="28"/>
      <c r="O9141" s="22" t="str">
        <f>HYPERLINK("https://abs.twimg.com/sticky/default_profile_images/default_profile_normal.png","View")</f>
        <v>View</v>
      </c>
      <c r="P9141" s="27"/>
    </row>
    <row r="9142">
      <c r="A9142" s="14">
        <v>43031.93502314815</v>
      </c>
      <c r="B9142" s="20" t="str">
        <f>HYPERLINK("https://twitter.com/zynic1","@zynic1")</f>
        <v>@zynic1</v>
      </c>
      <c r="C9142" s="21" t="s">
        <v>20016</v>
      </c>
      <c r="D9142" s="21" t="s">
        <v>18941</v>
      </c>
      <c r="E9142" s="22" t="str">
        <f>HYPERLINK("https://twitter.com/zynic1/status/922695758318637056","922695758318637056")</f>
        <v>922695758318637056</v>
      </c>
      <c r="F9142" s="23" t="s">
        <v>39</v>
      </c>
      <c r="G9142" s="24">
        <v>47.0</v>
      </c>
      <c r="H9142" s="24">
        <v>558.0</v>
      </c>
      <c r="I9142" s="24">
        <v>9.0</v>
      </c>
      <c r="J9142" s="24">
        <v>0.0</v>
      </c>
      <c r="K9142" s="23" t="s">
        <v>34</v>
      </c>
      <c r="L9142" s="25">
        <v>40617.15835648148</v>
      </c>
      <c r="M9142" s="28"/>
      <c r="N9142" s="28"/>
      <c r="O9142" s="22" t="str">
        <f>HYPERLINK("https://pbs.twimg.com/profile_images/638726252497629184/2Hqx5Sww_normal.jpg","View")</f>
        <v>View</v>
      </c>
      <c r="P9142" s="27"/>
    </row>
    <row r="9143">
      <c r="A9143" s="14">
        <v>43031.93519675926</v>
      </c>
      <c r="B9143" s="20" t="str">
        <f>HYPERLINK("https://twitter.com/mansap","@mansap")</f>
        <v>@mansap</v>
      </c>
      <c r="C9143" s="21" t="s">
        <v>20017</v>
      </c>
      <c r="D9143" s="21" t="s">
        <v>42</v>
      </c>
      <c r="E9143" s="22" t="str">
        <f>HYPERLINK("https://twitter.com/mansap/status/922695822084513793","922695822084513793")</f>
        <v>922695822084513793</v>
      </c>
      <c r="F9143" s="23" t="s">
        <v>33</v>
      </c>
      <c r="G9143" s="24">
        <v>132.0</v>
      </c>
      <c r="H9143" s="24">
        <v>1201.0</v>
      </c>
      <c r="I9143" s="24">
        <v>8501.0</v>
      </c>
      <c r="J9143" s="24">
        <v>0.0</v>
      </c>
      <c r="K9143" s="23" t="s">
        <v>34</v>
      </c>
      <c r="L9143" s="25">
        <v>40081.43766203704</v>
      </c>
      <c r="M9143" s="26" t="s">
        <v>136</v>
      </c>
      <c r="N9143" s="26" t="s">
        <v>20018</v>
      </c>
      <c r="O9143" s="22" t="str">
        <f>HYPERLINK("https://pbs.twimg.com/profile_images/779869401449398272/tHDJQha5_normal.jpg","View")</f>
        <v>View</v>
      </c>
      <c r="P9143" s="27"/>
    </row>
    <row r="9144">
      <c r="A9144" s="14">
        <v>43031.93615740741</v>
      </c>
      <c r="B9144" s="20" t="str">
        <f>HYPERLINK("https://twitter.com/Aguilara54","@Aguilara54")</f>
        <v>@Aguilara54</v>
      </c>
      <c r="C9144" s="21" t="s">
        <v>20019</v>
      </c>
      <c r="D9144" s="21" t="s">
        <v>19016</v>
      </c>
      <c r="E9144" s="22" t="str">
        <f>HYPERLINK("https://twitter.com/Aguilara54/status/922696171629379584","922696171629379584")</f>
        <v>922696171629379584</v>
      </c>
      <c r="F9144" s="23" t="s">
        <v>39</v>
      </c>
      <c r="G9144" s="24">
        <v>185.0</v>
      </c>
      <c r="H9144" s="24">
        <v>319.0</v>
      </c>
      <c r="I9144" s="24">
        <v>51.0</v>
      </c>
      <c r="J9144" s="24">
        <v>0.0</v>
      </c>
      <c r="K9144" s="23" t="s">
        <v>34</v>
      </c>
      <c r="L9144" s="25">
        <v>42443.992013888885</v>
      </c>
      <c r="M9144" s="28"/>
      <c r="N9144" s="28"/>
      <c r="O9144" s="22" t="str">
        <f>HYPERLINK("https://abs.twimg.com/sticky/default_profile_images/default_profile_normal.png","View")</f>
        <v>View</v>
      </c>
      <c r="P9144" s="27"/>
    </row>
    <row r="9145">
      <c r="A9145" s="14">
        <v>43031.936331018514</v>
      </c>
      <c r="B9145" s="20" t="str">
        <f>HYPERLINK("https://twitter.com/mutsusoken","@mutsusoken")</f>
        <v>@mutsusoken</v>
      </c>
      <c r="C9145" s="21" t="s">
        <v>19971</v>
      </c>
      <c r="D9145" s="21" t="s">
        <v>2555</v>
      </c>
      <c r="E9145" s="22" t="str">
        <f>HYPERLINK("https://twitter.com/mutsusoken/status/922696234762145792","922696234762145792")</f>
        <v>922696234762145792</v>
      </c>
      <c r="F9145" s="23" t="s">
        <v>39</v>
      </c>
      <c r="G9145" s="24">
        <v>723.0</v>
      </c>
      <c r="H9145" s="24">
        <v>1003.0</v>
      </c>
      <c r="I9145" s="24">
        <v>58.0</v>
      </c>
      <c r="J9145" s="24">
        <v>0.0</v>
      </c>
      <c r="K9145" s="23" t="s">
        <v>34</v>
      </c>
      <c r="L9145" s="25">
        <v>41257.74585648148</v>
      </c>
      <c r="M9145" s="26" t="s">
        <v>271</v>
      </c>
      <c r="N9145" s="26" t="s">
        <v>19973</v>
      </c>
      <c r="O9145" s="22" t="str">
        <f>HYPERLINK("https://pbs.twimg.com/profile_images/2976760403/51bbd1956ef1a3378f939f563df2efe2_normal.jpeg","View")</f>
        <v>View</v>
      </c>
      <c r="P9145" s="27"/>
    </row>
    <row r="9146">
      <c r="A9146" s="14">
        <v>43031.93688657407</v>
      </c>
      <c r="B9146" s="20" t="str">
        <f>HYPERLINK("https://twitter.com/aajkiaalia","@aajkiaalia")</f>
        <v>@aajkiaalia</v>
      </c>
      <c r="C9146" s="21" t="s">
        <v>20020</v>
      </c>
      <c r="D9146" s="21" t="s">
        <v>42</v>
      </c>
      <c r="E9146" s="22" t="str">
        <f>HYPERLINK("https://twitter.com/aajkiaalia/status/922696434582982656","922696434582982656")</f>
        <v>922696434582982656</v>
      </c>
      <c r="F9146" s="23" t="s">
        <v>33</v>
      </c>
      <c r="G9146" s="24">
        <v>5.0</v>
      </c>
      <c r="H9146" s="24">
        <v>20.0</v>
      </c>
      <c r="I9146" s="24">
        <v>8501.0</v>
      </c>
      <c r="J9146" s="24">
        <v>0.0</v>
      </c>
      <c r="K9146" s="23" t="s">
        <v>34</v>
      </c>
      <c r="L9146" s="25">
        <v>42962.356261574074</v>
      </c>
      <c r="M9146" s="26" t="s">
        <v>2177</v>
      </c>
      <c r="N9146" s="26" t="s">
        <v>20021</v>
      </c>
      <c r="O9146" s="22" t="str">
        <f>HYPERLINK("https://abs.twimg.com/sticky/default_profile_images/default_profile_normal.png","View")</f>
        <v>View</v>
      </c>
      <c r="P9146" s="27"/>
    </row>
    <row r="9147">
      <c r="A9147" s="14">
        <v>43031.93690972222</v>
      </c>
      <c r="B9147" s="20" t="str">
        <f>HYPERLINK("https://twitter.com/Chi312Chi","@Chi312Chi")</f>
        <v>@Chi312Chi</v>
      </c>
      <c r="C9147" s="21" t="s">
        <v>478</v>
      </c>
      <c r="D9147" s="21" t="s">
        <v>18941</v>
      </c>
      <c r="E9147" s="22" t="str">
        <f>HYPERLINK("https://twitter.com/Chi312Chi/status/922696440840941568","922696440840941568")</f>
        <v>922696440840941568</v>
      </c>
      <c r="F9147" s="23" t="s">
        <v>3031</v>
      </c>
      <c r="G9147" s="24">
        <v>541.0</v>
      </c>
      <c r="H9147" s="24">
        <v>2430.0</v>
      </c>
      <c r="I9147" s="24">
        <v>9.0</v>
      </c>
      <c r="J9147" s="24">
        <v>0.0</v>
      </c>
      <c r="K9147" s="23" t="s">
        <v>34</v>
      </c>
      <c r="L9147" s="25">
        <v>41645.81662037037</v>
      </c>
      <c r="M9147" s="28"/>
      <c r="N9147" s="28"/>
      <c r="O9147" s="22" t="str">
        <f>HYPERLINK("https://pbs.twimg.com/profile_images/918940173085413376/0qeHPlF8_normal.jpg","View")</f>
        <v>View</v>
      </c>
      <c r="P9147" s="27"/>
    </row>
    <row r="9148">
      <c r="A9148" s="14">
        <v>43031.93702546296</v>
      </c>
      <c r="B9148" s="20" t="str">
        <f>HYPERLINK("https://twitter.com/hanayuu","@hanayuu")</f>
        <v>@hanayuu</v>
      </c>
      <c r="C9148" s="21" t="s">
        <v>20022</v>
      </c>
      <c r="D9148" s="21" t="s">
        <v>18162</v>
      </c>
      <c r="E9148" s="22" t="str">
        <f>HYPERLINK("https://twitter.com/hanayuu/status/922696484042297344","922696484042297344")</f>
        <v>922696484042297344</v>
      </c>
      <c r="F9148" s="23" t="s">
        <v>55</v>
      </c>
      <c r="G9148" s="24">
        <v>40774.0</v>
      </c>
      <c r="H9148" s="24">
        <v>7346.0</v>
      </c>
      <c r="I9148" s="24">
        <v>59.0</v>
      </c>
      <c r="J9148" s="24">
        <v>0.0</v>
      </c>
      <c r="K9148" s="23" t="s">
        <v>34</v>
      </c>
      <c r="L9148" s="25">
        <v>39181.17983796296</v>
      </c>
      <c r="M9148" s="26" t="s">
        <v>4704</v>
      </c>
      <c r="N9148" s="26" t="s">
        <v>20023</v>
      </c>
      <c r="O9148" s="22" t="str">
        <f>HYPERLINK("https://pbs.twimg.com/profile_images/748819684112207872/7UIxt-Qy_normal.jpg","View")</f>
        <v>View</v>
      </c>
      <c r="P9148" s="27"/>
    </row>
    <row r="9149">
      <c r="A9149" s="14">
        <v>43031.937210648146</v>
      </c>
      <c r="B9149" s="20" t="str">
        <f>HYPERLINK("https://twitter.com/CaseyBillX","@CaseyBillX")</f>
        <v>@CaseyBillX</v>
      </c>
      <c r="C9149" s="21" t="s">
        <v>3108</v>
      </c>
      <c r="D9149" s="21" t="s">
        <v>18941</v>
      </c>
      <c r="E9149" s="22" t="str">
        <f>HYPERLINK("https://twitter.com/CaseyBillX/status/922696552761774080","922696552761774080")</f>
        <v>922696552761774080</v>
      </c>
      <c r="F9149" s="23" t="s">
        <v>3109</v>
      </c>
      <c r="G9149" s="24">
        <v>2332.0</v>
      </c>
      <c r="H9149" s="24">
        <v>5001.0</v>
      </c>
      <c r="I9149" s="24">
        <v>9.0</v>
      </c>
      <c r="J9149" s="24">
        <v>0.0</v>
      </c>
      <c r="K9149" s="23" t="s">
        <v>34</v>
      </c>
      <c r="L9149" s="25">
        <v>42997.15302083333</v>
      </c>
      <c r="M9149" s="28"/>
      <c r="N9149" s="28"/>
      <c r="O9149" s="22" t="str">
        <f>HYPERLINK("https://pbs.twimg.com/profile_images/910103474003525633/_kzNa9NX_normal.jpg","View")</f>
        <v>View</v>
      </c>
      <c r="P9149" s="27"/>
    </row>
    <row r="9150">
      <c r="A9150" s="14">
        <v>43031.93753472222</v>
      </c>
      <c r="B9150" s="20" t="str">
        <f t="shared" ref="B9150:B9152" si="184">HYPERLINK("https://twitter.com/Global___News","@Global___News")</f>
        <v>@Global___News</v>
      </c>
      <c r="C9150" s="21" t="s">
        <v>4191</v>
      </c>
      <c r="D9150" s="21" t="s">
        <v>20024</v>
      </c>
      <c r="E9150" s="22" t="str">
        <f>HYPERLINK("https://twitter.com/Global___News/status/922696671057842177","922696671057842177")</f>
        <v>922696671057842177</v>
      </c>
      <c r="F9150" s="23" t="s">
        <v>4193</v>
      </c>
      <c r="G9150" s="24">
        <v>820.0</v>
      </c>
      <c r="H9150" s="24">
        <v>4.0</v>
      </c>
      <c r="I9150" s="24">
        <v>0.0</v>
      </c>
      <c r="J9150" s="24">
        <v>0.0</v>
      </c>
      <c r="K9150" s="23" t="s">
        <v>34</v>
      </c>
      <c r="L9150" s="25">
        <v>41404.33153935185</v>
      </c>
      <c r="M9150" s="28"/>
      <c r="N9150" s="26" t="s">
        <v>4191</v>
      </c>
      <c r="O9150" s="22" t="str">
        <f t="shared" ref="O9150:O9152" si="185">HYPERLINK("https://pbs.twimg.com/profile_images/3640360348/ca3c8990ec800ecd3004b1c1ab4cc462_normal.png","View")</f>
        <v>View</v>
      </c>
      <c r="P9150" s="27"/>
    </row>
    <row r="9151">
      <c r="A9151" s="14">
        <v>43031.93754629629</v>
      </c>
      <c r="B9151" s="20" t="str">
        <f t="shared" si="184"/>
        <v>@Global___News</v>
      </c>
      <c r="C9151" s="21" t="s">
        <v>4191</v>
      </c>
      <c r="D9151" s="21" t="s">
        <v>20025</v>
      </c>
      <c r="E9151" s="22" t="str">
        <f>HYPERLINK("https://twitter.com/Global___News/status/922696672756432896","922696672756432896")</f>
        <v>922696672756432896</v>
      </c>
      <c r="F9151" s="23" t="s">
        <v>4193</v>
      </c>
      <c r="G9151" s="24">
        <v>820.0</v>
      </c>
      <c r="H9151" s="24">
        <v>4.0</v>
      </c>
      <c r="I9151" s="24">
        <v>0.0</v>
      </c>
      <c r="J9151" s="24">
        <v>0.0</v>
      </c>
      <c r="K9151" s="23" t="s">
        <v>34</v>
      </c>
      <c r="L9151" s="25">
        <v>41404.33153935185</v>
      </c>
      <c r="M9151" s="28"/>
      <c r="N9151" s="26" t="s">
        <v>4191</v>
      </c>
      <c r="O9151" s="22" t="str">
        <f t="shared" si="185"/>
        <v>View</v>
      </c>
      <c r="P9151" s="27"/>
    </row>
    <row r="9152">
      <c r="A9152" s="14">
        <v>43031.93754629629</v>
      </c>
      <c r="B9152" s="20" t="str">
        <f t="shared" si="184"/>
        <v>@Global___News</v>
      </c>
      <c r="C9152" s="21" t="s">
        <v>4191</v>
      </c>
      <c r="D9152" s="21" t="s">
        <v>20026</v>
      </c>
      <c r="E9152" s="22" t="str">
        <f>HYPERLINK("https://twitter.com/Global___News/status/922696674438516736","922696674438516736")</f>
        <v>922696674438516736</v>
      </c>
      <c r="F9152" s="23" t="s">
        <v>4193</v>
      </c>
      <c r="G9152" s="24">
        <v>820.0</v>
      </c>
      <c r="H9152" s="24">
        <v>4.0</v>
      </c>
      <c r="I9152" s="24">
        <v>0.0</v>
      </c>
      <c r="J9152" s="24">
        <v>0.0</v>
      </c>
      <c r="K9152" s="23" t="s">
        <v>34</v>
      </c>
      <c r="L9152" s="25">
        <v>41404.33153935185</v>
      </c>
      <c r="M9152" s="28"/>
      <c r="N9152" s="26" t="s">
        <v>4191</v>
      </c>
      <c r="O9152" s="22" t="str">
        <f t="shared" si="185"/>
        <v>View</v>
      </c>
      <c r="P9152" s="27"/>
    </row>
    <row r="9153">
      <c r="A9153" s="14">
        <v>43031.9378587963</v>
      </c>
      <c r="B9153" s="20" t="str">
        <f>HYPERLINK("https://twitter.com/TeeKay118","@TeeKay118")</f>
        <v>@TeeKay118</v>
      </c>
      <c r="C9153" s="21" t="s">
        <v>3197</v>
      </c>
      <c r="D9153" s="21" t="s">
        <v>19906</v>
      </c>
      <c r="E9153" s="22" t="str">
        <f>HYPERLINK("https://twitter.com/TeeKay118/status/922696785205669889","922696785205669889")</f>
        <v>922696785205669889</v>
      </c>
      <c r="F9153" s="23" t="s">
        <v>39</v>
      </c>
      <c r="G9153" s="24">
        <v>2255.0</v>
      </c>
      <c r="H9153" s="24">
        <v>3022.0</v>
      </c>
      <c r="I9153" s="24">
        <v>7.0</v>
      </c>
      <c r="J9153" s="24">
        <v>0.0</v>
      </c>
      <c r="K9153" s="23" t="s">
        <v>34</v>
      </c>
      <c r="L9153" s="25">
        <v>39931.77858796297</v>
      </c>
      <c r="M9153" s="26" t="s">
        <v>3198</v>
      </c>
      <c r="N9153" s="26" t="s">
        <v>3199</v>
      </c>
      <c r="O9153" s="22" t="str">
        <f>HYPERLINK("https://pbs.twimg.com/profile_images/797953344778051586/gC2nA4YE_normal.jpg","View")</f>
        <v>View</v>
      </c>
      <c r="P9153" s="27"/>
    </row>
    <row r="9154">
      <c r="A9154" s="14">
        <v>43031.938125</v>
      </c>
      <c r="B9154" s="20" t="str">
        <f>HYPERLINK("https://twitter.com/ideas4thefuture","@ideas4thefuture")</f>
        <v>@ideas4thefuture</v>
      </c>
      <c r="C9154" s="21" t="s">
        <v>20027</v>
      </c>
      <c r="D9154" s="21" t="s">
        <v>20028</v>
      </c>
      <c r="E9154" s="22" t="str">
        <f>HYPERLINK("https://twitter.com/ideas4thefuture/status/922696881167306752","922696881167306752")</f>
        <v>922696881167306752</v>
      </c>
      <c r="F9154" s="23" t="s">
        <v>55</v>
      </c>
      <c r="G9154" s="24">
        <v>5858.0</v>
      </c>
      <c r="H9154" s="24">
        <v>2798.0</v>
      </c>
      <c r="I9154" s="24">
        <v>0.0</v>
      </c>
      <c r="J9154" s="24">
        <v>0.0</v>
      </c>
      <c r="K9154" s="23" t="s">
        <v>34</v>
      </c>
      <c r="L9154" s="25">
        <v>40603.11578703704</v>
      </c>
      <c r="M9154" s="26" t="s">
        <v>20029</v>
      </c>
      <c r="N9154" s="26" t="s">
        <v>20030</v>
      </c>
      <c r="O9154" s="22" t="str">
        <f>HYPERLINK("https://pbs.twimg.com/profile_images/480338234699173889/IUZBg5H0_normal.jpeg","View")</f>
        <v>View</v>
      </c>
      <c r="P9154" s="27"/>
    </row>
    <row r="9155">
      <c r="A9155" s="14">
        <v>43031.938206018516</v>
      </c>
      <c r="B9155" s="20" t="str">
        <f>HYPERLINK("https://twitter.com/BelwalSatish","@BelwalSatish")</f>
        <v>@BelwalSatish</v>
      </c>
      <c r="C9155" s="21" t="s">
        <v>20031</v>
      </c>
      <c r="D9155" s="21" t="s">
        <v>42</v>
      </c>
      <c r="E9155" s="22" t="str">
        <f>HYPERLINK("https://twitter.com/BelwalSatish/status/922696913975099392","922696913975099392")</f>
        <v>922696913975099392</v>
      </c>
      <c r="F9155" s="23" t="s">
        <v>55</v>
      </c>
      <c r="G9155" s="24">
        <v>70.0</v>
      </c>
      <c r="H9155" s="24">
        <v>53.0</v>
      </c>
      <c r="I9155" s="24">
        <v>8501.0</v>
      </c>
      <c r="J9155" s="24">
        <v>0.0</v>
      </c>
      <c r="K9155" s="23" t="s">
        <v>34</v>
      </c>
      <c r="L9155" s="25">
        <v>40793.22037037037</v>
      </c>
      <c r="M9155" s="28"/>
      <c r="N9155" s="28"/>
      <c r="O9155" s="22" t="str">
        <f>HYPERLINK("https://pbs.twimg.com/profile_images/885054579158732800/2kKaWnzb_normal.jpg","View")</f>
        <v>View</v>
      </c>
      <c r="P9155" s="27"/>
    </row>
    <row r="9156">
      <c r="A9156" s="14">
        <v>43031.93833333333</v>
      </c>
      <c r="B9156" s="20" t="str">
        <f>HYPERLINK("https://twitter.com/NTKRNow","@NTKRNow")</f>
        <v>@NTKRNow</v>
      </c>
      <c r="C9156" s="21" t="s">
        <v>14875</v>
      </c>
      <c r="D9156" s="21" t="s">
        <v>20032</v>
      </c>
      <c r="E9156" s="22" t="str">
        <f>HYPERLINK("https://twitter.com/NTKRNow/status/922696959575646208","922696959575646208")</f>
        <v>922696959575646208</v>
      </c>
      <c r="F9156" s="23" t="s">
        <v>187</v>
      </c>
      <c r="G9156" s="24">
        <v>605.0</v>
      </c>
      <c r="H9156" s="24">
        <v>4.0</v>
      </c>
      <c r="I9156" s="24">
        <v>0.0</v>
      </c>
      <c r="J9156" s="24">
        <v>0.0</v>
      </c>
      <c r="K9156" s="23" t="s">
        <v>34</v>
      </c>
      <c r="L9156" s="25">
        <v>42402.810625</v>
      </c>
      <c r="M9156" s="28"/>
      <c r="N9156" s="28"/>
      <c r="O9156" s="22" t="str">
        <f>HYPERLINK("https://abs.twimg.com/sticky/default_profile_images/default_profile_normal.png","View")</f>
        <v>View</v>
      </c>
      <c r="P9156" s="27"/>
    </row>
    <row r="9157">
      <c r="A9157" s="14">
        <v>43031.938668981486</v>
      </c>
      <c r="B9157" s="20" t="str">
        <f>HYPERLINK("https://twitter.com/dsratnar791","@dsratnar791")</f>
        <v>@dsratnar791</v>
      </c>
      <c r="C9157" s="21" t="s">
        <v>20033</v>
      </c>
      <c r="D9157" s="21" t="s">
        <v>42</v>
      </c>
      <c r="E9157" s="22" t="str">
        <f>HYPERLINK("https://twitter.com/dsratnar791/status/922697080291852289","922697080291852289")</f>
        <v>922697080291852289</v>
      </c>
      <c r="F9157" s="23" t="s">
        <v>33</v>
      </c>
      <c r="G9157" s="24">
        <v>20998.0</v>
      </c>
      <c r="H9157" s="24">
        <v>19329.0</v>
      </c>
      <c r="I9157" s="24">
        <v>8501.0</v>
      </c>
      <c r="J9157" s="24">
        <v>0.0</v>
      </c>
      <c r="K9157" s="23" t="s">
        <v>34</v>
      </c>
      <c r="L9157" s="25">
        <v>42219.289375</v>
      </c>
      <c r="M9157" s="28"/>
      <c r="N9157" s="28"/>
      <c r="O9157" s="22" t="str">
        <f>HYPERLINK("https://pbs.twimg.com/profile_images/909748388047994881/gQvZsk5u_normal.jpg","View")</f>
        <v>View</v>
      </c>
      <c r="P9157" s="27"/>
    </row>
    <row r="9158">
      <c r="A9158" s="14">
        <v>43031.93912037037</v>
      </c>
      <c r="B9158" s="20" t="str">
        <f>HYPERLINK("https://twitter.com/KarenMema","@KarenMema")</f>
        <v>@KarenMema</v>
      </c>
      <c r="C9158" s="21" t="s">
        <v>20034</v>
      </c>
      <c r="D9158" s="21" t="s">
        <v>20035</v>
      </c>
      <c r="E9158" s="22" t="str">
        <f>HYPERLINK("https://twitter.com/KarenMema/status/922697242347220993","922697242347220993")</f>
        <v>922697242347220993</v>
      </c>
      <c r="F9158" s="23" t="s">
        <v>230</v>
      </c>
      <c r="G9158" s="24">
        <v>101.0</v>
      </c>
      <c r="H9158" s="24">
        <v>249.0</v>
      </c>
      <c r="I9158" s="24">
        <v>0.0</v>
      </c>
      <c r="J9158" s="24">
        <v>0.0</v>
      </c>
      <c r="K9158" s="23" t="s">
        <v>34</v>
      </c>
      <c r="L9158" s="25">
        <v>40928.43111111111</v>
      </c>
      <c r="M9158" s="26" t="s">
        <v>15263</v>
      </c>
      <c r="N9158" s="26" t="s">
        <v>20036</v>
      </c>
      <c r="O9158" s="22" t="str">
        <f>HYPERLINK("https://pbs.twimg.com/profile_images/2845524076/f5bbaad4ea6aa3d122be82d90ea0e12a_normal.jpeg","View")</f>
        <v>View</v>
      </c>
      <c r="P9158" s="27"/>
    </row>
    <row r="9159">
      <c r="A9159" s="14">
        <v>43031.93922453704</v>
      </c>
      <c r="B9159" s="20" t="str">
        <f>HYPERLINK("https://twitter.com/KazimotoBaraka3","@KazimotoBaraka3")</f>
        <v>@KazimotoBaraka3</v>
      </c>
      <c r="C9159" s="21" t="s">
        <v>13398</v>
      </c>
      <c r="D9159" s="21" t="s">
        <v>18788</v>
      </c>
      <c r="E9159" s="22" t="str">
        <f>HYPERLINK("https://twitter.com/KazimotoBaraka3/status/922697282134401024","922697282134401024")</f>
        <v>922697282134401024</v>
      </c>
      <c r="F9159" s="23" t="s">
        <v>33</v>
      </c>
      <c r="G9159" s="24">
        <v>465.0</v>
      </c>
      <c r="H9159" s="24">
        <v>5000.0</v>
      </c>
      <c r="I9159" s="24">
        <v>28.0</v>
      </c>
      <c r="J9159" s="24">
        <v>0.0</v>
      </c>
      <c r="K9159" s="23" t="s">
        <v>34</v>
      </c>
      <c r="L9159" s="25">
        <v>42834.07413194445</v>
      </c>
      <c r="M9159" s="26" t="s">
        <v>2912</v>
      </c>
      <c r="N9159" s="26" t="s">
        <v>13399</v>
      </c>
      <c r="O9159" s="22" t="str">
        <f>HYPERLINK("https://pbs.twimg.com/profile_images/912565184815882240/RnjIyacP_normal.jpg","View")</f>
        <v>View</v>
      </c>
      <c r="P9159" s="27"/>
    </row>
    <row r="9160">
      <c r="A9160" s="14">
        <v>43031.93923611111</v>
      </c>
      <c r="B9160" s="20" t="str">
        <f>HYPERLINK("https://twitter.com/thiebun993","@thiebun993")</f>
        <v>@thiebun993</v>
      </c>
      <c r="C9160" s="21" t="s">
        <v>20037</v>
      </c>
      <c r="D9160" s="21" t="s">
        <v>18162</v>
      </c>
      <c r="E9160" s="22" t="str">
        <f>HYPERLINK("https://twitter.com/thiebun993/status/922697283963113472","922697283963113472")</f>
        <v>922697283963113472</v>
      </c>
      <c r="F9160" s="23" t="s">
        <v>55</v>
      </c>
      <c r="G9160" s="24">
        <v>5301.0</v>
      </c>
      <c r="H9160" s="24">
        <v>5715.0</v>
      </c>
      <c r="I9160" s="24">
        <v>59.0</v>
      </c>
      <c r="J9160" s="24">
        <v>0.0</v>
      </c>
      <c r="K9160" s="23" t="s">
        <v>34</v>
      </c>
      <c r="L9160" s="25">
        <v>40782.76353009259</v>
      </c>
      <c r="M9160" s="26" t="s">
        <v>20038</v>
      </c>
      <c r="N9160" s="26" t="s">
        <v>20039</v>
      </c>
      <c r="O9160" s="22" t="str">
        <f>HYPERLINK("https://pbs.twimg.com/profile_images/883538850768756737/HKRO2SoY_normal.jpg","View")</f>
        <v>View</v>
      </c>
      <c r="P9160" s="27"/>
    </row>
    <row r="9161">
      <c r="A9161" s="14">
        <v>43031.93953703703</v>
      </c>
      <c r="B9161" s="20" t="str">
        <f>HYPERLINK("https://twitter.com/AKaushal96","@AKaushal96")</f>
        <v>@AKaushal96</v>
      </c>
      <c r="C9161" s="21" t="s">
        <v>20040</v>
      </c>
      <c r="D9161" s="21" t="s">
        <v>42</v>
      </c>
      <c r="E9161" s="22" t="str">
        <f>HYPERLINK("https://twitter.com/AKaushal96/status/922697396831883266","922697396831883266")</f>
        <v>922697396831883266</v>
      </c>
      <c r="F9161" s="23" t="s">
        <v>33</v>
      </c>
      <c r="G9161" s="24">
        <v>391.0</v>
      </c>
      <c r="H9161" s="24">
        <v>531.0</v>
      </c>
      <c r="I9161" s="24">
        <v>8501.0</v>
      </c>
      <c r="J9161" s="24">
        <v>0.0</v>
      </c>
      <c r="K9161" s="23" t="s">
        <v>34</v>
      </c>
      <c r="L9161" s="25">
        <v>42612.14481481482</v>
      </c>
      <c r="M9161" s="26" t="s">
        <v>394</v>
      </c>
      <c r="N9161" s="26" t="s">
        <v>20041</v>
      </c>
      <c r="O9161" s="22" t="str">
        <f>HYPERLINK("https://pbs.twimg.com/profile_images/866589993409683456/jQYpwJ2__normal.jpg","View")</f>
        <v>View</v>
      </c>
      <c r="P9161" s="27"/>
    </row>
    <row r="9162">
      <c r="A9162" s="14">
        <v>43031.93981481482</v>
      </c>
      <c r="B9162" s="20" t="str">
        <f>HYPERLINK("https://twitter.com/Livefree012017","@Livefree012017")</f>
        <v>@Livefree012017</v>
      </c>
      <c r="C9162" s="21" t="s">
        <v>20042</v>
      </c>
      <c r="D9162" s="21" t="s">
        <v>42</v>
      </c>
      <c r="E9162" s="22" t="str">
        <f>HYPERLINK("https://twitter.com/Livefree012017/status/922697496148578304","922697496148578304")</f>
        <v>922697496148578304</v>
      </c>
      <c r="F9162" s="23" t="s">
        <v>33</v>
      </c>
      <c r="G9162" s="24">
        <v>15.0</v>
      </c>
      <c r="H9162" s="24">
        <v>116.0</v>
      </c>
      <c r="I9162" s="24">
        <v>8501.0</v>
      </c>
      <c r="J9162" s="24">
        <v>0.0</v>
      </c>
      <c r="K9162" s="23" t="s">
        <v>34</v>
      </c>
      <c r="L9162" s="25">
        <v>42779.371979166666</v>
      </c>
      <c r="M9162" s="26" t="s">
        <v>246</v>
      </c>
      <c r="N9162" s="26" t="s">
        <v>20043</v>
      </c>
      <c r="O9162" s="22" t="str">
        <f>HYPERLINK("https://pbs.twimg.com/profile_images/918184027906961408/B01L6jz8_normal.jpg","View")</f>
        <v>View</v>
      </c>
      <c r="P9162" s="27"/>
    </row>
    <row r="9163">
      <c r="A9163" s="14">
        <v>43031.93989583333</v>
      </c>
      <c r="B9163" s="20" t="str">
        <f>HYPERLINK("https://twitter.com/Kayleen632","@Kayleen632")</f>
        <v>@Kayleen632</v>
      </c>
      <c r="C9163" s="21" t="s">
        <v>20044</v>
      </c>
      <c r="D9163" s="21" t="s">
        <v>2369</v>
      </c>
      <c r="E9163" s="22" t="str">
        <f>HYPERLINK("https://twitter.com/Kayleen632/status/922697526083555328","922697526083555328")</f>
        <v>922697526083555328</v>
      </c>
      <c r="F9163" s="23" t="s">
        <v>33</v>
      </c>
      <c r="G9163" s="24">
        <v>42.0</v>
      </c>
      <c r="H9163" s="24">
        <v>1487.0</v>
      </c>
      <c r="I9163" s="24">
        <v>23.0</v>
      </c>
      <c r="J9163" s="24">
        <v>0.0</v>
      </c>
      <c r="K9163" s="23" t="s">
        <v>34</v>
      </c>
      <c r="L9163" s="25">
        <v>41081.74538194444</v>
      </c>
      <c r="M9163" s="26" t="s">
        <v>20045</v>
      </c>
      <c r="N9163" s="26" t="s">
        <v>20046</v>
      </c>
      <c r="O9163" s="22" t="str">
        <f>HYPERLINK("https://pbs.twimg.com/profile_images/770369509769244672/pDSKDuRH_normal.jpg","View")</f>
        <v>View</v>
      </c>
      <c r="P9163" s="27"/>
    </row>
    <row r="9164">
      <c r="A9164" s="14">
        <v>43031.94116898148</v>
      </c>
      <c r="B9164" s="20" t="str">
        <f>HYPERLINK("https://twitter.com/JayantKrSingh4","@JayantKrSingh4")</f>
        <v>@JayantKrSingh4</v>
      </c>
      <c r="C9164" s="21" t="s">
        <v>20047</v>
      </c>
      <c r="D9164" s="21" t="s">
        <v>42</v>
      </c>
      <c r="E9164" s="22" t="str">
        <f>HYPERLINK("https://twitter.com/JayantKrSingh4/status/922697984260878336","922697984260878336")</f>
        <v>922697984260878336</v>
      </c>
      <c r="F9164" s="23" t="s">
        <v>33</v>
      </c>
      <c r="G9164" s="24">
        <v>74.0</v>
      </c>
      <c r="H9164" s="24">
        <v>369.0</v>
      </c>
      <c r="I9164" s="24">
        <v>8501.0</v>
      </c>
      <c r="J9164" s="24">
        <v>0.0</v>
      </c>
      <c r="K9164" s="23" t="s">
        <v>34</v>
      </c>
      <c r="L9164" s="25">
        <v>42854.09737268518</v>
      </c>
      <c r="M9164" s="26" t="s">
        <v>20048</v>
      </c>
      <c r="N9164" s="26" t="s">
        <v>20049</v>
      </c>
      <c r="O9164" s="22" t="str">
        <f>HYPERLINK("https://pbs.twimg.com/profile_images/912897744058142720/XKDqe6hF_normal.jpg","View")</f>
        <v>View</v>
      </c>
      <c r="P9164" s="27"/>
    </row>
    <row r="9165">
      <c r="A9165" s="14">
        <v>43031.94142361111</v>
      </c>
      <c r="B9165" s="20" t="str">
        <f>HYPERLINK("https://twitter.com/realPapillonJr","@realPapillonJr")</f>
        <v>@realPapillonJr</v>
      </c>
      <c r="C9165" s="21" t="s">
        <v>19966</v>
      </c>
      <c r="D9165" s="21" t="s">
        <v>20050</v>
      </c>
      <c r="E9165" s="22" t="str">
        <f>HYPERLINK("https://twitter.com/realPapillonJr/status/922698077949046785","922698077949046785")</f>
        <v>922698077949046785</v>
      </c>
      <c r="F9165" s="23" t="s">
        <v>19968</v>
      </c>
      <c r="G9165" s="24">
        <v>1897.0</v>
      </c>
      <c r="H9165" s="24">
        <v>2045.0</v>
      </c>
      <c r="I9165" s="24">
        <v>0.0</v>
      </c>
      <c r="J9165" s="24">
        <v>0.0</v>
      </c>
      <c r="K9165" s="23" t="s">
        <v>34</v>
      </c>
      <c r="L9165" s="25">
        <v>40770.847395833334</v>
      </c>
      <c r="M9165" s="26" t="s">
        <v>19227</v>
      </c>
      <c r="N9165" s="26" t="s">
        <v>19969</v>
      </c>
      <c r="O9165" s="22" t="str">
        <f>HYPERLINK("https://pbs.twimg.com/profile_images/864346027125481473/YAh49EhX_normal.jpg","View")</f>
        <v>View</v>
      </c>
      <c r="P9165" s="27"/>
    </row>
    <row r="9166">
      <c r="A9166" s="14">
        <v>43031.94162037037</v>
      </c>
      <c r="B9166" s="20" t="str">
        <f>HYPERLINK("https://twitter.com/amitkaushal90","@amitkaushal90")</f>
        <v>@amitkaushal90</v>
      </c>
      <c r="C9166" s="21" t="s">
        <v>20051</v>
      </c>
      <c r="D9166" s="21" t="s">
        <v>42</v>
      </c>
      <c r="E9166" s="22" t="str">
        <f>HYPERLINK("https://twitter.com/amitkaushal90/status/922698148602175488","922698148602175488")</f>
        <v>922698148602175488</v>
      </c>
      <c r="F9166" s="23" t="s">
        <v>33</v>
      </c>
      <c r="G9166" s="24">
        <v>221.0</v>
      </c>
      <c r="H9166" s="24">
        <v>58.0</v>
      </c>
      <c r="I9166" s="24">
        <v>8501.0</v>
      </c>
      <c r="J9166" s="24">
        <v>0.0</v>
      </c>
      <c r="K9166" s="23" t="s">
        <v>34</v>
      </c>
      <c r="L9166" s="25">
        <v>40727.16018518519</v>
      </c>
      <c r="M9166" s="26" t="s">
        <v>20052</v>
      </c>
      <c r="N9166" s="26" t="s">
        <v>20053</v>
      </c>
      <c r="O9166" s="22" t="str">
        <f>HYPERLINK("https://pbs.twimg.com/profile_images/917316709706616832/QgwnM1pu_normal.jpg","View")</f>
        <v>View</v>
      </c>
      <c r="P9166" s="27"/>
    </row>
    <row r="9167">
      <c r="A9167" s="14">
        <v>43031.94211805555</v>
      </c>
      <c r="B9167" s="20" t="str">
        <f>HYPERLINK("https://twitter.com/NervYoko","@NervYoko")</f>
        <v>@NervYoko</v>
      </c>
      <c r="C9167" s="21" t="s">
        <v>20054</v>
      </c>
      <c r="D9167" s="21" t="s">
        <v>19258</v>
      </c>
      <c r="E9167" s="22" t="str">
        <f>HYPERLINK("https://twitter.com/NervYoko/status/922698330098028545","922698330098028545")</f>
        <v>922698330098028545</v>
      </c>
      <c r="F9167" s="23" t="s">
        <v>55</v>
      </c>
      <c r="G9167" s="24">
        <v>200.0</v>
      </c>
      <c r="H9167" s="24">
        <v>40.0</v>
      </c>
      <c r="I9167" s="24">
        <v>7.0</v>
      </c>
      <c r="J9167" s="24">
        <v>0.0</v>
      </c>
      <c r="K9167" s="23" t="s">
        <v>34</v>
      </c>
      <c r="L9167" s="25">
        <v>41673.990381944444</v>
      </c>
      <c r="M9167" s="26" t="s">
        <v>20055</v>
      </c>
      <c r="N9167" s="26" t="s">
        <v>20056</v>
      </c>
      <c r="O9167" s="22" t="str">
        <f>HYPERLINK("https://pbs.twimg.com/profile_images/553163469210406912/Z73BmK8g_normal.png","View")</f>
        <v>View</v>
      </c>
      <c r="P9167" s="27"/>
    </row>
    <row r="9168">
      <c r="A9168" s="14">
        <v>43031.94236111111</v>
      </c>
      <c r="B9168" s="20" t="str">
        <f>HYPERLINK("https://twitter.com/DBirich","@DBirich")</f>
        <v>@DBirich</v>
      </c>
      <c r="C9168" s="21" t="s">
        <v>7331</v>
      </c>
      <c r="D9168" s="21" t="s">
        <v>19258</v>
      </c>
      <c r="E9168" s="22" t="str">
        <f>HYPERLINK("https://twitter.com/DBirich/status/922698416890826752","922698416890826752")</f>
        <v>922698416890826752</v>
      </c>
      <c r="F9168" s="23" t="s">
        <v>39</v>
      </c>
      <c r="G9168" s="24">
        <v>9.0</v>
      </c>
      <c r="H9168" s="24">
        <v>67.0</v>
      </c>
      <c r="I9168" s="24">
        <v>7.0</v>
      </c>
      <c r="J9168" s="24">
        <v>0.0</v>
      </c>
      <c r="K9168" s="23" t="s">
        <v>34</v>
      </c>
      <c r="L9168" s="25">
        <v>40951.50546296296</v>
      </c>
      <c r="M9168" s="26" t="s">
        <v>7333</v>
      </c>
      <c r="N9168" s="26" t="s">
        <v>7334</v>
      </c>
      <c r="O9168" s="22" t="str">
        <f>HYPERLINK("https://abs.twimg.com/sticky/default_profile_images/default_profile_normal.png","View")</f>
        <v>View</v>
      </c>
      <c r="P9168" s="27"/>
    </row>
    <row r="9169">
      <c r="A9169" s="14">
        <v>43031.94273148148</v>
      </c>
      <c r="B9169" s="20" t="str">
        <f>HYPERLINK("https://twitter.com/VinodTaparia1","@VinodTaparia1")</f>
        <v>@VinodTaparia1</v>
      </c>
      <c r="C9169" s="21" t="s">
        <v>20057</v>
      </c>
      <c r="D9169" s="21" t="s">
        <v>42</v>
      </c>
      <c r="E9169" s="22" t="str">
        <f>HYPERLINK("https://twitter.com/VinodTaparia1/status/922698552882663424","922698552882663424")</f>
        <v>922698552882663424</v>
      </c>
      <c r="F9169" s="23" t="s">
        <v>230</v>
      </c>
      <c r="G9169" s="24">
        <v>39857.0</v>
      </c>
      <c r="H9169" s="24">
        <v>10540.0</v>
      </c>
      <c r="I9169" s="24">
        <v>8501.0</v>
      </c>
      <c r="J9169" s="24">
        <v>0.0</v>
      </c>
      <c r="K9169" s="23" t="s">
        <v>34</v>
      </c>
      <c r="L9169" s="25">
        <v>40735.24741898148</v>
      </c>
      <c r="M9169" s="26" t="s">
        <v>156</v>
      </c>
      <c r="N9169" s="26" t="s">
        <v>20058</v>
      </c>
      <c r="O9169" s="22" t="str">
        <f>HYPERLINK("https://pbs.twimg.com/profile_images/834823063917170688/NXfKH4sW_normal.jpg","View")</f>
        <v>View</v>
      </c>
      <c r="P9169" s="27"/>
    </row>
    <row r="9170">
      <c r="A9170" s="14">
        <v>43031.94306712963</v>
      </c>
      <c r="B9170" s="20" t="str">
        <f>HYPERLINK("https://twitter.com/jostaryoutube13","@jostaryoutube13")</f>
        <v>@jostaryoutube13</v>
      </c>
      <c r="C9170" s="21" t="s">
        <v>3358</v>
      </c>
      <c r="D9170" s="21" t="s">
        <v>20059</v>
      </c>
      <c r="E9170" s="22" t="str">
        <f>HYPERLINK("https://twitter.com/jostaryoutube13/status/922698672537776128","922698672537776128")</f>
        <v>922698672537776128</v>
      </c>
      <c r="F9170" s="30" t="s">
        <v>659</v>
      </c>
      <c r="G9170" s="24">
        <v>58.0</v>
      </c>
      <c r="H9170" s="24">
        <v>20.0</v>
      </c>
      <c r="I9170" s="24">
        <v>0.0</v>
      </c>
      <c r="J9170" s="24">
        <v>0.0</v>
      </c>
      <c r="K9170" s="23" t="s">
        <v>34</v>
      </c>
      <c r="L9170" s="25">
        <v>42604.41011574074</v>
      </c>
      <c r="M9170" s="26" t="s">
        <v>660</v>
      </c>
      <c r="N9170" s="26" t="s">
        <v>3360</v>
      </c>
      <c r="O9170" s="22" t="str">
        <f>HYPERLINK("https://pbs.twimg.com/profile_images/767766459590193152/l1kWRROh_normal.jpg","View")</f>
        <v>View</v>
      </c>
      <c r="P9170" s="27"/>
    </row>
    <row r="9171">
      <c r="A9171" s="14">
        <v>43031.943148148144</v>
      </c>
      <c r="B9171" s="20" t="str">
        <f>HYPERLINK("https://twitter.com/EVersifier","@EVersifier")</f>
        <v>@EVersifier</v>
      </c>
      <c r="C9171" s="21" t="s">
        <v>20060</v>
      </c>
      <c r="D9171" s="21" t="s">
        <v>20061</v>
      </c>
      <c r="E9171" s="22" t="str">
        <f>HYPERLINK("https://twitter.com/EVersifier/status/922698704649306112","922698704649306112")</f>
        <v>922698704649306112</v>
      </c>
      <c r="F9171" s="23" t="s">
        <v>33</v>
      </c>
      <c r="G9171" s="24">
        <v>15.0</v>
      </c>
      <c r="H9171" s="24">
        <v>184.0</v>
      </c>
      <c r="I9171" s="24">
        <v>9.0</v>
      </c>
      <c r="J9171" s="24">
        <v>0.0</v>
      </c>
      <c r="K9171" s="23" t="s">
        <v>34</v>
      </c>
      <c r="L9171" s="25">
        <v>43019.246817129635</v>
      </c>
      <c r="M9171" s="28"/>
      <c r="N9171" s="26" t="s">
        <v>20062</v>
      </c>
      <c r="O9171" s="22" t="str">
        <f>HYPERLINK("https://pbs.twimg.com/profile_images/918112986048315393/i3ZphGGQ_normal.jpg","View")</f>
        <v>View</v>
      </c>
      <c r="P9171" s="27"/>
    </row>
    <row r="9172">
      <c r="A9172" s="14">
        <v>43031.94490740741</v>
      </c>
      <c r="B9172" s="20" t="str">
        <f>HYPERLINK("https://twitter.com/gbrdesai21","@gbrdesai21")</f>
        <v>@gbrdesai21</v>
      </c>
      <c r="C9172" s="21" t="s">
        <v>20063</v>
      </c>
      <c r="D9172" s="21" t="s">
        <v>42</v>
      </c>
      <c r="E9172" s="22" t="str">
        <f>HYPERLINK("https://twitter.com/gbrdesai21/status/922699342670045185","922699342670045185")</f>
        <v>922699342670045185</v>
      </c>
      <c r="F9172" s="23" t="s">
        <v>33</v>
      </c>
      <c r="G9172" s="24">
        <v>6.0</v>
      </c>
      <c r="H9172" s="24">
        <v>99.0</v>
      </c>
      <c r="I9172" s="24">
        <v>8501.0</v>
      </c>
      <c r="J9172" s="24">
        <v>0.0</v>
      </c>
      <c r="K9172" s="23" t="s">
        <v>34</v>
      </c>
      <c r="L9172" s="25">
        <v>42552.969930555555</v>
      </c>
      <c r="M9172" s="28"/>
      <c r="N9172" s="28"/>
      <c r="O9172" s="22" t="str">
        <f>HYPERLINK("https://abs.twimg.com/sticky/default_profile_images/default_profile_normal.png","View")</f>
        <v>View</v>
      </c>
      <c r="P9172" s="27"/>
    </row>
    <row r="9173">
      <c r="A9173" s="14">
        <v>43031.94515046296</v>
      </c>
      <c r="B9173" s="20" t="str">
        <f>HYPERLINK("https://twitter.com/RanjanKumarMah5","@RanjanKumarMah5")</f>
        <v>@RanjanKumarMah5</v>
      </c>
      <c r="C9173" s="21" t="s">
        <v>20064</v>
      </c>
      <c r="D9173" s="21" t="s">
        <v>42</v>
      </c>
      <c r="E9173" s="22" t="str">
        <f>HYPERLINK("https://twitter.com/RanjanKumarMah5/status/922699429102129152","922699429102129152")</f>
        <v>922699429102129152</v>
      </c>
      <c r="F9173" s="23" t="s">
        <v>33</v>
      </c>
      <c r="G9173" s="24">
        <v>90.0</v>
      </c>
      <c r="H9173" s="24">
        <v>178.0</v>
      </c>
      <c r="I9173" s="24">
        <v>8501.0</v>
      </c>
      <c r="J9173" s="24">
        <v>0.0</v>
      </c>
      <c r="K9173" s="23" t="s">
        <v>34</v>
      </c>
      <c r="L9173" s="25">
        <v>41611.51783564815</v>
      </c>
      <c r="M9173" s="26" t="s">
        <v>20065</v>
      </c>
      <c r="N9173" s="26" t="s">
        <v>20066</v>
      </c>
      <c r="O9173" s="22" t="str">
        <f>HYPERLINK("https://pbs.twimg.com/profile_images/864825952169275392/e0w1iiCW_normal.jpg","View")</f>
        <v>View</v>
      </c>
      <c r="P9173" s="27"/>
    </row>
    <row r="9174">
      <c r="A9174" s="14">
        <v>43031.94521990741</v>
      </c>
      <c r="B9174" s="20" t="str">
        <f>HYPERLINK("https://twitter.com/hino_maru__","@hino_maru__")</f>
        <v>@hino_maru__</v>
      </c>
      <c r="C9174" s="21" t="s">
        <v>20067</v>
      </c>
      <c r="D9174" s="21" t="s">
        <v>42</v>
      </c>
      <c r="E9174" s="22" t="str">
        <f>HYPERLINK("https://twitter.com/hino_maru__/status/922699454162939904","922699454162939904")</f>
        <v>922699454162939904</v>
      </c>
      <c r="F9174" s="23" t="s">
        <v>39</v>
      </c>
      <c r="G9174" s="24">
        <v>293.0</v>
      </c>
      <c r="H9174" s="24">
        <v>298.0</v>
      </c>
      <c r="I9174" s="24">
        <v>8501.0</v>
      </c>
      <c r="J9174" s="24">
        <v>0.0</v>
      </c>
      <c r="K9174" s="23" t="s">
        <v>34</v>
      </c>
      <c r="L9174" s="25">
        <v>42928.97621527778</v>
      </c>
      <c r="M9174" s="28"/>
      <c r="N9174" s="26" t="s">
        <v>20068</v>
      </c>
      <c r="O9174" s="22" t="str">
        <f>HYPERLINK("https://pbs.twimg.com/profile_images/885387143417184256/qlVO9OL7_normal.jpg","View")</f>
        <v>View</v>
      </c>
      <c r="P9174" s="27"/>
    </row>
    <row r="9175">
      <c r="A9175" s="14">
        <v>43031.9455787037</v>
      </c>
      <c r="B9175" s="20" t="str">
        <f>HYPERLINK("https://twitter.com/AcmatixJoshi","@AcmatixJoshi")</f>
        <v>@AcmatixJoshi</v>
      </c>
      <c r="C9175" s="21" t="s">
        <v>20069</v>
      </c>
      <c r="D9175" s="21" t="s">
        <v>42</v>
      </c>
      <c r="E9175" s="22" t="str">
        <f>HYPERLINK("https://twitter.com/AcmatixJoshi/status/922699585436471296","922699585436471296")</f>
        <v>922699585436471296</v>
      </c>
      <c r="F9175" s="23" t="s">
        <v>33</v>
      </c>
      <c r="G9175" s="24">
        <v>5625.0</v>
      </c>
      <c r="H9175" s="24">
        <v>454.0</v>
      </c>
      <c r="I9175" s="24">
        <v>8501.0</v>
      </c>
      <c r="J9175" s="24">
        <v>0.0</v>
      </c>
      <c r="K9175" s="23" t="s">
        <v>34</v>
      </c>
      <c r="L9175" s="25">
        <v>41636.40729166666</v>
      </c>
      <c r="M9175" s="26" t="s">
        <v>20070</v>
      </c>
      <c r="N9175" s="26" t="s">
        <v>20071</v>
      </c>
      <c r="O9175" s="22" t="str">
        <f>HYPERLINK("https://pbs.twimg.com/profile_images/844002572457426945/dF_wexiv_normal.jpg","View")</f>
        <v>View</v>
      </c>
      <c r="P9175" s="27"/>
    </row>
    <row r="9176">
      <c r="A9176" s="14">
        <v>43031.94570601852</v>
      </c>
      <c r="B9176" s="20" t="str">
        <f>HYPERLINK("https://twitter.com/souravjain08","@souravjain08")</f>
        <v>@souravjain08</v>
      </c>
      <c r="C9176" s="21" t="s">
        <v>20072</v>
      </c>
      <c r="D9176" s="21" t="s">
        <v>42</v>
      </c>
      <c r="E9176" s="22" t="str">
        <f>HYPERLINK("https://twitter.com/souravjain08/status/922699629497524224","922699629497524224")</f>
        <v>922699629497524224</v>
      </c>
      <c r="F9176" s="23" t="s">
        <v>33</v>
      </c>
      <c r="G9176" s="24">
        <v>5.0</v>
      </c>
      <c r="H9176" s="24">
        <v>9.0</v>
      </c>
      <c r="I9176" s="24">
        <v>8501.0</v>
      </c>
      <c r="J9176" s="24">
        <v>0.0</v>
      </c>
      <c r="K9176" s="23" t="s">
        <v>34</v>
      </c>
      <c r="L9176" s="25">
        <v>40327.01988425926</v>
      </c>
      <c r="M9176" s="26" t="s">
        <v>20073</v>
      </c>
      <c r="N9176" s="28"/>
      <c r="O9176" s="22" t="str">
        <f>HYPERLINK("https://pbs.twimg.com/profile_images/903915181083836416/o4XeZKnK_normal.jpg","View")</f>
        <v>View</v>
      </c>
      <c r="P9176" s="27"/>
    </row>
    <row r="9177">
      <c r="A9177" s="14">
        <v>43031.94577546296</v>
      </c>
      <c r="B9177" s="20" t="str">
        <f>HYPERLINK("https://twitter.com/Flisutsa","@Flisutsa")</f>
        <v>@Flisutsa</v>
      </c>
      <c r="C9177" s="21" t="s">
        <v>20074</v>
      </c>
      <c r="D9177" s="21" t="s">
        <v>32</v>
      </c>
      <c r="E9177" s="22" t="str">
        <f>HYPERLINK("https://twitter.com/Flisutsa/status/922699655078608896","922699655078608896")</f>
        <v>922699655078608896</v>
      </c>
      <c r="F9177" s="23" t="s">
        <v>33</v>
      </c>
      <c r="G9177" s="24">
        <v>110.0</v>
      </c>
      <c r="H9177" s="24">
        <v>322.0</v>
      </c>
      <c r="I9177" s="24">
        <v>471.0</v>
      </c>
      <c r="J9177" s="24">
        <v>0.0</v>
      </c>
      <c r="K9177" s="23" t="s">
        <v>34</v>
      </c>
      <c r="L9177" s="25">
        <v>41729.440613425926</v>
      </c>
      <c r="M9177" s="28"/>
      <c r="N9177" s="28"/>
      <c r="O9177" s="22" t="str">
        <f>HYPERLINK("https://pbs.twimg.com/profile_images/922691441842941954/eoPrhP5S_normal.jpg","View")</f>
        <v>View</v>
      </c>
      <c r="P9177" s="27"/>
    </row>
    <row r="9178">
      <c r="A9178" s="14">
        <v>43031.946226851855</v>
      </c>
      <c r="B9178" s="20" t="str">
        <f>HYPERLINK("https://twitter.com/rainbow_islandz","@rainbow_islandz")</f>
        <v>@rainbow_islandz</v>
      </c>
      <c r="C9178" s="21" t="s">
        <v>20075</v>
      </c>
      <c r="D9178" s="21" t="s">
        <v>1642</v>
      </c>
      <c r="E9178" s="22" t="str">
        <f>HYPERLINK("https://twitter.com/rainbow_islandz/status/922699819864399872","922699819864399872")</f>
        <v>922699819864399872</v>
      </c>
      <c r="F9178" s="23" t="s">
        <v>55</v>
      </c>
      <c r="G9178" s="24">
        <v>165.0</v>
      </c>
      <c r="H9178" s="24">
        <v>111.0</v>
      </c>
      <c r="I9178" s="24">
        <v>199.0</v>
      </c>
      <c r="J9178" s="24">
        <v>0.0</v>
      </c>
      <c r="K9178" s="23" t="s">
        <v>34</v>
      </c>
      <c r="L9178" s="25">
        <v>40476.934166666666</v>
      </c>
      <c r="M9178" s="26" t="s">
        <v>10404</v>
      </c>
      <c r="N9178" s="26" t="s">
        <v>20076</v>
      </c>
      <c r="O9178" s="22" t="str">
        <f>HYPERLINK("https://pbs.twimg.com/profile_images/862484303984316416/OFbnCWUS_normal.jpg","View")</f>
        <v>View</v>
      </c>
      <c r="P9178" s="27"/>
    </row>
    <row r="9179">
      <c r="A9179" s="14">
        <v>43031.94662037037</v>
      </c>
      <c r="B9179" s="20" t="str">
        <f>HYPERLINK("https://twitter.com/rayann2320","@rayann2320")</f>
        <v>@rayann2320</v>
      </c>
      <c r="C9179" s="21" t="s">
        <v>20077</v>
      </c>
      <c r="D9179" s="21" t="s">
        <v>18788</v>
      </c>
      <c r="E9179" s="22" t="str">
        <f>HYPERLINK("https://twitter.com/rayann2320/status/922699961095073792","922699961095073792")</f>
        <v>922699961095073792</v>
      </c>
      <c r="F9179" s="23" t="s">
        <v>33</v>
      </c>
      <c r="G9179" s="24">
        <v>9330.0</v>
      </c>
      <c r="H9179" s="24">
        <v>10192.0</v>
      </c>
      <c r="I9179" s="24">
        <v>28.0</v>
      </c>
      <c r="J9179" s="24">
        <v>0.0</v>
      </c>
      <c r="K9179" s="23" t="s">
        <v>34</v>
      </c>
      <c r="L9179" s="25">
        <v>41769.64096064815</v>
      </c>
      <c r="M9179" s="26" t="s">
        <v>5557</v>
      </c>
      <c r="N9179" s="26" t="s">
        <v>20078</v>
      </c>
      <c r="O9179" s="22" t="str">
        <f>HYPERLINK("https://pbs.twimg.com/profile_images/721790472692183040/Mk_Ep6BC_normal.png","View")</f>
        <v>View</v>
      </c>
      <c r="P9179" s="27"/>
    </row>
    <row r="9180">
      <c r="A9180" s="14">
        <v>43031.94668981481</v>
      </c>
      <c r="B9180" s="20" t="str">
        <f>HYPERLINK("https://twitter.com/trendr","@trendr")</f>
        <v>@trendr</v>
      </c>
      <c r="C9180" s="21" t="s">
        <v>6908</v>
      </c>
      <c r="D9180" s="21" t="s">
        <v>20079</v>
      </c>
      <c r="E9180" s="22" t="str">
        <f>HYPERLINK("https://twitter.com/trendr/status/922699985065570304","922699985065570304")</f>
        <v>922699985065570304</v>
      </c>
      <c r="F9180" s="23" t="s">
        <v>187</v>
      </c>
      <c r="G9180" s="24">
        <v>86.0</v>
      </c>
      <c r="H9180" s="24">
        <v>232.0</v>
      </c>
      <c r="I9180" s="24">
        <v>0.0</v>
      </c>
      <c r="J9180" s="24">
        <v>0.0</v>
      </c>
      <c r="K9180" s="23" t="s">
        <v>34</v>
      </c>
      <c r="L9180" s="25">
        <v>39989.58944444444</v>
      </c>
      <c r="M9180" s="28"/>
      <c r="N9180" s="26" t="s">
        <v>6910</v>
      </c>
      <c r="O9180" s="22" t="str">
        <f>HYPERLINK("https://pbs.twimg.com/profile_images/818973177460178945/npoPG_m0_normal.jpg","View")</f>
        <v>View</v>
      </c>
      <c r="P9180" s="27"/>
    </row>
    <row r="9181">
      <c r="A9181" s="14">
        <v>43031.9468287037</v>
      </c>
      <c r="B9181" s="20" t="str">
        <f>HYPERLINK("https://twitter.com/KayeFairweathe1","@KayeFairweathe1")</f>
        <v>@KayeFairweathe1</v>
      </c>
      <c r="C9181" s="21" t="s">
        <v>20080</v>
      </c>
      <c r="D9181" s="21" t="s">
        <v>42</v>
      </c>
      <c r="E9181" s="22" t="str">
        <f>HYPERLINK("https://twitter.com/KayeFairweathe1/status/922700037930467328","922700037930467328")</f>
        <v>922700037930467328</v>
      </c>
      <c r="F9181" s="23" t="s">
        <v>39</v>
      </c>
      <c r="G9181" s="24">
        <v>29.0</v>
      </c>
      <c r="H9181" s="24">
        <v>48.0</v>
      </c>
      <c r="I9181" s="24">
        <v>8501.0</v>
      </c>
      <c r="J9181" s="24">
        <v>0.0</v>
      </c>
      <c r="K9181" s="23" t="s">
        <v>34</v>
      </c>
      <c r="L9181" s="25">
        <v>42329.59847222222</v>
      </c>
      <c r="M9181" s="28"/>
      <c r="N9181" s="28"/>
      <c r="O9181" s="22" t="str">
        <f>HYPERLINK("https://abs.twimg.com/sticky/default_profile_images/default_profile_normal.png","View")</f>
        <v>View</v>
      </c>
      <c r="P9181" s="27"/>
    </row>
    <row r="9182">
      <c r="A9182" s="14">
        <v>43031.947743055556</v>
      </c>
      <c r="B9182" s="20" t="str">
        <f>HYPERLINK("https://twitter.com/eolh_wunjo","@eolh_wunjo")</f>
        <v>@eolh_wunjo</v>
      </c>
      <c r="C9182" s="21" t="s">
        <v>20081</v>
      </c>
      <c r="D9182" s="21" t="s">
        <v>1642</v>
      </c>
      <c r="E9182" s="22" t="str">
        <f>HYPERLINK("https://twitter.com/eolh_wunjo/status/922700369012150272","922700369012150272")</f>
        <v>922700369012150272</v>
      </c>
      <c r="F9182" s="23" t="s">
        <v>230</v>
      </c>
      <c r="G9182" s="24">
        <v>63.0</v>
      </c>
      <c r="H9182" s="24">
        <v>280.0</v>
      </c>
      <c r="I9182" s="24">
        <v>199.0</v>
      </c>
      <c r="J9182" s="24">
        <v>0.0</v>
      </c>
      <c r="K9182" s="23" t="s">
        <v>34</v>
      </c>
      <c r="L9182" s="25">
        <v>42900.93167824074</v>
      </c>
      <c r="M9182" s="26" t="s">
        <v>20082</v>
      </c>
      <c r="N9182" s="26" t="s">
        <v>20083</v>
      </c>
      <c r="O9182" s="22" t="str">
        <f>HYPERLINK("https://pbs.twimg.com/profile_images/875229363452616704/fVBeFpO2_normal.jpg","View")</f>
        <v>View</v>
      </c>
      <c r="P9182" s="27"/>
    </row>
    <row r="9183">
      <c r="A9183" s="14">
        <v>43031.94789351852</v>
      </c>
      <c r="B9183" s="20" t="str">
        <f>HYPERLINK("https://twitter.com/HajiNoorUllah7","@HajiNoorUllah7")</f>
        <v>@HajiNoorUllah7</v>
      </c>
      <c r="C9183" s="21" t="s">
        <v>20084</v>
      </c>
      <c r="D9183" s="21" t="s">
        <v>42</v>
      </c>
      <c r="E9183" s="22" t="str">
        <f>HYPERLINK("https://twitter.com/HajiNoorUllah7/status/922700423886143489","922700423886143489")</f>
        <v>922700423886143489</v>
      </c>
      <c r="F9183" s="23" t="s">
        <v>39</v>
      </c>
      <c r="G9183" s="24">
        <v>30.0</v>
      </c>
      <c r="H9183" s="24">
        <v>83.0</v>
      </c>
      <c r="I9183" s="24">
        <v>8501.0</v>
      </c>
      <c r="J9183" s="24">
        <v>0.0</v>
      </c>
      <c r="K9183" s="23" t="s">
        <v>34</v>
      </c>
      <c r="L9183" s="25">
        <v>42909.278240740736</v>
      </c>
      <c r="M9183" s="26" t="s">
        <v>20085</v>
      </c>
      <c r="N9183" s="26" t="s">
        <v>20086</v>
      </c>
      <c r="O9183" s="22" t="str">
        <f>HYPERLINK("https://pbs.twimg.com/profile_images/878669086367948801/jlhufzdH_normal.jpg","View")</f>
        <v>View</v>
      </c>
      <c r="P9183" s="27"/>
    </row>
    <row r="9184">
      <c r="A9184" s="14">
        <v>43031.948321759264</v>
      </c>
      <c r="B9184" s="20" t="str">
        <f>HYPERLINK("https://twitter.com/ImJK93","@ImJK93")</f>
        <v>@ImJK93</v>
      </c>
      <c r="C9184" s="21" t="s">
        <v>20087</v>
      </c>
      <c r="D9184" s="21" t="s">
        <v>42</v>
      </c>
      <c r="E9184" s="22" t="str">
        <f>HYPERLINK("https://twitter.com/ImJK93/status/922700579545030656","922700579545030656")</f>
        <v>922700579545030656</v>
      </c>
      <c r="F9184" s="23" t="s">
        <v>39</v>
      </c>
      <c r="G9184" s="24">
        <v>857.0</v>
      </c>
      <c r="H9184" s="24">
        <v>927.0</v>
      </c>
      <c r="I9184" s="24">
        <v>8501.0</v>
      </c>
      <c r="J9184" s="24">
        <v>0.0</v>
      </c>
      <c r="K9184" s="23" t="s">
        <v>34</v>
      </c>
      <c r="L9184" s="25">
        <v>42925.058599537035</v>
      </c>
      <c r="M9184" s="26" t="s">
        <v>246</v>
      </c>
      <c r="N9184" s="26" t="s">
        <v>20088</v>
      </c>
      <c r="O9184" s="22" t="str">
        <f>HYPERLINK("https://pbs.twimg.com/profile_images/920955549872668672/M10I7kHM_normal.jpg","View")</f>
        <v>View</v>
      </c>
      <c r="P9184" s="27"/>
    </row>
    <row r="9185">
      <c r="A9185" s="14">
        <v>43031.94880787037</v>
      </c>
      <c r="B9185" s="20" t="str">
        <f>HYPERLINK("https://twitter.com/NTKRNow","@NTKRNow")</f>
        <v>@NTKRNow</v>
      </c>
      <c r="C9185" s="21" t="s">
        <v>14875</v>
      </c>
      <c r="D9185" s="21" t="s">
        <v>20089</v>
      </c>
      <c r="E9185" s="22" t="str">
        <f>HYPERLINK("https://twitter.com/NTKRNow/status/922700755341111296","922700755341111296")</f>
        <v>922700755341111296</v>
      </c>
      <c r="F9185" s="23" t="s">
        <v>187</v>
      </c>
      <c r="G9185" s="24">
        <v>605.0</v>
      </c>
      <c r="H9185" s="24">
        <v>4.0</v>
      </c>
      <c r="I9185" s="24">
        <v>0.0</v>
      </c>
      <c r="J9185" s="24">
        <v>0.0</v>
      </c>
      <c r="K9185" s="23" t="s">
        <v>34</v>
      </c>
      <c r="L9185" s="25">
        <v>42402.810625</v>
      </c>
      <c r="M9185" s="28"/>
      <c r="N9185" s="28"/>
      <c r="O9185" s="22" t="str">
        <f>HYPERLINK("https://abs.twimg.com/sticky/default_profile_images/default_profile_normal.png","View")</f>
        <v>View</v>
      </c>
      <c r="P9185" s="27"/>
    </row>
    <row r="9186">
      <c r="A9186" s="14">
        <v>43031.94899305556</v>
      </c>
      <c r="B9186" s="20" t="str">
        <f>HYPERLINK("https://twitter.com/BhagasaJat","@BhagasaJat")</f>
        <v>@BhagasaJat</v>
      </c>
      <c r="C9186" s="21" t="s">
        <v>20090</v>
      </c>
      <c r="D9186" s="21" t="s">
        <v>20091</v>
      </c>
      <c r="E9186" s="22" t="str">
        <f>HYPERLINK("https://twitter.com/BhagasaJat/status/922700821032079360","922700821032079360")</f>
        <v>922700821032079360</v>
      </c>
      <c r="F9186" s="23" t="s">
        <v>33</v>
      </c>
      <c r="G9186" s="24">
        <v>89.0</v>
      </c>
      <c r="H9186" s="24">
        <v>487.0</v>
      </c>
      <c r="I9186" s="24">
        <v>0.0</v>
      </c>
      <c r="J9186" s="24">
        <v>4.0</v>
      </c>
      <c r="K9186" s="23" t="s">
        <v>34</v>
      </c>
      <c r="L9186" s="25">
        <v>42796.97825231482</v>
      </c>
      <c r="M9186" s="26" t="s">
        <v>6559</v>
      </c>
      <c r="N9186" s="26" t="s">
        <v>20092</v>
      </c>
      <c r="O9186" s="22" t="str">
        <f>HYPERLINK("https://pbs.twimg.com/profile_images/910516657994350592/AVRGUVF-_normal.jpg","View")</f>
        <v>View</v>
      </c>
      <c r="P9186" s="27"/>
    </row>
    <row r="9187">
      <c r="A9187" s="14">
        <v>43031.949166666665</v>
      </c>
      <c r="B9187" s="20" t="str">
        <f>HYPERLINK("https://twitter.com/samikjthaker","@samikjthaker")</f>
        <v>@samikjthaker</v>
      </c>
      <c r="C9187" s="21" t="s">
        <v>20093</v>
      </c>
      <c r="D9187" s="21" t="s">
        <v>42</v>
      </c>
      <c r="E9187" s="22" t="str">
        <f>HYPERLINK("https://twitter.com/samikjthaker/status/922700886178254848","922700886178254848")</f>
        <v>922700886178254848</v>
      </c>
      <c r="F9187" s="23" t="s">
        <v>33</v>
      </c>
      <c r="G9187" s="24">
        <v>7.0</v>
      </c>
      <c r="H9187" s="24">
        <v>41.0</v>
      </c>
      <c r="I9187" s="24">
        <v>8501.0</v>
      </c>
      <c r="J9187" s="24">
        <v>0.0</v>
      </c>
      <c r="K9187" s="23" t="s">
        <v>34</v>
      </c>
      <c r="L9187" s="25">
        <v>42747.44893518518</v>
      </c>
      <c r="M9187" s="28"/>
      <c r="N9187" s="26" t="s">
        <v>20094</v>
      </c>
      <c r="O9187" s="22" t="str">
        <f>HYPERLINK("https://pbs.twimg.com/profile_images/819622997732585472/X7i3hxGJ_normal.jpg","View")</f>
        <v>View</v>
      </c>
      <c r="P9187" s="27"/>
    </row>
    <row r="9188">
      <c r="A9188" s="14">
        <v>43031.949270833335</v>
      </c>
      <c r="B9188" s="20" t="str">
        <f>HYPERLINK("https://twitter.com/Shekhar_Pro","@Shekhar_Pro")</f>
        <v>@Shekhar_Pro</v>
      </c>
      <c r="C9188" s="21" t="s">
        <v>20095</v>
      </c>
      <c r="D9188" s="21" t="s">
        <v>523</v>
      </c>
      <c r="E9188" s="22" t="str">
        <f>HYPERLINK("https://twitter.com/Shekhar_Pro/status/922700922706210816","922700922706210816")</f>
        <v>922700922706210816</v>
      </c>
      <c r="F9188" s="23" t="s">
        <v>43</v>
      </c>
      <c r="G9188" s="24">
        <v>10.0</v>
      </c>
      <c r="H9188" s="24">
        <v>88.0</v>
      </c>
      <c r="I9188" s="24">
        <v>97.0</v>
      </c>
      <c r="J9188" s="24">
        <v>0.0</v>
      </c>
      <c r="K9188" s="23" t="s">
        <v>34</v>
      </c>
      <c r="L9188" s="25">
        <v>42212.241631944446</v>
      </c>
      <c r="M9188" s="26" t="s">
        <v>20096</v>
      </c>
      <c r="N9188" s="26" t="s">
        <v>20097</v>
      </c>
      <c r="O9188" s="22" t="str">
        <f>HYPERLINK("https://abs.twimg.com/sticky/default_profile_images/default_profile_normal.png","View")</f>
        <v>View</v>
      </c>
      <c r="P9188" s="27"/>
    </row>
    <row r="9189">
      <c r="A9189" s="14">
        <v>43031.94938657407</v>
      </c>
      <c r="B9189" s="20" t="str">
        <f>HYPERLINK("https://twitter.com/Cloud_Newsman","@Cloud_Newsman")</f>
        <v>@Cloud_Newsman</v>
      </c>
      <c r="C9189" s="21" t="s">
        <v>20098</v>
      </c>
      <c r="D9189" s="21" t="s">
        <v>20099</v>
      </c>
      <c r="E9189" s="22" t="str">
        <f>HYPERLINK("https://twitter.com/Cloud_Newsman/status/922700964087418881","922700964087418881")</f>
        <v>922700964087418881</v>
      </c>
      <c r="F9189" s="23" t="s">
        <v>20100</v>
      </c>
      <c r="G9189" s="24">
        <v>1875.0</v>
      </c>
      <c r="H9189" s="24">
        <v>1628.0</v>
      </c>
      <c r="I9189" s="24">
        <v>0.0</v>
      </c>
      <c r="J9189" s="24">
        <v>0.0</v>
      </c>
      <c r="K9189" s="23" t="s">
        <v>34</v>
      </c>
      <c r="L9189" s="25">
        <v>41289.19391203704</v>
      </c>
      <c r="M9189" s="26" t="s">
        <v>20101</v>
      </c>
      <c r="N9189" s="26" t="s">
        <v>20102</v>
      </c>
      <c r="O9189" s="22" t="str">
        <f>HYPERLINK("https://pbs.twimg.com/profile_images/3143734674/ba806349b0ec97005af6eac05f79b8e0_normal.png","View")</f>
        <v>View</v>
      </c>
      <c r="P9189" s="27"/>
    </row>
    <row r="9190">
      <c r="A9190" s="14">
        <v>43031.949421296296</v>
      </c>
      <c r="B9190" s="20" t="str">
        <f>HYPERLINK("https://twitter.com/AidanSB","@AidanSB")</f>
        <v>@AidanSB</v>
      </c>
      <c r="C9190" s="21" t="s">
        <v>20103</v>
      </c>
      <c r="D9190" s="21" t="s">
        <v>15766</v>
      </c>
      <c r="E9190" s="22" t="str">
        <f>HYPERLINK("https://twitter.com/AidanSB/status/922700977827930113","922700977827930113")</f>
        <v>922700977827930113</v>
      </c>
      <c r="F9190" s="23" t="s">
        <v>33</v>
      </c>
      <c r="G9190" s="24">
        <v>141.0</v>
      </c>
      <c r="H9190" s="24">
        <v>491.0</v>
      </c>
      <c r="I9190" s="24">
        <v>14.0</v>
      </c>
      <c r="J9190" s="24">
        <v>0.0</v>
      </c>
      <c r="K9190" s="23" t="s">
        <v>34</v>
      </c>
      <c r="L9190" s="25">
        <v>40362.419328703705</v>
      </c>
      <c r="M9190" s="28"/>
      <c r="N9190" s="26" t="s">
        <v>20104</v>
      </c>
      <c r="O9190" s="22" t="str">
        <f>HYPERLINK("https://pbs.twimg.com/profile_images/825809495225954305/Q92VWrUE_normal.jpg","View")</f>
        <v>View</v>
      </c>
      <c r="P9190" s="27"/>
    </row>
    <row r="9191">
      <c r="A9191" s="14">
        <v>43031.94965277778</v>
      </c>
      <c r="B9191" s="20" t="str">
        <f>HYPERLINK("https://twitter.com/Rahulsa27868181","@Rahulsa27868181")</f>
        <v>@Rahulsa27868181</v>
      </c>
      <c r="C9191" s="21" t="s">
        <v>20105</v>
      </c>
      <c r="D9191" s="21" t="s">
        <v>42</v>
      </c>
      <c r="E9191" s="22" t="str">
        <f>HYPERLINK("https://twitter.com/Rahulsa27868181/status/922701059658801157","922701059658801157")</f>
        <v>922701059658801157</v>
      </c>
      <c r="F9191" s="23" t="s">
        <v>33</v>
      </c>
      <c r="G9191" s="24">
        <v>271.0</v>
      </c>
      <c r="H9191" s="24">
        <v>549.0</v>
      </c>
      <c r="I9191" s="24">
        <v>8501.0</v>
      </c>
      <c r="J9191" s="24">
        <v>0.0</v>
      </c>
      <c r="K9191" s="23" t="s">
        <v>34</v>
      </c>
      <c r="L9191" s="25">
        <v>42355.17642361111</v>
      </c>
      <c r="M9191" s="26" t="s">
        <v>204</v>
      </c>
      <c r="N9191" s="26" t="s">
        <v>20106</v>
      </c>
      <c r="O9191" s="22" t="str">
        <f>HYPERLINK("https://pbs.twimg.com/profile_images/862152716709236736/KEhq_xY0_normal.jpg","View")</f>
        <v>View</v>
      </c>
      <c r="P9191" s="27"/>
    </row>
    <row r="9192">
      <c r="A9192" s="14">
        <v>43031.949687500004</v>
      </c>
      <c r="B9192" s="20" t="str">
        <f>HYPERLINK("https://twitter.com/stanyee","@stanyee")</f>
        <v>@stanyee</v>
      </c>
      <c r="C9192" s="21" t="s">
        <v>20107</v>
      </c>
      <c r="D9192" s="21" t="s">
        <v>20108</v>
      </c>
      <c r="E9192" s="22" t="str">
        <f>HYPERLINK("https://twitter.com/stanyee/status/922701072749260800","922701072749260800")</f>
        <v>922701072749260800</v>
      </c>
      <c r="F9192" s="23" t="s">
        <v>427</v>
      </c>
      <c r="G9192" s="24">
        <v>12422.0</v>
      </c>
      <c r="H9192" s="24">
        <v>11507.0</v>
      </c>
      <c r="I9192" s="24">
        <v>0.0</v>
      </c>
      <c r="J9192" s="24">
        <v>0.0</v>
      </c>
      <c r="K9192" s="23" t="s">
        <v>34</v>
      </c>
      <c r="L9192" s="25">
        <v>39502.04</v>
      </c>
      <c r="M9192" s="26" t="s">
        <v>20109</v>
      </c>
      <c r="N9192" s="26" t="s">
        <v>20110</v>
      </c>
      <c r="O9192" s="22" t="str">
        <f>HYPERLINK("https://pbs.twimg.com/profile_images/853832654134796288/zbF3bg4X_normal.jpg","View")</f>
        <v>View</v>
      </c>
      <c r="P9192" s="27"/>
    </row>
    <row r="9193">
      <c r="A9193" s="14">
        <v>43031.950844907406</v>
      </c>
      <c r="B9193" s="20" t="str">
        <f>HYPERLINK("https://twitter.com/Cloud_Expertise","@Cloud_Expertise")</f>
        <v>@Cloud_Expertise</v>
      </c>
      <c r="C9193" s="21" t="s">
        <v>20111</v>
      </c>
      <c r="D9193" s="21" t="s">
        <v>20112</v>
      </c>
      <c r="E9193" s="22" t="str">
        <f>HYPERLINK("https://twitter.com/Cloud_Expertise/status/922701494016716800","922701494016716800")</f>
        <v>922701494016716800</v>
      </c>
      <c r="F9193" s="23" t="s">
        <v>187</v>
      </c>
      <c r="G9193" s="24">
        <v>120.0</v>
      </c>
      <c r="H9193" s="24">
        <v>34.0</v>
      </c>
      <c r="I9193" s="24">
        <v>0.0</v>
      </c>
      <c r="J9193" s="24">
        <v>0.0</v>
      </c>
      <c r="K9193" s="23" t="s">
        <v>34</v>
      </c>
      <c r="L9193" s="25">
        <v>42695.080300925925</v>
      </c>
      <c r="M9193" s="28"/>
      <c r="N9193" s="26" t="s">
        <v>20113</v>
      </c>
      <c r="O9193" s="22" t="str">
        <f>HYPERLINK("https://pbs.twimg.com/profile_images/812252415349112832/MY3fbtYB_normal.jpg","View")</f>
        <v>View</v>
      </c>
      <c r="P9193" s="27"/>
    </row>
    <row r="9194">
      <c r="A9194" s="14">
        <v>43031.95179398148</v>
      </c>
      <c r="B9194" s="20" t="str">
        <f>HYPERLINK("https://twitter.com/raajeish","@raajeish")</f>
        <v>@raajeish</v>
      </c>
      <c r="C9194" s="21" t="s">
        <v>20114</v>
      </c>
      <c r="D9194" s="21" t="s">
        <v>42</v>
      </c>
      <c r="E9194" s="22" t="str">
        <f>HYPERLINK("https://twitter.com/raajeish/status/922701836016148480","922701836016148480")</f>
        <v>922701836016148480</v>
      </c>
      <c r="F9194" s="23" t="s">
        <v>55</v>
      </c>
      <c r="G9194" s="24">
        <v>1046.0</v>
      </c>
      <c r="H9194" s="24">
        <v>3611.0</v>
      </c>
      <c r="I9194" s="24">
        <v>8501.0</v>
      </c>
      <c r="J9194" s="24">
        <v>0.0</v>
      </c>
      <c r="K9194" s="23" t="s">
        <v>34</v>
      </c>
      <c r="L9194" s="25">
        <v>39828.6662037037</v>
      </c>
      <c r="M9194" s="26" t="s">
        <v>207</v>
      </c>
      <c r="N9194" s="26" t="s">
        <v>20115</v>
      </c>
      <c r="O9194" s="22" t="str">
        <f>HYPERLINK("https://pbs.twimg.com/profile_images/463254522869989377/pQUd_FIk_normal.png","View")</f>
        <v>View</v>
      </c>
      <c r="P9194" s="27"/>
    </row>
    <row r="9195">
      <c r="A9195" s="14">
        <v>43031.951944444445</v>
      </c>
      <c r="B9195" s="20" t="str">
        <f>HYPERLINK("https://twitter.com/VishalKakadiy07","@VishalKakadiy07")</f>
        <v>@VishalKakadiy07</v>
      </c>
      <c r="C9195" s="21" t="s">
        <v>20116</v>
      </c>
      <c r="D9195" s="21" t="s">
        <v>42</v>
      </c>
      <c r="E9195" s="22" t="str">
        <f>HYPERLINK("https://twitter.com/VishalKakadiy07/status/922701892634988544","922701892634988544")</f>
        <v>922701892634988544</v>
      </c>
      <c r="F9195" s="23" t="s">
        <v>33</v>
      </c>
      <c r="G9195" s="24">
        <v>6.0</v>
      </c>
      <c r="H9195" s="24">
        <v>78.0</v>
      </c>
      <c r="I9195" s="24">
        <v>8501.0</v>
      </c>
      <c r="J9195" s="24">
        <v>0.0</v>
      </c>
      <c r="K9195" s="23" t="s">
        <v>34</v>
      </c>
      <c r="L9195" s="25">
        <v>42983.24601851852</v>
      </c>
      <c r="M9195" s="26" t="s">
        <v>1633</v>
      </c>
      <c r="N9195" s="26" t="s">
        <v>20117</v>
      </c>
      <c r="O9195" s="22" t="str">
        <f>HYPERLINK("https://pbs.twimg.com/profile_images/908730991698685952/Pn3W1QBm_normal.jpg","View")</f>
        <v>View</v>
      </c>
      <c r="P9195" s="27"/>
    </row>
    <row r="9196">
      <c r="A9196" s="14">
        <v>43031.95248842593</v>
      </c>
      <c r="B9196" s="20" t="str">
        <f>HYPERLINK("https://twitter.com/hamskat","@hamskat")</f>
        <v>@hamskat</v>
      </c>
      <c r="C9196" s="21" t="s">
        <v>20118</v>
      </c>
      <c r="D9196" s="21" t="s">
        <v>42</v>
      </c>
      <c r="E9196" s="22" t="str">
        <f>HYPERLINK("https://twitter.com/hamskat/status/922702090064900096","922702090064900096")</f>
        <v>922702090064900096</v>
      </c>
      <c r="F9196" s="23" t="s">
        <v>33</v>
      </c>
      <c r="G9196" s="24">
        <v>1167.0</v>
      </c>
      <c r="H9196" s="24">
        <v>976.0</v>
      </c>
      <c r="I9196" s="24">
        <v>8501.0</v>
      </c>
      <c r="J9196" s="24">
        <v>0.0</v>
      </c>
      <c r="K9196" s="23" t="s">
        <v>34</v>
      </c>
      <c r="L9196" s="25">
        <v>41954.19924768519</v>
      </c>
      <c r="M9196" s="28"/>
      <c r="N9196" s="26" t="s">
        <v>20119</v>
      </c>
      <c r="O9196" s="22" t="str">
        <f>HYPERLINK("https://pbs.twimg.com/profile_images/918191419126251520/kW1xRlpB_normal.jpg","View")</f>
        <v>View</v>
      </c>
      <c r="P9196" s="27"/>
    </row>
    <row r="9197">
      <c r="A9197" s="14">
        <v>43031.95311342593</v>
      </c>
      <c r="B9197" s="20" t="str">
        <f>HYPERLINK("https://twitter.com/Lalitp1204","@Lalitp1204")</f>
        <v>@Lalitp1204</v>
      </c>
      <c r="C9197" s="21" t="s">
        <v>20120</v>
      </c>
      <c r="D9197" s="21" t="s">
        <v>42</v>
      </c>
      <c r="E9197" s="22" t="str">
        <f>HYPERLINK("https://twitter.com/Lalitp1204/status/922702314338525184","922702314338525184")</f>
        <v>922702314338525184</v>
      </c>
      <c r="F9197" s="23" t="s">
        <v>33</v>
      </c>
      <c r="G9197" s="24">
        <v>146.0</v>
      </c>
      <c r="H9197" s="24">
        <v>174.0</v>
      </c>
      <c r="I9197" s="24">
        <v>8501.0</v>
      </c>
      <c r="J9197" s="24">
        <v>0.0</v>
      </c>
      <c r="K9197" s="23" t="s">
        <v>34</v>
      </c>
      <c r="L9197" s="25">
        <v>42446.8794212963</v>
      </c>
      <c r="M9197" s="28"/>
      <c r="N9197" s="28"/>
      <c r="O9197" s="22" t="str">
        <f>HYPERLINK("https://pbs.twimg.com/profile_images/837643007730020352/YmUIG3by_normal.jpg","View")</f>
        <v>View</v>
      </c>
      <c r="P9197" s="27"/>
    </row>
    <row r="9198">
      <c r="A9198" s="14">
        <v>43031.953298611115</v>
      </c>
      <c r="B9198" s="20" t="str">
        <f>HYPERLINK("https://twitter.com/thagunnapadam","@thagunnapadam")</f>
        <v>@thagunnapadam</v>
      </c>
      <c r="C9198" s="21" t="s">
        <v>20121</v>
      </c>
      <c r="D9198" s="21" t="s">
        <v>20122</v>
      </c>
      <c r="E9198" s="22" t="str">
        <f>HYPERLINK("https://twitter.com/thagunnapadam/status/922702381170724866","922702381170724866")</f>
        <v>922702381170724866</v>
      </c>
      <c r="F9198" s="23" t="s">
        <v>39</v>
      </c>
      <c r="G9198" s="24">
        <v>21.0</v>
      </c>
      <c r="H9198" s="24">
        <v>69.0</v>
      </c>
      <c r="I9198" s="24">
        <v>0.0</v>
      </c>
      <c r="J9198" s="24">
        <v>1.0</v>
      </c>
      <c r="K9198" s="23" t="s">
        <v>34</v>
      </c>
      <c r="L9198" s="25">
        <v>42732.525092592594</v>
      </c>
      <c r="M9198" s="28"/>
      <c r="N9198" s="26" t="s">
        <v>20123</v>
      </c>
      <c r="O9198" s="22" t="str">
        <f>HYPERLINK("https://pbs.twimg.com/profile_images/908928282397044736/wl7Na-8f_normal.jpg","View")</f>
        <v>View</v>
      </c>
      <c r="P9198" s="27"/>
    </row>
    <row r="9199">
      <c r="A9199" s="14">
        <v>43031.955312499995</v>
      </c>
      <c r="B9199" s="20" t="str">
        <f>HYPERLINK("https://twitter.com/upendratripat20","@upendratripat20")</f>
        <v>@upendratripat20</v>
      </c>
      <c r="C9199" s="21" t="s">
        <v>20124</v>
      </c>
      <c r="D9199" s="21" t="s">
        <v>42</v>
      </c>
      <c r="E9199" s="22" t="str">
        <f>HYPERLINK("https://twitter.com/upendratripat20/status/922703112175013888","922703112175013888")</f>
        <v>922703112175013888</v>
      </c>
      <c r="F9199" s="23" t="s">
        <v>33</v>
      </c>
      <c r="G9199" s="24">
        <v>179.0</v>
      </c>
      <c r="H9199" s="24">
        <v>1865.0</v>
      </c>
      <c r="I9199" s="24">
        <v>8501.0</v>
      </c>
      <c r="J9199" s="24">
        <v>0.0</v>
      </c>
      <c r="K9199" s="23" t="s">
        <v>34</v>
      </c>
      <c r="L9199" s="25">
        <v>42136.99151620371</v>
      </c>
      <c r="M9199" s="26" t="s">
        <v>8019</v>
      </c>
      <c r="N9199" s="28"/>
      <c r="O9199" s="22" t="str">
        <f>HYPERLINK("https://pbs.twimg.com/profile_images/918028782669144064/rZapoaJa_normal.jpg","View")</f>
        <v>View</v>
      </c>
      <c r="P9199" s="27"/>
    </row>
    <row r="9200">
      <c r="A9200" s="14">
        <v>43031.955659722225</v>
      </c>
      <c r="B9200" s="20" t="str">
        <f>HYPERLINK("https://twitter.com/Bahdbhabie","@Bahdbhabie")</f>
        <v>@Bahdbhabie</v>
      </c>
      <c r="C9200" s="21" t="s">
        <v>20125</v>
      </c>
      <c r="D9200" s="21" t="s">
        <v>4291</v>
      </c>
      <c r="E9200" s="22" t="str">
        <f>HYPERLINK("https://twitter.com/Bahdbhabie/status/922703238314561536","922703238314561536")</f>
        <v>922703238314561536</v>
      </c>
      <c r="F9200" s="23" t="s">
        <v>55</v>
      </c>
      <c r="G9200" s="24">
        <v>330.0</v>
      </c>
      <c r="H9200" s="24">
        <v>33.0</v>
      </c>
      <c r="I9200" s="24">
        <v>2.0</v>
      </c>
      <c r="J9200" s="24">
        <v>0.0</v>
      </c>
      <c r="K9200" s="23" t="s">
        <v>34</v>
      </c>
      <c r="L9200" s="25">
        <v>41110.74623842593</v>
      </c>
      <c r="M9200" s="28"/>
      <c r="N9200" s="26" t="s">
        <v>20126</v>
      </c>
      <c r="O9200" s="22" t="str">
        <f>HYPERLINK("https://pbs.twimg.com/profile_images/919693733154689024/RS8dUQ6U_normal.jpg","View")</f>
        <v>View</v>
      </c>
      <c r="P9200" s="27"/>
    </row>
    <row r="9201">
      <c r="A9201" s="14">
        <v>43031.95581018519</v>
      </c>
      <c r="B9201" s="20" t="str">
        <f>HYPERLINK("https://twitter.com/RavindraSoni1","@RavindraSoni1")</f>
        <v>@RavindraSoni1</v>
      </c>
      <c r="C9201" s="21" t="s">
        <v>20127</v>
      </c>
      <c r="D9201" s="21" t="s">
        <v>20128</v>
      </c>
      <c r="E9201" s="22" t="str">
        <f>HYPERLINK("https://twitter.com/RavindraSoni1/status/922703292991451136","922703292991451136")</f>
        <v>922703292991451136</v>
      </c>
      <c r="F9201" s="30" t="s">
        <v>191</v>
      </c>
      <c r="G9201" s="24">
        <v>282.0</v>
      </c>
      <c r="H9201" s="24">
        <v>512.0</v>
      </c>
      <c r="I9201" s="24">
        <v>0.0</v>
      </c>
      <c r="J9201" s="24">
        <v>0.0</v>
      </c>
      <c r="K9201" s="23" t="s">
        <v>34</v>
      </c>
      <c r="L9201" s="25">
        <v>40703.13416666667</v>
      </c>
      <c r="M9201" s="26" t="s">
        <v>9924</v>
      </c>
      <c r="N9201" s="26" t="s">
        <v>20129</v>
      </c>
      <c r="O9201" s="22" t="str">
        <f>HYPERLINK("https://pbs.twimg.com/profile_images/809424050770448384/e3p1bqh-_normal.jpg","View")</f>
        <v>View</v>
      </c>
      <c r="P9201" s="27"/>
    </row>
    <row r="9202">
      <c r="A9202" s="14">
        <v>43031.95585648148</v>
      </c>
      <c r="B9202" s="20" t="str">
        <f>HYPERLINK("https://twitter.com/viral64720576","@viral64720576")</f>
        <v>@viral64720576</v>
      </c>
      <c r="C9202" s="21" t="s">
        <v>20130</v>
      </c>
      <c r="D9202" s="21" t="s">
        <v>42</v>
      </c>
      <c r="E9202" s="22" t="str">
        <f>HYPERLINK("https://twitter.com/viral64720576/status/922703309877776385","922703309877776385")</f>
        <v>922703309877776385</v>
      </c>
      <c r="F9202" s="23" t="s">
        <v>39</v>
      </c>
      <c r="G9202" s="24">
        <v>30.0</v>
      </c>
      <c r="H9202" s="24">
        <v>72.0</v>
      </c>
      <c r="I9202" s="24">
        <v>8501.0</v>
      </c>
      <c r="J9202" s="24">
        <v>0.0</v>
      </c>
      <c r="K9202" s="23" t="s">
        <v>34</v>
      </c>
      <c r="L9202" s="25">
        <v>41777.98667824074</v>
      </c>
      <c r="M9202" s="26" t="s">
        <v>20131</v>
      </c>
      <c r="N9202" s="26" t="s">
        <v>20132</v>
      </c>
      <c r="O9202" s="22" t="str">
        <f>HYPERLINK("https://pbs.twimg.com/profile_images/899571143924793344/qNo30ySN_normal.jpg","View")</f>
        <v>View</v>
      </c>
      <c r="P9202" s="27"/>
    </row>
    <row r="9203">
      <c r="A9203" s="14">
        <v>43031.956134259264</v>
      </c>
      <c r="B9203" s="20" t="str">
        <f>HYPERLINK("https://twitter.com/Deekay1996K","@Deekay1996K")</f>
        <v>@Deekay1996K</v>
      </c>
      <c r="C9203" s="21" t="s">
        <v>20133</v>
      </c>
      <c r="D9203" s="21" t="s">
        <v>42</v>
      </c>
      <c r="E9203" s="22" t="str">
        <f>HYPERLINK("https://twitter.com/Deekay1996K/status/922703409374826497","922703409374826497")</f>
        <v>922703409374826497</v>
      </c>
      <c r="F9203" s="23" t="s">
        <v>43</v>
      </c>
      <c r="G9203" s="24">
        <v>786.0</v>
      </c>
      <c r="H9203" s="24">
        <v>517.0</v>
      </c>
      <c r="I9203" s="24">
        <v>8501.0</v>
      </c>
      <c r="J9203" s="24">
        <v>0.0</v>
      </c>
      <c r="K9203" s="23" t="s">
        <v>34</v>
      </c>
      <c r="L9203" s="25">
        <v>41119.315983796296</v>
      </c>
      <c r="M9203" s="28"/>
      <c r="N9203" s="26" t="s">
        <v>20134</v>
      </c>
      <c r="O9203" s="22" t="str">
        <f>HYPERLINK("https://pbs.twimg.com/profile_images/740120948381089792/Nr6X7fAz_normal.jpg","View")</f>
        <v>View</v>
      </c>
      <c r="P9203" s="27"/>
    </row>
    <row r="9204">
      <c r="A9204" s="14">
        <v>43031.95689814815</v>
      </c>
      <c r="B9204" s="20" t="str">
        <f>HYPERLINK("https://twitter.com/RamankumarBeri","@RamankumarBeri")</f>
        <v>@RamankumarBeri</v>
      </c>
      <c r="C9204" s="21" t="s">
        <v>20135</v>
      </c>
      <c r="D9204" s="21" t="s">
        <v>42</v>
      </c>
      <c r="E9204" s="22" t="str">
        <f>HYPERLINK("https://twitter.com/RamankumarBeri/status/922703685058269184","922703685058269184")</f>
        <v>922703685058269184</v>
      </c>
      <c r="F9204" s="23" t="s">
        <v>33</v>
      </c>
      <c r="G9204" s="24">
        <v>62.0</v>
      </c>
      <c r="H9204" s="24">
        <v>311.0</v>
      </c>
      <c r="I9204" s="24">
        <v>8501.0</v>
      </c>
      <c r="J9204" s="24">
        <v>0.0</v>
      </c>
      <c r="K9204" s="23" t="s">
        <v>34</v>
      </c>
      <c r="L9204" s="25">
        <v>39924.927094907405</v>
      </c>
      <c r="M9204" s="26" t="s">
        <v>20136</v>
      </c>
      <c r="N9204" s="26" t="s">
        <v>20137</v>
      </c>
      <c r="O9204" s="22" t="str">
        <f>HYPERLINK("https://pbs.twimg.com/profile_images/904339981178626048/tbKmxCpX_normal.jpg","View")</f>
        <v>View</v>
      </c>
      <c r="P9204" s="27"/>
    </row>
    <row r="9205">
      <c r="A9205" s="14">
        <v>43031.95696759259</v>
      </c>
      <c r="B9205" s="20" t="str">
        <f>HYPERLINK("https://twitter.com/Ankit10649128","@Ankit10649128")</f>
        <v>@Ankit10649128</v>
      </c>
      <c r="C9205" s="21" t="s">
        <v>16164</v>
      </c>
      <c r="D9205" s="21" t="s">
        <v>42</v>
      </c>
      <c r="E9205" s="22" t="str">
        <f>HYPERLINK("https://twitter.com/Ankit10649128/status/922703711566102528","922703711566102528")</f>
        <v>922703711566102528</v>
      </c>
      <c r="F9205" s="23" t="s">
        <v>33</v>
      </c>
      <c r="G9205" s="24">
        <v>1.0</v>
      </c>
      <c r="H9205" s="24">
        <v>24.0</v>
      </c>
      <c r="I9205" s="24">
        <v>8501.0</v>
      </c>
      <c r="J9205" s="24">
        <v>0.0</v>
      </c>
      <c r="K9205" s="23" t="s">
        <v>34</v>
      </c>
      <c r="L9205" s="25">
        <v>42995.92891203704</v>
      </c>
      <c r="M9205" s="28"/>
      <c r="N9205" s="28"/>
      <c r="O9205" s="22" t="str">
        <f>HYPERLINK("https://abs.twimg.com/sticky/default_profile_images/default_profile_normal.png","View")</f>
        <v>View</v>
      </c>
      <c r="P9205" s="27"/>
    </row>
    <row r="9206">
      <c r="A9206" s="14">
        <v>43031.95707175926</v>
      </c>
      <c r="B9206" s="20" t="str">
        <f>HYPERLINK("https://twitter.com/EdBhaskaran","@EdBhaskaran")</f>
        <v>@EdBhaskaran</v>
      </c>
      <c r="C9206" s="21" t="s">
        <v>20138</v>
      </c>
      <c r="D9206" s="21" t="s">
        <v>42</v>
      </c>
      <c r="E9206" s="22" t="str">
        <f>HYPERLINK("https://twitter.com/EdBhaskaran/status/922703749222752256","922703749222752256")</f>
        <v>922703749222752256</v>
      </c>
      <c r="F9206" s="23" t="s">
        <v>39</v>
      </c>
      <c r="G9206" s="24">
        <v>1296.0</v>
      </c>
      <c r="H9206" s="24">
        <v>1829.0</v>
      </c>
      <c r="I9206" s="24">
        <v>8501.0</v>
      </c>
      <c r="J9206" s="24">
        <v>0.0</v>
      </c>
      <c r="K9206" s="23" t="s">
        <v>34</v>
      </c>
      <c r="L9206" s="25">
        <v>39950.992268518516</v>
      </c>
      <c r="M9206" s="26" t="s">
        <v>20139</v>
      </c>
      <c r="N9206" s="26" t="s">
        <v>20140</v>
      </c>
      <c r="O9206" s="22" t="str">
        <f>HYPERLINK("https://pbs.twimg.com/profile_images/458518274032943104/BXP_0_fu_normal.jpeg","View")</f>
        <v>View</v>
      </c>
      <c r="P9206" s="27"/>
    </row>
    <row r="9207">
      <c r="A9207" s="14">
        <v>43031.95715277777</v>
      </c>
      <c r="B9207" s="20" t="str">
        <f>HYPERLINK("https://twitter.com/The_Japan_News","@The_Japan_News")</f>
        <v>@The_Japan_News</v>
      </c>
      <c r="C9207" s="21" t="s">
        <v>8738</v>
      </c>
      <c r="D9207" s="21" t="s">
        <v>20141</v>
      </c>
      <c r="E9207" s="22" t="str">
        <f>HYPERLINK("https://twitter.com/The_Japan_News/status/922703777102159872","922703777102159872")</f>
        <v>922703777102159872</v>
      </c>
      <c r="F9207" s="23" t="s">
        <v>55</v>
      </c>
      <c r="G9207" s="24">
        <v>123795.0</v>
      </c>
      <c r="H9207" s="24">
        <v>30.0</v>
      </c>
      <c r="I9207" s="24">
        <v>4.0</v>
      </c>
      <c r="J9207" s="24">
        <v>0.0</v>
      </c>
      <c r="K9207" s="23" t="s">
        <v>34</v>
      </c>
      <c r="L9207" s="25">
        <v>40321.95908564815</v>
      </c>
      <c r="M9207" s="26" t="s">
        <v>853</v>
      </c>
      <c r="N9207" s="26" t="s">
        <v>8740</v>
      </c>
      <c r="O9207" s="22" t="str">
        <f>HYPERLINK("https://pbs.twimg.com/profile_images/3459579474/2ba2842f322f8d12144bb1eb88f51d0d_normal.jpeg","View")</f>
        <v>View</v>
      </c>
      <c r="P9207" s="27"/>
    </row>
    <row r="9208">
      <c r="A9208" s="14">
        <v>43031.957291666666</v>
      </c>
      <c r="B9208" s="20" t="str">
        <f>HYPERLINK("https://twitter.com/JosephtheJosef","@JosephtheJosef")</f>
        <v>@JosephtheJosef</v>
      </c>
      <c r="C9208" s="21" t="s">
        <v>20142</v>
      </c>
      <c r="D9208" s="21" t="s">
        <v>20143</v>
      </c>
      <c r="E9208" s="22" t="str">
        <f>HYPERLINK("https://twitter.com/JosephtheJosef/status/922703827530403840","922703827530403840")</f>
        <v>922703827530403840</v>
      </c>
      <c r="F9208" s="23" t="s">
        <v>33</v>
      </c>
      <c r="G9208" s="24">
        <v>185.0</v>
      </c>
      <c r="H9208" s="24">
        <v>109.0</v>
      </c>
      <c r="I9208" s="24">
        <v>0.0</v>
      </c>
      <c r="J9208" s="24">
        <v>0.0</v>
      </c>
      <c r="K9208" s="23" t="s">
        <v>34</v>
      </c>
      <c r="L9208" s="25">
        <v>42276.1018287037</v>
      </c>
      <c r="M9208" s="26" t="s">
        <v>843</v>
      </c>
      <c r="N9208" s="26" t="s">
        <v>20144</v>
      </c>
      <c r="O9208" s="22" t="str">
        <f>HYPERLINK("https://pbs.twimg.com/profile_images/921717539620651009/YxrK-Xs4_normal.jpg","View")</f>
        <v>View</v>
      </c>
      <c r="P9208" s="27"/>
    </row>
    <row r="9209">
      <c r="A9209" s="14">
        <v>43031.95746527778</v>
      </c>
      <c r="B9209" s="20" t="str">
        <f>HYPERLINK("https://twitter.com/VisvyaOnline","@VisvyaOnline")</f>
        <v>@VisvyaOnline</v>
      </c>
      <c r="C9209" s="21" t="s">
        <v>20145</v>
      </c>
      <c r="D9209" s="21" t="s">
        <v>20146</v>
      </c>
      <c r="E9209" s="22" t="str">
        <f>HYPERLINK("https://twitter.com/VisvyaOnline/status/922703893783511040","922703893783511040")</f>
        <v>922703893783511040</v>
      </c>
      <c r="F9209" s="23" t="s">
        <v>187</v>
      </c>
      <c r="G9209" s="24">
        <v>13.0</v>
      </c>
      <c r="H9209" s="24">
        <v>0.0</v>
      </c>
      <c r="I9209" s="24">
        <v>0.0</v>
      </c>
      <c r="J9209" s="24">
        <v>0.0</v>
      </c>
      <c r="K9209" s="23" t="s">
        <v>34</v>
      </c>
      <c r="L9209" s="25">
        <v>42916.992430555554</v>
      </c>
      <c r="M9209" s="28"/>
      <c r="N9209" s="26" t="s">
        <v>20147</v>
      </c>
      <c r="O9209" s="22" t="str">
        <f>HYPERLINK("https://pbs.twimg.com/profile_images/881043602117337088/aPQhk2bq_normal.jpg","View")</f>
        <v>View</v>
      </c>
      <c r="P9209" s="27"/>
    </row>
    <row r="9210">
      <c r="A9210" s="14">
        <v>43031.95809027778</v>
      </c>
      <c r="B9210" s="20" t="str">
        <f>HYPERLINK("https://twitter.com/plaidlawnchair","@plaidlawnchair")</f>
        <v>@plaidlawnchair</v>
      </c>
      <c r="C9210" s="21" t="s">
        <v>20148</v>
      </c>
      <c r="D9210" s="21" t="s">
        <v>20149</v>
      </c>
      <c r="E9210" s="22" t="str">
        <f>HYPERLINK("https://twitter.com/plaidlawnchair/status/922704116803129344","922704116803129344")</f>
        <v>922704116803129344</v>
      </c>
      <c r="F9210" s="23" t="s">
        <v>33</v>
      </c>
      <c r="G9210" s="24">
        <v>1046.0</v>
      </c>
      <c r="H9210" s="24">
        <v>3862.0</v>
      </c>
      <c r="I9210" s="24">
        <v>4.0</v>
      </c>
      <c r="J9210" s="24">
        <v>0.0</v>
      </c>
      <c r="K9210" s="23" t="s">
        <v>34</v>
      </c>
      <c r="L9210" s="25">
        <v>40010.53975694445</v>
      </c>
      <c r="M9210" s="26" t="s">
        <v>20150</v>
      </c>
      <c r="N9210" s="26" t="s">
        <v>20151</v>
      </c>
      <c r="O9210" s="22" t="str">
        <f>HYPERLINK("https://pbs.twimg.com/profile_images/863355946097156096/C7dk3wvb_normal.jpg","View")</f>
        <v>View</v>
      </c>
      <c r="P9210" s="27"/>
    </row>
    <row r="9211">
      <c r="A9211" s="14">
        <v>43031.95834490741</v>
      </c>
      <c r="B9211" s="20" t="str">
        <f>HYPERLINK("https://twitter.com/FoxBusiness","@FoxBusiness")</f>
        <v>@FoxBusiness</v>
      </c>
      <c r="C9211" s="21" t="s">
        <v>6634</v>
      </c>
      <c r="D9211" s="21" t="s">
        <v>6635</v>
      </c>
      <c r="E9211" s="22" t="str">
        <f>HYPERLINK("https://twitter.com/FoxBusiness/status/922704208641396738","922704208641396738")</f>
        <v>922704208641396738</v>
      </c>
      <c r="F9211" s="23" t="s">
        <v>769</v>
      </c>
      <c r="G9211" s="24">
        <v>720722.0</v>
      </c>
      <c r="H9211" s="24">
        <v>400.0</v>
      </c>
      <c r="I9211" s="24">
        <v>5.0</v>
      </c>
      <c r="J9211" s="24">
        <v>13.0</v>
      </c>
      <c r="K9211" s="23" t="s">
        <v>34</v>
      </c>
      <c r="L9211" s="25">
        <v>40007.3878125</v>
      </c>
      <c r="M9211" s="26" t="s">
        <v>2534</v>
      </c>
      <c r="N9211" s="26" t="s">
        <v>6636</v>
      </c>
      <c r="O9211" s="22" t="str">
        <f>HYPERLINK("https://pbs.twimg.com/profile_images/875384861736841217/j4vwsisS_normal.jpg","View")</f>
        <v>View</v>
      </c>
      <c r="P9211" s="27"/>
    </row>
    <row r="9212">
      <c r="A9212" s="14">
        <v>43031.95834490741</v>
      </c>
      <c r="B9212" s="20" t="str">
        <f>HYPERLINK("https://twitter.com/FitchRatings","@FitchRatings")</f>
        <v>@FitchRatings</v>
      </c>
      <c r="C9212" s="21" t="s">
        <v>20152</v>
      </c>
      <c r="D9212" s="21" t="s">
        <v>20153</v>
      </c>
      <c r="E9212" s="22" t="str">
        <f>HYPERLINK("https://twitter.com/FitchRatings/status/922704209937563648","922704209937563648")</f>
        <v>922704209937563648</v>
      </c>
      <c r="F9212" s="23" t="s">
        <v>769</v>
      </c>
      <c r="G9212" s="24">
        <v>118199.0</v>
      </c>
      <c r="H9212" s="24">
        <v>3800.0</v>
      </c>
      <c r="I9212" s="24">
        <v>0.0</v>
      </c>
      <c r="J9212" s="24">
        <v>4.0</v>
      </c>
      <c r="K9212" s="23" t="s">
        <v>34</v>
      </c>
      <c r="L9212" s="25">
        <v>40019.109351851854</v>
      </c>
      <c r="M9212" s="26" t="s">
        <v>20154</v>
      </c>
      <c r="N9212" s="26" t="s">
        <v>20155</v>
      </c>
      <c r="O9212" s="22" t="str">
        <f>HYPERLINK("https://pbs.twimg.com/profile_images/539805534547767298/9yhNW72E_normal.jpeg","View")</f>
        <v>View</v>
      </c>
      <c r="P9212" s="27"/>
    </row>
    <row r="9213">
      <c r="A9213" s="14">
        <v>43031.95837962963</v>
      </c>
      <c r="B9213" s="20" t="str">
        <f>HYPERLINK("https://twitter.com/FoxallJim","@FoxallJim")</f>
        <v>@FoxallJim</v>
      </c>
      <c r="C9213" s="21" t="s">
        <v>20156</v>
      </c>
      <c r="D9213" s="21" t="s">
        <v>12974</v>
      </c>
      <c r="E9213" s="22" t="str">
        <f>HYPERLINK("https://twitter.com/FoxallJim/status/922704223791407106","922704223791407106")</f>
        <v>922704223791407106</v>
      </c>
      <c r="F9213" s="23" t="s">
        <v>33</v>
      </c>
      <c r="G9213" s="24">
        <v>232.0</v>
      </c>
      <c r="H9213" s="24">
        <v>272.0</v>
      </c>
      <c r="I9213" s="24">
        <v>110.0</v>
      </c>
      <c r="J9213" s="24">
        <v>0.0</v>
      </c>
      <c r="K9213" s="23" t="s">
        <v>34</v>
      </c>
      <c r="L9213" s="25">
        <v>42980.33869212963</v>
      </c>
      <c r="M9213" s="28"/>
      <c r="N9213" s="26" t="s">
        <v>20157</v>
      </c>
      <c r="O9213" s="22" t="str">
        <f>HYPERLINK("https://pbs.twimg.com/profile_images/912029420864643072/PUHqyBlL_normal.jpg","View")</f>
        <v>View</v>
      </c>
      <c r="P9213" s="27"/>
    </row>
    <row r="9214">
      <c r="A9214" s="14">
        <v>43031.95842592593</v>
      </c>
      <c r="B9214" s="20" t="str">
        <f>HYPERLINK("https://twitter.com/MarikaKatanuma","@MarikaKatanuma")</f>
        <v>@MarikaKatanuma</v>
      </c>
      <c r="C9214" s="21" t="s">
        <v>5508</v>
      </c>
      <c r="D9214" s="21" t="s">
        <v>20158</v>
      </c>
      <c r="E9214" s="22" t="str">
        <f>HYPERLINK("https://twitter.com/MarikaKatanuma/status/922704239109050369","922704239109050369")</f>
        <v>922704239109050369</v>
      </c>
      <c r="F9214" s="23" t="s">
        <v>769</v>
      </c>
      <c r="G9214" s="24">
        <v>634.0</v>
      </c>
      <c r="H9214" s="24">
        <v>772.0</v>
      </c>
      <c r="I9214" s="24">
        <v>0.0</v>
      </c>
      <c r="J9214" s="24">
        <v>2.0</v>
      </c>
      <c r="K9214" s="23" t="s">
        <v>34</v>
      </c>
      <c r="L9214" s="25">
        <v>42137.404710648145</v>
      </c>
      <c r="M9214" s="26" t="s">
        <v>5509</v>
      </c>
      <c r="N9214" s="26" t="s">
        <v>5510</v>
      </c>
      <c r="O9214" s="22" t="str">
        <f>HYPERLINK("https://pbs.twimg.com/profile_images/883685444445065221/UpZrqq8K_normal.jpg","View")</f>
        <v>View</v>
      </c>
      <c r="P9214" s="27"/>
    </row>
    <row r="9215">
      <c r="A9215" s="14">
        <v>43031.9584837963</v>
      </c>
      <c r="B9215" s="20" t="str">
        <f>HYPERLINK("https://twitter.com/Umeshmotwani17","@Umeshmotwani17")</f>
        <v>@Umeshmotwani17</v>
      </c>
      <c r="C9215" s="21" t="s">
        <v>20159</v>
      </c>
      <c r="D9215" s="21" t="s">
        <v>42</v>
      </c>
      <c r="E9215" s="22" t="str">
        <f>HYPERLINK("https://twitter.com/Umeshmotwani17/status/922704260361580545","922704260361580545")</f>
        <v>922704260361580545</v>
      </c>
      <c r="F9215" s="23" t="s">
        <v>33</v>
      </c>
      <c r="G9215" s="24">
        <v>113.0</v>
      </c>
      <c r="H9215" s="24">
        <v>79.0</v>
      </c>
      <c r="I9215" s="24">
        <v>8501.0</v>
      </c>
      <c r="J9215" s="24">
        <v>0.0</v>
      </c>
      <c r="K9215" s="23" t="s">
        <v>34</v>
      </c>
      <c r="L9215" s="25">
        <v>42629.40206018518</v>
      </c>
      <c r="M9215" s="26" t="s">
        <v>207</v>
      </c>
      <c r="N9215" s="26" t="s">
        <v>20160</v>
      </c>
      <c r="O9215" s="22" t="str">
        <f>HYPERLINK("https://pbs.twimg.com/profile_images/777100830566559744/nACtQQpX_normal.jpg","View")</f>
        <v>View</v>
      </c>
      <c r="P9215" s="27"/>
    </row>
    <row r="9216">
      <c r="A9216" s="14">
        <v>43031.958599537036</v>
      </c>
      <c r="B9216" s="20" t="str">
        <f>HYPERLINK("https://twitter.com/sgnaravane","@sgnaravane")</f>
        <v>@sgnaravane</v>
      </c>
      <c r="C9216" s="21" t="s">
        <v>20161</v>
      </c>
      <c r="D9216" s="21" t="s">
        <v>20162</v>
      </c>
      <c r="E9216" s="22" t="str">
        <f>HYPERLINK("https://twitter.com/sgnaravane/status/922704303860563970","922704303860563970")</f>
        <v>922704303860563970</v>
      </c>
      <c r="F9216" s="23" t="s">
        <v>55</v>
      </c>
      <c r="G9216" s="24">
        <v>1077.0</v>
      </c>
      <c r="H9216" s="24">
        <v>2164.0</v>
      </c>
      <c r="I9216" s="24">
        <v>0.0</v>
      </c>
      <c r="J9216" s="24">
        <v>0.0</v>
      </c>
      <c r="K9216" s="23" t="s">
        <v>34</v>
      </c>
      <c r="L9216" s="25">
        <v>39775.904965277776</v>
      </c>
      <c r="M9216" s="26" t="s">
        <v>204</v>
      </c>
      <c r="N9216" s="26" t="s">
        <v>20163</v>
      </c>
      <c r="O9216" s="22" t="str">
        <f>HYPERLINK("https://pbs.twimg.com/profile_images/755421383446978560/Vb4BYr7O_normal.jpg","View")</f>
        <v>View</v>
      </c>
      <c r="P9216" s="27"/>
    </row>
    <row r="9217">
      <c r="A9217" s="14">
        <v>43031.95908564815</v>
      </c>
      <c r="B9217" s="20" t="str">
        <f>HYPERLINK("https://twitter.com/oldauria","@oldauria")</f>
        <v>@oldauria</v>
      </c>
      <c r="C9217" s="21" t="s">
        <v>20164</v>
      </c>
      <c r="D9217" s="21" t="s">
        <v>20149</v>
      </c>
      <c r="E9217" s="22" t="str">
        <f>HYPERLINK("https://twitter.com/oldauria/status/922704480105385984","922704480105385984")</f>
        <v>922704480105385984</v>
      </c>
      <c r="F9217" s="23" t="s">
        <v>33</v>
      </c>
      <c r="G9217" s="24">
        <v>50.0</v>
      </c>
      <c r="H9217" s="24">
        <v>283.0</v>
      </c>
      <c r="I9217" s="24">
        <v>4.0</v>
      </c>
      <c r="J9217" s="24">
        <v>0.0</v>
      </c>
      <c r="K9217" s="23" t="s">
        <v>34</v>
      </c>
      <c r="L9217" s="25">
        <v>40516.21947916667</v>
      </c>
      <c r="M9217" s="28"/>
      <c r="N9217" s="28"/>
      <c r="O9217" s="22" t="str">
        <f>HYPERLINK("https://pbs.twimg.com/profile_images/721813864430616576/eBANAXXu_normal.jpg","View")</f>
        <v>View</v>
      </c>
      <c r="P9217" s="27"/>
    </row>
    <row r="9218">
      <c r="A9218" s="14">
        <v>43031.959814814814</v>
      </c>
      <c r="B9218" s="20" t="str">
        <f>HYPERLINK("https://twitter.com/djyutou","@djyutou")</f>
        <v>@djyutou</v>
      </c>
      <c r="C9218" s="21" t="s">
        <v>20165</v>
      </c>
      <c r="D9218" s="21" t="s">
        <v>42</v>
      </c>
      <c r="E9218" s="22" t="str">
        <f>HYPERLINK("https://twitter.com/djyutou/status/922704742257778688","922704742257778688")</f>
        <v>922704742257778688</v>
      </c>
      <c r="F9218" s="23" t="s">
        <v>39</v>
      </c>
      <c r="G9218" s="24">
        <v>2623.0</v>
      </c>
      <c r="H9218" s="24">
        <v>2632.0</v>
      </c>
      <c r="I9218" s="24">
        <v>8501.0</v>
      </c>
      <c r="J9218" s="24">
        <v>0.0</v>
      </c>
      <c r="K9218" s="23" t="s">
        <v>34</v>
      </c>
      <c r="L9218" s="25">
        <v>40096.97060185185</v>
      </c>
      <c r="M9218" s="26" t="s">
        <v>20166</v>
      </c>
      <c r="N9218" s="26" t="s">
        <v>20167</v>
      </c>
      <c r="O9218" s="22" t="str">
        <f>HYPERLINK("https://pbs.twimg.com/profile_images/613736330158170112/sx3eejw6_normal.jpg","View")</f>
        <v>View</v>
      </c>
      <c r="P9218" s="27"/>
    </row>
    <row r="9219">
      <c r="A9219" s="14">
        <v>43031.95982638889</v>
      </c>
      <c r="B9219" s="20" t="str">
        <f>HYPERLINK("https://twitter.com/jepangnet","@jepangnet")</f>
        <v>@jepangnet</v>
      </c>
      <c r="C9219" s="29" t="s">
        <v>3404</v>
      </c>
      <c r="D9219" s="21" t="s">
        <v>20168</v>
      </c>
      <c r="E9219" s="22" t="str">
        <f>HYPERLINK("https://twitter.com/jepangnet/status/922704747571961857","922704747571961857")</f>
        <v>922704747571961857</v>
      </c>
      <c r="F9219" s="23" t="s">
        <v>187</v>
      </c>
      <c r="G9219" s="24">
        <v>1830.0</v>
      </c>
      <c r="H9219" s="24">
        <v>73.0</v>
      </c>
      <c r="I9219" s="24">
        <v>0.0</v>
      </c>
      <c r="J9219" s="24">
        <v>1.0</v>
      </c>
      <c r="K9219" s="23" t="s">
        <v>34</v>
      </c>
      <c r="L9219" s="25">
        <v>41367.07915509259</v>
      </c>
      <c r="M9219" s="28"/>
      <c r="N9219" s="26" t="s">
        <v>3406</v>
      </c>
      <c r="O9219" s="22" t="str">
        <f>HYPERLINK("https://pbs.twimg.com/profile_images/584780080838115328/JAX1NIUM_normal.jpg","View")</f>
        <v>View</v>
      </c>
      <c r="P9219" s="27"/>
    </row>
    <row r="9220">
      <c r="A9220" s="14">
        <v>43031.960127314815</v>
      </c>
      <c r="B9220" s="20" t="str">
        <f>HYPERLINK("https://twitter.com/Shailendra86SP","@Shailendra86SP")</f>
        <v>@Shailendra86SP</v>
      </c>
      <c r="C9220" s="21" t="s">
        <v>20169</v>
      </c>
      <c r="D9220" s="21" t="s">
        <v>42</v>
      </c>
      <c r="E9220" s="22" t="str">
        <f>HYPERLINK("https://twitter.com/Shailendra86SP/status/922704855172599808","922704855172599808")</f>
        <v>922704855172599808</v>
      </c>
      <c r="F9220" s="23" t="s">
        <v>33</v>
      </c>
      <c r="G9220" s="24">
        <v>70.0</v>
      </c>
      <c r="H9220" s="24">
        <v>32.0</v>
      </c>
      <c r="I9220" s="24">
        <v>8501.0</v>
      </c>
      <c r="J9220" s="24">
        <v>0.0</v>
      </c>
      <c r="K9220" s="23" t="s">
        <v>34</v>
      </c>
      <c r="L9220" s="25">
        <v>42427.39619212963</v>
      </c>
      <c r="M9220" s="26" t="s">
        <v>204</v>
      </c>
      <c r="N9220" s="28"/>
      <c r="O9220" s="22" t="str">
        <f>HYPERLINK("https://pbs.twimg.com/profile_images/810095143881678848/li4wOmiI_normal.jpg","View")</f>
        <v>View</v>
      </c>
      <c r="P9220" s="27"/>
    </row>
    <row r="9221">
      <c r="A9221" s="14">
        <v>43031.96079861111</v>
      </c>
      <c r="B9221" s="20" t="str">
        <f>HYPERLINK("https://twitter.com/NiranjanZazmera","@NiranjanZazmera")</f>
        <v>@NiranjanZazmera</v>
      </c>
      <c r="C9221" s="21" t="s">
        <v>20170</v>
      </c>
      <c r="D9221" s="21" t="s">
        <v>42</v>
      </c>
      <c r="E9221" s="22" t="str">
        <f>HYPERLINK("https://twitter.com/NiranjanZazmera/status/922705098488233984","922705098488233984")</f>
        <v>922705098488233984</v>
      </c>
      <c r="F9221" s="23" t="s">
        <v>39</v>
      </c>
      <c r="G9221" s="24">
        <v>1320.0</v>
      </c>
      <c r="H9221" s="24">
        <v>244.0</v>
      </c>
      <c r="I9221" s="24">
        <v>8501.0</v>
      </c>
      <c r="J9221" s="24">
        <v>0.0</v>
      </c>
      <c r="K9221" s="23" t="s">
        <v>34</v>
      </c>
      <c r="L9221" s="25">
        <v>40844.8341087963</v>
      </c>
      <c r="M9221" s="28"/>
      <c r="N9221" s="26" t="s">
        <v>20171</v>
      </c>
      <c r="O9221" s="22" t="str">
        <f>HYPERLINK("https://pbs.twimg.com/profile_images/871773114429915136/01-wjjJE_normal.jpg","View")</f>
        <v>View</v>
      </c>
      <c r="P9221" s="27"/>
    </row>
    <row r="9222">
      <c r="A9222" s="14">
        <v>43031.96084490741</v>
      </c>
      <c r="B9222" s="20" t="str">
        <f>HYPERLINK("https://twitter.com/mitsuya_niwa","@mitsuya_niwa")</f>
        <v>@mitsuya_niwa</v>
      </c>
      <c r="C9222" s="21" t="s">
        <v>20172</v>
      </c>
      <c r="D9222" s="21" t="s">
        <v>17677</v>
      </c>
      <c r="E9222" s="22" t="str">
        <f>HYPERLINK("https://twitter.com/mitsuya_niwa/status/922705116251136000","922705116251136000")</f>
        <v>922705116251136000</v>
      </c>
      <c r="F9222" s="23" t="s">
        <v>55</v>
      </c>
      <c r="G9222" s="24">
        <v>9080.0</v>
      </c>
      <c r="H9222" s="24">
        <v>112.0</v>
      </c>
      <c r="I9222" s="24">
        <v>13.0</v>
      </c>
      <c r="J9222" s="24">
        <v>0.0</v>
      </c>
      <c r="K9222" s="23" t="s">
        <v>34</v>
      </c>
      <c r="L9222" s="25">
        <v>40189.67167824074</v>
      </c>
      <c r="M9222" s="26" t="s">
        <v>762</v>
      </c>
      <c r="N9222" s="26" t="s">
        <v>20173</v>
      </c>
      <c r="O9222" s="22" t="str">
        <f>HYPERLINK("https://pbs.twimg.com/profile_images/1099542286/20090816_616399_normal.jpg","View")</f>
        <v>View</v>
      </c>
      <c r="P9222" s="27"/>
    </row>
    <row r="9223">
      <c r="A9223" s="14">
        <v>43031.96096064815</v>
      </c>
      <c r="B9223" s="20" t="str">
        <f>HYPERLINK("https://twitter.com/vijaysantuka","@vijaysantuka")</f>
        <v>@vijaysantuka</v>
      </c>
      <c r="C9223" s="21" t="s">
        <v>20174</v>
      </c>
      <c r="D9223" s="21" t="s">
        <v>42</v>
      </c>
      <c r="E9223" s="22" t="str">
        <f>HYPERLINK("https://twitter.com/vijaysantuka/status/922705158244405248","922705158244405248")</f>
        <v>922705158244405248</v>
      </c>
      <c r="F9223" s="23" t="s">
        <v>55</v>
      </c>
      <c r="G9223" s="24">
        <v>910.0</v>
      </c>
      <c r="H9223" s="24">
        <v>3565.0</v>
      </c>
      <c r="I9223" s="24">
        <v>8501.0</v>
      </c>
      <c r="J9223" s="24">
        <v>0.0</v>
      </c>
      <c r="K9223" s="23" t="s">
        <v>34</v>
      </c>
      <c r="L9223" s="25">
        <v>39977.30577546296</v>
      </c>
      <c r="M9223" s="26" t="s">
        <v>10979</v>
      </c>
      <c r="N9223" s="26" t="s">
        <v>20175</v>
      </c>
      <c r="O9223" s="22" t="str">
        <f>HYPERLINK("https://pbs.twimg.com/profile_images/751422029018963968/DOn0I_DB_normal.jpg","View")</f>
        <v>View</v>
      </c>
      <c r="P9223" s="27"/>
    </row>
    <row r="9224">
      <c r="A9224" s="14">
        <v>43031.96126157408</v>
      </c>
      <c r="B9224" s="20" t="str">
        <f>HYPERLINK("https://twitter.com/news_analyst","@news_analyst")</f>
        <v>@news_analyst</v>
      </c>
      <c r="C9224" s="21" t="s">
        <v>16486</v>
      </c>
      <c r="D9224" s="21" t="s">
        <v>20176</v>
      </c>
      <c r="E9224" s="22" t="str">
        <f>HYPERLINK("https://twitter.com/news_analyst/status/922705266805805057","922705266805805057")</f>
        <v>922705266805805057</v>
      </c>
      <c r="F9224" s="23" t="s">
        <v>1020</v>
      </c>
      <c r="G9224" s="24">
        <v>2172.0</v>
      </c>
      <c r="H9224" s="24">
        <v>2330.0</v>
      </c>
      <c r="I9224" s="24">
        <v>0.0</v>
      </c>
      <c r="J9224" s="24">
        <v>0.0</v>
      </c>
      <c r="K9224" s="23" t="s">
        <v>34</v>
      </c>
      <c r="L9224" s="25">
        <v>40712.19709490741</v>
      </c>
      <c r="M9224" s="26" t="s">
        <v>68</v>
      </c>
      <c r="N9224" s="26" t="s">
        <v>16488</v>
      </c>
      <c r="O9224" s="22" t="str">
        <f>HYPERLINK("https://pbs.twimg.com/profile_images/1401389327/Afbeelding_35_normal.png","View")</f>
        <v>View</v>
      </c>
      <c r="P9224" s="27"/>
    </row>
    <row r="9225">
      <c r="A9225" s="14">
        <v>43031.96144675926</v>
      </c>
      <c r="B9225" s="20" t="str">
        <f>HYPERLINK("https://twitter.com/FedReserveRelay","@FedReserveRelay")</f>
        <v>@FedReserveRelay</v>
      </c>
      <c r="C9225" s="21" t="s">
        <v>20177</v>
      </c>
      <c r="D9225" s="21" t="s">
        <v>20178</v>
      </c>
      <c r="E9225" s="22" t="str">
        <f>HYPERLINK("https://twitter.com/FedReserveRelay/status/922705334413791232","922705334413791232")</f>
        <v>922705334413791232</v>
      </c>
      <c r="F9225" s="23" t="s">
        <v>187</v>
      </c>
      <c r="G9225" s="24">
        <v>37.0</v>
      </c>
      <c r="H9225" s="24">
        <v>3.0</v>
      </c>
      <c r="I9225" s="24">
        <v>0.0</v>
      </c>
      <c r="J9225" s="24">
        <v>0.0</v>
      </c>
      <c r="K9225" s="23" t="s">
        <v>34</v>
      </c>
      <c r="L9225" s="25">
        <v>42965.512349537035</v>
      </c>
      <c r="M9225" s="26" t="s">
        <v>20179</v>
      </c>
      <c r="N9225" s="26" t="s">
        <v>20180</v>
      </c>
      <c r="O9225" s="22" t="str">
        <f>HYPERLINK("https://pbs.twimg.com/profile_images/908964920942874625/MbwepoHm_normal.jpg","View")</f>
        <v>View</v>
      </c>
      <c r="P9225" s="27"/>
    </row>
    <row r="9226">
      <c r="A9226" s="14">
        <v>43031.96194444444</v>
      </c>
      <c r="B9226" s="20" t="str">
        <f>HYPERLINK("https://twitter.com/BSAFunds","@BSAFunds")</f>
        <v>@BSAFunds</v>
      </c>
      <c r="C9226" s="21" t="s">
        <v>1248</v>
      </c>
      <c r="D9226" s="21" t="s">
        <v>20181</v>
      </c>
      <c r="E9226" s="22" t="str">
        <f>HYPERLINK("https://twitter.com/BSAFunds/status/922705516211638278","922705516211638278")</f>
        <v>922705516211638278</v>
      </c>
      <c r="F9226" s="23" t="s">
        <v>187</v>
      </c>
      <c r="G9226" s="24">
        <v>20910.0</v>
      </c>
      <c r="H9226" s="24">
        <v>8929.0</v>
      </c>
      <c r="I9226" s="24">
        <v>0.0</v>
      </c>
      <c r="J9226" s="24">
        <v>0.0</v>
      </c>
      <c r="K9226" s="23" t="s">
        <v>34</v>
      </c>
      <c r="L9226" s="25">
        <v>42601.94818287037</v>
      </c>
      <c r="M9226" s="26" t="s">
        <v>1250</v>
      </c>
      <c r="N9226" s="26" t="s">
        <v>1251</v>
      </c>
      <c r="O9226" s="22" t="str">
        <f>HYPERLINK("https://pbs.twimg.com/profile_images/912769166960033792/N4LAmrTs_normal.jpg","View")</f>
        <v>View</v>
      </c>
      <c r="P9226" s="27"/>
    </row>
    <row r="9227">
      <c r="A9227" s="14">
        <v>43031.962013888886</v>
      </c>
      <c r="B9227" s="20" t="str">
        <f>HYPERLINK("https://twitter.com/kaushalparikh04","@kaushalparikh04")</f>
        <v>@kaushalparikh04</v>
      </c>
      <c r="C9227" s="21" t="s">
        <v>20182</v>
      </c>
      <c r="D9227" s="21" t="s">
        <v>42</v>
      </c>
      <c r="E9227" s="22" t="str">
        <f>HYPERLINK("https://twitter.com/kaushalparikh04/status/922705538546388993","922705538546388993")</f>
        <v>922705538546388993</v>
      </c>
      <c r="F9227" s="23" t="s">
        <v>43</v>
      </c>
      <c r="G9227" s="24">
        <v>26.0</v>
      </c>
      <c r="H9227" s="24">
        <v>147.0</v>
      </c>
      <c r="I9227" s="24">
        <v>8501.0</v>
      </c>
      <c r="J9227" s="24">
        <v>0.0</v>
      </c>
      <c r="K9227" s="23" t="s">
        <v>34</v>
      </c>
      <c r="L9227" s="25">
        <v>42823.174050925925</v>
      </c>
      <c r="M9227" s="28"/>
      <c r="N9227" s="28"/>
      <c r="O9227" s="22" t="str">
        <f>HYPERLINK("https://abs.twimg.com/sticky/default_profile_images/default_profile_normal.png","View")</f>
        <v>View</v>
      </c>
      <c r="P9227" s="27"/>
    </row>
    <row r="9228">
      <c r="A9228" s="14">
        <v>43031.96202546296</v>
      </c>
      <c r="B9228" s="20" t="str">
        <f>HYPERLINK("https://twitter.com/amol11588","@amol11588")</f>
        <v>@amol11588</v>
      </c>
      <c r="C9228" s="21" t="s">
        <v>20183</v>
      </c>
      <c r="D9228" s="21" t="s">
        <v>42</v>
      </c>
      <c r="E9228" s="22" t="str">
        <f>HYPERLINK("https://twitter.com/amol11588/status/922705542501498880","922705542501498880")</f>
        <v>922705542501498880</v>
      </c>
      <c r="F9228" s="23" t="s">
        <v>33</v>
      </c>
      <c r="G9228" s="24">
        <v>67.0</v>
      </c>
      <c r="H9228" s="24">
        <v>124.0</v>
      </c>
      <c r="I9228" s="24">
        <v>8501.0</v>
      </c>
      <c r="J9228" s="24">
        <v>0.0</v>
      </c>
      <c r="K9228" s="23" t="s">
        <v>34</v>
      </c>
      <c r="L9228" s="25">
        <v>41981.29722222222</v>
      </c>
      <c r="M9228" s="26" t="s">
        <v>20184</v>
      </c>
      <c r="N9228" s="26" t="s">
        <v>20185</v>
      </c>
      <c r="O9228" s="22" t="str">
        <f>HYPERLINK("https://pbs.twimg.com/profile_images/784629126116347908/wJrEOTkG_normal.jpg","View")</f>
        <v>View</v>
      </c>
      <c r="P9228" s="27"/>
    </row>
    <row r="9229">
      <c r="A9229" s="14">
        <v>43031.96202546296</v>
      </c>
      <c r="B9229" s="20" t="str">
        <f>HYPERLINK("https://twitter.com/B3_Admiral","@B3_Admiral")</f>
        <v>@B3_Admiral</v>
      </c>
      <c r="C9229" s="21" t="s">
        <v>20186</v>
      </c>
      <c r="D9229" s="21" t="s">
        <v>20187</v>
      </c>
      <c r="E9229" s="22" t="str">
        <f>HYPERLINK("https://twitter.com/B3_Admiral/status/922705543583612928","922705543583612928")</f>
        <v>922705543583612928</v>
      </c>
      <c r="F9229" s="23" t="s">
        <v>55</v>
      </c>
      <c r="G9229" s="24">
        <v>1.0</v>
      </c>
      <c r="H9229" s="24">
        <v>7.0</v>
      </c>
      <c r="I9229" s="24">
        <v>0.0</v>
      </c>
      <c r="J9229" s="24">
        <v>0.0</v>
      </c>
      <c r="K9229" s="23" t="s">
        <v>34</v>
      </c>
      <c r="L9229" s="25">
        <v>43001.05835648148</v>
      </c>
      <c r="M9229" s="28"/>
      <c r="N9229" s="26" t="s">
        <v>20188</v>
      </c>
      <c r="O9229" s="22" t="str">
        <f>HYPERLINK("https://pbs.twimg.com/profile_images/913586610331033600/4T-4oClM_normal.jpg","View")</f>
        <v>View</v>
      </c>
      <c r="P9229" s="27"/>
    </row>
    <row r="9230">
      <c r="A9230" s="14">
        <v>43031.96255787037</v>
      </c>
      <c r="B9230" s="20" t="str">
        <f>HYPERLINK("https://twitter.com/isanjibroy","@isanjibroy")</f>
        <v>@isanjibroy</v>
      </c>
      <c r="C9230" s="21" t="s">
        <v>20189</v>
      </c>
      <c r="D9230" s="21" t="s">
        <v>42</v>
      </c>
      <c r="E9230" s="22" t="str">
        <f>HYPERLINK("https://twitter.com/isanjibroy/status/922705735997370369","922705735997370369")</f>
        <v>922705735997370369</v>
      </c>
      <c r="F9230" s="23" t="s">
        <v>33</v>
      </c>
      <c r="G9230" s="24">
        <v>243.0</v>
      </c>
      <c r="H9230" s="24">
        <v>186.0</v>
      </c>
      <c r="I9230" s="24">
        <v>8501.0</v>
      </c>
      <c r="J9230" s="24">
        <v>0.0</v>
      </c>
      <c r="K9230" s="23" t="s">
        <v>34</v>
      </c>
      <c r="L9230" s="25">
        <v>41130.042129629626</v>
      </c>
      <c r="M9230" s="26" t="s">
        <v>204</v>
      </c>
      <c r="N9230" s="28"/>
      <c r="O9230" s="22" t="str">
        <f>HYPERLINK("https://pbs.twimg.com/profile_images/722406567266496513/qNXHaODJ_normal.jpg","View")</f>
        <v>View</v>
      </c>
      <c r="P9230" s="27"/>
    </row>
    <row r="9231">
      <c r="A9231" s="14">
        <v>43031.96302083333</v>
      </c>
      <c r="B9231" s="20" t="str">
        <f>HYPERLINK("https://twitter.com/imPankkaj","@imPankkaj")</f>
        <v>@imPankkaj</v>
      </c>
      <c r="C9231" s="21" t="s">
        <v>20190</v>
      </c>
      <c r="D9231" s="21" t="s">
        <v>42</v>
      </c>
      <c r="E9231" s="22" t="str">
        <f>HYPERLINK("https://twitter.com/imPankkaj/status/922705906168684545","922705906168684545")</f>
        <v>922705906168684545</v>
      </c>
      <c r="F9231" s="23" t="s">
        <v>33</v>
      </c>
      <c r="G9231" s="24">
        <v>116.0</v>
      </c>
      <c r="H9231" s="24">
        <v>805.0</v>
      </c>
      <c r="I9231" s="24">
        <v>8501.0</v>
      </c>
      <c r="J9231" s="24">
        <v>0.0</v>
      </c>
      <c r="K9231" s="23" t="s">
        <v>34</v>
      </c>
      <c r="L9231" s="25">
        <v>41274.78277777778</v>
      </c>
      <c r="M9231" s="26" t="s">
        <v>8337</v>
      </c>
      <c r="N9231" s="26" t="s">
        <v>20191</v>
      </c>
      <c r="O9231" s="22" t="str">
        <f>HYPERLINK("https://pbs.twimg.com/profile_images/915297750878744577/Hyyfmbw-_normal.jpg","View")</f>
        <v>View</v>
      </c>
      <c r="P9231" s="27"/>
    </row>
    <row r="9232">
      <c r="A9232" s="14">
        <v>43031.9630787037</v>
      </c>
      <c r="B9232" s="20" t="str">
        <f>HYPERLINK("https://twitter.com/Smth_Banal","@Smth_Banal")</f>
        <v>@Smth_Banal</v>
      </c>
      <c r="C9232" s="21" t="s">
        <v>20192</v>
      </c>
      <c r="D9232" s="21" t="s">
        <v>20193</v>
      </c>
      <c r="E9232" s="22" t="str">
        <f>HYPERLINK("https://twitter.com/Smth_Banal/status/922705925340876800","922705925340876800")</f>
        <v>922705925340876800</v>
      </c>
      <c r="F9232" s="23" t="s">
        <v>10255</v>
      </c>
      <c r="G9232" s="24">
        <v>29.0</v>
      </c>
      <c r="H9232" s="24">
        <v>27.0</v>
      </c>
      <c r="I9232" s="24">
        <v>0.0</v>
      </c>
      <c r="J9232" s="24">
        <v>0.0</v>
      </c>
      <c r="K9232" s="23" t="s">
        <v>34</v>
      </c>
      <c r="L9232" s="25">
        <v>42254.108564814815</v>
      </c>
      <c r="M9232" s="26" t="s">
        <v>20194</v>
      </c>
      <c r="N9232" s="28"/>
      <c r="O9232" s="22" t="str">
        <f>HYPERLINK("https://abs.twimg.com/sticky/default_profile_images/default_profile_normal.png","View")</f>
        <v>View</v>
      </c>
      <c r="P9232" s="27"/>
    </row>
    <row r="9233">
      <c r="A9233" s="14">
        <v>43031.96381944444</v>
      </c>
      <c r="B9233" s="20" t="str">
        <f>HYPERLINK("https://twitter.com/dangoago","@dangoago")</f>
        <v>@dangoago</v>
      </c>
      <c r="C9233" s="21" t="s">
        <v>20195</v>
      </c>
      <c r="D9233" s="21" t="s">
        <v>20196</v>
      </c>
      <c r="E9233" s="22" t="str">
        <f>HYPERLINK("https://twitter.com/dangoago/status/922706193130442752","922706193130442752")</f>
        <v>922706193130442752</v>
      </c>
      <c r="F9233" s="23" t="s">
        <v>39</v>
      </c>
      <c r="G9233" s="24">
        <v>1508.0</v>
      </c>
      <c r="H9233" s="24">
        <v>4162.0</v>
      </c>
      <c r="I9233" s="24">
        <v>1.0</v>
      </c>
      <c r="J9233" s="24">
        <v>0.0</v>
      </c>
      <c r="K9233" s="23" t="s">
        <v>34</v>
      </c>
      <c r="L9233" s="25">
        <v>40210.27287037037</v>
      </c>
      <c r="M9233" s="26" t="s">
        <v>20197</v>
      </c>
      <c r="N9233" s="26" t="s">
        <v>20198</v>
      </c>
      <c r="O9233" s="22" t="str">
        <f>HYPERLINK("https://pbs.twimg.com/profile_images/858660219554938880/uNEgfpZh_normal.jpg","View")</f>
        <v>View</v>
      </c>
      <c r="P9233" s="27"/>
    </row>
    <row r="9234">
      <c r="A9234" s="14">
        <v>43031.964004629626</v>
      </c>
      <c r="B9234" s="20" t="str">
        <f>HYPERLINK("https://twitter.com/ShivaPoonia1","@ShivaPoonia1")</f>
        <v>@ShivaPoonia1</v>
      </c>
      <c r="C9234" s="21" t="s">
        <v>20199</v>
      </c>
      <c r="D9234" s="21" t="s">
        <v>42</v>
      </c>
      <c r="E9234" s="22" t="str">
        <f>HYPERLINK("https://twitter.com/ShivaPoonia1/status/922706261258498049","922706261258498049")</f>
        <v>922706261258498049</v>
      </c>
      <c r="F9234" s="23" t="s">
        <v>39</v>
      </c>
      <c r="G9234" s="24">
        <v>618.0</v>
      </c>
      <c r="H9234" s="24">
        <v>5001.0</v>
      </c>
      <c r="I9234" s="24">
        <v>8501.0</v>
      </c>
      <c r="J9234" s="24">
        <v>0.0</v>
      </c>
      <c r="K9234" s="23" t="s">
        <v>34</v>
      </c>
      <c r="L9234" s="25">
        <v>42553.44667824074</v>
      </c>
      <c r="M9234" s="28"/>
      <c r="N9234" s="28"/>
      <c r="O9234" s="22" t="str">
        <f>HYPERLINK("https://pbs.twimg.com/profile_images/912720809466019840/kcAEP4jr_normal.jpg","View")</f>
        <v>View</v>
      </c>
      <c r="P9234" s="27"/>
    </row>
    <row r="9235">
      <c r="A9235" s="14">
        <v>43031.9640625</v>
      </c>
      <c r="B9235" s="20" t="str">
        <f>HYPERLINK("https://twitter.com/HelenBiggs4","@HelenBiggs4")</f>
        <v>@HelenBiggs4</v>
      </c>
      <c r="C9235" s="21" t="s">
        <v>20200</v>
      </c>
      <c r="D9235" s="21" t="s">
        <v>6670</v>
      </c>
      <c r="E9235" s="22" t="str">
        <f>HYPERLINK("https://twitter.com/HelenBiggs4/status/922706283484123136","922706283484123136")</f>
        <v>922706283484123136</v>
      </c>
      <c r="F9235" s="23" t="s">
        <v>20201</v>
      </c>
      <c r="G9235" s="24">
        <v>1652.0</v>
      </c>
      <c r="H9235" s="24">
        <v>1491.0</v>
      </c>
      <c r="I9235" s="24">
        <v>5.0</v>
      </c>
      <c r="J9235" s="24">
        <v>0.0</v>
      </c>
      <c r="K9235" s="23" t="s">
        <v>34</v>
      </c>
      <c r="L9235" s="25">
        <v>41532.55133101852</v>
      </c>
      <c r="M9235" s="26" t="s">
        <v>4083</v>
      </c>
      <c r="N9235" s="26" t="s">
        <v>20202</v>
      </c>
      <c r="O9235" s="22" t="str">
        <f>HYPERLINK("https://pbs.twimg.com/profile_images/378800000462928919/612caf7a1977be7fc7a33350c9d9e674_normal.jpeg","View")</f>
        <v>View</v>
      </c>
      <c r="P9235" s="27"/>
    </row>
    <row r="9236">
      <c r="A9236" s="14">
        <v>43031.96425925926</v>
      </c>
      <c r="B9236" s="20" t="str">
        <f>HYPERLINK("https://twitter.com/sivacbetwit","@sivacbetwit")</f>
        <v>@sivacbetwit</v>
      </c>
      <c r="C9236" s="21" t="s">
        <v>20203</v>
      </c>
      <c r="D9236" s="21" t="s">
        <v>163</v>
      </c>
      <c r="E9236" s="22" t="str">
        <f>HYPERLINK("https://twitter.com/sivacbetwit/status/922706354736910336","922706354736910336")</f>
        <v>922706354736910336</v>
      </c>
      <c r="F9236" s="23" t="s">
        <v>33</v>
      </c>
      <c r="G9236" s="24">
        <v>50.0</v>
      </c>
      <c r="H9236" s="24">
        <v>325.0</v>
      </c>
      <c r="I9236" s="24">
        <v>1005.0</v>
      </c>
      <c r="J9236" s="24">
        <v>0.0</v>
      </c>
      <c r="K9236" s="23" t="s">
        <v>34</v>
      </c>
      <c r="L9236" s="25">
        <v>40517.310752314814</v>
      </c>
      <c r="M9236" s="26" t="s">
        <v>20204</v>
      </c>
      <c r="N9236" s="26" t="s">
        <v>20205</v>
      </c>
      <c r="O9236" s="22" t="str">
        <f>HYPERLINK("https://pbs.twimg.com/profile_images/2274872886/9b6jyzml75487kr7he3f_normal.jpeg","View")</f>
        <v>View</v>
      </c>
      <c r="P9236" s="27"/>
    </row>
    <row r="9237">
      <c r="A9237" s="14">
        <v>43031.96482638889</v>
      </c>
      <c r="B9237" s="20" t="str">
        <f>HYPERLINK("https://twitter.com/RogerRaj10","@RogerRaj10")</f>
        <v>@RogerRaj10</v>
      </c>
      <c r="C9237" s="21" t="s">
        <v>20206</v>
      </c>
      <c r="D9237" s="21" t="s">
        <v>42</v>
      </c>
      <c r="E9237" s="22" t="str">
        <f>HYPERLINK("https://twitter.com/RogerRaj10/status/922706558798237697","922706558798237697")</f>
        <v>922706558798237697</v>
      </c>
      <c r="F9237" s="23" t="s">
        <v>33</v>
      </c>
      <c r="G9237" s="24">
        <v>19.0</v>
      </c>
      <c r="H9237" s="24">
        <v>86.0</v>
      </c>
      <c r="I9237" s="24">
        <v>8501.0</v>
      </c>
      <c r="J9237" s="24">
        <v>0.0</v>
      </c>
      <c r="K9237" s="23" t="s">
        <v>34</v>
      </c>
      <c r="L9237" s="25">
        <v>42929.115381944444</v>
      </c>
      <c r="M9237" s="26" t="s">
        <v>603</v>
      </c>
      <c r="N9237" s="28"/>
      <c r="O9237" s="22" t="str">
        <f>HYPERLINK("https://pbs.twimg.com/profile_images/890539682618003456/bS0Mo-LF_normal.jpg","View")</f>
        <v>View</v>
      </c>
      <c r="P9237" s="27"/>
    </row>
    <row r="9238">
      <c r="A9238" s="14">
        <v>43031.9656712963</v>
      </c>
      <c r="B9238" s="20" t="str">
        <f>HYPERLINK("https://twitter.com/Lemon1528","@Lemon1528")</f>
        <v>@Lemon1528</v>
      </c>
      <c r="C9238" s="21" t="s">
        <v>20207</v>
      </c>
      <c r="D9238" s="21" t="s">
        <v>17703</v>
      </c>
      <c r="E9238" s="22" t="str">
        <f>HYPERLINK("https://twitter.com/Lemon1528/status/922706866693603329","922706866693603329")</f>
        <v>922706866693603329</v>
      </c>
      <c r="F9238" s="23" t="s">
        <v>39</v>
      </c>
      <c r="G9238" s="24">
        <v>1206.0</v>
      </c>
      <c r="H9238" s="24">
        <v>1092.0</v>
      </c>
      <c r="I9238" s="24">
        <v>23.0</v>
      </c>
      <c r="J9238" s="24">
        <v>0.0</v>
      </c>
      <c r="K9238" s="23" t="s">
        <v>34</v>
      </c>
      <c r="L9238" s="25">
        <v>41754.06798611111</v>
      </c>
      <c r="M9238" s="26" t="s">
        <v>20208</v>
      </c>
      <c r="N9238" s="26" t="s">
        <v>20209</v>
      </c>
      <c r="O9238" s="22" t="str">
        <f>HYPERLINK("https://pbs.twimg.com/profile_images/833265231136694273/TtqhChRH_normal.jpg","View")</f>
        <v>View</v>
      </c>
      <c r="P9238" s="27"/>
    </row>
    <row r="9239">
      <c r="A9239" s="14">
        <v>43031.966307870374</v>
      </c>
      <c r="B9239" s="20" t="str">
        <f>HYPERLINK("https://twitter.com/AJWasahi","@AJWasahi")</f>
        <v>@AJWasahi</v>
      </c>
      <c r="C9239" s="21" t="s">
        <v>20210</v>
      </c>
      <c r="D9239" s="21" t="s">
        <v>20211</v>
      </c>
      <c r="E9239" s="22" t="str">
        <f>HYPERLINK("https://twitter.com/AJWasahi/status/922707098122690560","922707098122690560")</f>
        <v>922707098122690560</v>
      </c>
      <c r="F9239" s="23" t="s">
        <v>55</v>
      </c>
      <c r="G9239" s="24">
        <v>13524.0</v>
      </c>
      <c r="H9239" s="24">
        <v>15.0</v>
      </c>
      <c r="I9239" s="24">
        <v>1.0</v>
      </c>
      <c r="J9239" s="24">
        <v>2.0</v>
      </c>
      <c r="K9239" s="23" t="s">
        <v>34</v>
      </c>
      <c r="L9239" s="25">
        <v>40660.02068287037</v>
      </c>
      <c r="M9239" s="26" t="s">
        <v>20212</v>
      </c>
      <c r="N9239" s="26" t="s">
        <v>20213</v>
      </c>
      <c r="O9239" s="22" t="str">
        <f>HYPERLINK("https://pbs.twimg.com/profile_images/2748998510/e09ce788ebc18de90c6bd2db544967ee_normal.png","View")</f>
        <v>View</v>
      </c>
      <c r="P9239" s="27"/>
    </row>
    <row r="9240">
      <c r="A9240" s="14">
        <v>43031.96644675926</v>
      </c>
      <c r="B9240" s="20" t="str">
        <f>HYPERLINK("https://twitter.com/sanjaybisen75","@sanjaybisen75")</f>
        <v>@sanjaybisen75</v>
      </c>
      <c r="C9240" s="21" t="s">
        <v>20214</v>
      </c>
      <c r="D9240" s="21" t="s">
        <v>42</v>
      </c>
      <c r="E9240" s="22" t="str">
        <f>HYPERLINK("https://twitter.com/sanjaybisen75/status/922707147779080192","922707147779080192")</f>
        <v>922707147779080192</v>
      </c>
      <c r="F9240" s="23" t="s">
        <v>33</v>
      </c>
      <c r="G9240" s="24">
        <v>18.0</v>
      </c>
      <c r="H9240" s="24">
        <v>34.0</v>
      </c>
      <c r="I9240" s="24">
        <v>8501.0</v>
      </c>
      <c r="J9240" s="24">
        <v>0.0</v>
      </c>
      <c r="K9240" s="23" t="s">
        <v>34</v>
      </c>
      <c r="L9240" s="25">
        <v>43008.8458912037</v>
      </c>
      <c r="M9240" s="26" t="s">
        <v>8614</v>
      </c>
      <c r="N9240" s="26" t="s">
        <v>20215</v>
      </c>
      <c r="O9240" s="22" t="str">
        <f>HYPERLINK("https://pbs.twimg.com/profile_images/914333301661253632/s4ZZnhDS_normal.jpg","View")</f>
        <v>View</v>
      </c>
      <c r="P9240" s="27"/>
    </row>
    <row r="9241">
      <c r="A9241" s="14">
        <v>43031.96864583333</v>
      </c>
      <c r="B9241" s="20" t="str">
        <f>HYPERLINK("https://twitter.com/FXstreetNews","@FXstreetNews")</f>
        <v>@FXstreetNews</v>
      </c>
      <c r="C9241" s="21" t="s">
        <v>20216</v>
      </c>
      <c r="D9241" s="21" t="s">
        <v>20217</v>
      </c>
      <c r="E9241" s="22" t="str">
        <f>HYPERLINK("https://twitter.com/FXstreetNews/status/922707945460289536","922707945460289536")</f>
        <v>922707945460289536</v>
      </c>
      <c r="F9241" s="30" t="s">
        <v>20218</v>
      </c>
      <c r="G9241" s="24">
        <v>114461.0</v>
      </c>
      <c r="H9241" s="24">
        <v>255.0</v>
      </c>
      <c r="I9241" s="24">
        <v>0.0</v>
      </c>
      <c r="J9241" s="24">
        <v>1.0</v>
      </c>
      <c r="K9241" s="23" t="s">
        <v>34</v>
      </c>
      <c r="L9241" s="25">
        <v>39902.33741898148</v>
      </c>
      <c r="M9241" s="26" t="s">
        <v>13543</v>
      </c>
      <c r="N9241" s="26" t="s">
        <v>20219</v>
      </c>
      <c r="O9241" s="22" t="str">
        <f>HYPERLINK("https://pbs.twimg.com/profile_images/900669341171056640/06pIS4h4_normal.jpg","View")</f>
        <v>View</v>
      </c>
      <c r="P9241" s="27"/>
    </row>
    <row r="9242">
      <c r="A9242" s="14">
        <v>43031.96916666666</v>
      </c>
      <c r="B9242" s="20" t="str">
        <f>HYPERLINK("https://twitter.com/CityofInvestmnt","@CityofInvestmnt")</f>
        <v>@CityofInvestmnt</v>
      </c>
      <c r="C9242" s="21" t="s">
        <v>20220</v>
      </c>
      <c r="D9242" s="21" t="s">
        <v>20221</v>
      </c>
      <c r="E9242" s="22" t="str">
        <f>HYPERLINK("https://twitter.com/CityofInvestmnt/status/922708131033092097","922708131033092097")</f>
        <v>922708131033092097</v>
      </c>
      <c r="F9242" s="23" t="s">
        <v>187</v>
      </c>
      <c r="G9242" s="24">
        <v>156.0</v>
      </c>
      <c r="H9242" s="24">
        <v>612.0</v>
      </c>
      <c r="I9242" s="24">
        <v>0.0</v>
      </c>
      <c r="J9242" s="24">
        <v>0.0</v>
      </c>
      <c r="K9242" s="23" t="s">
        <v>34</v>
      </c>
      <c r="L9242" s="25">
        <v>42821.447858796295</v>
      </c>
      <c r="M9242" s="26" t="s">
        <v>11949</v>
      </c>
      <c r="N9242" s="26" t="s">
        <v>20222</v>
      </c>
      <c r="O9242" s="22" t="str">
        <f>HYPERLINK("https://pbs.twimg.com/profile_images/887079869196185604/oGmO0xwi_normal.jpg","View")</f>
        <v>View</v>
      </c>
      <c r="P9242" s="27"/>
    </row>
    <row r="9243">
      <c r="A9243" s="14">
        <v>43031.96916666666</v>
      </c>
      <c r="B9243" s="20" t="str">
        <f>HYPERLINK("https://twitter.com/TradingintheZen","@TradingintheZen")</f>
        <v>@TradingintheZen</v>
      </c>
      <c r="C9243" s="21" t="s">
        <v>20223</v>
      </c>
      <c r="D9243" s="21" t="s">
        <v>20224</v>
      </c>
      <c r="E9243" s="22" t="str">
        <f>HYPERLINK("https://twitter.com/TradingintheZen/status/922708131498676224","922708131498676224")</f>
        <v>922708131498676224</v>
      </c>
      <c r="F9243" s="23" t="s">
        <v>187</v>
      </c>
      <c r="G9243" s="24">
        <v>715.0</v>
      </c>
      <c r="H9243" s="24">
        <v>532.0</v>
      </c>
      <c r="I9243" s="24">
        <v>0.0</v>
      </c>
      <c r="J9243" s="24">
        <v>0.0</v>
      </c>
      <c r="K9243" s="23" t="s">
        <v>34</v>
      </c>
      <c r="L9243" s="25">
        <v>42695.34732638889</v>
      </c>
      <c r="M9243" s="26" t="s">
        <v>2448</v>
      </c>
      <c r="N9243" s="26" t="s">
        <v>20225</v>
      </c>
      <c r="O9243" s="22" t="str">
        <f>HYPERLINK("https://pbs.twimg.com/profile_images/801756434044252160/0C_eYQBy_normal.jpg","View")</f>
        <v>View</v>
      </c>
      <c r="P9243" s="27"/>
    </row>
    <row r="9244">
      <c r="A9244" s="14">
        <v>43031.96962962963</v>
      </c>
      <c r="B9244" s="20" t="str">
        <f>HYPERLINK("https://twitter.com/53xee","@53xee")</f>
        <v>@53xee</v>
      </c>
      <c r="C9244" s="21" t="s">
        <v>10790</v>
      </c>
      <c r="D9244" s="21" t="s">
        <v>20226</v>
      </c>
      <c r="E9244" s="22" t="str">
        <f>HYPERLINK("https://twitter.com/53xee/status/922708298779983872","922708298779983872")</f>
        <v>922708298779983872</v>
      </c>
      <c r="F9244" s="23" t="s">
        <v>187</v>
      </c>
      <c r="G9244" s="24">
        <v>142.0</v>
      </c>
      <c r="H9244" s="24">
        <v>167.0</v>
      </c>
      <c r="I9244" s="24">
        <v>0.0</v>
      </c>
      <c r="J9244" s="24">
        <v>0.0</v>
      </c>
      <c r="K9244" s="23" t="s">
        <v>34</v>
      </c>
      <c r="L9244" s="25">
        <v>42935.15537037037</v>
      </c>
      <c r="M9244" s="26" t="s">
        <v>4549</v>
      </c>
      <c r="N9244" s="26" t="s">
        <v>10792</v>
      </c>
      <c r="O9244" s="22" t="str">
        <f>HYPERLINK("https://pbs.twimg.com/profile_images/887633098590101504/4C9kPDS9_normal.jpg","View")</f>
        <v>View</v>
      </c>
      <c r="P9244" s="27"/>
    </row>
    <row r="9245">
      <c r="A9245" s="14">
        <v>43031.96990740741</v>
      </c>
      <c r="B9245" s="20" t="str">
        <f>HYPERLINK("https://twitter.com/dans_inthedark","@dans_inthedark")</f>
        <v>@dans_inthedark</v>
      </c>
      <c r="C9245" s="21" t="s">
        <v>20227</v>
      </c>
      <c r="D9245" s="21" t="s">
        <v>1642</v>
      </c>
      <c r="E9245" s="22" t="str">
        <f>HYPERLINK("https://twitter.com/dans_inthedark/status/922708400395321344","922708400395321344")</f>
        <v>922708400395321344</v>
      </c>
      <c r="F9245" s="23" t="s">
        <v>39</v>
      </c>
      <c r="G9245" s="24">
        <v>1087.0</v>
      </c>
      <c r="H9245" s="24">
        <v>1010.0</v>
      </c>
      <c r="I9245" s="24">
        <v>199.0</v>
      </c>
      <c r="J9245" s="24">
        <v>0.0</v>
      </c>
      <c r="K9245" s="23" t="s">
        <v>34</v>
      </c>
      <c r="L9245" s="25">
        <v>40395.861122685186</v>
      </c>
      <c r="M9245" s="26" t="s">
        <v>20228</v>
      </c>
      <c r="N9245" s="26" t="s">
        <v>20229</v>
      </c>
      <c r="O9245" s="22" t="str">
        <f>HYPERLINK("https://pbs.twimg.com/profile_images/875666088607989760/ZI808GdI_normal.jpg","View")</f>
        <v>View</v>
      </c>
      <c r="P9245" s="27"/>
    </row>
    <row r="9246">
      <c r="A9246" s="14">
        <v>43031.97016203703</v>
      </c>
      <c r="B9246" s="20" t="str">
        <f>HYPERLINK("https://twitter.com/Naresh09195111","@Naresh09195111")</f>
        <v>@Naresh09195111</v>
      </c>
      <c r="C9246" s="21" t="s">
        <v>20230</v>
      </c>
      <c r="D9246" s="21" t="s">
        <v>20231</v>
      </c>
      <c r="E9246" s="22" t="str">
        <f>HYPERLINK("https://twitter.com/Naresh09195111/status/922708491965534208","922708491965534208")</f>
        <v>922708491965534208</v>
      </c>
      <c r="F9246" s="23" t="s">
        <v>33</v>
      </c>
      <c r="G9246" s="24">
        <v>2.0</v>
      </c>
      <c r="H9246" s="24">
        <v>19.0</v>
      </c>
      <c r="I9246" s="24">
        <v>0.0</v>
      </c>
      <c r="J9246" s="24">
        <v>0.0</v>
      </c>
      <c r="K9246" s="23" t="s">
        <v>34</v>
      </c>
      <c r="L9246" s="25">
        <v>42852.46523148148</v>
      </c>
      <c r="M9246" s="28"/>
      <c r="N9246" s="28"/>
      <c r="O9246" s="22" t="str">
        <f>HYPERLINK("https://abs.twimg.com/sticky/default_profile_images/default_profile_normal.png","View")</f>
        <v>View</v>
      </c>
      <c r="P9246" s="27"/>
    </row>
    <row r="9247">
      <c r="A9247" s="14">
        <v>43031.97043981482</v>
      </c>
      <c r="B9247" s="20" t="str">
        <f>HYPERLINK("https://twitter.com/Georgekurian4K","@Georgekurian4K")</f>
        <v>@Georgekurian4K</v>
      </c>
      <c r="C9247" s="21" t="s">
        <v>20232</v>
      </c>
      <c r="D9247" s="21" t="s">
        <v>19016</v>
      </c>
      <c r="E9247" s="22" t="str">
        <f>HYPERLINK("https://twitter.com/Georgekurian4K/status/922708593736142848","922708593736142848")</f>
        <v>922708593736142848</v>
      </c>
      <c r="F9247" s="23" t="s">
        <v>33</v>
      </c>
      <c r="G9247" s="24">
        <v>35972.0</v>
      </c>
      <c r="H9247" s="24">
        <v>1371.0</v>
      </c>
      <c r="I9247" s="24">
        <v>51.0</v>
      </c>
      <c r="J9247" s="24">
        <v>0.0</v>
      </c>
      <c r="K9247" s="23" t="s">
        <v>34</v>
      </c>
      <c r="L9247" s="25">
        <v>41693.98421296296</v>
      </c>
      <c r="M9247" s="26" t="s">
        <v>531</v>
      </c>
      <c r="N9247" s="26" t="s">
        <v>20233</v>
      </c>
      <c r="O9247" s="22" t="str">
        <f>HYPERLINK("https://pbs.twimg.com/profile_images/774673230573494273/rrOg52My_normal.jpg","View")</f>
        <v>View</v>
      </c>
      <c r="P9247" s="27"/>
    </row>
    <row r="9248">
      <c r="A9248" s="14">
        <v>43031.97107638889</v>
      </c>
      <c r="B9248" s="20" t="str">
        <f>HYPERLINK("https://twitter.com/AdityaTyagii","@AdityaTyagii")</f>
        <v>@AdityaTyagii</v>
      </c>
      <c r="C9248" s="21" t="s">
        <v>20234</v>
      </c>
      <c r="D9248" s="21" t="s">
        <v>42</v>
      </c>
      <c r="E9248" s="22" t="str">
        <f>HYPERLINK("https://twitter.com/AdityaTyagii/status/922708824347222016","922708824347222016")</f>
        <v>922708824347222016</v>
      </c>
      <c r="F9248" s="23" t="s">
        <v>33</v>
      </c>
      <c r="G9248" s="24">
        <v>12.0</v>
      </c>
      <c r="H9248" s="24">
        <v>315.0</v>
      </c>
      <c r="I9248" s="24">
        <v>8501.0</v>
      </c>
      <c r="J9248" s="24">
        <v>0.0</v>
      </c>
      <c r="K9248" s="23" t="s">
        <v>34</v>
      </c>
      <c r="L9248" s="25">
        <v>43013.22168981482</v>
      </c>
      <c r="M9248" s="26" t="s">
        <v>9644</v>
      </c>
      <c r="N9248" s="28"/>
      <c r="O9248" s="22" t="str">
        <f>HYPERLINK("https://pbs.twimg.com/profile_images/915917832390533125/dSupIVmq_normal.jpg","View")</f>
        <v>View</v>
      </c>
      <c r="P9248" s="27"/>
    </row>
    <row r="9249">
      <c r="A9249" s="14">
        <v>43031.971400462964</v>
      </c>
      <c r="B9249" s="20" t="str">
        <f>HYPERLINK("https://twitter.com/FxccForex","@FxccForex")</f>
        <v>@FxccForex</v>
      </c>
      <c r="C9249" s="21" t="s">
        <v>20235</v>
      </c>
      <c r="D9249" s="21" t="s">
        <v>20236</v>
      </c>
      <c r="E9249" s="22" t="str">
        <f>HYPERLINK("https://twitter.com/FxccForex/status/922708942001704960","922708942001704960")</f>
        <v>922708942001704960</v>
      </c>
      <c r="F9249" s="23" t="s">
        <v>55</v>
      </c>
      <c r="G9249" s="24">
        <v>837.0</v>
      </c>
      <c r="H9249" s="24">
        <v>30.0</v>
      </c>
      <c r="I9249" s="24">
        <v>1.0</v>
      </c>
      <c r="J9249" s="24">
        <v>0.0</v>
      </c>
      <c r="K9249" s="23" t="s">
        <v>34</v>
      </c>
      <c r="L9249" s="25">
        <v>40569.16630787037</v>
      </c>
      <c r="M9249" s="26" t="s">
        <v>20237</v>
      </c>
      <c r="N9249" s="26" t="s">
        <v>20238</v>
      </c>
      <c r="O9249" s="22" t="str">
        <f>HYPERLINK("https://pbs.twimg.com/profile_images/872105842862149632/coIiKFwL_normal.jpg","View")</f>
        <v>View</v>
      </c>
      <c r="P9249" s="27"/>
    </row>
    <row r="9250">
      <c r="A9250" s="14">
        <v>43031.97142361111</v>
      </c>
      <c r="B9250" s="20" t="str">
        <f>HYPERLINK("https://twitter.com/BharatAPatel4","@BharatAPatel4")</f>
        <v>@BharatAPatel4</v>
      </c>
      <c r="C9250" s="21" t="s">
        <v>20239</v>
      </c>
      <c r="D9250" s="21" t="s">
        <v>20240</v>
      </c>
      <c r="E9250" s="22" t="str">
        <f>HYPERLINK("https://twitter.com/BharatAPatel4/status/922708948481953792","922708948481953792")</f>
        <v>922708948481953792</v>
      </c>
      <c r="F9250" s="23" t="s">
        <v>43</v>
      </c>
      <c r="G9250" s="24">
        <v>8.0</v>
      </c>
      <c r="H9250" s="24">
        <v>87.0</v>
      </c>
      <c r="I9250" s="24">
        <v>0.0</v>
      </c>
      <c r="J9250" s="24">
        <v>0.0</v>
      </c>
      <c r="K9250" s="23" t="s">
        <v>34</v>
      </c>
      <c r="L9250" s="25">
        <v>42823.95087962963</v>
      </c>
      <c r="M9250" s="26" t="s">
        <v>20241</v>
      </c>
      <c r="N9250" s="26" t="s">
        <v>20242</v>
      </c>
      <c r="O9250" s="22" t="str">
        <f>HYPERLINK("https://pbs.twimg.com/profile_images/854557092849614848/zL5cQURB_normal.jpg","View")</f>
        <v>View</v>
      </c>
      <c r="P9250" s="27"/>
    </row>
    <row r="9251">
      <c r="A9251" s="14">
        <v>43031.97148148148</v>
      </c>
      <c r="B9251" s="20" t="str">
        <f>HYPERLINK("https://twitter.com/mahaddirieh","@mahaddirieh")</f>
        <v>@mahaddirieh</v>
      </c>
      <c r="C9251" s="21" t="s">
        <v>20243</v>
      </c>
      <c r="D9251" s="21" t="s">
        <v>20244</v>
      </c>
      <c r="E9251" s="22" t="str">
        <f>HYPERLINK("https://twitter.com/mahaddirieh/status/922708969222746112","922708969222746112")</f>
        <v>922708969222746112</v>
      </c>
      <c r="F9251" s="23" t="s">
        <v>55</v>
      </c>
      <c r="G9251" s="24">
        <v>104.0</v>
      </c>
      <c r="H9251" s="24">
        <v>86.0</v>
      </c>
      <c r="I9251" s="24">
        <v>0.0</v>
      </c>
      <c r="J9251" s="24">
        <v>0.0</v>
      </c>
      <c r="K9251" s="23" t="s">
        <v>34</v>
      </c>
      <c r="L9251" s="25">
        <v>40730.46959490741</v>
      </c>
      <c r="M9251" s="26" t="s">
        <v>20245</v>
      </c>
      <c r="N9251" s="26" t="s">
        <v>20246</v>
      </c>
      <c r="O9251" s="22" t="str">
        <f>HYPERLINK("https://pbs.twimg.com/profile_images/681890790029660161/O6FuaTD5_normal.jpg","View")</f>
        <v>View</v>
      </c>
      <c r="P9251" s="27"/>
    </row>
    <row r="9252">
      <c r="A9252" s="14">
        <v>43031.97152777778</v>
      </c>
      <c r="B9252" s="20" t="str">
        <f>HYPERLINK("https://twitter.com/Georgekurian4K","@Georgekurian4K")</f>
        <v>@Georgekurian4K</v>
      </c>
      <c r="C9252" s="21" t="s">
        <v>20232</v>
      </c>
      <c r="D9252" s="21" t="s">
        <v>14708</v>
      </c>
      <c r="E9252" s="22" t="str">
        <f>HYPERLINK("https://twitter.com/Georgekurian4K/status/922708986352324609","922708986352324609")</f>
        <v>922708986352324609</v>
      </c>
      <c r="F9252" s="23" t="s">
        <v>33</v>
      </c>
      <c r="G9252" s="24">
        <v>35972.0</v>
      </c>
      <c r="H9252" s="24">
        <v>1371.0</v>
      </c>
      <c r="I9252" s="24">
        <v>3.0</v>
      </c>
      <c r="J9252" s="24">
        <v>0.0</v>
      </c>
      <c r="K9252" s="23" t="s">
        <v>34</v>
      </c>
      <c r="L9252" s="25">
        <v>41693.98421296296</v>
      </c>
      <c r="M9252" s="26" t="s">
        <v>531</v>
      </c>
      <c r="N9252" s="26" t="s">
        <v>20233</v>
      </c>
      <c r="O9252" s="22" t="str">
        <f>HYPERLINK("https://pbs.twimg.com/profile_images/774673230573494273/rrOg52My_normal.jpg","View")</f>
        <v>View</v>
      </c>
      <c r="P9252" s="27"/>
    </row>
    <row r="9253">
      <c r="A9253" s="14">
        <v>43031.971770833334</v>
      </c>
      <c r="B9253" s="20" t="str">
        <f>HYPERLINK("https://twitter.com/FX14AU","@FX14AU")</f>
        <v>@FX14AU</v>
      </c>
      <c r="C9253" s="29" t="s">
        <v>20247</v>
      </c>
      <c r="D9253" s="21" t="s">
        <v>20248</v>
      </c>
      <c r="E9253" s="22" t="str">
        <f>HYPERLINK("https://twitter.com/FX14AU/status/922709074059448320","922709074059448320")</f>
        <v>922709074059448320</v>
      </c>
      <c r="F9253" s="23" t="s">
        <v>187</v>
      </c>
      <c r="G9253" s="24">
        <v>2607.0</v>
      </c>
      <c r="H9253" s="24">
        <v>276.0</v>
      </c>
      <c r="I9253" s="24">
        <v>0.0</v>
      </c>
      <c r="J9253" s="24">
        <v>0.0</v>
      </c>
      <c r="K9253" s="23" t="s">
        <v>34</v>
      </c>
      <c r="L9253" s="25">
        <v>40727.92193287037</v>
      </c>
      <c r="M9253" s="26" t="s">
        <v>20249</v>
      </c>
      <c r="N9253" s="28"/>
      <c r="O9253" s="22" t="str">
        <f>HYPERLINK("https://pbs.twimg.com/profile_images/844502595825651713/UV4A3yJK_normal.jpg","View")</f>
        <v>View</v>
      </c>
      <c r="P9253" s="27"/>
    </row>
    <row r="9254">
      <c r="A9254" s="14">
        <v>43031.971909722226</v>
      </c>
      <c r="B9254" s="20" t="str">
        <f>HYPERLINK("https://twitter.com/mayurjadav1990","@mayurjadav1990")</f>
        <v>@mayurjadav1990</v>
      </c>
      <c r="C9254" s="21" t="s">
        <v>20250</v>
      </c>
      <c r="D9254" s="21" t="s">
        <v>42</v>
      </c>
      <c r="E9254" s="22" t="str">
        <f>HYPERLINK("https://twitter.com/mayurjadav1990/status/922709125267644416","922709125267644416")</f>
        <v>922709125267644416</v>
      </c>
      <c r="F9254" s="23" t="s">
        <v>33</v>
      </c>
      <c r="G9254" s="24">
        <v>982.0</v>
      </c>
      <c r="H9254" s="24">
        <v>2305.0</v>
      </c>
      <c r="I9254" s="24">
        <v>8501.0</v>
      </c>
      <c r="J9254" s="24">
        <v>0.0</v>
      </c>
      <c r="K9254" s="23" t="s">
        <v>34</v>
      </c>
      <c r="L9254" s="25">
        <v>41906.083761574075</v>
      </c>
      <c r="M9254" s="26" t="s">
        <v>20251</v>
      </c>
      <c r="N9254" s="26" t="s">
        <v>20252</v>
      </c>
      <c r="O9254" s="22" t="str">
        <f>HYPERLINK("https://pbs.twimg.com/profile_images/845574691653771265/8kjS8OG9_normal.jpg","View")</f>
        <v>View</v>
      </c>
      <c r="P9254" s="27"/>
    </row>
    <row r="9255">
      <c r="A9255" s="14">
        <v>43031.97247685185</v>
      </c>
      <c r="B9255" s="20" t="str">
        <f>HYPERLINK("https://twitter.com/DrJakeLin","@DrJakeLin")</f>
        <v>@DrJakeLin</v>
      </c>
      <c r="C9255" s="21" t="s">
        <v>20253</v>
      </c>
      <c r="D9255" s="21" t="s">
        <v>20254</v>
      </c>
      <c r="E9255" s="22" t="str">
        <f>HYPERLINK("https://twitter.com/DrJakeLin/status/922709332474630144","922709332474630144")</f>
        <v>922709332474630144</v>
      </c>
      <c r="F9255" s="23" t="s">
        <v>55</v>
      </c>
      <c r="G9255" s="24">
        <v>143.0</v>
      </c>
      <c r="H9255" s="24">
        <v>363.0</v>
      </c>
      <c r="I9255" s="24">
        <v>0.0</v>
      </c>
      <c r="J9255" s="24">
        <v>0.0</v>
      </c>
      <c r="K9255" s="23" t="s">
        <v>34</v>
      </c>
      <c r="L9255" s="25">
        <v>39865.708391203705</v>
      </c>
      <c r="M9255" s="26" t="s">
        <v>3693</v>
      </c>
      <c r="N9255" s="26" t="s">
        <v>20255</v>
      </c>
      <c r="O9255" s="22" t="str">
        <f>HYPERLINK("https://pbs.twimg.com/profile_images/846896334724476928/SIexQ_lJ_normal.jpg","View")</f>
        <v>View</v>
      </c>
      <c r="P9255" s="27"/>
    </row>
    <row r="9256">
      <c r="A9256" s="14">
        <v>43031.97284722222</v>
      </c>
      <c r="B9256" s="20" t="str">
        <f>HYPERLINK("https://twitter.com/mutobrasil","@mutobrasil")</f>
        <v>@mutobrasil</v>
      </c>
      <c r="C9256" s="21" t="s">
        <v>20256</v>
      </c>
      <c r="D9256" s="21" t="s">
        <v>1642</v>
      </c>
      <c r="E9256" s="22" t="str">
        <f>HYPERLINK("https://twitter.com/mutobrasil/status/922709465576636416","922709465576636416")</f>
        <v>922709465576636416</v>
      </c>
      <c r="F9256" s="23" t="s">
        <v>39</v>
      </c>
      <c r="G9256" s="24">
        <v>360.0</v>
      </c>
      <c r="H9256" s="24">
        <v>460.0</v>
      </c>
      <c r="I9256" s="24">
        <v>199.0</v>
      </c>
      <c r="J9256" s="24">
        <v>0.0</v>
      </c>
      <c r="K9256" s="23" t="s">
        <v>34</v>
      </c>
      <c r="L9256" s="25">
        <v>40508.064930555556</v>
      </c>
      <c r="M9256" s="26" t="s">
        <v>20257</v>
      </c>
      <c r="N9256" s="26" t="s">
        <v>20258</v>
      </c>
      <c r="O9256" s="22" t="str">
        <f>HYPERLINK("https://pbs.twimg.com/profile_images/1587515509/nossa-bossa_mutobrasil-logo_normal.jpg","View")</f>
        <v>View</v>
      </c>
      <c r="P9256" s="27"/>
    </row>
    <row r="9257">
      <c r="A9257" s="14">
        <v>43031.97320601852</v>
      </c>
      <c r="B9257" s="20" t="str">
        <f>HYPERLINK("https://twitter.com/bidaia","@bidaia")</f>
        <v>@bidaia</v>
      </c>
      <c r="C9257" s="21" t="s">
        <v>20259</v>
      </c>
      <c r="D9257" s="21" t="s">
        <v>20260</v>
      </c>
      <c r="E9257" s="22" t="str">
        <f>HYPERLINK("https://twitter.com/bidaia/status/922709594836783104","922709594836783104")</f>
        <v>922709594836783104</v>
      </c>
      <c r="F9257" s="23" t="s">
        <v>55</v>
      </c>
      <c r="G9257" s="24">
        <v>2676.0</v>
      </c>
      <c r="H9257" s="24">
        <v>2956.0</v>
      </c>
      <c r="I9257" s="24">
        <v>0.0</v>
      </c>
      <c r="J9257" s="24">
        <v>0.0</v>
      </c>
      <c r="K9257" s="23" t="s">
        <v>34</v>
      </c>
      <c r="L9257" s="25">
        <v>39896.22998842593</v>
      </c>
      <c r="M9257" s="26" t="s">
        <v>20261</v>
      </c>
      <c r="N9257" s="26" t="s">
        <v>20262</v>
      </c>
      <c r="O9257" s="22" t="str">
        <f>HYPERLINK("https://pbs.twimg.com/profile_images/880241874/Profile_7_normal.jpg","View")</f>
        <v>View</v>
      </c>
      <c r="P9257" s="27"/>
    </row>
    <row r="9258">
      <c r="A9258" s="14">
        <v>43031.9734837963</v>
      </c>
      <c r="B9258" s="20" t="str">
        <f>HYPERLINK("https://twitter.com/MarcoAguayo12","@MarcoAguayo12")</f>
        <v>@MarcoAguayo12</v>
      </c>
      <c r="C9258" s="21" t="s">
        <v>20263</v>
      </c>
      <c r="D9258" s="21" t="s">
        <v>19389</v>
      </c>
      <c r="E9258" s="22" t="str">
        <f>HYPERLINK("https://twitter.com/MarcoAguayo12/status/922709696221458432","922709696221458432")</f>
        <v>922709696221458432</v>
      </c>
      <c r="F9258" s="23" t="s">
        <v>39</v>
      </c>
      <c r="G9258" s="24">
        <v>5.0</v>
      </c>
      <c r="H9258" s="24">
        <v>129.0</v>
      </c>
      <c r="I9258" s="24">
        <v>29.0</v>
      </c>
      <c r="J9258" s="24">
        <v>0.0</v>
      </c>
      <c r="K9258" s="23" t="s">
        <v>34</v>
      </c>
      <c r="L9258" s="25">
        <v>42525.72015046296</v>
      </c>
      <c r="M9258" s="26" t="s">
        <v>1024</v>
      </c>
      <c r="N9258" s="28"/>
      <c r="O9258" s="22" t="str">
        <f>HYPERLINK("https://pbs.twimg.com/profile_images/915364214553812994/WyHxwxx9_normal.jpg","View")</f>
        <v>View</v>
      </c>
      <c r="P9258" s="27"/>
    </row>
    <row r="9259">
      <c r="A9259" s="14">
        <v>43031.97394675926</v>
      </c>
      <c r="B9259" s="20" t="str">
        <f>HYPERLINK("https://twitter.com/gatecat2011","@gatecat2011")</f>
        <v>@gatecat2011</v>
      </c>
      <c r="C9259" s="21" t="s">
        <v>20264</v>
      </c>
      <c r="D9259" s="21" t="s">
        <v>42</v>
      </c>
      <c r="E9259" s="22" t="str">
        <f>HYPERLINK("https://twitter.com/gatecat2011/status/922709865927077889","922709865927077889")</f>
        <v>922709865927077889</v>
      </c>
      <c r="F9259" s="23" t="s">
        <v>33</v>
      </c>
      <c r="G9259" s="24">
        <v>99.0</v>
      </c>
      <c r="H9259" s="24">
        <v>555.0</v>
      </c>
      <c r="I9259" s="24">
        <v>8501.0</v>
      </c>
      <c r="J9259" s="24">
        <v>0.0</v>
      </c>
      <c r="K9259" s="23" t="s">
        <v>34</v>
      </c>
      <c r="L9259" s="25">
        <v>40604.06966435185</v>
      </c>
      <c r="M9259" s="28"/>
      <c r="N9259" s="26" t="s">
        <v>20265</v>
      </c>
      <c r="O9259" s="22" t="str">
        <f>HYPERLINK("https://pbs.twimg.com/profile_images/568009401328345089/mwUPFcDW_normal.jpeg","View")</f>
        <v>View</v>
      </c>
      <c r="P9259" s="27"/>
    </row>
    <row r="9260">
      <c r="A9260" s="14">
        <v>43031.97400462963</v>
      </c>
      <c r="B9260" s="20" t="str">
        <f>HYPERLINK("https://twitter.com/tr27nov","@tr27nov")</f>
        <v>@tr27nov</v>
      </c>
      <c r="C9260" s="21" t="s">
        <v>20266</v>
      </c>
      <c r="D9260" s="21" t="s">
        <v>42</v>
      </c>
      <c r="E9260" s="22" t="str">
        <f>HYPERLINK("https://twitter.com/tr27nov/status/922709887267749889","922709887267749889")</f>
        <v>922709887267749889</v>
      </c>
      <c r="F9260" s="23" t="s">
        <v>55</v>
      </c>
      <c r="G9260" s="24">
        <v>5.0</v>
      </c>
      <c r="H9260" s="24">
        <v>12.0</v>
      </c>
      <c r="I9260" s="24">
        <v>8501.0</v>
      </c>
      <c r="J9260" s="24">
        <v>0.0</v>
      </c>
      <c r="K9260" s="23" t="s">
        <v>34</v>
      </c>
      <c r="L9260" s="25">
        <v>42926.62001157408</v>
      </c>
      <c r="M9260" s="28"/>
      <c r="N9260" s="28"/>
      <c r="O9260" s="22" t="str">
        <f>HYPERLINK("https://pbs.twimg.com/profile_images/891719732596015105/Ynqd9DGK_normal.jpg","View")</f>
        <v>View</v>
      </c>
      <c r="P9260" s="27"/>
    </row>
    <row r="9261">
      <c r="A9261" s="14">
        <v>43031.97445601852</v>
      </c>
      <c r="B9261" s="20" t="str">
        <f>HYPERLINK("https://twitter.com/Michaelprice888","@Michaelprice888")</f>
        <v>@Michaelprice888</v>
      </c>
      <c r="C9261" s="21" t="s">
        <v>18720</v>
      </c>
      <c r="D9261" s="21" t="s">
        <v>163</v>
      </c>
      <c r="E9261" s="22" t="str">
        <f>HYPERLINK("https://twitter.com/Michaelprice888/status/922710049897828352","922710049897828352")</f>
        <v>922710049897828352</v>
      </c>
      <c r="F9261" s="23" t="s">
        <v>39</v>
      </c>
      <c r="G9261" s="24">
        <v>8.0</v>
      </c>
      <c r="H9261" s="24">
        <v>27.0</v>
      </c>
      <c r="I9261" s="24">
        <v>1005.0</v>
      </c>
      <c r="J9261" s="24">
        <v>0.0</v>
      </c>
      <c r="K9261" s="23" t="s">
        <v>34</v>
      </c>
      <c r="L9261" s="25">
        <v>42953.50854166667</v>
      </c>
      <c r="M9261" s="26" t="s">
        <v>68</v>
      </c>
      <c r="N9261" s="26" t="s">
        <v>18721</v>
      </c>
      <c r="O9261" s="22" t="str">
        <f>HYPERLINK("https://pbs.twimg.com/profile_images/897618675598934017/oo344pEd_normal.jpg","View")</f>
        <v>View</v>
      </c>
      <c r="P9261" s="27"/>
    </row>
    <row r="9262">
      <c r="A9262" s="14">
        <v>43031.974745370375</v>
      </c>
      <c r="B9262" s="20" t="str">
        <f>HYPERLINK("https://twitter.com/PandeyRangaraj","@PandeyRangaraj")</f>
        <v>@PandeyRangaraj</v>
      </c>
      <c r="C9262" s="21" t="s">
        <v>20267</v>
      </c>
      <c r="D9262" s="21" t="s">
        <v>19279</v>
      </c>
      <c r="E9262" s="22" t="str">
        <f>HYPERLINK("https://twitter.com/PandeyRangaraj/status/922710153740222469","922710153740222469")</f>
        <v>922710153740222469</v>
      </c>
      <c r="F9262" s="23" t="s">
        <v>33</v>
      </c>
      <c r="G9262" s="24">
        <v>92.0</v>
      </c>
      <c r="H9262" s="24">
        <v>162.0</v>
      </c>
      <c r="I9262" s="24">
        <v>12.0</v>
      </c>
      <c r="J9262" s="24">
        <v>0.0</v>
      </c>
      <c r="K9262" s="23" t="s">
        <v>34</v>
      </c>
      <c r="L9262" s="25">
        <v>42848.00068287037</v>
      </c>
      <c r="M9262" s="26" t="s">
        <v>20268</v>
      </c>
      <c r="N9262" s="26" t="s">
        <v>20269</v>
      </c>
      <c r="O9262" s="22" t="str">
        <f>HYPERLINK("https://pbs.twimg.com/profile_images/856247595315982338/FQ8EzeTK_normal.jpg","View")</f>
        <v>View</v>
      </c>
      <c r="P9262" s="27"/>
    </row>
    <row r="9263">
      <c r="A9263" s="14">
        <v>43031.974756944444</v>
      </c>
      <c r="B9263" s="20" t="str">
        <f>HYPERLINK("https://twitter.com/DesRaj24905795","@DesRaj24905795")</f>
        <v>@DesRaj24905795</v>
      </c>
      <c r="C9263" s="21" t="s">
        <v>20270</v>
      </c>
      <c r="D9263" s="21" t="s">
        <v>42</v>
      </c>
      <c r="E9263" s="22" t="str">
        <f>HYPERLINK("https://twitter.com/DesRaj24905795/status/922710158899273729","922710158899273729")</f>
        <v>922710158899273729</v>
      </c>
      <c r="F9263" s="23" t="s">
        <v>33</v>
      </c>
      <c r="G9263" s="24">
        <v>20.0</v>
      </c>
      <c r="H9263" s="24">
        <v>41.0</v>
      </c>
      <c r="I9263" s="24">
        <v>8501.0</v>
      </c>
      <c r="J9263" s="24">
        <v>0.0</v>
      </c>
      <c r="K9263" s="23" t="s">
        <v>34</v>
      </c>
      <c r="L9263" s="25">
        <v>43000.0075</v>
      </c>
      <c r="M9263" s="28"/>
      <c r="N9263" s="28"/>
      <c r="O9263" s="22" t="str">
        <f t="shared" ref="O9263:O9264" si="186">HYPERLINK("https://abs.twimg.com/sticky/default_profile_images/default_profile_normal.png","View")</f>
        <v>View</v>
      </c>
      <c r="P9263" s="27"/>
    </row>
    <row r="9264">
      <c r="A9264" s="14">
        <v>43031.976006944446</v>
      </c>
      <c r="B9264" s="20" t="str">
        <f>HYPERLINK("https://twitter.com/KrishanLal1954","@KrishanLal1954")</f>
        <v>@KrishanLal1954</v>
      </c>
      <c r="C9264" s="21" t="s">
        <v>20271</v>
      </c>
      <c r="D9264" s="21" t="s">
        <v>42</v>
      </c>
      <c r="E9264" s="22" t="str">
        <f>HYPERLINK("https://twitter.com/KrishanLal1954/status/922710609652801537","922710609652801537")</f>
        <v>922710609652801537</v>
      </c>
      <c r="F9264" s="23" t="s">
        <v>33</v>
      </c>
      <c r="G9264" s="24">
        <v>2.0</v>
      </c>
      <c r="H9264" s="24">
        <v>4.0</v>
      </c>
      <c r="I9264" s="24">
        <v>8501.0</v>
      </c>
      <c r="J9264" s="24">
        <v>0.0</v>
      </c>
      <c r="K9264" s="23" t="s">
        <v>34</v>
      </c>
      <c r="L9264" s="25">
        <v>42941.22420138889</v>
      </c>
      <c r="M9264" s="28"/>
      <c r="N9264" s="28"/>
      <c r="O9264" s="22" t="str">
        <f t="shared" si="186"/>
        <v>View</v>
      </c>
      <c r="P9264" s="27"/>
    </row>
    <row r="9265">
      <c r="A9265" s="14">
        <v>43031.97625</v>
      </c>
      <c r="B9265" s="20" t="str">
        <f>HYPERLINK("https://twitter.com/sanjaytripathi3","@sanjaytripathi3")</f>
        <v>@sanjaytripathi3</v>
      </c>
      <c r="C9265" s="21" t="s">
        <v>20272</v>
      </c>
      <c r="D9265" s="21" t="s">
        <v>42</v>
      </c>
      <c r="E9265" s="22" t="str">
        <f>HYPERLINK("https://twitter.com/sanjaytripathi3/status/922710699960340480","922710699960340480")</f>
        <v>922710699960340480</v>
      </c>
      <c r="F9265" s="23" t="s">
        <v>33</v>
      </c>
      <c r="G9265" s="24">
        <v>3716.0</v>
      </c>
      <c r="H9265" s="24">
        <v>1101.0</v>
      </c>
      <c r="I9265" s="24">
        <v>8501.0</v>
      </c>
      <c r="J9265" s="24">
        <v>0.0</v>
      </c>
      <c r="K9265" s="23" t="s">
        <v>34</v>
      </c>
      <c r="L9265" s="25">
        <v>40291.354999999996</v>
      </c>
      <c r="M9265" s="26" t="s">
        <v>20273</v>
      </c>
      <c r="N9265" s="26" t="s">
        <v>20274</v>
      </c>
      <c r="O9265" s="22" t="str">
        <f>HYPERLINK("https://pbs.twimg.com/profile_images/666514219693555712/huespDrM_normal.jpg","View")</f>
        <v>View</v>
      </c>
      <c r="P9265" s="27"/>
    </row>
    <row r="9266">
      <c r="A9266" s="14">
        <v>43031.97640046296</v>
      </c>
      <c r="B9266" s="20" t="str">
        <f>HYPERLINK("https://twitter.com/exhausting","@exhausting")</f>
        <v>@exhausting</v>
      </c>
      <c r="C9266" s="21" t="s">
        <v>20275</v>
      </c>
      <c r="D9266" s="21" t="s">
        <v>20276</v>
      </c>
      <c r="E9266" s="22" t="str">
        <f>HYPERLINK("https://twitter.com/exhausting/status/922710755027406848","922710755027406848")</f>
        <v>922710755027406848</v>
      </c>
      <c r="F9266" s="23" t="s">
        <v>4619</v>
      </c>
      <c r="G9266" s="24">
        <v>10459.0</v>
      </c>
      <c r="H9266" s="24">
        <v>5472.0</v>
      </c>
      <c r="I9266" s="24">
        <v>0.0</v>
      </c>
      <c r="J9266" s="24">
        <v>0.0</v>
      </c>
      <c r="K9266" s="23" t="s">
        <v>34</v>
      </c>
      <c r="L9266" s="25">
        <v>39906.9996875</v>
      </c>
      <c r="M9266" s="26" t="s">
        <v>20277</v>
      </c>
      <c r="N9266" s="26" t="s">
        <v>20278</v>
      </c>
      <c r="O9266" s="22" t="str">
        <f>HYPERLINK("https://pbs.twimg.com/profile_images/856200575330865152/1YdSQQ4l_normal.jpg","View")</f>
        <v>View</v>
      </c>
      <c r="P9266" s="27"/>
    </row>
    <row r="9267">
      <c r="A9267" s="14">
        <v>43031.97650462963</v>
      </c>
      <c r="B9267" s="20" t="str">
        <f>HYPERLINK("https://twitter.com/GadgetsUKnews","@GadgetsUKnews")</f>
        <v>@GadgetsUKnews</v>
      </c>
      <c r="C9267" s="21" t="s">
        <v>20279</v>
      </c>
      <c r="D9267" s="21" t="s">
        <v>20280</v>
      </c>
      <c r="E9267" s="22" t="str">
        <f>HYPERLINK("https://twitter.com/GadgetsUKnews/status/922710792109207552","922710792109207552")</f>
        <v>922710792109207552</v>
      </c>
      <c r="F9267" s="23" t="s">
        <v>1020</v>
      </c>
      <c r="G9267" s="24">
        <v>462.0</v>
      </c>
      <c r="H9267" s="24">
        <v>533.0</v>
      </c>
      <c r="I9267" s="24">
        <v>0.0</v>
      </c>
      <c r="J9267" s="24">
        <v>0.0</v>
      </c>
      <c r="K9267" s="23" t="s">
        <v>34</v>
      </c>
      <c r="L9267" s="25">
        <v>41400.32648148148</v>
      </c>
      <c r="M9267" s="28"/>
      <c r="N9267" s="26" t="s">
        <v>20281</v>
      </c>
      <c r="O9267" s="22" t="str">
        <f>HYPERLINK("https://pbs.twimg.com/profile_images/436595741633835008/f0nDA_kE_normal.png","View")</f>
        <v>View</v>
      </c>
      <c r="P9267" s="27"/>
    </row>
    <row r="9268">
      <c r="A9268" s="14">
        <v>43031.97744212963</v>
      </c>
      <c r="B9268" s="20" t="str">
        <f>HYPERLINK("https://twitter.com/sharmaishaan89","@sharmaishaan89")</f>
        <v>@sharmaishaan89</v>
      </c>
      <c r="C9268" s="21" t="s">
        <v>20282</v>
      </c>
      <c r="D9268" s="21" t="s">
        <v>42</v>
      </c>
      <c r="E9268" s="22" t="str">
        <f>HYPERLINK("https://twitter.com/sharmaishaan89/status/922711130534899712","922711130534899712")</f>
        <v>922711130534899712</v>
      </c>
      <c r="F9268" s="23" t="s">
        <v>55</v>
      </c>
      <c r="G9268" s="24">
        <v>893.0</v>
      </c>
      <c r="H9268" s="24">
        <v>4992.0</v>
      </c>
      <c r="I9268" s="24">
        <v>8501.0</v>
      </c>
      <c r="J9268" s="24">
        <v>0.0</v>
      </c>
      <c r="K9268" s="23" t="s">
        <v>34</v>
      </c>
      <c r="L9268" s="25">
        <v>41875.11150462963</v>
      </c>
      <c r="M9268" s="26" t="s">
        <v>5280</v>
      </c>
      <c r="N9268" s="26" t="s">
        <v>20283</v>
      </c>
      <c r="O9268" s="22" t="str">
        <f>HYPERLINK("https://pbs.twimg.com/profile_images/814978759442862080/CkGnI5QM_normal.jpg","View")</f>
        <v>View</v>
      </c>
      <c r="P9268" s="27"/>
    </row>
    <row r="9269">
      <c r="A9269" s="14">
        <v>43031.9774537037</v>
      </c>
      <c r="B9269" s="20" t="str">
        <f>HYPERLINK("https://twitter.com/FairTax4America","@FairTax4America")</f>
        <v>@FairTax4America</v>
      </c>
      <c r="C9269" s="21" t="s">
        <v>20284</v>
      </c>
      <c r="D9269" s="21" t="s">
        <v>20285</v>
      </c>
      <c r="E9269" s="22" t="str">
        <f>HYPERLINK("https://twitter.com/FairTax4America/status/922711137233309696","922711137233309696")</f>
        <v>922711137233309696</v>
      </c>
      <c r="F9269" s="23" t="s">
        <v>187</v>
      </c>
      <c r="G9269" s="24">
        <v>8199.0</v>
      </c>
      <c r="H9269" s="24">
        <v>7606.0</v>
      </c>
      <c r="I9269" s="24">
        <v>0.0</v>
      </c>
      <c r="J9269" s="24">
        <v>0.0</v>
      </c>
      <c r="K9269" s="23" t="s">
        <v>34</v>
      </c>
      <c r="L9269" s="25">
        <v>41740.65010416666</v>
      </c>
      <c r="M9269" s="26" t="s">
        <v>17133</v>
      </c>
      <c r="N9269" s="26" t="s">
        <v>20286</v>
      </c>
      <c r="O9269" s="22" t="str">
        <f>HYPERLINK("https://pbs.twimg.com/profile_images/454763411776086016/GhWwa6DC_normal.jpeg","View")</f>
        <v>View</v>
      </c>
      <c r="P9269" s="27"/>
    </row>
    <row r="9270">
      <c r="A9270" s="14">
        <v>43031.9778125</v>
      </c>
      <c r="B9270" s="20" t="str">
        <f>HYPERLINK("https://twitter.com/OptionsTip","@OptionsTip")</f>
        <v>@OptionsTip</v>
      </c>
      <c r="C9270" s="21" t="s">
        <v>8346</v>
      </c>
      <c r="D9270" s="21" t="s">
        <v>20287</v>
      </c>
      <c r="E9270" s="22" t="str">
        <f>HYPERLINK("https://twitter.com/OptionsTip/status/922711265121832960","922711265121832960")</f>
        <v>922711265121832960</v>
      </c>
      <c r="F9270" s="23" t="s">
        <v>8348</v>
      </c>
      <c r="G9270" s="24">
        <v>679.0</v>
      </c>
      <c r="H9270" s="24">
        <v>956.0</v>
      </c>
      <c r="I9270" s="24">
        <v>0.0</v>
      </c>
      <c r="J9270" s="24">
        <v>0.0</v>
      </c>
      <c r="K9270" s="23" t="s">
        <v>34</v>
      </c>
      <c r="L9270" s="25">
        <v>40034.77528935185</v>
      </c>
      <c r="M9270" s="26" t="s">
        <v>204</v>
      </c>
      <c r="N9270" s="28"/>
      <c r="O9270" s="22" t="str">
        <f>HYPERLINK("https://pbs.twimg.com/profile_images/3698484594/e5ae6371e9d39a2561f3815c47b6b5db_normal.jpeg","View")</f>
        <v>View</v>
      </c>
      <c r="P9270" s="27"/>
    </row>
    <row r="9271">
      <c r="A9271" s="14">
        <v>43031.97939814815</v>
      </c>
      <c r="B9271" s="20" t="str">
        <f>HYPERLINK("https://twitter.com/SueMattlage","@SueMattlage")</f>
        <v>@SueMattlage</v>
      </c>
      <c r="C9271" s="21" t="s">
        <v>20288</v>
      </c>
      <c r="D9271" s="21" t="s">
        <v>6670</v>
      </c>
      <c r="E9271" s="22" t="str">
        <f>HYPERLINK("https://twitter.com/SueMattlage/status/922711839791833088","922711839791833088")</f>
        <v>922711839791833088</v>
      </c>
      <c r="F9271" s="23" t="s">
        <v>230</v>
      </c>
      <c r="G9271" s="24">
        <v>311.0</v>
      </c>
      <c r="H9271" s="24">
        <v>78.0</v>
      </c>
      <c r="I9271" s="24">
        <v>5.0</v>
      </c>
      <c r="J9271" s="24">
        <v>0.0</v>
      </c>
      <c r="K9271" s="23" t="s">
        <v>34</v>
      </c>
      <c r="L9271" s="25">
        <v>42581.54326388889</v>
      </c>
      <c r="M9271" s="26" t="s">
        <v>20289</v>
      </c>
      <c r="N9271" s="26" t="s">
        <v>20290</v>
      </c>
      <c r="O9271" s="22" t="str">
        <f>HYPERLINK("https://pbs.twimg.com/profile_images/759826718290944000/pwv-Jz8-_normal.jpg","View")</f>
        <v>View</v>
      </c>
      <c r="P9271" s="27"/>
    </row>
    <row r="9272">
      <c r="A9272" s="14">
        <v>43031.97940972222</v>
      </c>
      <c r="B9272" s="20" t="str">
        <f>HYPERLINK("https://twitter.com/JennyFear666","@JennyFear666")</f>
        <v>@JennyFear666</v>
      </c>
      <c r="C9272" s="21" t="s">
        <v>20291</v>
      </c>
      <c r="D9272" s="21" t="s">
        <v>5601</v>
      </c>
      <c r="E9272" s="22" t="str">
        <f>HYPERLINK("https://twitter.com/JennyFear666/status/922711843508051968","922711843508051968")</f>
        <v>922711843508051968</v>
      </c>
      <c r="F9272" s="23" t="s">
        <v>33</v>
      </c>
      <c r="G9272" s="24">
        <v>2903.0</v>
      </c>
      <c r="H9272" s="24">
        <v>3994.0</v>
      </c>
      <c r="I9272" s="24">
        <v>15.0</v>
      </c>
      <c r="J9272" s="24">
        <v>0.0</v>
      </c>
      <c r="K9272" s="23" t="s">
        <v>34</v>
      </c>
      <c r="L9272" s="25">
        <v>42210.98241898148</v>
      </c>
      <c r="M9272" s="26" t="s">
        <v>5557</v>
      </c>
      <c r="N9272" s="26" t="s">
        <v>20292</v>
      </c>
      <c r="O9272" s="22" t="str">
        <f>HYPERLINK("https://pbs.twimg.com/profile_images/655142735016538112/qPHY1nY2_normal.jpg","View")</f>
        <v>View</v>
      </c>
      <c r="P9272" s="27"/>
    </row>
    <row r="9273">
      <c r="A9273" s="14">
        <v>43031.9795949074</v>
      </c>
      <c r="B9273" s="20" t="str">
        <f>HYPERLINK("https://twitter.com/DavalynCorp","@DavalynCorp")</f>
        <v>@DavalynCorp</v>
      </c>
      <c r="C9273" s="21" t="s">
        <v>20293</v>
      </c>
      <c r="D9273" s="21" t="s">
        <v>20294</v>
      </c>
      <c r="E9273" s="22" t="str">
        <f>HYPERLINK("https://twitter.com/DavalynCorp/status/922711910507835392","922711910507835392")</f>
        <v>922711910507835392</v>
      </c>
      <c r="F9273" s="23" t="s">
        <v>427</v>
      </c>
      <c r="G9273" s="24">
        <v>98.0</v>
      </c>
      <c r="H9273" s="24">
        <v>0.0</v>
      </c>
      <c r="I9273" s="24">
        <v>0.0</v>
      </c>
      <c r="J9273" s="24">
        <v>0.0</v>
      </c>
      <c r="K9273" s="23" t="s">
        <v>34</v>
      </c>
      <c r="L9273" s="25">
        <v>39905.27019675926</v>
      </c>
      <c r="M9273" s="28"/>
      <c r="N9273" s="28"/>
      <c r="O9273" s="22" t="str">
        <f>HYPERLINK("https://pbs.twimg.com/profile_images/722508979520151552/RmKHCE1g_normal.jpg","View")</f>
        <v>View</v>
      </c>
      <c r="P9273" s="27"/>
    </row>
    <row r="9274">
      <c r="A9274" s="14">
        <v>43031.97987268519</v>
      </c>
      <c r="B9274" s="20" t="str">
        <f>HYPERLINK("https://twitter.com/Kerokero97","@Kerokero97")</f>
        <v>@Kerokero97</v>
      </c>
      <c r="C9274" s="21" t="s">
        <v>20295</v>
      </c>
      <c r="D9274" s="21" t="s">
        <v>20296</v>
      </c>
      <c r="E9274" s="22" t="str">
        <f>HYPERLINK("https://twitter.com/Kerokero97/status/922712012404281344","922712012404281344")</f>
        <v>922712012404281344</v>
      </c>
      <c r="F9274" s="23" t="s">
        <v>55</v>
      </c>
      <c r="G9274" s="24">
        <v>3184.0</v>
      </c>
      <c r="H9274" s="24">
        <v>2826.0</v>
      </c>
      <c r="I9274" s="24">
        <v>25.0</v>
      </c>
      <c r="J9274" s="24">
        <v>0.0</v>
      </c>
      <c r="K9274" s="23" t="s">
        <v>34</v>
      </c>
      <c r="L9274" s="25">
        <v>40622.510833333334</v>
      </c>
      <c r="M9274" s="26" t="s">
        <v>20297</v>
      </c>
      <c r="N9274" s="26" t="s">
        <v>20298</v>
      </c>
      <c r="O9274" s="22" t="str">
        <f>HYPERLINK("https://pbs.twimg.com/profile_images/1280644306/WAKA-resize_normal.jpg","View")</f>
        <v>View</v>
      </c>
      <c r="P9274" s="27"/>
    </row>
    <row r="9275">
      <c r="A9275" s="14">
        <v>43031.97988425926</v>
      </c>
      <c r="B9275" s="20" t="str">
        <f>HYPERLINK("https://twitter.com/returntotori","@returntotori")</f>
        <v>@returntotori</v>
      </c>
      <c r="C9275" s="21" t="s">
        <v>20299</v>
      </c>
      <c r="D9275" s="21" t="s">
        <v>19568</v>
      </c>
      <c r="E9275" s="22" t="str">
        <f>HYPERLINK("https://twitter.com/returntotori/status/922712018326454275","922712018326454275")</f>
        <v>922712018326454275</v>
      </c>
      <c r="F9275" s="23" t="s">
        <v>43</v>
      </c>
      <c r="G9275" s="24">
        <v>23.0</v>
      </c>
      <c r="H9275" s="24">
        <v>25.0</v>
      </c>
      <c r="I9275" s="24">
        <v>9.0</v>
      </c>
      <c r="J9275" s="24">
        <v>0.0</v>
      </c>
      <c r="K9275" s="23" t="s">
        <v>34</v>
      </c>
      <c r="L9275" s="25">
        <v>42319.17228009259</v>
      </c>
      <c r="M9275" s="28"/>
      <c r="N9275" s="28"/>
      <c r="O9275" s="22" t="str">
        <f>HYPERLINK("https://pbs.twimg.com/profile_images/772260902976360448/uoWLEdwl_normal.jpg","View")</f>
        <v>View</v>
      </c>
      <c r="P9275" s="27"/>
    </row>
    <row r="9276">
      <c r="A9276" s="14">
        <v>43031.980219907404</v>
      </c>
      <c r="B9276" s="20" t="str">
        <f>HYPERLINK("https://twitter.com/Kalim98278546","@Kalim98278546")</f>
        <v>@Kalim98278546</v>
      </c>
      <c r="C9276" s="21" t="s">
        <v>20300</v>
      </c>
      <c r="D9276" s="21" t="s">
        <v>42</v>
      </c>
      <c r="E9276" s="22" t="str">
        <f>HYPERLINK("https://twitter.com/Kalim98278546/status/922712137595785216","922712137595785216")</f>
        <v>922712137595785216</v>
      </c>
      <c r="F9276" s="23" t="s">
        <v>33</v>
      </c>
      <c r="G9276" s="24">
        <v>65.0</v>
      </c>
      <c r="H9276" s="24">
        <v>552.0</v>
      </c>
      <c r="I9276" s="24">
        <v>8501.0</v>
      </c>
      <c r="J9276" s="24">
        <v>0.0</v>
      </c>
      <c r="K9276" s="23" t="s">
        <v>34</v>
      </c>
      <c r="L9276" s="25">
        <v>42962.270416666666</v>
      </c>
      <c r="M9276" s="26" t="s">
        <v>246</v>
      </c>
      <c r="N9276" s="26" t="s">
        <v>20301</v>
      </c>
      <c r="O9276" s="22" t="str">
        <f>HYPERLINK("https://pbs.twimg.com/profile_images/897458056283308033/UEBpgmWj_normal.jpg","View")</f>
        <v>View</v>
      </c>
      <c r="P9276" s="27"/>
    </row>
    <row r="9277">
      <c r="A9277" s="14">
        <v>43031.980416666665</v>
      </c>
      <c r="B9277" s="20" t="str">
        <f>HYPERLINK("https://twitter.com/capitaluptick","@capitaluptick")</f>
        <v>@capitaluptick</v>
      </c>
      <c r="C9277" s="21" t="s">
        <v>20302</v>
      </c>
      <c r="D9277" s="21" t="s">
        <v>20303</v>
      </c>
      <c r="E9277" s="22" t="str">
        <f>HYPERLINK("https://twitter.com/capitaluptick/status/922712209477832704","922712209477832704")</f>
        <v>922712209477832704</v>
      </c>
      <c r="F9277" s="23" t="s">
        <v>187</v>
      </c>
      <c r="G9277" s="24">
        <v>310.0</v>
      </c>
      <c r="H9277" s="24">
        <v>137.0</v>
      </c>
      <c r="I9277" s="24">
        <v>0.0</v>
      </c>
      <c r="J9277" s="24">
        <v>0.0</v>
      </c>
      <c r="K9277" s="23" t="s">
        <v>34</v>
      </c>
      <c r="L9277" s="25">
        <v>42397.0265162037</v>
      </c>
      <c r="M9277" s="26" t="s">
        <v>16790</v>
      </c>
      <c r="N9277" s="26" t="s">
        <v>20304</v>
      </c>
      <c r="O9277" s="22" t="str">
        <f>HYPERLINK("https://pbs.twimg.com/profile_images/692628339803160576/tBiB9cYf_normal.png","View")</f>
        <v>View</v>
      </c>
      <c r="P9277" s="27"/>
    </row>
    <row r="9278">
      <c r="A9278" s="14">
        <v>43031.98042824074</v>
      </c>
      <c r="B9278" s="20" t="str">
        <f>HYPERLINK("https://twitter.com/alessandrolibri","@alessandrolibri")</f>
        <v>@alessandrolibri</v>
      </c>
      <c r="C9278" s="21" t="s">
        <v>20305</v>
      </c>
      <c r="D9278" s="21" t="s">
        <v>20306</v>
      </c>
      <c r="E9278" s="22" t="str">
        <f>HYPERLINK("https://twitter.com/alessandrolibri/status/922712215240826880","922712215240826880")</f>
        <v>922712215240826880</v>
      </c>
      <c r="F9278" s="23" t="s">
        <v>4595</v>
      </c>
      <c r="G9278" s="24">
        <v>60.0</v>
      </c>
      <c r="H9278" s="24">
        <v>56.0</v>
      </c>
      <c r="I9278" s="24">
        <v>0.0</v>
      </c>
      <c r="J9278" s="24">
        <v>0.0</v>
      </c>
      <c r="K9278" s="23" t="s">
        <v>34</v>
      </c>
      <c r="L9278" s="25">
        <v>40341.425474537034</v>
      </c>
      <c r="M9278" s="26" t="s">
        <v>923</v>
      </c>
      <c r="N9278" s="28"/>
      <c r="O9278" s="22" t="str">
        <f>HYPERLINK("https://pbs.twimg.com/profile_images/684548801105772545/u943ct13_normal.jpg","View")</f>
        <v>View</v>
      </c>
      <c r="P9278" s="27"/>
    </row>
    <row r="9279">
      <c r="A9279" s="14">
        <v>43031.9813425926</v>
      </c>
      <c r="B9279" s="20" t="str">
        <f>HYPERLINK("https://twitter.com/ashokh2012","@ashokh2012")</f>
        <v>@ashokh2012</v>
      </c>
      <c r="C9279" s="21" t="s">
        <v>20307</v>
      </c>
      <c r="D9279" s="21" t="s">
        <v>42</v>
      </c>
      <c r="E9279" s="22" t="str">
        <f>HYPERLINK("https://twitter.com/ashokh2012/status/922712545588375552","922712545588375552")</f>
        <v>922712545588375552</v>
      </c>
      <c r="F9279" s="23" t="s">
        <v>33</v>
      </c>
      <c r="G9279" s="24">
        <v>80.0</v>
      </c>
      <c r="H9279" s="24">
        <v>522.0</v>
      </c>
      <c r="I9279" s="24">
        <v>8501.0</v>
      </c>
      <c r="J9279" s="24">
        <v>0.0</v>
      </c>
      <c r="K9279" s="23" t="s">
        <v>34</v>
      </c>
      <c r="L9279" s="25">
        <v>40823.421793981484</v>
      </c>
      <c r="M9279" s="26" t="s">
        <v>1991</v>
      </c>
      <c r="N9279" s="26" t="s">
        <v>20308</v>
      </c>
      <c r="O9279" s="22" t="str">
        <f>HYPERLINK("https://pbs.twimg.com/profile_images/589335120512815104/M4xyzTtD_normal.jpg","View")</f>
        <v>View</v>
      </c>
      <c r="P9279" s="27"/>
    </row>
    <row r="9280">
      <c r="A9280" s="14">
        <v>43031.981458333335</v>
      </c>
      <c r="B9280" s="20" t="str">
        <f>HYPERLINK("https://twitter.com/thesohampatel","@thesohampatel")</f>
        <v>@thesohampatel</v>
      </c>
      <c r="C9280" s="21" t="s">
        <v>20309</v>
      </c>
      <c r="D9280" s="21" t="s">
        <v>42</v>
      </c>
      <c r="E9280" s="22" t="str">
        <f>HYPERLINK("https://twitter.com/thesohampatel/status/922712584876412928","922712584876412928")</f>
        <v>922712584876412928</v>
      </c>
      <c r="F9280" s="23" t="s">
        <v>43</v>
      </c>
      <c r="G9280" s="24">
        <v>84.0</v>
      </c>
      <c r="H9280" s="24">
        <v>382.0</v>
      </c>
      <c r="I9280" s="24">
        <v>8501.0</v>
      </c>
      <c r="J9280" s="24">
        <v>0.0</v>
      </c>
      <c r="K9280" s="23" t="s">
        <v>34</v>
      </c>
      <c r="L9280" s="25">
        <v>40058.235347222224</v>
      </c>
      <c r="M9280" s="26" t="s">
        <v>20310</v>
      </c>
      <c r="N9280" s="26" t="s">
        <v>20311</v>
      </c>
      <c r="O9280" s="22" t="str">
        <f>HYPERLINK("https://pbs.twimg.com/profile_images/754356087608971264/hrkBYbxI_normal.jpg","View")</f>
        <v>View</v>
      </c>
      <c r="P9280" s="27"/>
    </row>
    <row r="9281">
      <c r="A9281" s="14">
        <v>43031.98195601851</v>
      </c>
      <c r="B9281" s="20" t="str">
        <f>HYPERLINK("https://twitter.com/Bhagva_Dhvaj","@Bhagva_Dhvaj")</f>
        <v>@Bhagva_Dhvaj</v>
      </c>
      <c r="C9281" s="21" t="s">
        <v>20312</v>
      </c>
      <c r="D9281" s="21" t="s">
        <v>42</v>
      </c>
      <c r="E9281" s="22" t="str">
        <f>HYPERLINK("https://twitter.com/Bhagva_Dhvaj/status/922712765646721024","922712765646721024")</f>
        <v>922712765646721024</v>
      </c>
      <c r="F9281" s="23" t="s">
        <v>39</v>
      </c>
      <c r="G9281" s="24">
        <v>1845.0</v>
      </c>
      <c r="H9281" s="24">
        <v>428.0</v>
      </c>
      <c r="I9281" s="24">
        <v>8501.0</v>
      </c>
      <c r="J9281" s="24">
        <v>0.0</v>
      </c>
      <c r="K9281" s="23" t="s">
        <v>34</v>
      </c>
      <c r="L9281" s="25">
        <v>39994.15045138889</v>
      </c>
      <c r="M9281" s="26" t="s">
        <v>531</v>
      </c>
      <c r="N9281" s="26" t="s">
        <v>20313</v>
      </c>
      <c r="O9281" s="22" t="str">
        <f>HYPERLINK("https://pbs.twimg.com/profile_images/803305732032499714/QgBtUano_normal.jpg","View")</f>
        <v>View</v>
      </c>
      <c r="P9281" s="27"/>
    </row>
    <row r="9282">
      <c r="A9282" s="14">
        <v>43031.98263888889</v>
      </c>
      <c r="B9282" s="20" t="str">
        <f>HYPERLINK("https://twitter.com/dailytimespak","@dailytimespak")</f>
        <v>@dailytimespak</v>
      </c>
      <c r="C9282" s="21" t="s">
        <v>20314</v>
      </c>
      <c r="D9282" s="21" t="s">
        <v>20315</v>
      </c>
      <c r="E9282" s="22" t="str">
        <f>HYPERLINK("https://twitter.com/dailytimespak/status/922713014121373698","922713014121373698")</f>
        <v>922713014121373698</v>
      </c>
      <c r="F9282" s="23" t="s">
        <v>769</v>
      </c>
      <c r="G9282" s="24">
        <v>15626.0</v>
      </c>
      <c r="H9282" s="24">
        <v>254.0</v>
      </c>
      <c r="I9282" s="24">
        <v>0.0</v>
      </c>
      <c r="J9282" s="24">
        <v>0.0</v>
      </c>
      <c r="K9282" s="23" t="s">
        <v>34</v>
      </c>
      <c r="L9282" s="25">
        <v>41590.89534722222</v>
      </c>
      <c r="M9282" s="26" t="s">
        <v>1255</v>
      </c>
      <c r="N9282" s="26" t="s">
        <v>20316</v>
      </c>
      <c r="O9282" s="22" t="str">
        <f>HYPERLINK("https://pbs.twimg.com/profile_images/875677874837225473/kRCGYTYe_normal.jpg","View")</f>
        <v>View</v>
      </c>
      <c r="P9282" s="27"/>
    </row>
    <row r="9283">
      <c r="A9283" s="14">
        <v>43031.982824074075</v>
      </c>
      <c r="B9283" s="20" t="str">
        <f>HYPERLINK("https://twitter.com/Amanrawani2","@Amanrawani2")</f>
        <v>@Amanrawani2</v>
      </c>
      <c r="C9283" s="21" t="s">
        <v>20317</v>
      </c>
      <c r="D9283" s="21" t="s">
        <v>42</v>
      </c>
      <c r="E9283" s="22" t="str">
        <f>HYPERLINK("https://twitter.com/Amanrawani2/status/922713079661629440","922713079661629440")</f>
        <v>922713079661629440</v>
      </c>
      <c r="F9283" s="23" t="s">
        <v>39</v>
      </c>
      <c r="G9283" s="24">
        <v>39.0</v>
      </c>
      <c r="H9283" s="24">
        <v>72.0</v>
      </c>
      <c r="I9283" s="24">
        <v>8501.0</v>
      </c>
      <c r="J9283" s="24">
        <v>0.0</v>
      </c>
      <c r="K9283" s="23" t="s">
        <v>34</v>
      </c>
      <c r="L9283" s="25">
        <v>42432.90969907407</v>
      </c>
      <c r="M9283" s="26" t="s">
        <v>20318</v>
      </c>
      <c r="N9283" s="28"/>
      <c r="O9283" s="22" t="str">
        <f>HYPERLINK("https://pbs.twimg.com/profile_images/922714906436173825/LFr7kox7_normal.jpg","View")</f>
        <v>View</v>
      </c>
      <c r="P9283" s="27"/>
    </row>
    <row r="9284">
      <c r="A9284" s="14">
        <v>43031.98332175926</v>
      </c>
      <c r="B9284" s="20" t="str">
        <f>HYPERLINK("https://twitter.com/DAICHAN9265","@DAICHAN9265")</f>
        <v>@DAICHAN9265</v>
      </c>
      <c r="C9284" s="21" t="s">
        <v>20319</v>
      </c>
      <c r="D9284" s="21" t="s">
        <v>16417</v>
      </c>
      <c r="E9284" s="22" t="str">
        <f>HYPERLINK("https://twitter.com/DAICHAN9265/status/922713260918312960","922713260918312960")</f>
        <v>922713260918312960</v>
      </c>
      <c r="F9284" s="23" t="s">
        <v>33</v>
      </c>
      <c r="G9284" s="24">
        <v>334.0</v>
      </c>
      <c r="H9284" s="24">
        <v>2425.0</v>
      </c>
      <c r="I9284" s="24">
        <v>18.0</v>
      </c>
      <c r="J9284" s="24">
        <v>0.0</v>
      </c>
      <c r="K9284" s="23" t="s">
        <v>34</v>
      </c>
      <c r="L9284" s="25">
        <v>42738.98460648148</v>
      </c>
      <c r="M9284" s="28"/>
      <c r="N9284" s="28"/>
      <c r="O9284" s="22" t="str">
        <f>HYPERLINK("https://abs.twimg.com/sticky/default_profile_images/default_profile_normal.png","View")</f>
        <v>View</v>
      </c>
      <c r="P9284" s="27"/>
    </row>
    <row r="9285">
      <c r="A9285" s="14">
        <v>43031.98341435185</v>
      </c>
      <c r="B9285" s="20" t="str">
        <f>HYPERLINK("https://twitter.com/K_Chimatsuri","@K_Chimatsuri")</f>
        <v>@K_Chimatsuri</v>
      </c>
      <c r="C9285" s="21" t="s">
        <v>20320</v>
      </c>
      <c r="D9285" s="21" t="s">
        <v>42</v>
      </c>
      <c r="E9285" s="22" t="str">
        <f>HYPERLINK("https://twitter.com/K_Chimatsuri/status/922713294456070144","922713294456070144")</f>
        <v>922713294456070144</v>
      </c>
      <c r="F9285" s="23" t="s">
        <v>33</v>
      </c>
      <c r="G9285" s="24">
        <v>665.0</v>
      </c>
      <c r="H9285" s="24">
        <v>397.0</v>
      </c>
      <c r="I9285" s="24">
        <v>8501.0</v>
      </c>
      <c r="J9285" s="24">
        <v>0.0</v>
      </c>
      <c r="K9285" s="23" t="s">
        <v>34</v>
      </c>
      <c r="L9285" s="25">
        <v>41768.13416666667</v>
      </c>
      <c r="M9285" s="26" t="s">
        <v>20321</v>
      </c>
      <c r="N9285" s="26" t="s">
        <v>20322</v>
      </c>
      <c r="O9285" s="22" t="str">
        <f>HYPERLINK("https://pbs.twimg.com/profile_images/729306795152310272/iATQD20g_normal.jpg","View")</f>
        <v>View</v>
      </c>
      <c r="P9285" s="27"/>
    </row>
    <row r="9286">
      <c r="A9286" s="14">
        <v>43031.983877314815</v>
      </c>
      <c r="B9286" s="20" t="str">
        <f>HYPERLINK("https://twitter.com/anakamur1976","@anakamur1976")</f>
        <v>@anakamur1976</v>
      </c>
      <c r="C9286" s="21" t="s">
        <v>20323</v>
      </c>
      <c r="D9286" s="21" t="s">
        <v>42</v>
      </c>
      <c r="E9286" s="22" t="str">
        <f>HYPERLINK("https://twitter.com/anakamur1976/status/922713461863301120","922713461863301120")</f>
        <v>922713461863301120</v>
      </c>
      <c r="F9286" s="23" t="s">
        <v>33</v>
      </c>
      <c r="G9286" s="24">
        <v>154.0</v>
      </c>
      <c r="H9286" s="24">
        <v>179.0</v>
      </c>
      <c r="I9286" s="24">
        <v>8501.0</v>
      </c>
      <c r="J9286" s="24">
        <v>0.0</v>
      </c>
      <c r="K9286" s="23" t="s">
        <v>34</v>
      </c>
      <c r="L9286" s="25">
        <v>42980.33125</v>
      </c>
      <c r="M9286" s="26" t="s">
        <v>217</v>
      </c>
      <c r="N9286" s="26" t="s">
        <v>20324</v>
      </c>
      <c r="O9286" s="22" t="str">
        <f>HYPERLINK("https://pbs.twimg.com/profile_images/905022080290144256/kGgIzQ9a_normal.jpg","View")</f>
        <v>View</v>
      </c>
      <c r="P9286" s="27"/>
    </row>
    <row r="9287">
      <c r="A9287" s="14">
        <v>43031.98498842593</v>
      </c>
      <c r="B9287" s="20" t="str">
        <f>HYPERLINK("https://twitter.com/Nelgeveena","@Nelgeveena")</f>
        <v>@Nelgeveena</v>
      </c>
      <c r="C9287" s="21" t="s">
        <v>20325</v>
      </c>
      <c r="D9287" s="21" t="s">
        <v>42</v>
      </c>
      <c r="E9287" s="22" t="str">
        <f>HYPERLINK("https://twitter.com/Nelgeveena/status/922713863908405250","922713863908405250")</f>
        <v>922713863908405250</v>
      </c>
      <c r="F9287" s="23" t="s">
        <v>55</v>
      </c>
      <c r="G9287" s="24">
        <v>57.0</v>
      </c>
      <c r="H9287" s="24">
        <v>11.0</v>
      </c>
      <c r="I9287" s="24">
        <v>8501.0</v>
      </c>
      <c r="J9287" s="24">
        <v>0.0</v>
      </c>
      <c r="K9287" s="23" t="s">
        <v>34</v>
      </c>
      <c r="L9287" s="25">
        <v>42894.94071759259</v>
      </c>
      <c r="M9287" s="26" t="s">
        <v>20326</v>
      </c>
      <c r="N9287" s="28"/>
      <c r="O9287" s="22" t="str">
        <f>HYPERLINK("https://abs.twimg.com/sticky/default_profile_images/default_profile_normal.png","View")</f>
        <v>View</v>
      </c>
      <c r="P9287" s="27"/>
    </row>
    <row r="9288">
      <c r="A9288" s="14">
        <v>43031.98560185185</v>
      </c>
      <c r="B9288" s="20" t="str">
        <f>HYPERLINK("https://twitter.com/niteshishita","@niteshishita")</f>
        <v>@niteshishita</v>
      </c>
      <c r="C9288" s="21" t="s">
        <v>20327</v>
      </c>
      <c r="D9288" s="21" t="s">
        <v>42</v>
      </c>
      <c r="E9288" s="22" t="str">
        <f>HYPERLINK("https://twitter.com/niteshishita/status/922714087024463872","922714087024463872")</f>
        <v>922714087024463872</v>
      </c>
      <c r="F9288" s="23" t="s">
        <v>33</v>
      </c>
      <c r="G9288" s="24">
        <v>19.0</v>
      </c>
      <c r="H9288" s="24">
        <v>82.0</v>
      </c>
      <c r="I9288" s="24">
        <v>8501.0</v>
      </c>
      <c r="J9288" s="24">
        <v>0.0</v>
      </c>
      <c r="K9288" s="23" t="s">
        <v>34</v>
      </c>
      <c r="L9288" s="25">
        <v>41819.41724537037</v>
      </c>
      <c r="M9288" s="26" t="s">
        <v>20328</v>
      </c>
      <c r="N9288" s="26" t="s">
        <v>20329</v>
      </c>
      <c r="O9288" s="22" t="str">
        <f>HYPERLINK("https://pbs.twimg.com/profile_images/483294986008416256/SfCIaqs3_normal.jpeg","View")</f>
        <v>View</v>
      </c>
      <c r="P9288" s="27"/>
    </row>
    <row r="9289">
      <c r="A9289" s="14">
        <v>43031.98605324074</v>
      </c>
      <c r="B9289" s="20" t="str">
        <f>HYPERLINK("https://twitter.com/Eve82140453","@Eve82140453")</f>
        <v>@Eve82140453</v>
      </c>
      <c r="C9289" s="21" t="s">
        <v>20330</v>
      </c>
      <c r="D9289" s="21" t="s">
        <v>12974</v>
      </c>
      <c r="E9289" s="22" t="str">
        <f>HYPERLINK("https://twitter.com/Eve82140453/status/922714252267393024","922714252267393024")</f>
        <v>922714252267393024</v>
      </c>
      <c r="F9289" s="23" t="s">
        <v>33</v>
      </c>
      <c r="G9289" s="24">
        <v>415.0</v>
      </c>
      <c r="H9289" s="24">
        <v>651.0</v>
      </c>
      <c r="I9289" s="24">
        <v>110.0</v>
      </c>
      <c r="J9289" s="24">
        <v>0.0</v>
      </c>
      <c r="K9289" s="23" t="s">
        <v>34</v>
      </c>
      <c r="L9289" s="25">
        <v>42807.00815972222</v>
      </c>
      <c r="M9289" s="26" t="s">
        <v>7794</v>
      </c>
      <c r="N9289" s="26" t="s">
        <v>20331</v>
      </c>
      <c r="O9289" s="22" t="str">
        <f>HYPERLINK("https://pbs.twimg.com/profile_images/867982846224343040/jeGqoWTo_normal.jpg","View")</f>
        <v>View</v>
      </c>
      <c r="P9289" s="27"/>
    </row>
    <row r="9290">
      <c r="A9290" s="14">
        <v>43031.986180555556</v>
      </c>
      <c r="B9290" s="20" t="str">
        <f>HYPERLINK("https://twitter.com/robbakeredu","@robbakeredu")</f>
        <v>@robbakeredu</v>
      </c>
      <c r="C9290" s="21" t="s">
        <v>20332</v>
      </c>
      <c r="D9290" s="21" t="s">
        <v>20333</v>
      </c>
      <c r="E9290" s="22" t="str">
        <f>HYPERLINK("https://twitter.com/robbakeredu/status/922714296878026753","922714296878026753")</f>
        <v>922714296878026753</v>
      </c>
      <c r="F9290" s="23" t="s">
        <v>20334</v>
      </c>
      <c r="G9290" s="24">
        <v>1648.0</v>
      </c>
      <c r="H9290" s="24">
        <v>1809.0</v>
      </c>
      <c r="I9290" s="24">
        <v>0.0</v>
      </c>
      <c r="J9290" s="24">
        <v>0.0</v>
      </c>
      <c r="K9290" s="23" t="s">
        <v>34</v>
      </c>
      <c r="L9290" s="25">
        <v>42484.619351851856</v>
      </c>
      <c r="M9290" s="26" t="s">
        <v>20335</v>
      </c>
      <c r="N9290" s="26" t="s">
        <v>20336</v>
      </c>
      <c r="O9290" s="22" t="str">
        <f>HYPERLINK("https://pbs.twimg.com/profile_images/724360049741598721/mOYIqzYq_normal.jpg","View")</f>
        <v>View</v>
      </c>
      <c r="P9290" s="27"/>
    </row>
    <row r="9291">
      <c r="A9291" s="14">
        <v>43031.98626157407</v>
      </c>
      <c r="B9291" s="20" t="str">
        <f>HYPERLINK("https://twitter.com/jeepeg","@jeepeg")</f>
        <v>@jeepeg</v>
      </c>
      <c r="C9291" s="21" t="s">
        <v>7627</v>
      </c>
      <c r="D9291" s="21" t="s">
        <v>20337</v>
      </c>
      <c r="E9291" s="22" t="str">
        <f>HYPERLINK("https://twitter.com/jeepeg/status/922714326066221056","922714326066221056")</f>
        <v>922714326066221056</v>
      </c>
      <c r="F9291" s="30" t="s">
        <v>7629</v>
      </c>
      <c r="G9291" s="24">
        <v>803.0</v>
      </c>
      <c r="H9291" s="24">
        <v>30.0</v>
      </c>
      <c r="I9291" s="24">
        <v>0.0</v>
      </c>
      <c r="J9291" s="24">
        <v>0.0</v>
      </c>
      <c r="K9291" s="23" t="s">
        <v>34</v>
      </c>
      <c r="L9291" s="25">
        <v>39907.10636574074</v>
      </c>
      <c r="M9291" s="26" t="s">
        <v>7630</v>
      </c>
      <c r="N9291" s="28"/>
      <c r="O9291" s="22" t="str">
        <f>HYPERLINK("https://abs.twimg.com/sticky/default_profile_images/default_profile_normal.png","View")</f>
        <v>View</v>
      </c>
      <c r="P9291" s="27"/>
    </row>
    <row r="9292">
      <c r="A9292" s="14">
        <v>43031.98663194444</v>
      </c>
      <c r="B9292" s="20" t="str">
        <f>HYPERLINK("https://twitter.com/india_varshney","@india_varshney")</f>
        <v>@india_varshney</v>
      </c>
      <c r="C9292" s="21" t="s">
        <v>20338</v>
      </c>
      <c r="D9292" s="21" t="s">
        <v>42</v>
      </c>
      <c r="E9292" s="22" t="str">
        <f>HYPERLINK("https://twitter.com/india_varshney/status/922714463307829248","922714463307829248")</f>
        <v>922714463307829248</v>
      </c>
      <c r="F9292" s="23" t="s">
        <v>33</v>
      </c>
      <c r="G9292" s="24">
        <v>35.0</v>
      </c>
      <c r="H9292" s="24">
        <v>162.0</v>
      </c>
      <c r="I9292" s="24">
        <v>8501.0</v>
      </c>
      <c r="J9292" s="24">
        <v>0.0</v>
      </c>
      <c r="K9292" s="23" t="s">
        <v>34</v>
      </c>
      <c r="L9292" s="25">
        <v>42819.48694444445</v>
      </c>
      <c r="M9292" s="26" t="s">
        <v>204</v>
      </c>
      <c r="N9292" s="26" t="s">
        <v>20339</v>
      </c>
      <c r="O9292" s="22" t="str">
        <f>HYPERLINK("https://pbs.twimg.com/profile_images/922737393349701632/ZT44Xj0d_normal.jpg","View")</f>
        <v>View</v>
      </c>
      <c r="P9292" s="27"/>
    </row>
    <row r="9293">
      <c r="A9293" s="14">
        <v>43031.9868287037</v>
      </c>
      <c r="B9293" s="20" t="str">
        <f>HYPERLINK("https://twitter.com/thagunnapadam","@thagunnapadam")</f>
        <v>@thagunnapadam</v>
      </c>
      <c r="C9293" s="21" t="s">
        <v>20121</v>
      </c>
      <c r="D9293" s="21" t="s">
        <v>20340</v>
      </c>
      <c r="E9293" s="22" t="str">
        <f>HYPERLINK("https://twitter.com/thagunnapadam/status/922714531436027904","922714531436027904")</f>
        <v>922714531436027904</v>
      </c>
      <c r="F9293" s="23" t="s">
        <v>39</v>
      </c>
      <c r="G9293" s="24">
        <v>21.0</v>
      </c>
      <c r="H9293" s="24">
        <v>69.0</v>
      </c>
      <c r="I9293" s="24">
        <v>0.0</v>
      </c>
      <c r="J9293" s="24">
        <v>0.0</v>
      </c>
      <c r="K9293" s="23" t="s">
        <v>34</v>
      </c>
      <c r="L9293" s="25">
        <v>42732.525092592594</v>
      </c>
      <c r="M9293" s="28"/>
      <c r="N9293" s="26" t="s">
        <v>20123</v>
      </c>
      <c r="O9293" s="22" t="str">
        <f>HYPERLINK("https://pbs.twimg.com/profile_images/908928282397044736/wl7Na-8f_normal.jpg","View")</f>
        <v>View</v>
      </c>
      <c r="P9293" s="27"/>
    </row>
    <row r="9294">
      <c r="A9294" s="14">
        <v>43031.987754629634</v>
      </c>
      <c r="B9294" s="20" t="str">
        <f>HYPERLINK("https://twitter.com/stegersaurus","@stegersaurus")</f>
        <v>@stegersaurus</v>
      </c>
      <c r="C9294" s="21" t="s">
        <v>20341</v>
      </c>
      <c r="D9294" s="21" t="s">
        <v>20342</v>
      </c>
      <c r="E9294" s="22" t="str">
        <f>HYPERLINK("https://twitter.com/stegersaurus/status/922714869526343681","922714869526343681")</f>
        <v>922714869526343681</v>
      </c>
      <c r="F9294" s="23" t="s">
        <v>769</v>
      </c>
      <c r="G9294" s="24">
        <v>8394.0</v>
      </c>
      <c r="H9294" s="24">
        <v>2711.0</v>
      </c>
      <c r="I9294" s="24">
        <v>0.0</v>
      </c>
      <c r="J9294" s="24">
        <v>0.0</v>
      </c>
      <c r="K9294" s="23" t="s">
        <v>34</v>
      </c>
      <c r="L9294" s="25">
        <v>39868.379432870366</v>
      </c>
      <c r="M9294" s="26" t="s">
        <v>20343</v>
      </c>
      <c r="N9294" s="26" t="s">
        <v>20344</v>
      </c>
      <c r="O9294" s="22" t="str">
        <f>HYPERLINK("https://pbs.twimg.com/profile_images/625544734199525376/FxfEpRrG_normal.jpg","View")</f>
        <v>View</v>
      </c>
      <c r="P9294" s="27"/>
    </row>
    <row r="9295">
      <c r="A9295" s="14">
        <v>43031.987916666665</v>
      </c>
      <c r="B9295" s="20" t="str">
        <f>HYPERLINK("https://twitter.com/dhaval79dp","@dhaval79dp")</f>
        <v>@dhaval79dp</v>
      </c>
      <c r="C9295" s="21" t="s">
        <v>20345</v>
      </c>
      <c r="D9295" s="21" t="s">
        <v>42</v>
      </c>
      <c r="E9295" s="22" t="str">
        <f>HYPERLINK("https://twitter.com/dhaval79dp/status/922714927567060994","922714927567060994")</f>
        <v>922714927567060994</v>
      </c>
      <c r="F9295" s="23" t="s">
        <v>33</v>
      </c>
      <c r="G9295" s="24">
        <v>52.0</v>
      </c>
      <c r="H9295" s="24">
        <v>385.0</v>
      </c>
      <c r="I9295" s="24">
        <v>8501.0</v>
      </c>
      <c r="J9295" s="24">
        <v>0.0</v>
      </c>
      <c r="K9295" s="23" t="s">
        <v>34</v>
      </c>
      <c r="L9295" s="25">
        <v>42861.295706018514</v>
      </c>
      <c r="M9295" s="26" t="s">
        <v>20346</v>
      </c>
      <c r="N9295" s="26" t="s">
        <v>20347</v>
      </c>
      <c r="O9295" s="22" t="str">
        <f>HYPERLINK("https://pbs.twimg.com/profile_images/860860559205466112/bKbmRK6l_normal.jpg","View")</f>
        <v>View</v>
      </c>
      <c r="P9295" s="27"/>
    </row>
    <row r="9296">
      <c r="A9296" s="14">
        <v>43031.9884375</v>
      </c>
      <c r="B9296" s="20" t="str">
        <f>HYPERLINK("https://twitter.com/RaviSomani11","@RaviSomani11")</f>
        <v>@RaviSomani11</v>
      </c>
      <c r="C9296" s="21" t="s">
        <v>20348</v>
      </c>
      <c r="D9296" s="21" t="s">
        <v>42</v>
      </c>
      <c r="E9296" s="22" t="str">
        <f>HYPERLINK("https://twitter.com/RaviSomani11/status/922715117367595008","922715117367595008")</f>
        <v>922715117367595008</v>
      </c>
      <c r="F9296" s="23" t="s">
        <v>33</v>
      </c>
      <c r="G9296" s="24">
        <v>12.0</v>
      </c>
      <c r="H9296" s="24">
        <v>90.0</v>
      </c>
      <c r="I9296" s="24">
        <v>8501.0</v>
      </c>
      <c r="J9296" s="24">
        <v>0.0</v>
      </c>
      <c r="K9296" s="23" t="s">
        <v>34</v>
      </c>
      <c r="L9296" s="25">
        <v>42932.12055555556</v>
      </c>
      <c r="M9296" s="26" t="s">
        <v>11320</v>
      </c>
      <c r="N9296" s="26" t="s">
        <v>20349</v>
      </c>
      <c r="O9296" s="22" t="str">
        <f>HYPERLINK("https://abs.twimg.com/sticky/default_profile_images/default_profile_normal.png","View")</f>
        <v>View</v>
      </c>
      <c r="P9296" s="27"/>
    </row>
    <row r="9297">
      <c r="A9297" s="14">
        <v>43031.98857638889</v>
      </c>
      <c r="B9297" s="20" t="str">
        <f>HYPERLINK("https://twitter.com/LenoraWalter30","@LenoraWalter30")</f>
        <v>@LenoraWalter30</v>
      </c>
      <c r="C9297" s="21" t="s">
        <v>20350</v>
      </c>
      <c r="D9297" s="21" t="s">
        <v>20351</v>
      </c>
      <c r="E9297" s="22" t="str">
        <f>HYPERLINK("https://twitter.com/LenoraWalter30/status/922715167212822529","922715167212822529")</f>
        <v>922715167212822529</v>
      </c>
      <c r="F9297" s="23" t="s">
        <v>55</v>
      </c>
      <c r="G9297" s="24">
        <v>86.0</v>
      </c>
      <c r="H9297" s="24">
        <v>493.0</v>
      </c>
      <c r="I9297" s="24">
        <v>1.0</v>
      </c>
      <c r="J9297" s="24">
        <v>0.0</v>
      </c>
      <c r="K9297" s="23" t="s">
        <v>34</v>
      </c>
      <c r="L9297" s="25">
        <v>43022.0187037037</v>
      </c>
      <c r="M9297" s="26" t="s">
        <v>2534</v>
      </c>
      <c r="N9297" s="26" t="s">
        <v>20352</v>
      </c>
      <c r="O9297" s="22" t="str">
        <f>HYPERLINK("https://pbs.twimg.com/profile_images/919103126367596544/yvS3m2Db_normal.jpg","View")</f>
        <v>View</v>
      </c>
      <c r="P9297" s="27"/>
    </row>
    <row r="9298">
      <c r="A9298" s="14">
        <v>43031.98861111111</v>
      </c>
      <c r="B9298" s="20" t="str">
        <f>HYPERLINK("https://twitter.com/Onlyam_sUnIl08","@Onlyam_sUnIl08")</f>
        <v>@Onlyam_sUnIl08</v>
      </c>
      <c r="C9298" s="21" t="s">
        <v>20353</v>
      </c>
      <c r="D9298" s="21" t="s">
        <v>42</v>
      </c>
      <c r="E9298" s="22" t="str">
        <f>HYPERLINK("https://twitter.com/Onlyam_sUnIl08/status/922715178881335296","922715178881335296")</f>
        <v>922715178881335296</v>
      </c>
      <c r="F9298" s="23" t="s">
        <v>39</v>
      </c>
      <c r="G9298" s="24">
        <v>4757.0</v>
      </c>
      <c r="H9298" s="24">
        <v>197.0</v>
      </c>
      <c r="I9298" s="24">
        <v>8501.0</v>
      </c>
      <c r="J9298" s="24">
        <v>0.0</v>
      </c>
      <c r="K9298" s="23" t="s">
        <v>34</v>
      </c>
      <c r="L9298" s="25">
        <v>41152.302511574075</v>
      </c>
      <c r="M9298" s="26" t="s">
        <v>167</v>
      </c>
      <c r="N9298" s="26" t="s">
        <v>20354</v>
      </c>
      <c r="O9298" s="22" t="str">
        <f>HYPERLINK("https://pbs.twimg.com/profile_images/914882760665268224/eqwhuvTj_normal.jpg","View")</f>
        <v>View</v>
      </c>
      <c r="P9298" s="27"/>
    </row>
    <row r="9299">
      <c r="A9299" s="14">
        <v>43031.98914351852</v>
      </c>
      <c r="B9299" s="20" t="str">
        <f>HYPERLINK("https://twitter.com/bony_rabbit","@bony_rabbit")</f>
        <v>@bony_rabbit</v>
      </c>
      <c r="C9299" s="21" t="s">
        <v>20355</v>
      </c>
      <c r="D9299" s="21" t="s">
        <v>20356</v>
      </c>
      <c r="E9299" s="22" t="str">
        <f>HYPERLINK("https://twitter.com/bony_rabbit/status/922715373077745664","922715373077745664")</f>
        <v>922715373077745664</v>
      </c>
      <c r="F9299" s="23" t="s">
        <v>55</v>
      </c>
      <c r="G9299" s="24">
        <v>1645.0</v>
      </c>
      <c r="H9299" s="24">
        <v>2336.0</v>
      </c>
      <c r="I9299" s="24">
        <v>2.0</v>
      </c>
      <c r="J9299" s="24">
        <v>0.0</v>
      </c>
      <c r="K9299" s="23" t="s">
        <v>34</v>
      </c>
      <c r="L9299" s="25">
        <v>42103.99569444444</v>
      </c>
      <c r="M9299" s="28"/>
      <c r="N9299" s="28"/>
      <c r="O9299" s="22" t="str">
        <f>HYPERLINK("https://pbs.twimg.com/profile_images/859302759023226880/0CNEOy_K_normal.png","View")</f>
        <v>View</v>
      </c>
      <c r="P9299" s="27"/>
    </row>
    <row r="9300">
      <c r="A9300" s="14">
        <v>43031.99008101852</v>
      </c>
      <c r="B9300" s="20" t="str">
        <f>HYPERLINK("https://twitter.com/EricssenWen","@EricssenWen")</f>
        <v>@EricssenWen</v>
      </c>
      <c r="C9300" s="21" t="s">
        <v>20357</v>
      </c>
      <c r="D9300" s="21" t="s">
        <v>20358</v>
      </c>
      <c r="E9300" s="22" t="str">
        <f>HYPERLINK("https://twitter.com/EricssenWen/status/922715712333983745","922715712333983745")</f>
        <v>922715712333983745</v>
      </c>
      <c r="F9300" s="23" t="s">
        <v>55</v>
      </c>
      <c r="G9300" s="24">
        <v>728.0</v>
      </c>
      <c r="H9300" s="24">
        <v>350.0</v>
      </c>
      <c r="I9300" s="24">
        <v>0.0</v>
      </c>
      <c r="J9300" s="24">
        <v>0.0</v>
      </c>
      <c r="K9300" s="23" t="s">
        <v>34</v>
      </c>
      <c r="L9300" s="25">
        <v>39970.9678587963</v>
      </c>
      <c r="M9300" s="26" t="s">
        <v>1224</v>
      </c>
      <c r="N9300" s="26" t="s">
        <v>20359</v>
      </c>
      <c r="O9300" s="22" t="str">
        <f>HYPERLINK("https://pbs.twimg.com/profile_images/822763395677990913/7STMQ9Ra_normal.jpg","View")</f>
        <v>View</v>
      </c>
      <c r="P9300" s="27"/>
    </row>
    <row r="9301">
      <c r="A9301" s="14">
        <v>43031.990115740744</v>
      </c>
      <c r="B9301" s="20" t="str">
        <f>HYPERLINK("https://twitter.com/satyamitra2003","@satyamitra2003")</f>
        <v>@satyamitra2003</v>
      </c>
      <c r="C9301" s="21" t="s">
        <v>20360</v>
      </c>
      <c r="D9301" s="21" t="s">
        <v>42</v>
      </c>
      <c r="E9301" s="22" t="str">
        <f>HYPERLINK("https://twitter.com/satyamitra2003/status/922715723058774018","922715723058774018")</f>
        <v>922715723058774018</v>
      </c>
      <c r="F9301" s="23" t="s">
        <v>33</v>
      </c>
      <c r="G9301" s="24">
        <v>160.0</v>
      </c>
      <c r="H9301" s="24">
        <v>356.0</v>
      </c>
      <c r="I9301" s="24">
        <v>8501.0</v>
      </c>
      <c r="J9301" s="24">
        <v>0.0</v>
      </c>
      <c r="K9301" s="23" t="s">
        <v>34</v>
      </c>
      <c r="L9301" s="25">
        <v>42356.97510416667</v>
      </c>
      <c r="M9301" s="26" t="s">
        <v>575</v>
      </c>
      <c r="N9301" s="26" t="s">
        <v>20361</v>
      </c>
      <c r="O9301" s="22" t="str">
        <f>HYPERLINK("https://pbs.twimg.com/profile_images/858493724837281792/3Uta2z9T_normal.jpg","View")</f>
        <v>View</v>
      </c>
      <c r="P9301" s="27"/>
    </row>
    <row r="9302">
      <c r="A9302" s="14">
        <v>43031.990439814814</v>
      </c>
      <c r="B9302" s="20" t="str">
        <f>HYPERLINK("https://twitter.com/greatestlender","@greatestlender")</f>
        <v>@greatestlender</v>
      </c>
      <c r="C9302" s="21" t="s">
        <v>20362</v>
      </c>
      <c r="D9302" s="21" t="s">
        <v>20363</v>
      </c>
      <c r="E9302" s="22" t="str">
        <f>HYPERLINK("https://twitter.com/greatestlender/status/922715840306348032","922715840306348032")</f>
        <v>922715840306348032</v>
      </c>
      <c r="F9302" s="23" t="s">
        <v>427</v>
      </c>
      <c r="G9302" s="24">
        <v>89.0</v>
      </c>
      <c r="H9302" s="24">
        <v>73.0</v>
      </c>
      <c r="I9302" s="24">
        <v>0.0</v>
      </c>
      <c r="J9302" s="24">
        <v>0.0</v>
      </c>
      <c r="K9302" s="23" t="s">
        <v>34</v>
      </c>
      <c r="L9302" s="25">
        <v>41699.48140046296</v>
      </c>
      <c r="M9302" s="28"/>
      <c r="N9302" s="28"/>
      <c r="O9302" s="22" t="str">
        <f>HYPERLINK("https://pbs.twimg.com/profile_images/869715684208422913/ZNbeKyYI_normal.jpg","View")</f>
        <v>View</v>
      </c>
      <c r="P9302" s="27"/>
    </row>
    <row r="9303">
      <c r="A9303" s="14">
        <v>43031.99045138889</v>
      </c>
      <c r="B9303" s="20" t="str">
        <f>HYPERLINK("https://twitter.com/EricssenWen","@EricssenWen")</f>
        <v>@EricssenWen</v>
      </c>
      <c r="C9303" s="21" t="s">
        <v>20357</v>
      </c>
      <c r="D9303" s="21" t="s">
        <v>20364</v>
      </c>
      <c r="E9303" s="22" t="str">
        <f>HYPERLINK("https://twitter.com/EricssenWen/status/922715845704294400","922715845704294400")</f>
        <v>922715845704294400</v>
      </c>
      <c r="F9303" s="23" t="s">
        <v>55</v>
      </c>
      <c r="G9303" s="24">
        <v>728.0</v>
      </c>
      <c r="H9303" s="24">
        <v>350.0</v>
      </c>
      <c r="I9303" s="24">
        <v>0.0</v>
      </c>
      <c r="J9303" s="24">
        <v>0.0</v>
      </c>
      <c r="K9303" s="23" t="s">
        <v>34</v>
      </c>
      <c r="L9303" s="25">
        <v>39970.9678587963</v>
      </c>
      <c r="M9303" s="26" t="s">
        <v>1224</v>
      </c>
      <c r="N9303" s="26" t="s">
        <v>20359</v>
      </c>
      <c r="O9303" s="22" t="str">
        <f>HYPERLINK("https://pbs.twimg.com/profile_images/822763395677990913/7STMQ9Ra_normal.jpg","View")</f>
        <v>View</v>
      </c>
      <c r="P9303" s="27"/>
    </row>
    <row r="9304">
      <c r="A9304" s="14">
        <v>43031.99107638889</v>
      </c>
      <c r="B9304" s="20" t="str">
        <f>HYPERLINK("https://twitter.com/mohitsingh107","@mohitsingh107")</f>
        <v>@mohitsingh107</v>
      </c>
      <c r="C9304" s="21" t="s">
        <v>20365</v>
      </c>
      <c r="D9304" s="21" t="s">
        <v>42</v>
      </c>
      <c r="E9304" s="22" t="str">
        <f>HYPERLINK("https://twitter.com/mohitsingh107/status/922716071068565504","922716071068565504")</f>
        <v>922716071068565504</v>
      </c>
      <c r="F9304" s="23" t="s">
        <v>55</v>
      </c>
      <c r="G9304" s="24">
        <v>13321.0</v>
      </c>
      <c r="H9304" s="24">
        <v>13701.0</v>
      </c>
      <c r="I9304" s="24">
        <v>8501.0</v>
      </c>
      <c r="J9304" s="24">
        <v>0.0</v>
      </c>
      <c r="K9304" s="23" t="s">
        <v>34</v>
      </c>
      <c r="L9304" s="25">
        <v>42021.30579861111</v>
      </c>
      <c r="M9304" s="26" t="s">
        <v>136</v>
      </c>
      <c r="N9304" s="26" t="s">
        <v>20366</v>
      </c>
      <c r="O9304" s="22" t="str">
        <f>HYPERLINK("https://pbs.twimg.com/profile_images/916913752909299713/3G0JbRoG_normal.jpg","View")</f>
        <v>View</v>
      </c>
      <c r="P9304" s="27"/>
    </row>
    <row r="9305">
      <c r="A9305" s="14">
        <v>43031.99119212963</v>
      </c>
      <c r="B9305" s="20" t="str">
        <f>HYPERLINK("https://twitter.com/10021gov","@10021gov")</f>
        <v>@10021gov</v>
      </c>
      <c r="C9305" s="21" t="s">
        <v>7474</v>
      </c>
      <c r="D9305" s="21" t="s">
        <v>20367</v>
      </c>
      <c r="E9305" s="22" t="str">
        <f>HYPERLINK("https://twitter.com/10021gov/status/922716112512483328","922716112512483328")</f>
        <v>922716112512483328</v>
      </c>
      <c r="F9305" s="23" t="s">
        <v>187</v>
      </c>
      <c r="G9305" s="24">
        <v>213.0</v>
      </c>
      <c r="H9305" s="24">
        <v>915.0</v>
      </c>
      <c r="I9305" s="24">
        <v>0.0</v>
      </c>
      <c r="J9305" s="24">
        <v>0.0</v>
      </c>
      <c r="K9305" s="23" t="s">
        <v>34</v>
      </c>
      <c r="L9305" s="25">
        <v>42816.07736111111</v>
      </c>
      <c r="M9305" s="28"/>
      <c r="N9305" s="26" t="s">
        <v>7476</v>
      </c>
      <c r="O9305" s="22" t="str">
        <f>HYPERLINK("https://pbs.twimg.com/profile_images/844474501094146048/uzUHZfMJ_normal.jpg","View")</f>
        <v>View</v>
      </c>
      <c r="P9305" s="27"/>
    </row>
    <row r="9306">
      <c r="A9306" s="14">
        <v>43031.99185185185</v>
      </c>
      <c r="B9306" s="20" t="str">
        <f>HYPERLINK("https://twitter.com/pvnn021","@pvnn021")</f>
        <v>@pvnn021</v>
      </c>
      <c r="C9306" s="21" t="s">
        <v>20368</v>
      </c>
      <c r="D9306" s="21" t="s">
        <v>42</v>
      </c>
      <c r="E9306" s="22" t="str">
        <f>HYPERLINK("https://twitter.com/pvnn021/status/922716352934277120","922716352934277120")</f>
        <v>922716352934277120</v>
      </c>
      <c r="F9306" s="23" t="s">
        <v>33</v>
      </c>
      <c r="G9306" s="24">
        <v>5.0</v>
      </c>
      <c r="H9306" s="24">
        <v>12.0</v>
      </c>
      <c r="I9306" s="24">
        <v>8501.0</v>
      </c>
      <c r="J9306" s="24">
        <v>0.0</v>
      </c>
      <c r="K9306" s="23" t="s">
        <v>34</v>
      </c>
      <c r="L9306" s="25">
        <v>42959.46540509259</v>
      </c>
      <c r="M9306" s="28"/>
      <c r="N9306" s="28"/>
      <c r="O9306" s="22" t="str">
        <f>HYPERLINK("https://abs.twimg.com/sticky/default_profile_images/default_profile_normal.png","View")</f>
        <v>View</v>
      </c>
      <c r="P9306" s="27"/>
    </row>
    <row r="9307">
      <c r="A9307" s="14">
        <v>43031.99190972222</v>
      </c>
      <c r="B9307" s="20" t="str">
        <f>HYPERLINK("https://twitter.com/novellanews","@novellanews")</f>
        <v>@novellanews</v>
      </c>
      <c r="C9307" s="21" t="s">
        <v>20369</v>
      </c>
      <c r="D9307" s="21" t="s">
        <v>20370</v>
      </c>
      <c r="E9307" s="22" t="str">
        <f>HYPERLINK("https://twitter.com/novellanews/status/922716375264759814","922716375264759814")</f>
        <v>922716375264759814</v>
      </c>
      <c r="F9307" s="23" t="s">
        <v>39</v>
      </c>
      <c r="G9307" s="24">
        <v>3482.0</v>
      </c>
      <c r="H9307" s="24">
        <v>136.0</v>
      </c>
      <c r="I9307" s="24">
        <v>2.0</v>
      </c>
      <c r="J9307" s="24">
        <v>0.0</v>
      </c>
      <c r="K9307" s="23" t="s">
        <v>34</v>
      </c>
      <c r="L9307" s="25">
        <v>40281.41844907407</v>
      </c>
      <c r="M9307" s="26" t="s">
        <v>20371</v>
      </c>
      <c r="N9307" s="26" t="s">
        <v>20372</v>
      </c>
      <c r="O9307" s="22" t="str">
        <f>HYPERLINK("https://pbs.twimg.com/profile_images/820249177/novellacalligaris_normal.jpg","View")</f>
        <v>View</v>
      </c>
      <c r="P9307" s="27"/>
    </row>
    <row r="9308">
      <c r="A9308" s="14">
        <v>43031.99291666667</v>
      </c>
      <c r="B9308" s="20" t="str">
        <f>HYPERLINK("https://twitter.com/uchirada","@uchirada")</f>
        <v>@uchirada</v>
      </c>
      <c r="C9308" s="21" t="s">
        <v>20373</v>
      </c>
      <c r="D9308" s="21" t="s">
        <v>42</v>
      </c>
      <c r="E9308" s="22" t="str">
        <f>HYPERLINK("https://twitter.com/uchirada/status/922716739929903105","922716739929903105")</f>
        <v>922716739929903105</v>
      </c>
      <c r="F9308" s="23" t="s">
        <v>55</v>
      </c>
      <c r="G9308" s="24">
        <v>126.0</v>
      </c>
      <c r="H9308" s="24">
        <v>244.0</v>
      </c>
      <c r="I9308" s="24">
        <v>8501.0</v>
      </c>
      <c r="J9308" s="24">
        <v>0.0</v>
      </c>
      <c r="K9308" s="23" t="s">
        <v>34</v>
      </c>
      <c r="L9308" s="25">
        <v>39948.77386574074</v>
      </c>
      <c r="M9308" s="26" t="s">
        <v>20374</v>
      </c>
      <c r="N9308" s="26" t="s">
        <v>20375</v>
      </c>
      <c r="O9308" s="22" t="str">
        <f>HYPERLINK("https://pbs.twimg.com/profile_images/1860464651/profile_normal.png","View")</f>
        <v>View</v>
      </c>
      <c r="P9308" s="27"/>
    </row>
    <row r="9309">
      <c r="A9309" s="14">
        <v>43031.99292824074</v>
      </c>
      <c r="B9309" s="20" t="str">
        <f>HYPERLINK("https://twitter.com/dilipmohapatraa","@dilipmohapatraa")</f>
        <v>@dilipmohapatraa</v>
      </c>
      <c r="C9309" s="21" t="s">
        <v>20376</v>
      </c>
      <c r="D9309" s="21" t="s">
        <v>42</v>
      </c>
      <c r="E9309" s="22" t="str">
        <f>HYPERLINK("https://twitter.com/dilipmohapatraa/status/922716744397000704","922716744397000704")</f>
        <v>922716744397000704</v>
      </c>
      <c r="F9309" s="23" t="s">
        <v>33</v>
      </c>
      <c r="G9309" s="24">
        <v>11.0</v>
      </c>
      <c r="H9309" s="24">
        <v>217.0</v>
      </c>
      <c r="I9309" s="24">
        <v>8501.0</v>
      </c>
      <c r="J9309" s="24">
        <v>0.0</v>
      </c>
      <c r="K9309" s="23" t="s">
        <v>34</v>
      </c>
      <c r="L9309" s="25">
        <v>42103.22369212963</v>
      </c>
      <c r="M9309" s="26" t="s">
        <v>20377</v>
      </c>
      <c r="N9309" s="26" t="s">
        <v>2671</v>
      </c>
      <c r="O9309" s="22" t="str">
        <f>HYPERLINK("https://pbs.twimg.com/profile_images/896617479333531650/JyndcwaS_normal.jpg","View")</f>
        <v>View</v>
      </c>
      <c r="P9309" s="27"/>
    </row>
    <row r="9310">
      <c r="A9310" s="14">
        <v>43031.99309027778</v>
      </c>
      <c r="B9310" s="20" t="str">
        <f>HYPERLINK("https://twitter.com/markets","@markets")</f>
        <v>@markets</v>
      </c>
      <c r="C9310" s="21" t="s">
        <v>20378</v>
      </c>
      <c r="D9310" s="21" t="s">
        <v>20379</v>
      </c>
      <c r="E9310" s="22" t="str">
        <f>HYPERLINK("https://twitter.com/markets/status/922716803620659200","922716803620659200")</f>
        <v>922716803620659200</v>
      </c>
      <c r="F9310" s="23" t="s">
        <v>1103</v>
      </c>
      <c r="G9310" s="24">
        <v>362004.0</v>
      </c>
      <c r="H9310" s="24">
        <v>281.0</v>
      </c>
      <c r="I9310" s="24">
        <v>2.0</v>
      </c>
      <c r="J9310" s="24">
        <v>5.0</v>
      </c>
      <c r="K9310" s="23" t="s">
        <v>34</v>
      </c>
      <c r="L9310" s="25">
        <v>40053.36993055556</v>
      </c>
      <c r="M9310" s="26" t="s">
        <v>389</v>
      </c>
      <c r="N9310" s="26" t="s">
        <v>20380</v>
      </c>
      <c r="O9310" s="22" t="str">
        <f>HYPERLINK("https://pbs.twimg.com/profile_images/714805129472512001/hO92rmSH_normal.jpg","View")</f>
        <v>View</v>
      </c>
      <c r="P9310" s="27"/>
    </row>
    <row r="9311">
      <c r="A9311" s="14">
        <v>43031.99341435185</v>
      </c>
      <c r="B9311" s="20" t="str">
        <f>HYPERLINK("https://twitter.com/CibelesCapital","@CibelesCapital")</f>
        <v>@CibelesCapital</v>
      </c>
      <c r="C9311" s="21" t="s">
        <v>20381</v>
      </c>
      <c r="D9311" s="21" t="s">
        <v>20382</v>
      </c>
      <c r="E9311" s="22" t="str">
        <f>HYPERLINK("https://twitter.com/CibelesCapital/status/922716917869219840","922716917869219840")</f>
        <v>922716917869219840</v>
      </c>
      <c r="F9311" s="23" t="s">
        <v>187</v>
      </c>
      <c r="G9311" s="24">
        <v>46.0</v>
      </c>
      <c r="H9311" s="24">
        <v>100.0</v>
      </c>
      <c r="I9311" s="24">
        <v>0.0</v>
      </c>
      <c r="J9311" s="24">
        <v>0.0</v>
      </c>
      <c r="K9311" s="23" t="s">
        <v>34</v>
      </c>
      <c r="L9311" s="25">
        <v>42907.47261574074</v>
      </c>
      <c r="M9311" s="26" t="s">
        <v>3685</v>
      </c>
      <c r="N9311" s="26" t="s">
        <v>20383</v>
      </c>
      <c r="O9311" s="22" t="str">
        <f>HYPERLINK("https://pbs.twimg.com/profile_images/877593223430098948/xclx5ZR9_normal.jpg","View")</f>
        <v>View</v>
      </c>
      <c r="P9311" s="27"/>
    </row>
    <row r="9312">
      <c r="A9312" s="14">
        <v>43031.993472222224</v>
      </c>
      <c r="B9312" s="20" t="str">
        <f>HYPERLINK("https://twitter.com/Criptovaleur","@Criptovaleur")</f>
        <v>@Criptovaleur</v>
      </c>
      <c r="C9312" s="21" t="s">
        <v>20384</v>
      </c>
      <c r="D9312" s="21" t="s">
        <v>20385</v>
      </c>
      <c r="E9312" s="22" t="str">
        <f>HYPERLINK("https://twitter.com/Criptovaleur/status/922716938463260672","922716938463260672")</f>
        <v>922716938463260672</v>
      </c>
      <c r="F9312" s="23" t="s">
        <v>20384</v>
      </c>
      <c r="G9312" s="24">
        <v>264.0</v>
      </c>
      <c r="H9312" s="24">
        <v>326.0</v>
      </c>
      <c r="I9312" s="24">
        <v>1.0</v>
      </c>
      <c r="J9312" s="24">
        <v>0.0</v>
      </c>
      <c r="K9312" s="23" t="s">
        <v>34</v>
      </c>
      <c r="L9312" s="25">
        <v>43016.37881944445</v>
      </c>
      <c r="M9312" s="28"/>
      <c r="N9312" s="26" t="s">
        <v>20386</v>
      </c>
      <c r="O9312" s="22" t="str">
        <f>HYPERLINK("https://pbs.twimg.com/profile_images/919893892685844481/ugfQAhPD_normal.jpg","View")</f>
        <v>View</v>
      </c>
      <c r="P9312" s="27"/>
    </row>
    <row r="9313">
      <c r="A9313" s="14">
        <v>43031.99353009259</v>
      </c>
      <c r="B9313" s="20" t="str">
        <f>HYPERLINK("https://twitter.com/CavaggioniMario","@CavaggioniMario")</f>
        <v>@CavaggioniMario</v>
      </c>
      <c r="C9313" s="21" t="s">
        <v>20387</v>
      </c>
      <c r="D9313" s="21" t="s">
        <v>20388</v>
      </c>
      <c r="E9313" s="22" t="str">
        <f>HYPERLINK("https://twitter.com/CavaggioniMario/status/922716959682252800","922716959682252800")</f>
        <v>922716959682252800</v>
      </c>
      <c r="F9313" s="23" t="s">
        <v>39</v>
      </c>
      <c r="G9313" s="24">
        <v>228.0</v>
      </c>
      <c r="H9313" s="24">
        <v>575.0</v>
      </c>
      <c r="I9313" s="24">
        <v>0.0</v>
      </c>
      <c r="J9313" s="24">
        <v>0.0</v>
      </c>
      <c r="K9313" s="23" t="s">
        <v>34</v>
      </c>
      <c r="L9313" s="25">
        <v>41744.30064814815</v>
      </c>
      <c r="M9313" s="28"/>
      <c r="N9313" s="26" t="s">
        <v>20389</v>
      </c>
      <c r="O9313" s="22" t="str">
        <f>HYPERLINK("https://pbs.twimg.com/profile_images/456088625500155904/nfV6BigU_normal.jpeg","View")</f>
        <v>View</v>
      </c>
      <c r="P9313" s="27"/>
    </row>
    <row r="9314">
      <c r="A9314" s="14">
        <v>43031.99454861111</v>
      </c>
      <c r="B9314" s="20" t="str">
        <f>HYPERLINK("https://twitter.com/cedricsam","@cedricsam")</f>
        <v>@cedricsam</v>
      </c>
      <c r="C9314" s="21" t="s">
        <v>3726</v>
      </c>
      <c r="D9314" s="21" t="s">
        <v>20390</v>
      </c>
      <c r="E9314" s="22" t="str">
        <f>HYPERLINK("https://twitter.com/cedricsam/status/922717330018316288","922717330018316288")</f>
        <v>922717330018316288</v>
      </c>
      <c r="F9314" s="23" t="s">
        <v>55</v>
      </c>
      <c r="G9314" s="24">
        <v>2365.0</v>
      </c>
      <c r="H9314" s="24">
        <v>3224.0</v>
      </c>
      <c r="I9314" s="24">
        <v>3.0</v>
      </c>
      <c r="J9314" s="24">
        <v>3.0</v>
      </c>
      <c r="K9314" s="23" t="s">
        <v>34</v>
      </c>
      <c r="L9314" s="25">
        <v>39718.96487268519</v>
      </c>
      <c r="M9314" s="26" t="s">
        <v>2534</v>
      </c>
      <c r="N9314" s="26" t="s">
        <v>3728</v>
      </c>
      <c r="O9314" s="22" t="str">
        <f>HYPERLINK("https://pbs.twimg.com/profile_images/664113503016325121/DWYNAQF__normal.jpg","View")</f>
        <v>View</v>
      </c>
      <c r="P9314" s="27"/>
    </row>
    <row r="9315">
      <c r="A9315" s="14">
        <v>43031.99474537037</v>
      </c>
      <c r="B9315" s="20" t="str">
        <f>HYPERLINK("https://twitter.com/annatkhso","@annatkhso")</f>
        <v>@annatkhso</v>
      </c>
      <c r="C9315" s="21" t="s">
        <v>20391</v>
      </c>
      <c r="D9315" s="21" t="s">
        <v>42</v>
      </c>
      <c r="E9315" s="22" t="str">
        <f>HYPERLINK("https://twitter.com/annatkhso/status/922717401497694208","922717401497694208")</f>
        <v>922717401497694208</v>
      </c>
      <c r="F9315" s="23" t="s">
        <v>55</v>
      </c>
      <c r="G9315" s="24">
        <v>1006.0</v>
      </c>
      <c r="H9315" s="24">
        <v>40.0</v>
      </c>
      <c r="I9315" s="24">
        <v>8501.0</v>
      </c>
      <c r="J9315" s="24">
        <v>0.0</v>
      </c>
      <c r="K9315" s="23" t="s">
        <v>34</v>
      </c>
      <c r="L9315" s="25">
        <v>41092.793125</v>
      </c>
      <c r="M9315" s="26" t="s">
        <v>20392</v>
      </c>
      <c r="N9315" s="26" t="s">
        <v>20393</v>
      </c>
      <c r="O9315" s="22" t="str">
        <f>HYPERLINK("https://pbs.twimg.com/profile_images/797692940315291648/UjBRs8Cc_normal.jpg","View")</f>
        <v>View</v>
      </c>
      <c r="P9315" s="27"/>
    </row>
    <row r="9316">
      <c r="A9316" s="14">
        <v>43031.99475694445</v>
      </c>
      <c r="B9316" s="20" t="str">
        <f>HYPERLINK("https://twitter.com/WUMoneyClub","@WUMoneyClub")</f>
        <v>@WUMoneyClub</v>
      </c>
      <c r="C9316" s="21" t="s">
        <v>10728</v>
      </c>
      <c r="D9316" s="21" t="s">
        <v>20394</v>
      </c>
      <c r="E9316" s="22" t="str">
        <f>HYPERLINK("https://twitter.com/WUMoneyClub/status/922717405532557312","922717405532557312")</f>
        <v>922717405532557312</v>
      </c>
      <c r="F9316" s="23" t="s">
        <v>187</v>
      </c>
      <c r="G9316" s="24">
        <v>225.0</v>
      </c>
      <c r="H9316" s="24">
        <v>146.0</v>
      </c>
      <c r="I9316" s="24">
        <v>0.0</v>
      </c>
      <c r="J9316" s="24">
        <v>0.0</v>
      </c>
      <c r="K9316" s="23" t="s">
        <v>34</v>
      </c>
      <c r="L9316" s="25">
        <v>42816.47416666667</v>
      </c>
      <c r="M9316" s="26" t="s">
        <v>10730</v>
      </c>
      <c r="N9316" s="26" t="s">
        <v>10731</v>
      </c>
      <c r="O9316" s="22" t="str">
        <f>HYPERLINK("https://pbs.twimg.com/profile_images/844673346134519812/_6GMOztt_normal.jpg","View")</f>
        <v>View</v>
      </c>
      <c r="P9316" s="27"/>
    </row>
    <row r="9317">
      <c r="A9317" s="14">
        <v>43031.99545138889</v>
      </c>
      <c r="B9317" s="20" t="str">
        <f>HYPERLINK("https://twitter.com/PipCoinCash","@PipCoinCash")</f>
        <v>@PipCoinCash</v>
      </c>
      <c r="C9317" s="29" t="s">
        <v>20395</v>
      </c>
      <c r="D9317" s="21" t="s">
        <v>20396</v>
      </c>
      <c r="E9317" s="22" t="str">
        <f>HYPERLINK("https://twitter.com/PipCoinCash/status/922717659195760640","922717659195760640")</f>
        <v>922717659195760640</v>
      </c>
      <c r="F9317" s="23" t="s">
        <v>187</v>
      </c>
      <c r="G9317" s="24">
        <v>873.0</v>
      </c>
      <c r="H9317" s="24">
        <v>934.0</v>
      </c>
      <c r="I9317" s="24">
        <v>0.0</v>
      </c>
      <c r="J9317" s="24">
        <v>0.0</v>
      </c>
      <c r="K9317" s="23" t="s">
        <v>34</v>
      </c>
      <c r="L9317" s="25">
        <v>40021.00277777778</v>
      </c>
      <c r="M9317" s="26" t="s">
        <v>20397</v>
      </c>
      <c r="N9317" s="26" t="s">
        <v>20398</v>
      </c>
      <c r="O9317" s="22" t="str">
        <f>HYPERLINK("https://pbs.twimg.com/profile_images/861226882938884096/ti0-sHlw_normal.jpg","View")</f>
        <v>View</v>
      </c>
      <c r="P9317" s="27"/>
    </row>
    <row r="9318">
      <c r="A9318" s="14">
        <v>43031.99554398148</v>
      </c>
      <c r="B9318" s="20" t="str">
        <f>HYPERLINK("https://twitter.com/Gabenewsinfo","@Gabenewsinfo")</f>
        <v>@Gabenewsinfo</v>
      </c>
      <c r="C9318" s="21" t="s">
        <v>20399</v>
      </c>
      <c r="D9318" s="21" t="s">
        <v>20400</v>
      </c>
      <c r="E9318" s="22" t="str">
        <f>HYPERLINK("https://twitter.com/Gabenewsinfo/status/922717689289654272","922717689289654272")</f>
        <v>922717689289654272</v>
      </c>
      <c r="F9318" s="23" t="s">
        <v>55</v>
      </c>
      <c r="G9318" s="24">
        <v>1157.0</v>
      </c>
      <c r="H9318" s="24">
        <v>2254.0</v>
      </c>
      <c r="I9318" s="24">
        <v>0.0</v>
      </c>
      <c r="J9318" s="24">
        <v>0.0</v>
      </c>
      <c r="K9318" s="23" t="s">
        <v>34</v>
      </c>
      <c r="L9318" s="25">
        <v>40776.92197916667</v>
      </c>
      <c r="M9318" s="26" t="s">
        <v>20401</v>
      </c>
      <c r="N9318" s="26" t="s">
        <v>20402</v>
      </c>
      <c r="O9318" s="22" t="str">
        <f>HYPERLINK("https://pbs.twimg.com/profile_images/820108691869405184/1zXn8NZ2_normal.jpg","View")</f>
        <v>View</v>
      </c>
      <c r="P9318" s="27"/>
    </row>
    <row r="9319">
      <c r="A9319" s="14">
        <v>43031.99561342593</v>
      </c>
      <c r="B9319" s="20" t="str">
        <f>HYPERLINK("https://twitter.com/AntBarton89","@AntBarton89")</f>
        <v>@AntBarton89</v>
      </c>
      <c r="C9319" s="21" t="s">
        <v>20403</v>
      </c>
      <c r="D9319" s="21" t="s">
        <v>17690</v>
      </c>
      <c r="E9319" s="22" t="str">
        <f>HYPERLINK("https://twitter.com/AntBarton89/status/922717716343066624","922717716343066624")</f>
        <v>922717716343066624</v>
      </c>
      <c r="F9319" s="23" t="s">
        <v>39</v>
      </c>
      <c r="G9319" s="24">
        <v>3655.0</v>
      </c>
      <c r="H9319" s="24">
        <v>388.0</v>
      </c>
      <c r="I9319" s="24">
        <v>7.0</v>
      </c>
      <c r="J9319" s="24">
        <v>0.0</v>
      </c>
      <c r="K9319" s="23" t="s">
        <v>34</v>
      </c>
      <c r="L9319" s="25">
        <v>40770.384618055556</v>
      </c>
      <c r="M9319" s="26" t="s">
        <v>334</v>
      </c>
      <c r="N9319" s="26" t="s">
        <v>20404</v>
      </c>
      <c r="O9319" s="22" t="str">
        <f>HYPERLINK("https://pbs.twimg.com/profile_images/905861913069969409/_XgLeVqq_normal.jpg","View")</f>
        <v>View</v>
      </c>
      <c r="P9319" s="27"/>
    </row>
    <row r="9320">
      <c r="A9320" s="14">
        <v>43031.99582175926</v>
      </c>
      <c r="B9320" s="20" t="str">
        <f>HYPERLINK("https://twitter.com/RAKROUT1982","@RAKROUT1982")</f>
        <v>@RAKROUT1982</v>
      </c>
      <c r="C9320" s="21" t="s">
        <v>20405</v>
      </c>
      <c r="D9320" s="21" t="s">
        <v>42</v>
      </c>
      <c r="E9320" s="22" t="str">
        <f>HYPERLINK("https://twitter.com/RAKROUT1982/status/922717791584694272","922717791584694272")</f>
        <v>922717791584694272</v>
      </c>
      <c r="F9320" s="23" t="s">
        <v>33</v>
      </c>
      <c r="G9320" s="24">
        <v>4.0</v>
      </c>
      <c r="H9320" s="24">
        <v>111.0</v>
      </c>
      <c r="I9320" s="24">
        <v>8501.0</v>
      </c>
      <c r="J9320" s="24">
        <v>0.0</v>
      </c>
      <c r="K9320" s="23" t="s">
        <v>34</v>
      </c>
      <c r="L9320" s="25">
        <v>43018.84425925926</v>
      </c>
      <c r="M9320" s="26" t="s">
        <v>3848</v>
      </c>
      <c r="N9320" s="26" t="s">
        <v>15081</v>
      </c>
      <c r="O9320" s="22" t="str">
        <f>HYPERLINK("https://pbs.twimg.com/profile_images/917957306725404672/bLgR9k4A_normal.jpg","View")</f>
        <v>View</v>
      </c>
      <c r="P9320" s="27"/>
    </row>
    <row r="9321">
      <c r="A9321" s="14">
        <v>43031.996041666665</v>
      </c>
      <c r="B9321" s="20" t="str">
        <f>HYPERLINK("https://twitter.com/vostietwits","@vostietwits")</f>
        <v>@vostietwits</v>
      </c>
      <c r="C9321" s="21" t="s">
        <v>20406</v>
      </c>
      <c r="D9321" s="21" t="s">
        <v>20407</v>
      </c>
      <c r="E9321" s="22" t="str">
        <f>HYPERLINK("https://twitter.com/vostietwits/status/922717869569466368","922717869569466368")</f>
        <v>922717869569466368</v>
      </c>
      <c r="F9321" s="23" t="s">
        <v>55</v>
      </c>
      <c r="G9321" s="24">
        <v>1240.0</v>
      </c>
      <c r="H9321" s="24">
        <v>1084.0</v>
      </c>
      <c r="I9321" s="24">
        <v>2.0</v>
      </c>
      <c r="J9321" s="24">
        <v>0.0</v>
      </c>
      <c r="K9321" s="23" t="s">
        <v>34</v>
      </c>
      <c r="L9321" s="25">
        <v>40459.208495370374</v>
      </c>
      <c r="M9321" s="26" t="s">
        <v>282</v>
      </c>
      <c r="N9321" s="26" t="s">
        <v>20408</v>
      </c>
      <c r="O9321" s="22" t="str">
        <f>HYPERLINK("https://pbs.twimg.com/profile_images/525246273038073856/JGoT9lqA_normal.jpeg","View")</f>
        <v>View</v>
      </c>
      <c r="P9321" s="27"/>
    </row>
    <row r="9322">
      <c r="A9322" s="14">
        <v>43031.99648148148</v>
      </c>
      <c r="B9322" s="20" t="str">
        <f>HYPERLINK("https://twitter.com/BMMRobertson","@BMMRobertson")</f>
        <v>@BMMRobertson</v>
      </c>
      <c r="C9322" s="21" t="s">
        <v>20409</v>
      </c>
      <c r="D9322" s="21" t="s">
        <v>20410</v>
      </c>
      <c r="E9322" s="22" t="str">
        <f>HYPERLINK("https://twitter.com/BMMRobertson/status/922718028952825857","922718028952825857")</f>
        <v>922718028952825857</v>
      </c>
      <c r="F9322" s="23" t="s">
        <v>769</v>
      </c>
      <c r="G9322" s="24">
        <v>2045.0</v>
      </c>
      <c r="H9322" s="24">
        <v>1789.0</v>
      </c>
      <c r="I9322" s="24">
        <v>3.0</v>
      </c>
      <c r="J9322" s="24">
        <v>0.0</v>
      </c>
      <c r="K9322" s="23" t="s">
        <v>34</v>
      </c>
      <c r="L9322" s="25">
        <v>41727.14517361111</v>
      </c>
      <c r="M9322" s="26" t="s">
        <v>2185</v>
      </c>
      <c r="N9322" s="26" t="s">
        <v>20411</v>
      </c>
      <c r="O9322" s="22" t="str">
        <f>HYPERLINK("https://pbs.twimg.com/profile_images/812560584495534080/Z-bj_or4_normal.jpg","View")</f>
        <v>View</v>
      </c>
      <c r="P9322" s="27"/>
    </row>
    <row r="9323">
      <c r="A9323" s="14">
        <v>43031.99657407407</v>
      </c>
      <c r="B9323" s="20" t="str">
        <f>HYPERLINK("https://twitter.com/mako114106","@mako114106")</f>
        <v>@mako114106</v>
      </c>
      <c r="C9323" s="21" t="s">
        <v>9368</v>
      </c>
      <c r="D9323" s="21" t="s">
        <v>20412</v>
      </c>
      <c r="E9323" s="22" t="str">
        <f>HYPERLINK("https://twitter.com/mako114106/status/922718064168271874","922718064168271874")</f>
        <v>922718064168271874</v>
      </c>
      <c r="F9323" s="23" t="s">
        <v>39</v>
      </c>
      <c r="G9323" s="24">
        <v>25.0</v>
      </c>
      <c r="H9323" s="24">
        <v>107.0</v>
      </c>
      <c r="I9323" s="24">
        <v>2.0</v>
      </c>
      <c r="J9323" s="24">
        <v>0.0</v>
      </c>
      <c r="K9323" s="23" t="s">
        <v>34</v>
      </c>
      <c r="L9323" s="25">
        <v>42648.25546296296</v>
      </c>
      <c r="M9323" s="26" t="s">
        <v>8012</v>
      </c>
      <c r="N9323" s="26" t="s">
        <v>9369</v>
      </c>
      <c r="O9323" s="22" t="str">
        <f>HYPERLINK("https://pbs.twimg.com/profile_images/920086101741658112/SpRZEyPX_normal.jpg","View")</f>
        <v>View</v>
      </c>
      <c r="P9323" s="27"/>
    </row>
    <row r="9324">
      <c r="A9324" s="14">
        <v>43031.99726851852</v>
      </c>
      <c r="B9324" s="20" t="str">
        <f>HYPERLINK("https://twitter.com/BiedexTrading","@BiedexTrading")</f>
        <v>@BiedexTrading</v>
      </c>
      <c r="C9324" s="21" t="s">
        <v>7665</v>
      </c>
      <c r="D9324" s="21" t="s">
        <v>20413</v>
      </c>
      <c r="E9324" s="22" t="str">
        <f>HYPERLINK("https://twitter.com/BiedexTrading/status/922718316162142208","922718316162142208")</f>
        <v>922718316162142208</v>
      </c>
      <c r="F9324" s="23" t="s">
        <v>7667</v>
      </c>
      <c r="G9324" s="24">
        <v>3326.0</v>
      </c>
      <c r="H9324" s="24">
        <v>4986.0</v>
      </c>
      <c r="I9324" s="24">
        <v>0.0</v>
      </c>
      <c r="J9324" s="24">
        <v>0.0</v>
      </c>
      <c r="K9324" s="23" t="s">
        <v>34</v>
      </c>
      <c r="L9324" s="25">
        <v>39857.33493055555</v>
      </c>
      <c r="M9324" s="26" t="s">
        <v>7668</v>
      </c>
      <c r="N9324" s="26" t="s">
        <v>7669</v>
      </c>
      <c r="O9324" s="22" t="str">
        <f>HYPERLINK("https://pbs.twimg.com/profile_images/440566971260604416/FG_EX0Zc_normal.png","View")</f>
        <v>View</v>
      </c>
      <c r="P9324" s="27"/>
    </row>
    <row r="9325">
      <c r="A9325" s="14">
        <v>43031.997766203705</v>
      </c>
      <c r="B9325" s="20" t="str">
        <f>HYPERLINK("https://twitter.com/ForexSignalFire","@ForexSignalFire")</f>
        <v>@ForexSignalFire</v>
      </c>
      <c r="C9325" s="21" t="s">
        <v>20414</v>
      </c>
      <c r="D9325" s="21" t="s">
        <v>17690</v>
      </c>
      <c r="E9325" s="22" t="str">
        <f>HYPERLINK("https://twitter.com/ForexSignalFire/status/922718494688448512","922718494688448512")</f>
        <v>922718494688448512</v>
      </c>
      <c r="F9325" s="23" t="s">
        <v>39</v>
      </c>
      <c r="G9325" s="24">
        <v>281.0</v>
      </c>
      <c r="H9325" s="24">
        <v>116.0</v>
      </c>
      <c r="I9325" s="24">
        <v>7.0</v>
      </c>
      <c r="J9325" s="24">
        <v>0.0</v>
      </c>
      <c r="K9325" s="23" t="s">
        <v>34</v>
      </c>
      <c r="L9325" s="25">
        <v>42540.57975694444</v>
      </c>
      <c r="M9325" s="26" t="s">
        <v>40</v>
      </c>
      <c r="N9325" s="26" t="s">
        <v>20415</v>
      </c>
      <c r="O9325" s="22" t="str">
        <f>HYPERLINK("https://pbs.twimg.com/profile_images/789025951376080896/PAXLS02S_normal.jpg","View")</f>
        <v>View</v>
      </c>
      <c r="P9325" s="27"/>
    </row>
    <row r="9326">
      <c r="A9326" s="14">
        <v>43031.99815972222</v>
      </c>
      <c r="B9326" s="20" t="str">
        <f>HYPERLINK("https://twitter.com/israelstag","@israelstag")</f>
        <v>@israelstag</v>
      </c>
      <c r="C9326" s="21" t="s">
        <v>5511</v>
      </c>
      <c r="D9326" s="21" t="s">
        <v>20416</v>
      </c>
      <c r="E9326" s="22" t="str">
        <f>HYPERLINK("https://twitter.com/israelstag/status/922718641187106816","922718641187106816")</f>
        <v>922718641187106816</v>
      </c>
      <c r="F9326" s="23" t="s">
        <v>187</v>
      </c>
      <c r="G9326" s="24">
        <v>440.0</v>
      </c>
      <c r="H9326" s="24">
        <v>366.0</v>
      </c>
      <c r="I9326" s="24">
        <v>0.0</v>
      </c>
      <c r="J9326" s="24">
        <v>0.0</v>
      </c>
      <c r="K9326" s="23" t="s">
        <v>34</v>
      </c>
      <c r="L9326" s="25">
        <v>41270.37657407408</v>
      </c>
      <c r="M9326" s="26" t="s">
        <v>5513</v>
      </c>
      <c r="N9326" s="26" t="s">
        <v>5514</v>
      </c>
      <c r="O9326" s="22" t="str">
        <f>HYPERLINK("https://pbs.twimg.com/profile_images/3029067821/1c768808e122f6bb2e74c8dd753d56ae_normal.jpeg","View")</f>
        <v>View</v>
      </c>
      <c r="P9326" s="27"/>
    </row>
    <row r="9327">
      <c r="A9327" s="14">
        <v>43031.998194444444</v>
      </c>
      <c r="B9327" s="20" t="str">
        <f>HYPERLINK("https://twitter.com/Newsofthehour1","@Newsofthehour1")</f>
        <v>@Newsofthehour1</v>
      </c>
      <c r="C9327" s="21" t="s">
        <v>20417</v>
      </c>
      <c r="D9327" s="21" t="s">
        <v>20418</v>
      </c>
      <c r="E9327" s="22" t="str">
        <f>HYPERLINK("https://twitter.com/Newsofthehour1/status/922718652834697221","922718652834697221")</f>
        <v>922718652834697221</v>
      </c>
      <c r="F9327" s="23" t="s">
        <v>20419</v>
      </c>
      <c r="G9327" s="24">
        <v>3176.0</v>
      </c>
      <c r="H9327" s="24">
        <v>2083.0</v>
      </c>
      <c r="I9327" s="24">
        <v>0.0</v>
      </c>
      <c r="J9327" s="24">
        <v>0.0</v>
      </c>
      <c r="K9327" s="23" t="s">
        <v>34</v>
      </c>
      <c r="L9327" s="25">
        <v>42705.30894675926</v>
      </c>
      <c r="M9327" s="26" t="s">
        <v>20420</v>
      </c>
      <c r="N9327" s="26" t="s">
        <v>20421</v>
      </c>
      <c r="O9327" s="22" t="str">
        <f>HYPERLINK("https://pbs.twimg.com/profile_images/843085226956017664/a44A_YmK_normal.jpg","View")</f>
        <v>View</v>
      </c>
      <c r="P9327" s="27"/>
    </row>
    <row r="9328">
      <c r="A9328" s="14">
        <v>43031.99877314815</v>
      </c>
      <c r="B9328" s="20" t="str">
        <f>HYPERLINK("https://twitter.com/daily_stir","@daily_stir")</f>
        <v>@daily_stir</v>
      </c>
      <c r="C9328" s="21" t="s">
        <v>20422</v>
      </c>
      <c r="D9328" s="21" t="s">
        <v>6670</v>
      </c>
      <c r="E9328" s="22" t="str">
        <f>HYPERLINK("https://twitter.com/daily_stir/status/922718860070961153","922718860070961153")</f>
        <v>922718860070961153</v>
      </c>
      <c r="F9328" s="23" t="s">
        <v>33</v>
      </c>
      <c r="G9328" s="24">
        <v>799.0</v>
      </c>
      <c r="H9328" s="24">
        <v>783.0</v>
      </c>
      <c r="I9328" s="24">
        <v>5.0</v>
      </c>
      <c r="J9328" s="24">
        <v>0.0</v>
      </c>
      <c r="K9328" s="23" t="s">
        <v>34</v>
      </c>
      <c r="L9328" s="25">
        <v>42400.03903935185</v>
      </c>
      <c r="M9328" s="26" t="s">
        <v>68</v>
      </c>
      <c r="N9328" s="26" t="s">
        <v>20423</v>
      </c>
      <c r="O9328" s="22" t="str">
        <f>HYPERLINK("https://pbs.twimg.com/profile_images/791022409876811776/rcAeF_IO_normal.jpg","View")</f>
        <v>View</v>
      </c>
      <c r="P9328" s="27"/>
    </row>
    <row r="9329">
      <c r="A9329" s="14">
        <v>43031.9996875</v>
      </c>
      <c r="B9329" s="20" t="str">
        <f>HYPERLINK("https://twitter.com/Trip3263","@Trip3263")</f>
        <v>@Trip3263</v>
      </c>
      <c r="C9329" s="21" t="s">
        <v>20424</v>
      </c>
      <c r="D9329" s="21" t="s">
        <v>42</v>
      </c>
      <c r="E9329" s="22" t="str">
        <f>HYPERLINK("https://twitter.com/Trip3263/status/922719191643418624","922719191643418624")</f>
        <v>922719191643418624</v>
      </c>
      <c r="F9329" s="23" t="s">
        <v>33</v>
      </c>
      <c r="G9329" s="24">
        <v>20224.0</v>
      </c>
      <c r="H9329" s="24">
        <v>20898.0</v>
      </c>
      <c r="I9329" s="24">
        <v>8501.0</v>
      </c>
      <c r="J9329" s="24">
        <v>0.0</v>
      </c>
      <c r="K9329" s="23" t="s">
        <v>34</v>
      </c>
      <c r="L9329" s="25">
        <v>41436.067523148144</v>
      </c>
      <c r="M9329" s="26" t="s">
        <v>20425</v>
      </c>
      <c r="N9329" s="26" t="s">
        <v>20426</v>
      </c>
      <c r="O9329" s="22" t="str">
        <f>HYPERLINK("https://pbs.twimg.com/profile_images/853955292102578177/-gTjacsz_normal.jpg","View")</f>
        <v>View</v>
      </c>
      <c r="P9329" s="27"/>
    </row>
    <row r="9330">
      <c r="A9330" s="14">
        <v>43032.0</v>
      </c>
      <c r="B9330" s="20" t="str">
        <f>HYPERLINK("https://twitter.com/TheRevengerists","@TheRevengerists")</f>
        <v>@TheRevengerists</v>
      </c>
      <c r="C9330" s="21" t="s">
        <v>20427</v>
      </c>
      <c r="D9330" s="21" t="s">
        <v>19621</v>
      </c>
      <c r="E9330" s="22" t="str">
        <f>HYPERLINK("https://twitter.com/TheRevengerists/status/922719305933914113","922719305933914113")</f>
        <v>922719305933914113</v>
      </c>
      <c r="F9330" s="23" t="s">
        <v>20428</v>
      </c>
      <c r="G9330" s="24">
        <v>1812.0</v>
      </c>
      <c r="H9330" s="24">
        <v>4977.0</v>
      </c>
      <c r="I9330" s="24">
        <v>18.0</v>
      </c>
      <c r="J9330" s="24">
        <v>0.0</v>
      </c>
      <c r="K9330" s="23" t="s">
        <v>34</v>
      </c>
      <c r="L9330" s="25">
        <v>40855.465636574074</v>
      </c>
      <c r="M9330" s="26" t="s">
        <v>20429</v>
      </c>
      <c r="N9330" s="26" t="s">
        <v>20430</v>
      </c>
      <c r="O9330" s="22" t="str">
        <f>HYPERLINK("https://pbs.twimg.com/profile_images/813469531876245504/-vDVYgwl_normal.jpg","View")</f>
        <v>View</v>
      </c>
      <c r="P9330" s="27"/>
    </row>
    <row r="9331">
      <c r="A9331" s="14">
        <v>43032.00001157407</v>
      </c>
      <c r="B9331" s="20" t="str">
        <f>HYPERLINK("https://twitter.com/TCIHQ","@TCIHQ")</f>
        <v>@TCIHQ</v>
      </c>
      <c r="C9331" s="21" t="s">
        <v>20431</v>
      </c>
      <c r="D9331" s="21" t="s">
        <v>20432</v>
      </c>
      <c r="E9331" s="22" t="str">
        <f>HYPERLINK("https://twitter.com/TCIHQ/status/922719309352222721","922719309352222721")</f>
        <v>922719309352222721</v>
      </c>
      <c r="F9331" s="23" t="s">
        <v>20433</v>
      </c>
      <c r="G9331" s="24">
        <v>3339.0</v>
      </c>
      <c r="H9331" s="24">
        <v>1701.0</v>
      </c>
      <c r="I9331" s="24">
        <v>0.0</v>
      </c>
      <c r="J9331" s="24">
        <v>0.0</v>
      </c>
      <c r="K9331" s="23" t="s">
        <v>34</v>
      </c>
      <c r="L9331" s="25">
        <v>42505.942245370374</v>
      </c>
      <c r="M9331" s="26" t="s">
        <v>7502</v>
      </c>
      <c r="N9331" s="26" t="s">
        <v>20434</v>
      </c>
      <c r="O9331" s="22" t="str">
        <f>HYPERLINK("https://pbs.twimg.com/profile_images/748372273774665729/POOtdILr_normal.jpg","View")</f>
        <v>View</v>
      </c>
      <c r="P9331" s="27"/>
    </row>
    <row r="9332">
      <c r="A9332" s="14">
        <v>43032.00004629629</v>
      </c>
      <c r="B9332" s="20" t="str">
        <f>HYPERLINK("https://twitter.com/hectorsanchezc_","@hectorsanchezc_")</f>
        <v>@hectorsanchezc_</v>
      </c>
      <c r="C9332" s="21" t="s">
        <v>20435</v>
      </c>
      <c r="D9332" s="21" t="s">
        <v>20436</v>
      </c>
      <c r="E9332" s="22" t="str">
        <f>HYPERLINK("https://twitter.com/hectorsanchezc_/status/922719321112973312","922719321112973312")</f>
        <v>922719321112973312</v>
      </c>
      <c r="F9332" s="23" t="s">
        <v>39</v>
      </c>
      <c r="G9332" s="24">
        <v>236.0</v>
      </c>
      <c r="H9332" s="24">
        <v>579.0</v>
      </c>
      <c r="I9332" s="24">
        <v>0.0</v>
      </c>
      <c r="J9332" s="24">
        <v>0.0</v>
      </c>
      <c r="K9332" s="23" t="s">
        <v>34</v>
      </c>
      <c r="L9332" s="25">
        <v>40767.84782407407</v>
      </c>
      <c r="M9332" s="26" t="s">
        <v>20437</v>
      </c>
      <c r="N9332" s="26" t="s">
        <v>20438</v>
      </c>
      <c r="O9332" s="22" t="str">
        <f>HYPERLINK("https://pbs.twimg.com/profile_images/899886404125081600/6U8gHBAo_normal.jpg","View")</f>
        <v>View</v>
      </c>
      <c r="P9332" s="27"/>
    </row>
    <row r="9333">
      <c r="A9333" s="14">
        <v>43032.00004629629</v>
      </c>
      <c r="B9333" s="20" t="str">
        <f>HYPERLINK("https://twitter.com/cherryshish","@cherryshish")</f>
        <v>@cherryshish</v>
      </c>
      <c r="C9333" s="21" t="s">
        <v>20439</v>
      </c>
      <c r="D9333" s="21" t="s">
        <v>32</v>
      </c>
      <c r="E9333" s="22" t="str">
        <f>HYPERLINK("https://twitter.com/cherryshish/status/922719321582948353","922719321582948353")</f>
        <v>922719321582948353</v>
      </c>
      <c r="F9333" s="23" t="s">
        <v>33</v>
      </c>
      <c r="G9333" s="24">
        <v>3556.0</v>
      </c>
      <c r="H9333" s="24">
        <v>4384.0</v>
      </c>
      <c r="I9333" s="24">
        <v>471.0</v>
      </c>
      <c r="J9333" s="24">
        <v>0.0</v>
      </c>
      <c r="K9333" s="23" t="s">
        <v>34</v>
      </c>
      <c r="L9333" s="25">
        <v>42885.41055555556</v>
      </c>
      <c r="M9333" s="26" t="s">
        <v>843</v>
      </c>
      <c r="N9333" s="26" t="s">
        <v>20440</v>
      </c>
      <c r="O9333" s="22" t="str">
        <f>HYPERLINK("https://pbs.twimg.com/profile_images/916736687715373056/iurLFzFG_normal.jpg","View")</f>
        <v>View</v>
      </c>
      <c r="P9333" s="27"/>
    </row>
    <row r="9334">
      <c r="A9334" s="14">
        <v>43032.00052083333</v>
      </c>
      <c r="B9334" s="20" t="str">
        <f>HYPERLINK("https://twitter.com/onlinetraderbiz","@onlinetraderbiz")</f>
        <v>@onlinetraderbiz</v>
      </c>
      <c r="C9334" s="21" t="s">
        <v>20441</v>
      </c>
      <c r="D9334" s="21" t="s">
        <v>20442</v>
      </c>
      <c r="E9334" s="22" t="str">
        <f>HYPERLINK("https://twitter.com/onlinetraderbiz/status/922719492941209601","922719492941209601")</f>
        <v>922719492941209601</v>
      </c>
      <c r="F9334" s="23" t="s">
        <v>187</v>
      </c>
      <c r="G9334" s="24">
        <v>3740.0</v>
      </c>
      <c r="H9334" s="24">
        <v>4093.0</v>
      </c>
      <c r="I9334" s="24">
        <v>0.0</v>
      </c>
      <c r="J9334" s="24">
        <v>0.0</v>
      </c>
      <c r="K9334" s="23" t="s">
        <v>34</v>
      </c>
      <c r="L9334" s="25">
        <v>42675.3969212963</v>
      </c>
      <c r="M9334" s="28"/>
      <c r="N9334" s="26" t="s">
        <v>20443</v>
      </c>
      <c r="O9334" s="22" t="str">
        <f>HYPERLINK("https://pbs.twimg.com/profile_images/886916551969984512/MQRHXfl1_normal.jpg","View")</f>
        <v>View</v>
      </c>
      <c r="P9334" s="27"/>
    </row>
    <row r="9335">
      <c r="A9335" s="14">
        <v>43032.00056712963</v>
      </c>
      <c r="B9335" s="20" t="str">
        <f>HYPERLINK("https://twitter.com/newsline","@newsline")</f>
        <v>@newsline</v>
      </c>
      <c r="C9335" s="21" t="s">
        <v>1867</v>
      </c>
      <c r="D9335" s="21" t="s">
        <v>1868</v>
      </c>
      <c r="E9335" s="22" t="str">
        <f>HYPERLINK("https://twitter.com/newsline/status/922719512742518784","922719512742518784")</f>
        <v>922719512742518784</v>
      </c>
      <c r="F9335" s="30" t="s">
        <v>191</v>
      </c>
      <c r="G9335" s="24">
        <v>1618.0</v>
      </c>
      <c r="H9335" s="24">
        <v>2.0</v>
      </c>
      <c r="I9335" s="24">
        <v>0.0</v>
      </c>
      <c r="J9335" s="24">
        <v>0.0</v>
      </c>
      <c r="K9335" s="23" t="s">
        <v>34</v>
      </c>
      <c r="L9335" s="25">
        <v>39779.50122685185</v>
      </c>
      <c r="M9335" s="26" t="s">
        <v>1869</v>
      </c>
      <c r="N9335" s="26" t="s">
        <v>1870</v>
      </c>
      <c r="O9335" s="22" t="str">
        <f>HYPERLINK("https://pbs.twimg.com/profile_images/778618969842483200/4H0_dpWR_normal.jpg","View")</f>
        <v>View</v>
      </c>
      <c r="P9335" s="27"/>
    </row>
    <row r="9336">
      <c r="A9336" s="14">
        <v>43032.00068287037</v>
      </c>
      <c r="B9336" s="20" t="str">
        <f>HYPERLINK("https://twitter.com/globaltimesnews","@globaltimesnews")</f>
        <v>@globaltimesnews</v>
      </c>
      <c r="C9336" s="21" t="s">
        <v>20444</v>
      </c>
      <c r="D9336" s="21" t="s">
        <v>20445</v>
      </c>
      <c r="E9336" s="22" t="str">
        <f>HYPERLINK("https://twitter.com/globaltimesnews/status/922719554526171136","922719554526171136")</f>
        <v>922719554526171136</v>
      </c>
      <c r="F9336" s="23" t="s">
        <v>4619</v>
      </c>
      <c r="G9336" s="24">
        <v>364446.0</v>
      </c>
      <c r="H9336" s="24">
        <v>433.0</v>
      </c>
      <c r="I9336" s="24">
        <v>3.0</v>
      </c>
      <c r="J9336" s="24">
        <v>4.0</v>
      </c>
      <c r="K9336" s="23" t="s">
        <v>34</v>
      </c>
      <c r="L9336" s="25">
        <v>39986.23725694444</v>
      </c>
      <c r="M9336" s="26" t="s">
        <v>20446</v>
      </c>
      <c r="N9336" s="26" t="s">
        <v>20447</v>
      </c>
      <c r="O9336" s="22" t="str">
        <f>HYPERLINK("https://pbs.twimg.com/profile_images/2481486560/0sj4f5n63rm9mtvxfo8r_normal.png","View")</f>
        <v>View</v>
      </c>
      <c r="P9336" s="27"/>
    </row>
    <row r="9337">
      <c r="A9337" s="14">
        <v>43032.00072916667</v>
      </c>
      <c r="B9337" s="20" t="str">
        <f>HYPERLINK("https://twitter.com/heribertohmd","@heribertohmd")</f>
        <v>@heribertohmd</v>
      </c>
      <c r="C9337" s="21" t="s">
        <v>5623</v>
      </c>
      <c r="D9337" s="21" t="s">
        <v>20448</v>
      </c>
      <c r="E9337" s="22" t="str">
        <f>HYPERLINK("https://twitter.com/heribertohmd/status/922719570074521600","922719570074521600")</f>
        <v>922719570074521600</v>
      </c>
      <c r="F9337" s="23" t="s">
        <v>187</v>
      </c>
      <c r="G9337" s="24">
        <v>310.0</v>
      </c>
      <c r="H9337" s="24">
        <v>258.0</v>
      </c>
      <c r="I9337" s="24">
        <v>0.0</v>
      </c>
      <c r="J9337" s="24">
        <v>0.0</v>
      </c>
      <c r="K9337" s="23" t="s">
        <v>34</v>
      </c>
      <c r="L9337" s="25">
        <v>41266.529074074075</v>
      </c>
      <c r="M9337" s="26" t="s">
        <v>5625</v>
      </c>
      <c r="N9337" s="26" t="s">
        <v>5626</v>
      </c>
      <c r="O9337" s="22" t="str">
        <f>HYPERLINK("https://pbs.twimg.com/profile_images/3011879496/ffb01d94b26511ec9026f2db32bdcd33_normal.jpeg","View")</f>
        <v>View</v>
      </c>
      <c r="P9337" s="27"/>
    </row>
    <row r="9338">
      <c r="A9338" s="14">
        <v>43032.00072916667</v>
      </c>
      <c r="B9338" s="20" t="str">
        <f>HYPERLINK("https://twitter.com/inampenguin","@inampenguin")</f>
        <v>@inampenguin</v>
      </c>
      <c r="C9338" s="21" t="s">
        <v>20449</v>
      </c>
      <c r="D9338" s="21" t="s">
        <v>6915</v>
      </c>
      <c r="E9338" s="22" t="str">
        <f>HYPERLINK("https://twitter.com/inampenguin/status/922719572175785985","922719572175785985")</f>
        <v>922719572175785985</v>
      </c>
      <c r="F9338" s="23" t="s">
        <v>39</v>
      </c>
      <c r="G9338" s="24">
        <v>6923.0</v>
      </c>
      <c r="H9338" s="24">
        <v>270.0</v>
      </c>
      <c r="I9338" s="24">
        <v>2.0</v>
      </c>
      <c r="J9338" s="24">
        <v>0.0</v>
      </c>
      <c r="K9338" s="23" t="s">
        <v>34</v>
      </c>
      <c r="L9338" s="25">
        <v>40075.28344907407</v>
      </c>
      <c r="M9338" s="26" t="s">
        <v>20450</v>
      </c>
      <c r="N9338" s="26" t="s">
        <v>20451</v>
      </c>
      <c r="O9338" s="22" t="str">
        <f>HYPERLINK("https://pbs.twimg.com/profile_images/919793788851175430/msNDeVOg_normal.jpg","View")</f>
        <v>View</v>
      </c>
      <c r="P9338" s="27"/>
    </row>
    <row r="9339">
      <c r="A9339" s="14">
        <v>43032.00077546296</v>
      </c>
      <c r="B9339" s="20" t="str">
        <f>HYPERLINK("https://twitter.com/GuruKri39745386","@GuruKri39745386")</f>
        <v>@GuruKri39745386</v>
      </c>
      <c r="C9339" s="21" t="s">
        <v>20452</v>
      </c>
      <c r="D9339" s="21" t="s">
        <v>42</v>
      </c>
      <c r="E9339" s="22" t="str">
        <f>HYPERLINK("https://twitter.com/GuruKri39745386/status/922719587157921793","922719587157921793")</f>
        <v>922719587157921793</v>
      </c>
      <c r="F9339" s="23" t="s">
        <v>33</v>
      </c>
      <c r="G9339" s="24">
        <v>464.0</v>
      </c>
      <c r="H9339" s="24">
        <v>873.0</v>
      </c>
      <c r="I9339" s="24">
        <v>8501.0</v>
      </c>
      <c r="J9339" s="24">
        <v>0.0</v>
      </c>
      <c r="K9339" s="23" t="s">
        <v>34</v>
      </c>
      <c r="L9339" s="25">
        <v>42971.779062500005</v>
      </c>
      <c r="M9339" s="26" t="s">
        <v>2189</v>
      </c>
      <c r="N9339" s="26" t="s">
        <v>20453</v>
      </c>
      <c r="O9339" s="22" t="str">
        <f>HYPERLINK("https://pbs.twimg.com/profile_images/912341730845900801/V5yQeKy5_normal.jpg","View")</f>
        <v>View</v>
      </c>
      <c r="P9339" s="27"/>
    </row>
    <row r="9340">
      <c r="A9340" s="14">
        <v>43032.00077546296</v>
      </c>
      <c r="B9340" s="20" t="str">
        <f>HYPERLINK("https://twitter.com/f1nans1st","@f1nans1st")</f>
        <v>@f1nans1st</v>
      </c>
      <c r="C9340" s="21" t="s">
        <v>20454</v>
      </c>
      <c r="D9340" s="21" t="s">
        <v>20455</v>
      </c>
      <c r="E9340" s="22" t="str">
        <f>HYPERLINK("https://twitter.com/f1nans1st/status/922719587296251905","922719587296251905")</f>
        <v>922719587296251905</v>
      </c>
      <c r="F9340" s="23" t="s">
        <v>20456</v>
      </c>
      <c r="G9340" s="24">
        <v>48167.0</v>
      </c>
      <c r="H9340" s="24">
        <v>9436.0</v>
      </c>
      <c r="I9340" s="24">
        <v>0.0</v>
      </c>
      <c r="J9340" s="24">
        <v>0.0</v>
      </c>
      <c r="K9340" s="23" t="s">
        <v>34</v>
      </c>
      <c r="L9340" s="25">
        <v>41673.473182870366</v>
      </c>
      <c r="M9340" s="28"/>
      <c r="N9340" s="26" t="s">
        <v>20457</v>
      </c>
      <c r="O9340" s="22" t="str">
        <f>HYPERLINK("https://pbs.twimg.com/profile_images/922606294867030017/JwZcoI2m_normal.jpg","View")</f>
        <v>View</v>
      </c>
      <c r="P9340" s="27"/>
    </row>
    <row r="9341">
      <c r="A9341" s="14">
        <v>43032.00077546296</v>
      </c>
      <c r="B9341" s="20" t="str">
        <f>HYPERLINK("https://twitter.com/Phabians_Kaka","@Phabians_Kaka")</f>
        <v>@Phabians_Kaka</v>
      </c>
      <c r="C9341" s="21" t="s">
        <v>20458</v>
      </c>
      <c r="D9341" s="21" t="s">
        <v>32</v>
      </c>
      <c r="E9341" s="22" t="str">
        <f>HYPERLINK("https://twitter.com/Phabians_Kaka/status/922719587598290944","922719587598290944")</f>
        <v>922719587598290944</v>
      </c>
      <c r="F9341" s="23" t="s">
        <v>33</v>
      </c>
      <c r="G9341" s="24">
        <v>938.0</v>
      </c>
      <c r="H9341" s="24">
        <v>831.0</v>
      </c>
      <c r="I9341" s="24">
        <v>471.0</v>
      </c>
      <c r="J9341" s="24">
        <v>0.0</v>
      </c>
      <c r="K9341" s="23" t="s">
        <v>34</v>
      </c>
      <c r="L9341" s="25">
        <v>41108.371296296296</v>
      </c>
      <c r="M9341" s="26" t="s">
        <v>843</v>
      </c>
      <c r="N9341" s="26" t="s">
        <v>20459</v>
      </c>
      <c r="O9341" s="22" t="str">
        <f>HYPERLINK("https://pbs.twimg.com/profile_images/922377888711704577/c_eMkiIu_normal.jpg","View")</f>
        <v>View</v>
      </c>
      <c r="P9341" s="27"/>
    </row>
    <row r="9342">
      <c r="A9342" s="14">
        <v>43032.001076388886</v>
      </c>
      <c r="B9342" s="20" t="str">
        <f>HYPERLINK("https://twitter.com/iPrafulchavda","@iPrafulchavda")</f>
        <v>@iPrafulchavda</v>
      </c>
      <c r="C9342" s="21" t="s">
        <v>20460</v>
      </c>
      <c r="D9342" s="21" t="s">
        <v>42</v>
      </c>
      <c r="E9342" s="22" t="str">
        <f>HYPERLINK("https://twitter.com/iPrafulchavda/status/922719696733995008","922719696733995008")</f>
        <v>922719696733995008</v>
      </c>
      <c r="F9342" s="23" t="s">
        <v>780</v>
      </c>
      <c r="G9342" s="24">
        <v>211.0</v>
      </c>
      <c r="H9342" s="24">
        <v>15.0</v>
      </c>
      <c r="I9342" s="24">
        <v>8501.0</v>
      </c>
      <c r="J9342" s="24">
        <v>0.0</v>
      </c>
      <c r="K9342" s="23" t="s">
        <v>34</v>
      </c>
      <c r="L9342" s="25">
        <v>41915.50163194444</v>
      </c>
      <c r="M9342" s="26" t="s">
        <v>7597</v>
      </c>
      <c r="N9342" s="26" t="s">
        <v>20461</v>
      </c>
      <c r="O9342" s="22" t="str">
        <f>HYPERLINK("https://pbs.twimg.com/profile_images/809804181536002048/V6d9nPIz_normal.jpg","View")</f>
        <v>View</v>
      </c>
      <c r="P9342" s="27"/>
    </row>
    <row r="9343">
      <c r="A9343" s="14">
        <v>43032.00111111111</v>
      </c>
      <c r="B9343" s="20" t="str">
        <f>HYPERLINK("https://twitter.com/nahm315","@nahm315")</f>
        <v>@nahm315</v>
      </c>
      <c r="C9343" s="21" t="s">
        <v>20462</v>
      </c>
      <c r="D9343" s="21" t="s">
        <v>16537</v>
      </c>
      <c r="E9343" s="22" t="str">
        <f>HYPERLINK("https://twitter.com/nahm315/status/922719708742381568","922719708742381568")</f>
        <v>922719708742381568</v>
      </c>
      <c r="F9343" s="23" t="s">
        <v>33</v>
      </c>
      <c r="G9343" s="24">
        <v>272.0</v>
      </c>
      <c r="H9343" s="24">
        <v>610.0</v>
      </c>
      <c r="I9343" s="24">
        <v>242.0</v>
      </c>
      <c r="J9343" s="24">
        <v>0.0</v>
      </c>
      <c r="K9343" s="23" t="s">
        <v>34</v>
      </c>
      <c r="L9343" s="25">
        <v>41543.83346064815</v>
      </c>
      <c r="M9343" s="28"/>
      <c r="N9343" s="26" t="s">
        <v>20463</v>
      </c>
      <c r="O9343" s="22" t="str">
        <f>HYPERLINK("https://pbs.twimg.com/profile_images/870163755262386176/whtAMR-1_normal.jpg","View")</f>
        <v>View</v>
      </c>
      <c r="P9343" s="27"/>
    </row>
    <row r="9344">
      <c r="A9344" s="14">
        <v>43032.00127314815</v>
      </c>
      <c r="B9344" s="20" t="str">
        <f>HYPERLINK("https://twitter.com/FreddieKeene88","@FreddieKeene88")</f>
        <v>@FreddieKeene88</v>
      </c>
      <c r="C9344" s="21" t="s">
        <v>5846</v>
      </c>
      <c r="D9344" s="21" t="s">
        <v>20464</v>
      </c>
      <c r="E9344" s="22" t="str">
        <f>HYPERLINK("https://twitter.com/FreddieKeene88/status/922719766997032961","922719766997032961")</f>
        <v>922719766997032961</v>
      </c>
      <c r="F9344" s="23" t="s">
        <v>187</v>
      </c>
      <c r="G9344" s="24">
        <v>435.0</v>
      </c>
      <c r="H9344" s="24">
        <v>378.0</v>
      </c>
      <c r="I9344" s="24">
        <v>0.0</v>
      </c>
      <c r="J9344" s="24">
        <v>0.0</v>
      </c>
      <c r="K9344" s="23" t="s">
        <v>34</v>
      </c>
      <c r="L9344" s="25">
        <v>41931.50732638889</v>
      </c>
      <c r="M9344" s="26" t="s">
        <v>5848</v>
      </c>
      <c r="N9344" s="26" t="s">
        <v>5849</v>
      </c>
      <c r="O9344" s="22" t="str">
        <f>HYPERLINK("https://pbs.twimg.com/profile_images/523916159620349952/lW6VckxG_normal.jpeg","View")</f>
        <v>View</v>
      </c>
      <c r="P9344" s="27"/>
    </row>
    <row r="9345">
      <c r="A9345" s="14">
        <v>43032.0015162037</v>
      </c>
      <c r="B9345" s="20" t="str">
        <f>HYPERLINK("https://twitter.com/JoScoMac","@JoScoMac")</f>
        <v>@JoScoMac</v>
      </c>
      <c r="C9345" s="21" t="s">
        <v>20465</v>
      </c>
      <c r="D9345" s="21" t="s">
        <v>20466</v>
      </c>
      <c r="E9345" s="22" t="str">
        <f>HYPERLINK("https://twitter.com/JoScoMac/status/922719855895134209","922719855895134209")</f>
        <v>922719855895134209</v>
      </c>
      <c r="F9345" s="23" t="s">
        <v>33</v>
      </c>
      <c r="G9345" s="24">
        <v>1954.0</v>
      </c>
      <c r="H9345" s="24">
        <v>2264.0</v>
      </c>
      <c r="I9345" s="24">
        <v>0.0</v>
      </c>
      <c r="J9345" s="24">
        <v>2.0</v>
      </c>
      <c r="K9345" s="23" t="s">
        <v>34</v>
      </c>
      <c r="L9345" s="25">
        <v>40555.076689814814</v>
      </c>
      <c r="M9345" s="26" t="s">
        <v>8894</v>
      </c>
      <c r="N9345" s="26" t="s">
        <v>20467</v>
      </c>
      <c r="O9345" s="22" t="str">
        <f>HYPERLINK("https://pbs.twimg.com/profile_images/459610975709044736/QNkUQK-a_normal.jpeg","View")</f>
        <v>View</v>
      </c>
      <c r="P9345" s="27"/>
    </row>
    <row r="9346">
      <c r="A9346" s="14">
        <v>43032.00222222222</v>
      </c>
      <c r="B9346" s="20" t="str">
        <f>HYPERLINK("https://twitter.com/canoe21","@canoe21")</f>
        <v>@canoe21</v>
      </c>
      <c r="C9346" s="21" t="s">
        <v>5717</v>
      </c>
      <c r="D9346" s="21" t="s">
        <v>20468</v>
      </c>
      <c r="E9346" s="22" t="str">
        <f>HYPERLINK("https://twitter.com/canoe21/status/922720110472847360","922720110472847360")</f>
        <v>922720110472847360</v>
      </c>
      <c r="F9346" s="23" t="s">
        <v>187</v>
      </c>
      <c r="G9346" s="24">
        <v>91.0</v>
      </c>
      <c r="H9346" s="24">
        <v>177.0</v>
      </c>
      <c r="I9346" s="24">
        <v>0.0</v>
      </c>
      <c r="J9346" s="24">
        <v>0.0</v>
      </c>
      <c r="K9346" s="23" t="s">
        <v>34</v>
      </c>
      <c r="L9346" s="25">
        <v>39959.21364583333</v>
      </c>
      <c r="M9346" s="26" t="s">
        <v>3230</v>
      </c>
      <c r="N9346" s="26" t="s">
        <v>5719</v>
      </c>
      <c r="O9346" s="22" t="str">
        <f>HYPERLINK("https://pbs.twimg.com/profile_images/1282487616/___2_normal.jpg","View")</f>
        <v>View</v>
      </c>
      <c r="P9346" s="27"/>
    </row>
    <row r="9347">
      <c r="A9347" s="14">
        <v>43032.003009259264</v>
      </c>
      <c r="B9347" s="20" t="str">
        <f>HYPERLINK("https://twitter.com/YashKVerm","@YashKVerm")</f>
        <v>@YashKVerm</v>
      </c>
      <c r="C9347" s="21" t="s">
        <v>20469</v>
      </c>
      <c r="D9347" s="21" t="s">
        <v>20470</v>
      </c>
      <c r="E9347" s="22" t="str">
        <f>HYPERLINK("https://twitter.com/YashKVerm/status/922720395299495936","922720395299495936")</f>
        <v>922720395299495936</v>
      </c>
      <c r="F9347" s="23" t="s">
        <v>43</v>
      </c>
      <c r="G9347" s="24">
        <v>1875.0</v>
      </c>
      <c r="H9347" s="24">
        <v>4288.0</v>
      </c>
      <c r="I9347" s="24">
        <v>3.0</v>
      </c>
      <c r="J9347" s="24">
        <v>0.0</v>
      </c>
      <c r="K9347" s="23" t="s">
        <v>34</v>
      </c>
      <c r="L9347" s="25">
        <v>41244.38667824074</v>
      </c>
      <c r="M9347" s="28"/>
      <c r="N9347" s="28"/>
      <c r="O9347" s="22" t="str">
        <f>HYPERLINK("https://pbs.twimg.com/profile_images/461229918366339072/pa6jfXz9_normal.jpeg","View")</f>
        <v>View</v>
      </c>
      <c r="P9347" s="27"/>
    </row>
    <row r="9348">
      <c r="A9348" s="14">
        <v>43032.00319444445</v>
      </c>
      <c r="B9348" s="20" t="str">
        <f>HYPERLINK("https://twitter.com/news24tvchannel","@news24tvchannel")</f>
        <v>@news24tvchannel</v>
      </c>
      <c r="C9348" s="21" t="s">
        <v>20471</v>
      </c>
      <c r="D9348" s="21" t="s">
        <v>20472</v>
      </c>
      <c r="E9348" s="22" t="str">
        <f>HYPERLINK("https://twitter.com/news24tvchannel/status/922720462844592128","922720462844592128")</f>
        <v>922720462844592128</v>
      </c>
      <c r="F9348" s="23" t="s">
        <v>20473</v>
      </c>
      <c r="G9348" s="24">
        <v>82545.0</v>
      </c>
      <c r="H9348" s="24">
        <v>269.0</v>
      </c>
      <c r="I9348" s="24">
        <v>0.0</v>
      </c>
      <c r="J9348" s="24">
        <v>4.0</v>
      </c>
      <c r="K9348" s="23" t="s">
        <v>34</v>
      </c>
      <c r="L9348" s="25">
        <v>39924.978738425925</v>
      </c>
      <c r="M9348" s="26" t="s">
        <v>3771</v>
      </c>
      <c r="N9348" s="26" t="s">
        <v>20474</v>
      </c>
      <c r="O9348" s="22" t="str">
        <f>HYPERLINK("https://pbs.twimg.com/profile_images/468672842041536512/Jz4k7USf_normal.jpeg","View")</f>
        <v>View</v>
      </c>
      <c r="P9348" s="27"/>
    </row>
    <row r="9349">
      <c r="A9349" s="14">
        <v>43032.00344907407</v>
      </c>
      <c r="B9349" s="20" t="str">
        <f>HYPERLINK("https://twitter.com/hannahdormido","@hannahdormido")</f>
        <v>@hannahdormido</v>
      </c>
      <c r="C9349" s="21" t="s">
        <v>20475</v>
      </c>
      <c r="D9349" s="21" t="s">
        <v>20410</v>
      </c>
      <c r="E9349" s="22" t="str">
        <f>HYPERLINK("https://twitter.com/hannahdormido/status/922720556977393664","922720556977393664")</f>
        <v>922720556977393664</v>
      </c>
      <c r="F9349" s="23" t="s">
        <v>39</v>
      </c>
      <c r="G9349" s="24">
        <v>1095.0</v>
      </c>
      <c r="H9349" s="24">
        <v>1778.0</v>
      </c>
      <c r="I9349" s="24">
        <v>3.0</v>
      </c>
      <c r="J9349" s="24">
        <v>0.0</v>
      </c>
      <c r="K9349" s="23" t="s">
        <v>34</v>
      </c>
      <c r="L9349" s="25">
        <v>40007.918125</v>
      </c>
      <c r="M9349" s="26" t="s">
        <v>2185</v>
      </c>
      <c r="N9349" s="26" t="s">
        <v>20476</v>
      </c>
      <c r="O9349" s="22" t="str">
        <f>HYPERLINK("https://pbs.twimg.com/profile_images/909058225495875585/gP6eu47p_normal.jpg","View")</f>
        <v>View</v>
      </c>
      <c r="P9349" s="27"/>
    </row>
    <row r="9350">
      <c r="A9350" s="14">
        <v>43032.00349537037</v>
      </c>
      <c r="B9350" s="20" t="str">
        <f>HYPERLINK("https://twitter.com/N_BreakingNEWS","@N_BreakingNEWS")</f>
        <v>@N_BreakingNEWS</v>
      </c>
      <c r="C9350" s="21" t="s">
        <v>5830</v>
      </c>
      <c r="D9350" s="21" t="s">
        <v>20477</v>
      </c>
      <c r="E9350" s="22" t="str">
        <f>HYPERLINK("https://twitter.com/N_BreakingNEWS/status/922720573985345536","922720573985345536")</f>
        <v>922720573985345536</v>
      </c>
      <c r="F9350" s="23" t="s">
        <v>20478</v>
      </c>
      <c r="G9350" s="24">
        <v>11388.0</v>
      </c>
      <c r="H9350" s="24">
        <v>5494.0</v>
      </c>
      <c r="I9350" s="24">
        <v>0.0</v>
      </c>
      <c r="J9350" s="24">
        <v>0.0</v>
      </c>
      <c r="K9350" s="23" t="s">
        <v>34</v>
      </c>
      <c r="L9350" s="25">
        <v>41912.40550925926</v>
      </c>
      <c r="M9350" s="26" t="s">
        <v>20479</v>
      </c>
      <c r="N9350" s="26" t="s">
        <v>20480</v>
      </c>
      <c r="O9350" s="22" t="str">
        <f>HYPERLINK("https://pbs.twimg.com/profile_images/516992439299473408/-mzMqaet_normal.jpeg","View")</f>
        <v>View</v>
      </c>
      <c r="P9350" s="27"/>
    </row>
    <row r="9351">
      <c r="A9351" s="14">
        <v>43032.00387731481</v>
      </c>
      <c r="B9351" s="20" t="str">
        <f>HYPERLINK("https://twitter.com/davidelliglobal","@davidelliglobal")</f>
        <v>@davidelliglobal</v>
      </c>
      <c r="C9351" s="21" t="s">
        <v>20481</v>
      </c>
      <c r="D9351" s="21" t="s">
        <v>6403</v>
      </c>
      <c r="E9351" s="22" t="str">
        <f>HYPERLINK("https://twitter.com/davidelliglobal/status/922720712195956737","922720712195956737")</f>
        <v>922720712195956737</v>
      </c>
      <c r="F9351" s="23" t="s">
        <v>39</v>
      </c>
      <c r="G9351" s="24">
        <v>7.0</v>
      </c>
      <c r="H9351" s="24">
        <v>100.0</v>
      </c>
      <c r="I9351" s="24">
        <v>97.0</v>
      </c>
      <c r="J9351" s="24">
        <v>0.0</v>
      </c>
      <c r="K9351" s="23" t="s">
        <v>34</v>
      </c>
      <c r="L9351" s="25">
        <v>42351.26049768519</v>
      </c>
      <c r="M9351" s="28"/>
      <c r="N9351" s="28"/>
      <c r="O9351" s="22" t="str">
        <f>HYPERLINK("https://abs.twimg.com/sticky/default_profile_images/default_profile_normal.png","View")</f>
        <v>View</v>
      </c>
      <c r="P9351" s="27"/>
    </row>
    <row r="9352">
      <c r="A9352" s="14">
        <v>43032.00407407407</v>
      </c>
      <c r="B9352" s="20" t="str">
        <f>HYPERLINK("https://twitter.com/anilahuja12345","@anilahuja12345")</f>
        <v>@anilahuja12345</v>
      </c>
      <c r="C9352" s="21" t="s">
        <v>20482</v>
      </c>
      <c r="D9352" s="21" t="s">
        <v>20470</v>
      </c>
      <c r="E9352" s="22" t="str">
        <f>HYPERLINK("https://twitter.com/anilahuja12345/status/922720784400953345","922720784400953345")</f>
        <v>922720784400953345</v>
      </c>
      <c r="F9352" s="23" t="s">
        <v>33</v>
      </c>
      <c r="G9352" s="24">
        <v>285.0</v>
      </c>
      <c r="H9352" s="24">
        <v>465.0</v>
      </c>
      <c r="I9352" s="24">
        <v>3.0</v>
      </c>
      <c r="J9352" s="24">
        <v>0.0</v>
      </c>
      <c r="K9352" s="23" t="s">
        <v>34</v>
      </c>
      <c r="L9352" s="25">
        <v>42441.30615740741</v>
      </c>
      <c r="M9352" s="28"/>
      <c r="N9352" s="26" t="s">
        <v>20483</v>
      </c>
      <c r="O9352" s="22" t="str">
        <f>HYPERLINK("https://pbs.twimg.com/profile_images/719945381258264577/GPm_FcJd_normal.jpg","View")</f>
        <v>View</v>
      </c>
      <c r="P9352" s="27"/>
    </row>
    <row r="9353">
      <c r="A9353" s="14">
        <v>43032.00434027778</v>
      </c>
      <c r="B9353" s="20" t="str">
        <f>HYPERLINK("https://twitter.com/ForexUpSignals","@ForexUpSignals")</f>
        <v>@ForexUpSignals</v>
      </c>
      <c r="C9353" s="21" t="s">
        <v>20484</v>
      </c>
      <c r="D9353" s="21" t="s">
        <v>20485</v>
      </c>
      <c r="E9353" s="22" t="str">
        <f>HYPERLINK("https://twitter.com/ForexUpSignals/status/922720878147842048","922720878147842048")</f>
        <v>922720878147842048</v>
      </c>
      <c r="F9353" s="23" t="s">
        <v>187</v>
      </c>
      <c r="G9353" s="24">
        <v>178.0</v>
      </c>
      <c r="H9353" s="24">
        <v>161.0</v>
      </c>
      <c r="I9353" s="24">
        <v>0.0</v>
      </c>
      <c r="J9353" s="24">
        <v>0.0</v>
      </c>
      <c r="K9353" s="23" t="s">
        <v>34</v>
      </c>
      <c r="L9353" s="25">
        <v>41803.01390046296</v>
      </c>
      <c r="M9353" s="28"/>
      <c r="N9353" s="28"/>
      <c r="O9353" s="22" t="str">
        <f>HYPERLINK("https://pbs.twimg.com/profile_images/787625228503552000/-Q2SY-dU_normal.jpg","View")</f>
        <v>View</v>
      </c>
      <c r="P9353" s="27"/>
    </row>
    <row r="9354">
      <c r="A9354" s="14">
        <v>43032.0053587963</v>
      </c>
      <c r="B9354" s="20" t="str">
        <f>HYPERLINK("https://twitter.com/jbtubid","@jbtubid")</f>
        <v>@jbtubid</v>
      </c>
      <c r="C9354" s="21" t="s">
        <v>20486</v>
      </c>
      <c r="D9354" s="21" t="s">
        <v>42</v>
      </c>
      <c r="E9354" s="22" t="str">
        <f>HYPERLINK("https://twitter.com/jbtubid/status/922721247221334016","922721247221334016")</f>
        <v>922721247221334016</v>
      </c>
      <c r="F9354" s="23" t="s">
        <v>39</v>
      </c>
      <c r="G9354" s="24">
        <v>1390.0</v>
      </c>
      <c r="H9354" s="24">
        <v>284.0</v>
      </c>
      <c r="I9354" s="24">
        <v>8501.0</v>
      </c>
      <c r="J9354" s="24">
        <v>0.0</v>
      </c>
      <c r="K9354" s="23" t="s">
        <v>34</v>
      </c>
      <c r="L9354" s="25">
        <v>42081.538888888885</v>
      </c>
      <c r="M9354" s="26" t="s">
        <v>20487</v>
      </c>
      <c r="N9354" s="26" t="s">
        <v>20488</v>
      </c>
      <c r="O9354" s="22" t="str">
        <f>HYPERLINK("https://pbs.twimg.com/profile_images/834252470394175488/WH8mUG7I_normal.jpg","View")</f>
        <v>View</v>
      </c>
      <c r="P9354" s="27"/>
    </row>
    <row r="9355">
      <c r="A9355" s="14">
        <v>43032.00545138889</v>
      </c>
      <c r="B9355" s="20" t="str">
        <f>HYPERLINK("https://twitter.com/MasonIreton1","@MasonIreton1")</f>
        <v>@MasonIreton1</v>
      </c>
      <c r="C9355" s="21" t="s">
        <v>20489</v>
      </c>
      <c r="D9355" s="21" t="s">
        <v>10904</v>
      </c>
      <c r="E9355" s="22" t="str">
        <f>HYPERLINK("https://twitter.com/MasonIreton1/status/922721282696851456","922721282696851456")</f>
        <v>922721282696851456</v>
      </c>
      <c r="F9355" s="23" t="s">
        <v>43</v>
      </c>
      <c r="G9355" s="24">
        <v>419.0</v>
      </c>
      <c r="H9355" s="24">
        <v>752.0</v>
      </c>
      <c r="I9355" s="24">
        <v>35.0</v>
      </c>
      <c r="J9355" s="24">
        <v>0.0</v>
      </c>
      <c r="K9355" s="23" t="s">
        <v>34</v>
      </c>
      <c r="L9355" s="25">
        <v>42495.7190162037</v>
      </c>
      <c r="M9355" s="28"/>
      <c r="N9355" s="28"/>
      <c r="O9355" s="22" t="str">
        <f>HYPERLINK("https://pbs.twimg.com/profile_images/915323736429121537/wNzqJo2t_normal.jpg","View")</f>
        <v>View</v>
      </c>
      <c r="P9355" s="27"/>
    </row>
    <row r="9356">
      <c r="A9356" s="14">
        <v>43032.005949074075</v>
      </c>
      <c r="B9356" s="20" t="str">
        <f>HYPERLINK("https://twitter.com/NTKRNow","@NTKRNow")</f>
        <v>@NTKRNow</v>
      </c>
      <c r="C9356" s="21" t="s">
        <v>14875</v>
      </c>
      <c r="D9356" s="21" t="s">
        <v>20490</v>
      </c>
      <c r="E9356" s="22" t="str">
        <f>HYPERLINK("https://twitter.com/NTKRNow/status/922721462884200448","922721462884200448")</f>
        <v>922721462884200448</v>
      </c>
      <c r="F9356" s="23" t="s">
        <v>187</v>
      </c>
      <c r="G9356" s="24">
        <v>605.0</v>
      </c>
      <c r="H9356" s="24">
        <v>4.0</v>
      </c>
      <c r="I9356" s="24">
        <v>0.0</v>
      </c>
      <c r="J9356" s="24">
        <v>0.0</v>
      </c>
      <c r="K9356" s="23" t="s">
        <v>34</v>
      </c>
      <c r="L9356" s="25">
        <v>42402.810625</v>
      </c>
      <c r="M9356" s="28"/>
      <c r="N9356" s="28"/>
      <c r="O9356" s="22" t="str">
        <f>HYPERLINK("https://abs.twimg.com/sticky/default_profile_images/default_profile_normal.png","View")</f>
        <v>View</v>
      </c>
      <c r="P9356" s="27"/>
    </row>
    <row r="9357">
      <c r="A9357" s="14">
        <v>43032.006261574075</v>
      </c>
      <c r="B9357" s="20" t="str">
        <f>HYPERLINK("https://twitter.com/htambe","@htambe")</f>
        <v>@htambe</v>
      </c>
      <c r="C9357" s="21" t="s">
        <v>20491</v>
      </c>
      <c r="D9357" s="21" t="s">
        <v>163</v>
      </c>
      <c r="E9357" s="22" t="str">
        <f>HYPERLINK("https://twitter.com/htambe/status/922721573638828032","922721573638828032")</f>
        <v>922721573638828032</v>
      </c>
      <c r="F9357" s="23" t="s">
        <v>39</v>
      </c>
      <c r="G9357" s="24">
        <v>144.0</v>
      </c>
      <c r="H9357" s="24">
        <v>121.0</v>
      </c>
      <c r="I9357" s="24">
        <v>1005.0</v>
      </c>
      <c r="J9357" s="24">
        <v>0.0</v>
      </c>
      <c r="K9357" s="23" t="s">
        <v>34</v>
      </c>
      <c r="L9357" s="25">
        <v>40433.02722222223</v>
      </c>
      <c r="M9357" s="28"/>
      <c r="N9357" s="28"/>
      <c r="O9357" s="22" t="str">
        <f>HYPERLINK("https://pbs.twimg.com/profile_images/694528787946479617/vJD84bMJ_normal.jpg","View")</f>
        <v>View</v>
      </c>
      <c r="P9357" s="27"/>
    </row>
    <row r="9358">
      <c r="A9358" s="14">
        <v>43032.00658564815</v>
      </c>
      <c r="B9358" s="20" t="str">
        <f>HYPERLINK("https://twitter.com/RodgerE1","@RodgerE1")</f>
        <v>@RodgerE1</v>
      </c>
      <c r="C9358" s="21" t="s">
        <v>1910</v>
      </c>
      <c r="D9358" s="21" t="s">
        <v>16784</v>
      </c>
      <c r="E9358" s="22" t="str">
        <f>HYPERLINK("https://twitter.com/RodgerE1/status/922721694611058692","922721694611058692")</f>
        <v>922721694611058692</v>
      </c>
      <c r="F9358" s="23" t="s">
        <v>1911</v>
      </c>
      <c r="G9358" s="24">
        <v>243.0</v>
      </c>
      <c r="H9358" s="24">
        <v>1046.0</v>
      </c>
      <c r="I9358" s="24">
        <v>17.0</v>
      </c>
      <c r="J9358" s="24">
        <v>0.0</v>
      </c>
      <c r="K9358" s="23" t="s">
        <v>34</v>
      </c>
      <c r="L9358" s="25">
        <v>39580.93765046296</v>
      </c>
      <c r="M9358" s="26" t="s">
        <v>1912</v>
      </c>
      <c r="N9358" s="26" t="s">
        <v>1913</v>
      </c>
      <c r="O9358" s="22" t="str">
        <f>HYPERLINK("https://pbs.twimg.com/profile_images/454709752610553858/wiomUDMa_normal.jpeg","View")</f>
        <v>View</v>
      </c>
      <c r="P9358" s="27"/>
    </row>
    <row r="9359">
      <c r="A9359" s="14">
        <v>43032.007002314815</v>
      </c>
      <c r="B9359" s="20" t="str">
        <f>HYPERLINK("https://twitter.com/FinanzLinksWELT","@FinanzLinksWELT")</f>
        <v>@FinanzLinksWELT</v>
      </c>
      <c r="C9359" s="21" t="s">
        <v>9929</v>
      </c>
      <c r="D9359" s="21" t="s">
        <v>20492</v>
      </c>
      <c r="E9359" s="22" t="str">
        <f>HYPERLINK("https://twitter.com/FinanzLinksWELT/status/922721842913087488","922721842913087488")</f>
        <v>922721842913087488</v>
      </c>
      <c r="F9359" s="30" t="s">
        <v>411</v>
      </c>
      <c r="G9359" s="24">
        <v>1110.0</v>
      </c>
      <c r="H9359" s="24">
        <v>107.0</v>
      </c>
      <c r="I9359" s="24">
        <v>0.0</v>
      </c>
      <c r="J9359" s="24">
        <v>0.0</v>
      </c>
      <c r="K9359" s="23" t="s">
        <v>34</v>
      </c>
      <c r="L9359" s="25">
        <v>41002.07945601852</v>
      </c>
      <c r="M9359" s="28"/>
      <c r="N9359" s="28"/>
      <c r="O9359" s="22" t="str">
        <f>HYPERLINK("https://pbs.twimg.com/profile_images/2663090680/84622704a435b154762becdd7f32396f_normal.png","View")</f>
        <v>View</v>
      </c>
      <c r="P9359" s="27"/>
    </row>
    <row r="9360">
      <c r="A9360" s="14">
        <v>43032.007638888885</v>
      </c>
      <c r="B9360" s="20" t="str">
        <f>HYPERLINK("https://twitter.com/Nao10sai","@Nao10sai")</f>
        <v>@Nao10sai</v>
      </c>
      <c r="C9360" s="21" t="s">
        <v>20493</v>
      </c>
      <c r="D9360" s="21" t="s">
        <v>20494</v>
      </c>
      <c r="E9360" s="22" t="str">
        <f>HYPERLINK("https://twitter.com/Nao10sai/status/922722072484286464","922722072484286464")</f>
        <v>922722072484286464</v>
      </c>
      <c r="F9360" s="23" t="s">
        <v>55</v>
      </c>
      <c r="G9360" s="24">
        <v>126.0</v>
      </c>
      <c r="H9360" s="24">
        <v>171.0</v>
      </c>
      <c r="I9360" s="24">
        <v>0.0</v>
      </c>
      <c r="J9360" s="24">
        <v>0.0</v>
      </c>
      <c r="K9360" s="23" t="s">
        <v>34</v>
      </c>
      <c r="L9360" s="25">
        <v>42880.06386574074</v>
      </c>
      <c r="M9360" s="26" t="s">
        <v>20495</v>
      </c>
      <c r="N9360" s="26" t="s">
        <v>20496</v>
      </c>
      <c r="O9360" s="22" t="str">
        <f>HYPERLINK("https://pbs.twimg.com/profile_images/910592492189478913/euQoQICo_normal.jpg","View")</f>
        <v>View</v>
      </c>
      <c r="P9360" s="27"/>
    </row>
    <row r="9361">
      <c r="A9361" s="14">
        <v>43032.00797453704</v>
      </c>
      <c r="B9361" s="20" t="str">
        <f>HYPERLINK("https://twitter.com/crislomb","@crislomb")</f>
        <v>@crislomb</v>
      </c>
      <c r="C9361" s="21" t="s">
        <v>20497</v>
      </c>
      <c r="D9361" s="21" t="s">
        <v>760</v>
      </c>
      <c r="E9361" s="22" t="str">
        <f>HYPERLINK("https://twitter.com/crislomb/status/922722197239713792","922722197239713792")</f>
        <v>922722197239713792</v>
      </c>
      <c r="F9361" s="23" t="s">
        <v>230</v>
      </c>
      <c r="G9361" s="24">
        <v>3721.0</v>
      </c>
      <c r="H9361" s="24">
        <v>4290.0</v>
      </c>
      <c r="I9361" s="24">
        <v>62.0</v>
      </c>
      <c r="J9361" s="24">
        <v>0.0</v>
      </c>
      <c r="K9361" s="23" t="s">
        <v>34</v>
      </c>
      <c r="L9361" s="25">
        <v>40643.67943287037</v>
      </c>
      <c r="M9361" s="26" t="s">
        <v>20498</v>
      </c>
      <c r="N9361" s="26" t="s">
        <v>20499</v>
      </c>
      <c r="O9361" s="22" t="str">
        <f>HYPERLINK("https://pbs.twimg.com/profile_images/661670085459886081/ntDsP93E_normal.jpg","View")</f>
        <v>View</v>
      </c>
      <c r="P9361" s="27"/>
    </row>
    <row r="9362">
      <c r="A9362" s="14">
        <v>43032.00809027778</v>
      </c>
      <c r="B9362" s="20" t="str">
        <f>HYPERLINK("https://twitter.com/JCFisherandAssc","@JCFisherandAssc")</f>
        <v>@JCFisherandAssc</v>
      </c>
      <c r="C9362" s="21" t="s">
        <v>5524</v>
      </c>
      <c r="D9362" s="21" t="s">
        <v>20500</v>
      </c>
      <c r="E9362" s="22" t="str">
        <f>HYPERLINK("https://twitter.com/JCFisherandAssc/status/922722238071230465","922722238071230465")</f>
        <v>922722238071230465</v>
      </c>
      <c r="F9362" s="23" t="s">
        <v>187</v>
      </c>
      <c r="G9362" s="24">
        <v>2130.0</v>
      </c>
      <c r="H9362" s="24">
        <v>2300.0</v>
      </c>
      <c r="I9362" s="24">
        <v>0.0</v>
      </c>
      <c r="J9362" s="24">
        <v>0.0</v>
      </c>
      <c r="K9362" s="23" t="s">
        <v>34</v>
      </c>
      <c r="L9362" s="25">
        <v>42264.713101851856</v>
      </c>
      <c r="M9362" s="26" t="s">
        <v>5526</v>
      </c>
      <c r="N9362" s="26" t="s">
        <v>5527</v>
      </c>
      <c r="O9362" s="22" t="str">
        <f>HYPERLINK("https://pbs.twimg.com/profile_images/644665639030947844/WjizHkaW_normal.jpg","View")</f>
        <v>View</v>
      </c>
      <c r="P9362" s="27"/>
    </row>
    <row r="9363">
      <c r="A9363" s="14">
        <v>43032.00834490741</v>
      </c>
      <c r="B9363" s="20" t="str">
        <f>HYPERLINK("https://twitter.com/hamassenger","@hamassenger")</f>
        <v>@hamassenger</v>
      </c>
      <c r="C9363" s="29" t="s">
        <v>13344</v>
      </c>
      <c r="D9363" s="21" t="s">
        <v>13345</v>
      </c>
      <c r="E9363" s="22" t="str">
        <f>HYPERLINK("https://twitter.com/hamassenger/status/922722328001286144","922722328001286144")</f>
        <v>922722328001286144</v>
      </c>
      <c r="F9363" s="30" t="s">
        <v>13344</v>
      </c>
      <c r="G9363" s="24">
        <v>1430.0</v>
      </c>
      <c r="H9363" s="24">
        <v>2019.0</v>
      </c>
      <c r="I9363" s="24">
        <v>0.0</v>
      </c>
      <c r="J9363" s="24">
        <v>0.0</v>
      </c>
      <c r="K9363" s="23" t="s">
        <v>34</v>
      </c>
      <c r="L9363" s="25">
        <v>39872.04739583333</v>
      </c>
      <c r="M9363" s="26" t="s">
        <v>1840</v>
      </c>
      <c r="N9363" s="26" t="s">
        <v>13346</v>
      </c>
      <c r="O9363" s="22" t="str">
        <f>HYPERLINK("https://pbs.twimg.com/profile_images/1057889562/green_5459_green_2196_Picture_3_normal.jpg","View")</f>
        <v>View</v>
      </c>
      <c r="P9363" s="27"/>
    </row>
    <row r="9364">
      <c r="A9364" s="14">
        <v>43032.00849537037</v>
      </c>
      <c r="B9364" s="20" t="str">
        <f>HYPERLINK("https://twitter.com/coomarashish","@coomarashish")</f>
        <v>@coomarashish</v>
      </c>
      <c r="C9364" s="21" t="s">
        <v>20501</v>
      </c>
      <c r="D9364" s="21" t="s">
        <v>42</v>
      </c>
      <c r="E9364" s="22" t="str">
        <f>HYPERLINK("https://twitter.com/coomarashish/status/922722385698140160","922722385698140160")</f>
        <v>922722385698140160</v>
      </c>
      <c r="F9364" s="23" t="s">
        <v>86</v>
      </c>
      <c r="G9364" s="24">
        <v>5861.0</v>
      </c>
      <c r="H9364" s="24">
        <v>2766.0</v>
      </c>
      <c r="I9364" s="24">
        <v>8501.0</v>
      </c>
      <c r="J9364" s="24">
        <v>0.0</v>
      </c>
      <c r="K9364" s="23" t="s">
        <v>34</v>
      </c>
      <c r="L9364" s="25">
        <v>41784.633726851855</v>
      </c>
      <c r="M9364" s="26" t="s">
        <v>20502</v>
      </c>
      <c r="N9364" s="26" t="s">
        <v>20503</v>
      </c>
      <c r="O9364" s="22" t="str">
        <f>HYPERLINK("https://pbs.twimg.com/profile_images/795998025348947969/pP03_Qxk_normal.jpg","View")</f>
        <v>View</v>
      </c>
      <c r="P9364" s="27"/>
    </row>
    <row r="9365">
      <c r="A9365" s="14">
        <v>43032.00886574074</v>
      </c>
      <c r="B9365" s="20" t="str">
        <f>HYPERLINK("https://twitter.com/DharmendraBihar","@DharmendraBihar")</f>
        <v>@DharmendraBihar</v>
      </c>
      <c r="C9365" s="21" t="s">
        <v>20504</v>
      </c>
      <c r="D9365" s="21" t="s">
        <v>42</v>
      </c>
      <c r="E9365" s="22" t="str">
        <f>HYPERLINK("https://twitter.com/DharmendraBihar/status/922722516908482560","922722516908482560")</f>
        <v>922722516908482560</v>
      </c>
      <c r="F9365" s="23" t="s">
        <v>55</v>
      </c>
      <c r="G9365" s="24">
        <v>3325.0</v>
      </c>
      <c r="H9365" s="24">
        <v>2979.0</v>
      </c>
      <c r="I9365" s="24">
        <v>8501.0</v>
      </c>
      <c r="J9365" s="24">
        <v>0.0</v>
      </c>
      <c r="K9365" s="23" t="s">
        <v>34</v>
      </c>
      <c r="L9365" s="25">
        <v>41529.80431712963</v>
      </c>
      <c r="M9365" s="26" t="s">
        <v>96</v>
      </c>
      <c r="N9365" s="26" t="s">
        <v>20505</v>
      </c>
      <c r="O9365" s="22" t="str">
        <f>HYPERLINK("https://pbs.twimg.com/profile_images/378800000756930564/c6846c221e081c5f25f824d83c1f3193_normal.jpeg","View")</f>
        <v>View</v>
      </c>
      <c r="P9365" s="27"/>
    </row>
    <row r="9366">
      <c r="A9366" s="14">
        <v>43032.009259259255</v>
      </c>
      <c r="B9366" s="20" t="str">
        <f>HYPERLINK("https://twitter.com/Tejasvi_rana","@Tejasvi_rana")</f>
        <v>@Tejasvi_rana</v>
      </c>
      <c r="C9366" s="21" t="s">
        <v>20506</v>
      </c>
      <c r="D9366" s="21" t="s">
        <v>42</v>
      </c>
      <c r="E9366" s="22" t="str">
        <f>HYPERLINK("https://twitter.com/Tejasvi_rana/status/922722661947539458","922722661947539458")</f>
        <v>922722661947539458</v>
      </c>
      <c r="F9366" s="23" t="s">
        <v>33</v>
      </c>
      <c r="G9366" s="24">
        <v>85.0</v>
      </c>
      <c r="H9366" s="24">
        <v>81.0</v>
      </c>
      <c r="I9366" s="24">
        <v>8501.0</v>
      </c>
      <c r="J9366" s="24">
        <v>0.0</v>
      </c>
      <c r="K9366" s="23" t="s">
        <v>34</v>
      </c>
      <c r="L9366" s="25">
        <v>40643.49265046296</v>
      </c>
      <c r="M9366" s="26" t="s">
        <v>96</v>
      </c>
      <c r="N9366" s="26" t="s">
        <v>20507</v>
      </c>
      <c r="O9366" s="22" t="str">
        <f>HYPERLINK("https://pbs.twimg.com/profile_images/2759651691/db1d8aefb98515ab20614491d503667d_normal.jpeg","View")</f>
        <v>View</v>
      </c>
      <c r="P9366" s="27"/>
    </row>
    <row r="9367">
      <c r="A9367" s="14">
        <v>43032.00928240741</v>
      </c>
      <c r="B9367" s="20" t="str">
        <f>HYPERLINK("https://twitter.com/ashishjksethi","@ashishjksethi")</f>
        <v>@ashishjksethi</v>
      </c>
      <c r="C9367" s="21" t="s">
        <v>20508</v>
      </c>
      <c r="D9367" s="21" t="s">
        <v>42</v>
      </c>
      <c r="E9367" s="22" t="str">
        <f>HYPERLINK("https://twitter.com/ashishjksethi/status/922722669803454464","922722669803454464")</f>
        <v>922722669803454464</v>
      </c>
      <c r="F9367" s="23" t="s">
        <v>39</v>
      </c>
      <c r="G9367" s="24">
        <v>115.0</v>
      </c>
      <c r="H9367" s="24">
        <v>178.0</v>
      </c>
      <c r="I9367" s="24">
        <v>8501.0</v>
      </c>
      <c r="J9367" s="24">
        <v>0.0</v>
      </c>
      <c r="K9367" s="23" t="s">
        <v>34</v>
      </c>
      <c r="L9367" s="25">
        <v>42410.9109837963</v>
      </c>
      <c r="M9367" s="28"/>
      <c r="N9367" s="28"/>
      <c r="O9367" s="22" t="str">
        <f>HYPERLINK("https://pbs.twimg.com/profile_images/697660804552757248/fNc8qtIE_normal.jpg","View")</f>
        <v>View</v>
      </c>
      <c r="P9367" s="27"/>
    </row>
    <row r="9368">
      <c r="A9368" s="14">
        <v>43032.00934027778</v>
      </c>
      <c r="B9368" s="20" t="str">
        <f>HYPERLINK("https://twitter.com/AllNewsNetWorld","@AllNewsNetWorld")</f>
        <v>@AllNewsNetWorld</v>
      </c>
      <c r="C9368" s="21" t="s">
        <v>5930</v>
      </c>
      <c r="D9368" s="21" t="s">
        <v>19779</v>
      </c>
      <c r="E9368" s="22" t="str">
        <f>HYPERLINK("https://twitter.com/AllNewsNetWorld/status/922722690703773696","922722690703773696")</f>
        <v>922722690703773696</v>
      </c>
      <c r="F9368" s="23" t="s">
        <v>187</v>
      </c>
      <c r="G9368" s="24">
        <v>33.0</v>
      </c>
      <c r="H9368" s="24">
        <v>19.0</v>
      </c>
      <c r="I9368" s="24">
        <v>0.0</v>
      </c>
      <c r="J9368" s="24">
        <v>0.0</v>
      </c>
      <c r="K9368" s="23" t="s">
        <v>34</v>
      </c>
      <c r="L9368" s="25">
        <v>41463.496145833335</v>
      </c>
      <c r="M9368" s="28"/>
      <c r="N9368" s="28"/>
      <c r="O9368" s="22" t="str">
        <f>HYPERLINK("https://abs.twimg.com/sticky/default_profile_images/default_profile_normal.png","View")</f>
        <v>View</v>
      </c>
      <c r="P9368" s="27"/>
    </row>
    <row r="9369">
      <c r="A9369" s="14">
        <v>43032.00980324074</v>
      </c>
      <c r="B9369" s="20" t="str">
        <f>HYPERLINK("https://twitter.com/AliwaOkello","@AliwaOkello")</f>
        <v>@AliwaOkello</v>
      </c>
      <c r="C9369" s="21" t="s">
        <v>956</v>
      </c>
      <c r="D9369" s="21" t="s">
        <v>20509</v>
      </c>
      <c r="E9369" s="22" t="str">
        <f>HYPERLINK("https://twitter.com/AliwaOkello/status/922722857683177473","922722857683177473")</f>
        <v>922722857683177473</v>
      </c>
      <c r="F9369" s="30" t="s">
        <v>191</v>
      </c>
      <c r="G9369" s="24">
        <v>197.0</v>
      </c>
      <c r="H9369" s="24">
        <v>30.0</v>
      </c>
      <c r="I9369" s="24">
        <v>0.0</v>
      </c>
      <c r="J9369" s="24">
        <v>0.0</v>
      </c>
      <c r="K9369" s="23" t="s">
        <v>34</v>
      </c>
      <c r="L9369" s="25">
        <v>41411.1703587963</v>
      </c>
      <c r="M9369" s="26" t="s">
        <v>114</v>
      </c>
      <c r="N9369" s="26" t="s">
        <v>958</v>
      </c>
      <c r="O9369" s="22" t="str">
        <f>HYPERLINK("https://pbs.twimg.com/profile_images/796582872782094337/y1nb7iEB_normal.jpg","View")</f>
        <v>View</v>
      </c>
      <c r="P9369" s="27"/>
    </row>
    <row r="9370">
      <c r="A9370" s="14">
        <v>43032.00994212963</v>
      </c>
      <c r="B9370" s="20" t="str">
        <f>HYPERLINK("https://twitter.com/AntBarton89","@AntBarton89")</f>
        <v>@AntBarton89</v>
      </c>
      <c r="C9370" s="21" t="s">
        <v>20403</v>
      </c>
      <c r="D9370" s="21" t="s">
        <v>20510</v>
      </c>
      <c r="E9370" s="22" t="str">
        <f>HYPERLINK("https://twitter.com/AntBarton89/status/922722910879576064","922722910879576064")</f>
        <v>922722910879576064</v>
      </c>
      <c r="F9370" s="23" t="s">
        <v>39</v>
      </c>
      <c r="G9370" s="24">
        <v>3655.0</v>
      </c>
      <c r="H9370" s="24">
        <v>388.0</v>
      </c>
      <c r="I9370" s="24">
        <v>2.0</v>
      </c>
      <c r="J9370" s="24">
        <v>2.0</v>
      </c>
      <c r="K9370" s="23" t="s">
        <v>34</v>
      </c>
      <c r="L9370" s="25">
        <v>40770.384618055556</v>
      </c>
      <c r="M9370" s="26" t="s">
        <v>334</v>
      </c>
      <c r="N9370" s="26" t="s">
        <v>20404</v>
      </c>
      <c r="O9370" s="22" t="str">
        <f>HYPERLINK("https://pbs.twimg.com/profile_images/905861913069969409/_XgLeVqq_normal.jpg","View")</f>
        <v>View</v>
      </c>
      <c r="P9370" s="27"/>
    </row>
    <row r="9371">
      <c r="A9371" s="14">
        <v>43032.0099537037</v>
      </c>
      <c r="B9371" s="20" t="str">
        <f>HYPERLINK("https://twitter.com/Krishna62819627","@Krishna62819627")</f>
        <v>@Krishna62819627</v>
      </c>
      <c r="C9371" s="21" t="s">
        <v>20511</v>
      </c>
      <c r="D9371" s="21" t="s">
        <v>42</v>
      </c>
      <c r="E9371" s="22" t="str">
        <f>HYPERLINK("https://twitter.com/Krishna62819627/status/922722911919546368","922722911919546368")</f>
        <v>922722911919546368</v>
      </c>
      <c r="F9371" s="23" t="s">
        <v>33</v>
      </c>
      <c r="G9371" s="24">
        <v>388.0</v>
      </c>
      <c r="H9371" s="24">
        <v>207.0</v>
      </c>
      <c r="I9371" s="24">
        <v>8501.0</v>
      </c>
      <c r="J9371" s="24">
        <v>0.0</v>
      </c>
      <c r="K9371" s="23" t="s">
        <v>34</v>
      </c>
      <c r="L9371" s="25">
        <v>41727.20439814815</v>
      </c>
      <c r="M9371" s="26" t="s">
        <v>13704</v>
      </c>
      <c r="N9371" s="26" t="s">
        <v>20512</v>
      </c>
      <c r="O9371" s="22" t="str">
        <f>HYPERLINK("https://pbs.twimg.com/profile_images/922110901821435905/vqWOwcuH_normal.jpg","View")</f>
        <v>View</v>
      </c>
      <c r="P9371" s="27"/>
    </row>
    <row r="9372">
      <c r="A9372" s="14">
        <v>43032.01011574074</v>
      </c>
      <c r="B9372" s="20" t="str">
        <f>HYPERLINK("https://twitter.com/081nkobayashi","@081nkobayashi")</f>
        <v>@081nkobayashi</v>
      </c>
      <c r="C9372" s="21" t="s">
        <v>20513</v>
      </c>
      <c r="D9372" s="21" t="s">
        <v>42</v>
      </c>
      <c r="E9372" s="22" t="str">
        <f>HYPERLINK("https://twitter.com/081nkobayashi/status/922722973697691648","922722973697691648")</f>
        <v>922722973697691648</v>
      </c>
      <c r="F9372" s="23" t="s">
        <v>230</v>
      </c>
      <c r="G9372" s="24">
        <v>146.0</v>
      </c>
      <c r="H9372" s="24">
        <v>417.0</v>
      </c>
      <c r="I9372" s="24">
        <v>8501.0</v>
      </c>
      <c r="J9372" s="24">
        <v>0.0</v>
      </c>
      <c r="K9372" s="23" t="s">
        <v>34</v>
      </c>
      <c r="L9372" s="25">
        <v>40523.9278587963</v>
      </c>
      <c r="M9372" s="26" t="s">
        <v>20514</v>
      </c>
      <c r="N9372" s="26" t="s">
        <v>20515</v>
      </c>
      <c r="O9372" s="22" t="str">
        <f>HYPERLINK("https://pbs.twimg.com/profile_images/2634695884/a415ff2f78e45742e8b068e1ec7ffdc9_normal.png","View")</f>
        <v>View</v>
      </c>
      <c r="P9372" s="27"/>
    </row>
    <row r="9373">
      <c r="A9373" s="14">
        <v>43032.01050925926</v>
      </c>
      <c r="B9373" s="20" t="str">
        <f>HYPERLINK("https://twitter.com/Bastien_JackUK","@Bastien_JackUK")</f>
        <v>@Bastien_JackUK</v>
      </c>
      <c r="C9373" s="21" t="s">
        <v>20516</v>
      </c>
      <c r="D9373" s="21" t="s">
        <v>20517</v>
      </c>
      <c r="E9373" s="22" t="str">
        <f>HYPERLINK("https://twitter.com/Bastien_JackUK/status/922723112734556160","922723112734556160")</f>
        <v>922723112734556160</v>
      </c>
      <c r="F9373" s="23" t="s">
        <v>427</v>
      </c>
      <c r="G9373" s="24">
        <v>333.0</v>
      </c>
      <c r="H9373" s="24">
        <v>206.0</v>
      </c>
      <c r="I9373" s="24">
        <v>0.0</v>
      </c>
      <c r="J9373" s="24">
        <v>0.0</v>
      </c>
      <c r="K9373" s="23" t="s">
        <v>34</v>
      </c>
      <c r="L9373" s="25">
        <v>42689.507256944446</v>
      </c>
      <c r="M9373" s="26" t="s">
        <v>708</v>
      </c>
      <c r="N9373" s="26" t="s">
        <v>20518</v>
      </c>
      <c r="O9373" s="22" t="str">
        <f>HYPERLINK("https://pbs.twimg.com/profile_images/798934221238796288/13wbn1v8_normal.jpg","View")</f>
        <v>View</v>
      </c>
      <c r="P9373" s="27"/>
    </row>
    <row r="9374">
      <c r="A9374" s="14">
        <v>43032.0105787037</v>
      </c>
      <c r="B9374" s="20" t="str">
        <f>HYPERLINK("https://twitter.com/VasudevDevnani","@VasudevDevnani")</f>
        <v>@VasudevDevnani</v>
      </c>
      <c r="C9374" s="21" t="s">
        <v>20519</v>
      </c>
      <c r="D9374" s="21" t="s">
        <v>42</v>
      </c>
      <c r="E9374" s="22" t="str">
        <f>HYPERLINK("https://twitter.com/VasudevDevnani/status/922723138189762560","922723138189762560")</f>
        <v>922723138189762560</v>
      </c>
      <c r="F9374" s="23" t="s">
        <v>39</v>
      </c>
      <c r="G9374" s="24">
        <v>24331.0</v>
      </c>
      <c r="H9374" s="24">
        <v>857.0</v>
      </c>
      <c r="I9374" s="24">
        <v>8501.0</v>
      </c>
      <c r="J9374" s="24">
        <v>0.0</v>
      </c>
      <c r="K9374" s="23" t="s">
        <v>34</v>
      </c>
      <c r="L9374" s="25">
        <v>41290.33236111111</v>
      </c>
      <c r="M9374" s="26" t="s">
        <v>20520</v>
      </c>
      <c r="N9374" s="26" t="s">
        <v>20521</v>
      </c>
      <c r="O9374" s="22" t="str">
        <f>HYPERLINK("https://pbs.twimg.com/profile_images/897400613457154048/j8WJcHxe_normal.jpg","View")</f>
        <v>View</v>
      </c>
      <c r="P9374" s="27"/>
    </row>
    <row r="9375">
      <c r="A9375" s="14">
        <v>43032.01090277778</v>
      </c>
      <c r="B9375" s="20" t="str">
        <f>HYPERLINK("https://twitter.com/SagarPShende1","@SagarPShende1")</f>
        <v>@SagarPShende1</v>
      </c>
      <c r="C9375" s="21" t="s">
        <v>20522</v>
      </c>
      <c r="D9375" s="21" t="s">
        <v>42</v>
      </c>
      <c r="E9375" s="22" t="str">
        <f>HYPERLINK("https://twitter.com/SagarPShende1/status/922723256112619520","922723256112619520")</f>
        <v>922723256112619520</v>
      </c>
      <c r="F9375" s="23" t="s">
        <v>33</v>
      </c>
      <c r="G9375" s="24">
        <v>266.0</v>
      </c>
      <c r="H9375" s="24">
        <v>311.0</v>
      </c>
      <c r="I9375" s="24">
        <v>8501.0</v>
      </c>
      <c r="J9375" s="24">
        <v>0.0</v>
      </c>
      <c r="K9375" s="23" t="s">
        <v>34</v>
      </c>
      <c r="L9375" s="25">
        <v>42972.8965625</v>
      </c>
      <c r="M9375" s="26" t="s">
        <v>20523</v>
      </c>
      <c r="N9375" s="26" t="s">
        <v>20524</v>
      </c>
      <c r="O9375" s="22" t="str">
        <f>HYPERLINK("https://pbs.twimg.com/profile_images/910328555476738048/9G2foVBr_normal.jpg","View")</f>
        <v>View</v>
      </c>
      <c r="P9375" s="27"/>
    </row>
    <row r="9376">
      <c r="A9376" s="14">
        <v>43032.0109375</v>
      </c>
      <c r="B9376" s="20" t="str">
        <f>HYPERLINK("https://twitter.com/josekiragu","@josekiragu")</f>
        <v>@josekiragu</v>
      </c>
      <c r="C9376" s="21" t="s">
        <v>20525</v>
      </c>
      <c r="D9376" s="21" t="s">
        <v>32</v>
      </c>
      <c r="E9376" s="22" t="str">
        <f>HYPERLINK("https://twitter.com/josekiragu/status/922723270486581248","922723270486581248")</f>
        <v>922723270486581248</v>
      </c>
      <c r="F9376" s="23" t="s">
        <v>39</v>
      </c>
      <c r="G9376" s="24">
        <v>783.0</v>
      </c>
      <c r="H9376" s="24">
        <v>1343.0</v>
      </c>
      <c r="I9376" s="24">
        <v>471.0</v>
      </c>
      <c r="J9376" s="24">
        <v>0.0</v>
      </c>
      <c r="K9376" s="23" t="s">
        <v>34</v>
      </c>
      <c r="L9376" s="25">
        <v>40362.523252314815</v>
      </c>
      <c r="M9376" s="33" t="s">
        <v>5192</v>
      </c>
      <c r="N9376" s="26" t="s">
        <v>20526</v>
      </c>
      <c r="O9376" s="22" t="str">
        <f>HYPERLINK("https://pbs.twimg.com/profile_images/910606749324935171/5bDV22MJ_normal.jpg","View")</f>
        <v>View</v>
      </c>
      <c r="P9376" s="27"/>
    </row>
    <row r="9377">
      <c r="A9377" s="14">
        <v>43032.010972222226</v>
      </c>
      <c r="B9377" s="20" t="str">
        <f>HYPERLINK("https://twitter.com/marvellous997","@marvellous997")</f>
        <v>@marvellous997</v>
      </c>
      <c r="C9377" s="21" t="s">
        <v>3335</v>
      </c>
      <c r="D9377" s="21" t="s">
        <v>20527</v>
      </c>
      <c r="E9377" s="22" t="str">
        <f>HYPERLINK("https://twitter.com/marvellous997/status/922723282490621952","922723282490621952")</f>
        <v>922723282490621952</v>
      </c>
      <c r="F9377" s="23" t="s">
        <v>91</v>
      </c>
      <c r="G9377" s="24">
        <v>793.0</v>
      </c>
      <c r="H9377" s="24">
        <v>59.0</v>
      </c>
      <c r="I9377" s="24">
        <v>0.0</v>
      </c>
      <c r="J9377" s="24">
        <v>0.0</v>
      </c>
      <c r="K9377" s="23" t="s">
        <v>34</v>
      </c>
      <c r="L9377" s="25">
        <v>41334.15880787037</v>
      </c>
      <c r="M9377" s="26" t="s">
        <v>3337</v>
      </c>
      <c r="N9377" s="26" t="s">
        <v>3338</v>
      </c>
      <c r="O9377" s="22" t="str">
        <f>HYPERLINK("https://pbs.twimg.com/profile_images/765082261150720000/AKwZsJGh_normal.jpg","View")</f>
        <v>View</v>
      </c>
      <c r="P9377" s="27"/>
    </row>
    <row r="9378">
      <c r="A9378" s="14">
        <v>43032.010983796295</v>
      </c>
      <c r="B9378" s="20" t="str">
        <f>HYPERLINK("https://twitter.com/tamamokari","@tamamokari")</f>
        <v>@tamamokari</v>
      </c>
      <c r="C9378" s="21" t="s">
        <v>290</v>
      </c>
      <c r="D9378" s="21" t="s">
        <v>513</v>
      </c>
      <c r="E9378" s="22" t="str">
        <f>HYPERLINK("https://twitter.com/tamamokari/status/922723288278806528","922723288278806528")</f>
        <v>922723288278806528</v>
      </c>
      <c r="F9378" s="23" t="s">
        <v>33</v>
      </c>
      <c r="G9378" s="24">
        <v>121.0</v>
      </c>
      <c r="H9378" s="24">
        <v>1148.0</v>
      </c>
      <c r="I9378" s="24">
        <v>101.0</v>
      </c>
      <c r="J9378" s="24">
        <v>0.0</v>
      </c>
      <c r="K9378" s="23" t="s">
        <v>34</v>
      </c>
      <c r="L9378" s="25">
        <v>42566.29020833333</v>
      </c>
      <c r="M9378" s="28"/>
      <c r="N9378" s="26" t="s">
        <v>292</v>
      </c>
      <c r="O9378" s="22" t="str">
        <f>HYPERLINK("https://abs.twimg.com/sticky/default_profile_images/default_profile_normal.png","View")</f>
        <v>View</v>
      </c>
      <c r="P9378" s="27"/>
    </row>
    <row r="9379">
      <c r="A9379" s="14">
        <v>43032.01101851852</v>
      </c>
      <c r="B9379" s="20" t="str">
        <f>HYPERLINK("https://twitter.com/stevenshayman","@stevenshayman")</f>
        <v>@stevenshayman</v>
      </c>
      <c r="C9379" s="21" t="s">
        <v>20528</v>
      </c>
      <c r="D9379" s="21" t="s">
        <v>20529</v>
      </c>
      <c r="E9379" s="22" t="str">
        <f>HYPERLINK("https://twitter.com/stevenshayman/status/922723298076758016","922723298076758016")</f>
        <v>922723298076758016</v>
      </c>
      <c r="F9379" s="23" t="s">
        <v>55</v>
      </c>
      <c r="G9379" s="24">
        <v>612.0</v>
      </c>
      <c r="H9379" s="24">
        <v>1350.0</v>
      </c>
      <c r="I9379" s="24">
        <v>0.0</v>
      </c>
      <c r="J9379" s="24">
        <v>0.0</v>
      </c>
      <c r="K9379" s="23" t="s">
        <v>34</v>
      </c>
      <c r="L9379" s="25">
        <v>39904.319861111115</v>
      </c>
      <c r="M9379" s="26" t="s">
        <v>20530</v>
      </c>
      <c r="N9379" s="26" t="s">
        <v>20531</v>
      </c>
      <c r="O9379" s="22" t="str">
        <f>HYPERLINK("https://pbs.twimg.com/profile_images/1345278000/Rose-encrusted_wheel_normal.jpg","View")</f>
        <v>View</v>
      </c>
      <c r="P9379" s="27"/>
    </row>
    <row r="9380">
      <c r="A9380" s="14">
        <v>43032.01106481481</v>
      </c>
      <c r="B9380" s="20" t="str">
        <f>HYPERLINK("https://twitter.com/newsjsKE","@newsjsKE")</f>
        <v>@newsjsKE</v>
      </c>
      <c r="C9380" s="21" t="s">
        <v>20532</v>
      </c>
      <c r="D9380" s="21" t="s">
        <v>20533</v>
      </c>
      <c r="E9380" s="22" t="str">
        <f>HYPERLINK("https://twitter.com/newsjsKE/status/922723317693472768","922723317693472768")</f>
        <v>922723317693472768</v>
      </c>
      <c r="F9380" s="30" t="s">
        <v>411</v>
      </c>
      <c r="G9380" s="24">
        <v>352.0</v>
      </c>
      <c r="H9380" s="24">
        <v>1051.0</v>
      </c>
      <c r="I9380" s="24">
        <v>0.0</v>
      </c>
      <c r="J9380" s="24">
        <v>0.0</v>
      </c>
      <c r="K9380" s="23" t="s">
        <v>34</v>
      </c>
      <c r="L9380" s="25">
        <v>41964.645000000004</v>
      </c>
      <c r="M9380" s="26" t="s">
        <v>843</v>
      </c>
      <c r="N9380" s="26" t="s">
        <v>20534</v>
      </c>
      <c r="O9380" s="22" t="str">
        <f>HYPERLINK("https://pbs.twimg.com/profile_images/787696144281468928/K0adpaeg_normal.jpg","View")</f>
        <v>View</v>
      </c>
      <c r="P9380" s="27"/>
    </row>
    <row r="9381">
      <c r="A9381" s="14">
        <v>43032.011145833334</v>
      </c>
      <c r="B9381" s="20" t="str">
        <f>HYPERLINK("https://twitter.com/argha105","@argha105")</f>
        <v>@argha105</v>
      </c>
      <c r="C9381" s="21" t="s">
        <v>20535</v>
      </c>
      <c r="D9381" s="21" t="s">
        <v>42</v>
      </c>
      <c r="E9381" s="22" t="str">
        <f>HYPERLINK("https://twitter.com/argha105/status/922723345363333120","922723345363333120")</f>
        <v>922723345363333120</v>
      </c>
      <c r="F9381" s="23" t="s">
        <v>33</v>
      </c>
      <c r="G9381" s="24">
        <v>43.0</v>
      </c>
      <c r="H9381" s="24">
        <v>196.0</v>
      </c>
      <c r="I9381" s="24">
        <v>8501.0</v>
      </c>
      <c r="J9381" s="24">
        <v>0.0</v>
      </c>
      <c r="K9381" s="23" t="s">
        <v>34</v>
      </c>
      <c r="L9381" s="25">
        <v>42618.49747685185</v>
      </c>
      <c r="M9381" s="26" t="s">
        <v>156</v>
      </c>
      <c r="N9381" s="26" t="s">
        <v>20536</v>
      </c>
      <c r="O9381" s="22" t="str">
        <f>HYPERLINK("https://pbs.twimg.com/profile_images/772873450918584320/Po0GUirW_normal.jpg","View")</f>
        <v>View</v>
      </c>
      <c r="P9381" s="27"/>
    </row>
    <row r="9382">
      <c r="A9382" s="14">
        <v>43032.01136574074</v>
      </c>
      <c r="B9382" s="20" t="str">
        <f>HYPERLINK("https://twitter.com/ColumnistWorld","@ColumnistWorld")</f>
        <v>@ColumnistWorld</v>
      </c>
      <c r="C9382" s="21" t="s">
        <v>5757</v>
      </c>
      <c r="D9382" s="21" t="s">
        <v>20537</v>
      </c>
      <c r="E9382" s="22" t="str">
        <f>HYPERLINK("https://twitter.com/ColumnistWorld/status/922723425055117312","922723425055117312")</f>
        <v>922723425055117312</v>
      </c>
      <c r="F9382" s="23" t="s">
        <v>187</v>
      </c>
      <c r="G9382" s="24">
        <v>26.0</v>
      </c>
      <c r="H9382" s="24">
        <v>0.0</v>
      </c>
      <c r="I9382" s="24">
        <v>0.0</v>
      </c>
      <c r="J9382" s="24">
        <v>0.0</v>
      </c>
      <c r="K9382" s="23" t="s">
        <v>34</v>
      </c>
      <c r="L9382" s="25">
        <v>42370.48368055555</v>
      </c>
      <c r="M9382" s="28"/>
      <c r="N9382" s="26" t="s">
        <v>5759</v>
      </c>
      <c r="O9382" s="22" t="str">
        <f>HYPERLINK("https://pbs.twimg.com/profile_images/918677245367111680/nbvPzXP0_normal.jpg","View")</f>
        <v>View</v>
      </c>
      <c r="P9382" s="27"/>
    </row>
    <row r="9383">
      <c r="A9383" s="14">
        <v>43032.0122337963</v>
      </c>
      <c r="B9383" s="20" t="str">
        <f>HYPERLINK("https://twitter.com/Kvaati","@Kvaati")</f>
        <v>@Kvaati</v>
      </c>
      <c r="C9383" s="21" t="s">
        <v>20538</v>
      </c>
      <c r="D9383" s="21" t="s">
        <v>32</v>
      </c>
      <c r="E9383" s="22" t="str">
        <f>HYPERLINK("https://twitter.com/Kvaati/status/922723739556630528","922723739556630528")</f>
        <v>922723739556630528</v>
      </c>
      <c r="F9383" s="23" t="s">
        <v>33</v>
      </c>
      <c r="G9383" s="24">
        <v>10857.0</v>
      </c>
      <c r="H9383" s="24">
        <v>1611.0</v>
      </c>
      <c r="I9383" s="24">
        <v>471.0</v>
      </c>
      <c r="J9383" s="24">
        <v>0.0</v>
      </c>
      <c r="K9383" s="23" t="s">
        <v>34</v>
      </c>
      <c r="L9383" s="25">
        <v>40612.920590277776</v>
      </c>
      <c r="M9383" s="26" t="s">
        <v>20539</v>
      </c>
      <c r="N9383" s="26" t="s">
        <v>20540</v>
      </c>
      <c r="O9383" s="22" t="str">
        <f>HYPERLINK("https://pbs.twimg.com/profile_images/882536654887694336/RhIkcAxQ_normal.jpg","View")</f>
        <v>View</v>
      </c>
      <c r="P9383" s="27"/>
    </row>
    <row r="9384">
      <c r="A9384" s="14">
        <v>43032.01241898148</v>
      </c>
      <c r="B9384" s="20" t="str">
        <f>HYPERLINK("https://twitter.com/arunrao64str","@arunrao64str")</f>
        <v>@arunrao64str</v>
      </c>
      <c r="C9384" s="21" t="s">
        <v>20541</v>
      </c>
      <c r="D9384" s="21" t="s">
        <v>42</v>
      </c>
      <c r="E9384" s="22" t="str">
        <f>HYPERLINK("https://twitter.com/arunrao64str/status/922723807235858432","922723807235858432")</f>
        <v>922723807235858432</v>
      </c>
      <c r="F9384" s="23" t="s">
        <v>39</v>
      </c>
      <c r="G9384" s="24">
        <v>271.0</v>
      </c>
      <c r="H9384" s="24">
        <v>742.0</v>
      </c>
      <c r="I9384" s="24">
        <v>8501.0</v>
      </c>
      <c r="J9384" s="24">
        <v>0.0</v>
      </c>
      <c r="K9384" s="23" t="s">
        <v>34</v>
      </c>
      <c r="L9384" s="25">
        <v>42315.664375</v>
      </c>
      <c r="M9384" s="26" t="s">
        <v>3295</v>
      </c>
      <c r="N9384" s="28"/>
      <c r="O9384" s="22" t="str">
        <f>HYPERLINK("https://pbs.twimg.com/profile_images/835018170096242688/Ih-_eibB_normal.jpg","View")</f>
        <v>View</v>
      </c>
      <c r="P9384" s="27"/>
    </row>
    <row r="9385">
      <c r="A9385" s="14">
        <v>43032.01258101852</v>
      </c>
      <c r="B9385" s="20" t="str">
        <f>HYPERLINK("https://twitter.com/AllNewsNetWorld","@AllNewsNetWorld")</f>
        <v>@AllNewsNetWorld</v>
      </c>
      <c r="C9385" s="21" t="s">
        <v>5930</v>
      </c>
      <c r="D9385" s="21" t="s">
        <v>20542</v>
      </c>
      <c r="E9385" s="22" t="str">
        <f>HYPERLINK("https://twitter.com/AllNewsNetWorld/status/922723863942844416","922723863942844416")</f>
        <v>922723863942844416</v>
      </c>
      <c r="F9385" s="23" t="s">
        <v>187</v>
      </c>
      <c r="G9385" s="24">
        <v>33.0</v>
      </c>
      <c r="H9385" s="24">
        <v>19.0</v>
      </c>
      <c r="I9385" s="24">
        <v>0.0</v>
      </c>
      <c r="J9385" s="24">
        <v>0.0</v>
      </c>
      <c r="K9385" s="23" t="s">
        <v>34</v>
      </c>
      <c r="L9385" s="25">
        <v>41463.496145833335</v>
      </c>
      <c r="M9385" s="28"/>
      <c r="N9385" s="28"/>
      <c r="O9385" s="22" t="str">
        <f>HYPERLINK("https://abs.twimg.com/sticky/default_profile_images/default_profile_normal.png","View")</f>
        <v>View</v>
      </c>
      <c r="P9385" s="27"/>
    </row>
    <row r="9386">
      <c r="A9386" s="14">
        <v>43032.0125925926</v>
      </c>
      <c r="B9386" s="20" t="str">
        <f>HYPERLINK("https://twitter.com/PHILAlerts","@PHILAlerts")</f>
        <v>@PHILAlerts</v>
      </c>
      <c r="C9386" s="21" t="s">
        <v>3481</v>
      </c>
      <c r="D9386" s="21" t="s">
        <v>20543</v>
      </c>
      <c r="E9386" s="22" t="str">
        <f>HYPERLINK("https://twitter.com/PHILAlerts/status/922723871328960512","922723871328960512")</f>
        <v>922723871328960512</v>
      </c>
      <c r="F9386" s="23" t="s">
        <v>187</v>
      </c>
      <c r="G9386" s="24">
        <v>1315.0</v>
      </c>
      <c r="H9386" s="24">
        <v>3.0</v>
      </c>
      <c r="I9386" s="24">
        <v>0.0</v>
      </c>
      <c r="J9386" s="24">
        <v>0.0</v>
      </c>
      <c r="K9386" s="23" t="s">
        <v>34</v>
      </c>
      <c r="L9386" s="25">
        <v>41153.71976851852</v>
      </c>
      <c r="M9386" s="26" t="s">
        <v>265</v>
      </c>
      <c r="N9386" s="26" t="s">
        <v>3483</v>
      </c>
      <c r="O9386" s="22" t="str">
        <f>HYPERLINK("https://pbs.twimg.com/profile_images/378800000513718638/3fd5d8661316ab39a32c5786949eb77f_normal.jpeg","View")</f>
        <v>View</v>
      </c>
      <c r="P9386" s="27"/>
    </row>
    <row r="9387">
      <c r="A9387" s="14">
        <v>43032.012604166666</v>
      </c>
      <c r="B9387" s="20" t="str">
        <f>HYPERLINK("https://twitter.com/nyiint","@nyiint")</f>
        <v>@nyiint</v>
      </c>
      <c r="C9387" s="21" t="s">
        <v>5754</v>
      </c>
      <c r="D9387" s="21" t="s">
        <v>20544</v>
      </c>
      <c r="E9387" s="22" t="str">
        <f>HYPERLINK("https://twitter.com/nyiint/status/922723872318902272","922723872318902272")</f>
        <v>922723872318902272</v>
      </c>
      <c r="F9387" s="23" t="s">
        <v>187</v>
      </c>
      <c r="G9387" s="24">
        <v>16.0</v>
      </c>
      <c r="H9387" s="24">
        <v>0.0</v>
      </c>
      <c r="I9387" s="24">
        <v>0.0</v>
      </c>
      <c r="J9387" s="24">
        <v>0.0</v>
      </c>
      <c r="K9387" s="23" t="s">
        <v>34</v>
      </c>
      <c r="L9387" s="25">
        <v>42982.23821759259</v>
      </c>
      <c r="M9387" s="26" t="s">
        <v>4746</v>
      </c>
      <c r="N9387" s="26" t="s">
        <v>5756</v>
      </c>
      <c r="O9387" s="22" t="str">
        <f>HYPERLINK("https://pbs.twimg.com/profile_images/912810467730403330/LNww9UbF_normal.jpg","View")</f>
        <v>View</v>
      </c>
      <c r="P9387" s="27"/>
    </row>
    <row r="9388">
      <c r="A9388" s="14">
        <v>43032.01278935185</v>
      </c>
      <c r="B9388" s="20" t="str">
        <f>HYPERLINK("https://twitter.com/opennewswindows","@opennewswindows")</f>
        <v>@opennewswindows</v>
      </c>
      <c r="C9388" s="21" t="s">
        <v>3329</v>
      </c>
      <c r="D9388" s="21" t="s">
        <v>20545</v>
      </c>
      <c r="E9388" s="22" t="str">
        <f>HYPERLINK("https://twitter.com/opennewswindows/status/922723941789110272","922723941789110272")</f>
        <v>922723941789110272</v>
      </c>
      <c r="F9388" s="30" t="s">
        <v>191</v>
      </c>
      <c r="G9388" s="24">
        <v>19.0</v>
      </c>
      <c r="H9388" s="24">
        <v>110.0</v>
      </c>
      <c r="I9388" s="24">
        <v>0.0</v>
      </c>
      <c r="J9388" s="24">
        <v>0.0</v>
      </c>
      <c r="K9388" s="23" t="s">
        <v>34</v>
      </c>
      <c r="L9388" s="25">
        <v>43004.63564814815</v>
      </c>
      <c r="M9388" s="26" t="s">
        <v>3331</v>
      </c>
      <c r="N9388" s="26" t="s">
        <v>3332</v>
      </c>
      <c r="O9388" s="22" t="str">
        <f>HYPERLINK("https://pbs.twimg.com/profile_images/912804383087366144/hQyd6i9c_normal.jpg","View")</f>
        <v>View</v>
      </c>
      <c r="P9388" s="27"/>
    </row>
    <row r="9389">
      <c r="A9389" s="14">
        <v>43032.01287037037</v>
      </c>
      <c r="B9389" s="20" t="str">
        <f>HYPERLINK("https://twitter.com/latualatuka","@latualatuka")</f>
        <v>@latualatuka</v>
      </c>
      <c r="C9389" s="21" t="s">
        <v>20546</v>
      </c>
      <c r="D9389" s="21" t="s">
        <v>16863</v>
      </c>
      <c r="E9389" s="22" t="str">
        <f>HYPERLINK("https://twitter.com/latualatuka/status/922723969626542081","922723969626542081")</f>
        <v>922723969626542081</v>
      </c>
      <c r="F9389" s="23" t="s">
        <v>55</v>
      </c>
      <c r="G9389" s="24">
        <v>305.0</v>
      </c>
      <c r="H9389" s="24">
        <v>68.0</v>
      </c>
      <c r="I9389" s="24">
        <v>250.0</v>
      </c>
      <c r="J9389" s="24">
        <v>0.0</v>
      </c>
      <c r="K9389" s="23" t="s">
        <v>34</v>
      </c>
      <c r="L9389" s="25">
        <v>42135.52511574074</v>
      </c>
      <c r="M9389" s="26" t="s">
        <v>20547</v>
      </c>
      <c r="N9389" s="26" t="s">
        <v>20548</v>
      </c>
      <c r="O9389" s="22" t="str">
        <f>HYPERLINK("https://pbs.twimg.com/profile_images/617636904226287616/7f8pflMI_normal.png","View")</f>
        <v>View</v>
      </c>
      <c r="P9389" s="27"/>
    </row>
    <row r="9390">
      <c r="A9390" s="14">
        <v>43032.012974537036</v>
      </c>
      <c r="B9390" s="20" t="str">
        <f>HYPERLINK("https://twitter.com/joemaya164","@joemaya164")</f>
        <v>@joemaya164</v>
      </c>
      <c r="C9390" s="21" t="s">
        <v>3342</v>
      </c>
      <c r="D9390" s="21" t="s">
        <v>20549</v>
      </c>
      <c r="E9390" s="22" t="str">
        <f>HYPERLINK("https://twitter.com/joemaya164/status/922724008466042880","922724008466042880")</f>
        <v>922724008466042880</v>
      </c>
      <c r="F9390" s="30" t="s">
        <v>191</v>
      </c>
      <c r="G9390" s="24">
        <v>409.0</v>
      </c>
      <c r="H9390" s="24">
        <v>993.0</v>
      </c>
      <c r="I9390" s="24">
        <v>0.0</v>
      </c>
      <c r="J9390" s="24">
        <v>0.0</v>
      </c>
      <c r="K9390" s="23" t="s">
        <v>34</v>
      </c>
      <c r="L9390" s="25">
        <v>42550.40243055555</v>
      </c>
      <c r="M9390" s="26" t="s">
        <v>3331</v>
      </c>
      <c r="N9390" s="26" t="s">
        <v>3344</v>
      </c>
      <c r="O9390" s="22" t="str">
        <f>HYPERLINK("https://pbs.twimg.com/profile_images/884050860480835584/F1xYkB9H_normal.jpg","View")</f>
        <v>View</v>
      </c>
      <c r="P9390" s="27"/>
    </row>
    <row r="9391">
      <c r="A9391" s="14">
        <v>43032.01299768519</v>
      </c>
      <c r="B9391" s="20" t="str">
        <f>HYPERLINK("https://twitter.com/AnointingLawal","@AnointingLawal")</f>
        <v>@AnointingLawal</v>
      </c>
      <c r="C9391" s="21" t="s">
        <v>3347</v>
      </c>
      <c r="D9391" s="21" t="s">
        <v>20550</v>
      </c>
      <c r="E9391" s="22" t="str">
        <f>HYPERLINK("https://twitter.com/AnointingLawal/status/922724015969652736","922724015969652736")</f>
        <v>922724015969652736</v>
      </c>
      <c r="F9391" s="30" t="s">
        <v>191</v>
      </c>
      <c r="G9391" s="24">
        <v>34.0</v>
      </c>
      <c r="H9391" s="24">
        <v>165.0</v>
      </c>
      <c r="I9391" s="24">
        <v>0.0</v>
      </c>
      <c r="J9391" s="24">
        <v>0.0</v>
      </c>
      <c r="K9391" s="23" t="s">
        <v>34</v>
      </c>
      <c r="L9391" s="25">
        <v>42984.754791666666</v>
      </c>
      <c r="M9391" s="26" t="s">
        <v>3331</v>
      </c>
      <c r="N9391" s="26" t="s">
        <v>3349</v>
      </c>
      <c r="O9391" s="22" t="str">
        <f>HYPERLINK("https://pbs.twimg.com/profile_images/907291839874641920/JjBgrCXj_normal.jpg","View")</f>
        <v>View</v>
      </c>
      <c r="P9391" s="27"/>
    </row>
    <row r="9392">
      <c r="A9392" s="14">
        <v>43032.01302083333</v>
      </c>
      <c r="B9392" s="20" t="str">
        <f>HYPERLINK("https://twitter.com/Pradeep40597027","@Pradeep40597027")</f>
        <v>@Pradeep40597027</v>
      </c>
      <c r="C9392" s="21" t="s">
        <v>20551</v>
      </c>
      <c r="D9392" s="21" t="s">
        <v>42</v>
      </c>
      <c r="E9392" s="22" t="str">
        <f>HYPERLINK("https://twitter.com/Pradeep40597027/status/922724026497118213","922724026497118213")</f>
        <v>922724026497118213</v>
      </c>
      <c r="F9392" s="23" t="s">
        <v>33</v>
      </c>
      <c r="G9392" s="24">
        <v>2921.0</v>
      </c>
      <c r="H9392" s="24">
        <v>1696.0</v>
      </c>
      <c r="I9392" s="24">
        <v>8501.0</v>
      </c>
      <c r="J9392" s="24">
        <v>0.0</v>
      </c>
      <c r="K9392" s="23" t="s">
        <v>34</v>
      </c>
      <c r="L9392" s="25">
        <v>42479.19944444444</v>
      </c>
      <c r="M9392" s="26" t="s">
        <v>20552</v>
      </c>
      <c r="N9392" s="26" t="s">
        <v>20553</v>
      </c>
      <c r="O9392" s="22" t="str">
        <f>HYPERLINK("https://pbs.twimg.com/profile_images/730439423263838211/odCmJ6G0_normal.jpg","View")</f>
        <v>View</v>
      </c>
      <c r="P9392" s="27"/>
    </row>
    <row r="9393">
      <c r="A9393" s="14">
        <v>43032.01305555555</v>
      </c>
      <c r="B9393" s="20" t="str">
        <f>HYPERLINK("https://twitter.com/fukushimaexpos2","@fukushimaexpos2")</f>
        <v>@fukushimaexpos2</v>
      </c>
      <c r="C9393" s="21" t="s">
        <v>19473</v>
      </c>
      <c r="D9393" s="21" t="s">
        <v>9689</v>
      </c>
      <c r="E9393" s="22" t="str">
        <f>HYPERLINK("https://twitter.com/fukushimaexpos2/status/922724037876506624","922724037876506624")</f>
        <v>922724037876506624</v>
      </c>
      <c r="F9393" s="23" t="s">
        <v>33</v>
      </c>
      <c r="G9393" s="24">
        <v>11.0</v>
      </c>
      <c r="H9393" s="24">
        <v>75.0</v>
      </c>
      <c r="I9393" s="24">
        <v>4.0</v>
      </c>
      <c r="J9393" s="24">
        <v>0.0</v>
      </c>
      <c r="K9393" s="23" t="s">
        <v>34</v>
      </c>
      <c r="L9393" s="25">
        <v>43029.65770833333</v>
      </c>
      <c r="M9393" s="28"/>
      <c r="N9393" s="26" t="s">
        <v>19474</v>
      </c>
      <c r="O9393" s="22" t="str">
        <f>HYPERLINK("https://pbs.twimg.com/profile_images/921878119622914048/Vn30Q11n_normal.jpg","View")</f>
        <v>View</v>
      </c>
      <c r="P9393" s="27"/>
    </row>
    <row r="9394">
      <c r="A9394" s="14">
        <v>43032.01353009259</v>
      </c>
      <c r="B9394" s="20" t="str">
        <f>HYPERLINK("https://twitter.com/periodicalw","@periodicalw")</f>
        <v>@periodicalw</v>
      </c>
      <c r="C9394" s="21" t="s">
        <v>5750</v>
      </c>
      <c r="D9394" s="21" t="s">
        <v>20554</v>
      </c>
      <c r="E9394" s="22" t="str">
        <f>HYPERLINK("https://twitter.com/periodicalw/status/922724208207126528","922724208207126528")</f>
        <v>922724208207126528</v>
      </c>
      <c r="F9394" s="23" t="s">
        <v>187</v>
      </c>
      <c r="G9394" s="24">
        <v>13.0</v>
      </c>
      <c r="H9394" s="24">
        <v>0.0</v>
      </c>
      <c r="I9394" s="24">
        <v>0.0</v>
      </c>
      <c r="J9394" s="24">
        <v>0.0</v>
      </c>
      <c r="K9394" s="23" t="s">
        <v>34</v>
      </c>
      <c r="L9394" s="25">
        <v>42054.98625</v>
      </c>
      <c r="M9394" s="28"/>
      <c r="N9394" s="26" t="s">
        <v>5752</v>
      </c>
      <c r="O9394" s="22" t="str">
        <f>HYPERLINK("https://pbs.twimg.com/profile_images/919747762345906181/R3fj25Fb_normal.jpg","View")</f>
        <v>View</v>
      </c>
      <c r="P9394" s="27"/>
    </row>
    <row r="9395">
      <c r="A9395" s="14">
        <v>43032.01366898148</v>
      </c>
      <c r="B9395" s="20" t="str">
        <f>HYPERLINK("https://twitter.com/mitsuya_niwa","@mitsuya_niwa")</f>
        <v>@mitsuya_niwa</v>
      </c>
      <c r="C9395" s="21" t="s">
        <v>20172</v>
      </c>
      <c r="D9395" s="21" t="s">
        <v>18941</v>
      </c>
      <c r="E9395" s="22" t="str">
        <f>HYPERLINK("https://twitter.com/mitsuya_niwa/status/922724260132487168","922724260132487168")</f>
        <v>922724260132487168</v>
      </c>
      <c r="F9395" s="23" t="s">
        <v>55</v>
      </c>
      <c r="G9395" s="24">
        <v>9080.0</v>
      </c>
      <c r="H9395" s="24">
        <v>112.0</v>
      </c>
      <c r="I9395" s="24">
        <v>9.0</v>
      </c>
      <c r="J9395" s="24">
        <v>0.0</v>
      </c>
      <c r="K9395" s="23" t="s">
        <v>34</v>
      </c>
      <c r="L9395" s="25">
        <v>40189.67167824074</v>
      </c>
      <c r="M9395" s="26" t="s">
        <v>762</v>
      </c>
      <c r="N9395" s="26" t="s">
        <v>20173</v>
      </c>
      <c r="O9395" s="22" t="str">
        <f>HYPERLINK("https://pbs.twimg.com/profile_images/1099542286/20090816_616399_normal.jpg","View")</f>
        <v>View</v>
      </c>
      <c r="P9395" s="27"/>
    </row>
    <row r="9396">
      <c r="A9396" s="14">
        <v>43032.0140625</v>
      </c>
      <c r="B9396" s="20" t="str">
        <f>HYPERLINK("https://twitter.com/siddhartha330","@siddhartha330")</f>
        <v>@siddhartha330</v>
      </c>
      <c r="C9396" s="21" t="s">
        <v>20555</v>
      </c>
      <c r="D9396" s="21" t="s">
        <v>42</v>
      </c>
      <c r="E9396" s="22" t="str">
        <f>HYPERLINK("https://twitter.com/siddhartha330/status/922724401291804672","922724401291804672")</f>
        <v>922724401291804672</v>
      </c>
      <c r="F9396" s="23" t="s">
        <v>33</v>
      </c>
      <c r="G9396" s="24">
        <v>66.0</v>
      </c>
      <c r="H9396" s="24">
        <v>145.0</v>
      </c>
      <c r="I9396" s="24">
        <v>8501.0</v>
      </c>
      <c r="J9396" s="24">
        <v>0.0</v>
      </c>
      <c r="K9396" s="23" t="s">
        <v>34</v>
      </c>
      <c r="L9396" s="25">
        <v>42027.23165509259</v>
      </c>
      <c r="M9396" s="26" t="s">
        <v>3430</v>
      </c>
      <c r="N9396" s="26" t="s">
        <v>20556</v>
      </c>
      <c r="O9396" s="22" t="str">
        <f>HYPERLINK("https://pbs.twimg.com/profile_images/714131096225652736/coCQzsHA_normal.jpg","View")</f>
        <v>View</v>
      </c>
      <c r="P9396" s="27"/>
    </row>
    <row r="9397">
      <c r="A9397" s="14">
        <v>43032.014131944445</v>
      </c>
      <c r="B9397" s="20" t="str">
        <f>HYPERLINK("https://twitter.com/sharp_writing","@sharp_writing")</f>
        <v>@sharp_writing</v>
      </c>
      <c r="C9397" s="21" t="s">
        <v>20557</v>
      </c>
      <c r="D9397" s="21" t="s">
        <v>20558</v>
      </c>
      <c r="E9397" s="22" t="str">
        <f>HYPERLINK("https://twitter.com/sharp_writing/status/922724427455913985","922724427455913985")</f>
        <v>922724427455913985</v>
      </c>
      <c r="F9397" s="23" t="s">
        <v>769</v>
      </c>
      <c r="G9397" s="24">
        <v>2515.0</v>
      </c>
      <c r="H9397" s="24">
        <v>1493.0</v>
      </c>
      <c r="I9397" s="24">
        <v>11.0</v>
      </c>
      <c r="J9397" s="24">
        <v>11.0</v>
      </c>
      <c r="K9397" s="23" t="s">
        <v>34</v>
      </c>
      <c r="L9397" s="25">
        <v>39830.39425925926</v>
      </c>
      <c r="M9397" s="26" t="s">
        <v>923</v>
      </c>
      <c r="N9397" s="26" t="s">
        <v>20559</v>
      </c>
      <c r="O9397" s="22" t="str">
        <f>HYPERLINK("https://pbs.twimg.com/profile_images/477957332416999424/pvgfXgUY_normal.jpeg","View")</f>
        <v>View</v>
      </c>
      <c r="P9397" s="27"/>
    </row>
    <row r="9398">
      <c r="A9398" s="14">
        <v>43032.014328703706</v>
      </c>
      <c r="B9398" s="20" t="str">
        <f>HYPERLINK("https://twitter.com/JBholi","@JBholi")</f>
        <v>@JBholi</v>
      </c>
      <c r="C9398" s="21" t="s">
        <v>20560</v>
      </c>
      <c r="D9398" s="21" t="s">
        <v>42</v>
      </c>
      <c r="E9398" s="22" t="str">
        <f>HYPERLINK("https://twitter.com/JBholi/status/922724496796213248","922724496796213248")</f>
        <v>922724496796213248</v>
      </c>
      <c r="F9398" s="23" t="s">
        <v>33</v>
      </c>
      <c r="G9398" s="24">
        <v>23.0</v>
      </c>
      <c r="H9398" s="24">
        <v>109.0</v>
      </c>
      <c r="I9398" s="24">
        <v>8501.0</v>
      </c>
      <c r="J9398" s="24">
        <v>0.0</v>
      </c>
      <c r="K9398" s="23" t="s">
        <v>34</v>
      </c>
      <c r="L9398" s="25">
        <v>42978.36709490741</v>
      </c>
      <c r="M9398" s="26" t="s">
        <v>20561</v>
      </c>
      <c r="N9398" s="26" t="s">
        <v>20562</v>
      </c>
      <c r="O9398" s="22" t="str">
        <f>HYPERLINK("https://pbs.twimg.com/profile_images/903905479419609088/24ZeHWsd_normal.jpg","View")</f>
        <v>View</v>
      </c>
      <c r="P9398" s="27"/>
    </row>
    <row r="9399">
      <c r="A9399" s="14">
        <v>43032.01459490741</v>
      </c>
      <c r="B9399" s="20" t="str">
        <f>HYPERLINK("https://twitter.com/CA_PratikKarpe","@CA_PratikKarpe")</f>
        <v>@CA_PratikKarpe</v>
      </c>
      <c r="C9399" s="21" t="s">
        <v>20563</v>
      </c>
      <c r="D9399" s="21" t="s">
        <v>42</v>
      </c>
      <c r="E9399" s="22" t="str">
        <f>HYPERLINK("https://twitter.com/CA_PratikKarpe/status/922724596536586240","922724596536586240")</f>
        <v>922724596536586240</v>
      </c>
      <c r="F9399" s="23" t="s">
        <v>39</v>
      </c>
      <c r="G9399" s="24">
        <v>4210.0</v>
      </c>
      <c r="H9399" s="24">
        <v>367.0</v>
      </c>
      <c r="I9399" s="24">
        <v>8501.0</v>
      </c>
      <c r="J9399" s="24">
        <v>0.0</v>
      </c>
      <c r="K9399" s="23" t="s">
        <v>34</v>
      </c>
      <c r="L9399" s="25">
        <v>40545.695</v>
      </c>
      <c r="M9399" s="26" t="s">
        <v>3566</v>
      </c>
      <c r="N9399" s="26" t="s">
        <v>20564</v>
      </c>
      <c r="O9399" s="22" t="str">
        <f>HYPERLINK("https://pbs.twimg.com/profile_images/890849570787340288/NBZtPltW_normal.jpg","View")</f>
        <v>View</v>
      </c>
      <c r="P9399" s="27"/>
    </row>
    <row r="9400">
      <c r="A9400" s="14">
        <v>43032.01476851852</v>
      </c>
      <c r="B9400" s="20" t="str">
        <f>HYPERLINK("https://twitter.com/MotorsPride","@MotorsPride")</f>
        <v>@MotorsPride</v>
      </c>
      <c r="C9400" s="21" t="s">
        <v>20565</v>
      </c>
      <c r="D9400" s="21" t="s">
        <v>20566</v>
      </c>
      <c r="E9400" s="22" t="str">
        <f>HYPERLINK("https://twitter.com/MotorsPride/status/922724657161261057","922724657161261057")</f>
        <v>922724657161261057</v>
      </c>
      <c r="F9400" s="23" t="s">
        <v>55</v>
      </c>
      <c r="G9400" s="24">
        <v>222.0</v>
      </c>
      <c r="H9400" s="24">
        <v>259.0</v>
      </c>
      <c r="I9400" s="24">
        <v>1.0</v>
      </c>
      <c r="J9400" s="24">
        <v>0.0</v>
      </c>
      <c r="K9400" s="23" t="s">
        <v>34</v>
      </c>
      <c r="L9400" s="25">
        <v>42560.00521990741</v>
      </c>
      <c r="M9400" s="26" t="s">
        <v>10567</v>
      </c>
      <c r="N9400" s="26" t="s">
        <v>20567</v>
      </c>
      <c r="O9400" s="22" t="str">
        <f>HYPERLINK("https://pbs.twimg.com/profile_images/751678609132224512/idMFuBuY_normal.jpg","View")</f>
        <v>View</v>
      </c>
      <c r="P9400" s="27"/>
    </row>
    <row r="9401">
      <c r="A9401" s="14">
        <v>43032.015625</v>
      </c>
      <c r="B9401" s="20" t="str">
        <f>HYPERLINK("https://twitter.com/TakuTamaki","@TakuTamaki")</f>
        <v>@TakuTamaki</v>
      </c>
      <c r="C9401" s="21" t="s">
        <v>20568</v>
      </c>
      <c r="D9401" s="21" t="s">
        <v>20569</v>
      </c>
      <c r="E9401" s="22" t="str">
        <f>HYPERLINK("https://twitter.com/TakuTamaki/status/922724966415691776","922724966415691776")</f>
        <v>922724966415691776</v>
      </c>
      <c r="F9401" s="23" t="s">
        <v>55</v>
      </c>
      <c r="G9401" s="24">
        <v>153.0</v>
      </c>
      <c r="H9401" s="24">
        <v>550.0</v>
      </c>
      <c r="I9401" s="24">
        <v>11.0</v>
      </c>
      <c r="J9401" s="24">
        <v>0.0</v>
      </c>
      <c r="K9401" s="23" t="s">
        <v>34</v>
      </c>
      <c r="L9401" s="25">
        <v>41272.162152777775</v>
      </c>
      <c r="M9401" s="26" t="s">
        <v>20570</v>
      </c>
      <c r="N9401" s="26" t="s">
        <v>20571</v>
      </c>
      <c r="O9401" s="22" t="str">
        <f>HYPERLINK("https://pbs.twimg.com/profile_images/709665655562358784/PdTk3aws_normal.jpg","View")</f>
        <v>View</v>
      </c>
      <c r="P9401" s="27"/>
    </row>
    <row r="9402">
      <c r="A9402" s="14">
        <v>43032.01585648148</v>
      </c>
      <c r="B9402" s="20" t="str">
        <f>HYPERLINK("https://twitter.com/gavinvz","@gavinvz")</f>
        <v>@gavinvz</v>
      </c>
      <c r="C9402" s="21" t="s">
        <v>20572</v>
      </c>
      <c r="D9402" s="21" t="s">
        <v>20569</v>
      </c>
      <c r="E9402" s="22" t="str">
        <f>HYPERLINK("https://twitter.com/gavinvz/status/922725053887893504","922725053887893504")</f>
        <v>922725053887893504</v>
      </c>
      <c r="F9402" s="23" t="s">
        <v>33</v>
      </c>
      <c r="G9402" s="24">
        <v>884.0</v>
      </c>
      <c r="H9402" s="24">
        <v>2682.0</v>
      </c>
      <c r="I9402" s="24">
        <v>11.0</v>
      </c>
      <c r="J9402" s="24">
        <v>0.0</v>
      </c>
      <c r="K9402" s="23" t="s">
        <v>34</v>
      </c>
      <c r="L9402" s="25">
        <v>39392.893483796295</v>
      </c>
      <c r="M9402" s="26" t="s">
        <v>20573</v>
      </c>
      <c r="N9402" s="26" t="s">
        <v>20574</v>
      </c>
      <c r="O9402" s="22" t="str">
        <f>HYPERLINK("https://pbs.twimg.com/profile_images/856538859546566656/pTolCX1x_normal.jpg","View")</f>
        <v>View</v>
      </c>
      <c r="P9402" s="27"/>
    </row>
    <row r="9403">
      <c r="A9403" s="14">
        <v>43032.0159375</v>
      </c>
      <c r="B9403" s="20" t="str">
        <f>HYPERLINK("https://twitter.com/Musembi_13","@Musembi_13")</f>
        <v>@Musembi_13</v>
      </c>
      <c r="C9403" s="21" t="s">
        <v>20575</v>
      </c>
      <c r="D9403" s="21" t="s">
        <v>32</v>
      </c>
      <c r="E9403" s="22" t="str">
        <f>HYPERLINK("https://twitter.com/Musembi_13/status/922725080630747136","922725080630747136")</f>
        <v>922725080630747136</v>
      </c>
      <c r="F9403" s="23" t="s">
        <v>20576</v>
      </c>
      <c r="G9403" s="24">
        <v>1829.0</v>
      </c>
      <c r="H9403" s="24">
        <v>1286.0</v>
      </c>
      <c r="I9403" s="24">
        <v>471.0</v>
      </c>
      <c r="J9403" s="24">
        <v>0.0</v>
      </c>
      <c r="K9403" s="23" t="s">
        <v>34</v>
      </c>
      <c r="L9403" s="25">
        <v>40613.04549768518</v>
      </c>
      <c r="M9403" s="26" t="s">
        <v>20577</v>
      </c>
      <c r="N9403" s="26" t="s">
        <v>20578</v>
      </c>
      <c r="O9403" s="22" t="str">
        <f>HYPERLINK("https://pbs.twimg.com/profile_images/703522316831961089/LipSpFWy_normal.jpg","View")</f>
        <v>View</v>
      </c>
      <c r="P9403" s="27"/>
    </row>
    <row r="9404">
      <c r="A9404" s="14">
        <v>43032.01604166666</v>
      </c>
      <c r="B9404" s="20" t="str">
        <f>HYPERLINK("https://twitter.com/l8oCYFxGgfrCuZZ","@l8oCYFxGgfrCuZZ")</f>
        <v>@l8oCYFxGgfrCuZZ</v>
      </c>
      <c r="C9404" s="21" t="s">
        <v>20579</v>
      </c>
      <c r="D9404" s="21" t="s">
        <v>42</v>
      </c>
      <c r="E9404" s="22" t="str">
        <f>HYPERLINK("https://twitter.com/l8oCYFxGgfrCuZZ/status/922725119147020290","922725119147020290")</f>
        <v>922725119147020290</v>
      </c>
      <c r="F9404" s="23" t="s">
        <v>39</v>
      </c>
      <c r="G9404" s="24">
        <v>286.0</v>
      </c>
      <c r="H9404" s="24">
        <v>206.0</v>
      </c>
      <c r="I9404" s="24">
        <v>8501.0</v>
      </c>
      <c r="J9404" s="24">
        <v>0.0</v>
      </c>
      <c r="K9404" s="23" t="s">
        <v>34</v>
      </c>
      <c r="L9404" s="25">
        <v>42251.740995370375</v>
      </c>
      <c r="M9404" s="28"/>
      <c r="N9404" s="28"/>
      <c r="O9404" s="22" t="str">
        <f>HYPERLINK("https://abs.twimg.com/sticky/default_profile_images/default_profile_normal.png","View")</f>
        <v>View</v>
      </c>
      <c r="P9404" s="27"/>
    </row>
    <row r="9405">
      <c r="A9405" s="14">
        <v>43032.01608796296</v>
      </c>
      <c r="B9405" s="20" t="str">
        <f>HYPERLINK("https://twitter.com/morvjn","@morvjn")</f>
        <v>@morvjn</v>
      </c>
      <c r="C9405" s="21" t="s">
        <v>20580</v>
      </c>
      <c r="D9405" s="21" t="s">
        <v>20569</v>
      </c>
      <c r="E9405" s="22" t="str">
        <f>HYPERLINK("https://twitter.com/morvjn/status/922725135538323456","922725135538323456")</f>
        <v>922725135538323456</v>
      </c>
      <c r="F9405" s="23" t="s">
        <v>43</v>
      </c>
      <c r="G9405" s="24">
        <v>1273.0</v>
      </c>
      <c r="H9405" s="24">
        <v>4461.0</v>
      </c>
      <c r="I9405" s="24">
        <v>11.0</v>
      </c>
      <c r="J9405" s="24">
        <v>0.0</v>
      </c>
      <c r="K9405" s="23" t="s">
        <v>34</v>
      </c>
      <c r="L9405" s="25">
        <v>40252.21020833333</v>
      </c>
      <c r="M9405" s="28"/>
      <c r="N9405" s="26" t="s">
        <v>20581</v>
      </c>
      <c r="O9405" s="22" t="str">
        <f>HYPERLINK("https://pbs.twimg.com/profile_images/785585375/marvin-the-paranoid-android_normal.jpg","View")</f>
        <v>View</v>
      </c>
      <c r="P9405" s="27"/>
    </row>
    <row r="9406">
      <c r="A9406" s="14">
        <v>43032.016793981486</v>
      </c>
      <c r="B9406" s="20" t="str">
        <f>HYPERLINK("https://twitter.com/Janvi00007","@Janvi00007")</f>
        <v>@Janvi00007</v>
      </c>
      <c r="C9406" s="21" t="s">
        <v>20582</v>
      </c>
      <c r="D9406" s="21" t="s">
        <v>42</v>
      </c>
      <c r="E9406" s="22" t="str">
        <f>HYPERLINK("https://twitter.com/Janvi00007/status/922725389881020416","922725389881020416")</f>
        <v>922725389881020416</v>
      </c>
      <c r="F9406" s="23" t="s">
        <v>55</v>
      </c>
      <c r="G9406" s="24">
        <v>569.0</v>
      </c>
      <c r="H9406" s="24">
        <v>843.0</v>
      </c>
      <c r="I9406" s="24">
        <v>8501.0</v>
      </c>
      <c r="J9406" s="24">
        <v>0.0</v>
      </c>
      <c r="K9406" s="23" t="s">
        <v>34</v>
      </c>
      <c r="L9406" s="25">
        <v>42914.1225925926</v>
      </c>
      <c r="M9406" s="28"/>
      <c r="N9406" s="26" t="s">
        <v>20583</v>
      </c>
      <c r="O9406" s="22" t="str">
        <f>HYPERLINK("https://pbs.twimg.com/profile_images/917978818320715776/utiXFxZ1_normal.jpg","View")</f>
        <v>View</v>
      </c>
      <c r="P9406" s="27"/>
    </row>
    <row r="9407">
      <c r="A9407" s="14">
        <v>43032.017060185186</v>
      </c>
      <c r="B9407" s="20" t="str">
        <f>HYPERLINK("https://twitter.com/AsPacJames","@AsPacJames")</f>
        <v>@AsPacJames</v>
      </c>
      <c r="C9407" s="21" t="s">
        <v>20584</v>
      </c>
      <c r="D9407" s="21" t="s">
        <v>20569</v>
      </c>
      <c r="E9407" s="22" t="str">
        <f>HYPERLINK("https://twitter.com/AsPacJames/status/922725488933654528","922725488933654528")</f>
        <v>922725488933654528</v>
      </c>
      <c r="F9407" s="23" t="s">
        <v>39</v>
      </c>
      <c r="G9407" s="24">
        <v>868.0</v>
      </c>
      <c r="H9407" s="24">
        <v>500.0</v>
      </c>
      <c r="I9407" s="24">
        <v>11.0</v>
      </c>
      <c r="J9407" s="24">
        <v>0.0</v>
      </c>
      <c r="K9407" s="23" t="s">
        <v>34</v>
      </c>
      <c r="L9407" s="25">
        <v>40733.03673611111</v>
      </c>
      <c r="M9407" s="26" t="s">
        <v>334</v>
      </c>
      <c r="N9407" s="26" t="s">
        <v>20585</v>
      </c>
      <c r="O9407" s="22" t="str">
        <f>HYPERLINK("https://pbs.twimg.com/profile_images/1708053751/DSCF7658_normal.JPG","View")</f>
        <v>View</v>
      </c>
      <c r="P9407" s="27"/>
    </row>
    <row r="9408">
      <c r="A9408" s="14">
        <v>43032.017175925925</v>
      </c>
      <c r="B9408" s="20" t="str">
        <f>HYPERLINK("https://twitter.com/nishchayapallav","@nishchayapallav")</f>
        <v>@nishchayapallav</v>
      </c>
      <c r="C9408" s="21" t="s">
        <v>20586</v>
      </c>
      <c r="D9408" s="21" t="s">
        <v>42</v>
      </c>
      <c r="E9408" s="22" t="str">
        <f>HYPERLINK("https://twitter.com/nishchayapallav/status/922725530700410880","922725530700410880")</f>
        <v>922725530700410880</v>
      </c>
      <c r="F9408" s="23" t="s">
        <v>33</v>
      </c>
      <c r="G9408" s="24">
        <v>406.0</v>
      </c>
      <c r="H9408" s="24">
        <v>659.0</v>
      </c>
      <c r="I9408" s="24">
        <v>8501.0</v>
      </c>
      <c r="J9408" s="24">
        <v>0.0</v>
      </c>
      <c r="K9408" s="23" t="s">
        <v>34</v>
      </c>
      <c r="L9408" s="25">
        <v>40269.21627314815</v>
      </c>
      <c r="M9408" s="26" t="s">
        <v>20587</v>
      </c>
      <c r="N9408" s="26" t="s">
        <v>20588</v>
      </c>
      <c r="O9408" s="22" t="str">
        <f>HYPERLINK("https://pbs.twimg.com/profile_images/768091363506135040/UzUWwocK_normal.jpg","View")</f>
        <v>View</v>
      </c>
      <c r="P9408" s="27"/>
    </row>
    <row r="9409">
      <c r="A9409" s="14">
        <v>43032.01732638889</v>
      </c>
      <c r="B9409" s="20" t="str">
        <f>HYPERLINK("https://twitter.com/FinancialXpress","@FinancialXpress")</f>
        <v>@FinancialXpress</v>
      </c>
      <c r="C9409" s="21" t="s">
        <v>20589</v>
      </c>
      <c r="D9409" s="21" t="s">
        <v>20590</v>
      </c>
      <c r="E9409" s="22" t="str">
        <f>HYPERLINK("https://twitter.com/FinancialXpress/status/922725585528422402","922725585528422402")</f>
        <v>922725585528422402</v>
      </c>
      <c r="F9409" s="23" t="s">
        <v>55</v>
      </c>
      <c r="G9409" s="24">
        <v>384448.0</v>
      </c>
      <c r="H9409" s="24">
        <v>70.0</v>
      </c>
      <c r="I9409" s="24">
        <v>0.0</v>
      </c>
      <c r="J9409" s="24">
        <v>2.0</v>
      </c>
      <c r="K9409" s="23" t="s">
        <v>34</v>
      </c>
      <c r="L9409" s="25">
        <v>39988.18702546296</v>
      </c>
      <c r="M9409" s="26" t="s">
        <v>575</v>
      </c>
      <c r="N9409" s="26" t="s">
        <v>20591</v>
      </c>
      <c r="O9409" s="22" t="str">
        <f>HYPERLINK("https://pbs.twimg.com/profile_images/1195554309/FE-for-Facebook_normal.jpg","View")</f>
        <v>View</v>
      </c>
      <c r="P9409" s="27"/>
    </row>
    <row r="9410">
      <c r="A9410" s="14">
        <v>43032.01770833333</v>
      </c>
      <c r="B9410" s="20" t="str">
        <f>HYPERLINK("https://twitter.com/Arjunpapu","@Arjunpapu")</f>
        <v>@Arjunpapu</v>
      </c>
      <c r="C9410" s="21" t="s">
        <v>20592</v>
      </c>
      <c r="D9410" s="21" t="s">
        <v>20593</v>
      </c>
      <c r="E9410" s="22" t="str">
        <f>HYPERLINK("https://twitter.com/Arjunpapu/status/922725721499361281","922725721499361281")</f>
        <v>922725721499361281</v>
      </c>
      <c r="F9410" s="23" t="s">
        <v>55</v>
      </c>
      <c r="G9410" s="24">
        <v>30.0</v>
      </c>
      <c r="H9410" s="24">
        <v>20.0</v>
      </c>
      <c r="I9410" s="24">
        <v>0.0</v>
      </c>
      <c r="J9410" s="24">
        <v>0.0</v>
      </c>
      <c r="K9410" s="23" t="s">
        <v>34</v>
      </c>
      <c r="L9410" s="25">
        <v>40773.88043981481</v>
      </c>
      <c r="M9410" s="26" t="s">
        <v>603</v>
      </c>
      <c r="N9410" s="26" t="s">
        <v>20594</v>
      </c>
      <c r="O9410" s="22" t="str">
        <f>HYPERLINK("https://pbs.twimg.com/profile_images/866904781855621120/YRp6w01M_normal.jpg","View")</f>
        <v>View</v>
      </c>
      <c r="P9410" s="27"/>
    </row>
    <row r="9411">
      <c r="A9411" s="14">
        <v>43032.01771990741</v>
      </c>
      <c r="B9411" s="20" t="str">
        <f>HYPERLINK("https://twitter.com/SwapnajeetDas","@SwapnajeetDas")</f>
        <v>@SwapnajeetDas</v>
      </c>
      <c r="C9411" s="21" t="s">
        <v>20595</v>
      </c>
      <c r="D9411" s="21" t="s">
        <v>42</v>
      </c>
      <c r="E9411" s="22" t="str">
        <f>HYPERLINK("https://twitter.com/SwapnajeetDas/status/922725727719645184","922725727719645184")</f>
        <v>922725727719645184</v>
      </c>
      <c r="F9411" s="23" t="s">
        <v>33</v>
      </c>
      <c r="G9411" s="24">
        <v>244.0</v>
      </c>
      <c r="H9411" s="24">
        <v>176.0</v>
      </c>
      <c r="I9411" s="24">
        <v>8501.0</v>
      </c>
      <c r="J9411" s="24">
        <v>0.0</v>
      </c>
      <c r="K9411" s="23" t="s">
        <v>34</v>
      </c>
      <c r="L9411" s="25">
        <v>41721.33930555556</v>
      </c>
      <c r="M9411" s="26" t="s">
        <v>4398</v>
      </c>
      <c r="N9411" s="26" t="s">
        <v>20596</v>
      </c>
      <c r="O9411" s="22" t="str">
        <f>HYPERLINK("https://pbs.twimg.com/profile_images/921750814263164928/h1VXXDHd_normal.jpg","View")</f>
        <v>View</v>
      </c>
      <c r="P9411" s="27"/>
    </row>
    <row r="9412">
      <c r="A9412" s="14">
        <v>43032.0177662037</v>
      </c>
      <c r="B9412" s="20" t="str">
        <f>HYPERLINK("https://twitter.com/bestinvest","@bestinvest")</f>
        <v>@bestinvest</v>
      </c>
      <c r="C9412" s="21" t="s">
        <v>20597</v>
      </c>
      <c r="D9412" s="21" t="s">
        <v>20598</v>
      </c>
      <c r="E9412" s="22" t="str">
        <f>HYPERLINK("https://twitter.com/bestinvest/status/922725744987574272","922725744987574272")</f>
        <v>922725744987574272</v>
      </c>
      <c r="F9412" s="23" t="s">
        <v>39</v>
      </c>
      <c r="G9412" s="24">
        <v>4435.0</v>
      </c>
      <c r="H9412" s="24">
        <v>1812.0</v>
      </c>
      <c r="I9412" s="24">
        <v>1.0</v>
      </c>
      <c r="J9412" s="24">
        <v>1.0</v>
      </c>
      <c r="K9412" s="23" t="s">
        <v>34</v>
      </c>
      <c r="L9412" s="25">
        <v>39849.13304398148</v>
      </c>
      <c r="M9412" s="26" t="s">
        <v>40</v>
      </c>
      <c r="N9412" s="26" t="s">
        <v>20599</v>
      </c>
      <c r="O9412" s="22" t="str">
        <f>HYPERLINK("https://pbs.twimg.com/profile_images/828568191253245952/GGIinJpm_normal.jpg","View")</f>
        <v>View</v>
      </c>
      <c r="P9412" s="27"/>
    </row>
    <row r="9413">
      <c r="A9413" s="14">
        <v>43032.01820601852</v>
      </c>
      <c r="B9413" s="20" t="str">
        <f>HYPERLINK("https://twitter.com/dedov_alexander","@dedov_alexander")</f>
        <v>@dedov_alexander</v>
      </c>
      <c r="C9413" s="21" t="s">
        <v>20600</v>
      </c>
      <c r="D9413" s="21" t="s">
        <v>20601</v>
      </c>
      <c r="E9413" s="22" t="str">
        <f>HYPERLINK("https://twitter.com/dedov_alexander/status/922725901728735232","922725901728735232")</f>
        <v>922725901728735232</v>
      </c>
      <c r="F9413" s="23" t="s">
        <v>230</v>
      </c>
      <c r="G9413" s="24">
        <v>60.0</v>
      </c>
      <c r="H9413" s="24">
        <v>266.0</v>
      </c>
      <c r="I9413" s="24">
        <v>0.0</v>
      </c>
      <c r="J9413" s="24">
        <v>1.0</v>
      </c>
      <c r="K9413" s="23" t="s">
        <v>34</v>
      </c>
      <c r="L9413" s="25">
        <v>41532.131064814814</v>
      </c>
      <c r="M9413" s="26" t="s">
        <v>20602</v>
      </c>
      <c r="N9413" s="26" t="s">
        <v>20603</v>
      </c>
      <c r="O9413" s="22" t="str">
        <f>HYPERLINK("https://pbs.twimg.com/profile_images/911725246113308674/zdh74aeJ_normal.jpg","View")</f>
        <v>View</v>
      </c>
      <c r="P9413" s="27"/>
    </row>
    <row r="9414">
      <c r="A9414" s="14">
        <v>43032.01851851852</v>
      </c>
      <c r="B9414" s="20" t="str">
        <f>HYPERLINK("https://twitter.com/srikanthbond007","@srikanthbond007")</f>
        <v>@srikanthbond007</v>
      </c>
      <c r="C9414" s="21" t="s">
        <v>20604</v>
      </c>
      <c r="D9414" s="21" t="s">
        <v>42</v>
      </c>
      <c r="E9414" s="22" t="str">
        <f>HYPERLINK("https://twitter.com/srikanthbond007/status/922726016149098496","922726016149098496")</f>
        <v>922726016149098496</v>
      </c>
      <c r="F9414" s="23" t="s">
        <v>33</v>
      </c>
      <c r="G9414" s="24">
        <v>10041.0</v>
      </c>
      <c r="H9414" s="24">
        <v>625.0</v>
      </c>
      <c r="I9414" s="24">
        <v>8501.0</v>
      </c>
      <c r="J9414" s="24">
        <v>0.0</v>
      </c>
      <c r="K9414" s="23" t="s">
        <v>34</v>
      </c>
      <c r="L9414" s="25">
        <v>40440.18269675926</v>
      </c>
      <c r="M9414" s="26" t="s">
        <v>20605</v>
      </c>
      <c r="N9414" s="26" t="s">
        <v>20606</v>
      </c>
      <c r="O9414" s="22" t="str">
        <f>HYPERLINK("https://pbs.twimg.com/profile_images/890212130011586560/GEc9P5IN_normal.jpg","View")</f>
        <v>View</v>
      </c>
      <c r="P9414" s="27"/>
    </row>
    <row r="9415">
      <c r="A9415" s="14">
        <v>43032.01876157407</v>
      </c>
      <c r="B9415" s="20" t="str">
        <f>HYPERLINK("https://twitter.com/navinjoshi1947","@navinjoshi1947")</f>
        <v>@navinjoshi1947</v>
      </c>
      <c r="C9415" s="21" t="s">
        <v>20607</v>
      </c>
      <c r="D9415" s="21" t="s">
        <v>42</v>
      </c>
      <c r="E9415" s="22" t="str">
        <f>HYPERLINK("https://twitter.com/navinjoshi1947/status/922726102946246656","922726102946246656")</f>
        <v>922726102946246656</v>
      </c>
      <c r="F9415" s="23" t="s">
        <v>39</v>
      </c>
      <c r="G9415" s="24">
        <v>3881.0</v>
      </c>
      <c r="H9415" s="24">
        <v>3096.0</v>
      </c>
      <c r="I9415" s="24">
        <v>8501.0</v>
      </c>
      <c r="J9415" s="24">
        <v>0.0</v>
      </c>
      <c r="K9415" s="23" t="s">
        <v>34</v>
      </c>
      <c r="L9415" s="25">
        <v>41370.64076388889</v>
      </c>
      <c r="M9415" s="26" t="s">
        <v>20608</v>
      </c>
      <c r="N9415" s="26" t="s">
        <v>20609</v>
      </c>
      <c r="O9415" s="22" t="str">
        <f>HYPERLINK("https://pbs.twimg.com/profile_images/916712304523337729/X7UA9zS9_normal.jpg","View")</f>
        <v>View</v>
      </c>
      <c r="P9415" s="27"/>
    </row>
    <row r="9416">
      <c r="A9416" s="14">
        <v>43032.01917824074</v>
      </c>
      <c r="B9416" s="20" t="str">
        <f>HYPERLINK("https://twitter.com/jasonhollands","@jasonhollands")</f>
        <v>@jasonhollands</v>
      </c>
      <c r="C9416" s="21" t="s">
        <v>20610</v>
      </c>
      <c r="D9416" s="21" t="s">
        <v>20611</v>
      </c>
      <c r="E9416" s="22" t="str">
        <f>HYPERLINK("https://twitter.com/jasonhollands/status/922726257145544706","922726257145544706")</f>
        <v>922726257145544706</v>
      </c>
      <c r="F9416" s="23" t="s">
        <v>39</v>
      </c>
      <c r="G9416" s="24">
        <v>2197.0</v>
      </c>
      <c r="H9416" s="24">
        <v>598.0</v>
      </c>
      <c r="I9416" s="24">
        <v>1.0</v>
      </c>
      <c r="J9416" s="24">
        <v>0.0</v>
      </c>
      <c r="K9416" s="23" t="s">
        <v>34</v>
      </c>
      <c r="L9416" s="25">
        <v>39858.2821875</v>
      </c>
      <c r="M9416" s="26" t="s">
        <v>20612</v>
      </c>
      <c r="N9416" s="26" t="s">
        <v>20613</v>
      </c>
      <c r="O9416" s="22" t="str">
        <f>HYPERLINK("https://pbs.twimg.com/profile_images/738449029638524931/7SARJKV8_normal.jpg","View")</f>
        <v>View</v>
      </c>
      <c r="P9416" s="27"/>
    </row>
    <row r="9417">
      <c r="A9417" s="14">
        <v>43032.019375</v>
      </c>
      <c r="B9417" s="20" t="str">
        <f>HYPERLINK("https://twitter.com/JapanPress_wky","@JapanPress_wky")</f>
        <v>@JapanPress_wky</v>
      </c>
      <c r="C9417" s="21" t="s">
        <v>13033</v>
      </c>
      <c r="D9417" s="21" t="s">
        <v>14999</v>
      </c>
      <c r="E9417" s="22" t="str">
        <f>HYPERLINK("https://twitter.com/JapanPress_wky/status/922726328440274949","922726328440274949")</f>
        <v>922726328440274949</v>
      </c>
      <c r="F9417" s="30" t="s">
        <v>659</v>
      </c>
      <c r="G9417" s="24">
        <v>1253.0</v>
      </c>
      <c r="H9417" s="24">
        <v>176.0</v>
      </c>
      <c r="I9417" s="24">
        <v>0.0</v>
      </c>
      <c r="J9417" s="24">
        <v>0.0</v>
      </c>
      <c r="K9417" s="23" t="s">
        <v>34</v>
      </c>
      <c r="L9417" s="25">
        <v>40821.911782407406</v>
      </c>
      <c r="M9417" s="26" t="s">
        <v>923</v>
      </c>
      <c r="N9417" s="26" t="s">
        <v>13035</v>
      </c>
      <c r="O9417" s="22" t="str">
        <f>HYPERLINK("https://pbs.twimg.com/profile_images/1595831534/JapanPress_wky_normal.jpg","View")</f>
        <v>View</v>
      </c>
      <c r="P9417" s="27"/>
    </row>
    <row r="9418">
      <c r="A9418" s="14">
        <v>43032.01980324074</v>
      </c>
      <c r="B9418" s="20" t="str">
        <f>HYPERLINK("https://twitter.com/dhruvbhim","@dhruvbhim")</f>
        <v>@dhruvbhim</v>
      </c>
      <c r="C9418" s="21" t="s">
        <v>420</v>
      </c>
      <c r="D9418" s="21" t="s">
        <v>42</v>
      </c>
      <c r="E9418" s="22" t="str">
        <f>HYPERLINK("https://twitter.com/dhruvbhim/status/922726482220343296","922726482220343296")</f>
        <v>922726482220343296</v>
      </c>
      <c r="F9418" s="23" t="s">
        <v>33</v>
      </c>
      <c r="G9418" s="24">
        <v>3561.0</v>
      </c>
      <c r="H9418" s="24">
        <v>112.0</v>
      </c>
      <c r="I9418" s="24">
        <v>8501.0</v>
      </c>
      <c r="J9418" s="24">
        <v>0.0</v>
      </c>
      <c r="K9418" s="23" t="s">
        <v>34</v>
      </c>
      <c r="L9418" s="25">
        <v>41417.87299768518</v>
      </c>
      <c r="M9418" s="28"/>
      <c r="N9418" s="26" t="s">
        <v>421</v>
      </c>
      <c r="O9418" s="22" t="str">
        <f>HYPERLINK("https://pbs.twimg.com/profile_images/869432277402607616/b97FXQPZ_normal.jpg","View")</f>
        <v>View</v>
      </c>
      <c r="P9418" s="27"/>
    </row>
    <row r="9419">
      <c r="A9419" s="14">
        <v>43032.01982638889</v>
      </c>
      <c r="B9419" s="20" t="str">
        <f>HYPERLINK("https://twitter.com/LPalmaCane","@LPalmaCane")</f>
        <v>@LPalmaCane</v>
      </c>
      <c r="C9419" s="21" t="s">
        <v>20614</v>
      </c>
      <c r="D9419" s="21" t="s">
        <v>20615</v>
      </c>
      <c r="E9419" s="22" t="str">
        <f>HYPERLINK("https://twitter.com/LPalmaCane/status/922726490982305792","922726490982305792")</f>
        <v>922726490982305792</v>
      </c>
      <c r="F9419" s="23" t="s">
        <v>39</v>
      </c>
      <c r="G9419" s="24">
        <v>4743.0</v>
      </c>
      <c r="H9419" s="24">
        <v>263.0</v>
      </c>
      <c r="I9419" s="24">
        <v>0.0</v>
      </c>
      <c r="J9419" s="24">
        <v>0.0</v>
      </c>
      <c r="K9419" s="23" t="s">
        <v>34</v>
      </c>
      <c r="L9419" s="25">
        <v>40770.55244212963</v>
      </c>
      <c r="M9419" s="28"/>
      <c r="N9419" s="28"/>
      <c r="O9419" s="22" t="str">
        <f>HYPERLINK("https://pbs.twimg.com/profile_images/3704883572/4127d5e09d9fda3dced5fcd0897d7ce9_normal.jpeg","View")</f>
        <v>View</v>
      </c>
      <c r="P9419" s="27"/>
    </row>
    <row r="9420">
      <c r="A9420" s="14">
        <v>43032.01984953704</v>
      </c>
      <c r="B9420" s="20" t="str">
        <f>HYPERLINK("https://twitter.com/harimohanJoshi4","@harimohanJoshi4")</f>
        <v>@harimohanJoshi4</v>
      </c>
      <c r="C9420" s="21" t="s">
        <v>20616</v>
      </c>
      <c r="D9420" s="21" t="s">
        <v>42</v>
      </c>
      <c r="E9420" s="22" t="str">
        <f>HYPERLINK("https://twitter.com/harimohanJoshi4/status/922726499966259200","922726499966259200")</f>
        <v>922726499966259200</v>
      </c>
      <c r="F9420" s="23" t="s">
        <v>33</v>
      </c>
      <c r="G9420" s="24">
        <v>21.0</v>
      </c>
      <c r="H9420" s="24">
        <v>228.0</v>
      </c>
      <c r="I9420" s="24">
        <v>8501.0</v>
      </c>
      <c r="J9420" s="24">
        <v>0.0</v>
      </c>
      <c r="K9420" s="23" t="s">
        <v>34</v>
      </c>
      <c r="L9420" s="25">
        <v>42815.60241898148</v>
      </c>
      <c r="M9420" s="28"/>
      <c r="N9420" s="26" t="s">
        <v>20617</v>
      </c>
      <c r="O9420" s="22" t="str">
        <f>HYPERLINK("https://pbs.twimg.com/profile_images/896596297745956864/1FXrfkEa_normal.jpg","View")</f>
        <v>View</v>
      </c>
      <c r="P9420" s="27"/>
    </row>
    <row r="9421">
      <c r="A9421" s="14">
        <v>43032.02106481481</v>
      </c>
      <c r="B9421" s="20" t="str">
        <f>HYPERLINK("https://twitter.com/jagdale_amol","@jagdale_amol")</f>
        <v>@jagdale_amol</v>
      </c>
      <c r="C9421" s="21" t="s">
        <v>20618</v>
      </c>
      <c r="D9421" s="21" t="s">
        <v>20619</v>
      </c>
      <c r="E9421" s="22" t="str">
        <f>HYPERLINK("https://twitter.com/jagdale_amol/status/922726937763729409","922726937763729409")</f>
        <v>922726937763729409</v>
      </c>
      <c r="F9421" s="23" t="s">
        <v>33</v>
      </c>
      <c r="G9421" s="24">
        <v>39.0</v>
      </c>
      <c r="H9421" s="24">
        <v>244.0</v>
      </c>
      <c r="I9421" s="24">
        <v>0.0</v>
      </c>
      <c r="J9421" s="24">
        <v>0.0</v>
      </c>
      <c r="K9421" s="23" t="s">
        <v>34</v>
      </c>
      <c r="L9421" s="25">
        <v>41033.20060185185</v>
      </c>
      <c r="M9421" s="26" t="s">
        <v>246</v>
      </c>
      <c r="N9421" s="26" t="s">
        <v>20620</v>
      </c>
      <c r="O9421" s="22" t="str">
        <f>HYPERLINK("https://pbs.twimg.com/profile_images/784048049353924608/xWWuOOnH_normal.jpg","View")</f>
        <v>View</v>
      </c>
      <c r="P9421" s="27"/>
    </row>
    <row r="9422">
      <c r="A9422" s="14">
        <v>43032.02134259259</v>
      </c>
      <c r="B9422" s="20" t="str">
        <f>HYPERLINK("https://twitter.com/ZyiteGadgets","@ZyiteGadgets")</f>
        <v>@ZyiteGadgets</v>
      </c>
      <c r="C9422" s="21" t="s">
        <v>1033</v>
      </c>
      <c r="D9422" s="21" t="s">
        <v>20621</v>
      </c>
      <c r="E9422" s="22" t="str">
        <f>HYPERLINK("https://twitter.com/ZyiteGadgets/status/922727041484623872","922727041484623872")</f>
        <v>922727041484623872</v>
      </c>
      <c r="F9422" s="23" t="s">
        <v>427</v>
      </c>
      <c r="G9422" s="24">
        <v>3531.0</v>
      </c>
      <c r="H9422" s="24">
        <v>4846.0</v>
      </c>
      <c r="I9422" s="24">
        <v>0.0</v>
      </c>
      <c r="J9422" s="24">
        <v>0.0</v>
      </c>
      <c r="K9422" s="23" t="s">
        <v>34</v>
      </c>
      <c r="L9422" s="25">
        <v>41470.61478009259</v>
      </c>
      <c r="M9422" s="35" t="s">
        <v>1035</v>
      </c>
      <c r="N9422" s="26" t="s">
        <v>1036</v>
      </c>
      <c r="O9422" s="22" t="str">
        <f>HYPERLINK("https://pbs.twimg.com/profile_images/487701633489313793/pIxJHFt5_normal.jpeg","View")</f>
        <v>View</v>
      </c>
      <c r="P9422" s="27"/>
    </row>
    <row r="9423">
      <c r="A9423" s="14">
        <v>43032.02143518519</v>
      </c>
      <c r="B9423" s="20" t="str">
        <f>HYPERLINK("https://twitter.com/stockmarketpuls","@stockmarketpuls")</f>
        <v>@stockmarketpuls</v>
      </c>
      <c r="C9423" s="21" t="s">
        <v>19162</v>
      </c>
      <c r="D9423" s="21" t="s">
        <v>20622</v>
      </c>
      <c r="E9423" s="22" t="str">
        <f>HYPERLINK("https://twitter.com/stockmarketpuls/status/922727073281642496","922727073281642496")</f>
        <v>922727073281642496</v>
      </c>
      <c r="F9423" s="23" t="s">
        <v>91</v>
      </c>
      <c r="G9423" s="24">
        <v>1490.0</v>
      </c>
      <c r="H9423" s="24">
        <v>91.0</v>
      </c>
      <c r="I9423" s="24">
        <v>0.0</v>
      </c>
      <c r="J9423" s="24">
        <v>0.0</v>
      </c>
      <c r="K9423" s="23" t="s">
        <v>34</v>
      </c>
      <c r="L9423" s="25">
        <v>41365.475648148145</v>
      </c>
      <c r="M9423" s="26" t="s">
        <v>531</v>
      </c>
      <c r="N9423" s="26" t="s">
        <v>19164</v>
      </c>
      <c r="O9423" s="22" t="str">
        <f>HYPERLINK("https://pbs.twimg.com/profile_images/3462943067/a4819030bc38bd5a264542abbd4c9c8d_normal.png","View")</f>
        <v>View</v>
      </c>
      <c r="P9423" s="27"/>
    </row>
    <row r="9424">
      <c r="A9424" s="14">
        <v>43032.022152777776</v>
      </c>
      <c r="B9424" s="20" t="str">
        <f>HYPERLINK("https://twitter.com/BrianSureh","@BrianSureh")</f>
        <v>@BrianSureh</v>
      </c>
      <c r="C9424" s="21" t="s">
        <v>20623</v>
      </c>
      <c r="D9424" s="21" t="s">
        <v>32</v>
      </c>
      <c r="E9424" s="22" t="str">
        <f>HYPERLINK("https://twitter.com/BrianSureh/status/922727334544859137","922727334544859137")</f>
        <v>922727334544859137</v>
      </c>
      <c r="F9424" s="23" t="s">
        <v>33</v>
      </c>
      <c r="G9424" s="24">
        <v>859.0</v>
      </c>
      <c r="H9424" s="24">
        <v>1054.0</v>
      </c>
      <c r="I9424" s="24">
        <v>471.0</v>
      </c>
      <c r="J9424" s="24">
        <v>0.0</v>
      </c>
      <c r="K9424" s="23" t="s">
        <v>34</v>
      </c>
      <c r="L9424" s="25">
        <v>41629.09159722222</v>
      </c>
      <c r="M9424" s="26" t="s">
        <v>1457</v>
      </c>
      <c r="N9424" s="26" t="s">
        <v>20624</v>
      </c>
      <c r="O9424" s="22" t="str">
        <f>HYPERLINK("https://pbs.twimg.com/profile_images/914876396312367104/ChEVZRaB_normal.jpg","View")</f>
        <v>View</v>
      </c>
      <c r="P9424" s="27"/>
    </row>
    <row r="9425">
      <c r="A9425" s="14">
        <v>43032.022268518514</v>
      </c>
      <c r="B9425" s="20" t="str">
        <f>HYPERLINK("https://twitter.com/VipinMa45383240","@VipinMa45383240")</f>
        <v>@VipinMa45383240</v>
      </c>
      <c r="C9425" s="21" t="s">
        <v>20625</v>
      </c>
      <c r="D9425" s="21" t="s">
        <v>42</v>
      </c>
      <c r="E9425" s="22" t="str">
        <f>HYPERLINK("https://twitter.com/VipinMa45383240/status/922727375762112513","922727375762112513")</f>
        <v>922727375762112513</v>
      </c>
      <c r="F9425" s="23" t="s">
        <v>33</v>
      </c>
      <c r="G9425" s="24">
        <v>0.0</v>
      </c>
      <c r="H9425" s="24">
        <v>77.0</v>
      </c>
      <c r="I9425" s="24">
        <v>8501.0</v>
      </c>
      <c r="J9425" s="24">
        <v>0.0</v>
      </c>
      <c r="K9425" s="23" t="s">
        <v>34</v>
      </c>
      <c r="L9425" s="25">
        <v>43023.92450231481</v>
      </c>
      <c r="M9425" s="26" t="s">
        <v>8019</v>
      </c>
      <c r="N9425" s="28"/>
      <c r="O9425" s="22" t="str">
        <f>HYPERLINK("https://pbs.twimg.com/profile_images/919793817624100866/qzzjKnXd_normal.jpg","View")</f>
        <v>View</v>
      </c>
      <c r="P9425" s="27"/>
    </row>
    <row r="9426">
      <c r="A9426" s="14">
        <v>43032.02240740741</v>
      </c>
      <c r="B9426" s="20" t="str">
        <f>HYPERLINK("https://twitter.com/UKElect070515","@UKElect070515")</f>
        <v>@UKElect070515</v>
      </c>
      <c r="C9426" s="21" t="s">
        <v>20626</v>
      </c>
      <c r="D9426" s="21" t="s">
        <v>20627</v>
      </c>
      <c r="E9426" s="22" t="str">
        <f>HYPERLINK("https://twitter.com/UKElect070515/status/922727425825562624","922727425825562624")</f>
        <v>922727425825562624</v>
      </c>
      <c r="F9426" s="23" t="s">
        <v>187</v>
      </c>
      <c r="G9426" s="24">
        <v>72.0</v>
      </c>
      <c r="H9426" s="24">
        <v>277.0</v>
      </c>
      <c r="I9426" s="24">
        <v>0.0</v>
      </c>
      <c r="J9426" s="24">
        <v>0.0</v>
      </c>
      <c r="K9426" s="23" t="s">
        <v>34</v>
      </c>
      <c r="L9426" s="25">
        <v>42077.503657407404</v>
      </c>
      <c r="M9426" s="28"/>
      <c r="N9426" s="26" t="s">
        <v>20628</v>
      </c>
      <c r="O9426" s="22" t="str">
        <f>HYPERLINK("https://pbs.twimg.com/profile_images/582431924133728256/jbqYZCMv_normal.png","View")</f>
        <v>View</v>
      </c>
      <c r="P9426" s="27"/>
    </row>
    <row r="9427">
      <c r="A9427" s="14">
        <v>43032.02334490741</v>
      </c>
      <c r="B9427" s="20" t="str">
        <f>HYPERLINK("https://twitter.com/jacksnewswatch","@jacksnewswatch")</f>
        <v>@jacksnewswatch</v>
      </c>
      <c r="C9427" s="21" t="s">
        <v>20629</v>
      </c>
      <c r="D9427" s="21" t="s">
        <v>20630</v>
      </c>
      <c r="E9427" s="22" t="str">
        <f>HYPERLINK("https://twitter.com/jacksnewswatch/status/922727767489122304","922727767489122304")</f>
        <v>922727767489122304</v>
      </c>
      <c r="F9427" s="23" t="s">
        <v>55</v>
      </c>
      <c r="G9427" s="24">
        <v>89.0</v>
      </c>
      <c r="H9427" s="24">
        <v>16.0</v>
      </c>
      <c r="I9427" s="24">
        <v>0.0</v>
      </c>
      <c r="J9427" s="24">
        <v>0.0</v>
      </c>
      <c r="K9427" s="23" t="s">
        <v>34</v>
      </c>
      <c r="L9427" s="25">
        <v>40387.44716435185</v>
      </c>
      <c r="M9427" s="26" t="s">
        <v>20631</v>
      </c>
      <c r="N9427" s="26" t="s">
        <v>20632</v>
      </c>
      <c r="O9427" s="22" t="str">
        <f>HYPERLINK("https://pbs.twimg.com/profile_images/888792067895414784/0LHbubKF_normal.jpg","View")</f>
        <v>View</v>
      </c>
      <c r="P9427" s="27"/>
    </row>
    <row r="9428">
      <c r="A9428" s="14">
        <v>43032.02358796296</v>
      </c>
      <c r="B9428" s="20" t="str">
        <f>HYPERLINK("https://twitter.com/ellellejp","@ellellejp")</f>
        <v>@ellellejp</v>
      </c>
      <c r="C9428" s="21" t="s">
        <v>20633</v>
      </c>
      <c r="D9428" s="21" t="s">
        <v>42</v>
      </c>
      <c r="E9428" s="22" t="str">
        <f>HYPERLINK("https://twitter.com/ellellejp/status/922727853719818240","922727853719818240")</f>
        <v>922727853719818240</v>
      </c>
      <c r="F9428" s="23" t="s">
        <v>9112</v>
      </c>
      <c r="G9428" s="24">
        <v>286.0</v>
      </c>
      <c r="H9428" s="24">
        <v>416.0</v>
      </c>
      <c r="I9428" s="24">
        <v>8501.0</v>
      </c>
      <c r="J9428" s="24">
        <v>0.0</v>
      </c>
      <c r="K9428" s="23" t="s">
        <v>34</v>
      </c>
      <c r="L9428" s="25">
        <v>42179.32736111111</v>
      </c>
      <c r="M9428" s="28"/>
      <c r="N9428" s="26" t="s">
        <v>20634</v>
      </c>
      <c r="O9428" s="22" t="str">
        <f>HYPERLINK("https://pbs.twimg.com/profile_images/897281267229540352/XDlpf4go_normal.jpg","View")</f>
        <v>View</v>
      </c>
      <c r="P9428" s="27"/>
    </row>
    <row r="9429">
      <c r="A9429" s="14">
        <v>43032.02377314815</v>
      </c>
      <c r="B9429" s="20" t="str">
        <f>HYPERLINK("https://twitter.com/PathakMalhar","@PathakMalhar")</f>
        <v>@PathakMalhar</v>
      </c>
      <c r="C9429" s="21" t="s">
        <v>20635</v>
      </c>
      <c r="D9429" s="21" t="s">
        <v>42</v>
      </c>
      <c r="E9429" s="22" t="str">
        <f>HYPERLINK("https://twitter.com/PathakMalhar/status/922727919314718720","922727919314718720")</f>
        <v>922727919314718720</v>
      </c>
      <c r="F9429" s="23" t="s">
        <v>55</v>
      </c>
      <c r="G9429" s="24">
        <v>147.0</v>
      </c>
      <c r="H9429" s="24">
        <v>1345.0</v>
      </c>
      <c r="I9429" s="24">
        <v>8501.0</v>
      </c>
      <c r="J9429" s="24">
        <v>0.0</v>
      </c>
      <c r="K9429" s="23" t="s">
        <v>34</v>
      </c>
      <c r="L9429" s="25">
        <v>42156.07195601852</v>
      </c>
      <c r="M9429" s="26" t="s">
        <v>246</v>
      </c>
      <c r="N9429" s="26" t="s">
        <v>20636</v>
      </c>
      <c r="O9429" s="22" t="str">
        <f>HYPERLINK("https://pbs.twimg.com/profile_images/917675148882329600/0tQCSi01_normal.jpg","View")</f>
        <v>View</v>
      </c>
      <c r="P9429" s="27"/>
    </row>
    <row r="9430">
      <c r="A9430" s="14">
        <v>43032.02390046296</v>
      </c>
      <c r="B9430" s="20" t="str">
        <f>HYPERLINK("https://twitter.com/TribuneWorld","@TribuneWorld")</f>
        <v>@TribuneWorld</v>
      </c>
      <c r="C9430" s="21" t="s">
        <v>5746</v>
      </c>
      <c r="D9430" s="21" t="s">
        <v>20637</v>
      </c>
      <c r="E9430" s="22" t="str">
        <f>HYPERLINK("https://twitter.com/TribuneWorld/status/922727965913477121","922727965913477121")</f>
        <v>922727965913477121</v>
      </c>
      <c r="F9430" s="23" t="s">
        <v>187</v>
      </c>
      <c r="G9430" s="24">
        <v>97.0</v>
      </c>
      <c r="H9430" s="24">
        <v>0.0</v>
      </c>
      <c r="I9430" s="24">
        <v>0.0</v>
      </c>
      <c r="J9430" s="24">
        <v>0.0</v>
      </c>
      <c r="K9430" s="23" t="s">
        <v>34</v>
      </c>
      <c r="L9430" s="25">
        <v>42502.35219907407</v>
      </c>
      <c r="M9430" s="26" t="s">
        <v>762</v>
      </c>
      <c r="N9430" s="26" t="s">
        <v>5748</v>
      </c>
      <c r="O9430" s="22" t="str">
        <f>HYPERLINK("https://pbs.twimg.com/profile_images/884044391823712256/EmtohZxH_normal.jpg","View")</f>
        <v>View</v>
      </c>
      <c r="P9430" s="27"/>
    </row>
    <row r="9431">
      <c r="A9431" s="14">
        <v>43032.02400462963</v>
      </c>
      <c r="B9431" s="20" t="str">
        <f>HYPERLINK("https://twitter.com/evance2016","@evance2016")</f>
        <v>@evance2016</v>
      </c>
      <c r="C9431" s="21" t="s">
        <v>20638</v>
      </c>
      <c r="D9431" s="21" t="s">
        <v>32</v>
      </c>
      <c r="E9431" s="22" t="str">
        <f>HYPERLINK("https://twitter.com/evance2016/status/922728004756877312","922728004756877312")</f>
        <v>922728004756877312</v>
      </c>
      <c r="F9431" s="23" t="s">
        <v>33</v>
      </c>
      <c r="G9431" s="24">
        <v>88.0</v>
      </c>
      <c r="H9431" s="24">
        <v>354.0</v>
      </c>
      <c r="I9431" s="24">
        <v>471.0</v>
      </c>
      <c r="J9431" s="24">
        <v>0.0</v>
      </c>
      <c r="K9431" s="23" t="s">
        <v>34</v>
      </c>
      <c r="L9431" s="25">
        <v>42346.04825231481</v>
      </c>
      <c r="M9431" s="28"/>
      <c r="N9431" s="28"/>
      <c r="O9431" s="22" t="str">
        <f>HYPERLINK("https://pbs.twimg.com/profile_images/911105176630710273/OzCO2Tsc_normal.jpg","View")</f>
        <v>View</v>
      </c>
      <c r="P9431" s="27"/>
    </row>
    <row r="9432">
      <c r="A9432" s="14">
        <v>43032.024097222224</v>
      </c>
      <c r="B9432" s="20" t="str">
        <f>HYPERLINK("https://twitter.com/Kethical","@Kethical")</f>
        <v>@Kethical</v>
      </c>
      <c r="C9432" s="21" t="s">
        <v>20639</v>
      </c>
      <c r="D9432" s="21" t="s">
        <v>8505</v>
      </c>
      <c r="E9432" s="22" t="str">
        <f>HYPERLINK("https://twitter.com/Kethical/status/922728036751085569","922728036751085569")</f>
        <v>922728036751085569</v>
      </c>
      <c r="F9432" s="23" t="s">
        <v>39</v>
      </c>
      <c r="G9432" s="24">
        <v>1416.0</v>
      </c>
      <c r="H9432" s="24">
        <v>2497.0</v>
      </c>
      <c r="I9432" s="24">
        <v>22.0</v>
      </c>
      <c r="J9432" s="24">
        <v>0.0</v>
      </c>
      <c r="K9432" s="23" t="s">
        <v>34</v>
      </c>
      <c r="L9432" s="25">
        <v>40415.096342592595</v>
      </c>
      <c r="M9432" s="26" t="s">
        <v>334</v>
      </c>
      <c r="N9432" s="26" t="s">
        <v>20640</v>
      </c>
      <c r="O9432" s="22" t="str">
        <f>HYPERLINK("https://pbs.twimg.com/profile_images/619528322511450112/g1_vlzYr_normal.jpg","View")</f>
        <v>View</v>
      </c>
      <c r="P9432" s="27"/>
    </row>
    <row r="9433">
      <c r="A9433" s="14">
        <v>43032.0249537037</v>
      </c>
      <c r="B9433" s="20" t="str">
        <f>HYPERLINK("https://twitter.com/GabbyOgbechie1","@GabbyOgbechie1")</f>
        <v>@GabbyOgbechie1</v>
      </c>
      <c r="C9433" s="21" t="s">
        <v>14478</v>
      </c>
      <c r="D9433" s="21" t="s">
        <v>20641</v>
      </c>
      <c r="E9433" s="22" t="str">
        <f>HYPERLINK("https://twitter.com/GabbyOgbechie1/status/922728348496916480","922728348496916480")</f>
        <v>922728348496916480</v>
      </c>
      <c r="F9433" s="23" t="s">
        <v>55</v>
      </c>
      <c r="G9433" s="24">
        <v>5066.0</v>
      </c>
      <c r="H9433" s="24">
        <v>5452.0</v>
      </c>
      <c r="I9433" s="24">
        <v>0.0</v>
      </c>
      <c r="J9433" s="24">
        <v>0.0</v>
      </c>
      <c r="K9433" s="23" t="s">
        <v>34</v>
      </c>
      <c r="L9433" s="25">
        <v>41416.53494212963</v>
      </c>
      <c r="M9433" s="26" t="s">
        <v>14480</v>
      </c>
      <c r="N9433" s="26" t="s">
        <v>14481</v>
      </c>
      <c r="O9433" s="22" t="str">
        <f>HYPERLINK("https://pbs.twimg.com/profile_images/475710173135122433/g6d6rAYp_normal.jpeg","View")</f>
        <v>View</v>
      </c>
      <c r="P9433" s="27"/>
    </row>
    <row r="9434">
      <c r="A9434" s="14">
        <v>43032.02503472222</v>
      </c>
      <c r="B9434" s="20" t="str">
        <f>HYPERLINK("https://twitter.com/jilevin","@jilevin")</f>
        <v>@jilevin</v>
      </c>
      <c r="C9434" s="21" t="s">
        <v>20642</v>
      </c>
      <c r="D9434" s="21" t="s">
        <v>20643</v>
      </c>
      <c r="E9434" s="22" t="str">
        <f>HYPERLINK("https://twitter.com/jilevin/status/922728378087682050","922728378087682050")</f>
        <v>922728378087682050</v>
      </c>
      <c r="F9434" s="23" t="s">
        <v>1119</v>
      </c>
      <c r="G9434" s="24">
        <v>568600.0</v>
      </c>
      <c r="H9434" s="24">
        <v>408632.0</v>
      </c>
      <c r="I9434" s="24">
        <v>3.0</v>
      </c>
      <c r="J9434" s="24">
        <v>1.0</v>
      </c>
      <c r="K9434" s="23" t="s">
        <v>34</v>
      </c>
      <c r="L9434" s="25">
        <v>39888.44646990741</v>
      </c>
      <c r="M9434" s="26" t="s">
        <v>7206</v>
      </c>
      <c r="N9434" s="26" t="s">
        <v>20644</v>
      </c>
      <c r="O9434" s="22" t="str">
        <f>HYPERLINK("https://pbs.twimg.com/profile_images/826519476564692992/vdos__BC_normal.jpg","View")</f>
        <v>View</v>
      </c>
      <c r="P9434" s="27"/>
    </row>
    <row r="9435">
      <c r="A9435" s="14">
        <v>43032.02508101852</v>
      </c>
      <c r="B9435" s="20" t="str">
        <f>HYPERLINK("https://twitter.com/TokyoUpdates","@TokyoUpdates")</f>
        <v>@TokyoUpdates</v>
      </c>
      <c r="C9435" s="21" t="s">
        <v>10479</v>
      </c>
      <c r="D9435" s="21" t="s">
        <v>20645</v>
      </c>
      <c r="E9435" s="22" t="str">
        <f>HYPERLINK("https://twitter.com/TokyoUpdates/status/922728393254121472","922728393254121472")</f>
        <v>922728393254121472</v>
      </c>
      <c r="F9435" s="30" t="s">
        <v>411</v>
      </c>
      <c r="G9435" s="24">
        <v>3889.0</v>
      </c>
      <c r="H9435" s="24">
        <v>3165.0</v>
      </c>
      <c r="I9435" s="24">
        <v>0.0</v>
      </c>
      <c r="J9435" s="24">
        <v>0.0</v>
      </c>
      <c r="K9435" s="23" t="s">
        <v>34</v>
      </c>
      <c r="L9435" s="25">
        <v>39991.756377314814</v>
      </c>
      <c r="M9435" s="26" t="s">
        <v>923</v>
      </c>
      <c r="N9435" s="26" t="s">
        <v>10481</v>
      </c>
      <c r="O9435" s="22" t="str">
        <f>HYPERLINK("https://pbs.twimg.com/profile_images/341007822/P1010009_normal.jpg","View")</f>
        <v>View</v>
      </c>
      <c r="P9435" s="27"/>
    </row>
    <row r="9436">
      <c r="A9436" s="14">
        <v>43032.02542824074</v>
      </c>
      <c r="B9436" s="20" t="str">
        <f>HYPERLINK("https://twitter.com/BhautikBodara","@BhautikBodara")</f>
        <v>@BhautikBodara</v>
      </c>
      <c r="C9436" s="21" t="s">
        <v>20646</v>
      </c>
      <c r="D9436" s="21" t="s">
        <v>42</v>
      </c>
      <c r="E9436" s="22" t="str">
        <f>HYPERLINK("https://twitter.com/BhautikBodara/status/922728520543023105","922728520543023105")</f>
        <v>922728520543023105</v>
      </c>
      <c r="F9436" s="23" t="s">
        <v>39</v>
      </c>
      <c r="G9436" s="24">
        <v>107.0</v>
      </c>
      <c r="H9436" s="24">
        <v>157.0</v>
      </c>
      <c r="I9436" s="24">
        <v>8501.0</v>
      </c>
      <c r="J9436" s="24">
        <v>0.0</v>
      </c>
      <c r="K9436" s="23" t="s">
        <v>34</v>
      </c>
      <c r="L9436" s="25">
        <v>42556.14585648148</v>
      </c>
      <c r="M9436" s="28"/>
      <c r="N9436" s="28"/>
      <c r="O9436" s="22" t="str">
        <f>HYPERLINK("https://pbs.twimg.com/profile_images/750278010830336000/ianpqRvF_normal.jpg","View")</f>
        <v>View</v>
      </c>
      <c r="P9436" s="27"/>
    </row>
    <row r="9437">
      <c r="A9437" s="14">
        <v>43032.025509259256</v>
      </c>
      <c r="B9437" s="20" t="str">
        <f>HYPERLINK("https://twitter.com/JDMayger","@JDMayger")</f>
        <v>@JDMayger</v>
      </c>
      <c r="C9437" s="21" t="s">
        <v>20647</v>
      </c>
      <c r="D9437" s="21" t="s">
        <v>20648</v>
      </c>
      <c r="E9437" s="22" t="str">
        <f>HYPERLINK("https://twitter.com/JDMayger/status/922728549299003393","922728549299003393")</f>
        <v>922728549299003393</v>
      </c>
      <c r="F9437" s="23" t="s">
        <v>55</v>
      </c>
      <c r="G9437" s="24">
        <v>350.0</v>
      </c>
      <c r="H9437" s="24">
        <v>877.0</v>
      </c>
      <c r="I9437" s="24">
        <v>1.0</v>
      </c>
      <c r="J9437" s="24">
        <v>3.0</v>
      </c>
      <c r="K9437" s="23" t="s">
        <v>34</v>
      </c>
      <c r="L9437" s="25">
        <v>40889.21008101852</v>
      </c>
      <c r="M9437" s="26" t="s">
        <v>3693</v>
      </c>
      <c r="N9437" s="26" t="s">
        <v>20649</v>
      </c>
      <c r="O9437" s="22" t="str">
        <f>HYPERLINK("https://pbs.twimg.com/profile_images/725158567360208897/R7McNh7J_normal.jpg","View")</f>
        <v>View</v>
      </c>
      <c r="P9437" s="27"/>
    </row>
    <row r="9438">
      <c r="A9438" s="14">
        <v>43032.02569444444</v>
      </c>
      <c r="B9438" s="20" t="str">
        <f>HYPERLINK("https://twitter.com/swarajshetty","@swarajshetty")</f>
        <v>@swarajshetty</v>
      </c>
      <c r="C9438" s="21" t="s">
        <v>20650</v>
      </c>
      <c r="D9438" s="21" t="s">
        <v>42</v>
      </c>
      <c r="E9438" s="22" t="str">
        <f>HYPERLINK("https://twitter.com/swarajshetty/status/922728617158656000","922728617158656000")</f>
        <v>922728617158656000</v>
      </c>
      <c r="F9438" s="23" t="s">
        <v>55</v>
      </c>
      <c r="G9438" s="24">
        <v>1885.0</v>
      </c>
      <c r="H9438" s="24">
        <v>409.0</v>
      </c>
      <c r="I9438" s="24">
        <v>8501.0</v>
      </c>
      <c r="J9438" s="24">
        <v>0.0</v>
      </c>
      <c r="K9438" s="23" t="s">
        <v>34</v>
      </c>
      <c r="L9438" s="25">
        <v>41053.15918981482</v>
      </c>
      <c r="M9438" s="26" t="s">
        <v>227</v>
      </c>
      <c r="N9438" s="26" t="s">
        <v>20651</v>
      </c>
      <c r="O9438" s="22" t="str">
        <f>HYPERLINK("https://pbs.twimg.com/profile_images/920357223829606400/3BSmHqEY_normal.jpg","View")</f>
        <v>View</v>
      </c>
      <c r="P9438" s="27"/>
    </row>
    <row r="9439">
      <c r="A9439" s="14">
        <v>43032.026087962964</v>
      </c>
      <c r="B9439" s="20" t="str">
        <f>HYPERLINK("https://twitter.com/5_3_5_3","@5_3_5_3")</f>
        <v>@5_3_5_3</v>
      </c>
      <c r="C9439" s="21" t="s">
        <v>20652</v>
      </c>
      <c r="D9439" s="21" t="s">
        <v>42</v>
      </c>
      <c r="E9439" s="22" t="str">
        <f>HYPERLINK("https://twitter.com/5_3_5_3/status/922728760729731073","922728760729731073")</f>
        <v>922728760729731073</v>
      </c>
      <c r="F9439" s="23" t="s">
        <v>39</v>
      </c>
      <c r="G9439" s="24">
        <v>2.0</v>
      </c>
      <c r="H9439" s="24">
        <v>23.0</v>
      </c>
      <c r="I9439" s="24">
        <v>8501.0</v>
      </c>
      <c r="J9439" s="24">
        <v>0.0</v>
      </c>
      <c r="K9439" s="23" t="s">
        <v>34</v>
      </c>
      <c r="L9439" s="25">
        <v>41171.60907407408</v>
      </c>
      <c r="M9439" s="28"/>
      <c r="N9439" s="28"/>
      <c r="O9439" s="22" t="str">
        <f>HYPERLINK("https://pbs.twimg.com/profile_images/774857143753158656/UduREayg_normal.jpg","View")</f>
        <v>View</v>
      </c>
      <c r="P9439" s="27"/>
    </row>
    <row r="9440">
      <c r="A9440" s="14">
        <v>43032.026620370365</v>
      </c>
      <c r="B9440" s="20" t="str">
        <f>HYPERLINK("https://twitter.com/news24tvchannel","@news24tvchannel")</f>
        <v>@news24tvchannel</v>
      </c>
      <c r="C9440" s="21" t="s">
        <v>20471</v>
      </c>
      <c r="D9440" s="21" t="s">
        <v>20653</v>
      </c>
      <c r="E9440" s="22" t="str">
        <f>HYPERLINK("https://twitter.com/news24tvchannel/status/922728954682847237","922728954682847237")</f>
        <v>922728954682847237</v>
      </c>
      <c r="F9440" s="23" t="s">
        <v>55</v>
      </c>
      <c r="G9440" s="24">
        <v>82545.0</v>
      </c>
      <c r="H9440" s="24">
        <v>269.0</v>
      </c>
      <c r="I9440" s="24">
        <v>1.0</v>
      </c>
      <c r="J9440" s="24">
        <v>4.0</v>
      </c>
      <c r="K9440" s="23" t="s">
        <v>34</v>
      </c>
      <c r="L9440" s="25">
        <v>39924.978738425925</v>
      </c>
      <c r="M9440" s="26" t="s">
        <v>3771</v>
      </c>
      <c r="N9440" s="26" t="s">
        <v>20474</v>
      </c>
      <c r="O9440" s="22" t="str">
        <f>HYPERLINK("https://pbs.twimg.com/profile_images/468672842041536512/Jz4k7USf_normal.jpeg","View")</f>
        <v>View</v>
      </c>
      <c r="P9440" s="27"/>
    </row>
    <row r="9441">
      <c r="A9441" s="14">
        <v>43032.02829861111</v>
      </c>
      <c r="B9441" s="20" t="str">
        <f>HYPERLINK("https://twitter.com/ODulainne","@ODulainne")</f>
        <v>@ODulainne</v>
      </c>
      <c r="C9441" s="21" t="s">
        <v>20654</v>
      </c>
      <c r="D9441" s="21" t="s">
        <v>20655</v>
      </c>
      <c r="E9441" s="22" t="str">
        <f>HYPERLINK("https://twitter.com/ODulainne/status/922729561984466944","922729561984466944")</f>
        <v>922729561984466944</v>
      </c>
      <c r="F9441" s="23" t="s">
        <v>769</v>
      </c>
      <c r="G9441" s="24">
        <v>250.0</v>
      </c>
      <c r="H9441" s="24">
        <v>50.0</v>
      </c>
      <c r="I9441" s="24">
        <v>0.0</v>
      </c>
      <c r="J9441" s="24">
        <v>0.0</v>
      </c>
      <c r="K9441" s="23" t="s">
        <v>34</v>
      </c>
      <c r="L9441" s="25">
        <v>40688.44012731481</v>
      </c>
      <c r="M9441" s="26" t="s">
        <v>20656</v>
      </c>
      <c r="N9441" s="26" t="s">
        <v>20657</v>
      </c>
      <c r="O9441" s="22" t="str">
        <f>HYPERLINK("https://pbs.twimg.com/profile_images/664393068536315904/SVZAO97q_normal.jpg","View")</f>
        <v>View</v>
      </c>
      <c r="P9441" s="27"/>
    </row>
    <row r="9442">
      <c r="A9442" s="14">
        <v>43032.02832175926</v>
      </c>
      <c r="B9442" s="20" t="str">
        <f>HYPERLINK("https://twitter.com/AnjuShankar","@AnjuShankar")</f>
        <v>@AnjuShankar</v>
      </c>
      <c r="C9442" s="21" t="s">
        <v>20658</v>
      </c>
      <c r="D9442" s="21" t="s">
        <v>42</v>
      </c>
      <c r="E9442" s="22" t="str">
        <f>HYPERLINK("https://twitter.com/AnjuShankar/status/922729569848778752","922729569848778752")</f>
        <v>922729569848778752</v>
      </c>
      <c r="F9442" s="23" t="s">
        <v>33</v>
      </c>
      <c r="G9442" s="24">
        <v>209.0</v>
      </c>
      <c r="H9442" s="24">
        <v>125.0</v>
      </c>
      <c r="I9442" s="24">
        <v>8501.0</v>
      </c>
      <c r="J9442" s="24">
        <v>0.0</v>
      </c>
      <c r="K9442" s="23" t="s">
        <v>34</v>
      </c>
      <c r="L9442" s="25">
        <v>40177.28171296296</v>
      </c>
      <c r="M9442" s="26" t="s">
        <v>1991</v>
      </c>
      <c r="N9442" s="26" t="s">
        <v>20659</v>
      </c>
      <c r="O9442" s="22" t="str">
        <f>HYPERLINK("https://pbs.twimg.com/profile_images/731432277352185856/1lemjI9c_normal.jpg","View")</f>
        <v>View</v>
      </c>
      <c r="P9442" s="27"/>
    </row>
    <row r="9443">
      <c r="A9443" s="14">
        <v>43032.02832175926</v>
      </c>
      <c r="B9443" s="20" t="str">
        <f>HYPERLINK("https://twitter.com/viloriojohnnyro","@viloriojohnnyro")</f>
        <v>@viloriojohnnyro</v>
      </c>
      <c r="C9443" s="21" t="s">
        <v>20660</v>
      </c>
      <c r="D9443" s="21" t="s">
        <v>18761</v>
      </c>
      <c r="E9443" s="22" t="str">
        <f>HYPERLINK("https://twitter.com/viloriojohnnyro/status/922729571543408640","922729571543408640")</f>
        <v>922729571543408640</v>
      </c>
      <c r="F9443" s="23" t="s">
        <v>33</v>
      </c>
      <c r="G9443" s="24">
        <v>68.0</v>
      </c>
      <c r="H9443" s="24">
        <v>195.0</v>
      </c>
      <c r="I9443" s="24">
        <v>11.0</v>
      </c>
      <c r="J9443" s="24">
        <v>0.0</v>
      </c>
      <c r="K9443" s="23" t="s">
        <v>34</v>
      </c>
      <c r="L9443" s="25">
        <v>42217.4015162037</v>
      </c>
      <c r="M9443" s="26" t="s">
        <v>5253</v>
      </c>
      <c r="N9443" s="26" t="s">
        <v>20661</v>
      </c>
      <c r="O9443" s="22" t="str">
        <f>HYPERLINK("https://pbs.twimg.com/profile_images/774843532603305984/l94a4aIz_normal.jpg","View")</f>
        <v>View</v>
      </c>
      <c r="P9443" s="27"/>
    </row>
    <row r="9444">
      <c r="A9444" s="14">
        <v>43032.02858796297</v>
      </c>
      <c r="B9444" s="20" t="str">
        <f>HYPERLINK("https://twitter.com/unnique","@unnique")</f>
        <v>@unnique</v>
      </c>
      <c r="C9444" s="21" t="s">
        <v>20662</v>
      </c>
      <c r="D9444" s="21" t="s">
        <v>20663</v>
      </c>
      <c r="E9444" s="22" t="str">
        <f>HYPERLINK("https://twitter.com/unnique/status/922729666430976000","922729666430976000")</f>
        <v>922729666430976000</v>
      </c>
      <c r="F9444" s="23" t="s">
        <v>55</v>
      </c>
      <c r="G9444" s="24">
        <v>679.0</v>
      </c>
      <c r="H9444" s="24">
        <v>1014.0</v>
      </c>
      <c r="I9444" s="24">
        <v>0.0</v>
      </c>
      <c r="J9444" s="24">
        <v>0.0</v>
      </c>
      <c r="K9444" s="23" t="s">
        <v>34</v>
      </c>
      <c r="L9444" s="25">
        <v>39904.21108796296</v>
      </c>
      <c r="M9444" s="26" t="s">
        <v>96</v>
      </c>
      <c r="N9444" s="26" t="s">
        <v>20664</v>
      </c>
      <c r="O9444" s="22" t="str">
        <f>HYPERLINK("https://pbs.twimg.com/profile_images/705636196190285828/aEPFKa4i_normal.jpg","View")</f>
        <v>View</v>
      </c>
      <c r="P9444" s="27"/>
    </row>
    <row r="9445">
      <c r="A9445" s="14">
        <v>43032.02863425926</v>
      </c>
      <c r="B9445" s="20" t="str">
        <f>HYPERLINK("https://twitter.com/Jessie_Legaspi","@Jessie_Legaspi")</f>
        <v>@Jessie_Legaspi</v>
      </c>
      <c r="C9445" s="21" t="s">
        <v>20665</v>
      </c>
      <c r="D9445" s="21" t="s">
        <v>18917</v>
      </c>
      <c r="E9445" s="22" t="str">
        <f>HYPERLINK("https://twitter.com/Jessie_Legaspi/status/922729681475928064","922729681475928064")</f>
        <v>922729681475928064</v>
      </c>
      <c r="F9445" s="23" t="s">
        <v>55</v>
      </c>
      <c r="G9445" s="24">
        <v>14.0</v>
      </c>
      <c r="H9445" s="24">
        <v>169.0</v>
      </c>
      <c r="I9445" s="24">
        <v>6.0</v>
      </c>
      <c r="J9445" s="24">
        <v>0.0</v>
      </c>
      <c r="K9445" s="23" t="s">
        <v>34</v>
      </c>
      <c r="L9445" s="25">
        <v>41095.676400462966</v>
      </c>
      <c r="M9445" s="28"/>
      <c r="N9445" s="28"/>
      <c r="O9445" s="22" t="str">
        <f>HYPERLINK("https://pbs.twimg.com/profile_images/2524091137/4vx7xpmilu5t4fh229v2_normal.jpeg","View")</f>
        <v>View</v>
      </c>
      <c r="P9445" s="27"/>
    </row>
    <row r="9446">
      <c r="A9446" s="14">
        <v>43032.028912037036</v>
      </c>
      <c r="B9446" s="20" t="str">
        <f>HYPERLINK("https://twitter.com/tps223","@tps223")</f>
        <v>@tps223</v>
      </c>
      <c r="C9446" s="21" t="s">
        <v>20666</v>
      </c>
      <c r="D9446" s="21" t="s">
        <v>42</v>
      </c>
      <c r="E9446" s="22" t="str">
        <f>HYPERLINK("https://twitter.com/tps223/status/922729785314312192","922729785314312192")</f>
        <v>922729785314312192</v>
      </c>
      <c r="F9446" s="23" t="s">
        <v>43</v>
      </c>
      <c r="G9446" s="24">
        <v>247.0</v>
      </c>
      <c r="H9446" s="24">
        <v>147.0</v>
      </c>
      <c r="I9446" s="24">
        <v>8501.0</v>
      </c>
      <c r="J9446" s="24">
        <v>0.0</v>
      </c>
      <c r="K9446" s="23" t="s">
        <v>34</v>
      </c>
      <c r="L9446" s="25">
        <v>41498.219247685185</v>
      </c>
      <c r="M9446" s="26" t="s">
        <v>164</v>
      </c>
      <c r="N9446" s="26" t="s">
        <v>20667</v>
      </c>
      <c r="O9446" s="22" t="str">
        <f>HYPERLINK("https://pbs.twimg.com/profile_images/853232865131102209/sN5Xe_rC_normal.jpg","View")</f>
        <v>View</v>
      </c>
      <c r="P9446" s="27"/>
    </row>
    <row r="9447">
      <c r="A9447" s="14">
        <v>43032.029178240744</v>
      </c>
      <c r="B9447" s="20" t="str">
        <f>HYPERLINK("https://twitter.com/hiro_miura","@hiro_miura")</f>
        <v>@hiro_miura</v>
      </c>
      <c r="C9447" s="21" t="s">
        <v>20668</v>
      </c>
      <c r="D9447" s="21" t="s">
        <v>1642</v>
      </c>
      <c r="E9447" s="22" t="str">
        <f>HYPERLINK("https://twitter.com/hiro_miura/status/922729879824560128","922729879824560128")</f>
        <v>922729879824560128</v>
      </c>
      <c r="F9447" s="23" t="s">
        <v>55</v>
      </c>
      <c r="G9447" s="24">
        <v>637.0</v>
      </c>
      <c r="H9447" s="24">
        <v>771.0</v>
      </c>
      <c r="I9447" s="24">
        <v>199.0</v>
      </c>
      <c r="J9447" s="24">
        <v>0.0</v>
      </c>
      <c r="K9447" s="23" t="s">
        <v>34</v>
      </c>
      <c r="L9447" s="25">
        <v>40184.69210648148</v>
      </c>
      <c r="M9447" s="26" t="s">
        <v>8894</v>
      </c>
      <c r="N9447" s="26" t="s">
        <v>20669</v>
      </c>
      <c r="O9447" s="22" t="str">
        <f>HYPERLINK("https://pbs.twimg.com/profile_images/714949396/TS350028_normal.JPG","View")</f>
        <v>View</v>
      </c>
      <c r="P9447" s="27"/>
    </row>
    <row r="9448">
      <c r="A9448" s="14">
        <v>43032.02922453704</v>
      </c>
      <c r="B9448" s="20" t="str">
        <f>HYPERLINK("https://twitter.com/aamirrashidkhan","@aamirrashidkhan")</f>
        <v>@aamirrashidkhan</v>
      </c>
      <c r="C9448" s="21" t="s">
        <v>3828</v>
      </c>
      <c r="D9448" s="21" t="s">
        <v>20670</v>
      </c>
      <c r="E9448" s="22" t="str">
        <f>HYPERLINK("https://twitter.com/aamirrashidkhan/status/922729898669572096","922729898669572096")</f>
        <v>922729898669572096</v>
      </c>
      <c r="F9448" s="30" t="s">
        <v>411</v>
      </c>
      <c r="G9448" s="24">
        <v>57.0</v>
      </c>
      <c r="H9448" s="24">
        <v>34.0</v>
      </c>
      <c r="I9448" s="24">
        <v>0.0</v>
      </c>
      <c r="J9448" s="24">
        <v>0.0</v>
      </c>
      <c r="K9448" s="23" t="s">
        <v>34</v>
      </c>
      <c r="L9448" s="25">
        <v>40160.43053240741</v>
      </c>
      <c r="M9448" s="28"/>
      <c r="N9448" s="26" t="s">
        <v>3830</v>
      </c>
      <c r="O9448" s="22" t="str">
        <f>HYPERLINK("https://pbs.twimg.com/profile_images/800993452037115904/ZtO6cUGv_normal.jpg","View")</f>
        <v>View</v>
      </c>
      <c r="P9448" s="27"/>
    </row>
    <row r="9449">
      <c r="A9449" s="14">
        <v>43032.02936342593</v>
      </c>
      <c r="B9449" s="20" t="str">
        <f>HYPERLINK("https://twitter.com/AkashSi04850187","@AkashSi04850187")</f>
        <v>@AkashSi04850187</v>
      </c>
      <c r="C9449" s="21" t="s">
        <v>13600</v>
      </c>
      <c r="D9449" s="21" t="s">
        <v>42</v>
      </c>
      <c r="E9449" s="22" t="str">
        <f>HYPERLINK("https://twitter.com/AkashSi04850187/status/922729947591880710","922729947591880710")</f>
        <v>922729947591880710</v>
      </c>
      <c r="F9449" s="23" t="s">
        <v>33</v>
      </c>
      <c r="G9449" s="24">
        <v>1.0</v>
      </c>
      <c r="H9449" s="24">
        <v>130.0</v>
      </c>
      <c r="I9449" s="24">
        <v>8501.0</v>
      </c>
      <c r="J9449" s="24">
        <v>0.0</v>
      </c>
      <c r="K9449" s="23" t="s">
        <v>34</v>
      </c>
      <c r="L9449" s="25">
        <v>43029.90555555555</v>
      </c>
      <c r="M9449" s="26" t="s">
        <v>204</v>
      </c>
      <c r="N9449" s="26" t="s">
        <v>20671</v>
      </c>
      <c r="O9449" s="22" t="str">
        <f>HYPERLINK("https://pbs.twimg.com/profile_images/921962223504781312/ROMO2Mop_normal.jpg","View")</f>
        <v>View</v>
      </c>
      <c r="P9449" s="27"/>
    </row>
    <row r="9450">
      <c r="A9450" s="14">
        <v>43032.03002314815</v>
      </c>
      <c r="B9450" s="20" t="str">
        <f>HYPERLINK("https://twitter.com/subhamkgp95","@subhamkgp95")</f>
        <v>@subhamkgp95</v>
      </c>
      <c r="C9450" s="21" t="s">
        <v>20672</v>
      </c>
      <c r="D9450" s="21" t="s">
        <v>42</v>
      </c>
      <c r="E9450" s="22" t="str">
        <f>HYPERLINK("https://twitter.com/subhamkgp95/status/922730184075128832","922730184075128832")</f>
        <v>922730184075128832</v>
      </c>
      <c r="F9450" s="23" t="s">
        <v>33</v>
      </c>
      <c r="G9450" s="24">
        <v>49.0</v>
      </c>
      <c r="H9450" s="24">
        <v>244.0</v>
      </c>
      <c r="I9450" s="24">
        <v>8501.0</v>
      </c>
      <c r="J9450" s="24">
        <v>0.0</v>
      </c>
      <c r="K9450" s="23" t="s">
        <v>34</v>
      </c>
      <c r="L9450" s="25">
        <v>41958.41171296296</v>
      </c>
      <c r="M9450" s="26" t="s">
        <v>20673</v>
      </c>
      <c r="N9450" s="26" t="s">
        <v>20674</v>
      </c>
      <c r="O9450" s="22" t="str">
        <f>HYPERLINK("https://pbs.twimg.com/profile_images/808723984644796417/uCu7vTGU_normal.jpg","View")</f>
        <v>View</v>
      </c>
      <c r="P9450" s="27"/>
    </row>
    <row r="9451">
      <c r="A9451" s="14">
        <v>43032.030497685184</v>
      </c>
      <c r="B9451" s="20" t="str">
        <f>HYPERLINK("https://twitter.com/AmiyaDujarsingh","@AmiyaDujarsingh")</f>
        <v>@AmiyaDujarsingh</v>
      </c>
      <c r="C9451" s="21" t="s">
        <v>20675</v>
      </c>
      <c r="D9451" s="21" t="s">
        <v>42</v>
      </c>
      <c r="E9451" s="22" t="str">
        <f>HYPERLINK("https://twitter.com/AmiyaDujarsingh/status/922730356490620928","922730356490620928")</f>
        <v>922730356490620928</v>
      </c>
      <c r="F9451" s="23" t="s">
        <v>33</v>
      </c>
      <c r="G9451" s="24">
        <v>212.0</v>
      </c>
      <c r="H9451" s="24">
        <v>284.0</v>
      </c>
      <c r="I9451" s="24">
        <v>8501.0</v>
      </c>
      <c r="J9451" s="24">
        <v>0.0</v>
      </c>
      <c r="K9451" s="23" t="s">
        <v>34</v>
      </c>
      <c r="L9451" s="25">
        <v>42535.1987037037</v>
      </c>
      <c r="M9451" s="26" t="s">
        <v>572</v>
      </c>
      <c r="N9451" s="26" t="s">
        <v>20676</v>
      </c>
      <c r="O9451" s="22" t="str">
        <f>HYPERLINK("https://pbs.twimg.com/profile_images/896035354066771968/8-OqGqDW_normal.jpg","View")</f>
        <v>View</v>
      </c>
      <c r="P9451" s="27"/>
    </row>
    <row r="9452">
      <c r="A9452" s="14">
        <v>43032.03101851852</v>
      </c>
      <c r="B9452" s="20" t="str">
        <f>HYPERLINK("https://twitter.com/rivercaren","@rivercaren")</f>
        <v>@rivercaren</v>
      </c>
      <c r="C9452" s="21" t="s">
        <v>20677</v>
      </c>
      <c r="D9452" s="21" t="s">
        <v>20678</v>
      </c>
      <c r="E9452" s="22" t="str">
        <f>HYPERLINK("https://twitter.com/rivercaren/status/922730545955483648","922730545955483648")</f>
        <v>922730545955483648</v>
      </c>
      <c r="F9452" s="23" t="s">
        <v>39</v>
      </c>
      <c r="G9452" s="24">
        <v>2003.0</v>
      </c>
      <c r="H9452" s="24">
        <v>2722.0</v>
      </c>
      <c r="I9452" s="24">
        <v>3.0</v>
      </c>
      <c r="J9452" s="24">
        <v>0.0</v>
      </c>
      <c r="K9452" s="23" t="s">
        <v>34</v>
      </c>
      <c r="L9452" s="25">
        <v>40735.379953703705</v>
      </c>
      <c r="M9452" s="26" t="s">
        <v>3011</v>
      </c>
      <c r="N9452" s="26" t="s">
        <v>20679</v>
      </c>
      <c r="O9452" s="22" t="str">
        <f>HYPERLINK("https://pbs.twimg.com/profile_images/1509809750/image_normal.jpg","View")</f>
        <v>View</v>
      </c>
      <c r="P9452" s="27"/>
    </row>
    <row r="9453">
      <c r="A9453" s="14">
        <v>43032.031076388885</v>
      </c>
      <c r="B9453" s="20" t="str">
        <f>HYPERLINK("https://twitter.com/shikinami","@shikinami")</f>
        <v>@shikinami</v>
      </c>
      <c r="C9453" s="21" t="s">
        <v>20680</v>
      </c>
      <c r="D9453" s="21" t="s">
        <v>20569</v>
      </c>
      <c r="E9453" s="22" t="str">
        <f>HYPERLINK("https://twitter.com/shikinami/status/922730568290205696","922730568290205696")</f>
        <v>922730568290205696</v>
      </c>
      <c r="F9453" s="23" t="s">
        <v>39</v>
      </c>
      <c r="G9453" s="24">
        <v>247.0</v>
      </c>
      <c r="H9453" s="24">
        <v>237.0</v>
      </c>
      <c r="I9453" s="24">
        <v>11.0</v>
      </c>
      <c r="J9453" s="24">
        <v>0.0</v>
      </c>
      <c r="K9453" s="23" t="s">
        <v>34</v>
      </c>
      <c r="L9453" s="25">
        <v>40015.339641203704</v>
      </c>
      <c r="M9453" s="26" t="s">
        <v>853</v>
      </c>
      <c r="N9453" s="26" t="s">
        <v>20681</v>
      </c>
      <c r="O9453" s="22" t="str">
        <f>HYPERLINK("https://pbs.twimg.com/profile_images/818973842097905664/eXRQEAs2_normal.jpg","View")</f>
        <v>View</v>
      </c>
      <c r="P9453" s="27"/>
    </row>
    <row r="9454">
      <c r="A9454" s="14">
        <v>43032.03167824074</v>
      </c>
      <c r="B9454" s="20" t="str">
        <f>HYPERLINK("https://twitter.com/sakamotoinvest","@sakamotoinvest")</f>
        <v>@sakamotoinvest</v>
      </c>
      <c r="C9454" s="21" t="s">
        <v>20682</v>
      </c>
      <c r="D9454" s="21" t="s">
        <v>20683</v>
      </c>
      <c r="E9454" s="22" t="str">
        <f>HYPERLINK("https://twitter.com/sakamotoinvest/status/922730784577818624","922730784577818624")</f>
        <v>922730784577818624</v>
      </c>
      <c r="F9454" s="23" t="s">
        <v>43</v>
      </c>
      <c r="G9454" s="24">
        <v>1031.0</v>
      </c>
      <c r="H9454" s="24">
        <v>5001.0</v>
      </c>
      <c r="I9454" s="24">
        <v>2.0</v>
      </c>
      <c r="J9454" s="24">
        <v>0.0</v>
      </c>
      <c r="K9454" s="23" t="s">
        <v>34</v>
      </c>
      <c r="L9454" s="25">
        <v>42340.871469907404</v>
      </c>
      <c r="M9454" s="28"/>
      <c r="N9454" s="28"/>
      <c r="O9454" s="22" t="str">
        <f>HYPERLINK("https://pbs.twimg.com/profile_images/672278766358364160/MwtKJ5bn_normal.png","View")</f>
        <v>View</v>
      </c>
      <c r="P9454" s="27"/>
    </row>
    <row r="9455">
      <c r="A9455" s="14">
        <v>43032.032326388886</v>
      </c>
      <c r="B9455" s="20" t="str">
        <f>HYPERLINK("https://twitter.com/LiborSmolik","@LiborSmolik")</f>
        <v>@LiborSmolik</v>
      </c>
      <c r="C9455" s="21" t="s">
        <v>20684</v>
      </c>
      <c r="D9455" s="21" t="s">
        <v>20685</v>
      </c>
      <c r="E9455" s="22" t="str">
        <f>HYPERLINK("https://twitter.com/LiborSmolik/status/922731022042652672","922731022042652672")</f>
        <v>922731022042652672</v>
      </c>
      <c r="F9455" s="23" t="s">
        <v>55</v>
      </c>
      <c r="G9455" s="24">
        <v>600.0</v>
      </c>
      <c r="H9455" s="24">
        <v>129.0</v>
      </c>
      <c r="I9455" s="24">
        <v>1.0</v>
      </c>
      <c r="J9455" s="24">
        <v>0.0</v>
      </c>
      <c r="K9455" s="23" t="s">
        <v>34</v>
      </c>
      <c r="L9455" s="25">
        <v>39887.444699074076</v>
      </c>
      <c r="M9455" s="26" t="s">
        <v>20686</v>
      </c>
      <c r="N9455" s="26" t="s">
        <v>20687</v>
      </c>
      <c r="O9455" s="22" t="str">
        <f>HYPERLINK("https://pbs.twimg.com/profile_images/922480779401289729/MsKtAvLa_normal.jpg","View")</f>
        <v>View</v>
      </c>
      <c r="P9455" s="27"/>
    </row>
    <row r="9456">
      <c r="A9456" s="14">
        <v>43032.03238425926</v>
      </c>
      <c r="B9456" s="20" t="str">
        <f>HYPERLINK("https://twitter.com/sakamotoinvest","@sakamotoinvest")</f>
        <v>@sakamotoinvest</v>
      </c>
      <c r="C9456" s="21" t="s">
        <v>20682</v>
      </c>
      <c r="D9456" s="21" t="s">
        <v>17690</v>
      </c>
      <c r="E9456" s="22" t="str">
        <f>HYPERLINK("https://twitter.com/sakamotoinvest/status/922731040497573888","922731040497573888")</f>
        <v>922731040497573888</v>
      </c>
      <c r="F9456" s="23" t="s">
        <v>43</v>
      </c>
      <c r="G9456" s="24">
        <v>1031.0</v>
      </c>
      <c r="H9456" s="24">
        <v>5001.0</v>
      </c>
      <c r="I9456" s="24">
        <v>7.0</v>
      </c>
      <c r="J9456" s="24">
        <v>0.0</v>
      </c>
      <c r="K9456" s="23" t="s">
        <v>34</v>
      </c>
      <c r="L9456" s="25">
        <v>42340.871469907404</v>
      </c>
      <c r="M9456" s="28"/>
      <c r="N9456" s="28"/>
      <c r="O9456" s="22" t="str">
        <f>HYPERLINK("https://pbs.twimg.com/profile_images/672278766358364160/MwtKJ5bn_normal.png","View")</f>
        <v>View</v>
      </c>
      <c r="P9456" s="27"/>
    </row>
    <row r="9457">
      <c r="A9457" s="14">
        <v>43032.032442129625</v>
      </c>
      <c r="B9457" s="20" t="str">
        <f>HYPERLINK("https://twitter.com/MasterImagineer","@MasterImagineer")</f>
        <v>@MasterImagineer</v>
      </c>
      <c r="C9457" s="21" t="s">
        <v>8847</v>
      </c>
      <c r="D9457" s="21" t="s">
        <v>12974</v>
      </c>
      <c r="E9457" s="22" t="str">
        <f>HYPERLINK("https://twitter.com/MasterImagineer/status/922731064451203072","922731064451203072")</f>
        <v>922731064451203072</v>
      </c>
      <c r="F9457" s="23" t="s">
        <v>39</v>
      </c>
      <c r="G9457" s="24">
        <v>730.0</v>
      </c>
      <c r="H9457" s="24">
        <v>2024.0</v>
      </c>
      <c r="I9457" s="24">
        <v>110.0</v>
      </c>
      <c r="J9457" s="24">
        <v>0.0</v>
      </c>
      <c r="K9457" s="23" t="s">
        <v>34</v>
      </c>
      <c r="L9457" s="25">
        <v>39999.99108796296</v>
      </c>
      <c r="M9457" s="26" t="s">
        <v>20688</v>
      </c>
      <c r="N9457" s="26" t="s">
        <v>20689</v>
      </c>
      <c r="O9457" s="22" t="str">
        <f>HYPERLINK("https://pbs.twimg.com/profile_images/882918724877012992/AZDKkEf0_normal.jpg","View")</f>
        <v>View</v>
      </c>
      <c r="P9457" s="27"/>
    </row>
    <row r="9458">
      <c r="A9458" s="14">
        <v>43032.03313657407</v>
      </c>
      <c r="B9458" s="20" t="str">
        <f>HYPERLINK("https://twitter.com/kaushik_ingti","@kaushik_ingti")</f>
        <v>@kaushik_ingti</v>
      </c>
      <c r="C9458" s="21" t="s">
        <v>20690</v>
      </c>
      <c r="D9458" s="21" t="s">
        <v>42</v>
      </c>
      <c r="E9458" s="22" t="str">
        <f>HYPERLINK("https://twitter.com/kaushik_ingti/status/922731313752244224","922731313752244224")</f>
        <v>922731313752244224</v>
      </c>
      <c r="F9458" s="23" t="s">
        <v>33</v>
      </c>
      <c r="G9458" s="24">
        <v>863.0</v>
      </c>
      <c r="H9458" s="24">
        <v>1737.0</v>
      </c>
      <c r="I9458" s="24">
        <v>8501.0</v>
      </c>
      <c r="J9458" s="24">
        <v>0.0</v>
      </c>
      <c r="K9458" s="23" t="s">
        <v>34</v>
      </c>
      <c r="L9458" s="25">
        <v>41552.86659722222</v>
      </c>
      <c r="M9458" s="26" t="s">
        <v>204</v>
      </c>
      <c r="N9458" s="26" t="s">
        <v>20691</v>
      </c>
      <c r="O9458" s="22" t="str">
        <f>HYPERLINK("https://pbs.twimg.com/profile_images/787311397441077248/BAROEOd3_normal.jpg","View")</f>
        <v>View</v>
      </c>
      <c r="P9458" s="27"/>
    </row>
    <row r="9459">
      <c r="A9459" s="14">
        <v>43032.033437499995</v>
      </c>
      <c r="B9459" s="20" t="str">
        <f>HYPERLINK("https://twitter.com/AjinkyaSusham","@AjinkyaSusham")</f>
        <v>@AjinkyaSusham</v>
      </c>
      <c r="C9459" s="21" t="s">
        <v>20692</v>
      </c>
      <c r="D9459" s="21" t="s">
        <v>42</v>
      </c>
      <c r="E9459" s="22" t="str">
        <f>HYPERLINK("https://twitter.com/AjinkyaSusham/status/922731422200225793","922731422200225793")</f>
        <v>922731422200225793</v>
      </c>
      <c r="F9459" s="23" t="s">
        <v>33</v>
      </c>
      <c r="G9459" s="24">
        <v>111.0</v>
      </c>
      <c r="H9459" s="24">
        <v>1971.0</v>
      </c>
      <c r="I9459" s="24">
        <v>8501.0</v>
      </c>
      <c r="J9459" s="24">
        <v>0.0</v>
      </c>
      <c r="K9459" s="23" t="s">
        <v>34</v>
      </c>
      <c r="L9459" s="25">
        <v>43013.879699074074</v>
      </c>
      <c r="M9459" s="26" t="s">
        <v>246</v>
      </c>
      <c r="N9459" s="26" t="s">
        <v>20693</v>
      </c>
      <c r="O9459" s="22" t="str">
        <f>HYPERLINK("https://pbs.twimg.com/profile_images/916482147837386752/s0gVmQ6l_normal.jpg","View")</f>
        <v>View</v>
      </c>
      <c r="P9459" s="27"/>
    </row>
    <row r="9460">
      <c r="A9460" s="14">
        <v>43032.033483796295</v>
      </c>
      <c r="B9460" s="20" t="str">
        <f>HYPERLINK("https://twitter.com/Vikkik88","@Vikkik88")</f>
        <v>@Vikkik88</v>
      </c>
      <c r="C9460" s="21" t="s">
        <v>20694</v>
      </c>
      <c r="D9460" s="21" t="s">
        <v>20678</v>
      </c>
      <c r="E9460" s="22" t="str">
        <f>HYPERLINK("https://twitter.com/Vikkik88/status/922731438918615041","922731438918615041")</f>
        <v>922731438918615041</v>
      </c>
      <c r="F9460" s="23" t="s">
        <v>39</v>
      </c>
      <c r="G9460" s="24">
        <v>1417.0</v>
      </c>
      <c r="H9460" s="24">
        <v>2131.0</v>
      </c>
      <c r="I9460" s="24">
        <v>3.0</v>
      </c>
      <c r="J9460" s="24">
        <v>0.0</v>
      </c>
      <c r="K9460" s="23" t="s">
        <v>34</v>
      </c>
      <c r="L9460" s="25">
        <v>40818.66149305555</v>
      </c>
      <c r="M9460" s="26" t="s">
        <v>18108</v>
      </c>
      <c r="N9460" s="28"/>
      <c r="O9460" s="22" t="str">
        <f>HYPERLINK("https://pbs.twimg.com/profile_images/564904092992950272/Eb3SuDIm_normal.jpeg","View")</f>
        <v>View</v>
      </c>
      <c r="P9460" s="27"/>
    </row>
    <row r="9461">
      <c r="A9461" s="14">
        <v>43032.03349537037</v>
      </c>
      <c r="B9461" s="20" t="str">
        <f>HYPERLINK("https://twitter.com/business","@business")</f>
        <v>@business</v>
      </c>
      <c r="C9461" s="21" t="s">
        <v>3937</v>
      </c>
      <c r="D9461" s="21" t="s">
        <v>20695</v>
      </c>
      <c r="E9461" s="22" t="str">
        <f>HYPERLINK("https://twitter.com/business/status/922731445193445377","922731445193445377")</f>
        <v>922731445193445377</v>
      </c>
      <c r="F9461" s="23" t="s">
        <v>1103</v>
      </c>
      <c r="G9461" s="24">
        <v>4337401.0</v>
      </c>
      <c r="H9461" s="24">
        <v>1088.0</v>
      </c>
      <c r="I9461" s="24">
        <v>27.0</v>
      </c>
      <c r="J9461" s="24">
        <v>26.0</v>
      </c>
      <c r="K9461" s="23" t="s">
        <v>34</v>
      </c>
      <c r="L9461" s="25">
        <v>39926.545335648145</v>
      </c>
      <c r="M9461" s="26" t="s">
        <v>3939</v>
      </c>
      <c r="N9461" s="26" t="s">
        <v>3940</v>
      </c>
      <c r="O9461" s="22" t="str">
        <f>HYPERLINK("https://pbs.twimg.com/profile_images/714946924105883648/4fgNVF4H_normal.jpg","View")</f>
        <v>View</v>
      </c>
      <c r="P9461" s="27"/>
    </row>
    <row r="9462">
      <c r="A9462" s="14">
        <v>43032.03350694444</v>
      </c>
      <c r="B9462" s="20" t="str">
        <f>HYPERLINK("https://twitter.com/cvijaykumar","@cvijaykumar")</f>
        <v>@cvijaykumar</v>
      </c>
      <c r="C9462" s="21" t="s">
        <v>20696</v>
      </c>
      <c r="D9462" s="21" t="s">
        <v>42</v>
      </c>
      <c r="E9462" s="22" t="str">
        <f>HYPERLINK("https://twitter.com/cvijaykumar/status/922731448766836737","922731448766836737")</f>
        <v>922731448766836737</v>
      </c>
      <c r="F9462" s="23" t="s">
        <v>33</v>
      </c>
      <c r="G9462" s="24">
        <v>242.0</v>
      </c>
      <c r="H9462" s="24">
        <v>1457.0</v>
      </c>
      <c r="I9462" s="24">
        <v>8501.0</v>
      </c>
      <c r="J9462" s="24">
        <v>0.0</v>
      </c>
      <c r="K9462" s="23" t="s">
        <v>34</v>
      </c>
      <c r="L9462" s="25">
        <v>39998.04280092593</v>
      </c>
      <c r="M9462" s="28"/>
      <c r="N9462" s="26" t="s">
        <v>20697</v>
      </c>
      <c r="O9462" s="22" t="str">
        <f>HYPERLINK("https://pbs.twimg.com/profile_images/574589013874495488/FLivMvwY_normal.jpeg","View")</f>
        <v>View</v>
      </c>
      <c r="P9462" s="27"/>
    </row>
    <row r="9463">
      <c r="A9463" s="14">
        <v>43032.033530092594</v>
      </c>
      <c r="B9463" s="20" t="str">
        <f>HYPERLINK("https://twitter.com/FallySomboNkhwa","@FallySomboNkhwa")</f>
        <v>@FallySomboNkhwa</v>
      </c>
      <c r="C9463" s="21" t="s">
        <v>4279</v>
      </c>
      <c r="D9463" s="21" t="s">
        <v>20698</v>
      </c>
      <c r="E9463" s="22" t="str">
        <f>HYPERLINK("https://twitter.com/FallySomboNkhwa/status/922731455423369216","922731455423369216")</f>
        <v>922731455423369216</v>
      </c>
      <c r="F9463" s="23" t="s">
        <v>187</v>
      </c>
      <c r="G9463" s="24">
        <v>406.0</v>
      </c>
      <c r="H9463" s="24">
        <v>2189.0</v>
      </c>
      <c r="I9463" s="24">
        <v>0.0</v>
      </c>
      <c r="J9463" s="24">
        <v>0.0</v>
      </c>
      <c r="K9463" s="23" t="s">
        <v>34</v>
      </c>
      <c r="L9463" s="25">
        <v>41551.82041666667</v>
      </c>
      <c r="M9463" s="26" t="s">
        <v>4281</v>
      </c>
      <c r="N9463" s="26" t="s">
        <v>4282</v>
      </c>
      <c r="O9463" s="22" t="str">
        <f>HYPERLINK("https://pbs.twimg.com/profile_images/543761133505503235/pKcg8bc2_normal.jpeg","View")</f>
        <v>View</v>
      </c>
      <c r="P9463" s="27"/>
    </row>
    <row r="9464">
      <c r="A9464" s="14">
        <v>43032.033680555556</v>
      </c>
      <c r="B9464" s="20" t="str">
        <f>HYPERLINK("https://twitter.com/graynoize","@graynoize")</f>
        <v>@graynoize</v>
      </c>
      <c r="C9464" s="21" t="s">
        <v>20699</v>
      </c>
      <c r="D9464" s="21" t="s">
        <v>20700</v>
      </c>
      <c r="E9464" s="22" t="str">
        <f>HYPERLINK("https://twitter.com/graynoize/status/922731512096636929","922731512096636929")</f>
        <v>922731512096636929</v>
      </c>
      <c r="F9464" s="23" t="s">
        <v>55</v>
      </c>
      <c r="G9464" s="24">
        <v>252.0</v>
      </c>
      <c r="H9464" s="24">
        <v>453.0</v>
      </c>
      <c r="I9464" s="24">
        <v>27.0</v>
      </c>
      <c r="J9464" s="24">
        <v>0.0</v>
      </c>
      <c r="K9464" s="23" t="s">
        <v>34</v>
      </c>
      <c r="L9464" s="25">
        <v>41405.87409722222</v>
      </c>
      <c r="M9464" s="26" t="s">
        <v>5618</v>
      </c>
      <c r="N9464" s="26" t="s">
        <v>20701</v>
      </c>
      <c r="O9464" s="22" t="str">
        <f>HYPERLINK("https://pbs.twimg.com/profile_images/635395045445636096/N4MR9vUb_normal.jpg","View")</f>
        <v>View</v>
      </c>
      <c r="P9464" s="27"/>
    </row>
    <row r="9465">
      <c r="A9465" s="14">
        <v>43032.03413194444</v>
      </c>
      <c r="B9465" s="20" t="str">
        <f>HYPERLINK("https://twitter.com/amandasome","@amandasome")</f>
        <v>@amandasome</v>
      </c>
      <c r="C9465" s="21" t="s">
        <v>2205</v>
      </c>
      <c r="D9465" s="21" t="s">
        <v>20702</v>
      </c>
      <c r="E9465" s="22" t="str">
        <f>HYPERLINK("https://twitter.com/amandasome/status/922731673535488000","922731673535488000")</f>
        <v>922731673535488000</v>
      </c>
      <c r="F9465" s="30" t="s">
        <v>411</v>
      </c>
      <c r="G9465" s="24">
        <v>1048.0</v>
      </c>
      <c r="H9465" s="24">
        <v>777.0</v>
      </c>
      <c r="I9465" s="24">
        <v>0.0</v>
      </c>
      <c r="J9465" s="24">
        <v>0.0</v>
      </c>
      <c r="K9465" s="23" t="s">
        <v>34</v>
      </c>
      <c r="L9465" s="25">
        <v>40458.66741898148</v>
      </c>
      <c r="M9465" s="26" t="s">
        <v>1961</v>
      </c>
      <c r="N9465" s="26" t="s">
        <v>2207</v>
      </c>
      <c r="O9465" s="22" t="str">
        <f>HYPERLINK("https://pbs.twimg.com/profile_images/768972424645898240/_AtgZ0os_normal.jpg","View")</f>
        <v>View</v>
      </c>
      <c r="P9465" s="27"/>
    </row>
    <row r="9466">
      <c r="A9466" s="14">
        <v>43032.034155092595</v>
      </c>
      <c r="B9466" s="20" t="str">
        <f>HYPERLINK("https://twitter.com/Pankaj16182","@Pankaj16182")</f>
        <v>@Pankaj16182</v>
      </c>
      <c r="C9466" s="21" t="s">
        <v>20703</v>
      </c>
      <c r="D9466" s="21" t="s">
        <v>42</v>
      </c>
      <c r="E9466" s="22" t="str">
        <f>HYPERLINK("https://twitter.com/Pankaj16182/status/922731683769548800","922731683769548800")</f>
        <v>922731683769548800</v>
      </c>
      <c r="F9466" s="23" t="s">
        <v>33</v>
      </c>
      <c r="G9466" s="24">
        <v>287.0</v>
      </c>
      <c r="H9466" s="24">
        <v>247.0</v>
      </c>
      <c r="I9466" s="24">
        <v>8501.0</v>
      </c>
      <c r="J9466" s="24">
        <v>0.0</v>
      </c>
      <c r="K9466" s="23" t="s">
        <v>34</v>
      </c>
      <c r="L9466" s="25">
        <v>41556.62642361111</v>
      </c>
      <c r="M9466" s="26" t="s">
        <v>20704</v>
      </c>
      <c r="N9466" s="26" t="s">
        <v>20705</v>
      </c>
      <c r="O9466" s="22" t="str">
        <f>HYPERLINK("https://pbs.twimg.com/profile_images/782933017639657472/xO-9diQK_normal.jpg","View")</f>
        <v>View</v>
      </c>
      <c r="P9466" s="27"/>
    </row>
    <row r="9467">
      <c r="A9467" s="14">
        <v>43032.03435185185</v>
      </c>
      <c r="B9467" s="20" t="str">
        <f>HYPERLINK("https://twitter.com/prepzilla","@prepzilla")</f>
        <v>@prepzilla</v>
      </c>
      <c r="C9467" s="21" t="s">
        <v>4010</v>
      </c>
      <c r="D9467" s="21" t="s">
        <v>20706</v>
      </c>
      <c r="E9467" s="22" t="str">
        <f>HYPERLINK("https://twitter.com/prepzilla/status/922731753109884928","922731753109884928")</f>
        <v>922731753109884928</v>
      </c>
      <c r="F9467" s="23" t="s">
        <v>187</v>
      </c>
      <c r="G9467" s="24">
        <v>7689.0</v>
      </c>
      <c r="H9467" s="24">
        <v>476.0</v>
      </c>
      <c r="I9467" s="24">
        <v>0.0</v>
      </c>
      <c r="J9467" s="24">
        <v>0.0</v>
      </c>
      <c r="K9467" s="23" t="s">
        <v>34</v>
      </c>
      <c r="L9467" s="25">
        <v>41299.741736111115</v>
      </c>
      <c r="M9467" s="26" t="s">
        <v>4012</v>
      </c>
      <c r="N9467" s="26" t="s">
        <v>4013</v>
      </c>
      <c r="O9467" s="22" t="str">
        <f>HYPERLINK("https://pbs.twimg.com/profile_images/900797880516005888/1bWN5qbC_normal.jpg","View")</f>
        <v>View</v>
      </c>
      <c r="P9467" s="27"/>
    </row>
    <row r="9468">
      <c r="A9468" s="14">
        <v>43032.03439814815</v>
      </c>
      <c r="B9468" s="20" t="str">
        <f>HYPERLINK("https://twitter.com/bdnews24","@bdnews24")</f>
        <v>@bdnews24</v>
      </c>
      <c r="C9468" s="21" t="s">
        <v>831</v>
      </c>
      <c r="D9468" s="21" t="s">
        <v>20707</v>
      </c>
      <c r="E9468" s="22" t="str">
        <f>HYPERLINK("https://twitter.com/bdnews24/status/922731772974108673","922731772974108673")</f>
        <v>922731772974108673</v>
      </c>
      <c r="F9468" s="23" t="s">
        <v>187</v>
      </c>
      <c r="G9468" s="24">
        <v>215300.0</v>
      </c>
      <c r="H9468" s="24">
        <v>67843.0</v>
      </c>
      <c r="I9468" s="24">
        <v>0.0</v>
      </c>
      <c r="J9468" s="24">
        <v>0.0</v>
      </c>
      <c r="K9468" s="23" t="s">
        <v>34</v>
      </c>
      <c r="L9468" s="25">
        <v>39844.468043981484</v>
      </c>
      <c r="M9468" s="26" t="s">
        <v>833</v>
      </c>
      <c r="N9468" s="26" t="s">
        <v>834</v>
      </c>
      <c r="O9468" s="22" t="str">
        <f>HYPERLINK("https://pbs.twimg.com/profile_images/718433521509994497/4iW9RC_r_normal.jpg","View")</f>
        <v>View</v>
      </c>
      <c r="P9468" s="27"/>
    </row>
    <row r="9469">
      <c r="A9469" s="14">
        <v>43032.03454861111</v>
      </c>
      <c r="B9469" s="20" t="str">
        <f>HYPERLINK("https://twitter.com/Vladimir_Banal","@Vladimir_Banal")</f>
        <v>@Vladimir_Banal</v>
      </c>
      <c r="C9469" s="21" t="s">
        <v>20708</v>
      </c>
      <c r="D9469" s="21" t="s">
        <v>20709</v>
      </c>
      <c r="E9469" s="22" t="str">
        <f>HYPERLINK("https://twitter.com/Vladimir_Banal/status/922731825264459779","922731825264459779")</f>
        <v>922731825264459779</v>
      </c>
      <c r="F9469" s="23" t="s">
        <v>10255</v>
      </c>
      <c r="G9469" s="24">
        <v>40.0</v>
      </c>
      <c r="H9469" s="24">
        <v>25.0</v>
      </c>
      <c r="I9469" s="24">
        <v>0.0</v>
      </c>
      <c r="J9469" s="24">
        <v>1.0</v>
      </c>
      <c r="K9469" s="23" t="s">
        <v>34</v>
      </c>
      <c r="L9469" s="25">
        <v>42251.057974537034</v>
      </c>
      <c r="M9469" s="26" t="s">
        <v>8991</v>
      </c>
      <c r="N9469" s="28"/>
      <c r="O9469" s="22" t="str">
        <f>HYPERLINK("https://abs.twimg.com/sticky/default_profile_images/default_profile_normal.png","View")</f>
        <v>View</v>
      </c>
      <c r="P9469" s="27"/>
    </row>
    <row r="9470">
      <c r="A9470" s="14">
        <v>43032.03472222222</v>
      </c>
      <c r="B9470" s="20" t="str">
        <f>HYPERLINK("https://twitter.com/GaijinPot","@GaijinPot")</f>
        <v>@GaijinPot</v>
      </c>
      <c r="C9470" s="21" t="s">
        <v>20710</v>
      </c>
      <c r="D9470" s="21" t="s">
        <v>20711</v>
      </c>
      <c r="E9470" s="22" t="str">
        <f>HYPERLINK("https://twitter.com/GaijinPot/status/922731889395240960","922731889395240960")</f>
        <v>922731889395240960</v>
      </c>
      <c r="F9470" s="23" t="s">
        <v>769</v>
      </c>
      <c r="G9470" s="24">
        <v>20933.0</v>
      </c>
      <c r="H9470" s="24">
        <v>1353.0</v>
      </c>
      <c r="I9470" s="24">
        <v>1.0</v>
      </c>
      <c r="J9470" s="24">
        <v>5.0</v>
      </c>
      <c r="K9470" s="23" t="s">
        <v>34</v>
      </c>
      <c r="L9470" s="25">
        <v>39908.9846875</v>
      </c>
      <c r="M9470" s="26" t="s">
        <v>271</v>
      </c>
      <c r="N9470" s="26" t="s">
        <v>20712</v>
      </c>
      <c r="O9470" s="22" t="str">
        <f>HYPERLINK("https://pbs.twimg.com/profile_images/573319788597927936/SJAmP9Px_normal.png","View")</f>
        <v>View</v>
      </c>
      <c r="P9470" s="27"/>
    </row>
    <row r="9471">
      <c r="A9471" s="14">
        <v>43032.034780092596</v>
      </c>
      <c r="B9471" s="20" t="str">
        <f>HYPERLINK("https://twitter.com/azramharris","@azramharris")</f>
        <v>@azramharris</v>
      </c>
      <c r="C9471" s="21" t="s">
        <v>20713</v>
      </c>
      <c r="D9471" s="21" t="s">
        <v>20700</v>
      </c>
      <c r="E9471" s="22" t="str">
        <f>HYPERLINK("https://twitter.com/azramharris/status/922731911805411329","922731911805411329")</f>
        <v>922731911805411329</v>
      </c>
      <c r="F9471" s="23" t="s">
        <v>33</v>
      </c>
      <c r="G9471" s="24">
        <v>354.0</v>
      </c>
      <c r="H9471" s="24">
        <v>302.0</v>
      </c>
      <c r="I9471" s="24">
        <v>27.0</v>
      </c>
      <c r="J9471" s="24">
        <v>0.0</v>
      </c>
      <c r="K9471" s="23" t="s">
        <v>34</v>
      </c>
      <c r="L9471" s="25">
        <v>40441.84474537037</v>
      </c>
      <c r="M9471" s="26" t="s">
        <v>20714</v>
      </c>
      <c r="N9471" s="26" t="s">
        <v>20715</v>
      </c>
      <c r="O9471" s="22" t="str">
        <f>HYPERLINK("https://pbs.twimg.com/profile_images/538304646494699520/ZmCF7Axn_normal.jpeg","View")</f>
        <v>View</v>
      </c>
      <c r="P9471" s="27"/>
    </row>
    <row r="9472">
      <c r="A9472" s="14">
        <v>43032.03524305555</v>
      </c>
      <c r="B9472" s="20" t="str">
        <f>HYPERLINK("https://twitter.com/SaraGomezAranci","@SaraGomezAranci")</f>
        <v>@SaraGomezAranci</v>
      </c>
      <c r="C9472" s="21" t="s">
        <v>14770</v>
      </c>
      <c r="D9472" s="21" t="s">
        <v>20700</v>
      </c>
      <c r="E9472" s="22" t="str">
        <f>HYPERLINK("https://twitter.com/SaraGomezAranci/status/922732075639361536","922732075639361536")</f>
        <v>922732075639361536</v>
      </c>
      <c r="F9472" s="23" t="s">
        <v>39</v>
      </c>
      <c r="G9472" s="24">
        <v>1721.0</v>
      </c>
      <c r="H9472" s="24">
        <v>434.0</v>
      </c>
      <c r="I9472" s="24">
        <v>27.0</v>
      </c>
      <c r="J9472" s="24">
        <v>0.0</v>
      </c>
      <c r="K9472" s="23" t="s">
        <v>34</v>
      </c>
      <c r="L9472" s="25">
        <v>41277.07010416667</v>
      </c>
      <c r="M9472" s="28"/>
      <c r="N9472" s="26" t="s">
        <v>14771</v>
      </c>
      <c r="O9472" s="22" t="str">
        <f>HYPERLINK("https://pbs.twimg.com/profile_images/909880427351068674/WzgGubCv_normal.jpg","View")</f>
        <v>View</v>
      </c>
      <c r="P9472" s="27"/>
    </row>
    <row r="9473">
      <c r="A9473" s="14">
        <v>43032.035254629634</v>
      </c>
      <c r="B9473" s="20" t="str">
        <f>HYPERLINK("https://twitter.com/laila_cakes","@laila_cakes")</f>
        <v>@laila_cakes</v>
      </c>
      <c r="C9473" s="21" t="s">
        <v>20716</v>
      </c>
      <c r="D9473" s="21" t="s">
        <v>20700</v>
      </c>
      <c r="E9473" s="22" t="str">
        <f>HYPERLINK("https://twitter.com/laila_cakes/status/922732083096698881","922732083096698881")</f>
        <v>922732083096698881</v>
      </c>
      <c r="F9473" s="23" t="s">
        <v>33</v>
      </c>
      <c r="G9473" s="24">
        <v>1708.0</v>
      </c>
      <c r="H9473" s="24">
        <v>5004.0</v>
      </c>
      <c r="I9473" s="24">
        <v>27.0</v>
      </c>
      <c r="J9473" s="24">
        <v>0.0</v>
      </c>
      <c r="K9473" s="23" t="s">
        <v>34</v>
      </c>
      <c r="L9473" s="25">
        <v>42666.84684027778</v>
      </c>
      <c r="M9473" s="26" t="s">
        <v>20717</v>
      </c>
      <c r="N9473" s="26" t="s">
        <v>20718</v>
      </c>
      <c r="O9473" s="22" t="str">
        <f>HYPERLINK("https://pbs.twimg.com/profile_images/814909617725542401/6lU_v8t8_normal.jpg","View")</f>
        <v>View</v>
      </c>
      <c r="P9473" s="27"/>
    </row>
    <row r="9474">
      <c r="A9474" s="14">
        <v>43032.03530092593</v>
      </c>
      <c r="B9474" s="20" t="str">
        <f>HYPERLINK("https://twitter.com/dkgochhayat","@dkgochhayat")</f>
        <v>@dkgochhayat</v>
      </c>
      <c r="C9474" s="21" t="s">
        <v>20719</v>
      </c>
      <c r="D9474" s="21" t="s">
        <v>42</v>
      </c>
      <c r="E9474" s="22" t="str">
        <f>HYPERLINK("https://twitter.com/dkgochhayat/status/922732098313601024","922732098313601024")</f>
        <v>922732098313601024</v>
      </c>
      <c r="F9474" s="23" t="s">
        <v>33</v>
      </c>
      <c r="G9474" s="24">
        <v>856.0</v>
      </c>
      <c r="H9474" s="24">
        <v>544.0</v>
      </c>
      <c r="I9474" s="24">
        <v>8501.0</v>
      </c>
      <c r="J9474" s="24">
        <v>0.0</v>
      </c>
      <c r="K9474" s="23" t="s">
        <v>34</v>
      </c>
      <c r="L9474" s="25">
        <v>40946.3533912037</v>
      </c>
      <c r="M9474" s="26" t="s">
        <v>20720</v>
      </c>
      <c r="N9474" s="26" t="s">
        <v>20721</v>
      </c>
      <c r="O9474" s="22" t="str">
        <f>HYPERLINK("https://pbs.twimg.com/profile_images/761953751410155520/y7_P0siw_normal.jpg","View")</f>
        <v>View</v>
      </c>
      <c r="P9474" s="27"/>
    </row>
    <row r="9475">
      <c r="A9475" s="14">
        <v>43032.03542824074</v>
      </c>
      <c r="B9475" s="20" t="str">
        <f>HYPERLINK("https://twitter.com/rachitattweet","@rachitattweet")</f>
        <v>@rachitattweet</v>
      </c>
      <c r="C9475" s="21" t="s">
        <v>20722</v>
      </c>
      <c r="D9475" s="21" t="s">
        <v>20700</v>
      </c>
      <c r="E9475" s="22" t="str">
        <f>HYPERLINK("https://twitter.com/rachitattweet/status/922732145671471104","922732145671471104")</f>
        <v>922732145671471104</v>
      </c>
      <c r="F9475" s="23" t="s">
        <v>55</v>
      </c>
      <c r="G9475" s="24">
        <v>1088.0</v>
      </c>
      <c r="H9475" s="24">
        <v>425.0</v>
      </c>
      <c r="I9475" s="24">
        <v>27.0</v>
      </c>
      <c r="J9475" s="24">
        <v>0.0</v>
      </c>
      <c r="K9475" s="23" t="s">
        <v>34</v>
      </c>
      <c r="L9475" s="25">
        <v>40384.295381944445</v>
      </c>
      <c r="M9475" s="28"/>
      <c r="N9475" s="26" t="s">
        <v>20723</v>
      </c>
      <c r="O9475" s="22" t="str">
        <f>HYPERLINK("https://pbs.twimg.com/profile_images/528992118165880835/DalpselC_normal.jpeg","View")</f>
        <v>View</v>
      </c>
      <c r="P9475" s="27"/>
    </row>
    <row r="9476">
      <c r="A9476" s="14">
        <v>43032.03559027778</v>
      </c>
      <c r="B9476" s="20" t="str">
        <f>HYPERLINK("https://twitter.com/mlnangalama","@mlnangalama")</f>
        <v>@mlnangalama</v>
      </c>
      <c r="C9476" s="21" t="s">
        <v>925</v>
      </c>
      <c r="D9476" s="21" t="s">
        <v>20724</v>
      </c>
      <c r="E9476" s="22" t="str">
        <f>HYPERLINK("https://twitter.com/mlnangalama/status/922732203272036352","922732203272036352")</f>
        <v>922732203272036352</v>
      </c>
      <c r="F9476" s="23" t="s">
        <v>187</v>
      </c>
      <c r="G9476" s="24">
        <v>2366.0</v>
      </c>
      <c r="H9476" s="24">
        <v>1582.0</v>
      </c>
      <c r="I9476" s="24">
        <v>0.0</v>
      </c>
      <c r="J9476" s="24">
        <v>0.0</v>
      </c>
      <c r="K9476" s="23" t="s">
        <v>34</v>
      </c>
      <c r="L9476" s="25">
        <v>41041.54378472222</v>
      </c>
      <c r="M9476" s="26" t="s">
        <v>927</v>
      </c>
      <c r="N9476" s="26" t="s">
        <v>928</v>
      </c>
      <c r="O9476" s="22" t="str">
        <f>HYPERLINK("https://pbs.twimg.com/profile_images/900915882444173313/biUHzvpx_normal.jpg","View")</f>
        <v>View</v>
      </c>
      <c r="P9476" s="27"/>
    </row>
    <row r="9477">
      <c r="A9477" s="14">
        <v>43032.03564814814</v>
      </c>
      <c r="B9477" s="20" t="str">
        <f>HYPERLINK("https://twitter.com/astrid_meurer","@astrid_meurer")</f>
        <v>@astrid_meurer</v>
      </c>
      <c r="C9477" s="21" t="s">
        <v>20725</v>
      </c>
      <c r="D9477" s="21" t="s">
        <v>20700</v>
      </c>
      <c r="E9477" s="22" t="str">
        <f>HYPERLINK("https://twitter.com/astrid_meurer/status/922732225379962880","922732225379962880")</f>
        <v>922732225379962880</v>
      </c>
      <c r="F9477" s="23" t="s">
        <v>230</v>
      </c>
      <c r="G9477" s="24">
        <v>681.0</v>
      </c>
      <c r="H9477" s="24">
        <v>4004.0</v>
      </c>
      <c r="I9477" s="24">
        <v>27.0</v>
      </c>
      <c r="J9477" s="24">
        <v>0.0</v>
      </c>
      <c r="K9477" s="23" t="s">
        <v>34</v>
      </c>
      <c r="L9477" s="25">
        <v>42709.90521990741</v>
      </c>
      <c r="M9477" s="26" t="s">
        <v>20726</v>
      </c>
      <c r="N9477" s="26" t="s">
        <v>20727</v>
      </c>
      <c r="O9477" s="22" t="str">
        <f>HYPERLINK("https://pbs.twimg.com/profile_images/806012651692179456/MW2IGBMa_normal.jpg","View")</f>
        <v>View</v>
      </c>
      <c r="P9477" s="27"/>
    </row>
    <row r="9478">
      <c r="A9478" s="14">
        <v>43032.03574074074</v>
      </c>
      <c r="B9478" s="20" t="str">
        <f>HYPERLINK("https://twitter.com/vituhpr","@vituhpr")</f>
        <v>@vituhpr</v>
      </c>
      <c r="C9478" s="21" t="s">
        <v>20728</v>
      </c>
      <c r="D9478" s="21" t="s">
        <v>20700</v>
      </c>
      <c r="E9478" s="22" t="str">
        <f>HYPERLINK("https://twitter.com/vituhpr/status/922732257781207040","922732257781207040")</f>
        <v>922732257781207040</v>
      </c>
      <c r="F9478" s="23" t="s">
        <v>33</v>
      </c>
      <c r="G9478" s="24">
        <v>109.0</v>
      </c>
      <c r="H9478" s="24">
        <v>1842.0</v>
      </c>
      <c r="I9478" s="24">
        <v>27.0</v>
      </c>
      <c r="J9478" s="24">
        <v>0.0</v>
      </c>
      <c r="K9478" s="23" t="s">
        <v>34</v>
      </c>
      <c r="L9478" s="25">
        <v>42941.30484953704</v>
      </c>
      <c r="M9478" s="26" t="s">
        <v>20729</v>
      </c>
      <c r="N9478" s="26" t="s">
        <v>20730</v>
      </c>
      <c r="O9478" s="22" t="str">
        <f>HYPERLINK("https://pbs.twimg.com/profile_images/889945365893586944/7IVzFGn__normal.jpg","View")</f>
        <v>View</v>
      </c>
      <c r="P9478" s="27"/>
    </row>
    <row r="9479">
      <c r="A9479" s="14">
        <v>43032.035891203705</v>
      </c>
      <c r="B9479" s="20" t="str">
        <f>HYPERLINK("https://twitter.com/EnzyZuozuomu","@EnzyZuozuomu")</f>
        <v>@EnzyZuozuomu</v>
      </c>
      <c r="C9479" s="21" t="s">
        <v>20731</v>
      </c>
      <c r="D9479" s="21" t="s">
        <v>20700</v>
      </c>
      <c r="E9479" s="22" t="str">
        <f>HYPERLINK("https://twitter.com/EnzyZuozuomu/status/922732313133248512","922732313133248512")</f>
        <v>922732313133248512</v>
      </c>
      <c r="F9479" s="23" t="s">
        <v>33</v>
      </c>
      <c r="G9479" s="24">
        <v>251.0</v>
      </c>
      <c r="H9479" s="24">
        <v>813.0</v>
      </c>
      <c r="I9479" s="24">
        <v>27.0</v>
      </c>
      <c r="J9479" s="24">
        <v>0.0</v>
      </c>
      <c r="K9479" s="23" t="s">
        <v>34</v>
      </c>
      <c r="L9479" s="25">
        <v>42737.97603009259</v>
      </c>
      <c r="M9479" s="26" t="s">
        <v>9532</v>
      </c>
      <c r="N9479" s="26" t="s">
        <v>20732</v>
      </c>
      <c r="O9479" s="22" t="str">
        <f>HYPERLINK("https://pbs.twimg.com/profile_images/915729872772665344/eUXzLRPC_normal.jpg","View")</f>
        <v>View</v>
      </c>
      <c r="P9479" s="27"/>
    </row>
    <row r="9480">
      <c r="A9480" s="14">
        <v>43032.03597222222</v>
      </c>
      <c r="B9480" s="20" t="str">
        <f>HYPERLINK("https://twitter.com/Ferjosp","@Ferjosp")</f>
        <v>@Ferjosp</v>
      </c>
      <c r="C9480" s="21" t="s">
        <v>20733</v>
      </c>
      <c r="D9480" s="21" t="s">
        <v>20700</v>
      </c>
      <c r="E9480" s="22" t="str">
        <f>HYPERLINK("https://twitter.com/Ferjosp/status/922732340400607232","922732340400607232")</f>
        <v>922732340400607232</v>
      </c>
      <c r="F9480" s="23" t="s">
        <v>769</v>
      </c>
      <c r="G9480" s="24">
        <v>347.0</v>
      </c>
      <c r="H9480" s="24">
        <v>557.0</v>
      </c>
      <c r="I9480" s="24">
        <v>27.0</v>
      </c>
      <c r="J9480" s="24">
        <v>0.0</v>
      </c>
      <c r="K9480" s="23" t="s">
        <v>34</v>
      </c>
      <c r="L9480" s="25">
        <v>40016.74621527777</v>
      </c>
      <c r="M9480" s="26" t="s">
        <v>20734</v>
      </c>
      <c r="N9480" s="26" t="s">
        <v>20735</v>
      </c>
      <c r="O9480" s="22" t="str">
        <f>HYPERLINK("https://pbs.twimg.com/profile_images/857336396859703298/lmcapaXI_normal.jpg","View")</f>
        <v>View</v>
      </c>
      <c r="P9480" s="27"/>
    </row>
    <row r="9481">
      <c r="A9481" s="14">
        <v>43032.036145833335</v>
      </c>
      <c r="B9481" s="20" t="str">
        <f>HYPERLINK("https://twitter.com/SWA_Ltd","@SWA_Ltd")</f>
        <v>@SWA_Ltd</v>
      </c>
      <c r="C9481" s="21" t="s">
        <v>20736</v>
      </c>
      <c r="D9481" s="21" t="s">
        <v>20700</v>
      </c>
      <c r="E9481" s="22" t="str">
        <f>HYPERLINK("https://twitter.com/SWA_Ltd/status/922732404883841024","922732404883841024")</f>
        <v>922732404883841024</v>
      </c>
      <c r="F9481" s="23" t="s">
        <v>55</v>
      </c>
      <c r="G9481" s="24">
        <v>16.0</v>
      </c>
      <c r="H9481" s="24">
        <v>46.0</v>
      </c>
      <c r="I9481" s="24">
        <v>27.0</v>
      </c>
      <c r="J9481" s="24">
        <v>0.0</v>
      </c>
      <c r="K9481" s="23" t="s">
        <v>34</v>
      </c>
      <c r="L9481" s="25">
        <v>42646.38197916667</v>
      </c>
      <c r="M9481" s="26" t="s">
        <v>20737</v>
      </c>
      <c r="N9481" s="26" t="s">
        <v>20738</v>
      </c>
      <c r="O9481" s="22" t="str">
        <f>HYPERLINK("https://pbs.twimg.com/profile_images/782977757995294724/9rdVymV3_normal.jpg","View")</f>
        <v>View</v>
      </c>
      <c r="P9481" s="27"/>
    </row>
    <row r="9482">
      <c r="A9482" s="14">
        <v>43032.0362962963</v>
      </c>
      <c r="B9482" s="20" t="str">
        <f>HYPERLINK("https://twitter.com/28496ashok","@28496ashok")</f>
        <v>@28496ashok</v>
      </c>
      <c r="C9482" s="21" t="s">
        <v>20739</v>
      </c>
      <c r="D9482" s="21" t="s">
        <v>42</v>
      </c>
      <c r="E9482" s="22" t="str">
        <f>HYPERLINK("https://twitter.com/28496ashok/status/922732460248403968","922732460248403968")</f>
        <v>922732460248403968</v>
      </c>
      <c r="F9482" s="23" t="s">
        <v>33</v>
      </c>
      <c r="G9482" s="24">
        <v>3659.0</v>
      </c>
      <c r="H9482" s="24">
        <v>3657.0</v>
      </c>
      <c r="I9482" s="24">
        <v>8501.0</v>
      </c>
      <c r="J9482" s="24">
        <v>0.0</v>
      </c>
      <c r="K9482" s="23" t="s">
        <v>34</v>
      </c>
      <c r="L9482" s="25">
        <v>41639.8878125</v>
      </c>
      <c r="M9482" s="28"/>
      <c r="N9482" s="26" t="s">
        <v>20740</v>
      </c>
      <c r="O9482" s="22" t="str">
        <f>HYPERLINK("https://pbs.twimg.com/profile_images/915437447613358080/xM7RNNVs_normal.jpg","View")</f>
        <v>View</v>
      </c>
      <c r="P9482" s="27"/>
    </row>
    <row r="9483">
      <c r="A9483" s="14">
        <v>43032.03637731481</v>
      </c>
      <c r="B9483" s="20" t="str">
        <f>HYPERLINK("https://twitter.com/callmekant","@callmekant")</f>
        <v>@callmekant</v>
      </c>
      <c r="C9483" s="21" t="s">
        <v>20741</v>
      </c>
      <c r="D9483" s="21" t="s">
        <v>42</v>
      </c>
      <c r="E9483" s="22" t="str">
        <f>HYPERLINK("https://twitter.com/callmekant/status/922732487813488640","922732487813488640")</f>
        <v>922732487813488640</v>
      </c>
      <c r="F9483" s="23" t="s">
        <v>33</v>
      </c>
      <c r="G9483" s="24">
        <v>42.0</v>
      </c>
      <c r="H9483" s="24">
        <v>474.0</v>
      </c>
      <c r="I9483" s="24">
        <v>8501.0</v>
      </c>
      <c r="J9483" s="24">
        <v>0.0</v>
      </c>
      <c r="K9483" s="23" t="s">
        <v>34</v>
      </c>
      <c r="L9483" s="25">
        <v>40172.10381944444</v>
      </c>
      <c r="M9483" s="26" t="s">
        <v>575</v>
      </c>
      <c r="N9483" s="26" t="s">
        <v>20742</v>
      </c>
      <c r="O9483" s="22" t="str">
        <f>HYPERLINK("https://pbs.twimg.com/profile_images/856251614172237828/agGmC_RU_normal.jpg","View")</f>
        <v>View</v>
      </c>
      <c r="P9483" s="27"/>
    </row>
    <row r="9484">
      <c r="A9484" s="14">
        <v>43032.03659722222</v>
      </c>
      <c r="B9484" s="20" t="str">
        <f>HYPERLINK("https://twitter.com/asgerrojle","@asgerrojle")</f>
        <v>@asgerrojle</v>
      </c>
      <c r="C9484" s="21" t="s">
        <v>19181</v>
      </c>
      <c r="D9484" s="21" t="s">
        <v>5309</v>
      </c>
      <c r="E9484" s="22" t="str">
        <f>HYPERLINK("https://twitter.com/asgerrojle/status/922732569241690112","922732569241690112")</f>
        <v>922732569241690112</v>
      </c>
      <c r="F9484" s="23" t="s">
        <v>39</v>
      </c>
      <c r="G9484" s="24">
        <v>1581.0</v>
      </c>
      <c r="H9484" s="24">
        <v>1964.0</v>
      </c>
      <c r="I9484" s="24">
        <v>22.0</v>
      </c>
      <c r="J9484" s="24">
        <v>0.0</v>
      </c>
      <c r="K9484" s="23" t="s">
        <v>34</v>
      </c>
      <c r="L9484" s="25">
        <v>39873.07158564815</v>
      </c>
      <c r="M9484" s="26" t="s">
        <v>19183</v>
      </c>
      <c r="N9484" s="26" t="s">
        <v>19184</v>
      </c>
      <c r="O9484" s="22" t="str">
        <f>HYPERLINK("https://pbs.twimg.com/profile_images/1627188655/kabukicho_normal.jpg","View")</f>
        <v>View</v>
      </c>
      <c r="P9484" s="27"/>
    </row>
    <row r="9485">
      <c r="A9485" s="14">
        <v>43032.03671296296</v>
      </c>
      <c r="B9485" s="20" t="str">
        <f>HYPERLINK("https://twitter.com/buyerfox","@buyerfox")</f>
        <v>@buyerfox</v>
      </c>
      <c r="C9485" s="21" t="s">
        <v>20743</v>
      </c>
      <c r="D9485" s="21" t="s">
        <v>42</v>
      </c>
      <c r="E9485" s="22" t="str">
        <f>HYPERLINK("https://twitter.com/buyerfox/status/922732612157784064","922732612157784064")</f>
        <v>922732612157784064</v>
      </c>
      <c r="F9485" s="23" t="s">
        <v>39</v>
      </c>
      <c r="G9485" s="24">
        <v>90.0</v>
      </c>
      <c r="H9485" s="24">
        <v>610.0</v>
      </c>
      <c r="I9485" s="24">
        <v>8501.0</v>
      </c>
      <c r="J9485" s="24">
        <v>0.0</v>
      </c>
      <c r="K9485" s="23" t="s">
        <v>34</v>
      </c>
      <c r="L9485" s="25">
        <v>42575.92297453704</v>
      </c>
      <c r="M9485" s="26" t="s">
        <v>204</v>
      </c>
      <c r="N9485" s="26" t="s">
        <v>20744</v>
      </c>
      <c r="O9485" s="22" t="str">
        <f>HYPERLINK("https://pbs.twimg.com/profile_images/922731873423441921/OYrRwGCO_normal.jpg","View")</f>
        <v>View</v>
      </c>
      <c r="P9485" s="27"/>
    </row>
    <row r="9486">
      <c r="A9486" s="14">
        <v>43032.03706018519</v>
      </c>
      <c r="B9486" s="20" t="str">
        <f>HYPERLINK("https://twitter.com/swissifg","@swissifg")</f>
        <v>@swissifg</v>
      </c>
      <c r="C9486" s="21" t="s">
        <v>3967</v>
      </c>
      <c r="D9486" s="21" t="s">
        <v>20745</v>
      </c>
      <c r="E9486" s="22" t="str">
        <f>HYPERLINK("https://twitter.com/swissifg/status/922732735071956992","922732735071956992")</f>
        <v>922732735071956992</v>
      </c>
      <c r="F9486" s="23" t="s">
        <v>187</v>
      </c>
      <c r="G9486" s="24">
        <v>1204.0</v>
      </c>
      <c r="H9486" s="24">
        <v>671.0</v>
      </c>
      <c r="I9486" s="24">
        <v>0.0</v>
      </c>
      <c r="J9486" s="24">
        <v>0.0</v>
      </c>
      <c r="K9486" s="23" t="s">
        <v>34</v>
      </c>
      <c r="L9486" s="25">
        <v>42499.2341087963</v>
      </c>
      <c r="M9486" s="26" t="s">
        <v>3969</v>
      </c>
      <c r="N9486" s="26" t="s">
        <v>3970</v>
      </c>
      <c r="O9486" s="22" t="str">
        <f>HYPERLINK("https://pbs.twimg.com/profile_images/729681805088063489/N4ls5vb8_normal.jpg","View")</f>
        <v>View</v>
      </c>
      <c r="P9486" s="27"/>
    </row>
    <row r="9487">
      <c r="A9487" s="14">
        <v>43032.03730324074</v>
      </c>
      <c r="B9487" s="20" t="str">
        <f>HYPERLINK("https://twitter.com/bbalgabaev","@bbalgabaev")</f>
        <v>@bbalgabaev</v>
      </c>
      <c r="C9487" s="21" t="s">
        <v>20746</v>
      </c>
      <c r="D9487" s="21" t="s">
        <v>20370</v>
      </c>
      <c r="E9487" s="22" t="str">
        <f>HYPERLINK("https://twitter.com/bbalgabaev/status/922732825085956101","922732825085956101")</f>
        <v>922732825085956101</v>
      </c>
      <c r="F9487" s="23" t="s">
        <v>39</v>
      </c>
      <c r="G9487" s="24">
        <v>1330.0</v>
      </c>
      <c r="H9487" s="24">
        <v>254.0</v>
      </c>
      <c r="I9487" s="24">
        <v>2.0</v>
      </c>
      <c r="J9487" s="24">
        <v>0.0</v>
      </c>
      <c r="K9487" s="23" t="s">
        <v>34</v>
      </c>
      <c r="L9487" s="25">
        <v>40463.21349537037</v>
      </c>
      <c r="M9487" s="26" t="s">
        <v>20747</v>
      </c>
      <c r="N9487" s="26" t="s">
        <v>20748</v>
      </c>
      <c r="O9487" s="22" t="str">
        <f>HYPERLINK("https://pbs.twimg.com/profile_images/1194770953/image_normal.jpg","View")</f>
        <v>View</v>
      </c>
      <c r="P9487" s="27"/>
    </row>
    <row r="9488">
      <c r="A9488" s="14">
        <v>43032.03765046297</v>
      </c>
      <c r="B9488" s="20" t="str">
        <f>HYPERLINK("https://twitter.com/moodarani","@moodarani")</f>
        <v>@moodarani</v>
      </c>
      <c r="C9488" s="21" t="s">
        <v>20749</v>
      </c>
      <c r="D9488" s="21" t="s">
        <v>18162</v>
      </c>
      <c r="E9488" s="22" t="str">
        <f>HYPERLINK("https://twitter.com/moodarani/status/922732951191797761","922732951191797761")</f>
        <v>922732951191797761</v>
      </c>
      <c r="F9488" s="23" t="s">
        <v>33</v>
      </c>
      <c r="G9488" s="24">
        <v>651.0</v>
      </c>
      <c r="H9488" s="24">
        <v>765.0</v>
      </c>
      <c r="I9488" s="24">
        <v>59.0</v>
      </c>
      <c r="J9488" s="24">
        <v>0.0</v>
      </c>
      <c r="K9488" s="23" t="s">
        <v>34</v>
      </c>
      <c r="L9488" s="25">
        <v>41052.74732638889</v>
      </c>
      <c r="M9488" s="28"/>
      <c r="N9488" s="26" t="s">
        <v>20750</v>
      </c>
      <c r="O9488" s="22" t="str">
        <f>HYPERLINK("https://pbs.twimg.com/profile_images/874591435613286401/kxgU8HPj_normal.jpg","View")</f>
        <v>View</v>
      </c>
      <c r="P9488" s="27"/>
    </row>
    <row r="9489">
      <c r="A9489" s="14">
        <v>43032.03784722222</v>
      </c>
      <c r="B9489" s="20" t="str">
        <f>HYPERLINK("https://twitter.com/leeminjeong83","@leeminjeong83")</f>
        <v>@leeminjeong83</v>
      </c>
      <c r="C9489" s="21" t="s">
        <v>20751</v>
      </c>
      <c r="D9489" s="21" t="s">
        <v>20752</v>
      </c>
      <c r="E9489" s="22" t="str">
        <f>HYPERLINK("https://twitter.com/leeminjeong83/status/922733021588897792","922733021588897792")</f>
        <v>922733021588897792</v>
      </c>
      <c r="F9489" s="23" t="s">
        <v>55</v>
      </c>
      <c r="G9489" s="24">
        <v>5131.0</v>
      </c>
      <c r="H9489" s="24">
        <v>395.0</v>
      </c>
      <c r="I9489" s="24">
        <v>0.0</v>
      </c>
      <c r="J9489" s="24">
        <v>1.0</v>
      </c>
      <c r="K9489" s="23" t="s">
        <v>34</v>
      </c>
      <c r="L9489" s="25">
        <v>41352.18701388889</v>
      </c>
      <c r="M9489" s="26" t="s">
        <v>923</v>
      </c>
      <c r="N9489" s="26" t="s">
        <v>20753</v>
      </c>
      <c r="O9489" s="22" t="str">
        <f>HYPERLINK("https://pbs.twimg.com/profile_images/417659614960701442/0ughv0cm_normal.jpeg","View")</f>
        <v>View</v>
      </c>
      <c r="P9489" s="27"/>
    </row>
    <row r="9490">
      <c r="A9490" s="14">
        <v>43032.038090277776</v>
      </c>
      <c r="B9490" s="20" t="str">
        <f>HYPERLINK("https://twitter.com/teamghanshyam","@teamghanshyam")</f>
        <v>@teamghanshyam</v>
      </c>
      <c r="C9490" s="21" t="s">
        <v>20754</v>
      </c>
      <c r="D9490" s="21" t="s">
        <v>42</v>
      </c>
      <c r="E9490" s="22" t="str">
        <f>HYPERLINK("https://twitter.com/teamghanshyam/status/922733110738919424","922733110738919424")</f>
        <v>922733110738919424</v>
      </c>
      <c r="F9490" s="23" t="s">
        <v>33</v>
      </c>
      <c r="G9490" s="24">
        <v>1023.0</v>
      </c>
      <c r="H9490" s="24">
        <v>4183.0</v>
      </c>
      <c r="I9490" s="24">
        <v>8501.0</v>
      </c>
      <c r="J9490" s="24">
        <v>0.0</v>
      </c>
      <c r="K9490" s="23" t="s">
        <v>34</v>
      </c>
      <c r="L9490" s="25">
        <v>42723.215312500004</v>
      </c>
      <c r="M9490" s="26" t="s">
        <v>20755</v>
      </c>
      <c r="N9490" s="26" t="s">
        <v>20756</v>
      </c>
      <c r="O9490" s="22" t="str">
        <f>HYPERLINK("https://pbs.twimg.com/profile_images/865572265844498433/iTNfpORm_normal.jpg","View")</f>
        <v>View</v>
      </c>
      <c r="P9490" s="27"/>
    </row>
    <row r="9491">
      <c r="A9491" s="14">
        <v>43032.0387037037</v>
      </c>
      <c r="B9491" s="20" t="str">
        <f>HYPERLINK("https://twitter.com/Bullish","@Bullish")</f>
        <v>@Bullish</v>
      </c>
      <c r="C9491" s="21" t="s">
        <v>2943</v>
      </c>
      <c r="D9491" s="21" t="s">
        <v>20757</v>
      </c>
      <c r="E9491" s="22" t="str">
        <f>HYPERLINK("https://twitter.com/Bullish/status/922733333368500224","922733333368500224")</f>
        <v>922733333368500224</v>
      </c>
      <c r="F9491" s="23" t="s">
        <v>187</v>
      </c>
      <c r="G9491" s="24">
        <v>184.0</v>
      </c>
      <c r="H9491" s="24">
        <v>87.0</v>
      </c>
      <c r="I9491" s="24">
        <v>0.0</v>
      </c>
      <c r="J9491" s="24">
        <v>0.0</v>
      </c>
      <c r="K9491" s="23" t="s">
        <v>34</v>
      </c>
      <c r="L9491" s="25">
        <v>42618.75304398148</v>
      </c>
      <c r="M9491" s="28"/>
      <c r="N9491" s="28"/>
      <c r="O9491" s="22" t="str">
        <f>HYPERLINK("https://pbs.twimg.com/profile_images/798692093736599552/UikI9dNE_normal.jpg","View")</f>
        <v>View</v>
      </c>
      <c r="P9491" s="27"/>
    </row>
    <row r="9492">
      <c r="A9492" s="14">
        <v>43032.0387962963</v>
      </c>
      <c r="B9492" s="20" t="str">
        <f>HYPERLINK("https://twitter.com/_vostekim","@_vostekim")</f>
        <v>@_vostekim</v>
      </c>
      <c r="C9492" s="21" t="s">
        <v>20758</v>
      </c>
      <c r="D9492" s="21" t="s">
        <v>32</v>
      </c>
      <c r="E9492" s="22" t="str">
        <f>HYPERLINK("https://twitter.com/_vostekim/status/922733364045602816","922733364045602816")</f>
        <v>922733364045602816</v>
      </c>
      <c r="F9492" s="23" t="s">
        <v>43</v>
      </c>
      <c r="G9492" s="24">
        <v>826.0</v>
      </c>
      <c r="H9492" s="24">
        <v>781.0</v>
      </c>
      <c r="I9492" s="24">
        <v>471.0</v>
      </c>
      <c r="J9492" s="24">
        <v>0.0</v>
      </c>
      <c r="K9492" s="23" t="s">
        <v>34</v>
      </c>
      <c r="L9492" s="25">
        <v>41359.086875</v>
      </c>
      <c r="M9492" s="26" t="s">
        <v>5432</v>
      </c>
      <c r="N9492" s="26" t="s">
        <v>20759</v>
      </c>
      <c r="O9492" s="22" t="str">
        <f>HYPERLINK("https://pbs.twimg.com/profile_images/914040254029479936/4yyl4Q4B_normal.jpg","View")</f>
        <v>View</v>
      </c>
      <c r="P9492" s="27"/>
    </row>
    <row r="9493">
      <c r="A9493" s="14">
        <v>43032.03912037037</v>
      </c>
      <c r="B9493" s="20" t="str">
        <f>HYPERLINK("https://twitter.com/IndiasBigdebate","@IndiasBigdebate")</f>
        <v>@IndiasBigdebate</v>
      </c>
      <c r="C9493" s="21" t="s">
        <v>14423</v>
      </c>
      <c r="D9493" s="21" t="s">
        <v>20760</v>
      </c>
      <c r="E9493" s="22" t="str">
        <f>HYPERLINK("https://twitter.com/IndiasBigdebate/status/922733482123575296","922733482123575296")</f>
        <v>922733482123575296</v>
      </c>
      <c r="F9493" s="23" t="s">
        <v>33</v>
      </c>
      <c r="G9493" s="24">
        <v>1129.0</v>
      </c>
      <c r="H9493" s="24">
        <v>194.0</v>
      </c>
      <c r="I9493" s="24">
        <v>1.0</v>
      </c>
      <c r="J9493" s="24">
        <v>0.0</v>
      </c>
      <c r="K9493" s="23" t="s">
        <v>34</v>
      </c>
      <c r="L9493" s="25">
        <v>42216.47479166667</v>
      </c>
      <c r="M9493" s="26" t="s">
        <v>204</v>
      </c>
      <c r="N9493" s="26" t="s">
        <v>14425</v>
      </c>
      <c r="O9493" s="22" t="str">
        <f>HYPERLINK("https://pbs.twimg.com/profile_images/747690422248538112/8vtnmm--_normal.jpg","View")</f>
        <v>View</v>
      </c>
      <c r="P9493" s="27"/>
    </row>
    <row r="9494">
      <c r="A9494" s="14">
        <v>43032.039189814815</v>
      </c>
      <c r="B9494" s="20" t="str">
        <f>HYPERLINK("https://twitter.com/shailendra_nair","@shailendra_nair")</f>
        <v>@shailendra_nair</v>
      </c>
      <c r="C9494" s="21" t="s">
        <v>4072</v>
      </c>
      <c r="D9494" s="21" t="s">
        <v>20761</v>
      </c>
      <c r="E9494" s="22" t="str">
        <f>HYPERLINK("https://twitter.com/shailendra_nair/status/922733509147611136","922733509147611136")</f>
        <v>922733509147611136</v>
      </c>
      <c r="F9494" s="23" t="s">
        <v>187</v>
      </c>
      <c r="G9494" s="24">
        <v>3990.0</v>
      </c>
      <c r="H9494" s="24">
        <v>1041.0</v>
      </c>
      <c r="I9494" s="24">
        <v>0.0</v>
      </c>
      <c r="J9494" s="24">
        <v>0.0</v>
      </c>
      <c r="K9494" s="23" t="s">
        <v>34</v>
      </c>
      <c r="L9494" s="25">
        <v>40362.43798611111</v>
      </c>
      <c r="M9494" s="26" t="s">
        <v>246</v>
      </c>
      <c r="N9494" s="26" t="s">
        <v>4074</v>
      </c>
      <c r="O9494" s="22" t="str">
        <f>HYPERLINK("https://pbs.twimg.com/profile_images/884758468879466497/M_w6UjD3_normal.jpg","View")</f>
        <v>View</v>
      </c>
      <c r="P9494" s="27"/>
    </row>
    <row r="9495">
      <c r="A9495" s="14">
        <v>43032.039259259254</v>
      </c>
      <c r="B9495" s="20" t="str">
        <f>HYPERLINK("https://twitter.com/SivasankarR25","@SivasankarR25")</f>
        <v>@SivasankarR25</v>
      </c>
      <c r="C9495" s="21" t="s">
        <v>20762</v>
      </c>
      <c r="D9495" s="21" t="s">
        <v>42</v>
      </c>
      <c r="E9495" s="22" t="str">
        <f>HYPERLINK("https://twitter.com/SivasankarR25/status/922733534510333952","922733534510333952")</f>
        <v>922733534510333952</v>
      </c>
      <c r="F9495" s="23" t="s">
        <v>43</v>
      </c>
      <c r="G9495" s="24">
        <v>556.0</v>
      </c>
      <c r="H9495" s="24">
        <v>457.0</v>
      </c>
      <c r="I9495" s="24">
        <v>8501.0</v>
      </c>
      <c r="J9495" s="24">
        <v>0.0</v>
      </c>
      <c r="K9495" s="23" t="s">
        <v>34</v>
      </c>
      <c r="L9495" s="25">
        <v>41743.28773148148</v>
      </c>
      <c r="M9495" s="26" t="s">
        <v>20763</v>
      </c>
      <c r="N9495" s="26" t="s">
        <v>20764</v>
      </c>
      <c r="O9495" s="22" t="str">
        <f>HYPERLINK("https://pbs.twimg.com/profile_images/848041723989250048/NkqBtfhw_normal.jpg","View")</f>
        <v>View</v>
      </c>
      <c r="P9495" s="27"/>
    </row>
    <row r="9496">
      <c r="A9496" s="14">
        <v>43032.04069444444</v>
      </c>
      <c r="B9496" s="20" t="str">
        <f>HYPERLINK("https://twitter.com/Galleryite","@Galleryite")</f>
        <v>@Galleryite</v>
      </c>
      <c r="C9496" s="21" t="s">
        <v>20765</v>
      </c>
      <c r="D9496" s="21" t="s">
        <v>20700</v>
      </c>
      <c r="E9496" s="22" t="str">
        <f>HYPERLINK("https://twitter.com/Galleryite/status/922734051710009344","922734051710009344")</f>
        <v>922734051710009344</v>
      </c>
      <c r="F9496" s="23" t="s">
        <v>39</v>
      </c>
      <c r="G9496" s="24">
        <v>582.0</v>
      </c>
      <c r="H9496" s="24">
        <v>1801.0</v>
      </c>
      <c r="I9496" s="24">
        <v>27.0</v>
      </c>
      <c r="J9496" s="24">
        <v>0.0</v>
      </c>
      <c r="K9496" s="23" t="s">
        <v>34</v>
      </c>
      <c r="L9496" s="25">
        <v>41094.27311342592</v>
      </c>
      <c r="M9496" s="26" t="s">
        <v>9239</v>
      </c>
      <c r="N9496" s="26" t="s">
        <v>20766</v>
      </c>
      <c r="O9496" s="22" t="str">
        <f>HYPERLINK("https://pbs.twimg.com/profile_images/2366874020/SH3G0035_normal.jpg","View")</f>
        <v>View</v>
      </c>
      <c r="P9496" s="27"/>
    </row>
    <row r="9497">
      <c r="A9497" s="14">
        <v>43032.04083333333</v>
      </c>
      <c r="B9497" s="20" t="str">
        <f>HYPERLINK("https://twitter.com/GaidaMatisone","@GaidaMatisone")</f>
        <v>@GaidaMatisone</v>
      </c>
      <c r="C9497" s="21" t="s">
        <v>20767</v>
      </c>
      <c r="D9497" s="21" t="s">
        <v>20768</v>
      </c>
      <c r="E9497" s="22" t="str">
        <f>HYPERLINK("https://twitter.com/GaidaMatisone/status/922734103937642497","922734103937642497")</f>
        <v>922734103937642497</v>
      </c>
      <c r="F9497" s="23" t="s">
        <v>55</v>
      </c>
      <c r="G9497" s="24">
        <v>14.0</v>
      </c>
      <c r="H9497" s="24">
        <v>22.0</v>
      </c>
      <c r="I9497" s="24">
        <v>0.0</v>
      </c>
      <c r="J9497" s="24">
        <v>0.0</v>
      </c>
      <c r="K9497" s="23" t="s">
        <v>34</v>
      </c>
      <c r="L9497" s="25">
        <v>41577.23900462963</v>
      </c>
      <c r="M9497" s="28"/>
      <c r="N9497" s="28"/>
      <c r="O9497" s="22" t="str">
        <f>HYPERLINK("https://pbs.twimg.com/profile_images/610697793959669760/44tRGcZM_normal.jpg","View")</f>
        <v>View</v>
      </c>
      <c r="P9497" s="27"/>
    </row>
    <row r="9498">
      <c r="A9498" s="14">
        <v>43032.0412037037</v>
      </c>
      <c r="B9498" s="20" t="str">
        <f>HYPERLINK("https://twitter.com/serge_poznanski","@serge_poznanski")</f>
        <v>@serge_poznanski</v>
      </c>
      <c r="C9498" s="21" t="s">
        <v>2763</v>
      </c>
      <c r="D9498" s="21" t="s">
        <v>20769</v>
      </c>
      <c r="E9498" s="22" t="str">
        <f>HYPERLINK("https://twitter.com/serge_poznanski/status/922734237748547584","922734237748547584")</f>
        <v>922734237748547584</v>
      </c>
      <c r="F9498" s="23" t="s">
        <v>187</v>
      </c>
      <c r="G9498" s="24">
        <v>1438.0</v>
      </c>
      <c r="H9498" s="24">
        <v>2138.0</v>
      </c>
      <c r="I9498" s="24">
        <v>0.0</v>
      </c>
      <c r="J9498" s="24">
        <v>0.0</v>
      </c>
      <c r="K9498" s="23" t="s">
        <v>34</v>
      </c>
      <c r="L9498" s="25">
        <v>42271.47445601852</v>
      </c>
      <c r="M9498" s="28"/>
      <c r="N9498" s="28"/>
      <c r="O9498" s="22" t="str">
        <f>HYPERLINK("https://pbs.twimg.com/profile_images/647277253240291328/3GezjFCJ_normal.jpg","View")</f>
        <v>View</v>
      </c>
      <c r="P9498" s="27"/>
    </row>
    <row r="9499">
      <c r="A9499" s="14">
        <v>43032.041504629626</v>
      </c>
      <c r="B9499" s="20" t="str">
        <f>HYPERLINK("https://twitter.com/narender_naini","@narender_naini")</f>
        <v>@narender_naini</v>
      </c>
      <c r="C9499" s="21" t="s">
        <v>20770</v>
      </c>
      <c r="D9499" s="21" t="s">
        <v>42</v>
      </c>
      <c r="E9499" s="22" t="str">
        <f>HYPERLINK("https://twitter.com/narender_naini/status/922734346263343104","922734346263343104")</f>
        <v>922734346263343104</v>
      </c>
      <c r="F9499" s="23" t="s">
        <v>39</v>
      </c>
      <c r="G9499" s="24">
        <v>328.0</v>
      </c>
      <c r="H9499" s="24">
        <v>305.0</v>
      </c>
      <c r="I9499" s="24">
        <v>8501.0</v>
      </c>
      <c r="J9499" s="24">
        <v>0.0</v>
      </c>
      <c r="K9499" s="23" t="s">
        <v>34</v>
      </c>
      <c r="L9499" s="25">
        <v>41249.78225694445</v>
      </c>
      <c r="M9499" s="26" t="s">
        <v>20771</v>
      </c>
      <c r="N9499" s="26" t="s">
        <v>20772</v>
      </c>
      <c r="O9499" s="22" t="str">
        <f>HYPERLINK("https://pbs.twimg.com/profile_images/805676271875129344/eZi6b6nq_normal.jpg","View")</f>
        <v>View</v>
      </c>
      <c r="P9499" s="27"/>
    </row>
    <row r="9500">
      <c r="A9500" s="14">
        <v>43032.04172453703</v>
      </c>
      <c r="B9500" s="20" t="str">
        <f t="shared" ref="B9500:B9501" si="187">HYPERLINK("https://twitter.com/Global___News","@Global___News")</f>
        <v>@Global___News</v>
      </c>
      <c r="C9500" s="21" t="s">
        <v>4191</v>
      </c>
      <c r="D9500" s="21" t="s">
        <v>20773</v>
      </c>
      <c r="E9500" s="22" t="str">
        <f>HYPERLINK("https://twitter.com/Global___News/status/922734427565842433","922734427565842433")</f>
        <v>922734427565842433</v>
      </c>
      <c r="F9500" s="23" t="s">
        <v>4193</v>
      </c>
      <c r="G9500" s="24">
        <v>820.0</v>
      </c>
      <c r="H9500" s="24">
        <v>4.0</v>
      </c>
      <c r="I9500" s="24">
        <v>0.0</v>
      </c>
      <c r="J9500" s="24">
        <v>0.0</v>
      </c>
      <c r="K9500" s="23" t="s">
        <v>34</v>
      </c>
      <c r="L9500" s="25">
        <v>41404.33153935185</v>
      </c>
      <c r="M9500" s="28"/>
      <c r="N9500" s="26" t="s">
        <v>4191</v>
      </c>
      <c r="O9500" s="22" t="str">
        <f t="shared" ref="O9500:O9501" si="188">HYPERLINK("https://pbs.twimg.com/profile_images/3640360348/ca3c8990ec800ecd3004b1c1ab4cc462_normal.png","View")</f>
        <v>View</v>
      </c>
      <c r="P9500" s="27"/>
    </row>
    <row r="9501">
      <c r="A9501" s="14">
        <v>43032.04173611111</v>
      </c>
      <c r="B9501" s="20" t="str">
        <f t="shared" si="187"/>
        <v>@Global___News</v>
      </c>
      <c r="C9501" s="21" t="s">
        <v>4191</v>
      </c>
      <c r="D9501" s="21" t="s">
        <v>20774</v>
      </c>
      <c r="E9501" s="22" t="str">
        <f>HYPERLINK("https://twitter.com/Global___News/status/922734429386162176","922734429386162176")</f>
        <v>922734429386162176</v>
      </c>
      <c r="F9501" s="23" t="s">
        <v>4193</v>
      </c>
      <c r="G9501" s="24">
        <v>820.0</v>
      </c>
      <c r="H9501" s="24">
        <v>4.0</v>
      </c>
      <c r="I9501" s="24">
        <v>0.0</v>
      </c>
      <c r="J9501" s="24">
        <v>0.0</v>
      </c>
      <c r="K9501" s="23" t="s">
        <v>34</v>
      </c>
      <c r="L9501" s="25">
        <v>41404.33153935185</v>
      </c>
      <c r="M9501" s="28"/>
      <c r="N9501" s="26" t="s">
        <v>4191</v>
      </c>
      <c r="O9501" s="22" t="str">
        <f t="shared" si="188"/>
        <v>View</v>
      </c>
      <c r="P9501" s="27"/>
    </row>
    <row r="9502">
      <c r="A9502" s="14">
        <v>43032.041921296295</v>
      </c>
      <c r="B9502" s="20" t="str">
        <f>HYPERLINK("https://twitter.com/michaelkiria1","@michaelkiria1")</f>
        <v>@michaelkiria1</v>
      </c>
      <c r="C9502" s="21" t="s">
        <v>20775</v>
      </c>
      <c r="D9502" s="21" t="s">
        <v>32</v>
      </c>
      <c r="E9502" s="22" t="str">
        <f>HYPERLINK("https://twitter.com/michaelkiria1/status/922734499070402561","922734499070402561")</f>
        <v>922734499070402561</v>
      </c>
      <c r="F9502" s="23" t="s">
        <v>55</v>
      </c>
      <c r="G9502" s="24">
        <v>177.0</v>
      </c>
      <c r="H9502" s="24">
        <v>402.0</v>
      </c>
      <c r="I9502" s="24">
        <v>471.0</v>
      </c>
      <c r="J9502" s="24">
        <v>0.0</v>
      </c>
      <c r="K9502" s="23" t="s">
        <v>34</v>
      </c>
      <c r="L9502" s="25">
        <v>41639.55824074074</v>
      </c>
      <c r="M9502" s="28"/>
      <c r="N9502" s="28"/>
      <c r="O9502" s="22" t="str">
        <f>HYPERLINK("https://pbs.twimg.com/profile_images/791160131572621312/4rWAhUec_normal.jpg","View")</f>
        <v>View</v>
      </c>
      <c r="P9502" s="27"/>
    </row>
    <row r="9503">
      <c r="A9503" s="14">
        <v>43032.04200231482</v>
      </c>
      <c r="B9503" s="20" t="str">
        <f>HYPERLINK("https://twitter.com/NAR","@NAR")</f>
        <v>@NAR</v>
      </c>
      <c r="C9503" s="21" t="s">
        <v>4255</v>
      </c>
      <c r="D9503" s="21" t="s">
        <v>20776</v>
      </c>
      <c r="E9503" s="22" t="str">
        <f>HYPERLINK("https://twitter.com/NAR/status/922734525205004288","922734525205004288")</f>
        <v>922734525205004288</v>
      </c>
      <c r="F9503" s="23" t="s">
        <v>4257</v>
      </c>
      <c r="G9503" s="24">
        <v>56998.0</v>
      </c>
      <c r="H9503" s="24">
        <v>23.0</v>
      </c>
      <c r="I9503" s="24">
        <v>6.0</v>
      </c>
      <c r="J9503" s="24">
        <v>6.0</v>
      </c>
      <c r="K9503" s="23" t="s">
        <v>34</v>
      </c>
      <c r="L9503" s="25">
        <v>40890.88686342593</v>
      </c>
      <c r="M9503" s="26" t="s">
        <v>923</v>
      </c>
      <c r="N9503" s="26" t="s">
        <v>4258</v>
      </c>
      <c r="O9503" s="22" t="str">
        <f>HYPERLINK("https://pbs.twimg.com/profile_images/669688096879841280/kyJYc3j-_normal.png","View")</f>
        <v>View</v>
      </c>
      <c r="P9503" s="27"/>
    </row>
    <row r="9504">
      <c r="A9504" s="14">
        <v>43032.04200231482</v>
      </c>
      <c r="B9504" s="20" t="str">
        <f>HYPERLINK("https://twitter.com/priyasarasijan","@priyasarasijan")</f>
        <v>@priyasarasijan</v>
      </c>
      <c r="C9504" s="21" t="s">
        <v>20777</v>
      </c>
      <c r="D9504" s="21" t="s">
        <v>42</v>
      </c>
      <c r="E9504" s="22" t="str">
        <f>HYPERLINK("https://twitter.com/priyasarasijan/status/922734526874509313","922734526874509313")</f>
        <v>922734526874509313</v>
      </c>
      <c r="F9504" s="23" t="s">
        <v>39</v>
      </c>
      <c r="G9504" s="24">
        <v>366.0</v>
      </c>
      <c r="H9504" s="24">
        <v>149.0</v>
      </c>
      <c r="I9504" s="24">
        <v>8501.0</v>
      </c>
      <c r="J9504" s="24">
        <v>0.0</v>
      </c>
      <c r="K9504" s="23" t="s">
        <v>34</v>
      </c>
      <c r="L9504" s="25">
        <v>41923.36917824074</v>
      </c>
      <c r="M9504" s="28"/>
      <c r="N9504" s="26" t="s">
        <v>20778</v>
      </c>
      <c r="O9504" s="22" t="str">
        <f>HYPERLINK("https://pbs.twimg.com/profile_images/785743046910414848/tK3Eyr9H_normal.jpg","View")</f>
        <v>View</v>
      </c>
      <c r="P9504" s="27"/>
    </row>
    <row r="9505">
      <c r="A9505" s="14">
        <v>43032.04267361111</v>
      </c>
      <c r="B9505" s="20" t="str">
        <f>HYPERLINK("https://twitter.com/RealTimeHack","@RealTimeHack")</f>
        <v>@RealTimeHack</v>
      </c>
      <c r="C9505" s="21" t="s">
        <v>3773</v>
      </c>
      <c r="D9505" s="21" t="s">
        <v>20779</v>
      </c>
      <c r="E9505" s="22" t="str">
        <f>HYPERLINK("https://twitter.com/RealTimeHack/status/922734772383895552","922734772383895552")</f>
        <v>922734772383895552</v>
      </c>
      <c r="F9505" s="23" t="s">
        <v>187</v>
      </c>
      <c r="G9505" s="24">
        <v>2189.0</v>
      </c>
      <c r="H9505" s="24">
        <v>1282.0</v>
      </c>
      <c r="I9505" s="24">
        <v>0.0</v>
      </c>
      <c r="J9505" s="24">
        <v>0.0</v>
      </c>
      <c r="K9505" s="23" t="s">
        <v>34</v>
      </c>
      <c r="L9505" s="25">
        <v>40641.39920138889</v>
      </c>
      <c r="M9505" s="26" t="s">
        <v>3775</v>
      </c>
      <c r="N9505" s="26" t="s">
        <v>3776</v>
      </c>
      <c r="O9505" s="22" t="str">
        <f>HYPERLINK("https://pbs.twimg.com/profile_images/1304602852/Nuke_Egg_normal.gif","View")</f>
        <v>View</v>
      </c>
      <c r="P9505" s="27"/>
    </row>
    <row r="9506">
      <c r="A9506" s="14">
        <v>43032.042916666665</v>
      </c>
      <c r="B9506" s="20" t="str">
        <f>HYPERLINK("https://twitter.com/mediaheadliners","@mediaheadliners")</f>
        <v>@mediaheadliners</v>
      </c>
      <c r="C9506" s="21" t="s">
        <v>20780</v>
      </c>
      <c r="D9506" s="21" t="s">
        <v>20470</v>
      </c>
      <c r="E9506" s="22" t="str">
        <f>HYPERLINK("https://twitter.com/mediaheadliners/status/922734856966041600","922734856966041600")</f>
        <v>922734856966041600</v>
      </c>
      <c r="F9506" s="23" t="s">
        <v>55</v>
      </c>
      <c r="G9506" s="24">
        <v>70.0</v>
      </c>
      <c r="H9506" s="24">
        <v>414.0</v>
      </c>
      <c r="I9506" s="24">
        <v>3.0</v>
      </c>
      <c r="J9506" s="24">
        <v>0.0</v>
      </c>
      <c r="K9506" s="23" t="s">
        <v>34</v>
      </c>
      <c r="L9506" s="25">
        <v>42919.87872685185</v>
      </c>
      <c r="M9506" s="26" t="s">
        <v>1024</v>
      </c>
      <c r="N9506" s="26" t="s">
        <v>20781</v>
      </c>
      <c r="O9506" s="22" t="str">
        <f>HYPERLINK("https://pbs.twimg.com/profile_images/882091897317019648/Rr-GafdB_normal.jpg","View")</f>
        <v>View</v>
      </c>
      <c r="P9506" s="27"/>
    </row>
    <row r="9507">
      <c r="A9507" s="14">
        <v>43032.04344907407</v>
      </c>
      <c r="B9507" s="20" t="str">
        <f>HYPERLINK("https://twitter.com/robbinson_mark","@robbinson_mark")</f>
        <v>@robbinson_mark</v>
      </c>
      <c r="C9507" s="21" t="s">
        <v>20782</v>
      </c>
      <c r="D9507" s="21" t="s">
        <v>32</v>
      </c>
      <c r="E9507" s="22" t="str">
        <f>HYPERLINK("https://twitter.com/robbinson_mark/status/922735049564442624","922735049564442624")</f>
        <v>922735049564442624</v>
      </c>
      <c r="F9507" s="23" t="s">
        <v>33</v>
      </c>
      <c r="G9507" s="24">
        <v>1250.0</v>
      </c>
      <c r="H9507" s="24">
        <v>3676.0</v>
      </c>
      <c r="I9507" s="24">
        <v>471.0</v>
      </c>
      <c r="J9507" s="24">
        <v>0.0</v>
      </c>
      <c r="K9507" s="23" t="s">
        <v>34</v>
      </c>
      <c r="L9507" s="25">
        <v>41496.96230324074</v>
      </c>
      <c r="M9507" s="26" t="s">
        <v>11701</v>
      </c>
      <c r="N9507" s="26" t="s">
        <v>20783</v>
      </c>
      <c r="O9507" s="22" t="str">
        <f>HYPERLINK("https://pbs.twimg.com/profile_images/854471448664125440/tkOaORGP_normal.jpg","View")</f>
        <v>View</v>
      </c>
      <c r="P9507" s="27"/>
    </row>
    <row r="9508">
      <c r="A9508" s="14">
        <v>43032.04344907407</v>
      </c>
      <c r="B9508" s="20" t="str">
        <f>HYPERLINK("https://twitter.com/chirckevin","@chirckevin")</f>
        <v>@chirckevin</v>
      </c>
      <c r="C9508" s="21" t="s">
        <v>20784</v>
      </c>
      <c r="D9508" s="21" t="s">
        <v>20785</v>
      </c>
      <c r="E9508" s="22" t="str">
        <f>HYPERLINK("https://twitter.com/chirckevin/status/922735052269727744","922735052269727744")</f>
        <v>922735052269727744</v>
      </c>
      <c r="F9508" s="23" t="s">
        <v>2255</v>
      </c>
      <c r="G9508" s="24">
        <v>553.0</v>
      </c>
      <c r="H9508" s="24">
        <v>1900.0</v>
      </c>
      <c r="I9508" s="24">
        <v>0.0</v>
      </c>
      <c r="J9508" s="24">
        <v>0.0</v>
      </c>
      <c r="K9508" s="23" t="s">
        <v>34</v>
      </c>
      <c r="L9508" s="25">
        <v>42836.35278935185</v>
      </c>
      <c r="M9508" s="26" t="s">
        <v>4411</v>
      </c>
      <c r="N9508" s="28"/>
      <c r="O9508" s="22" t="str">
        <f>HYPERLINK("https://pbs.twimg.com/profile_images/854376463323115520/b-nxqM3Z_normal.jpg","View")</f>
        <v>View</v>
      </c>
      <c r="P9508" s="27"/>
    </row>
    <row r="9509">
      <c r="A9509" s="14">
        <v>43032.044375</v>
      </c>
      <c r="B9509" s="20" t="str">
        <f>HYPERLINK("https://twitter.com/Wolf_Capital","@Wolf_Capital")</f>
        <v>@Wolf_Capital</v>
      </c>
      <c r="C9509" s="21" t="s">
        <v>20786</v>
      </c>
      <c r="D9509" s="21" t="s">
        <v>20700</v>
      </c>
      <c r="E9509" s="22" t="str">
        <f>HYPERLINK("https://twitter.com/Wolf_Capital/status/922735387847614464","922735387847614464")</f>
        <v>922735387847614464</v>
      </c>
      <c r="F9509" s="23" t="s">
        <v>33</v>
      </c>
      <c r="G9509" s="24">
        <v>745.0</v>
      </c>
      <c r="H9509" s="24">
        <v>1175.0</v>
      </c>
      <c r="I9509" s="24">
        <v>27.0</v>
      </c>
      <c r="J9509" s="24">
        <v>0.0</v>
      </c>
      <c r="K9509" s="23" t="s">
        <v>34</v>
      </c>
      <c r="L9509" s="25">
        <v>40917.74569444444</v>
      </c>
      <c r="M9509" s="26" t="s">
        <v>20787</v>
      </c>
      <c r="N9509" s="26" t="s">
        <v>20788</v>
      </c>
      <c r="O9509" s="22" t="str">
        <f>HYPERLINK("https://pbs.twimg.com/profile_images/907823864838852608/aiShvlVy_normal.jpg","View")</f>
        <v>View</v>
      </c>
      <c r="P9509" s="27"/>
    </row>
    <row r="9510">
      <c r="A9510" s="14">
        <v>43032.04483796297</v>
      </c>
      <c r="B9510" s="20" t="str">
        <f>HYPERLINK("https://twitter.com/TrackingModi","@TrackingModi")</f>
        <v>@TrackingModi</v>
      </c>
      <c r="C9510" s="21" t="s">
        <v>20789</v>
      </c>
      <c r="D9510" s="21" t="s">
        <v>42</v>
      </c>
      <c r="E9510" s="22" t="str">
        <f>HYPERLINK("https://twitter.com/TrackingModi/status/922735556605313024","922735556605313024")</f>
        <v>922735556605313024</v>
      </c>
      <c r="F9510" s="23" t="s">
        <v>33</v>
      </c>
      <c r="G9510" s="24">
        <v>438.0</v>
      </c>
      <c r="H9510" s="24">
        <v>19.0</v>
      </c>
      <c r="I9510" s="24">
        <v>8501.0</v>
      </c>
      <c r="J9510" s="24">
        <v>0.0</v>
      </c>
      <c r="K9510" s="23" t="s">
        <v>34</v>
      </c>
      <c r="L9510" s="25">
        <v>42491.226388888885</v>
      </c>
      <c r="M9510" s="26" t="s">
        <v>204</v>
      </c>
      <c r="N9510" s="26" t="s">
        <v>20790</v>
      </c>
      <c r="O9510" s="22" t="str">
        <f>HYPERLINK("https://pbs.twimg.com/profile_images/727340444707885056/GOundRYR_normal.jpg","View")</f>
        <v>View</v>
      </c>
      <c r="P9510" s="27"/>
    </row>
    <row r="9511">
      <c r="A9511" s="14">
        <v>43032.04511574074</v>
      </c>
      <c r="B9511" s="20" t="str">
        <f>HYPERLINK("https://twitter.com/kuldeep09133","@kuldeep09133")</f>
        <v>@kuldeep09133</v>
      </c>
      <c r="C9511" s="21" t="s">
        <v>20791</v>
      </c>
      <c r="D9511" s="21" t="s">
        <v>42</v>
      </c>
      <c r="E9511" s="22" t="str">
        <f>HYPERLINK("https://twitter.com/kuldeep09133/status/922735655381356544","922735655381356544")</f>
        <v>922735655381356544</v>
      </c>
      <c r="F9511" s="23" t="s">
        <v>33</v>
      </c>
      <c r="G9511" s="24">
        <v>63.0</v>
      </c>
      <c r="H9511" s="24">
        <v>67.0</v>
      </c>
      <c r="I9511" s="24">
        <v>8501.0</v>
      </c>
      <c r="J9511" s="24">
        <v>0.0</v>
      </c>
      <c r="K9511" s="23" t="s">
        <v>34</v>
      </c>
      <c r="L9511" s="25">
        <v>42153.2602199074</v>
      </c>
      <c r="M9511" s="28"/>
      <c r="N9511" s="26" t="s">
        <v>20792</v>
      </c>
      <c r="O9511" s="22" t="str">
        <f>HYPERLINK("https://pbs.twimg.com/profile_images/862383383510478850/sRwEeFpe_normal.jpg","View")</f>
        <v>View</v>
      </c>
      <c r="P9511" s="27"/>
    </row>
    <row r="9512">
      <c r="A9512" s="14">
        <v>43032.04578703704</v>
      </c>
      <c r="B9512" s="20" t="str">
        <f>HYPERLINK("https://twitter.com/Sunildfuture","@Sunildfuture")</f>
        <v>@Sunildfuture</v>
      </c>
      <c r="C9512" s="21" t="s">
        <v>20793</v>
      </c>
      <c r="D9512" s="21" t="s">
        <v>42</v>
      </c>
      <c r="E9512" s="22" t="str">
        <f>HYPERLINK("https://twitter.com/Sunildfuture/status/922735896729808896","922735896729808896")</f>
        <v>922735896729808896</v>
      </c>
      <c r="F9512" s="23" t="s">
        <v>33</v>
      </c>
      <c r="G9512" s="24">
        <v>95.0</v>
      </c>
      <c r="H9512" s="24">
        <v>242.0</v>
      </c>
      <c r="I9512" s="24">
        <v>8501.0</v>
      </c>
      <c r="J9512" s="24">
        <v>0.0</v>
      </c>
      <c r="K9512" s="23" t="s">
        <v>34</v>
      </c>
      <c r="L9512" s="25">
        <v>40083.963842592595</v>
      </c>
      <c r="M9512" s="26" t="s">
        <v>204</v>
      </c>
      <c r="N9512" s="26" t="s">
        <v>20794</v>
      </c>
      <c r="O9512" s="22" t="str">
        <f>HYPERLINK("https://pbs.twimg.com/profile_images/378800000413646101/6e0d9c8669e5630873824c983df1eb2e_normal.jpeg","View")</f>
        <v>View</v>
      </c>
      <c r="P9512" s="27"/>
    </row>
    <row r="9513">
      <c r="A9513" s="14">
        <v>43032.046168981484</v>
      </c>
      <c r="B9513" s="20" t="str">
        <f>HYPERLINK("https://twitter.com/siddharthmukund","@siddharthmukund")</f>
        <v>@siddharthmukund</v>
      </c>
      <c r="C9513" s="21" t="s">
        <v>20795</v>
      </c>
      <c r="D9513" s="21" t="s">
        <v>20796</v>
      </c>
      <c r="E9513" s="22" t="str">
        <f>HYPERLINK("https://twitter.com/siddharthmukund/status/922736036387500035","922736036387500035")</f>
        <v>922736036387500035</v>
      </c>
      <c r="F9513" s="23" t="s">
        <v>55</v>
      </c>
      <c r="G9513" s="24">
        <v>1243.0</v>
      </c>
      <c r="H9513" s="24">
        <v>715.0</v>
      </c>
      <c r="I9513" s="24">
        <v>0.0</v>
      </c>
      <c r="J9513" s="24">
        <v>0.0</v>
      </c>
      <c r="K9513" s="23" t="s">
        <v>34</v>
      </c>
      <c r="L9513" s="25">
        <v>39750.92462962963</v>
      </c>
      <c r="M9513" s="26" t="s">
        <v>575</v>
      </c>
      <c r="N9513" s="26" t="s">
        <v>20797</v>
      </c>
      <c r="O9513" s="22" t="str">
        <f>HYPERLINK("https://pbs.twimg.com/profile_images/508972625716998145/crtnsYND_normal.jpeg","View")</f>
        <v>View</v>
      </c>
      <c r="P9513" s="27"/>
    </row>
    <row r="9514">
      <c r="A9514" s="14">
        <v>43032.04673611111</v>
      </c>
      <c r="B9514" s="20" t="str">
        <f>HYPERLINK("https://twitter.com/RosMathieson","@RosMathieson")</f>
        <v>@RosMathieson</v>
      </c>
      <c r="C9514" s="21" t="s">
        <v>20798</v>
      </c>
      <c r="D9514" s="21" t="s">
        <v>20799</v>
      </c>
      <c r="E9514" s="22" t="str">
        <f>HYPERLINK("https://twitter.com/RosMathieson/status/922736242000740352","922736242000740352")</f>
        <v>922736242000740352</v>
      </c>
      <c r="F9514" s="23" t="s">
        <v>55</v>
      </c>
      <c r="G9514" s="24">
        <v>2003.0</v>
      </c>
      <c r="H9514" s="24">
        <v>1991.0</v>
      </c>
      <c r="I9514" s="24">
        <v>1.0</v>
      </c>
      <c r="J9514" s="24">
        <v>0.0</v>
      </c>
      <c r="K9514" s="23" t="s">
        <v>34</v>
      </c>
      <c r="L9514" s="25">
        <v>41038.96273148148</v>
      </c>
      <c r="M9514" s="26" t="s">
        <v>1224</v>
      </c>
      <c r="N9514" s="26" t="s">
        <v>20800</v>
      </c>
      <c r="O9514" s="22" t="str">
        <f>HYPERLINK("https://pbs.twimg.com/profile_images/460038040329527296/NvG_2qmK_normal.jpeg","View")</f>
        <v>View</v>
      </c>
      <c r="P9514" s="27"/>
    </row>
    <row r="9515">
      <c r="A9515" s="14">
        <v>43032.04678240741</v>
      </c>
      <c r="B9515" s="20" t="str">
        <f>HYPERLINK("https://twitter.com/nqh157925","@nqh157925")</f>
        <v>@nqh157925</v>
      </c>
      <c r="C9515" s="21" t="s">
        <v>20801</v>
      </c>
      <c r="D9515" s="21" t="s">
        <v>20700</v>
      </c>
      <c r="E9515" s="22" t="str">
        <f>HYPERLINK("https://twitter.com/nqh157925/status/922736260678000640","922736260678000640")</f>
        <v>922736260678000640</v>
      </c>
      <c r="F9515" s="23" t="s">
        <v>55</v>
      </c>
      <c r="G9515" s="24">
        <v>383.0</v>
      </c>
      <c r="H9515" s="24">
        <v>2172.0</v>
      </c>
      <c r="I9515" s="24">
        <v>27.0</v>
      </c>
      <c r="J9515" s="24">
        <v>0.0</v>
      </c>
      <c r="K9515" s="23" t="s">
        <v>34</v>
      </c>
      <c r="L9515" s="25">
        <v>42434.281539351854</v>
      </c>
      <c r="M9515" s="28"/>
      <c r="N9515" s="26" t="s">
        <v>20802</v>
      </c>
      <c r="O9515" s="22" t="str">
        <f>HYPERLINK("https://abs.twimg.com/sticky/default_profile_images/default_profile_normal.png","View")</f>
        <v>View</v>
      </c>
      <c r="P9515" s="27"/>
    </row>
    <row r="9516">
      <c r="A9516" s="14">
        <v>43032.04752314815</v>
      </c>
      <c r="B9516" s="20" t="str">
        <f>HYPERLINK("https://twitter.com/monkey_viral","@monkey_viral")</f>
        <v>@monkey_viral</v>
      </c>
      <c r="C9516" s="21" t="s">
        <v>20803</v>
      </c>
      <c r="D9516" s="21" t="s">
        <v>20804</v>
      </c>
      <c r="E9516" s="22" t="str">
        <f>HYPERLINK("https://twitter.com/monkey_viral/status/922736527536422912","922736527536422912")</f>
        <v>922736527536422912</v>
      </c>
      <c r="F9516" s="23" t="s">
        <v>20805</v>
      </c>
      <c r="G9516" s="24">
        <v>5637.0</v>
      </c>
      <c r="H9516" s="24">
        <v>6148.0</v>
      </c>
      <c r="I9516" s="24">
        <v>0.0</v>
      </c>
      <c r="J9516" s="24">
        <v>0.0</v>
      </c>
      <c r="K9516" s="23" t="s">
        <v>34</v>
      </c>
      <c r="L9516" s="25">
        <v>42072.34359953704</v>
      </c>
      <c r="M9516" s="26" t="s">
        <v>20806</v>
      </c>
      <c r="N9516" s="26" t="s">
        <v>20807</v>
      </c>
      <c r="O9516" s="22" t="str">
        <f>HYPERLINK("https://pbs.twimg.com/profile_images/850042084270776320/jMiph7ll_normal.jpg","View")</f>
        <v>View</v>
      </c>
      <c r="P9516" s="27"/>
    </row>
    <row r="9517">
      <c r="A9517" s="14">
        <v>43032.047534722224</v>
      </c>
      <c r="B9517" s="20" t="str">
        <f>HYPERLINK("https://twitter.com/harsha0694","@harsha0694")</f>
        <v>@harsha0694</v>
      </c>
      <c r="C9517" s="21" t="s">
        <v>20808</v>
      </c>
      <c r="D9517" s="21" t="s">
        <v>42</v>
      </c>
      <c r="E9517" s="22" t="str">
        <f>HYPERLINK("https://twitter.com/harsha0694/status/922736531659304966","922736531659304966")</f>
        <v>922736531659304966</v>
      </c>
      <c r="F9517" s="23" t="s">
        <v>33</v>
      </c>
      <c r="G9517" s="24">
        <v>0.0</v>
      </c>
      <c r="H9517" s="24">
        <v>30.0</v>
      </c>
      <c r="I9517" s="24">
        <v>8501.0</v>
      </c>
      <c r="J9517" s="24">
        <v>0.0</v>
      </c>
      <c r="K9517" s="23" t="s">
        <v>34</v>
      </c>
      <c r="L9517" s="25">
        <v>42989.11548611111</v>
      </c>
      <c r="M9517" s="28"/>
      <c r="N9517" s="28"/>
      <c r="O9517" s="22" t="str">
        <f>HYPERLINK("https://abs.twimg.com/sticky/default_profile_images/default_profile_normal.png","View")</f>
        <v>View</v>
      </c>
      <c r="P9517" s="27"/>
    </row>
    <row r="9518">
      <c r="A9518" s="14">
        <v>43032.04755787037</v>
      </c>
      <c r="B9518" s="20" t="str">
        <f>HYPERLINK("https://twitter.com/emo_lifey","@emo_lifey")</f>
        <v>@emo_lifey</v>
      </c>
      <c r="C9518" s="21" t="s">
        <v>20809</v>
      </c>
      <c r="D9518" s="21" t="s">
        <v>20700</v>
      </c>
      <c r="E9518" s="22" t="str">
        <f>HYPERLINK("https://twitter.com/emo_lifey/status/922736539024506880","922736539024506880")</f>
        <v>922736539024506880</v>
      </c>
      <c r="F9518" s="23" t="s">
        <v>39</v>
      </c>
      <c r="G9518" s="24">
        <v>146.0</v>
      </c>
      <c r="H9518" s="24">
        <v>243.0</v>
      </c>
      <c r="I9518" s="24">
        <v>27.0</v>
      </c>
      <c r="J9518" s="24">
        <v>0.0</v>
      </c>
      <c r="K9518" s="23" t="s">
        <v>34</v>
      </c>
      <c r="L9518" s="25">
        <v>40353.39334490741</v>
      </c>
      <c r="M9518" s="28"/>
      <c r="N9518" s="26" t="s">
        <v>20810</v>
      </c>
      <c r="O9518" s="22" t="str">
        <f>HYPERLINK("https://pbs.twimg.com/profile_images/903524253164650496/RN9yxE9d_normal.jpg","View")</f>
        <v>View</v>
      </c>
      <c r="P9518" s="27"/>
    </row>
    <row r="9519">
      <c r="A9519" s="14">
        <v>43032.04756944445</v>
      </c>
      <c r="B9519" s="20" t="str">
        <f>HYPERLINK("https://twitter.com/Jishnug2","@Jishnug2")</f>
        <v>@Jishnug2</v>
      </c>
      <c r="C9519" s="21" t="s">
        <v>20811</v>
      </c>
      <c r="D9519" s="21" t="s">
        <v>42</v>
      </c>
      <c r="E9519" s="22" t="str">
        <f>HYPERLINK("https://twitter.com/Jishnug2/status/922736543105724416","922736543105724416")</f>
        <v>922736543105724416</v>
      </c>
      <c r="F9519" s="23" t="s">
        <v>33</v>
      </c>
      <c r="G9519" s="24">
        <v>3.0</v>
      </c>
      <c r="H9519" s="24">
        <v>53.0</v>
      </c>
      <c r="I9519" s="24">
        <v>8501.0</v>
      </c>
      <c r="J9519" s="24">
        <v>0.0</v>
      </c>
      <c r="K9519" s="23" t="s">
        <v>34</v>
      </c>
      <c r="L9519" s="25">
        <v>41040.15075231482</v>
      </c>
      <c r="M9519" s="26" t="s">
        <v>20812</v>
      </c>
      <c r="N9519" s="28"/>
      <c r="O9519" s="22" t="str">
        <f>HYPERLINK("https://pbs.twimg.com/profile_images/786586654383276032/KCTjfAAz_normal.jpg","View")</f>
        <v>View</v>
      </c>
      <c r="P9519" s="27"/>
    </row>
    <row r="9520">
      <c r="A9520" s="14">
        <v>43032.047939814816</v>
      </c>
      <c r="B9520" s="20" t="str">
        <f>HYPERLINK("https://twitter.com/MarikaKatanuma","@MarikaKatanuma")</f>
        <v>@MarikaKatanuma</v>
      </c>
      <c r="C9520" s="21" t="s">
        <v>5508</v>
      </c>
      <c r="D9520" s="21" t="s">
        <v>20569</v>
      </c>
      <c r="E9520" s="22" t="str">
        <f>HYPERLINK("https://twitter.com/MarikaKatanuma/status/922736676970962944","922736676970962944")</f>
        <v>922736676970962944</v>
      </c>
      <c r="F9520" s="23" t="s">
        <v>39</v>
      </c>
      <c r="G9520" s="24">
        <v>634.0</v>
      </c>
      <c r="H9520" s="24">
        <v>772.0</v>
      </c>
      <c r="I9520" s="24">
        <v>11.0</v>
      </c>
      <c r="J9520" s="24">
        <v>0.0</v>
      </c>
      <c r="K9520" s="23" t="s">
        <v>34</v>
      </c>
      <c r="L9520" s="25">
        <v>42137.404710648145</v>
      </c>
      <c r="M9520" s="26" t="s">
        <v>5509</v>
      </c>
      <c r="N9520" s="26" t="s">
        <v>5510</v>
      </c>
      <c r="O9520" s="22" t="str">
        <f>HYPERLINK("https://pbs.twimg.com/profile_images/883685444445065221/UpZrqq8K_normal.jpg","View")</f>
        <v>View</v>
      </c>
      <c r="P9520" s="27"/>
    </row>
    <row r="9521">
      <c r="A9521" s="14">
        <v>43032.04803240741</v>
      </c>
      <c r="B9521" s="20" t="str">
        <f>HYPERLINK("https://twitter.com/devuapai","@devuapai")</f>
        <v>@devuapai</v>
      </c>
      <c r="C9521" s="21" t="s">
        <v>20813</v>
      </c>
      <c r="D9521" s="21" t="s">
        <v>42</v>
      </c>
      <c r="E9521" s="22" t="str">
        <f>HYPERLINK("https://twitter.com/devuapai/status/922736712442191872","922736712442191872")</f>
        <v>922736712442191872</v>
      </c>
      <c r="F9521" s="23" t="s">
        <v>39</v>
      </c>
      <c r="G9521" s="24">
        <v>41.0</v>
      </c>
      <c r="H9521" s="24">
        <v>571.0</v>
      </c>
      <c r="I9521" s="24">
        <v>8501.0</v>
      </c>
      <c r="J9521" s="24">
        <v>0.0</v>
      </c>
      <c r="K9521" s="23" t="s">
        <v>34</v>
      </c>
      <c r="L9521" s="25">
        <v>40267.93512731481</v>
      </c>
      <c r="M9521" s="26" t="s">
        <v>603</v>
      </c>
      <c r="N9521" s="26" t="s">
        <v>20814</v>
      </c>
      <c r="O9521" s="22" t="str">
        <f>HYPERLINK("https://pbs.twimg.com/profile_images/847389979617640448/gqsgUuD7_normal.jpg","View")</f>
        <v>View</v>
      </c>
      <c r="P9521" s="27"/>
    </row>
    <row r="9522">
      <c r="A9522" s="14">
        <v>43032.04880787037</v>
      </c>
      <c r="B9522" s="20" t="str">
        <f>HYPERLINK("https://twitter.com/MONkGOLDsamurai","@MONkGOLDsamurai")</f>
        <v>@MONkGOLDsamurai</v>
      </c>
      <c r="C9522" s="21" t="s">
        <v>3610</v>
      </c>
      <c r="D9522" s="21" t="s">
        <v>20815</v>
      </c>
      <c r="E9522" s="22" t="str">
        <f>HYPERLINK("https://twitter.com/MONkGOLDsamurai/status/922736993775132672","922736993775132672")</f>
        <v>922736993775132672</v>
      </c>
      <c r="F9522" s="23" t="s">
        <v>55</v>
      </c>
      <c r="G9522" s="24">
        <v>26.0</v>
      </c>
      <c r="H9522" s="24">
        <v>212.0</v>
      </c>
      <c r="I9522" s="24">
        <v>0.0</v>
      </c>
      <c r="J9522" s="24">
        <v>0.0</v>
      </c>
      <c r="K9522" s="23" t="s">
        <v>34</v>
      </c>
      <c r="L9522" s="25">
        <v>39950.27431712963</v>
      </c>
      <c r="M9522" s="28"/>
      <c r="N9522" s="28"/>
      <c r="O9522" s="22" t="str">
        <f t="shared" ref="O9522:O9523" si="189">HYPERLINK("https://abs.twimg.com/sticky/default_profile_images/default_profile_normal.png","View")</f>
        <v>View</v>
      </c>
      <c r="P9522" s="27"/>
    </row>
    <row r="9523">
      <c r="A9523" s="14">
        <v>43032.0490162037</v>
      </c>
      <c r="B9523" s="20" t="str">
        <f>HYPERLINK("https://twitter.com/Shilphs12","@Shilphs12")</f>
        <v>@Shilphs12</v>
      </c>
      <c r="C9523" s="21" t="s">
        <v>20816</v>
      </c>
      <c r="D9523" s="21" t="s">
        <v>42</v>
      </c>
      <c r="E9523" s="22" t="str">
        <f>HYPERLINK("https://twitter.com/Shilphs12/status/922737067192225792","922737067192225792")</f>
        <v>922737067192225792</v>
      </c>
      <c r="F9523" s="23" t="s">
        <v>33</v>
      </c>
      <c r="G9523" s="24">
        <v>5.0</v>
      </c>
      <c r="H9523" s="24">
        <v>57.0</v>
      </c>
      <c r="I9523" s="24">
        <v>8501.0</v>
      </c>
      <c r="J9523" s="24">
        <v>0.0</v>
      </c>
      <c r="K9523" s="23" t="s">
        <v>34</v>
      </c>
      <c r="L9523" s="25">
        <v>42998.99736111111</v>
      </c>
      <c r="M9523" s="28"/>
      <c r="N9523" s="26" t="s">
        <v>20817</v>
      </c>
      <c r="O9523" s="22" t="str">
        <f t="shared" si="189"/>
        <v>View</v>
      </c>
      <c r="P9523" s="27"/>
    </row>
    <row r="9524">
      <c r="A9524" s="14">
        <v>43032.0493287037</v>
      </c>
      <c r="B9524" s="20" t="str">
        <f>HYPERLINK("https://twitter.com/the01234567890","@the01234567890")</f>
        <v>@the01234567890</v>
      </c>
      <c r="C9524" s="21" t="s">
        <v>20818</v>
      </c>
      <c r="D9524" s="21" t="s">
        <v>42</v>
      </c>
      <c r="E9524" s="22" t="str">
        <f>HYPERLINK("https://twitter.com/the01234567890/status/922737180769792002","922737180769792002")</f>
        <v>922737180769792002</v>
      </c>
      <c r="F9524" s="23" t="s">
        <v>33</v>
      </c>
      <c r="G9524" s="24">
        <v>26.0</v>
      </c>
      <c r="H9524" s="24">
        <v>112.0</v>
      </c>
      <c r="I9524" s="24">
        <v>8501.0</v>
      </c>
      <c r="J9524" s="24">
        <v>0.0</v>
      </c>
      <c r="K9524" s="23" t="s">
        <v>34</v>
      </c>
      <c r="L9524" s="25">
        <v>42960.19635416666</v>
      </c>
      <c r="M9524" s="26" t="s">
        <v>603</v>
      </c>
      <c r="N9524" s="26" t="s">
        <v>20819</v>
      </c>
      <c r="O9524" s="22" t="str">
        <f>HYPERLINK("https://pbs.twimg.com/profile_images/910092387619188736/KA1pE5Ft_normal.jpg","View")</f>
        <v>View</v>
      </c>
      <c r="P9524" s="27"/>
    </row>
    <row r="9525">
      <c r="A9525" s="14">
        <v>43032.04934027778</v>
      </c>
      <c r="B9525" s="20" t="str">
        <f>HYPERLINK("https://twitter.com/Tomigahara2013","@Tomigahara2013")</f>
        <v>@Tomigahara2013</v>
      </c>
      <c r="C9525" s="21" t="s">
        <v>20820</v>
      </c>
      <c r="D9525" s="21" t="s">
        <v>18162</v>
      </c>
      <c r="E9525" s="22" t="str">
        <f>HYPERLINK("https://twitter.com/Tomigahara2013/status/922737187480780801","922737187480780801")</f>
        <v>922737187480780801</v>
      </c>
      <c r="F9525" s="23" t="s">
        <v>230</v>
      </c>
      <c r="G9525" s="24">
        <v>328.0</v>
      </c>
      <c r="H9525" s="24">
        <v>0.0</v>
      </c>
      <c r="I9525" s="24">
        <v>59.0</v>
      </c>
      <c r="J9525" s="24">
        <v>0.0</v>
      </c>
      <c r="K9525" s="23" t="s">
        <v>34</v>
      </c>
      <c r="L9525" s="25">
        <v>40872.78443287037</v>
      </c>
      <c r="M9525" s="26" t="s">
        <v>20821</v>
      </c>
      <c r="N9525" s="26" t="s">
        <v>20822</v>
      </c>
      <c r="O9525" s="22" t="str">
        <f>HYPERLINK("https://pbs.twimg.com/profile_images/810476335567028224/sEl_O_Hk_normal.jpg","View")</f>
        <v>View</v>
      </c>
      <c r="P9525" s="27"/>
    </row>
    <row r="9526">
      <c r="A9526" s="14">
        <v>43032.049988425926</v>
      </c>
      <c r="B9526" s="20" t="str">
        <f>HYPERLINK("https://twitter.com/diyxixi","@diyxixi")</f>
        <v>@diyxixi</v>
      </c>
      <c r="C9526" s="21" t="s">
        <v>20823</v>
      </c>
      <c r="D9526" s="21" t="s">
        <v>18162</v>
      </c>
      <c r="E9526" s="22" t="str">
        <f>HYPERLINK("https://twitter.com/diyxixi/status/922737421292376064","922737421292376064")</f>
        <v>922737421292376064</v>
      </c>
      <c r="F9526" s="23" t="s">
        <v>55</v>
      </c>
      <c r="G9526" s="24">
        <v>4.0</v>
      </c>
      <c r="H9526" s="24">
        <v>0.0</v>
      </c>
      <c r="I9526" s="24">
        <v>59.0</v>
      </c>
      <c r="J9526" s="24">
        <v>0.0</v>
      </c>
      <c r="K9526" s="23" t="s">
        <v>34</v>
      </c>
      <c r="L9526" s="25">
        <v>43020.772256944445</v>
      </c>
      <c r="M9526" s="28"/>
      <c r="N9526" s="28"/>
      <c r="O9526" s="22" t="str">
        <f>HYPERLINK("https://pbs.twimg.com/profile_images/918651256737972224/_zGeCnCD_normal.jpg","View")</f>
        <v>View</v>
      </c>
      <c r="P9526" s="27"/>
    </row>
    <row r="9527">
      <c r="A9527" s="14">
        <v>43032.05006944445</v>
      </c>
      <c r="B9527" s="20" t="str">
        <f>HYPERLINK("https://twitter.com/rpollard","@rpollard")</f>
        <v>@rpollard</v>
      </c>
      <c r="C9527" s="21" t="s">
        <v>20824</v>
      </c>
      <c r="D9527" s="21" t="s">
        <v>20825</v>
      </c>
      <c r="E9527" s="22" t="str">
        <f>HYPERLINK("https://twitter.com/rpollard/status/922737452468518913","922737452468518913")</f>
        <v>922737452468518913</v>
      </c>
      <c r="F9527" s="23" t="s">
        <v>55</v>
      </c>
      <c r="G9527" s="24">
        <v>6764.0</v>
      </c>
      <c r="H9527" s="24">
        <v>3013.0</v>
      </c>
      <c r="I9527" s="24">
        <v>0.0</v>
      </c>
      <c r="J9527" s="24">
        <v>0.0</v>
      </c>
      <c r="K9527" s="23" t="s">
        <v>34</v>
      </c>
      <c r="L9527" s="25">
        <v>39821.83429398148</v>
      </c>
      <c r="M9527" s="26" t="s">
        <v>20826</v>
      </c>
      <c r="N9527" s="26" t="s">
        <v>20827</v>
      </c>
      <c r="O9527" s="22" t="str">
        <f>HYPERLINK("https://pbs.twimg.com/profile_images/3540622286/bf6f9a4bae13dda62bee0f3941bb5271_normal.jpeg","View")</f>
        <v>View</v>
      </c>
      <c r="P9527" s="27"/>
    </row>
    <row r="9528">
      <c r="A9528" s="14">
        <v>43032.05027777777</v>
      </c>
      <c r="B9528" s="20" t="str">
        <f>HYPERLINK("https://twitter.com/london_uknews","@london_uknews")</f>
        <v>@london_uknews</v>
      </c>
      <c r="C9528" s="21" t="s">
        <v>20828</v>
      </c>
      <c r="D9528" s="21" t="s">
        <v>20829</v>
      </c>
      <c r="E9528" s="22" t="str">
        <f>HYPERLINK("https://twitter.com/london_uknews/status/922737526674280448","922737526674280448")</f>
        <v>922737526674280448</v>
      </c>
      <c r="F9528" s="23" t="s">
        <v>1020</v>
      </c>
      <c r="G9528" s="24">
        <v>1602.0</v>
      </c>
      <c r="H9528" s="24">
        <v>1493.0</v>
      </c>
      <c r="I9528" s="24">
        <v>0.0</v>
      </c>
      <c r="J9528" s="24">
        <v>0.0</v>
      </c>
      <c r="K9528" s="23" t="s">
        <v>34</v>
      </c>
      <c r="L9528" s="25">
        <v>41686.18377314815</v>
      </c>
      <c r="M9528" s="28"/>
      <c r="N9528" s="26" t="s">
        <v>20830</v>
      </c>
      <c r="O9528" s="22" t="str">
        <f>HYPERLINK("https://pbs.twimg.com/profile_images/435027468102017024/-oY0EUAS_normal.png","View")</f>
        <v>View</v>
      </c>
      <c r="P9528" s="27"/>
    </row>
    <row r="9529">
      <c r="A9529" s="14">
        <v>43032.05045138889</v>
      </c>
      <c r="B9529" s="20" t="str">
        <f>HYPERLINK("https://twitter.com/omosir_lunaaxis","@omosir_lunaaxis")</f>
        <v>@omosir_lunaaxis</v>
      </c>
      <c r="C9529" s="21" t="s">
        <v>20831</v>
      </c>
      <c r="D9529" s="21" t="s">
        <v>42</v>
      </c>
      <c r="E9529" s="22" t="str">
        <f>HYPERLINK("https://twitter.com/omosir_lunaaxis/status/922737590750416896","922737590750416896")</f>
        <v>922737590750416896</v>
      </c>
      <c r="F9529" s="23" t="s">
        <v>55</v>
      </c>
      <c r="G9529" s="24">
        <v>6183.0</v>
      </c>
      <c r="H9529" s="24">
        <v>6264.0</v>
      </c>
      <c r="I9529" s="24">
        <v>8501.0</v>
      </c>
      <c r="J9529" s="24">
        <v>0.0</v>
      </c>
      <c r="K9529" s="23" t="s">
        <v>34</v>
      </c>
      <c r="L9529" s="25">
        <v>42758.74930555555</v>
      </c>
      <c r="M9529" s="26" t="s">
        <v>8012</v>
      </c>
      <c r="N9529" s="26" t="s">
        <v>20832</v>
      </c>
      <c r="O9529" s="22" t="str">
        <f>HYPERLINK("https://pbs.twimg.com/profile_images/876563999030075392/zGb1kvoM_normal.jpg","View")</f>
        <v>View</v>
      </c>
      <c r="P9529" s="27"/>
    </row>
    <row r="9530">
      <c r="A9530" s="14">
        <v>43032.050833333335</v>
      </c>
      <c r="B9530" s="20" t="str">
        <f>HYPERLINK("https://twitter.com/jaimeotero_","@jaimeotero_")</f>
        <v>@jaimeotero_</v>
      </c>
      <c r="C9530" s="21" t="s">
        <v>3960</v>
      </c>
      <c r="D9530" s="21" t="s">
        <v>20833</v>
      </c>
      <c r="E9530" s="22" t="str">
        <f>HYPERLINK("https://twitter.com/jaimeotero_/status/922737727665246208","922737727665246208")</f>
        <v>922737727665246208</v>
      </c>
      <c r="F9530" s="23" t="s">
        <v>187</v>
      </c>
      <c r="G9530" s="24">
        <v>34534.0</v>
      </c>
      <c r="H9530" s="24">
        <v>31264.0</v>
      </c>
      <c r="I9530" s="24">
        <v>0.0</v>
      </c>
      <c r="J9530" s="24">
        <v>0.0</v>
      </c>
      <c r="K9530" s="23" t="s">
        <v>34</v>
      </c>
      <c r="L9530" s="25">
        <v>42531.01219907407</v>
      </c>
      <c r="M9530" s="26" t="s">
        <v>3962</v>
      </c>
      <c r="N9530" s="26" t="s">
        <v>3963</v>
      </c>
      <c r="O9530" s="22" t="str">
        <f>HYPERLINK("https://pbs.twimg.com/profile_images/849817561281818626/acAU04SD_normal.jpg","View")</f>
        <v>View</v>
      </c>
      <c r="P9530" s="27"/>
    </row>
    <row r="9531">
      <c r="A9531" s="14">
        <v>43032.05144675926</v>
      </c>
      <c r="B9531" s="20" t="str">
        <f>HYPERLINK("https://twitter.com/Planet_Deb","@Planet_Deb")</f>
        <v>@Planet_Deb</v>
      </c>
      <c r="C9531" s="21" t="s">
        <v>20834</v>
      </c>
      <c r="D9531" s="21" t="s">
        <v>20835</v>
      </c>
      <c r="E9531" s="22" t="str">
        <f>HYPERLINK("https://twitter.com/Planet_Deb/status/922737951120941056","922737951120941056")</f>
        <v>922737951120941056</v>
      </c>
      <c r="F9531" s="23" t="s">
        <v>33</v>
      </c>
      <c r="G9531" s="24">
        <v>150.0</v>
      </c>
      <c r="H9531" s="24">
        <v>82.0</v>
      </c>
      <c r="I9531" s="24">
        <v>1.0</v>
      </c>
      <c r="J9531" s="24">
        <v>0.0</v>
      </c>
      <c r="K9531" s="23" t="s">
        <v>34</v>
      </c>
      <c r="L9531" s="25">
        <v>42602.285682870366</v>
      </c>
      <c r="M9531" s="26" t="s">
        <v>2185</v>
      </c>
      <c r="N9531" s="26" t="s">
        <v>20836</v>
      </c>
      <c r="O9531" s="22" t="str">
        <f>HYPERLINK("https://pbs.twimg.com/profile_images/767018140081369088/gUskxisO_normal.jpg","View")</f>
        <v>View</v>
      </c>
      <c r="P9531" s="27"/>
    </row>
    <row r="9532">
      <c r="A9532" s="14">
        <v>43032.05163194444</v>
      </c>
      <c r="B9532" s="20" t="str">
        <f>HYPERLINK("https://twitter.com/jathariram77","@jathariram77")</f>
        <v>@jathariram77</v>
      </c>
      <c r="C9532" s="21" t="s">
        <v>20837</v>
      </c>
      <c r="D9532" s="21" t="s">
        <v>42</v>
      </c>
      <c r="E9532" s="22" t="str">
        <f>HYPERLINK("https://twitter.com/jathariram77/status/922738015704772608","922738015704772608")</f>
        <v>922738015704772608</v>
      </c>
      <c r="F9532" s="23" t="s">
        <v>33</v>
      </c>
      <c r="G9532" s="24">
        <v>1329.0</v>
      </c>
      <c r="H9532" s="24">
        <v>1400.0</v>
      </c>
      <c r="I9532" s="24">
        <v>8501.0</v>
      </c>
      <c r="J9532" s="24">
        <v>0.0</v>
      </c>
      <c r="K9532" s="23" t="s">
        <v>34</v>
      </c>
      <c r="L9532" s="25">
        <v>42237.426770833335</v>
      </c>
      <c r="M9532" s="26" t="s">
        <v>20838</v>
      </c>
      <c r="N9532" s="26" t="s">
        <v>20839</v>
      </c>
      <c r="O9532" s="22" t="str">
        <f>HYPERLINK("https://pbs.twimg.com/profile_images/849969099824398336/nSqxjQjE_normal.jpg","View")</f>
        <v>View</v>
      </c>
      <c r="P9532" s="27"/>
    </row>
    <row r="9533">
      <c r="A9533" s="14">
        <v>43032.05201388889</v>
      </c>
      <c r="B9533" s="20" t="str">
        <f>HYPERLINK("https://twitter.com/varunjcnayak","@varunjcnayak")</f>
        <v>@varunjcnayak</v>
      </c>
      <c r="C9533" s="21" t="s">
        <v>20840</v>
      </c>
      <c r="D9533" s="21" t="s">
        <v>42</v>
      </c>
      <c r="E9533" s="22" t="str">
        <f>HYPERLINK("https://twitter.com/varunjcnayak/status/922738154309693440","922738154309693440")</f>
        <v>922738154309693440</v>
      </c>
      <c r="F9533" s="23" t="s">
        <v>39</v>
      </c>
      <c r="G9533" s="24">
        <v>80.0</v>
      </c>
      <c r="H9533" s="24">
        <v>402.0</v>
      </c>
      <c r="I9533" s="24">
        <v>8501.0</v>
      </c>
      <c r="J9533" s="24">
        <v>0.0</v>
      </c>
      <c r="K9533" s="23" t="s">
        <v>34</v>
      </c>
      <c r="L9533" s="25">
        <v>41423.98258101852</v>
      </c>
      <c r="M9533" s="28"/>
      <c r="N9533" s="26" t="s">
        <v>20841</v>
      </c>
      <c r="O9533" s="22" t="str">
        <f>HYPERLINK("https://pbs.twimg.com/profile_images/787936819090448385/dT23YZty_normal.jpg","View")</f>
        <v>View</v>
      </c>
      <c r="P9533" s="27"/>
    </row>
    <row r="9534">
      <c r="A9534" s="14">
        <v>43032.05217592593</v>
      </c>
      <c r="B9534" s="20" t="str">
        <f>HYPERLINK("https://twitter.com/CNS_MasakoToki","@CNS_MasakoToki")</f>
        <v>@CNS_MasakoToki</v>
      </c>
      <c r="C9534" s="21" t="s">
        <v>2172</v>
      </c>
      <c r="D9534" s="21" t="s">
        <v>20842</v>
      </c>
      <c r="E9534" s="22" t="str">
        <f>HYPERLINK("https://twitter.com/CNS_MasakoToki/status/922738215533940736","922738215533940736")</f>
        <v>922738215533940736</v>
      </c>
      <c r="F9534" s="23" t="s">
        <v>55</v>
      </c>
      <c r="G9534" s="24">
        <v>1417.0</v>
      </c>
      <c r="H9534" s="24">
        <v>1726.0</v>
      </c>
      <c r="I9534" s="24">
        <v>6.0</v>
      </c>
      <c r="J9534" s="24">
        <v>0.0</v>
      </c>
      <c r="K9534" s="23" t="s">
        <v>34</v>
      </c>
      <c r="L9534" s="25">
        <v>40093.84548611111</v>
      </c>
      <c r="M9534" s="26" t="s">
        <v>2174</v>
      </c>
      <c r="N9534" s="26" t="s">
        <v>2175</v>
      </c>
      <c r="O9534" s="22" t="str">
        <f>HYPERLINK("https://pbs.twimg.com/profile_images/859216862655246338/ky6pIwqc_normal.jpg","View")</f>
        <v>View</v>
      </c>
      <c r="P9534" s="27"/>
    </row>
    <row r="9535">
      <c r="A9535" s="14">
        <v>43032.0521875</v>
      </c>
      <c r="B9535" s="20" t="str">
        <f>HYPERLINK("https://twitter.com/Tekki_VR","@Tekki_VR")</f>
        <v>@Tekki_VR</v>
      </c>
      <c r="C9535" s="21" t="s">
        <v>4050</v>
      </c>
      <c r="D9535" s="21" t="s">
        <v>20843</v>
      </c>
      <c r="E9535" s="22" t="str">
        <f>HYPERLINK("https://twitter.com/Tekki_VR/status/922738216100401152","922738216100401152")</f>
        <v>922738216100401152</v>
      </c>
      <c r="F9535" s="23" t="s">
        <v>187</v>
      </c>
      <c r="G9535" s="24">
        <v>1899.0</v>
      </c>
      <c r="H9535" s="24">
        <v>2480.0</v>
      </c>
      <c r="I9535" s="24">
        <v>0.0</v>
      </c>
      <c r="J9535" s="24">
        <v>0.0</v>
      </c>
      <c r="K9535" s="23" t="s">
        <v>34</v>
      </c>
      <c r="L9535" s="25">
        <v>42263.54553240741</v>
      </c>
      <c r="M9535" s="26" t="s">
        <v>4052</v>
      </c>
      <c r="N9535" s="26" t="s">
        <v>4053</v>
      </c>
      <c r="O9535" s="22" t="str">
        <f>HYPERLINK("https://pbs.twimg.com/profile_images/760662770694098944/h1nSBfE8_normal.jpg","View")</f>
        <v>View</v>
      </c>
      <c r="P9535" s="27"/>
    </row>
    <row r="9536">
      <c r="A9536" s="14">
        <v>43032.0525462963</v>
      </c>
      <c r="B9536" s="20" t="str">
        <f>HYPERLINK("https://twitter.com/WorldNewsNgayon","@WorldNewsNgayon")</f>
        <v>@WorldNewsNgayon</v>
      </c>
      <c r="C9536" s="21" t="s">
        <v>4889</v>
      </c>
      <c r="D9536" s="21" t="s">
        <v>15856</v>
      </c>
      <c r="E9536" s="22" t="str">
        <f>HYPERLINK("https://twitter.com/WorldNewsNgayon/status/922738348908843009","922738348908843009")</f>
        <v>922738348908843009</v>
      </c>
      <c r="F9536" s="23" t="s">
        <v>187</v>
      </c>
      <c r="G9536" s="24">
        <v>1177.0</v>
      </c>
      <c r="H9536" s="24">
        <v>9.0</v>
      </c>
      <c r="I9536" s="24">
        <v>0.0</v>
      </c>
      <c r="J9536" s="24">
        <v>0.0</v>
      </c>
      <c r="K9536" s="23" t="s">
        <v>34</v>
      </c>
      <c r="L9536" s="25">
        <v>41174.847233796296</v>
      </c>
      <c r="M9536" s="26" t="s">
        <v>3507</v>
      </c>
      <c r="N9536" s="26" t="s">
        <v>4891</v>
      </c>
      <c r="O9536" s="22" t="str">
        <f>HYPERLINK("https://pbs.twimg.com/profile_images/425420772534784000/_u4Vu6V1_normal.jpeg","View")</f>
        <v>View</v>
      </c>
      <c r="P9536" s="27"/>
    </row>
    <row r="9537">
      <c r="A9537" s="14">
        <v>43032.052569444444</v>
      </c>
      <c r="B9537" s="20" t="str">
        <f>HYPERLINK("https://twitter.com/ggnewsus","@ggnewsus")</f>
        <v>@ggnewsus</v>
      </c>
      <c r="C9537" s="21" t="s">
        <v>13409</v>
      </c>
      <c r="D9537" s="21" t="s">
        <v>15970</v>
      </c>
      <c r="E9537" s="22" t="str">
        <f>HYPERLINK("https://twitter.com/ggnewsus/status/922738355648987136","922738355648987136")</f>
        <v>922738355648987136</v>
      </c>
      <c r="F9537" s="23" t="s">
        <v>187</v>
      </c>
      <c r="G9537" s="24">
        <v>862.0</v>
      </c>
      <c r="H9537" s="24">
        <v>143.0</v>
      </c>
      <c r="I9537" s="24">
        <v>0.0</v>
      </c>
      <c r="J9537" s="24">
        <v>0.0</v>
      </c>
      <c r="K9537" s="23" t="s">
        <v>34</v>
      </c>
      <c r="L9537" s="25">
        <v>41679.77077546297</v>
      </c>
      <c r="M9537" s="26" t="s">
        <v>13411</v>
      </c>
      <c r="N9537" s="26" t="s">
        <v>874</v>
      </c>
      <c r="O9537" s="22" t="str">
        <f>HYPERLINK("https://pbs.twimg.com/profile_images/432706003285450752/IHK6C475_normal.png","View")</f>
        <v>View</v>
      </c>
      <c r="P9537" s="27"/>
    </row>
    <row r="9538">
      <c r="A9538" s="14">
        <v>43032.05284722222</v>
      </c>
      <c r="B9538" s="20" t="str">
        <f>HYPERLINK("https://twitter.com/hannahdormido","@hannahdormido")</f>
        <v>@hannahdormido</v>
      </c>
      <c r="C9538" s="21" t="s">
        <v>20475</v>
      </c>
      <c r="D9538" s="21" t="s">
        <v>20844</v>
      </c>
      <c r="E9538" s="22" t="str">
        <f>HYPERLINK("https://twitter.com/hannahdormido/status/922738456253448194","922738456253448194")</f>
        <v>922738456253448194</v>
      </c>
      <c r="F9538" s="23" t="s">
        <v>55</v>
      </c>
      <c r="G9538" s="24">
        <v>1095.0</v>
      </c>
      <c r="H9538" s="24">
        <v>1778.0</v>
      </c>
      <c r="I9538" s="24">
        <v>2.0</v>
      </c>
      <c r="J9538" s="24">
        <v>5.0</v>
      </c>
      <c r="K9538" s="23" t="s">
        <v>34</v>
      </c>
      <c r="L9538" s="25">
        <v>40007.918125</v>
      </c>
      <c r="M9538" s="26" t="s">
        <v>2185</v>
      </c>
      <c r="N9538" s="26" t="s">
        <v>20476</v>
      </c>
      <c r="O9538" s="22" t="str">
        <f>HYPERLINK("https://pbs.twimg.com/profile_images/909058225495875585/gP6eu47p_normal.jpg","View")</f>
        <v>View</v>
      </c>
      <c r="P9538" s="27"/>
    </row>
    <row r="9539">
      <c r="A9539" s="14">
        <v>43032.053391203706</v>
      </c>
      <c r="B9539" s="20" t="str">
        <f>HYPERLINK("https://twitter.com/BBGVisualData","@BBGVisualData")</f>
        <v>@BBGVisualData</v>
      </c>
      <c r="C9539" s="21" t="s">
        <v>20845</v>
      </c>
      <c r="D9539" s="21" t="s">
        <v>20846</v>
      </c>
      <c r="E9539" s="22" t="str">
        <f>HYPERLINK("https://twitter.com/BBGVisualData/status/922738655181107200","922738655181107200")</f>
        <v>922738655181107200</v>
      </c>
      <c r="F9539" s="23" t="s">
        <v>1103</v>
      </c>
      <c r="G9539" s="24">
        <v>29630.0</v>
      </c>
      <c r="H9539" s="24">
        <v>92.0</v>
      </c>
      <c r="I9539" s="24">
        <v>9.0</v>
      </c>
      <c r="J9539" s="24">
        <v>16.0</v>
      </c>
      <c r="K9539" s="23" t="s">
        <v>34</v>
      </c>
      <c r="L9539" s="25">
        <v>41410.446377314816</v>
      </c>
      <c r="M9539" s="28"/>
      <c r="N9539" s="26" t="s">
        <v>20847</v>
      </c>
      <c r="O9539" s="22" t="str">
        <f>HYPERLINK("https://pbs.twimg.com/profile_images/867023739334119425/2_cARWjK_normal.jpg","View")</f>
        <v>View</v>
      </c>
      <c r="P9539" s="27"/>
    </row>
    <row r="9540">
      <c r="A9540" s="14">
        <v>43032.05447916666</v>
      </c>
      <c r="B9540" s="20" t="str">
        <f>HYPERLINK("https://twitter.com/NAR","@NAR")</f>
        <v>@NAR</v>
      </c>
      <c r="C9540" s="21" t="s">
        <v>4255</v>
      </c>
      <c r="D9540" s="21" t="s">
        <v>20848</v>
      </c>
      <c r="E9540" s="22" t="str">
        <f>HYPERLINK("https://twitter.com/NAR/status/922739049638457344","922739049638457344")</f>
        <v>922739049638457344</v>
      </c>
      <c r="F9540" s="23" t="s">
        <v>55</v>
      </c>
      <c r="G9540" s="24">
        <v>56998.0</v>
      </c>
      <c r="H9540" s="24">
        <v>23.0</v>
      </c>
      <c r="I9540" s="24">
        <v>3.0</v>
      </c>
      <c r="J9540" s="24">
        <v>2.0</v>
      </c>
      <c r="K9540" s="23" t="s">
        <v>34</v>
      </c>
      <c r="L9540" s="25">
        <v>40890.88686342593</v>
      </c>
      <c r="M9540" s="26" t="s">
        <v>923</v>
      </c>
      <c r="N9540" s="26" t="s">
        <v>4258</v>
      </c>
      <c r="O9540" s="22" t="str">
        <f>HYPERLINK("https://pbs.twimg.com/profile_images/669688096879841280/kyJYc3j-_normal.png","View")</f>
        <v>View</v>
      </c>
      <c r="P9540" s="27"/>
    </row>
    <row r="9541">
      <c r="A9541" s="14">
        <v>43032.05469907407</v>
      </c>
      <c r="B9541" s="20" t="str">
        <f>HYPERLINK("https://twitter.com/josereinosot","@josereinosot")</f>
        <v>@josereinosot</v>
      </c>
      <c r="C9541" s="21" t="s">
        <v>20849</v>
      </c>
      <c r="D9541" s="21" t="s">
        <v>20850</v>
      </c>
      <c r="E9541" s="22" t="str">
        <f>HYPERLINK("https://twitter.com/josereinosot/status/922739127925145601","922739127925145601")</f>
        <v>922739127925145601</v>
      </c>
      <c r="F9541" s="23" t="s">
        <v>55</v>
      </c>
      <c r="G9541" s="24">
        <v>2526.0</v>
      </c>
      <c r="H9541" s="24">
        <v>697.0</v>
      </c>
      <c r="I9541" s="24">
        <v>3.0</v>
      </c>
      <c r="J9541" s="24">
        <v>0.0</v>
      </c>
      <c r="K9541" s="23" t="s">
        <v>34</v>
      </c>
      <c r="L9541" s="25">
        <v>40933.986030092594</v>
      </c>
      <c r="M9541" s="28"/>
      <c r="N9541" s="26" t="s">
        <v>20851</v>
      </c>
      <c r="O9541" s="22" t="str">
        <f>HYPERLINK("https://pbs.twimg.com/profile_images/1782159024/Jose_Reinoso_normal.jpg","View")</f>
        <v>View</v>
      </c>
      <c r="P9541" s="27"/>
    </row>
    <row r="9542">
      <c r="A9542" s="14">
        <v>43032.05483796296</v>
      </c>
      <c r="B9542" s="20" t="str">
        <f>HYPERLINK("https://twitter.com/Follow_Finance","@Follow_Finance")</f>
        <v>@Follow_Finance</v>
      </c>
      <c r="C9542" s="21" t="s">
        <v>16682</v>
      </c>
      <c r="D9542" s="21" t="s">
        <v>20852</v>
      </c>
      <c r="E9542" s="22" t="str">
        <f>HYPERLINK("https://twitter.com/Follow_Finance/status/922739176725991424","922739176725991424")</f>
        <v>922739176725991424</v>
      </c>
      <c r="F9542" s="23" t="s">
        <v>16682</v>
      </c>
      <c r="G9542" s="24">
        <v>2403.0</v>
      </c>
      <c r="H9542" s="24">
        <v>1918.0</v>
      </c>
      <c r="I9542" s="24">
        <v>0.0</v>
      </c>
      <c r="J9542" s="24">
        <v>0.0</v>
      </c>
      <c r="K9542" s="23" t="s">
        <v>34</v>
      </c>
      <c r="L9542" s="25">
        <v>41033.22769675926</v>
      </c>
      <c r="M9542" s="26" t="s">
        <v>1840</v>
      </c>
      <c r="N9542" s="26" t="s">
        <v>16684</v>
      </c>
      <c r="O9542" s="22" t="str">
        <f>HYPERLINK("https://pbs.twimg.com/profile_images/2214795357/money_50_normal.png","View")</f>
        <v>View</v>
      </c>
      <c r="P9542" s="27"/>
    </row>
    <row r="9543">
      <c r="A9543" s="14">
        <v>43032.05533564815</v>
      </c>
      <c r="B9543" s="20" t="str">
        <f>HYPERLINK("https://twitter.com/moodarani","@moodarani")</f>
        <v>@moodarani</v>
      </c>
      <c r="C9543" s="21" t="s">
        <v>20749</v>
      </c>
      <c r="D9543" s="21" t="s">
        <v>18983</v>
      </c>
      <c r="E9543" s="22" t="str">
        <f>HYPERLINK("https://twitter.com/moodarani/status/922739357215203329","922739357215203329")</f>
        <v>922739357215203329</v>
      </c>
      <c r="F9543" s="23" t="s">
        <v>33</v>
      </c>
      <c r="G9543" s="24">
        <v>651.0</v>
      </c>
      <c r="H9543" s="24">
        <v>765.0</v>
      </c>
      <c r="I9543" s="24">
        <v>7.0</v>
      </c>
      <c r="J9543" s="24">
        <v>0.0</v>
      </c>
      <c r="K9543" s="23" t="s">
        <v>34</v>
      </c>
      <c r="L9543" s="25">
        <v>41052.74732638889</v>
      </c>
      <c r="M9543" s="28"/>
      <c r="N9543" s="26" t="s">
        <v>20750</v>
      </c>
      <c r="O9543" s="22" t="str">
        <f>HYPERLINK("https://pbs.twimg.com/profile_images/874591435613286401/kxgU8HPj_normal.jpg","View")</f>
        <v>View</v>
      </c>
      <c r="P9543" s="27"/>
    </row>
    <row r="9544">
      <c r="A9544" s="14">
        <v>43032.055659722224</v>
      </c>
      <c r="B9544" s="20" t="str">
        <f>HYPERLINK("https://twitter.com/bpolitics","@bpolitics")</f>
        <v>@bpolitics</v>
      </c>
      <c r="C9544" s="21" t="s">
        <v>3445</v>
      </c>
      <c r="D9544" s="21" t="s">
        <v>20853</v>
      </c>
      <c r="E9544" s="22" t="str">
        <f>HYPERLINK("https://twitter.com/bpolitics/status/922739476576604165","922739476576604165")</f>
        <v>922739476576604165</v>
      </c>
      <c r="F9544" s="23" t="s">
        <v>1103</v>
      </c>
      <c r="G9544" s="24">
        <v>221050.0</v>
      </c>
      <c r="H9544" s="24">
        <v>865.0</v>
      </c>
      <c r="I9544" s="24">
        <v>5.0</v>
      </c>
      <c r="J9544" s="24">
        <v>4.0</v>
      </c>
      <c r="K9544" s="23" t="s">
        <v>34</v>
      </c>
      <c r="L9544" s="25">
        <v>41025.57640046296</v>
      </c>
      <c r="M9544" s="28"/>
      <c r="N9544" s="26" t="s">
        <v>3447</v>
      </c>
      <c r="O9544" s="22" t="str">
        <f>HYPERLINK("https://pbs.twimg.com/profile_images/714804098890133504/cUO4gD1A_normal.jpg","View")</f>
        <v>View</v>
      </c>
      <c r="P9544" s="27"/>
    </row>
    <row r="9545">
      <c r="A9545" s="14">
        <v>43032.055810185186</v>
      </c>
      <c r="B9545" s="20" t="str">
        <f>HYPERLINK("https://twitter.com/GovindP82777704","@GovindP82777704")</f>
        <v>@GovindP82777704</v>
      </c>
      <c r="C9545" s="21" t="s">
        <v>20854</v>
      </c>
      <c r="D9545" s="21" t="s">
        <v>42</v>
      </c>
      <c r="E9545" s="22" t="str">
        <f>HYPERLINK("https://twitter.com/GovindP82777704/status/922739531022868480","922739531022868480")</f>
        <v>922739531022868480</v>
      </c>
      <c r="F9545" s="23" t="s">
        <v>33</v>
      </c>
      <c r="G9545" s="24">
        <v>32.0</v>
      </c>
      <c r="H9545" s="24">
        <v>96.0</v>
      </c>
      <c r="I9545" s="24">
        <v>8501.0</v>
      </c>
      <c r="J9545" s="24">
        <v>0.0</v>
      </c>
      <c r="K9545" s="23" t="s">
        <v>34</v>
      </c>
      <c r="L9545" s="25">
        <v>42756.31435185185</v>
      </c>
      <c r="M9545" s="26" t="s">
        <v>20855</v>
      </c>
      <c r="N9545" s="26" t="s">
        <v>20856</v>
      </c>
      <c r="O9545" s="22" t="str">
        <f>HYPERLINK("https://pbs.twimg.com/profile_images/850402735975477248/MIV3Uikx_normal.jpg","View")</f>
        <v>View</v>
      </c>
      <c r="P9545" s="27"/>
    </row>
    <row r="9546">
      <c r="A9546" s="14">
        <v>43032.05619212963</v>
      </c>
      <c r="B9546" s="20" t="str">
        <f>HYPERLINK("https://twitter.com/Edwin_Hsiao","@Edwin_Hsiao")</f>
        <v>@Edwin_Hsiao</v>
      </c>
      <c r="C9546" s="21" t="s">
        <v>20857</v>
      </c>
      <c r="D9546" s="21" t="s">
        <v>20858</v>
      </c>
      <c r="E9546" s="22" t="str">
        <f>HYPERLINK("https://twitter.com/Edwin_Hsiao/status/922739667283218432","922739667283218432")</f>
        <v>922739667283218432</v>
      </c>
      <c r="F9546" s="23" t="s">
        <v>55</v>
      </c>
      <c r="G9546" s="24">
        <v>144.0</v>
      </c>
      <c r="H9546" s="24">
        <v>19.0</v>
      </c>
      <c r="I9546" s="24">
        <v>0.0</v>
      </c>
      <c r="J9546" s="24">
        <v>0.0</v>
      </c>
      <c r="K9546" s="23" t="s">
        <v>34</v>
      </c>
      <c r="L9546" s="25">
        <v>40266.07784722222</v>
      </c>
      <c r="M9546" s="26" t="s">
        <v>20859</v>
      </c>
      <c r="N9546" s="26" t="s">
        <v>20860</v>
      </c>
      <c r="O9546" s="22" t="str">
        <f>HYPERLINK("https://pbs.twimg.com/profile_images/782923356/Edwin_normal.jpg","View")</f>
        <v>View</v>
      </c>
      <c r="P9546" s="27"/>
    </row>
    <row r="9547">
      <c r="A9547" s="14">
        <v>43032.05657407407</v>
      </c>
      <c r="B9547" s="20" t="str">
        <f>HYPERLINK("https://twitter.com/BidiyasarMukesh","@BidiyasarMukesh")</f>
        <v>@BidiyasarMukesh</v>
      </c>
      <c r="C9547" s="21" t="s">
        <v>20861</v>
      </c>
      <c r="D9547" s="21" t="s">
        <v>42</v>
      </c>
      <c r="E9547" s="22" t="str">
        <f>HYPERLINK("https://twitter.com/BidiyasarMukesh/status/922739807318458368","922739807318458368")</f>
        <v>922739807318458368</v>
      </c>
      <c r="F9547" s="23" t="s">
        <v>33</v>
      </c>
      <c r="G9547" s="24">
        <v>308.0</v>
      </c>
      <c r="H9547" s="24">
        <v>69.0</v>
      </c>
      <c r="I9547" s="24">
        <v>8501.0</v>
      </c>
      <c r="J9547" s="24">
        <v>0.0</v>
      </c>
      <c r="K9547" s="23" t="s">
        <v>34</v>
      </c>
      <c r="L9547" s="25">
        <v>41874.129652777774</v>
      </c>
      <c r="M9547" s="26" t="s">
        <v>5770</v>
      </c>
      <c r="N9547" s="26" t="s">
        <v>20862</v>
      </c>
      <c r="O9547" s="22" t="str">
        <f>HYPERLINK("https://pbs.twimg.com/profile_images/864878894582611968/rpOFQhyl_normal.jpg","View")</f>
        <v>View</v>
      </c>
      <c r="P9547" s="27"/>
    </row>
    <row r="9548">
      <c r="A9548" s="14">
        <v>43032.05704861111</v>
      </c>
      <c r="B9548" s="20" t="str">
        <f>HYPERLINK("https://twitter.com/Mahi_VR","@Mahi_VR")</f>
        <v>@Mahi_VR</v>
      </c>
      <c r="C9548" s="21" t="s">
        <v>20863</v>
      </c>
      <c r="D9548" s="21" t="s">
        <v>42</v>
      </c>
      <c r="E9548" s="22" t="str">
        <f>HYPERLINK("https://twitter.com/Mahi_VR/status/922739978450300928","922739978450300928")</f>
        <v>922739978450300928</v>
      </c>
      <c r="F9548" s="23" t="s">
        <v>33</v>
      </c>
      <c r="G9548" s="24">
        <v>132.0</v>
      </c>
      <c r="H9548" s="24">
        <v>128.0</v>
      </c>
      <c r="I9548" s="24">
        <v>8501.0</v>
      </c>
      <c r="J9548" s="24">
        <v>0.0</v>
      </c>
      <c r="K9548" s="23" t="s">
        <v>34</v>
      </c>
      <c r="L9548" s="25">
        <v>42341.77081018519</v>
      </c>
      <c r="M9548" s="26" t="s">
        <v>8314</v>
      </c>
      <c r="N9548" s="26" t="s">
        <v>20864</v>
      </c>
      <c r="O9548" s="22" t="str">
        <f>HYPERLINK("https://pbs.twimg.com/profile_images/891233778953224192/Qk9xwOc3_normal.jpg","View")</f>
        <v>View</v>
      </c>
      <c r="P9548" s="27"/>
    </row>
    <row r="9549">
      <c r="A9549" s="14">
        <v>43032.057696759264</v>
      </c>
      <c r="B9549" s="20" t="str">
        <f>HYPERLINK("https://twitter.com/RohitChat2611","@RohitChat2611")</f>
        <v>@RohitChat2611</v>
      </c>
      <c r="C9549" s="21" t="s">
        <v>20865</v>
      </c>
      <c r="D9549" s="21" t="s">
        <v>42</v>
      </c>
      <c r="E9549" s="22" t="str">
        <f>HYPERLINK("https://twitter.com/RohitChat2611/status/922740213683597313","922740213683597313")</f>
        <v>922740213683597313</v>
      </c>
      <c r="F9549" s="23" t="s">
        <v>33</v>
      </c>
      <c r="G9549" s="24">
        <v>129.0</v>
      </c>
      <c r="H9549" s="24">
        <v>265.0</v>
      </c>
      <c r="I9549" s="24">
        <v>8501.0</v>
      </c>
      <c r="J9549" s="24">
        <v>0.0</v>
      </c>
      <c r="K9549" s="23" t="s">
        <v>34</v>
      </c>
      <c r="L9549" s="25">
        <v>40319.281076388885</v>
      </c>
      <c r="M9549" s="26" t="s">
        <v>20866</v>
      </c>
      <c r="N9549" s="28"/>
      <c r="O9549" s="22" t="str">
        <f>HYPERLINK("https://pbs.twimg.com/profile_images/747370362329915393/kng6RWqI_normal.jpg","View")</f>
        <v>View</v>
      </c>
      <c r="P9549" s="27"/>
    </row>
    <row r="9550">
      <c r="A9550" s="14">
        <v>43032.05790509259</v>
      </c>
      <c r="B9550" s="20" t="str">
        <f>HYPERLINK("https://twitter.com/DEV000DEEP","@DEV000DEEP")</f>
        <v>@DEV000DEEP</v>
      </c>
      <c r="C9550" s="21" t="s">
        <v>20867</v>
      </c>
      <c r="D9550" s="21" t="s">
        <v>42</v>
      </c>
      <c r="E9550" s="22" t="str">
        <f>HYPERLINK("https://twitter.com/DEV000DEEP/status/922740289881509891","922740289881509891")</f>
        <v>922740289881509891</v>
      </c>
      <c r="F9550" s="23" t="s">
        <v>33</v>
      </c>
      <c r="G9550" s="24">
        <v>59.0</v>
      </c>
      <c r="H9550" s="24">
        <v>92.0</v>
      </c>
      <c r="I9550" s="24">
        <v>8501.0</v>
      </c>
      <c r="J9550" s="24">
        <v>0.0</v>
      </c>
      <c r="K9550" s="23" t="s">
        <v>34</v>
      </c>
      <c r="L9550" s="25">
        <v>40281.53400462963</v>
      </c>
      <c r="M9550" s="26" t="s">
        <v>20868</v>
      </c>
      <c r="N9550" s="26" t="s">
        <v>20869</v>
      </c>
      <c r="O9550" s="22" t="str">
        <f>HYPERLINK("https://pbs.twimg.com/profile_images/782624178256039936/qBrDsnGJ_normal.jpg","View")</f>
        <v>View</v>
      </c>
      <c r="P9550" s="27"/>
    </row>
    <row r="9551">
      <c r="A9551" s="14">
        <v>43032.05829861111</v>
      </c>
      <c r="B9551" s="20" t="str">
        <f>HYPERLINK("https://twitter.com/bigblackspecs","@bigblackspecs")</f>
        <v>@bigblackspecs</v>
      </c>
      <c r="C9551" s="21" t="s">
        <v>20870</v>
      </c>
      <c r="D9551" s="21" t="s">
        <v>12974</v>
      </c>
      <c r="E9551" s="22" t="str">
        <f>HYPERLINK("https://twitter.com/bigblackspecs/status/922740433318481920","922740433318481920")</f>
        <v>922740433318481920</v>
      </c>
      <c r="F9551" s="23" t="s">
        <v>39</v>
      </c>
      <c r="G9551" s="24">
        <v>89.0</v>
      </c>
      <c r="H9551" s="24">
        <v>484.0</v>
      </c>
      <c r="I9551" s="24">
        <v>110.0</v>
      </c>
      <c r="J9551" s="24">
        <v>0.0</v>
      </c>
      <c r="K9551" s="23" t="s">
        <v>34</v>
      </c>
      <c r="L9551" s="25">
        <v>42765.08087962963</v>
      </c>
      <c r="M9551" s="28"/>
      <c r="N9551" s="26" t="s">
        <v>20871</v>
      </c>
      <c r="O9551" s="22" t="str">
        <f>HYPERLINK("https://pbs.twimg.com/profile_images/828627766446788608/Udk_ENuq_normal.jpg","View")</f>
        <v>View</v>
      </c>
      <c r="P9551" s="27"/>
    </row>
    <row r="9552">
      <c r="A9552" s="14">
        <v>43032.058703703704</v>
      </c>
      <c r="B9552" s="20" t="str">
        <f>HYPERLINK("https://twitter.com/sharp_writing","@sharp_writing")</f>
        <v>@sharp_writing</v>
      </c>
      <c r="C9552" s="21" t="s">
        <v>20557</v>
      </c>
      <c r="D9552" s="21" t="s">
        <v>20872</v>
      </c>
      <c r="E9552" s="22" t="str">
        <f>HYPERLINK("https://twitter.com/sharp_writing/status/922740581335363584","922740581335363584")</f>
        <v>922740581335363584</v>
      </c>
      <c r="F9552" s="23" t="s">
        <v>769</v>
      </c>
      <c r="G9552" s="24">
        <v>2515.0</v>
      </c>
      <c r="H9552" s="24">
        <v>1493.0</v>
      </c>
      <c r="I9552" s="24">
        <v>4.0</v>
      </c>
      <c r="J9552" s="24">
        <v>4.0</v>
      </c>
      <c r="K9552" s="23" t="s">
        <v>34</v>
      </c>
      <c r="L9552" s="25">
        <v>39830.39425925926</v>
      </c>
      <c r="M9552" s="26" t="s">
        <v>923</v>
      </c>
      <c r="N9552" s="26" t="s">
        <v>20559</v>
      </c>
      <c r="O9552" s="22" t="str">
        <f>HYPERLINK("https://pbs.twimg.com/profile_images/477957332416999424/pvgfXgUY_normal.jpeg","View")</f>
        <v>View</v>
      </c>
      <c r="P9552" s="27"/>
    </row>
    <row r="9553">
      <c r="A9553" s="14">
        <v>43032.05887731482</v>
      </c>
      <c r="B9553" s="20" t="str">
        <f>HYPERLINK("https://twitter.com/_Fonce_","@_Fonce_")</f>
        <v>@_Fonce_</v>
      </c>
      <c r="C9553" s="21" t="s">
        <v>20873</v>
      </c>
      <c r="D9553" s="21" t="s">
        <v>32</v>
      </c>
      <c r="E9553" s="22" t="str">
        <f>HYPERLINK("https://twitter.com/_Fonce_/status/922740642614308864","922740642614308864")</f>
        <v>922740642614308864</v>
      </c>
      <c r="F9553" s="23" t="s">
        <v>55</v>
      </c>
      <c r="G9553" s="24">
        <v>2914.0</v>
      </c>
      <c r="H9553" s="24">
        <v>2129.0</v>
      </c>
      <c r="I9553" s="24">
        <v>471.0</v>
      </c>
      <c r="J9553" s="24">
        <v>0.0</v>
      </c>
      <c r="K9553" s="23" t="s">
        <v>34</v>
      </c>
      <c r="L9553" s="25">
        <v>40749.402546296296</v>
      </c>
      <c r="M9553" s="26" t="s">
        <v>20874</v>
      </c>
      <c r="N9553" s="26" t="s">
        <v>20875</v>
      </c>
      <c r="O9553" s="22" t="str">
        <f>HYPERLINK("https://pbs.twimg.com/profile_images/912771468609671175/QOVKu682_normal.jpg","View")</f>
        <v>View</v>
      </c>
      <c r="P9553" s="27"/>
    </row>
    <row r="9554">
      <c r="A9554" s="14">
        <v>43032.05914351852</v>
      </c>
      <c r="B9554" s="20" t="str">
        <f>HYPERLINK("https://twitter.com/HayashiShinpei","@HayashiShinpei")</f>
        <v>@HayashiShinpei</v>
      </c>
      <c r="C9554" s="21" t="s">
        <v>20876</v>
      </c>
      <c r="D9554" s="21" t="s">
        <v>1642</v>
      </c>
      <c r="E9554" s="22" t="str">
        <f>HYPERLINK("https://twitter.com/HayashiShinpei/status/922740739796115457","922740739796115457")</f>
        <v>922740739796115457</v>
      </c>
      <c r="F9554" s="23" t="s">
        <v>55</v>
      </c>
      <c r="G9554" s="24">
        <v>195.0</v>
      </c>
      <c r="H9554" s="24">
        <v>26.0</v>
      </c>
      <c r="I9554" s="24">
        <v>199.0</v>
      </c>
      <c r="J9554" s="24">
        <v>0.0</v>
      </c>
      <c r="K9554" s="23" t="s">
        <v>34</v>
      </c>
      <c r="L9554" s="25">
        <v>40174.76880787037</v>
      </c>
      <c r="M9554" s="26" t="s">
        <v>20877</v>
      </c>
      <c r="N9554" s="26" t="s">
        <v>20878</v>
      </c>
      <c r="O9554" s="22" t="str">
        <f>HYPERLINK("https://pbs.twimg.com/profile_images/595984876/_______-_____normal.JPG","View")</f>
        <v>View</v>
      </c>
      <c r="P9554" s="27"/>
    </row>
    <row r="9555">
      <c r="A9555" s="14">
        <v>43032.05994212963</v>
      </c>
      <c r="B9555" s="20" t="str">
        <f>HYPERLINK("https://twitter.com/takehikok1018","@takehikok1018")</f>
        <v>@takehikok1018</v>
      </c>
      <c r="C9555" s="21" t="s">
        <v>20879</v>
      </c>
      <c r="D9555" s="21" t="s">
        <v>1642</v>
      </c>
      <c r="E9555" s="22" t="str">
        <f>HYPERLINK("https://twitter.com/takehikok1018/status/922741026304827393","922741026304827393")</f>
        <v>922741026304827393</v>
      </c>
      <c r="F9555" s="23" t="s">
        <v>55</v>
      </c>
      <c r="G9555" s="24">
        <v>103.0</v>
      </c>
      <c r="H9555" s="24">
        <v>158.0</v>
      </c>
      <c r="I9555" s="24">
        <v>199.0</v>
      </c>
      <c r="J9555" s="24">
        <v>0.0</v>
      </c>
      <c r="K9555" s="23" t="s">
        <v>34</v>
      </c>
      <c r="L9555" s="25">
        <v>40853.010416666664</v>
      </c>
      <c r="M9555" s="28"/>
      <c r="N9555" s="26" t="s">
        <v>20880</v>
      </c>
      <c r="O9555" s="22" t="str">
        <f>HYPERLINK("https://pbs.twimg.com/profile_images/514046747119599618/PFO9VNeX_normal.jpeg","View")</f>
        <v>View</v>
      </c>
      <c r="P9555" s="27"/>
    </row>
    <row r="9556">
      <c r="A9556" s="14">
        <v>43032.060057870374</v>
      </c>
      <c r="B9556" s="20" t="str">
        <f>HYPERLINK("https://twitter.com/EvansO_","@EvansO_")</f>
        <v>@EvansO_</v>
      </c>
      <c r="C9556" s="21" t="s">
        <v>20881</v>
      </c>
      <c r="D9556" s="21" t="s">
        <v>32</v>
      </c>
      <c r="E9556" s="22" t="str">
        <f>HYPERLINK("https://twitter.com/EvansO_/status/922741071225999360","922741071225999360")</f>
        <v>922741071225999360</v>
      </c>
      <c r="F9556" s="23" t="s">
        <v>55</v>
      </c>
      <c r="G9556" s="24">
        <v>1481.0</v>
      </c>
      <c r="H9556" s="24">
        <v>155.0</v>
      </c>
      <c r="I9556" s="24">
        <v>471.0</v>
      </c>
      <c r="J9556" s="24">
        <v>0.0</v>
      </c>
      <c r="K9556" s="23" t="s">
        <v>34</v>
      </c>
      <c r="L9556" s="25">
        <v>40900.21644675926</v>
      </c>
      <c r="M9556" s="26" t="s">
        <v>20882</v>
      </c>
      <c r="N9556" s="26" t="s">
        <v>20883</v>
      </c>
      <c r="O9556" s="22" t="str">
        <f>HYPERLINK("https://pbs.twimg.com/profile_images/922003822830084096/eEKJ53VZ_normal.jpg","View")</f>
        <v>View</v>
      </c>
      <c r="P9556" s="27"/>
    </row>
    <row r="9557">
      <c r="A9557" s="14">
        <v>43032.0600925926</v>
      </c>
      <c r="B9557" s="20" t="str">
        <f>HYPERLINK("https://twitter.com/BloombergTV","@BloombergTV")</f>
        <v>@BloombergTV</v>
      </c>
      <c r="C9557" s="21" t="s">
        <v>1723</v>
      </c>
      <c r="D9557" s="21" t="s">
        <v>20884</v>
      </c>
      <c r="E9557" s="22" t="str">
        <f>HYPERLINK("https://twitter.com/BloombergTV/status/922741081577525249","922741081577525249")</f>
        <v>922741081577525249</v>
      </c>
      <c r="F9557" s="23" t="s">
        <v>1103</v>
      </c>
      <c r="G9557" s="24">
        <v>452742.0</v>
      </c>
      <c r="H9557" s="24">
        <v>458.0</v>
      </c>
      <c r="I9557" s="24">
        <v>4.0</v>
      </c>
      <c r="J9557" s="24">
        <v>2.0</v>
      </c>
      <c r="K9557" s="23" t="s">
        <v>34</v>
      </c>
      <c r="L9557" s="25">
        <v>39927.48997685185</v>
      </c>
      <c r="M9557" s="26" t="s">
        <v>389</v>
      </c>
      <c r="N9557" s="26" t="s">
        <v>1725</v>
      </c>
      <c r="O9557" s="22" t="str">
        <f>HYPERLINK("https://pbs.twimg.com/profile_images/714801760632770560/7My2hMBt_normal.jpg","View")</f>
        <v>View</v>
      </c>
      <c r="P9557" s="27"/>
    </row>
    <row r="9558">
      <c r="A9558" s="14">
        <v>43032.060335648144</v>
      </c>
      <c r="B9558" s="20" t="str">
        <f>HYPERLINK("https://twitter.com/Lauro_Nogueira","@Lauro_Nogueira")</f>
        <v>@Lauro_Nogueira</v>
      </c>
      <c r="C9558" s="21" t="s">
        <v>20885</v>
      </c>
      <c r="D9558" s="21" t="s">
        <v>20886</v>
      </c>
      <c r="E9558" s="22" t="str">
        <f>HYPERLINK("https://twitter.com/Lauro_Nogueira/status/922741172212297728","922741172212297728")</f>
        <v>922741172212297728</v>
      </c>
      <c r="F9558" s="23" t="s">
        <v>635</v>
      </c>
      <c r="G9558" s="24">
        <v>159.0</v>
      </c>
      <c r="H9558" s="24">
        <v>545.0</v>
      </c>
      <c r="I9558" s="24">
        <v>4.0</v>
      </c>
      <c r="J9558" s="24">
        <v>0.0</v>
      </c>
      <c r="K9558" s="23" t="s">
        <v>34</v>
      </c>
      <c r="L9558" s="25">
        <v>39962.84229166667</v>
      </c>
      <c r="M9558" s="26" t="s">
        <v>20887</v>
      </c>
      <c r="N9558" s="26" t="s">
        <v>20888</v>
      </c>
      <c r="O9558" s="22" t="str">
        <f>HYPERLINK("https://pbs.twimg.com/profile_images/739277819281342464/VFZioiOA_normal.jpg","View")</f>
        <v>View</v>
      </c>
      <c r="P9558" s="27"/>
    </row>
    <row r="9559">
      <c r="A9559" s="14">
        <v>43032.06043981481</v>
      </c>
      <c r="B9559" s="20" t="str">
        <f>HYPERLINK("https://twitter.com/nareshchandrac","@nareshchandrac")</f>
        <v>@nareshchandrac</v>
      </c>
      <c r="C9559" s="21" t="s">
        <v>20889</v>
      </c>
      <c r="D9559" s="21" t="s">
        <v>42</v>
      </c>
      <c r="E9559" s="22" t="str">
        <f>HYPERLINK("https://twitter.com/nareshchandrac/status/922741207159017473","922741207159017473")</f>
        <v>922741207159017473</v>
      </c>
      <c r="F9559" s="23" t="s">
        <v>33</v>
      </c>
      <c r="G9559" s="24">
        <v>322.0</v>
      </c>
      <c r="H9559" s="24">
        <v>930.0</v>
      </c>
      <c r="I9559" s="24">
        <v>8501.0</v>
      </c>
      <c r="J9559" s="24">
        <v>0.0</v>
      </c>
      <c r="K9559" s="23" t="s">
        <v>34</v>
      </c>
      <c r="L9559" s="25">
        <v>40075.06377314815</v>
      </c>
      <c r="M9559" s="26" t="s">
        <v>20890</v>
      </c>
      <c r="N9559" s="26" t="s">
        <v>20891</v>
      </c>
      <c r="O9559" s="22" t="str">
        <f>HYPERLINK("https://pbs.twimg.com/profile_images/2206963288/My_Pic_normal.jpg","View")</f>
        <v>View</v>
      </c>
      <c r="P9559" s="27"/>
    </row>
    <row r="9560">
      <c r="A9560" s="14">
        <v>43032.06050925926</v>
      </c>
      <c r="B9560" s="20" t="str">
        <f>HYPERLINK("https://twitter.com/HHoenig","@HHoenig")</f>
        <v>@HHoenig</v>
      </c>
      <c r="C9560" s="21" t="s">
        <v>20892</v>
      </c>
      <c r="D9560" s="21" t="s">
        <v>20893</v>
      </c>
      <c r="E9560" s="22" t="str">
        <f>HYPERLINK("https://twitter.com/HHoenig/status/922741232379469824","922741232379469824")</f>
        <v>922741232379469824</v>
      </c>
      <c r="F9560" s="23" t="s">
        <v>55</v>
      </c>
      <c r="G9560" s="24">
        <v>610.0</v>
      </c>
      <c r="H9560" s="24">
        <v>1153.0</v>
      </c>
      <c r="I9560" s="24">
        <v>2.0</v>
      </c>
      <c r="J9560" s="24">
        <v>0.0</v>
      </c>
      <c r="K9560" s="23" t="s">
        <v>34</v>
      </c>
      <c r="L9560" s="25">
        <v>40816.30871527777</v>
      </c>
      <c r="M9560" s="26" t="s">
        <v>923</v>
      </c>
      <c r="N9560" s="26" t="s">
        <v>20894</v>
      </c>
      <c r="O9560" s="22" t="str">
        <f>HYPERLINK("https://pbs.twimg.com/profile_images/821364189205696512/MCGpfPYS_normal.jpg","View")</f>
        <v>View</v>
      </c>
      <c r="P9560" s="27"/>
    </row>
    <row r="9561">
      <c r="A9561" s="14">
        <v>43032.06065972222</v>
      </c>
      <c r="B9561" s="20" t="str">
        <f>HYPERLINK("https://twitter.com/DukeTakahashi","@DukeTakahashi")</f>
        <v>@DukeTakahashi</v>
      </c>
      <c r="C9561" s="21" t="s">
        <v>20895</v>
      </c>
      <c r="D9561" s="21" t="s">
        <v>20886</v>
      </c>
      <c r="E9561" s="22" t="str">
        <f>HYPERLINK("https://twitter.com/DukeTakahashi/status/922741290084605952","922741290084605952")</f>
        <v>922741290084605952</v>
      </c>
      <c r="F9561" s="23" t="s">
        <v>55</v>
      </c>
      <c r="G9561" s="24">
        <v>977.0</v>
      </c>
      <c r="H9561" s="24">
        <v>2865.0</v>
      </c>
      <c r="I9561" s="24">
        <v>4.0</v>
      </c>
      <c r="J9561" s="24">
        <v>0.0</v>
      </c>
      <c r="K9561" s="23" t="s">
        <v>34</v>
      </c>
      <c r="L9561" s="25">
        <v>40323.085011574076</v>
      </c>
      <c r="M9561" s="28"/>
      <c r="N9561" s="28"/>
      <c r="O9561" s="22" t="str">
        <f>HYPERLINK("https://pbs.twimg.com/profile_images/958492061/Nec_0190_normal.jpg","View")</f>
        <v>View</v>
      </c>
      <c r="P9561" s="27"/>
    </row>
    <row r="9562">
      <c r="A9562" s="14">
        <v>43032.0606712963</v>
      </c>
      <c r="B9562" s="20" t="str">
        <f>HYPERLINK("https://twitter.com/kitgainer1776","@kitgainer1776")</f>
        <v>@kitgainer1776</v>
      </c>
      <c r="C9562" s="21" t="s">
        <v>20896</v>
      </c>
      <c r="D9562" s="21" t="s">
        <v>5786</v>
      </c>
      <c r="E9562" s="22" t="str">
        <f>HYPERLINK("https://twitter.com/kitgainer1776/status/922741292819345408","922741292819345408")</f>
        <v>922741292819345408</v>
      </c>
      <c r="F9562" s="23" t="s">
        <v>33</v>
      </c>
      <c r="G9562" s="24">
        <v>27.0</v>
      </c>
      <c r="H9562" s="24">
        <v>18.0</v>
      </c>
      <c r="I9562" s="24">
        <v>59.0</v>
      </c>
      <c r="J9562" s="24">
        <v>0.0</v>
      </c>
      <c r="K9562" s="23" t="s">
        <v>34</v>
      </c>
      <c r="L9562" s="25">
        <v>42978.949166666665</v>
      </c>
      <c r="M9562" s="28"/>
      <c r="N9562" s="28"/>
      <c r="O9562" s="22" t="str">
        <f>HYPERLINK("https://abs.twimg.com/sticky/default_profile_images/default_profile_normal.png","View")</f>
        <v>View</v>
      </c>
      <c r="P9562" s="27"/>
    </row>
    <row r="9563">
      <c r="A9563" s="14">
        <v>43032.061203703706</v>
      </c>
      <c r="B9563" s="20" t="str">
        <f>HYPERLINK("https://twitter.com/vrai777","@vrai777")</f>
        <v>@vrai777</v>
      </c>
      <c r="C9563" s="21" t="s">
        <v>1770</v>
      </c>
      <c r="D9563" s="21" t="s">
        <v>20897</v>
      </c>
      <c r="E9563" s="22" t="str">
        <f>HYPERLINK("https://twitter.com/vrai777/status/922741484046159872","922741484046159872")</f>
        <v>922741484046159872</v>
      </c>
      <c r="F9563" s="23" t="s">
        <v>187</v>
      </c>
      <c r="G9563" s="24">
        <v>7944.0</v>
      </c>
      <c r="H9563" s="24">
        <v>71.0</v>
      </c>
      <c r="I9563" s="24">
        <v>0.0</v>
      </c>
      <c r="J9563" s="24">
        <v>0.0</v>
      </c>
      <c r="K9563" s="23" t="s">
        <v>34</v>
      </c>
      <c r="L9563" s="25">
        <v>39878.7593287037</v>
      </c>
      <c r="M9563" s="26" t="s">
        <v>1024</v>
      </c>
      <c r="N9563" s="26" t="s">
        <v>1772</v>
      </c>
      <c r="O9563" s="22" t="str">
        <f>HYPERLINK("https://pbs.twimg.com/profile_images/688775800284266496/qhWTo08H_normal.png","View")</f>
        <v>View</v>
      </c>
      <c r="P9563" s="27"/>
    </row>
    <row r="9564">
      <c r="A9564" s="14">
        <v>43032.06228009259</v>
      </c>
      <c r="B9564" s="20" t="str">
        <f>HYPERLINK("https://twitter.com/BatsaOm","@BatsaOm")</f>
        <v>@BatsaOm</v>
      </c>
      <c r="C9564" s="21" t="s">
        <v>20898</v>
      </c>
      <c r="D9564" s="21" t="s">
        <v>42</v>
      </c>
      <c r="E9564" s="22" t="str">
        <f>HYPERLINK("https://twitter.com/BatsaOm/status/922741874686795777","922741874686795777")</f>
        <v>922741874686795777</v>
      </c>
      <c r="F9564" s="23" t="s">
        <v>33</v>
      </c>
      <c r="G9564" s="24">
        <v>223.0</v>
      </c>
      <c r="H9564" s="24">
        <v>167.0</v>
      </c>
      <c r="I9564" s="24">
        <v>8501.0</v>
      </c>
      <c r="J9564" s="24">
        <v>0.0</v>
      </c>
      <c r="K9564" s="23" t="s">
        <v>34</v>
      </c>
      <c r="L9564" s="25">
        <v>42037.99203703704</v>
      </c>
      <c r="M9564" s="26" t="s">
        <v>575</v>
      </c>
      <c r="N9564" s="26" t="s">
        <v>20899</v>
      </c>
      <c r="O9564" s="22" t="str">
        <f>HYPERLINK("https://pbs.twimg.com/profile_images/563227574910730243/Zqb2-9BK_normal.jpeg","View")</f>
        <v>View</v>
      </c>
      <c r="P9564" s="27"/>
    </row>
    <row r="9565">
      <c r="A9565" s="14">
        <v>43032.06229166666</v>
      </c>
      <c r="B9565" s="20" t="str">
        <f>HYPERLINK("https://twitter.com/abhishak6045","@abhishak6045")</f>
        <v>@abhishak6045</v>
      </c>
      <c r="C9565" s="21" t="s">
        <v>20900</v>
      </c>
      <c r="D9565" s="21" t="s">
        <v>42</v>
      </c>
      <c r="E9565" s="22" t="str">
        <f>HYPERLINK("https://twitter.com/abhishak6045/status/922741879342620672","922741879342620672")</f>
        <v>922741879342620672</v>
      </c>
      <c r="F9565" s="23" t="s">
        <v>33</v>
      </c>
      <c r="G9565" s="24">
        <v>535.0</v>
      </c>
      <c r="H9565" s="24">
        <v>34.0</v>
      </c>
      <c r="I9565" s="24">
        <v>8501.0</v>
      </c>
      <c r="J9565" s="24">
        <v>0.0</v>
      </c>
      <c r="K9565" s="23" t="s">
        <v>34</v>
      </c>
      <c r="L9565" s="25">
        <v>42117.175046296295</v>
      </c>
      <c r="M9565" s="26" t="s">
        <v>20901</v>
      </c>
      <c r="N9565" s="26" t="s">
        <v>20902</v>
      </c>
      <c r="O9565" s="22" t="str">
        <f>HYPERLINK("https://pbs.twimg.com/profile_images/851666116724359172/7ndcQ2zz_normal.jpg","View")</f>
        <v>View</v>
      </c>
      <c r="P9565" s="27"/>
    </row>
    <row r="9566">
      <c r="A9566" s="14">
        <v>43032.06255787037</v>
      </c>
      <c r="B9566" s="20" t="str">
        <f>HYPERLINK("https://twitter.com/parikshatk","@parikshatk")</f>
        <v>@parikshatk</v>
      </c>
      <c r="C9566" s="21" t="s">
        <v>20903</v>
      </c>
      <c r="D9566" s="21" t="s">
        <v>42</v>
      </c>
      <c r="E9566" s="22" t="str">
        <f>HYPERLINK("https://twitter.com/parikshatk/status/922741975610044416","922741975610044416")</f>
        <v>922741975610044416</v>
      </c>
      <c r="F9566" s="23" t="s">
        <v>230</v>
      </c>
      <c r="G9566" s="24">
        <v>680.0</v>
      </c>
      <c r="H9566" s="24">
        <v>643.0</v>
      </c>
      <c r="I9566" s="24">
        <v>8501.0</v>
      </c>
      <c r="J9566" s="24">
        <v>0.0</v>
      </c>
      <c r="K9566" s="23" t="s">
        <v>34</v>
      </c>
      <c r="L9566" s="25">
        <v>39986.2675</v>
      </c>
      <c r="M9566" s="26" t="s">
        <v>644</v>
      </c>
      <c r="N9566" s="26" t="s">
        <v>20904</v>
      </c>
      <c r="O9566" s="22" t="str">
        <f>HYPERLINK("https://pbs.twimg.com/profile_images/793472994349723649/3dEQ8KLM_normal.jpg","View")</f>
        <v>View</v>
      </c>
      <c r="P9566" s="27"/>
    </row>
    <row r="9567">
      <c r="A9567" s="14">
        <v>43032.062696759254</v>
      </c>
      <c r="B9567" s="20" t="str">
        <f>HYPERLINK("https://twitter.com/morvjn","@morvjn")</f>
        <v>@morvjn</v>
      </c>
      <c r="C9567" s="21" t="s">
        <v>20580</v>
      </c>
      <c r="D9567" s="21" t="s">
        <v>20905</v>
      </c>
      <c r="E9567" s="22" t="str">
        <f>HYPERLINK("https://twitter.com/morvjn/status/922742025388281857","922742025388281857")</f>
        <v>922742025388281857</v>
      </c>
      <c r="F9567" s="23" t="s">
        <v>43</v>
      </c>
      <c r="G9567" s="24">
        <v>1273.0</v>
      </c>
      <c r="H9567" s="24">
        <v>4461.0</v>
      </c>
      <c r="I9567" s="24">
        <v>4.0</v>
      </c>
      <c r="J9567" s="24">
        <v>0.0</v>
      </c>
      <c r="K9567" s="23" t="s">
        <v>34</v>
      </c>
      <c r="L9567" s="25">
        <v>40252.21020833333</v>
      </c>
      <c r="M9567" s="28"/>
      <c r="N9567" s="26" t="s">
        <v>20581</v>
      </c>
      <c r="O9567" s="22" t="str">
        <f>HYPERLINK("https://pbs.twimg.com/profile_images/785585375/marvin-the-paranoid-android_normal.jpg","View")</f>
        <v>View</v>
      </c>
      <c r="P9567" s="27"/>
    </row>
    <row r="9568">
      <c r="A9568" s="14">
        <v>43032.063298611116</v>
      </c>
      <c r="B9568" s="20" t="str">
        <f>HYPERLINK("https://twitter.com/nkDarkDrgmailc1","@nkDarkDrgmailc1")</f>
        <v>@nkDarkDrgmailc1</v>
      </c>
      <c r="C9568" s="21" t="s">
        <v>18603</v>
      </c>
      <c r="D9568" s="21" t="s">
        <v>20842</v>
      </c>
      <c r="E9568" s="22" t="str">
        <f>HYPERLINK("https://twitter.com/nkDarkDrgmailc1/status/922742244355932161","922742244355932161")</f>
        <v>922742244355932161</v>
      </c>
      <c r="F9568" s="23" t="s">
        <v>33</v>
      </c>
      <c r="G9568" s="24">
        <v>4136.0</v>
      </c>
      <c r="H9568" s="24">
        <v>2888.0</v>
      </c>
      <c r="I9568" s="24">
        <v>6.0</v>
      </c>
      <c r="J9568" s="24">
        <v>0.0</v>
      </c>
      <c r="K9568" s="23" t="s">
        <v>34</v>
      </c>
      <c r="L9568" s="25">
        <v>42002.184340277774</v>
      </c>
      <c r="M9568" s="28"/>
      <c r="N9568" s="26" t="s">
        <v>18605</v>
      </c>
      <c r="O9568" s="22" t="str">
        <f>HYPERLINK("https://pbs.twimg.com/profile_images/549546382671900672/AD_kn2tS_normal.jpeg","View")</f>
        <v>View</v>
      </c>
      <c r="P9568" s="27"/>
    </row>
    <row r="9569">
      <c r="A9569" s="14">
        <v>43032.063425925924</v>
      </c>
      <c r="B9569" s="20" t="str">
        <f>HYPERLINK("https://twitter.com/culture_japan","@culture_japan")</f>
        <v>@culture_japan</v>
      </c>
      <c r="C9569" s="21" t="s">
        <v>3690</v>
      </c>
      <c r="D9569" s="21" t="s">
        <v>20906</v>
      </c>
      <c r="E9569" s="22" t="str">
        <f>HYPERLINK("https://twitter.com/culture_japan/status/922742289633562624","922742289633562624")</f>
        <v>922742289633562624</v>
      </c>
      <c r="F9569" s="23" t="s">
        <v>3692</v>
      </c>
      <c r="G9569" s="24">
        <v>202.0</v>
      </c>
      <c r="H9569" s="24">
        <v>369.0</v>
      </c>
      <c r="I9569" s="24">
        <v>0.0</v>
      </c>
      <c r="J9569" s="24">
        <v>0.0</v>
      </c>
      <c r="K9569" s="23" t="s">
        <v>34</v>
      </c>
      <c r="L9569" s="25">
        <v>42985.21491898148</v>
      </c>
      <c r="M9569" s="26" t="s">
        <v>3693</v>
      </c>
      <c r="N9569" s="26" t="s">
        <v>3694</v>
      </c>
      <c r="O9569" s="22" t="str">
        <f>HYPERLINK("https://pbs.twimg.com/profile_images/905765841622495233/8kPmmi5H_normal.jpg","View")</f>
        <v>View</v>
      </c>
      <c r="P9569" s="27"/>
    </row>
    <row r="9570">
      <c r="A9570" s="14">
        <v>43032.06361111111</v>
      </c>
      <c r="B9570" s="20" t="str">
        <f>HYPERLINK("https://twitter.com/Topgoal","@Topgoal")</f>
        <v>@Topgoal</v>
      </c>
      <c r="C9570" s="21" t="s">
        <v>20907</v>
      </c>
      <c r="D9570" s="21" t="s">
        <v>20908</v>
      </c>
      <c r="E9570" s="22" t="str">
        <f>HYPERLINK("https://twitter.com/Topgoal/status/922742356847333376","922742356847333376")</f>
        <v>922742356847333376</v>
      </c>
      <c r="F9570" s="23" t="s">
        <v>55</v>
      </c>
      <c r="G9570" s="24">
        <v>1787.0</v>
      </c>
      <c r="H9570" s="24">
        <v>5001.0</v>
      </c>
      <c r="I9570" s="24">
        <v>1.0</v>
      </c>
      <c r="J9570" s="24">
        <v>0.0</v>
      </c>
      <c r="K9570" s="23" t="s">
        <v>34</v>
      </c>
      <c r="L9570" s="25">
        <v>39882.39675925926</v>
      </c>
      <c r="M9570" s="28"/>
      <c r="N9570" s="26" t="s">
        <v>20909</v>
      </c>
      <c r="O9570" s="22" t="str">
        <f>HYPERLINK("https://pbs.twimg.com/profile_images/836236669795860481/jdgYpZaz_normal.jpg","View")</f>
        <v>View</v>
      </c>
      <c r="P9570" s="27"/>
    </row>
    <row r="9571">
      <c r="A9571" s="14">
        <v>43032.063784722224</v>
      </c>
      <c r="B9571" s="20" t="str">
        <f>HYPERLINK("https://twitter.com/SamsonKip","@SamsonKip")</f>
        <v>@SamsonKip</v>
      </c>
      <c r="C9571" s="21" t="s">
        <v>6421</v>
      </c>
      <c r="D9571" s="21" t="s">
        <v>32</v>
      </c>
      <c r="E9571" s="22" t="str">
        <f>HYPERLINK("https://twitter.com/SamsonKip/status/922742422165164033","922742422165164033")</f>
        <v>922742422165164033</v>
      </c>
      <c r="F9571" s="23" t="s">
        <v>55</v>
      </c>
      <c r="G9571" s="24">
        <v>1265.0</v>
      </c>
      <c r="H9571" s="24">
        <v>1690.0</v>
      </c>
      <c r="I9571" s="24">
        <v>471.0</v>
      </c>
      <c r="J9571" s="24">
        <v>0.0</v>
      </c>
      <c r="K9571" s="23" t="s">
        <v>34</v>
      </c>
      <c r="L9571" s="25">
        <v>40548.068344907406</v>
      </c>
      <c r="M9571" s="26" t="s">
        <v>843</v>
      </c>
      <c r="N9571" s="26" t="s">
        <v>20910</v>
      </c>
      <c r="O9571" s="22" t="str">
        <f>HYPERLINK("https://pbs.twimg.com/profile_images/905355698061631488/5zztMDSs_normal.jpg","View")</f>
        <v>View</v>
      </c>
      <c r="P9571" s="27"/>
    </row>
    <row r="9572">
      <c r="A9572" s="14">
        <v>43032.06491898149</v>
      </c>
      <c r="B9572" s="20" t="str">
        <f>HYPERLINK("https://twitter.com/BloombergAsia","@BloombergAsia")</f>
        <v>@BloombergAsia</v>
      </c>
      <c r="C9572" s="21" t="s">
        <v>1726</v>
      </c>
      <c r="D9572" s="21" t="s">
        <v>20911</v>
      </c>
      <c r="E9572" s="22" t="str">
        <f>HYPERLINK("https://twitter.com/BloombergAsia/status/922742831910924288","922742831910924288")</f>
        <v>922742831910924288</v>
      </c>
      <c r="F9572" s="23" t="s">
        <v>1103</v>
      </c>
      <c r="G9572" s="24">
        <v>28807.0</v>
      </c>
      <c r="H9572" s="24">
        <v>97.0</v>
      </c>
      <c r="I9572" s="24">
        <v>1.0</v>
      </c>
      <c r="J9572" s="24">
        <v>1.0</v>
      </c>
      <c r="K9572" s="23" t="s">
        <v>34</v>
      </c>
      <c r="L9572" s="25">
        <v>41052.238483796296</v>
      </c>
      <c r="M9572" s="28"/>
      <c r="N9572" s="26" t="s">
        <v>1728</v>
      </c>
      <c r="O9572" s="22" t="str">
        <f>HYPERLINK("https://pbs.twimg.com/profile_images/778129630284902401/gXjFkqGM_normal.jpg","View")</f>
        <v>View</v>
      </c>
      <c r="P9572" s="27"/>
    </row>
    <row r="9573">
      <c r="A9573" s="14">
        <v>43032.06518518519</v>
      </c>
      <c r="B9573" s="20" t="str">
        <f>HYPERLINK("https://twitter.com/Kimkinyeni","@Kimkinyeni")</f>
        <v>@Kimkinyeni</v>
      </c>
      <c r="C9573" s="21" t="s">
        <v>20912</v>
      </c>
      <c r="D9573" s="21" t="s">
        <v>32</v>
      </c>
      <c r="E9573" s="22" t="str">
        <f>HYPERLINK("https://twitter.com/Kimkinyeni/status/922742930158247937","922742930158247937")</f>
        <v>922742930158247937</v>
      </c>
      <c r="F9573" s="23" t="s">
        <v>33</v>
      </c>
      <c r="G9573" s="24">
        <v>355.0</v>
      </c>
      <c r="H9573" s="24">
        <v>86.0</v>
      </c>
      <c r="I9573" s="24">
        <v>471.0</v>
      </c>
      <c r="J9573" s="24">
        <v>0.0</v>
      </c>
      <c r="K9573" s="23" t="s">
        <v>34</v>
      </c>
      <c r="L9573" s="25">
        <v>41136.61004629629</v>
      </c>
      <c r="M9573" s="26" t="s">
        <v>20570</v>
      </c>
      <c r="N9573" s="26" t="s">
        <v>20913</v>
      </c>
      <c r="O9573" s="22" t="str">
        <f>HYPERLINK("https://pbs.twimg.com/profile_images/919250964439289857/RvC5pP3A_normal.jpg","View")</f>
        <v>View</v>
      </c>
      <c r="P9573" s="27"/>
    </row>
    <row r="9574">
      <c r="A9574" s="14">
        <v>43032.065416666665</v>
      </c>
      <c r="B9574" s="20" t="str">
        <f>HYPERLINK("https://twitter.com/TFTCS","@TFTCS")</f>
        <v>@TFTCS</v>
      </c>
      <c r="C9574" s="21" t="s">
        <v>1851</v>
      </c>
      <c r="D9574" s="21" t="s">
        <v>20914</v>
      </c>
      <c r="E9574" s="22" t="str">
        <f>HYPERLINK("https://twitter.com/TFTCS/status/922743012115050496","922743012115050496")</f>
        <v>922743012115050496</v>
      </c>
      <c r="F9574" s="23" t="s">
        <v>187</v>
      </c>
      <c r="G9574" s="24">
        <v>4389.0</v>
      </c>
      <c r="H9574" s="24">
        <v>4555.0</v>
      </c>
      <c r="I9574" s="24">
        <v>0.0</v>
      </c>
      <c r="J9574" s="24">
        <v>0.0</v>
      </c>
      <c r="K9574" s="23" t="s">
        <v>34</v>
      </c>
      <c r="L9574" s="25">
        <v>41868.76810185185</v>
      </c>
      <c r="M9574" s="26" t="s">
        <v>1853</v>
      </c>
      <c r="N9574" s="26" t="s">
        <v>1854</v>
      </c>
      <c r="O9574" s="22" t="str">
        <f>HYPERLINK("https://pbs.twimg.com/profile_images/736027772800368640/DdLGgNNU_normal.jpg","View")</f>
        <v>View</v>
      </c>
      <c r="P9574" s="27"/>
    </row>
    <row r="9575">
      <c r="A9575" s="14">
        <v>43032.06590277777</v>
      </c>
      <c r="B9575" s="20" t="str">
        <f>HYPERLINK("https://twitter.com/unlewis","@unlewis")</f>
        <v>@unlewis</v>
      </c>
      <c r="C9575" s="21" t="s">
        <v>2684</v>
      </c>
      <c r="D9575" s="21" t="s">
        <v>20915</v>
      </c>
      <c r="E9575" s="22" t="str">
        <f>HYPERLINK("https://twitter.com/unlewis/status/922743187172499457","922743187172499457")</f>
        <v>922743187172499457</v>
      </c>
      <c r="F9575" s="23" t="s">
        <v>230</v>
      </c>
      <c r="G9575" s="24">
        <v>2973.0</v>
      </c>
      <c r="H9575" s="24">
        <v>2099.0</v>
      </c>
      <c r="I9575" s="24">
        <v>5.0</v>
      </c>
      <c r="J9575" s="24">
        <v>0.0</v>
      </c>
      <c r="K9575" s="23" t="s">
        <v>34</v>
      </c>
      <c r="L9575" s="25">
        <v>41159.83283564815</v>
      </c>
      <c r="M9575" s="28"/>
      <c r="N9575" s="26" t="s">
        <v>2685</v>
      </c>
      <c r="O9575" s="22" t="str">
        <f>HYPERLINK("https://pbs.twimg.com/profile_images/862117304196255744/4KSB5b7P_normal.jpg","View")</f>
        <v>View</v>
      </c>
      <c r="P9575" s="27"/>
    </row>
    <row r="9576">
      <c r="A9576" s="14">
        <v>43032.06619212963</v>
      </c>
      <c r="B9576" s="20" t="str">
        <f>HYPERLINK("https://twitter.com/abosife2010","@abosife2010")</f>
        <v>@abosife2010</v>
      </c>
      <c r="C9576" s="21" t="s">
        <v>1585</v>
      </c>
      <c r="D9576" s="21" t="s">
        <v>20916</v>
      </c>
      <c r="E9576" s="22" t="str">
        <f>HYPERLINK("https://twitter.com/abosife2010/status/922743292982374400","922743292982374400")</f>
        <v>922743292982374400</v>
      </c>
      <c r="F9576" s="23" t="s">
        <v>43</v>
      </c>
      <c r="G9576" s="24">
        <v>1145.0</v>
      </c>
      <c r="H9576" s="24">
        <v>3102.0</v>
      </c>
      <c r="I9576" s="24">
        <v>1.0</v>
      </c>
      <c r="J9576" s="24">
        <v>0.0</v>
      </c>
      <c r="K9576" s="23" t="s">
        <v>34</v>
      </c>
      <c r="L9576" s="25">
        <v>40712.519224537034</v>
      </c>
      <c r="M9576" s="32" t="s">
        <v>1586</v>
      </c>
      <c r="N9576" s="26" t="s">
        <v>1587</v>
      </c>
      <c r="O9576" s="22" t="str">
        <f>HYPERLINK("https://pbs.twimg.com/profile_images/869146010953682944/tD96CxJ8_normal.jpg","View")</f>
        <v>View</v>
      </c>
      <c r="P9576" s="27"/>
    </row>
    <row r="9577">
      <c r="A9577" s="14">
        <v>43032.066516203704</v>
      </c>
      <c r="B9577" s="20" t="str">
        <f>HYPERLINK("https://twitter.com/D_K_Sandilya","@D_K_Sandilya")</f>
        <v>@D_K_Sandilya</v>
      </c>
      <c r="C9577" s="21" t="s">
        <v>20917</v>
      </c>
      <c r="D9577" s="21" t="s">
        <v>42</v>
      </c>
      <c r="E9577" s="22" t="str">
        <f>HYPERLINK("https://twitter.com/D_K_Sandilya/status/922743409026121728","922743409026121728")</f>
        <v>922743409026121728</v>
      </c>
      <c r="F9577" s="23" t="s">
        <v>33</v>
      </c>
      <c r="G9577" s="24">
        <v>914.0</v>
      </c>
      <c r="H9577" s="24">
        <v>2992.0</v>
      </c>
      <c r="I9577" s="24">
        <v>8501.0</v>
      </c>
      <c r="J9577" s="24">
        <v>0.0</v>
      </c>
      <c r="K9577" s="23" t="s">
        <v>34</v>
      </c>
      <c r="L9577" s="25">
        <v>41362.46494212963</v>
      </c>
      <c r="M9577" s="26" t="s">
        <v>204</v>
      </c>
      <c r="N9577" s="26" t="s">
        <v>20918</v>
      </c>
      <c r="O9577" s="22" t="str">
        <f>HYPERLINK("https://pbs.twimg.com/profile_images/919340520815472645/sflBqujX_normal.jpg","View")</f>
        <v>View</v>
      </c>
      <c r="P9577" s="27"/>
    </row>
    <row r="9578">
      <c r="A9578" s="14">
        <v>43032.06653935185</v>
      </c>
      <c r="B9578" s="20" t="str">
        <f>HYPERLINK("https://twitter.com/snjyd","@snjyd")</f>
        <v>@snjyd</v>
      </c>
      <c r="C9578" s="21" t="s">
        <v>9096</v>
      </c>
      <c r="D9578" s="21" t="s">
        <v>42</v>
      </c>
      <c r="E9578" s="22" t="str">
        <f>HYPERLINK("https://twitter.com/snjyd/status/922743417909657601","922743417909657601")</f>
        <v>922743417909657601</v>
      </c>
      <c r="F9578" s="23" t="s">
        <v>33</v>
      </c>
      <c r="G9578" s="24">
        <v>96.0</v>
      </c>
      <c r="H9578" s="24">
        <v>213.0</v>
      </c>
      <c r="I9578" s="24">
        <v>8501.0</v>
      </c>
      <c r="J9578" s="24">
        <v>0.0</v>
      </c>
      <c r="K9578" s="23" t="s">
        <v>34</v>
      </c>
      <c r="L9578" s="25">
        <v>40875.19211805556</v>
      </c>
      <c r="M9578" s="28"/>
      <c r="N9578" s="26" t="s">
        <v>20919</v>
      </c>
      <c r="O9578" s="22" t="str">
        <f>HYPERLINK("https://pbs.twimg.com/profile_images/517359927967223808/VudlFfaU_normal.jpeg","View")</f>
        <v>View</v>
      </c>
      <c r="P9578" s="27"/>
    </row>
    <row r="9579">
      <c r="A9579" s="14">
        <v>43032.067303240736</v>
      </c>
      <c r="B9579" s="20" t="str">
        <f>HYPERLINK("https://twitter.com/berlinSTOPwar","@berlinSTOPwar")</f>
        <v>@berlinSTOPwar</v>
      </c>
      <c r="C9579" s="21" t="s">
        <v>20920</v>
      </c>
      <c r="D9579" s="21" t="s">
        <v>20921</v>
      </c>
      <c r="E9579" s="22" t="str">
        <f>HYPERLINK("https://twitter.com/berlinSTOPwar/status/922743696864481280","922743696864481280")</f>
        <v>922743696864481280</v>
      </c>
      <c r="F9579" s="30" t="s">
        <v>191</v>
      </c>
      <c r="G9579" s="24">
        <v>719.0</v>
      </c>
      <c r="H9579" s="24">
        <v>897.0</v>
      </c>
      <c r="I9579" s="24">
        <v>0.0</v>
      </c>
      <c r="J9579" s="24">
        <v>0.0</v>
      </c>
      <c r="K9579" s="23" t="s">
        <v>34</v>
      </c>
      <c r="L9579" s="25">
        <v>40193.94284722222</v>
      </c>
      <c r="M9579" s="26" t="s">
        <v>1835</v>
      </c>
      <c r="N9579" s="26" t="s">
        <v>20922</v>
      </c>
      <c r="O9579" s="22" t="str">
        <f>HYPERLINK("https://pbs.twimg.com/profile_images/634584102/berlinyellow180_normal.JPG","View")</f>
        <v>View</v>
      </c>
      <c r="P9579" s="27"/>
    </row>
    <row r="9580">
      <c r="A9580" s="14">
        <v>43032.06732638889</v>
      </c>
      <c r="B9580" s="20" t="str">
        <f>HYPERLINK("https://twitter.com/Pegasus311","@Pegasus311")</f>
        <v>@Pegasus311</v>
      </c>
      <c r="C9580" s="21" t="s">
        <v>20923</v>
      </c>
      <c r="D9580" s="21" t="s">
        <v>1642</v>
      </c>
      <c r="E9580" s="22" t="str">
        <f>HYPERLINK("https://twitter.com/Pegasus311/status/922743706180050944","922743706180050944")</f>
        <v>922743706180050944</v>
      </c>
      <c r="F9580" s="23" t="s">
        <v>39</v>
      </c>
      <c r="G9580" s="24">
        <v>538.0</v>
      </c>
      <c r="H9580" s="24">
        <v>755.0</v>
      </c>
      <c r="I9580" s="24">
        <v>199.0</v>
      </c>
      <c r="J9580" s="24">
        <v>0.0</v>
      </c>
      <c r="K9580" s="23" t="s">
        <v>34</v>
      </c>
      <c r="L9580" s="25">
        <v>40740.12809027778</v>
      </c>
      <c r="M9580" s="28"/>
      <c r="N9580" s="26" t="s">
        <v>20924</v>
      </c>
      <c r="O9580" s="22" t="str">
        <f>HYPERLINK("https://pbs.twimg.com/profile_images/378800000849931410/d0bdc25b730a0c003a7cc2eed2f296c2_normal.jpeg","View")</f>
        <v>View</v>
      </c>
      <c r="P9580" s="27"/>
    </row>
    <row r="9581">
      <c r="A9581" s="14">
        <v>43032.06736111111</v>
      </c>
      <c r="B9581" s="20" t="str">
        <f>HYPERLINK("https://twitter.com/malazogu","@malazogu")</f>
        <v>@malazogu</v>
      </c>
      <c r="C9581" s="21" t="s">
        <v>20925</v>
      </c>
      <c r="D9581" s="21" t="s">
        <v>15452</v>
      </c>
      <c r="E9581" s="22" t="str">
        <f>HYPERLINK("https://twitter.com/malazogu/status/922743717190160384","922743717190160384")</f>
        <v>922743717190160384</v>
      </c>
      <c r="F9581" s="23" t="s">
        <v>230</v>
      </c>
      <c r="G9581" s="24">
        <v>3268.0</v>
      </c>
      <c r="H9581" s="24">
        <v>2373.0</v>
      </c>
      <c r="I9581" s="24">
        <v>4.0</v>
      </c>
      <c r="J9581" s="24">
        <v>0.0</v>
      </c>
      <c r="K9581" s="23" t="s">
        <v>34</v>
      </c>
      <c r="L9581" s="25">
        <v>40018.04578703704</v>
      </c>
      <c r="M9581" s="26" t="s">
        <v>17817</v>
      </c>
      <c r="N9581" s="26" t="s">
        <v>20926</v>
      </c>
      <c r="O9581" s="22" t="str">
        <f>HYPERLINK("https://pbs.twimg.com/profile_images/756005570583207936/LxaP4Kew_normal.jpg","View")</f>
        <v>View</v>
      </c>
      <c r="P9581" s="27"/>
    </row>
    <row r="9582">
      <c r="A9582" s="14">
        <v>43032.06747685185</v>
      </c>
      <c r="B9582" s="20" t="str">
        <f>HYPERLINK("https://twitter.com/Larry_Aizen","@Larry_Aizen")</f>
        <v>@Larry_Aizen</v>
      </c>
      <c r="C9582" s="21" t="s">
        <v>20927</v>
      </c>
      <c r="D9582" s="21" t="s">
        <v>32</v>
      </c>
      <c r="E9582" s="22" t="str">
        <f>HYPERLINK("https://twitter.com/Larry_Aizen/status/922743756914294784","922743756914294784")</f>
        <v>922743756914294784</v>
      </c>
      <c r="F9582" s="23" t="s">
        <v>33</v>
      </c>
      <c r="G9582" s="24">
        <v>1076.0</v>
      </c>
      <c r="H9582" s="24">
        <v>479.0</v>
      </c>
      <c r="I9582" s="24">
        <v>471.0</v>
      </c>
      <c r="J9582" s="24">
        <v>0.0</v>
      </c>
      <c r="K9582" s="23" t="s">
        <v>34</v>
      </c>
      <c r="L9582" s="25">
        <v>40277.04324074074</v>
      </c>
      <c r="M9582" s="26" t="s">
        <v>20928</v>
      </c>
      <c r="N9582" s="26" t="s">
        <v>20929</v>
      </c>
      <c r="O9582" s="22" t="str">
        <f>HYPERLINK("https://pbs.twimg.com/profile_images/880172469729992704/Y7fsTofx_normal.jpg","View")</f>
        <v>View</v>
      </c>
      <c r="P9582" s="27"/>
    </row>
    <row r="9583">
      <c r="A9583" s="14">
        <v>43032.06768518519</v>
      </c>
      <c r="B9583" s="20" t="str">
        <f>HYPERLINK("https://twitter.com/kenything","@kenything")</f>
        <v>@kenything</v>
      </c>
      <c r="C9583" s="21" t="s">
        <v>1478</v>
      </c>
      <c r="D9583" s="21" t="s">
        <v>20930</v>
      </c>
      <c r="E9583" s="22" t="str">
        <f>HYPERLINK("https://twitter.com/kenything/status/922743835028946944","922743835028946944")</f>
        <v>922743835028946944</v>
      </c>
      <c r="F9583" s="23" t="s">
        <v>39</v>
      </c>
      <c r="G9583" s="24">
        <v>24.0</v>
      </c>
      <c r="H9583" s="24">
        <v>12.0</v>
      </c>
      <c r="I9583" s="24">
        <v>0.0</v>
      </c>
      <c r="J9583" s="24">
        <v>0.0</v>
      </c>
      <c r="K9583" s="23" t="s">
        <v>34</v>
      </c>
      <c r="L9583" s="25">
        <v>42867.80298611111</v>
      </c>
      <c r="M9583" s="28"/>
      <c r="N9583" s="28"/>
      <c r="O9583" s="22" t="str">
        <f>HYPERLINK("https://pbs.twimg.com/profile_images/873164099751772161/-25ab9-b_normal.jpg","View")</f>
        <v>View</v>
      </c>
      <c r="P9583" s="27"/>
    </row>
    <row r="9584">
      <c r="A9584" s="14">
        <v>43032.06783564815</v>
      </c>
      <c r="B9584" s="20" t="str">
        <f>HYPERLINK("https://twitter.com/EmmezArt","@EmmezArt")</f>
        <v>@EmmezArt</v>
      </c>
      <c r="C9584" s="21" t="s">
        <v>20931</v>
      </c>
      <c r="D9584" s="21" t="s">
        <v>20932</v>
      </c>
      <c r="E9584" s="22" t="str">
        <f>HYPERLINK("https://twitter.com/EmmezArt/status/922743890188390400","922743890188390400")</f>
        <v>922743890188390400</v>
      </c>
      <c r="F9584" s="23" t="s">
        <v>55</v>
      </c>
      <c r="G9584" s="24">
        <v>656.0</v>
      </c>
      <c r="H9584" s="24">
        <v>1420.0</v>
      </c>
      <c r="I9584" s="24">
        <v>1.0</v>
      </c>
      <c r="J9584" s="24">
        <v>0.0</v>
      </c>
      <c r="K9584" s="23" t="s">
        <v>34</v>
      </c>
      <c r="L9584" s="25">
        <v>40017.08892361111</v>
      </c>
      <c r="M9584" s="26" t="s">
        <v>853</v>
      </c>
      <c r="N9584" s="26" t="s">
        <v>20933</v>
      </c>
      <c r="O9584" s="22" t="str">
        <f>HYPERLINK("https://pbs.twimg.com/profile_images/737203870569484288/wbOwC0ze_normal.jpg","View")</f>
        <v>View</v>
      </c>
      <c r="P9584" s="27"/>
    </row>
    <row r="9585">
      <c r="A9585" s="14">
        <v>43032.06818287037</v>
      </c>
      <c r="B9585" s="20" t="str">
        <f>HYPERLINK("https://twitter.com/sitifatimahnet","@sitifatimahnet")</f>
        <v>@sitifatimahnet</v>
      </c>
      <c r="C9585" s="21" t="s">
        <v>1762</v>
      </c>
      <c r="D9585" s="21" t="s">
        <v>20934</v>
      </c>
      <c r="E9585" s="22" t="str">
        <f>HYPERLINK("https://twitter.com/sitifatimahnet/status/922744015090528256","922744015090528256")</f>
        <v>922744015090528256</v>
      </c>
      <c r="F9585" s="23" t="s">
        <v>187</v>
      </c>
      <c r="G9585" s="24">
        <v>309.0</v>
      </c>
      <c r="H9585" s="24">
        <v>27.0</v>
      </c>
      <c r="I9585" s="24">
        <v>0.0</v>
      </c>
      <c r="J9585" s="24">
        <v>0.0</v>
      </c>
      <c r="K9585" s="23" t="s">
        <v>34</v>
      </c>
      <c r="L9585" s="25">
        <v>42698.43719907408</v>
      </c>
      <c r="M9585" s="26" t="s">
        <v>1764</v>
      </c>
      <c r="N9585" s="26" t="s">
        <v>1765</v>
      </c>
      <c r="O9585" s="22" t="str">
        <f>HYPERLINK("https://pbs.twimg.com/profile_images/897683241594912769/-rSDzg9T_normal.jpg","View")</f>
        <v>View</v>
      </c>
      <c r="P9585" s="27"/>
    </row>
    <row r="9586">
      <c r="A9586" s="14">
        <v>43032.06820601852</v>
      </c>
      <c r="B9586" s="20" t="str">
        <f>HYPERLINK("https://twitter.com/TheaGood","@TheaGood")</f>
        <v>@TheaGood</v>
      </c>
      <c r="C9586" s="21" t="s">
        <v>20935</v>
      </c>
      <c r="D9586" s="21" t="s">
        <v>20936</v>
      </c>
      <c r="E9586" s="22" t="str">
        <f>HYPERLINK("https://twitter.com/TheaGood/status/922744021088460800","922744021088460800")</f>
        <v>922744021088460800</v>
      </c>
      <c r="F9586" s="23" t="s">
        <v>55</v>
      </c>
      <c r="G9586" s="24">
        <v>6610.0</v>
      </c>
      <c r="H9586" s="24">
        <v>2955.0</v>
      </c>
      <c r="I9586" s="24">
        <v>0.0</v>
      </c>
      <c r="J9586" s="24">
        <v>0.0</v>
      </c>
      <c r="K9586" s="23" t="s">
        <v>34</v>
      </c>
      <c r="L9586" s="25">
        <v>40457.108206018514</v>
      </c>
      <c r="M9586" s="26" t="s">
        <v>20937</v>
      </c>
      <c r="N9586" s="26" t="s">
        <v>20938</v>
      </c>
      <c r="O9586" s="22" t="str">
        <f>HYPERLINK("https://pbs.twimg.com/profile_images/1240079110/broadcast_normal.gif","View")</f>
        <v>View</v>
      </c>
      <c r="P9586" s="27"/>
    </row>
    <row r="9587">
      <c r="A9587" s="14">
        <v>43032.06842592593</v>
      </c>
      <c r="B9587" s="20" t="str">
        <f>HYPERLINK("https://twitter.com/narhari4u","@narhari4u")</f>
        <v>@narhari4u</v>
      </c>
      <c r="C9587" s="21" t="s">
        <v>20939</v>
      </c>
      <c r="D9587" s="21" t="s">
        <v>163</v>
      </c>
      <c r="E9587" s="22" t="str">
        <f>HYPERLINK("https://twitter.com/narhari4u/status/922744100658536448","922744100658536448")</f>
        <v>922744100658536448</v>
      </c>
      <c r="F9587" s="23" t="s">
        <v>33</v>
      </c>
      <c r="G9587" s="24">
        <v>150.0</v>
      </c>
      <c r="H9587" s="24">
        <v>287.0</v>
      </c>
      <c r="I9587" s="24">
        <v>1005.0</v>
      </c>
      <c r="J9587" s="24">
        <v>0.0</v>
      </c>
      <c r="K9587" s="23" t="s">
        <v>34</v>
      </c>
      <c r="L9587" s="25">
        <v>42450.3421412037</v>
      </c>
      <c r="M9587" s="28"/>
      <c r="N9587" s="26" t="s">
        <v>20940</v>
      </c>
      <c r="O9587" s="22" t="str">
        <f>HYPERLINK("https://pbs.twimg.com/profile_images/911441774979145728/2amn3e3E_normal.jpg","View")</f>
        <v>View</v>
      </c>
      <c r="P9587" s="27"/>
    </row>
    <row r="9588">
      <c r="A9588" s="14">
        <v>43032.068449074075</v>
      </c>
      <c r="B9588" s="20" t="str">
        <f>HYPERLINK("https://twitter.com/worldcitizen1st","@worldcitizen1st")</f>
        <v>@worldcitizen1st</v>
      </c>
      <c r="C9588" s="21" t="s">
        <v>20941</v>
      </c>
      <c r="D9588" s="21" t="s">
        <v>20886</v>
      </c>
      <c r="E9588" s="22" t="str">
        <f>HYPERLINK("https://twitter.com/worldcitizen1st/status/922744111316242433","922744111316242433")</f>
        <v>922744111316242433</v>
      </c>
      <c r="F9588" s="23" t="s">
        <v>230</v>
      </c>
      <c r="G9588" s="24">
        <v>132.0</v>
      </c>
      <c r="H9588" s="24">
        <v>232.0</v>
      </c>
      <c r="I9588" s="24">
        <v>4.0</v>
      </c>
      <c r="J9588" s="24">
        <v>0.0</v>
      </c>
      <c r="K9588" s="23" t="s">
        <v>34</v>
      </c>
      <c r="L9588" s="25">
        <v>42684.296678240746</v>
      </c>
      <c r="M9588" s="28"/>
      <c r="N9588" s="26" t="s">
        <v>20942</v>
      </c>
      <c r="O9588" s="22" t="str">
        <f>HYPERLINK("https://pbs.twimg.com/profile_images/828272096144941056/bE3AteDT_normal.jpg","View")</f>
        <v>View</v>
      </c>
      <c r="P9588" s="27"/>
    </row>
    <row r="9589">
      <c r="A9589" s="14">
        <v>43032.06931712963</v>
      </c>
      <c r="B9589" s="20" t="str">
        <f>HYPERLINK("https://twitter.com/ShaoRong38","@ShaoRong38")</f>
        <v>@ShaoRong38</v>
      </c>
      <c r="C9589" s="21" t="s">
        <v>20943</v>
      </c>
      <c r="D9589" s="21" t="s">
        <v>42</v>
      </c>
      <c r="E9589" s="22" t="str">
        <f>HYPERLINK("https://twitter.com/ShaoRong38/status/922744424244940800","922744424244940800")</f>
        <v>922744424244940800</v>
      </c>
      <c r="F9589" s="23" t="s">
        <v>39</v>
      </c>
      <c r="G9589" s="24">
        <v>38.0</v>
      </c>
      <c r="H9589" s="24">
        <v>72.0</v>
      </c>
      <c r="I9589" s="24">
        <v>8501.0</v>
      </c>
      <c r="J9589" s="24">
        <v>0.0</v>
      </c>
      <c r="K9589" s="23" t="s">
        <v>34</v>
      </c>
      <c r="L9589" s="25">
        <v>42959.19016203703</v>
      </c>
      <c r="M9589" s="26" t="s">
        <v>20944</v>
      </c>
      <c r="N9589" s="26" t="s">
        <v>20945</v>
      </c>
      <c r="O9589" s="22" t="str">
        <f>HYPERLINK("https://pbs.twimg.com/profile_images/896335563049009152/ufd5qyMK_normal.jpg","View")</f>
        <v>View</v>
      </c>
      <c r="P9589" s="27"/>
    </row>
    <row r="9590">
      <c r="A9590" s="14">
        <v>43032.069652777776</v>
      </c>
      <c r="B9590" s="20" t="str">
        <f>HYPERLINK("https://twitter.com/jntd11","@jntd11")</f>
        <v>@jntd11</v>
      </c>
      <c r="C9590" s="21" t="s">
        <v>20946</v>
      </c>
      <c r="D9590" s="21" t="s">
        <v>163</v>
      </c>
      <c r="E9590" s="22" t="str">
        <f>HYPERLINK("https://twitter.com/jntd11/status/922744548954009602","922744548954009602")</f>
        <v>922744548954009602</v>
      </c>
      <c r="F9590" s="23" t="s">
        <v>33</v>
      </c>
      <c r="G9590" s="24">
        <v>66.0</v>
      </c>
      <c r="H9590" s="24">
        <v>159.0</v>
      </c>
      <c r="I9590" s="24">
        <v>1005.0</v>
      </c>
      <c r="J9590" s="24">
        <v>0.0</v>
      </c>
      <c r="K9590" s="23" t="s">
        <v>34</v>
      </c>
      <c r="L9590" s="25">
        <v>40305.016875</v>
      </c>
      <c r="M9590" s="28"/>
      <c r="N9590" s="28"/>
      <c r="O9590" s="22" t="str">
        <f>HYPERLINK("https://abs.twimg.com/sticky/default_profile_images/default_profile_normal.png","View")</f>
        <v>View</v>
      </c>
      <c r="P9590" s="27"/>
    </row>
    <row r="9591">
      <c r="A9591" s="14">
        <v>43032.06979166667</v>
      </c>
      <c r="B9591" s="20" t="str">
        <f>HYPERLINK("https://twitter.com/gurublack","@gurublack")</f>
        <v>@gurublack</v>
      </c>
      <c r="C9591" s="21" t="s">
        <v>20947</v>
      </c>
      <c r="D9591" s="21" t="s">
        <v>20948</v>
      </c>
      <c r="E9591" s="22" t="str">
        <f>HYPERLINK("https://twitter.com/gurublack/status/922744598782345216","922744598782345216")</f>
        <v>922744598782345216</v>
      </c>
      <c r="F9591" s="23" t="s">
        <v>55</v>
      </c>
      <c r="G9591" s="24">
        <v>3173.0</v>
      </c>
      <c r="H9591" s="24">
        <v>2863.0</v>
      </c>
      <c r="I9591" s="24">
        <v>1.0</v>
      </c>
      <c r="J9591" s="24">
        <v>0.0</v>
      </c>
      <c r="K9591" s="23" t="s">
        <v>34</v>
      </c>
      <c r="L9591" s="25">
        <v>39922.93020833333</v>
      </c>
      <c r="M9591" s="26" t="s">
        <v>204</v>
      </c>
      <c r="N9591" s="26" t="s">
        <v>20949</v>
      </c>
      <c r="O9591" s="22" t="str">
        <f>HYPERLINK("https://pbs.twimg.com/profile_images/921424837129658368/7x71l8pA_normal.jpg","View")</f>
        <v>View</v>
      </c>
      <c r="P9591" s="27"/>
    </row>
    <row r="9592">
      <c r="A9592" s="14">
        <v>43032.07108796296</v>
      </c>
      <c r="B9592" s="20" t="str">
        <f>HYPERLINK("https://twitter.com/nkDarkDrgmailc1","@nkDarkDrgmailc1")</f>
        <v>@nkDarkDrgmailc1</v>
      </c>
      <c r="C9592" s="21" t="s">
        <v>18603</v>
      </c>
      <c r="D9592" s="21" t="s">
        <v>20850</v>
      </c>
      <c r="E9592" s="22" t="str">
        <f>HYPERLINK("https://twitter.com/nkDarkDrgmailc1/status/922745067118280705","922745067118280705")</f>
        <v>922745067118280705</v>
      </c>
      <c r="F9592" s="23" t="s">
        <v>33</v>
      </c>
      <c r="G9592" s="24">
        <v>4136.0</v>
      </c>
      <c r="H9592" s="24">
        <v>2888.0</v>
      </c>
      <c r="I9592" s="24">
        <v>3.0</v>
      </c>
      <c r="J9592" s="24">
        <v>0.0</v>
      </c>
      <c r="K9592" s="23" t="s">
        <v>34</v>
      </c>
      <c r="L9592" s="25">
        <v>42002.184340277774</v>
      </c>
      <c r="M9592" s="28"/>
      <c r="N9592" s="26" t="s">
        <v>18605</v>
      </c>
      <c r="O9592" s="22" t="str">
        <f>HYPERLINK("https://pbs.twimg.com/profile_images/549546382671900672/AD_kn2tS_normal.jpeg","View")</f>
        <v>View</v>
      </c>
      <c r="P9592" s="27"/>
    </row>
    <row r="9593">
      <c r="A9593" s="14">
        <v>43032.07108796296</v>
      </c>
      <c r="B9593" s="20" t="str">
        <f>HYPERLINK("https://twitter.com/CNBCTradersFan","@CNBCTradersFan")</f>
        <v>@CNBCTradersFan</v>
      </c>
      <c r="C9593" s="21" t="s">
        <v>1945</v>
      </c>
      <c r="D9593" s="21" t="s">
        <v>20950</v>
      </c>
      <c r="E9593" s="22" t="str">
        <f>HYPERLINK("https://twitter.com/CNBCTradersFan/status/922745067646877702","922745067646877702")</f>
        <v>922745067646877702</v>
      </c>
      <c r="F9593" s="23" t="s">
        <v>187</v>
      </c>
      <c r="G9593" s="24">
        <v>17128.0</v>
      </c>
      <c r="H9593" s="24">
        <v>11615.0</v>
      </c>
      <c r="I9593" s="24">
        <v>0.0</v>
      </c>
      <c r="J9593" s="24">
        <v>0.0</v>
      </c>
      <c r="K9593" s="23" t="s">
        <v>34</v>
      </c>
      <c r="L9593" s="25">
        <v>40922.50542824074</v>
      </c>
      <c r="M9593" s="26" t="s">
        <v>1947</v>
      </c>
      <c r="N9593" s="26" t="s">
        <v>1948</v>
      </c>
      <c r="O9593" s="22" t="str">
        <f>HYPERLINK("https://pbs.twimg.com/profile_images/731870469318684672/Ckf7rDdJ_normal.jpg","View")</f>
        <v>View</v>
      </c>
      <c r="P9593" s="27"/>
    </row>
    <row r="9594">
      <c r="A9594" s="14">
        <v>43032.071284722224</v>
      </c>
      <c r="B9594" s="20" t="str">
        <f>HYPERLINK("https://twitter.com/WPPnZ47OabnF0KO","@WPPnZ47OabnF0KO")</f>
        <v>@WPPnZ47OabnF0KO</v>
      </c>
      <c r="C9594" s="21" t="s">
        <v>7362</v>
      </c>
      <c r="D9594" s="21" t="s">
        <v>20842</v>
      </c>
      <c r="E9594" s="22" t="str">
        <f>HYPERLINK("https://twitter.com/WPPnZ47OabnF0KO/status/922745137393844225","922745137393844225")</f>
        <v>922745137393844225</v>
      </c>
      <c r="F9594" s="23" t="s">
        <v>33</v>
      </c>
      <c r="G9594" s="24">
        <v>1496.0</v>
      </c>
      <c r="H9594" s="24">
        <v>4287.0</v>
      </c>
      <c r="I9594" s="24">
        <v>6.0</v>
      </c>
      <c r="J9594" s="24">
        <v>0.0</v>
      </c>
      <c r="K9594" s="23" t="s">
        <v>34</v>
      </c>
      <c r="L9594" s="25">
        <v>42755.49078703704</v>
      </c>
      <c r="M9594" s="26" t="s">
        <v>7363</v>
      </c>
      <c r="N9594" s="26" t="s">
        <v>7364</v>
      </c>
      <c r="O9594" s="22" t="str">
        <f>HYPERLINK("https://pbs.twimg.com/profile_images/917370651844919297/DHQLZ53J_normal.jpg","View")</f>
        <v>View</v>
      </c>
      <c r="P9594" s="27"/>
    </row>
    <row r="9595">
      <c r="A9595" s="14">
        <v>43032.071388888886</v>
      </c>
      <c r="B9595" s="20" t="str">
        <f>HYPERLINK("https://twitter.com/AJWasahi","@AJWasahi")</f>
        <v>@AJWasahi</v>
      </c>
      <c r="C9595" s="21" t="s">
        <v>20210</v>
      </c>
      <c r="D9595" s="21" t="s">
        <v>20951</v>
      </c>
      <c r="E9595" s="22" t="str">
        <f>HYPERLINK("https://twitter.com/AJWasahi/status/922745175792762880","922745175792762880")</f>
        <v>922745175792762880</v>
      </c>
      <c r="F9595" s="23" t="s">
        <v>55</v>
      </c>
      <c r="G9595" s="24">
        <v>13524.0</v>
      </c>
      <c r="H9595" s="24">
        <v>15.0</v>
      </c>
      <c r="I9595" s="24">
        <v>1.0</v>
      </c>
      <c r="J9595" s="24">
        <v>1.0</v>
      </c>
      <c r="K9595" s="23" t="s">
        <v>34</v>
      </c>
      <c r="L9595" s="25">
        <v>40660.02068287037</v>
      </c>
      <c r="M9595" s="26" t="s">
        <v>20212</v>
      </c>
      <c r="N9595" s="26" t="s">
        <v>20213</v>
      </c>
      <c r="O9595" s="22" t="str">
        <f>HYPERLINK("https://pbs.twimg.com/profile_images/2748998510/e09ce788ebc18de90c6bd2db544967ee_normal.png","View")</f>
        <v>View</v>
      </c>
      <c r="P9595" s="27"/>
    </row>
    <row r="9596">
      <c r="A9596" s="14">
        <v>43032.07229166667</v>
      </c>
      <c r="B9596" s="20" t="str">
        <f>HYPERLINK("https://twitter.com/uhe33delhi","@uhe33delhi")</f>
        <v>@uhe33delhi</v>
      </c>
      <c r="C9596" s="21" t="s">
        <v>20952</v>
      </c>
      <c r="D9596" s="21" t="s">
        <v>42</v>
      </c>
      <c r="E9596" s="22" t="str">
        <f>HYPERLINK("https://twitter.com/uhe33delhi/status/922745504710082560","922745504710082560")</f>
        <v>922745504710082560</v>
      </c>
      <c r="F9596" s="23" t="s">
        <v>33</v>
      </c>
      <c r="G9596" s="24">
        <v>122.0</v>
      </c>
      <c r="H9596" s="24">
        <v>222.0</v>
      </c>
      <c r="I9596" s="24">
        <v>8501.0</v>
      </c>
      <c r="J9596" s="24">
        <v>0.0</v>
      </c>
      <c r="K9596" s="23" t="s">
        <v>34</v>
      </c>
      <c r="L9596" s="25">
        <v>41900.5459837963</v>
      </c>
      <c r="M9596" s="28"/>
      <c r="N9596" s="26" t="s">
        <v>20953</v>
      </c>
      <c r="O9596" s="22" t="str">
        <f>HYPERLINK("https://pbs.twimg.com/profile_images/893324553434181632/9gYsuJHO_normal.jpg","View")</f>
        <v>View</v>
      </c>
      <c r="P9596" s="27"/>
    </row>
    <row r="9597">
      <c r="A9597" s="14">
        <v>43032.072384259256</v>
      </c>
      <c r="B9597" s="20" t="str">
        <f>HYPERLINK("https://twitter.com/bgtonpe18","@bgtonpe18")</f>
        <v>@bgtonpe18</v>
      </c>
      <c r="C9597" s="21" t="s">
        <v>20954</v>
      </c>
      <c r="D9597" s="21" t="s">
        <v>42</v>
      </c>
      <c r="E9597" s="22" t="str">
        <f>HYPERLINK("https://twitter.com/bgtonpe18/status/922745536465080320","922745536465080320")</f>
        <v>922745536465080320</v>
      </c>
      <c r="F9597" s="23" t="s">
        <v>33</v>
      </c>
      <c r="G9597" s="24">
        <v>27.0</v>
      </c>
      <c r="H9597" s="24">
        <v>148.0</v>
      </c>
      <c r="I9597" s="24">
        <v>8501.0</v>
      </c>
      <c r="J9597" s="24">
        <v>0.0</v>
      </c>
      <c r="K9597" s="23" t="s">
        <v>34</v>
      </c>
      <c r="L9597" s="25">
        <v>42322.49068287037</v>
      </c>
      <c r="M9597" s="28"/>
      <c r="N9597" s="28"/>
      <c r="O9597" s="22" t="str">
        <f>HYPERLINK("https://pbs.twimg.com/profile_images/669108154886524932/80gyvQ2O_normal.jpg","View")</f>
        <v>View</v>
      </c>
      <c r="P9597" s="27"/>
    </row>
    <row r="9598">
      <c r="A9598" s="14">
        <v>43032.07304398148</v>
      </c>
      <c r="B9598" s="20" t="str">
        <f>HYPERLINK("https://twitter.com/IAPDefenseForum","@IAPDefenseForum")</f>
        <v>@IAPDefenseForum</v>
      </c>
      <c r="C9598" s="21" t="s">
        <v>20955</v>
      </c>
      <c r="D9598" s="21" t="s">
        <v>20956</v>
      </c>
      <c r="E9598" s="22" t="str">
        <f>HYPERLINK("https://twitter.com/IAPDefenseForum/status/922745777570697216","922745777570697216")</f>
        <v>922745777570697216</v>
      </c>
      <c r="F9598" s="23" t="s">
        <v>427</v>
      </c>
      <c r="G9598" s="24">
        <v>192.0</v>
      </c>
      <c r="H9598" s="24">
        <v>1793.0</v>
      </c>
      <c r="I9598" s="24">
        <v>0.0</v>
      </c>
      <c r="J9598" s="24">
        <v>0.0</v>
      </c>
      <c r="K9598" s="23" t="s">
        <v>34</v>
      </c>
      <c r="L9598" s="25">
        <v>42278.659212962964</v>
      </c>
      <c r="M9598" s="28"/>
      <c r="N9598" s="28"/>
      <c r="O9598" s="22" t="str">
        <f>HYPERLINK("https://pbs.twimg.com/profile_images/778472399830339584/te0FDAAN_normal.jpg","View")</f>
        <v>View</v>
      </c>
      <c r="P9598" s="27"/>
    </row>
    <row r="9599">
      <c r="A9599" s="14">
        <v>43032.073113425926</v>
      </c>
      <c r="B9599" s="20" t="str">
        <f>HYPERLINK("https://twitter.com/andreascseh","@andreascseh")</f>
        <v>@andreascseh</v>
      </c>
      <c r="C9599" s="21" t="s">
        <v>20957</v>
      </c>
      <c r="D9599" s="21" t="s">
        <v>20958</v>
      </c>
      <c r="E9599" s="22" t="str">
        <f>HYPERLINK("https://twitter.com/andreascseh/status/922745802790858753","922745802790858753")</f>
        <v>922745802790858753</v>
      </c>
      <c r="F9599" s="23" t="s">
        <v>55</v>
      </c>
      <c r="G9599" s="24">
        <v>2371.0</v>
      </c>
      <c r="H9599" s="24">
        <v>1991.0</v>
      </c>
      <c r="I9599" s="24">
        <v>3.0</v>
      </c>
      <c r="J9599" s="24">
        <v>0.0</v>
      </c>
      <c r="K9599" s="23" t="s">
        <v>34</v>
      </c>
      <c r="L9599" s="25">
        <v>41599.9924537037</v>
      </c>
      <c r="M9599" s="26" t="s">
        <v>2185</v>
      </c>
      <c r="N9599" s="26" t="s">
        <v>20959</v>
      </c>
      <c r="O9599" s="22" t="str">
        <f>HYPERLINK("https://pbs.twimg.com/profile_images/837362110510190593/9ceXUljb_normal.jpg","View")</f>
        <v>View</v>
      </c>
      <c r="P9599" s="27"/>
    </row>
    <row r="9600">
      <c r="A9600" s="14">
        <v>43032.07325231482</v>
      </c>
      <c r="B9600" s="20" t="str">
        <f>HYPERLINK("https://twitter.com/GMANewsTVIntl","@GMANewsTVIntl")</f>
        <v>@GMANewsTVIntl</v>
      </c>
      <c r="C9600" s="21" t="s">
        <v>20960</v>
      </c>
      <c r="D9600" s="21" t="s">
        <v>20961</v>
      </c>
      <c r="E9600" s="22" t="str">
        <f>HYPERLINK("https://twitter.com/GMANewsTVIntl/status/922745850186514432","922745850186514432")</f>
        <v>922745850186514432</v>
      </c>
      <c r="F9600" s="23" t="s">
        <v>55</v>
      </c>
      <c r="G9600" s="24">
        <v>3584.0</v>
      </c>
      <c r="H9600" s="24">
        <v>147.0</v>
      </c>
      <c r="I9600" s="24">
        <v>0.0</v>
      </c>
      <c r="J9600" s="24">
        <v>1.0</v>
      </c>
      <c r="K9600" s="23" t="s">
        <v>34</v>
      </c>
      <c r="L9600" s="25">
        <v>40917.99539351852</v>
      </c>
      <c r="M9600" s="26" t="s">
        <v>3507</v>
      </c>
      <c r="N9600" s="26" t="s">
        <v>20962</v>
      </c>
      <c r="O9600" s="22" t="str">
        <f>HYPERLINK("https://pbs.twimg.com/profile_images/848841219190923264/2qDqvw5X_normal.jpg","View")</f>
        <v>View</v>
      </c>
      <c r="P9600" s="27"/>
    </row>
    <row r="9601">
      <c r="A9601" s="14">
        <v>43032.073599537034</v>
      </c>
      <c r="B9601" s="20" t="str">
        <f>HYPERLINK("https://twitter.com/andreascseh","@andreascseh")</f>
        <v>@andreascseh</v>
      </c>
      <c r="C9601" s="21" t="s">
        <v>20957</v>
      </c>
      <c r="D9601" s="21" t="s">
        <v>20963</v>
      </c>
      <c r="E9601" s="22" t="str">
        <f>HYPERLINK("https://twitter.com/andreascseh/status/922745977785671680","922745977785671680")</f>
        <v>922745977785671680</v>
      </c>
      <c r="F9601" s="23" t="s">
        <v>55</v>
      </c>
      <c r="G9601" s="24">
        <v>2371.0</v>
      </c>
      <c r="H9601" s="24">
        <v>1991.0</v>
      </c>
      <c r="I9601" s="24">
        <v>0.0</v>
      </c>
      <c r="J9601" s="24">
        <v>0.0</v>
      </c>
      <c r="K9601" s="23" t="s">
        <v>34</v>
      </c>
      <c r="L9601" s="25">
        <v>41599.9924537037</v>
      </c>
      <c r="M9601" s="26" t="s">
        <v>2185</v>
      </c>
      <c r="N9601" s="26" t="s">
        <v>20959</v>
      </c>
      <c r="O9601" s="22" t="str">
        <f>HYPERLINK("https://pbs.twimg.com/profile_images/837362110510190593/9ceXUljb_normal.jpg","View")</f>
        <v>View</v>
      </c>
      <c r="P9601" s="27"/>
    </row>
    <row r="9602">
      <c r="A9602" s="14">
        <v>43032.074108796296</v>
      </c>
      <c r="B9602" s="20" t="str">
        <f>HYPERLINK("https://twitter.com/LiliyaMarina2","@LiliyaMarina2")</f>
        <v>@LiliyaMarina2</v>
      </c>
      <c r="C9602" s="21" t="s">
        <v>20964</v>
      </c>
      <c r="D9602" s="21" t="s">
        <v>20700</v>
      </c>
      <c r="E9602" s="22" t="str">
        <f>HYPERLINK("https://twitter.com/LiliyaMarina2/status/922746160736956416","922746160736956416")</f>
        <v>922746160736956416</v>
      </c>
      <c r="F9602" s="23" t="s">
        <v>55</v>
      </c>
      <c r="G9602" s="24">
        <v>10557.0</v>
      </c>
      <c r="H9602" s="24">
        <v>48.0</v>
      </c>
      <c r="I9602" s="24">
        <v>27.0</v>
      </c>
      <c r="J9602" s="24">
        <v>0.0</v>
      </c>
      <c r="K9602" s="23" t="s">
        <v>34</v>
      </c>
      <c r="L9602" s="25">
        <v>42956.37315972222</v>
      </c>
      <c r="M9602" s="28"/>
      <c r="N9602" s="28"/>
      <c r="O9602" s="22" t="str">
        <f>HYPERLINK("https://pbs.twimg.com/profile_images/910059875891212288/5m5Mvd8d_normal.jpg","View")</f>
        <v>View</v>
      </c>
      <c r="P9602" s="27"/>
    </row>
    <row r="9603">
      <c r="A9603" s="14">
        <v>43032.07425925926</v>
      </c>
      <c r="B9603" s="20" t="str">
        <f>HYPERLINK("https://twitter.com/NorooziSamir","@NorooziSamir")</f>
        <v>@NorooziSamir</v>
      </c>
      <c r="C9603" s="29" t="s">
        <v>20965</v>
      </c>
      <c r="D9603" s="21" t="s">
        <v>42</v>
      </c>
      <c r="E9603" s="22" t="str">
        <f>HYPERLINK("https://twitter.com/NorooziSamir/status/922746214860201985","922746214860201985")</f>
        <v>922746214860201985</v>
      </c>
      <c r="F9603" s="23" t="s">
        <v>33</v>
      </c>
      <c r="G9603" s="24">
        <v>45.0</v>
      </c>
      <c r="H9603" s="24">
        <v>117.0</v>
      </c>
      <c r="I9603" s="24">
        <v>8501.0</v>
      </c>
      <c r="J9603" s="24">
        <v>0.0</v>
      </c>
      <c r="K9603" s="23" t="s">
        <v>34</v>
      </c>
      <c r="L9603" s="25">
        <v>42900.90564814815</v>
      </c>
      <c r="M9603" s="28"/>
      <c r="N9603" s="26" t="s">
        <v>20966</v>
      </c>
      <c r="O9603" s="22" t="str">
        <f>HYPERLINK("https://pbs.twimg.com/profile_images/875221284736598016/s6G6ssRH_normal.jpg","View")</f>
        <v>View</v>
      </c>
      <c r="P9603" s="27"/>
    </row>
    <row r="9604">
      <c r="A9604" s="14">
        <v>43032.074270833335</v>
      </c>
      <c r="B9604" s="20" t="str">
        <f>HYPERLINK("https://twitter.com/Yung_Musa","@Yung_Musa")</f>
        <v>@Yung_Musa</v>
      </c>
      <c r="C9604" s="21" t="s">
        <v>20967</v>
      </c>
      <c r="D9604" s="21" t="s">
        <v>32</v>
      </c>
      <c r="E9604" s="22" t="str">
        <f>HYPERLINK("https://twitter.com/Yung_Musa/status/922746220275216385","922746220275216385")</f>
        <v>922746220275216385</v>
      </c>
      <c r="F9604" s="23" t="s">
        <v>33</v>
      </c>
      <c r="G9604" s="24">
        <v>1080.0</v>
      </c>
      <c r="H9604" s="24">
        <v>971.0</v>
      </c>
      <c r="I9604" s="24">
        <v>471.0</v>
      </c>
      <c r="J9604" s="24">
        <v>0.0</v>
      </c>
      <c r="K9604" s="23" t="s">
        <v>34</v>
      </c>
      <c r="L9604" s="25">
        <v>40037.878796296296</v>
      </c>
      <c r="M9604" s="26" t="s">
        <v>843</v>
      </c>
      <c r="N9604" s="26" t="s">
        <v>20968</v>
      </c>
      <c r="O9604" s="22" t="str">
        <f>HYPERLINK("https://pbs.twimg.com/profile_images/916536327050612737/tytiYy61_normal.jpg","View")</f>
        <v>View</v>
      </c>
      <c r="P9604" s="27"/>
    </row>
    <row r="9605">
      <c r="A9605" s="14">
        <v>43032.07502314815</v>
      </c>
      <c r="B9605" s="20" t="str">
        <f>HYPERLINK("https://twitter.com/UtarSystems","@UtarSystems")</f>
        <v>@UtarSystems</v>
      </c>
      <c r="C9605" s="21" t="s">
        <v>20969</v>
      </c>
      <c r="D9605" s="21" t="s">
        <v>20958</v>
      </c>
      <c r="E9605" s="22" t="str">
        <f>HYPERLINK("https://twitter.com/UtarSystems/status/922746494381363205","922746494381363205")</f>
        <v>922746494381363205</v>
      </c>
      <c r="F9605" s="23" t="s">
        <v>20970</v>
      </c>
      <c r="G9605" s="24">
        <v>3784.0</v>
      </c>
      <c r="H9605" s="24">
        <v>584.0</v>
      </c>
      <c r="I9605" s="24">
        <v>3.0</v>
      </c>
      <c r="J9605" s="24">
        <v>0.0</v>
      </c>
      <c r="K9605" s="23" t="s">
        <v>34</v>
      </c>
      <c r="L9605" s="25">
        <v>42372.539976851855</v>
      </c>
      <c r="M9605" s="28"/>
      <c r="N9605" s="26" t="s">
        <v>20971</v>
      </c>
      <c r="O9605" s="22" t="str">
        <f>HYPERLINK("https://pbs.twimg.com/profile_images/845922486810296320/QN215K3M_normal.jpg","View")</f>
        <v>View</v>
      </c>
      <c r="P9605" s="27"/>
    </row>
    <row r="9606">
      <c r="A9606" s="14">
        <v>43032.075115740736</v>
      </c>
      <c r="B9606" s="20" t="str">
        <f>HYPERLINK("https://twitter.com/shreekheteshwar","@shreekheteshwar")</f>
        <v>@shreekheteshwar</v>
      </c>
      <c r="C9606" s="21" t="s">
        <v>20972</v>
      </c>
      <c r="D9606" s="21" t="s">
        <v>42</v>
      </c>
      <c r="E9606" s="22" t="str">
        <f>HYPERLINK("https://twitter.com/shreekheteshwar/status/922746525393993728","922746525393993728")</f>
        <v>922746525393993728</v>
      </c>
      <c r="F9606" s="23" t="s">
        <v>33</v>
      </c>
      <c r="G9606" s="24">
        <v>4108.0</v>
      </c>
      <c r="H9606" s="24">
        <v>1930.0</v>
      </c>
      <c r="I9606" s="24">
        <v>8501.0</v>
      </c>
      <c r="J9606" s="24">
        <v>0.0</v>
      </c>
      <c r="K9606" s="23" t="s">
        <v>34</v>
      </c>
      <c r="L9606" s="25">
        <v>41692.053981481484</v>
      </c>
      <c r="M9606" s="26" t="s">
        <v>204</v>
      </c>
      <c r="N9606" s="26" t="s">
        <v>20973</v>
      </c>
      <c r="O9606" s="22" t="str">
        <f>HYPERLINK("https://pbs.twimg.com/profile_images/769408224990732289/BUPtEQoV_normal.jpg","View")</f>
        <v>View</v>
      </c>
      <c r="P9606" s="27"/>
    </row>
    <row r="9607">
      <c r="A9607" s="14">
        <v>43032.075162037036</v>
      </c>
      <c r="B9607" s="20" t="str">
        <f>HYPERLINK("https://twitter.com/TopFiveTraders","@TopFiveTraders")</f>
        <v>@TopFiveTraders</v>
      </c>
      <c r="C9607" s="21" t="s">
        <v>1984</v>
      </c>
      <c r="D9607" s="21" t="s">
        <v>20974</v>
      </c>
      <c r="E9607" s="22" t="str">
        <f>HYPERLINK("https://twitter.com/TopFiveTraders/status/922746545753284608","922746545753284608")</f>
        <v>922746545753284608</v>
      </c>
      <c r="F9607" s="23" t="s">
        <v>187</v>
      </c>
      <c r="G9607" s="24">
        <v>8168.0</v>
      </c>
      <c r="H9607" s="24">
        <v>6711.0</v>
      </c>
      <c r="I9607" s="24">
        <v>0.0</v>
      </c>
      <c r="J9607" s="24">
        <v>0.0</v>
      </c>
      <c r="K9607" s="23" t="s">
        <v>34</v>
      </c>
      <c r="L9607" s="25">
        <v>41573.484201388885</v>
      </c>
      <c r="M9607" s="26" t="s">
        <v>1986</v>
      </c>
      <c r="N9607" s="26" t="s">
        <v>1987</v>
      </c>
      <c r="O9607" s="22" t="str">
        <f>HYPERLINK("https://pbs.twimg.com/profile_images/729113141444026370/hi202Ffp_normal.jpg","View")</f>
        <v>View</v>
      </c>
      <c r="P9607" s="27"/>
    </row>
    <row r="9608">
      <c r="A9608" s="14">
        <v>43032.07550925926</v>
      </c>
      <c r="B9608" s="20" t="str">
        <f>HYPERLINK("https://twitter.com/KatAdeney","@KatAdeney")</f>
        <v>@KatAdeney</v>
      </c>
      <c r="C9608" s="21" t="s">
        <v>2640</v>
      </c>
      <c r="D9608" s="21" t="s">
        <v>20975</v>
      </c>
      <c r="E9608" s="22" t="str">
        <f>HYPERLINK("https://twitter.com/KatAdeney/status/922746669854285825","922746669854285825")</f>
        <v>922746669854285825</v>
      </c>
      <c r="F9608" s="23" t="s">
        <v>39</v>
      </c>
      <c r="G9608" s="24">
        <v>1905.0</v>
      </c>
      <c r="H9608" s="24">
        <v>1797.0</v>
      </c>
      <c r="I9608" s="24">
        <v>1.0</v>
      </c>
      <c r="J9608" s="24">
        <v>0.0</v>
      </c>
      <c r="K9608" s="23" t="s">
        <v>34</v>
      </c>
      <c r="L9608" s="25">
        <v>40102.33482638889</v>
      </c>
      <c r="M9608" s="26" t="s">
        <v>2642</v>
      </c>
      <c r="N9608" s="26" t="s">
        <v>2643</v>
      </c>
      <c r="O9608" s="22" t="str">
        <f>HYPERLINK("https://pbs.twimg.com/profile_images/675067013174329344/jfGAbaa5_normal.jpg","View")</f>
        <v>View</v>
      </c>
      <c r="P9608" s="27"/>
    </row>
    <row r="9609">
      <c r="A9609" s="14">
        <v>43032.07623842593</v>
      </c>
      <c r="B9609" s="20" t="str">
        <f>HYPERLINK("https://twitter.com/GauravG34684293","@GauravG34684293")</f>
        <v>@GauravG34684293</v>
      </c>
      <c r="C9609" s="21" t="s">
        <v>13617</v>
      </c>
      <c r="D9609" s="21" t="s">
        <v>42</v>
      </c>
      <c r="E9609" s="22" t="str">
        <f>HYPERLINK("https://twitter.com/GauravG34684293/status/922746933671690240","922746933671690240")</f>
        <v>922746933671690240</v>
      </c>
      <c r="F9609" s="23" t="s">
        <v>43</v>
      </c>
      <c r="G9609" s="24">
        <v>1.0</v>
      </c>
      <c r="H9609" s="24">
        <v>21.0</v>
      </c>
      <c r="I9609" s="24">
        <v>8501.0</v>
      </c>
      <c r="J9609" s="24">
        <v>0.0</v>
      </c>
      <c r="K9609" s="23" t="s">
        <v>34</v>
      </c>
      <c r="L9609" s="25">
        <v>43028.77704861111</v>
      </c>
      <c r="M9609" s="28"/>
      <c r="N9609" s="28"/>
      <c r="O9609" s="22" t="str">
        <f>HYPERLINK("https://abs.twimg.com/sticky/default_profile_images/default_profile_normal.png","View")</f>
        <v>View</v>
      </c>
      <c r="P9609" s="27"/>
    </row>
    <row r="9610">
      <c r="A9610" s="14">
        <v>43032.07635416667</v>
      </c>
      <c r="B9610" s="20" t="str">
        <f>HYPERLINK("https://twitter.com/TheManojGarg","@TheManojGarg")</f>
        <v>@TheManojGarg</v>
      </c>
      <c r="C9610" s="21" t="s">
        <v>20976</v>
      </c>
      <c r="D9610" s="21" t="s">
        <v>163</v>
      </c>
      <c r="E9610" s="22" t="str">
        <f>HYPERLINK("https://twitter.com/TheManojGarg/status/922746975400869888","922746975400869888")</f>
        <v>922746975400869888</v>
      </c>
      <c r="F9610" s="23" t="s">
        <v>33</v>
      </c>
      <c r="G9610" s="24">
        <v>65.0</v>
      </c>
      <c r="H9610" s="24">
        <v>5.0</v>
      </c>
      <c r="I9610" s="24">
        <v>1005.0</v>
      </c>
      <c r="J9610" s="24">
        <v>0.0</v>
      </c>
      <c r="K9610" s="23" t="s">
        <v>34</v>
      </c>
      <c r="L9610" s="25">
        <v>40982.492164351854</v>
      </c>
      <c r="M9610" s="26" t="s">
        <v>204</v>
      </c>
      <c r="N9610" s="26" t="s">
        <v>20977</v>
      </c>
      <c r="O9610" s="22" t="str">
        <f>HYPERLINK("https://pbs.twimg.com/profile_images/593172964511649792/N1i1RmbV_normal.jpg","View")</f>
        <v>View</v>
      </c>
      <c r="P9610" s="27"/>
    </row>
    <row r="9611">
      <c r="A9611" s="14">
        <v>43032.077314814815</v>
      </c>
      <c r="B9611" s="20" t="str">
        <f>HYPERLINK("https://twitter.com/ColumnistWorld","@ColumnistWorld")</f>
        <v>@ColumnistWorld</v>
      </c>
      <c r="C9611" s="21" t="s">
        <v>5757</v>
      </c>
      <c r="D9611" s="21" t="s">
        <v>20978</v>
      </c>
      <c r="E9611" s="22" t="str">
        <f>HYPERLINK("https://twitter.com/ColumnistWorld/status/922747324627083264","922747324627083264")</f>
        <v>922747324627083264</v>
      </c>
      <c r="F9611" s="23" t="s">
        <v>187</v>
      </c>
      <c r="G9611" s="24">
        <v>26.0</v>
      </c>
      <c r="H9611" s="24">
        <v>0.0</v>
      </c>
      <c r="I9611" s="24">
        <v>0.0</v>
      </c>
      <c r="J9611" s="24">
        <v>0.0</v>
      </c>
      <c r="K9611" s="23" t="s">
        <v>34</v>
      </c>
      <c r="L9611" s="25">
        <v>42370.48368055555</v>
      </c>
      <c r="M9611" s="28"/>
      <c r="N9611" s="26" t="s">
        <v>5759</v>
      </c>
      <c r="O9611" s="22" t="str">
        <f>HYPERLINK("https://pbs.twimg.com/profile_images/918677245367111680/nbvPzXP0_normal.jpg","View")</f>
        <v>View</v>
      </c>
      <c r="P9611" s="27"/>
    </row>
    <row r="9612">
      <c r="A9612" s="14">
        <v>43032.07751157407</v>
      </c>
      <c r="B9612" s="20" t="str">
        <f>HYPERLINK("https://twitter.com/jeremypssm","@jeremypssm")</f>
        <v>@jeremypssm</v>
      </c>
      <c r="C9612" s="21" t="s">
        <v>20979</v>
      </c>
      <c r="D9612" s="21" t="s">
        <v>20980</v>
      </c>
      <c r="E9612" s="22" t="str">
        <f>HYPERLINK("https://twitter.com/jeremypssm/status/922747394160316417","922747394160316417")</f>
        <v>922747394160316417</v>
      </c>
      <c r="F9612" s="23" t="s">
        <v>55</v>
      </c>
      <c r="G9612" s="24">
        <v>101.0</v>
      </c>
      <c r="H9612" s="24">
        <v>36.0</v>
      </c>
      <c r="I9612" s="24">
        <v>0.0</v>
      </c>
      <c r="J9612" s="24">
        <v>0.0</v>
      </c>
      <c r="K9612" s="23" t="s">
        <v>34</v>
      </c>
      <c r="L9612" s="25">
        <v>40521.26269675926</v>
      </c>
      <c r="M9612" s="26" t="s">
        <v>5050</v>
      </c>
      <c r="N9612" s="26" t="s">
        <v>20981</v>
      </c>
      <c r="O9612" s="22" t="str">
        <f>HYPERLINK("https://pbs.twimg.com/profile_images/659396330008219649/h787hDNX_normal.jpg","View")</f>
        <v>View</v>
      </c>
      <c r="P9612" s="27"/>
    </row>
    <row r="9613">
      <c r="A9613" s="14">
        <v>43032.07755787037</v>
      </c>
      <c r="B9613" s="20" t="str">
        <f>HYPERLINK("https://twitter.com/Santosh33779105","@Santosh33779105")</f>
        <v>@Santosh33779105</v>
      </c>
      <c r="C9613" s="21" t="s">
        <v>20982</v>
      </c>
      <c r="D9613" s="21" t="s">
        <v>42</v>
      </c>
      <c r="E9613" s="22" t="str">
        <f>HYPERLINK("https://twitter.com/Santosh33779105/status/922747412162027521","922747412162027521")</f>
        <v>922747412162027521</v>
      </c>
      <c r="F9613" s="23" t="s">
        <v>33</v>
      </c>
      <c r="G9613" s="24">
        <v>168.0</v>
      </c>
      <c r="H9613" s="24">
        <v>238.0</v>
      </c>
      <c r="I9613" s="24">
        <v>8501.0</v>
      </c>
      <c r="J9613" s="24">
        <v>0.0</v>
      </c>
      <c r="K9613" s="23" t="s">
        <v>34</v>
      </c>
      <c r="L9613" s="25">
        <v>42545.32394675926</v>
      </c>
      <c r="M9613" s="28"/>
      <c r="N9613" s="26" t="s">
        <v>20983</v>
      </c>
      <c r="O9613" s="22" t="str">
        <f t="shared" ref="O9613:O9615" si="190">HYPERLINK("https://abs.twimg.com/sticky/default_profile_images/default_profile_normal.png","View")</f>
        <v>View</v>
      </c>
      <c r="P9613" s="27"/>
    </row>
    <row r="9614">
      <c r="A9614" s="14">
        <v>43032.078576388885</v>
      </c>
      <c r="B9614" s="20" t="str">
        <f>HYPERLINK("https://twitter.com/AllNewsNetWorld","@AllNewsNetWorld")</f>
        <v>@AllNewsNetWorld</v>
      </c>
      <c r="C9614" s="21" t="s">
        <v>5930</v>
      </c>
      <c r="D9614" s="21" t="s">
        <v>20984</v>
      </c>
      <c r="E9614" s="22" t="str">
        <f>HYPERLINK("https://twitter.com/AllNewsNetWorld/status/922747781177073664","922747781177073664")</f>
        <v>922747781177073664</v>
      </c>
      <c r="F9614" s="23" t="s">
        <v>187</v>
      </c>
      <c r="G9614" s="24">
        <v>33.0</v>
      </c>
      <c r="H9614" s="24">
        <v>19.0</v>
      </c>
      <c r="I9614" s="24">
        <v>0.0</v>
      </c>
      <c r="J9614" s="24">
        <v>0.0</v>
      </c>
      <c r="K9614" s="23" t="s">
        <v>34</v>
      </c>
      <c r="L9614" s="25">
        <v>41463.496145833335</v>
      </c>
      <c r="M9614" s="28"/>
      <c r="N9614" s="28"/>
      <c r="O9614" s="22" t="str">
        <f t="shared" si="190"/>
        <v>View</v>
      </c>
      <c r="P9614" s="27"/>
    </row>
    <row r="9615">
      <c r="A9615" s="14">
        <v>43032.07864583333</v>
      </c>
      <c r="B9615" s="20" t="str">
        <f>HYPERLINK("https://twitter.com/Kishoresamal8","@Kishoresamal8")</f>
        <v>@Kishoresamal8</v>
      </c>
      <c r="C9615" s="21" t="s">
        <v>20985</v>
      </c>
      <c r="D9615" s="21" t="s">
        <v>42</v>
      </c>
      <c r="E9615" s="22" t="str">
        <f>HYPERLINK("https://twitter.com/Kishoresamal8/status/922747805730349056","922747805730349056")</f>
        <v>922747805730349056</v>
      </c>
      <c r="F9615" s="23" t="s">
        <v>33</v>
      </c>
      <c r="G9615" s="24">
        <v>0.0</v>
      </c>
      <c r="H9615" s="24">
        <v>41.0</v>
      </c>
      <c r="I9615" s="24">
        <v>8501.0</v>
      </c>
      <c r="J9615" s="24">
        <v>0.0</v>
      </c>
      <c r="K9615" s="23" t="s">
        <v>34</v>
      </c>
      <c r="L9615" s="25">
        <v>43008.4184837963</v>
      </c>
      <c r="M9615" s="28"/>
      <c r="N9615" s="28"/>
      <c r="O9615" s="22" t="str">
        <f t="shared" si="190"/>
        <v>View</v>
      </c>
      <c r="P9615" s="27"/>
    </row>
    <row r="9616">
      <c r="A9616" s="14">
        <v>43032.078923611116</v>
      </c>
      <c r="B9616" s="20" t="str">
        <f>HYPERLINK("https://twitter.com/nyiint","@nyiint")</f>
        <v>@nyiint</v>
      </c>
      <c r="C9616" s="21" t="s">
        <v>5754</v>
      </c>
      <c r="D9616" s="21" t="s">
        <v>20986</v>
      </c>
      <c r="E9616" s="22" t="str">
        <f>HYPERLINK("https://twitter.com/nyiint/status/922747905374552065","922747905374552065")</f>
        <v>922747905374552065</v>
      </c>
      <c r="F9616" s="23" t="s">
        <v>187</v>
      </c>
      <c r="G9616" s="24">
        <v>16.0</v>
      </c>
      <c r="H9616" s="24">
        <v>0.0</v>
      </c>
      <c r="I9616" s="24">
        <v>0.0</v>
      </c>
      <c r="J9616" s="24">
        <v>0.0</v>
      </c>
      <c r="K9616" s="23" t="s">
        <v>34</v>
      </c>
      <c r="L9616" s="25">
        <v>42982.23821759259</v>
      </c>
      <c r="M9616" s="26" t="s">
        <v>4746</v>
      </c>
      <c r="N9616" s="26" t="s">
        <v>5756</v>
      </c>
      <c r="O9616" s="22" t="str">
        <f>HYPERLINK("https://pbs.twimg.com/profile_images/912810467730403330/LNww9UbF_normal.jpg","View")</f>
        <v>View</v>
      </c>
      <c r="P9616" s="27"/>
    </row>
    <row r="9617">
      <c r="A9617" s="14">
        <v>43032.07902777778</v>
      </c>
      <c r="B9617" s="20" t="str">
        <f>HYPERLINK("https://twitter.com/Reddy_7304","@Reddy_7304")</f>
        <v>@Reddy_7304</v>
      </c>
      <c r="C9617" s="21" t="s">
        <v>20987</v>
      </c>
      <c r="D9617" s="21" t="s">
        <v>42</v>
      </c>
      <c r="E9617" s="22" t="str">
        <f>HYPERLINK("https://twitter.com/Reddy_7304/status/922747945207848960","922747945207848960")</f>
        <v>922747945207848960</v>
      </c>
      <c r="F9617" s="23" t="s">
        <v>33</v>
      </c>
      <c r="G9617" s="24">
        <v>316.0</v>
      </c>
      <c r="H9617" s="24">
        <v>1273.0</v>
      </c>
      <c r="I9617" s="24">
        <v>8501.0</v>
      </c>
      <c r="J9617" s="24">
        <v>0.0</v>
      </c>
      <c r="K9617" s="23" t="s">
        <v>34</v>
      </c>
      <c r="L9617" s="25">
        <v>41472.25641203704</v>
      </c>
      <c r="M9617" s="26" t="s">
        <v>20988</v>
      </c>
      <c r="N9617" s="26" t="s">
        <v>20989</v>
      </c>
      <c r="O9617" s="22" t="str">
        <f>HYPERLINK("https://pbs.twimg.com/profile_images/694894690257113089/I73YC6FH_normal.jpg","View")</f>
        <v>View</v>
      </c>
      <c r="P9617" s="27"/>
    </row>
    <row r="9618">
      <c r="A9618" s="14">
        <v>43032.079189814816</v>
      </c>
      <c r="B9618" s="20" t="str">
        <f>HYPERLINK("https://twitter.com/Harish315gmail2","@Harish315gmail2")</f>
        <v>@Harish315gmail2</v>
      </c>
      <c r="C9618" s="21" t="s">
        <v>20990</v>
      </c>
      <c r="D9618" s="21" t="s">
        <v>42</v>
      </c>
      <c r="E9618" s="22" t="str">
        <f>HYPERLINK("https://twitter.com/Harish315gmail2/status/922748004510994432","922748004510994432")</f>
        <v>922748004510994432</v>
      </c>
      <c r="F9618" s="23" t="s">
        <v>33</v>
      </c>
      <c r="G9618" s="24">
        <v>4376.0</v>
      </c>
      <c r="H9618" s="24">
        <v>4985.0</v>
      </c>
      <c r="I9618" s="24">
        <v>8501.0</v>
      </c>
      <c r="J9618" s="24">
        <v>0.0</v>
      </c>
      <c r="K9618" s="23" t="s">
        <v>34</v>
      </c>
      <c r="L9618" s="25">
        <v>42814.07440972222</v>
      </c>
      <c r="M9618" s="26" t="s">
        <v>204</v>
      </c>
      <c r="N9618" s="26" t="s">
        <v>7777</v>
      </c>
      <c r="O9618" s="22" t="str">
        <f>HYPERLINK("https://pbs.twimg.com/profile_images/905848366466138112/siG97Ecv_normal.jpg","View")</f>
        <v>View</v>
      </c>
      <c r="P9618" s="27"/>
    </row>
    <row r="9619">
      <c r="A9619" s="14">
        <v>43032.07949074074</v>
      </c>
      <c r="B9619" s="20" t="str">
        <f>HYPERLINK("https://twitter.com/periodicalw","@periodicalw")</f>
        <v>@periodicalw</v>
      </c>
      <c r="C9619" s="21" t="s">
        <v>5750</v>
      </c>
      <c r="D9619" s="21" t="s">
        <v>20991</v>
      </c>
      <c r="E9619" s="22" t="str">
        <f>HYPERLINK("https://twitter.com/periodicalw/status/922748110794907648","922748110794907648")</f>
        <v>922748110794907648</v>
      </c>
      <c r="F9619" s="23" t="s">
        <v>187</v>
      </c>
      <c r="G9619" s="24">
        <v>13.0</v>
      </c>
      <c r="H9619" s="24">
        <v>0.0</v>
      </c>
      <c r="I9619" s="24">
        <v>0.0</v>
      </c>
      <c r="J9619" s="24">
        <v>0.0</v>
      </c>
      <c r="K9619" s="23" t="s">
        <v>34</v>
      </c>
      <c r="L9619" s="25">
        <v>42054.98625</v>
      </c>
      <c r="M9619" s="28"/>
      <c r="N9619" s="26" t="s">
        <v>5752</v>
      </c>
      <c r="O9619" s="22" t="str">
        <f>HYPERLINK("https://pbs.twimg.com/profile_images/919747762345906181/R3fj25Fb_normal.jpg","View")</f>
        <v>View</v>
      </c>
      <c r="P9619" s="27"/>
    </row>
    <row r="9620">
      <c r="A9620" s="14">
        <v>43032.07950231481</v>
      </c>
      <c r="B9620" s="20" t="str">
        <f>HYPERLINK("https://twitter.com/TribuneWorld","@TribuneWorld")</f>
        <v>@TribuneWorld</v>
      </c>
      <c r="C9620" s="21" t="s">
        <v>5746</v>
      </c>
      <c r="D9620" s="21" t="s">
        <v>20992</v>
      </c>
      <c r="E9620" s="22" t="str">
        <f>HYPERLINK("https://twitter.com/TribuneWorld/status/922748118332002304","922748118332002304")</f>
        <v>922748118332002304</v>
      </c>
      <c r="F9620" s="23" t="s">
        <v>187</v>
      </c>
      <c r="G9620" s="24">
        <v>97.0</v>
      </c>
      <c r="H9620" s="24">
        <v>0.0</v>
      </c>
      <c r="I9620" s="24">
        <v>0.0</v>
      </c>
      <c r="J9620" s="24">
        <v>0.0</v>
      </c>
      <c r="K9620" s="23" t="s">
        <v>34</v>
      </c>
      <c r="L9620" s="25">
        <v>42502.35219907407</v>
      </c>
      <c r="M9620" s="26" t="s">
        <v>762</v>
      </c>
      <c r="N9620" s="26" t="s">
        <v>5748</v>
      </c>
      <c r="O9620" s="22" t="str">
        <f>HYPERLINK("https://pbs.twimg.com/profile_images/884044391823712256/EmtohZxH_normal.jpg","View")</f>
        <v>View</v>
      </c>
      <c r="P9620" s="27"/>
    </row>
    <row r="9621">
      <c r="A9621" s="14">
        <v>43032.07952546296</v>
      </c>
      <c r="B9621" s="20" t="str">
        <f>HYPERLINK("https://twitter.com/Jonathan_Webb_","@Jonathan_Webb_")</f>
        <v>@Jonathan_Webb_</v>
      </c>
      <c r="C9621" s="21" t="s">
        <v>20993</v>
      </c>
      <c r="D9621" s="21" t="s">
        <v>17677</v>
      </c>
      <c r="E9621" s="22" t="str">
        <f>HYPERLINK("https://twitter.com/Jonathan_Webb_/status/922748124543647744","922748124543647744")</f>
        <v>922748124543647744</v>
      </c>
      <c r="F9621" s="23" t="s">
        <v>39</v>
      </c>
      <c r="G9621" s="24">
        <v>180.0</v>
      </c>
      <c r="H9621" s="24">
        <v>218.0</v>
      </c>
      <c r="I9621" s="24">
        <v>13.0</v>
      </c>
      <c r="J9621" s="24">
        <v>0.0</v>
      </c>
      <c r="K9621" s="23" t="s">
        <v>34</v>
      </c>
      <c r="L9621" s="25">
        <v>40877.09050925926</v>
      </c>
      <c r="M9621" s="26" t="s">
        <v>3693</v>
      </c>
      <c r="N9621" s="26" t="s">
        <v>20994</v>
      </c>
      <c r="O9621" s="22" t="str">
        <f>HYPERLINK("https://pbs.twimg.com/profile_images/870146259390091264/wiiTXhmC_normal.jpg","View")</f>
        <v>View</v>
      </c>
      <c r="P9621" s="27"/>
    </row>
    <row r="9622">
      <c r="A9622" s="14">
        <v>43032.07953703703</v>
      </c>
      <c r="B9622" s="20" t="str">
        <f>HYPERLINK("https://twitter.com/ImNewIndia_","@ImNewIndia_")</f>
        <v>@ImNewIndia_</v>
      </c>
      <c r="C9622" s="21" t="s">
        <v>2365</v>
      </c>
      <c r="D9622" s="21" t="s">
        <v>42</v>
      </c>
      <c r="E9622" s="22" t="str">
        <f>HYPERLINK("https://twitter.com/ImNewIndia_/status/922748127190310913","922748127190310913")</f>
        <v>922748127190310913</v>
      </c>
      <c r="F9622" s="23" t="s">
        <v>33</v>
      </c>
      <c r="G9622" s="24">
        <v>7456.0</v>
      </c>
      <c r="H9622" s="24">
        <v>75.0</v>
      </c>
      <c r="I9622" s="24">
        <v>8501.0</v>
      </c>
      <c r="J9622" s="24">
        <v>0.0</v>
      </c>
      <c r="K9622" s="23" t="s">
        <v>34</v>
      </c>
      <c r="L9622" s="25">
        <v>41106.95402777778</v>
      </c>
      <c r="M9622" s="26" t="s">
        <v>204</v>
      </c>
      <c r="N9622" s="26" t="s">
        <v>20995</v>
      </c>
      <c r="O9622" s="22" t="str">
        <f>HYPERLINK("https://pbs.twimg.com/profile_images/860894517972443136/dUD9nrf2_normal.jpg","View")</f>
        <v>View</v>
      </c>
      <c r="P9622" s="27"/>
    </row>
    <row r="9623">
      <c r="A9623" s="14">
        <v>43032.07981481482</v>
      </c>
      <c r="B9623" s="20" t="str">
        <f>HYPERLINK("https://twitter.com/gmjZJFWCPIqdl3L","@gmjZJFWCPIqdl3L")</f>
        <v>@gmjZJFWCPIqdl3L</v>
      </c>
      <c r="C9623" s="21" t="s">
        <v>20996</v>
      </c>
      <c r="D9623" s="21" t="s">
        <v>3530</v>
      </c>
      <c r="E9623" s="22" t="str">
        <f>HYPERLINK("https://twitter.com/gmjZJFWCPIqdl3L/status/922748229543792641","922748229543792641")</f>
        <v>922748229543792641</v>
      </c>
      <c r="F9623" s="23" t="s">
        <v>55</v>
      </c>
      <c r="G9623" s="24">
        <v>1.0</v>
      </c>
      <c r="H9623" s="24">
        <v>36.0</v>
      </c>
      <c r="I9623" s="24">
        <v>56.0</v>
      </c>
      <c r="J9623" s="24">
        <v>0.0</v>
      </c>
      <c r="K9623" s="23" t="s">
        <v>34</v>
      </c>
      <c r="L9623" s="25">
        <v>43000.235185185185</v>
      </c>
      <c r="M9623" s="28"/>
      <c r="N9623" s="28"/>
      <c r="O9623" s="22" t="str">
        <f>HYPERLINK("https://abs.twimg.com/sticky/default_profile_images/default_profile_normal.png","View")</f>
        <v>View</v>
      </c>
      <c r="P9623" s="27"/>
    </row>
    <row r="9624">
      <c r="A9624" s="14">
        <v>43032.08002314815</v>
      </c>
      <c r="B9624" s="20" t="str">
        <f>HYPERLINK("https://twitter.com/birichinoinvest","@birichinoinvest")</f>
        <v>@birichinoinvest</v>
      </c>
      <c r="C9624" s="21" t="s">
        <v>20997</v>
      </c>
      <c r="D9624" s="21" t="s">
        <v>20998</v>
      </c>
      <c r="E9624" s="22" t="str">
        <f>HYPERLINK("https://twitter.com/birichinoinvest/status/922748306190630913","922748306190630913")</f>
        <v>922748306190630913</v>
      </c>
      <c r="F9624" s="23" t="s">
        <v>55</v>
      </c>
      <c r="G9624" s="24">
        <v>2.0</v>
      </c>
      <c r="H9624" s="24">
        <v>0.0</v>
      </c>
      <c r="I9624" s="24">
        <v>0.0</v>
      </c>
      <c r="J9624" s="24">
        <v>0.0</v>
      </c>
      <c r="K9624" s="23" t="s">
        <v>34</v>
      </c>
      <c r="L9624" s="25">
        <v>41230.34453703704</v>
      </c>
      <c r="M9624" s="28"/>
      <c r="N9624" s="28"/>
      <c r="O9624" s="22" t="str">
        <f>HYPERLINK("https://pbs.twimg.com/profile_images/854274811396313088/w132bi7o_normal.jpg","View")</f>
        <v>View</v>
      </c>
      <c r="P9624" s="27"/>
    </row>
    <row r="9625">
      <c r="A9625" s="14">
        <v>43032.080300925925</v>
      </c>
      <c r="B9625" s="20" t="str">
        <f>HYPERLINK("https://twitter.com/sdQinJapan","@sdQinJapan")</f>
        <v>@sdQinJapan</v>
      </c>
      <c r="C9625" s="21" t="s">
        <v>20999</v>
      </c>
      <c r="D9625" s="21" t="s">
        <v>17677</v>
      </c>
      <c r="E9625" s="22" t="str">
        <f>HYPERLINK("https://twitter.com/sdQinJapan/status/922748407445274629","922748407445274629")</f>
        <v>922748407445274629</v>
      </c>
      <c r="F9625" s="23" t="s">
        <v>39</v>
      </c>
      <c r="G9625" s="24">
        <v>433.0</v>
      </c>
      <c r="H9625" s="24">
        <v>508.0</v>
      </c>
      <c r="I9625" s="24">
        <v>13.0</v>
      </c>
      <c r="J9625" s="24">
        <v>0.0</v>
      </c>
      <c r="K9625" s="23" t="s">
        <v>34</v>
      </c>
      <c r="L9625" s="25">
        <v>40320.144525462965</v>
      </c>
      <c r="M9625" s="26" t="s">
        <v>21000</v>
      </c>
      <c r="N9625" s="26" t="s">
        <v>21001</v>
      </c>
      <c r="O9625" s="22" t="str">
        <f>HYPERLINK("https://pbs.twimg.com/profile_images/417223172362993664/brCWcBGt_normal.jpeg","View")</f>
        <v>View</v>
      </c>
      <c r="P9625" s="27"/>
    </row>
    <row r="9626">
      <c r="A9626" s="14">
        <v>43032.08060185185</v>
      </c>
      <c r="B9626" s="20" t="str">
        <f>HYPERLINK("https://twitter.com/conejitonoel","@conejitonoel")</f>
        <v>@conejitonoel</v>
      </c>
      <c r="C9626" s="21" t="s">
        <v>8897</v>
      </c>
      <c r="D9626" s="21" t="s">
        <v>1731</v>
      </c>
      <c r="E9626" s="22" t="str">
        <f>HYPERLINK("https://twitter.com/conejitonoel/status/922748516631396353","922748516631396353")</f>
        <v>922748516631396353</v>
      </c>
      <c r="F9626" s="23" t="s">
        <v>230</v>
      </c>
      <c r="G9626" s="24">
        <v>668.0</v>
      </c>
      <c r="H9626" s="24">
        <v>97.0</v>
      </c>
      <c r="I9626" s="24">
        <v>6.0</v>
      </c>
      <c r="J9626" s="24">
        <v>0.0</v>
      </c>
      <c r="K9626" s="23" t="s">
        <v>34</v>
      </c>
      <c r="L9626" s="25">
        <v>40723.19652777778</v>
      </c>
      <c r="M9626" s="26" t="s">
        <v>271</v>
      </c>
      <c r="N9626" s="26" t="s">
        <v>8898</v>
      </c>
      <c r="O9626" s="22" t="str">
        <f>HYPERLINK("https://pbs.twimg.com/profile_images/894728723680829440/dsPrCOvM_normal.jpg","View")</f>
        <v>View</v>
      </c>
      <c r="P9626" s="27"/>
    </row>
    <row r="9627">
      <c r="A9627" s="14">
        <v>43032.080925925926</v>
      </c>
      <c r="B9627" s="20" t="str">
        <f>HYPERLINK("https://twitter.com/ahirkarshan061","@ahirkarshan061")</f>
        <v>@ahirkarshan061</v>
      </c>
      <c r="C9627" s="21" t="s">
        <v>21002</v>
      </c>
      <c r="D9627" s="21" t="s">
        <v>42</v>
      </c>
      <c r="E9627" s="22" t="str">
        <f>HYPERLINK("https://twitter.com/ahirkarshan061/status/922748631689527296","922748631689527296")</f>
        <v>922748631689527296</v>
      </c>
      <c r="F9627" s="23" t="s">
        <v>33</v>
      </c>
      <c r="G9627" s="24">
        <v>350.0</v>
      </c>
      <c r="H9627" s="24">
        <v>114.0</v>
      </c>
      <c r="I9627" s="24">
        <v>8501.0</v>
      </c>
      <c r="J9627" s="24">
        <v>0.0</v>
      </c>
      <c r="K9627" s="23" t="s">
        <v>34</v>
      </c>
      <c r="L9627" s="25">
        <v>42136.9966087963</v>
      </c>
      <c r="M9627" s="26" t="s">
        <v>21003</v>
      </c>
      <c r="N9627" s="26" t="s">
        <v>21004</v>
      </c>
      <c r="O9627" s="22" t="str">
        <f>HYPERLINK("https://pbs.twimg.com/profile_images/739135653254860800/WVomqLqz_normal.jpg","View")</f>
        <v>View</v>
      </c>
      <c r="P9627" s="27"/>
    </row>
    <row r="9628">
      <c r="A9628" s="14">
        <v>43032.08100694444</v>
      </c>
      <c r="B9628" s="20" t="str">
        <f>HYPERLINK("https://twitter.com/prithivkumar","@prithivkumar")</f>
        <v>@prithivkumar</v>
      </c>
      <c r="C9628" s="21" t="s">
        <v>21005</v>
      </c>
      <c r="D9628" s="21" t="s">
        <v>42</v>
      </c>
      <c r="E9628" s="22" t="str">
        <f>HYPERLINK("https://twitter.com/prithivkumar/status/922748663817834497","922748663817834497")</f>
        <v>922748663817834497</v>
      </c>
      <c r="F9628" s="23" t="s">
        <v>39</v>
      </c>
      <c r="G9628" s="24">
        <v>318.0</v>
      </c>
      <c r="H9628" s="24">
        <v>2773.0</v>
      </c>
      <c r="I9628" s="24">
        <v>8501.0</v>
      </c>
      <c r="J9628" s="24">
        <v>0.0</v>
      </c>
      <c r="K9628" s="23" t="s">
        <v>34</v>
      </c>
      <c r="L9628" s="25">
        <v>39917.37966435185</v>
      </c>
      <c r="M9628" s="26" t="s">
        <v>21006</v>
      </c>
      <c r="N9628" s="26" t="s">
        <v>21007</v>
      </c>
      <c r="O9628" s="22" t="str">
        <f>HYPERLINK("https://pbs.twimg.com/profile_images/909148845317042176/K0c7Kc8w_normal.jpg","View")</f>
        <v>View</v>
      </c>
      <c r="P9628" s="27"/>
    </row>
    <row r="9629">
      <c r="A9629" s="14">
        <v>43032.08131944445</v>
      </c>
      <c r="B9629" s="20" t="str">
        <f>HYPERLINK("https://twitter.com/conejitonoel","@conejitonoel")</f>
        <v>@conejitonoel</v>
      </c>
      <c r="C9629" s="21" t="s">
        <v>8897</v>
      </c>
      <c r="D9629" s="21" t="s">
        <v>18788</v>
      </c>
      <c r="E9629" s="22" t="str">
        <f>HYPERLINK("https://twitter.com/conejitonoel/status/922748774841139200","922748774841139200")</f>
        <v>922748774841139200</v>
      </c>
      <c r="F9629" s="23" t="s">
        <v>230</v>
      </c>
      <c r="G9629" s="24">
        <v>668.0</v>
      </c>
      <c r="H9629" s="24">
        <v>97.0</v>
      </c>
      <c r="I9629" s="24">
        <v>28.0</v>
      </c>
      <c r="J9629" s="24">
        <v>0.0</v>
      </c>
      <c r="K9629" s="23" t="s">
        <v>34</v>
      </c>
      <c r="L9629" s="25">
        <v>40723.19652777778</v>
      </c>
      <c r="M9629" s="26" t="s">
        <v>271</v>
      </c>
      <c r="N9629" s="26" t="s">
        <v>8898</v>
      </c>
      <c r="O9629" s="22" t="str">
        <f>HYPERLINK("https://pbs.twimg.com/profile_images/894728723680829440/dsPrCOvM_normal.jpg","View")</f>
        <v>View</v>
      </c>
      <c r="P9629" s="27"/>
    </row>
    <row r="9630">
      <c r="A9630" s="14">
        <v>43032.08135416667</v>
      </c>
      <c r="B9630" s="20" t="str">
        <f>HYPERLINK("https://twitter.com/vijaysinghbais1","@vijaysinghbais1")</f>
        <v>@vijaysinghbais1</v>
      </c>
      <c r="C9630" s="21" t="s">
        <v>21008</v>
      </c>
      <c r="D9630" s="21" t="s">
        <v>42</v>
      </c>
      <c r="E9630" s="22" t="str">
        <f>HYPERLINK("https://twitter.com/vijaysinghbais1/status/922748786891354112","922748786891354112")</f>
        <v>922748786891354112</v>
      </c>
      <c r="F9630" s="23" t="s">
        <v>33</v>
      </c>
      <c r="G9630" s="24">
        <v>286.0</v>
      </c>
      <c r="H9630" s="24">
        <v>290.0</v>
      </c>
      <c r="I9630" s="24">
        <v>8501.0</v>
      </c>
      <c r="J9630" s="24">
        <v>0.0</v>
      </c>
      <c r="K9630" s="23" t="s">
        <v>34</v>
      </c>
      <c r="L9630" s="25">
        <v>40812.852847222224</v>
      </c>
      <c r="M9630" s="26" t="s">
        <v>21009</v>
      </c>
      <c r="N9630" s="26" t="s">
        <v>21010</v>
      </c>
      <c r="O9630" s="22" t="str">
        <f>HYPERLINK("https://pbs.twimg.com/profile_images/883683129382232065/RPPXB-pp_normal.jpg","View")</f>
        <v>View</v>
      </c>
      <c r="P9630" s="27"/>
    </row>
    <row r="9631">
      <c r="A9631" s="14">
        <v>43032.081412037034</v>
      </c>
      <c r="B9631" s="20" t="str">
        <f>HYPERLINK("https://twitter.com/conejitonoel","@conejitonoel")</f>
        <v>@conejitonoel</v>
      </c>
      <c r="C9631" s="21" t="s">
        <v>8897</v>
      </c>
      <c r="D9631" s="21" t="s">
        <v>3965</v>
      </c>
      <c r="E9631" s="22" t="str">
        <f>HYPERLINK("https://twitter.com/conejitonoel/status/922748809184026624","922748809184026624")</f>
        <v>922748809184026624</v>
      </c>
      <c r="F9631" s="23" t="s">
        <v>230</v>
      </c>
      <c r="G9631" s="24">
        <v>668.0</v>
      </c>
      <c r="H9631" s="24">
        <v>97.0</v>
      </c>
      <c r="I9631" s="24">
        <v>13.0</v>
      </c>
      <c r="J9631" s="24">
        <v>0.0</v>
      </c>
      <c r="K9631" s="23" t="s">
        <v>34</v>
      </c>
      <c r="L9631" s="25">
        <v>40723.19652777778</v>
      </c>
      <c r="M9631" s="26" t="s">
        <v>271</v>
      </c>
      <c r="N9631" s="26" t="s">
        <v>8898</v>
      </c>
      <c r="O9631" s="22" t="str">
        <f>HYPERLINK("https://pbs.twimg.com/profile_images/894728723680829440/dsPrCOvM_normal.jpg","View")</f>
        <v>View</v>
      </c>
      <c r="P9631" s="27"/>
    </row>
    <row r="9632">
      <c r="A9632" s="14">
        <v>43032.08153935186</v>
      </c>
      <c r="B9632" s="20" t="str">
        <f>HYPERLINK("https://twitter.com/jigs269","@jigs269")</f>
        <v>@jigs269</v>
      </c>
      <c r="C9632" s="21" t="s">
        <v>21011</v>
      </c>
      <c r="D9632" s="21" t="s">
        <v>42</v>
      </c>
      <c r="E9632" s="22" t="str">
        <f>HYPERLINK("https://twitter.com/jigs269/status/922748856659357697","922748856659357697")</f>
        <v>922748856659357697</v>
      </c>
      <c r="F9632" s="23" t="s">
        <v>33</v>
      </c>
      <c r="G9632" s="24">
        <v>119.0</v>
      </c>
      <c r="H9632" s="24">
        <v>251.0</v>
      </c>
      <c r="I9632" s="24">
        <v>8501.0</v>
      </c>
      <c r="J9632" s="24">
        <v>0.0</v>
      </c>
      <c r="K9632" s="23" t="s">
        <v>34</v>
      </c>
      <c r="L9632" s="25">
        <v>42717.37049768519</v>
      </c>
      <c r="M9632" s="26" t="s">
        <v>21012</v>
      </c>
      <c r="N9632" s="26" t="s">
        <v>21013</v>
      </c>
      <c r="O9632" s="22" t="str">
        <f>HYPERLINK("https://pbs.twimg.com/profile_images/840938299090976769/pghYOBCK_normal.jpg","View")</f>
        <v>View</v>
      </c>
      <c r="P9632" s="27"/>
    </row>
    <row r="9633">
      <c r="A9633" s="14">
        <v>43032.082025462965</v>
      </c>
      <c r="B9633" s="20" t="str">
        <f>HYPERLINK("https://twitter.com/modisenagzb","@modisenagzb")</f>
        <v>@modisenagzb</v>
      </c>
      <c r="C9633" s="21" t="s">
        <v>21014</v>
      </c>
      <c r="D9633" s="21" t="s">
        <v>18697</v>
      </c>
      <c r="E9633" s="22" t="str">
        <f>HYPERLINK("https://twitter.com/modisenagzb/status/922749030798467072","922749030798467072")</f>
        <v>922749030798467072</v>
      </c>
      <c r="F9633" s="23" t="s">
        <v>33</v>
      </c>
      <c r="G9633" s="24">
        <v>40.0</v>
      </c>
      <c r="H9633" s="24">
        <v>30.0</v>
      </c>
      <c r="I9633" s="24">
        <v>2.0</v>
      </c>
      <c r="J9633" s="24">
        <v>0.0</v>
      </c>
      <c r="K9633" s="23" t="s">
        <v>34</v>
      </c>
      <c r="L9633" s="25">
        <v>42437.10349537037</v>
      </c>
      <c r="M9633" s="28"/>
      <c r="N9633" s="28"/>
      <c r="O9633" s="22" t="str">
        <f>HYPERLINK("https://pbs.twimg.com/profile_images/707153464300666880/cvexm0zL_normal.jpg","View")</f>
        <v>View</v>
      </c>
      <c r="P9633" s="27"/>
    </row>
    <row r="9634">
      <c r="A9634" s="14">
        <v>43032.08209490741</v>
      </c>
      <c r="B9634" s="20" t="str">
        <f>HYPERLINK("https://twitter.com/i__Global","@i__Global")</f>
        <v>@i__Global</v>
      </c>
      <c r="C9634" s="21" t="s">
        <v>9685</v>
      </c>
      <c r="D9634" s="21" t="s">
        <v>13343</v>
      </c>
      <c r="E9634" s="22" t="str">
        <f>HYPERLINK("https://twitter.com/i__Global/status/922749054584545280","922749054584545280")</f>
        <v>922749054584545280</v>
      </c>
      <c r="F9634" s="23" t="s">
        <v>187</v>
      </c>
      <c r="G9634" s="24">
        <v>320.0</v>
      </c>
      <c r="H9634" s="24">
        <v>541.0</v>
      </c>
      <c r="I9634" s="24">
        <v>0.0</v>
      </c>
      <c r="J9634" s="24">
        <v>0.0</v>
      </c>
      <c r="K9634" s="23" t="s">
        <v>34</v>
      </c>
      <c r="L9634" s="25">
        <v>41975.42964120371</v>
      </c>
      <c r="M9634" s="26" t="s">
        <v>2068</v>
      </c>
      <c r="N9634" s="28"/>
      <c r="O9634" s="22" t="str">
        <f>HYPERLINK("https://pbs.twimg.com/profile_images/539846499421532160/RQ0XgLb__normal.png","View")</f>
        <v>View</v>
      </c>
      <c r="P9634" s="27"/>
    </row>
    <row r="9635">
      <c r="A9635" s="14">
        <v>43032.08209490741</v>
      </c>
      <c r="B9635" s="20" t="str">
        <f>HYPERLINK("https://twitter.com/patelsanju24","@patelsanju24")</f>
        <v>@patelsanju24</v>
      </c>
      <c r="C9635" s="21" t="s">
        <v>21015</v>
      </c>
      <c r="D9635" s="21" t="s">
        <v>42</v>
      </c>
      <c r="E9635" s="22" t="str">
        <f>HYPERLINK("https://twitter.com/patelsanju24/status/922749056476102656","922749056476102656")</f>
        <v>922749056476102656</v>
      </c>
      <c r="F9635" s="23" t="s">
        <v>33</v>
      </c>
      <c r="G9635" s="24">
        <v>116.0</v>
      </c>
      <c r="H9635" s="24">
        <v>333.0</v>
      </c>
      <c r="I9635" s="24">
        <v>8501.0</v>
      </c>
      <c r="J9635" s="24">
        <v>0.0</v>
      </c>
      <c r="K9635" s="23" t="s">
        <v>34</v>
      </c>
      <c r="L9635" s="25">
        <v>40945.351956018516</v>
      </c>
      <c r="M9635" s="28"/>
      <c r="N9635" s="28"/>
      <c r="O9635" s="22" t="str">
        <f>HYPERLINK("https://pbs.twimg.com/profile_images/838476613998170113/PEQA8Id4_normal.jpg","View")</f>
        <v>View</v>
      </c>
      <c r="P9635" s="27"/>
    </row>
    <row r="9636">
      <c r="A9636" s="14">
        <v>43032.08271990741</v>
      </c>
      <c r="B9636" s="20" t="str">
        <f>HYPERLINK("https://twitter.com/DilipEkbote","@DilipEkbote")</f>
        <v>@DilipEkbote</v>
      </c>
      <c r="C9636" s="21" t="s">
        <v>21016</v>
      </c>
      <c r="D9636" s="21" t="s">
        <v>42</v>
      </c>
      <c r="E9636" s="22" t="str">
        <f>HYPERLINK("https://twitter.com/DilipEkbote/status/922749282234585088","922749282234585088")</f>
        <v>922749282234585088</v>
      </c>
      <c r="F9636" s="23" t="s">
        <v>39</v>
      </c>
      <c r="G9636" s="24">
        <v>60.0</v>
      </c>
      <c r="H9636" s="24">
        <v>80.0</v>
      </c>
      <c r="I9636" s="24">
        <v>8501.0</v>
      </c>
      <c r="J9636" s="24">
        <v>0.0</v>
      </c>
      <c r="K9636" s="23" t="s">
        <v>34</v>
      </c>
      <c r="L9636" s="25">
        <v>42184.161944444444</v>
      </c>
      <c r="M9636" s="28"/>
      <c r="N9636" s="26" t="s">
        <v>21017</v>
      </c>
      <c r="O9636" s="22" t="str">
        <f>HYPERLINK("https://pbs.twimg.com/profile_images/759801655978110977/YIisb5mU_normal.jpg","View")</f>
        <v>View</v>
      </c>
      <c r="P9636" s="27"/>
    </row>
    <row r="9637">
      <c r="A9637" s="14">
        <v>43032.08336805555</v>
      </c>
      <c r="B9637" s="20" t="str">
        <f>HYPERLINK("https://twitter.com/hedgedhungarian","@hedgedhungarian")</f>
        <v>@hedgedhungarian</v>
      </c>
      <c r="C9637" s="21" t="s">
        <v>21018</v>
      </c>
      <c r="D9637" s="21" t="s">
        <v>20958</v>
      </c>
      <c r="E9637" s="22" t="str">
        <f>HYPERLINK("https://twitter.com/hedgedhungarian/status/922749517820149760","922749517820149760")</f>
        <v>922749517820149760</v>
      </c>
      <c r="F9637" s="23" t="s">
        <v>33</v>
      </c>
      <c r="G9637" s="24">
        <v>122.0</v>
      </c>
      <c r="H9637" s="24">
        <v>530.0</v>
      </c>
      <c r="I9637" s="24">
        <v>3.0</v>
      </c>
      <c r="J9637" s="24">
        <v>0.0</v>
      </c>
      <c r="K9637" s="23" t="s">
        <v>34</v>
      </c>
      <c r="L9637" s="25">
        <v>43007.53509259259</v>
      </c>
      <c r="M9637" s="26" t="s">
        <v>2305</v>
      </c>
      <c r="N9637" s="26" t="s">
        <v>21019</v>
      </c>
      <c r="O9637" s="22" t="str">
        <f>HYPERLINK("https://pbs.twimg.com/profile_images/913861642609344512/jv152iWN_normal.jpg","View")</f>
        <v>View</v>
      </c>
      <c r="P9637" s="27"/>
    </row>
    <row r="9638">
      <c r="A9638" s="14">
        <v>43032.08361111111</v>
      </c>
      <c r="B9638" s="20" t="str">
        <f>HYPERLINK("https://twitter.com/YukiCrossCandy","@YukiCrossCandy")</f>
        <v>@YukiCrossCandy</v>
      </c>
      <c r="C9638" s="21" t="s">
        <v>21020</v>
      </c>
      <c r="D9638" s="21" t="s">
        <v>21021</v>
      </c>
      <c r="E9638" s="22" t="str">
        <f>HYPERLINK("https://twitter.com/YukiCrossCandy/status/922749604998742022","922749604998742022")</f>
        <v>922749604998742022</v>
      </c>
      <c r="F9638" s="23" t="s">
        <v>33</v>
      </c>
      <c r="G9638" s="24">
        <v>11222.0</v>
      </c>
      <c r="H9638" s="24">
        <v>10841.0</v>
      </c>
      <c r="I9638" s="24">
        <v>0.0</v>
      </c>
      <c r="J9638" s="24">
        <v>2.0</v>
      </c>
      <c r="K9638" s="23" t="s">
        <v>34</v>
      </c>
      <c r="L9638" s="25">
        <v>42713.04678240741</v>
      </c>
      <c r="M9638" s="28"/>
      <c r="N9638" s="26" t="s">
        <v>21022</v>
      </c>
      <c r="O9638" s="22" t="str">
        <f>HYPERLINK("https://pbs.twimg.com/profile_images/812642913037357056/59SEHVVs_normal.jpg","View")</f>
        <v>View</v>
      </c>
      <c r="P9638" s="27"/>
    </row>
    <row r="9639">
      <c r="A9639" s="14">
        <v>43032.08371527778</v>
      </c>
      <c r="B9639" s="20" t="str">
        <f>HYPERLINK("https://twitter.com/IAPDefenseForum","@IAPDefenseForum")</f>
        <v>@IAPDefenseForum</v>
      </c>
      <c r="C9639" s="21" t="s">
        <v>20955</v>
      </c>
      <c r="D9639" s="21" t="s">
        <v>21023</v>
      </c>
      <c r="E9639" s="22" t="str">
        <f>HYPERLINK("https://twitter.com/IAPDefenseForum/status/922749645268357120","922749645268357120")</f>
        <v>922749645268357120</v>
      </c>
      <c r="F9639" s="23" t="s">
        <v>427</v>
      </c>
      <c r="G9639" s="24">
        <v>192.0</v>
      </c>
      <c r="H9639" s="24">
        <v>1793.0</v>
      </c>
      <c r="I9639" s="24">
        <v>0.0</v>
      </c>
      <c r="J9639" s="24">
        <v>0.0</v>
      </c>
      <c r="K9639" s="23" t="s">
        <v>34</v>
      </c>
      <c r="L9639" s="25">
        <v>42278.659212962964</v>
      </c>
      <c r="M9639" s="28"/>
      <c r="N9639" s="28"/>
      <c r="O9639" s="22" t="str">
        <f>HYPERLINK("https://pbs.twimg.com/profile_images/778472399830339584/te0FDAAN_normal.jpg","View")</f>
        <v>View</v>
      </c>
      <c r="P9639" s="27"/>
    </row>
    <row r="9640">
      <c r="A9640" s="14">
        <v>43032.08373842592</v>
      </c>
      <c r="B9640" s="20" t="str">
        <f>HYPERLINK("https://twitter.com/DeccanAbroad","@DeccanAbroad")</f>
        <v>@DeccanAbroad</v>
      </c>
      <c r="C9640" s="21" t="s">
        <v>21024</v>
      </c>
      <c r="D9640" s="21" t="s">
        <v>21025</v>
      </c>
      <c r="E9640" s="22" t="str">
        <f>HYPERLINK("https://twitter.com/DeccanAbroad/status/922749652608409600","922749652608409600")</f>
        <v>922749652608409600</v>
      </c>
      <c r="F9640" s="30" t="s">
        <v>191</v>
      </c>
      <c r="G9640" s="24">
        <v>239.0</v>
      </c>
      <c r="H9640" s="24">
        <v>17.0</v>
      </c>
      <c r="I9640" s="24">
        <v>0.0</v>
      </c>
      <c r="J9640" s="24">
        <v>0.0</v>
      </c>
      <c r="K9640" s="23" t="s">
        <v>34</v>
      </c>
      <c r="L9640" s="25">
        <v>42376.50902777778</v>
      </c>
      <c r="M9640" s="26" t="s">
        <v>4083</v>
      </c>
      <c r="N9640" s="26" t="s">
        <v>21024</v>
      </c>
      <c r="O9640" s="22" t="str">
        <f>HYPERLINK("https://pbs.twimg.com/profile_images/685193087111442432/h9lO-fFM_normal.jpg","View")</f>
        <v>View</v>
      </c>
      <c r="P9640" s="27"/>
    </row>
    <row r="9641">
      <c r="A9641" s="14">
        <v>43032.083750000005</v>
      </c>
      <c r="B9641" s="20" t="str">
        <f>HYPERLINK("https://twitter.com/amrishjgd","@amrishjgd")</f>
        <v>@amrishjgd</v>
      </c>
      <c r="C9641" s="21" t="s">
        <v>21026</v>
      </c>
      <c r="D9641" s="21" t="s">
        <v>42</v>
      </c>
      <c r="E9641" s="22" t="str">
        <f>HYPERLINK("https://twitter.com/amrishjgd/status/922749655217143808","922749655217143808")</f>
        <v>922749655217143808</v>
      </c>
      <c r="F9641" s="23" t="s">
        <v>33</v>
      </c>
      <c r="G9641" s="24">
        <v>469.0</v>
      </c>
      <c r="H9641" s="24">
        <v>921.0</v>
      </c>
      <c r="I9641" s="24">
        <v>8501.0</v>
      </c>
      <c r="J9641" s="24">
        <v>0.0</v>
      </c>
      <c r="K9641" s="23" t="s">
        <v>34</v>
      </c>
      <c r="L9641" s="25">
        <v>40426.914675925924</v>
      </c>
      <c r="M9641" s="26" t="s">
        <v>2310</v>
      </c>
      <c r="N9641" s="28"/>
      <c r="O9641" s="22" t="str">
        <f>HYPERLINK("https://pbs.twimg.com/profile_images/521392742455193600/3C5jJtJt_normal.jpeg","View")</f>
        <v>View</v>
      </c>
      <c r="P9641" s="27"/>
    </row>
    <row r="9642">
      <c r="A9642" s="14">
        <v>43032.08420138889</v>
      </c>
      <c r="B9642" s="20" t="str">
        <f>HYPERLINK("https://twitter.com/inews2day","@inews2day")</f>
        <v>@inews2day</v>
      </c>
      <c r="C9642" s="21" t="s">
        <v>539</v>
      </c>
      <c r="D9642" s="21" t="s">
        <v>13293</v>
      </c>
      <c r="E9642" s="22" t="str">
        <f>HYPERLINK("https://twitter.com/inews2day/status/922749818375753728","922749818375753728")</f>
        <v>922749818375753728</v>
      </c>
      <c r="F9642" s="23" t="s">
        <v>187</v>
      </c>
      <c r="G9642" s="24">
        <v>487.0</v>
      </c>
      <c r="H9642" s="24">
        <v>0.0</v>
      </c>
      <c r="I9642" s="24">
        <v>0.0</v>
      </c>
      <c r="J9642" s="24">
        <v>0.0</v>
      </c>
      <c r="K9642" s="23" t="s">
        <v>34</v>
      </c>
      <c r="L9642" s="25">
        <v>42055.11097222222</v>
      </c>
      <c r="M9642" s="26" t="s">
        <v>541</v>
      </c>
      <c r="N9642" s="26" t="s">
        <v>542</v>
      </c>
      <c r="O9642" s="22" t="str">
        <f>HYPERLINK("https://pbs.twimg.com/profile_images/568731081323466752/-oyEQpj9_normal.jpeg","View")</f>
        <v>View</v>
      </c>
      <c r="P9642" s="27"/>
    </row>
    <row r="9643">
      <c r="A9643" s="14">
        <v>43032.084490740745</v>
      </c>
      <c r="B9643" s="20" t="str">
        <f>HYPERLINK("https://twitter.com/JOSTARWORLDSTAR","@JOSTARWORLDSTAR")</f>
        <v>@JOSTARWORLDSTAR</v>
      </c>
      <c r="C9643" s="21" t="s">
        <v>21027</v>
      </c>
      <c r="D9643" s="21" t="s">
        <v>21028</v>
      </c>
      <c r="E9643" s="22" t="str">
        <f>HYPERLINK("https://twitter.com/JOSTARWORLDSTAR/status/922749922331389954","922749922331389954")</f>
        <v>922749922331389954</v>
      </c>
      <c r="F9643" s="30" t="s">
        <v>659</v>
      </c>
      <c r="G9643" s="24">
        <v>565.0</v>
      </c>
      <c r="H9643" s="24">
        <v>1550.0</v>
      </c>
      <c r="I9643" s="24">
        <v>0.0</v>
      </c>
      <c r="J9643" s="24">
        <v>0.0</v>
      </c>
      <c r="K9643" s="23" t="s">
        <v>34</v>
      </c>
      <c r="L9643" s="25">
        <v>40358.71582175926</v>
      </c>
      <c r="M9643" s="26" t="s">
        <v>21029</v>
      </c>
      <c r="N9643" s="26" t="s">
        <v>21030</v>
      </c>
      <c r="O9643" s="22" t="str">
        <f>HYPERLINK("https://pbs.twimg.com/profile_images/647159078175666176/AKxzwJgt_normal.jpg","View")</f>
        <v>View</v>
      </c>
      <c r="P9643" s="27"/>
    </row>
    <row r="9644">
      <c r="A9644" s="14">
        <v>43032.08689814815</v>
      </c>
      <c r="B9644" s="20" t="str">
        <f>HYPERLINK("https://twitter.com/davidwagnerasia","@davidwagnerasia")</f>
        <v>@davidwagnerasia</v>
      </c>
      <c r="C9644" s="21" t="s">
        <v>21031</v>
      </c>
      <c r="D9644" s="21" t="s">
        <v>21032</v>
      </c>
      <c r="E9644" s="22" t="str">
        <f>HYPERLINK("https://twitter.com/davidwagnerasia/status/922750796235706368","922750796235706368")</f>
        <v>922750796235706368</v>
      </c>
      <c r="F9644" s="23" t="s">
        <v>1570</v>
      </c>
      <c r="G9644" s="24">
        <v>547.0</v>
      </c>
      <c r="H9644" s="24">
        <v>627.0</v>
      </c>
      <c r="I9644" s="24">
        <v>0.0</v>
      </c>
      <c r="J9644" s="24">
        <v>0.0</v>
      </c>
      <c r="K9644" s="23" t="s">
        <v>34</v>
      </c>
      <c r="L9644" s="25">
        <v>40529.593460648146</v>
      </c>
      <c r="M9644" s="26" t="s">
        <v>21033</v>
      </c>
      <c r="N9644" s="26" t="s">
        <v>21034</v>
      </c>
      <c r="O9644" s="22" t="str">
        <f>HYPERLINK("https://pbs.twimg.com/profile_images/752116802465861632/_tiDU_lm_normal.jpg","View")</f>
        <v>View</v>
      </c>
      <c r="P9644" s="27"/>
    </row>
    <row r="9645">
      <c r="A9645" s="14">
        <v>43032.087222222224</v>
      </c>
      <c r="B9645" s="20" t="str">
        <f>HYPERLINK("https://twitter.com/psimpsonmorgan","@psimpsonmorgan")</f>
        <v>@psimpsonmorgan</v>
      </c>
      <c r="C9645" s="21" t="s">
        <v>21035</v>
      </c>
      <c r="D9645" s="21" t="s">
        <v>21036</v>
      </c>
      <c r="E9645" s="22" t="str">
        <f>HYPERLINK("https://twitter.com/psimpsonmorgan/status/922750912484950016","922750912484950016")</f>
        <v>922750912484950016</v>
      </c>
      <c r="F9645" s="23" t="s">
        <v>39</v>
      </c>
      <c r="G9645" s="24">
        <v>3674.0</v>
      </c>
      <c r="H9645" s="24">
        <v>5002.0</v>
      </c>
      <c r="I9645" s="24">
        <v>0.0</v>
      </c>
      <c r="J9645" s="24">
        <v>0.0</v>
      </c>
      <c r="K9645" s="23" t="s">
        <v>34</v>
      </c>
      <c r="L9645" s="25">
        <v>41195.56793981481</v>
      </c>
      <c r="M9645" s="26" t="s">
        <v>21037</v>
      </c>
      <c r="N9645" s="26" t="s">
        <v>21038</v>
      </c>
      <c r="O9645" s="22" t="str">
        <f>HYPERLINK("https://pbs.twimg.com/profile_images/2758077254/026422835a30e0c30d1340d2bdf4ea60_normal.jpeg","View")</f>
        <v>View</v>
      </c>
      <c r="P9645" s="27"/>
    </row>
    <row r="9646">
      <c r="A9646" s="14">
        <v>43032.08835648149</v>
      </c>
      <c r="B9646" s="20" t="str">
        <f>HYPERLINK("https://twitter.com/wdamidoinhere","@wdamidoinhere")</f>
        <v>@wdamidoinhere</v>
      </c>
      <c r="C9646" s="21" t="s">
        <v>21039</v>
      </c>
      <c r="D9646" s="21" t="s">
        <v>42</v>
      </c>
      <c r="E9646" s="22" t="str">
        <f>HYPERLINK("https://twitter.com/wdamidoinhere/status/922751323556032513","922751323556032513")</f>
        <v>922751323556032513</v>
      </c>
      <c r="F9646" s="23" t="s">
        <v>55</v>
      </c>
      <c r="G9646" s="24">
        <v>163.0</v>
      </c>
      <c r="H9646" s="24">
        <v>97.0</v>
      </c>
      <c r="I9646" s="24">
        <v>8501.0</v>
      </c>
      <c r="J9646" s="24">
        <v>0.0</v>
      </c>
      <c r="K9646" s="23" t="s">
        <v>34</v>
      </c>
      <c r="L9646" s="25">
        <v>40119.94894675926</v>
      </c>
      <c r="M9646" s="28"/>
      <c r="N9646" s="28"/>
      <c r="O9646" s="22" t="str">
        <f>HYPERLINK("https://abs.twimg.com/sticky/default_profile_images/default_profile_normal.png","View")</f>
        <v>View</v>
      </c>
      <c r="P9646" s="27"/>
    </row>
    <row r="9647">
      <c r="A9647" s="14">
        <v>43032.08917824074</v>
      </c>
      <c r="B9647" s="20" t="str">
        <f>HYPERLINK("https://twitter.com/robynegee","@robynegee")</f>
        <v>@robynegee</v>
      </c>
      <c r="C9647" s="21" t="s">
        <v>21040</v>
      </c>
      <c r="D9647" s="21" t="s">
        <v>12974</v>
      </c>
      <c r="E9647" s="22" t="str">
        <f>HYPERLINK("https://twitter.com/robynegee/status/922751622912102400","922751622912102400")</f>
        <v>922751622912102400</v>
      </c>
      <c r="F9647" s="23" t="s">
        <v>230</v>
      </c>
      <c r="G9647" s="24">
        <v>1248.0</v>
      </c>
      <c r="H9647" s="24">
        <v>1176.0</v>
      </c>
      <c r="I9647" s="24">
        <v>110.0</v>
      </c>
      <c r="J9647" s="24">
        <v>0.0</v>
      </c>
      <c r="K9647" s="23" t="s">
        <v>34</v>
      </c>
      <c r="L9647" s="25">
        <v>41446.42828703704</v>
      </c>
      <c r="M9647" s="26" t="s">
        <v>21041</v>
      </c>
      <c r="N9647" s="26" t="s">
        <v>21042</v>
      </c>
      <c r="O9647" s="22" t="str">
        <f>HYPERLINK("https://pbs.twimg.com/profile_images/836536707046596609/yDMgp7cp_normal.jpg","View")</f>
        <v>View</v>
      </c>
      <c r="P9647" s="27"/>
    </row>
    <row r="9648">
      <c r="A9648" s="14">
        <v>43032.08918981481</v>
      </c>
      <c r="B9648" s="20" t="str">
        <f>HYPERLINK("https://twitter.com/ID_Report","@ID_Report")</f>
        <v>@ID_Report</v>
      </c>
      <c r="C9648" s="21" t="s">
        <v>21043</v>
      </c>
      <c r="D9648" s="21" t="s">
        <v>42</v>
      </c>
      <c r="E9648" s="22" t="str">
        <f>HYPERLINK("https://twitter.com/ID_Report/status/922751628825968640","922751628825968640")</f>
        <v>922751628825968640</v>
      </c>
      <c r="F9648" s="23" t="s">
        <v>33</v>
      </c>
      <c r="G9648" s="24">
        <v>4198.0</v>
      </c>
      <c r="H9648" s="24">
        <v>557.0</v>
      </c>
      <c r="I9648" s="24">
        <v>8501.0</v>
      </c>
      <c r="J9648" s="24">
        <v>0.0</v>
      </c>
      <c r="K9648" s="23" t="s">
        <v>34</v>
      </c>
      <c r="L9648" s="25">
        <v>41925.26905092593</v>
      </c>
      <c r="M9648" s="28"/>
      <c r="N9648" s="26" t="s">
        <v>21044</v>
      </c>
      <c r="O9648" s="22" t="str">
        <f>HYPERLINK("https://pbs.twimg.com/profile_images/892916215672315904/XmoUKvT4_normal.jpg","View")</f>
        <v>View</v>
      </c>
      <c r="P9648" s="27"/>
    </row>
    <row r="9649">
      <c r="A9649" s="14">
        <v>43032.08972222223</v>
      </c>
      <c r="B9649" s="20" t="str">
        <f>HYPERLINK("https://twitter.com/chompie97","@chompie97")</f>
        <v>@chompie97</v>
      </c>
      <c r="C9649" s="21" t="s">
        <v>21045</v>
      </c>
      <c r="D9649" s="21" t="s">
        <v>19621</v>
      </c>
      <c r="E9649" s="22" t="str">
        <f>HYPERLINK("https://twitter.com/chompie97/status/922751818635010048","922751818635010048")</f>
        <v>922751818635010048</v>
      </c>
      <c r="F9649" s="23" t="s">
        <v>39</v>
      </c>
      <c r="G9649" s="24">
        <v>25172.0</v>
      </c>
      <c r="H9649" s="24">
        <v>24748.0</v>
      </c>
      <c r="I9649" s="24">
        <v>18.0</v>
      </c>
      <c r="J9649" s="24">
        <v>0.0</v>
      </c>
      <c r="K9649" s="23" t="s">
        <v>34</v>
      </c>
      <c r="L9649" s="25">
        <v>40269.86597222222</v>
      </c>
      <c r="M9649" s="26" t="s">
        <v>6779</v>
      </c>
      <c r="N9649" s="26" t="s">
        <v>21046</v>
      </c>
      <c r="O9649" s="22" t="str">
        <f>HYPERLINK("https://pbs.twimg.com/profile_images/877398377503248384/9JXmRkNg_normal.jpg","View")</f>
        <v>View</v>
      </c>
      <c r="P9649" s="27"/>
    </row>
    <row r="9650">
      <c r="A9650" s="14">
        <v>43032.09087962963</v>
      </c>
      <c r="B9650" s="20" t="str">
        <f>HYPERLINK("https://twitter.com/sajijacob123","@sajijacob123")</f>
        <v>@sajijacob123</v>
      </c>
      <c r="C9650" s="21" t="s">
        <v>21047</v>
      </c>
      <c r="D9650" s="21" t="s">
        <v>42</v>
      </c>
      <c r="E9650" s="22" t="str">
        <f>HYPERLINK("https://twitter.com/sajijacob123/status/922752239801741313","922752239801741313")</f>
        <v>922752239801741313</v>
      </c>
      <c r="F9650" s="23" t="s">
        <v>39</v>
      </c>
      <c r="G9650" s="24">
        <v>235.0</v>
      </c>
      <c r="H9650" s="24">
        <v>91.0</v>
      </c>
      <c r="I9650" s="24">
        <v>8501.0</v>
      </c>
      <c r="J9650" s="24">
        <v>0.0</v>
      </c>
      <c r="K9650" s="23" t="s">
        <v>34</v>
      </c>
      <c r="L9650" s="25">
        <v>40075.51966435185</v>
      </c>
      <c r="M9650" s="26" t="s">
        <v>4398</v>
      </c>
      <c r="N9650" s="26" t="s">
        <v>21048</v>
      </c>
      <c r="O9650" s="22" t="str">
        <f>HYPERLINK("https://pbs.twimg.com/profile_images/787534359146266625/R9BkPN9B_normal.jpg","View")</f>
        <v>View</v>
      </c>
      <c r="P9650" s="27"/>
    </row>
    <row r="9651">
      <c r="A9651" s="14">
        <v>43032.09189814815</v>
      </c>
      <c r="B9651" s="20" t="str">
        <f>HYPERLINK("https://twitter.com/ioriginal__","@ioriginal__")</f>
        <v>@ioriginal__</v>
      </c>
      <c r="C9651" s="21" t="s">
        <v>21049</v>
      </c>
      <c r="D9651" s="21" t="s">
        <v>32</v>
      </c>
      <c r="E9651" s="22" t="str">
        <f>HYPERLINK("https://twitter.com/ioriginal__/status/922752607373979654","922752607373979654")</f>
        <v>922752607373979654</v>
      </c>
      <c r="F9651" s="23" t="s">
        <v>33</v>
      </c>
      <c r="G9651" s="24">
        <v>443.0</v>
      </c>
      <c r="H9651" s="24">
        <v>559.0</v>
      </c>
      <c r="I9651" s="24">
        <v>471.0</v>
      </c>
      <c r="J9651" s="24">
        <v>0.0</v>
      </c>
      <c r="K9651" s="23" t="s">
        <v>34</v>
      </c>
      <c r="L9651" s="25">
        <v>41961.16159722222</v>
      </c>
      <c r="M9651" s="26" t="s">
        <v>6483</v>
      </c>
      <c r="N9651" s="26" t="s">
        <v>21050</v>
      </c>
      <c r="O9651" s="22" t="str">
        <f>HYPERLINK("https://pbs.twimg.com/profile_images/876545767464423425/3UKb8gvl_normal.jpg","View")</f>
        <v>View</v>
      </c>
      <c r="P9651" s="27"/>
    </row>
    <row r="9652">
      <c r="A9652" s="14">
        <v>43032.091956018514</v>
      </c>
      <c r="B9652" s="20" t="str">
        <f>HYPERLINK("https://twitter.com/ClarisseClm","@ClarisseClm")</f>
        <v>@ClarisseClm</v>
      </c>
      <c r="C9652" s="21" t="s">
        <v>21051</v>
      </c>
      <c r="D9652" s="21" t="s">
        <v>21052</v>
      </c>
      <c r="E9652" s="22" t="str">
        <f>HYPERLINK("https://twitter.com/ClarisseClm/status/922752630362951680","922752630362951680")</f>
        <v>922752630362951680</v>
      </c>
      <c r="F9652" s="23" t="s">
        <v>33</v>
      </c>
      <c r="G9652" s="24">
        <v>205.0</v>
      </c>
      <c r="H9652" s="24">
        <v>199.0</v>
      </c>
      <c r="I9652" s="24">
        <v>1.0</v>
      </c>
      <c r="J9652" s="24">
        <v>0.0</v>
      </c>
      <c r="K9652" s="23" t="s">
        <v>34</v>
      </c>
      <c r="L9652" s="25">
        <v>42013.16546296296</v>
      </c>
      <c r="M9652" s="26" t="s">
        <v>21053</v>
      </c>
      <c r="N9652" s="26" t="s">
        <v>21054</v>
      </c>
      <c r="O9652" s="22" t="str">
        <f>HYPERLINK("https://pbs.twimg.com/profile_images/798971998089216000/Al3Oe3E6_normal.jpg","View")</f>
        <v>View</v>
      </c>
      <c r="P9652" s="27"/>
    </row>
    <row r="9653">
      <c r="A9653" s="14">
        <v>43032.0922337963</v>
      </c>
      <c r="B9653" s="20" t="str">
        <f>HYPERLINK("https://twitter.com/ghost22090440","@ghost22090440")</f>
        <v>@ghost22090440</v>
      </c>
      <c r="C9653" s="21" t="s">
        <v>21055</v>
      </c>
      <c r="D9653" s="21" t="s">
        <v>21056</v>
      </c>
      <c r="E9653" s="22" t="str">
        <f>HYPERLINK("https://twitter.com/ghost22090440/status/922752729004630017","922752729004630017")</f>
        <v>922752729004630017</v>
      </c>
      <c r="F9653" s="23" t="s">
        <v>11960</v>
      </c>
      <c r="G9653" s="24">
        <v>24975.0</v>
      </c>
      <c r="H9653" s="24">
        <v>17394.0</v>
      </c>
      <c r="I9653" s="24">
        <v>0.0</v>
      </c>
      <c r="J9653" s="24">
        <v>0.0</v>
      </c>
      <c r="K9653" s="23" t="s">
        <v>34</v>
      </c>
      <c r="L9653" s="25">
        <v>40770.29425925926</v>
      </c>
      <c r="M9653" s="28"/>
      <c r="N9653" s="28"/>
      <c r="O9653" s="22" t="str">
        <f>HYPERLINK("https://pbs.twimg.com/profile_images/897078894771281922/g6sLPdEH_normal.jpg","View")</f>
        <v>View</v>
      </c>
      <c r="P9653" s="27"/>
    </row>
    <row r="9654">
      <c r="A9654" s="14">
        <v>43032.09336805556</v>
      </c>
      <c r="B9654" s="20" t="str">
        <f>HYPERLINK("https://twitter.com/sanpanje","@sanpanje")</f>
        <v>@sanpanje</v>
      </c>
      <c r="C9654" s="21" t="s">
        <v>21057</v>
      </c>
      <c r="D9654" s="21" t="s">
        <v>42</v>
      </c>
      <c r="E9654" s="22" t="str">
        <f>HYPERLINK("https://twitter.com/sanpanje/status/922753141405188096","922753141405188096")</f>
        <v>922753141405188096</v>
      </c>
      <c r="F9654" s="23" t="s">
        <v>33</v>
      </c>
      <c r="G9654" s="24">
        <v>1963.0</v>
      </c>
      <c r="H9654" s="24">
        <v>1889.0</v>
      </c>
      <c r="I9654" s="24">
        <v>8501.0</v>
      </c>
      <c r="J9654" s="24">
        <v>0.0</v>
      </c>
      <c r="K9654" s="23" t="s">
        <v>34</v>
      </c>
      <c r="L9654" s="25">
        <v>42737.34931712963</v>
      </c>
      <c r="M9654" s="26" t="s">
        <v>21058</v>
      </c>
      <c r="N9654" s="26" t="s">
        <v>21059</v>
      </c>
      <c r="O9654" s="22" t="str">
        <f>HYPERLINK("https://pbs.twimg.com/profile_images/915235153051394049/H-2AYBXk_normal.jpg","View")</f>
        <v>View</v>
      </c>
      <c r="P9654" s="27"/>
    </row>
    <row r="9655">
      <c r="A9655" s="14">
        <v>43032.093622685185</v>
      </c>
      <c r="B9655" s="20" t="str">
        <f>HYPERLINK("https://twitter.com/sarangparadkar","@sarangparadkar")</f>
        <v>@sarangparadkar</v>
      </c>
      <c r="C9655" s="21" t="s">
        <v>21060</v>
      </c>
      <c r="D9655" s="21" t="s">
        <v>42</v>
      </c>
      <c r="E9655" s="22" t="str">
        <f>HYPERLINK("https://twitter.com/sarangparadkar/status/922753233080041472","922753233080041472")</f>
        <v>922753233080041472</v>
      </c>
      <c r="F9655" s="23" t="s">
        <v>39</v>
      </c>
      <c r="G9655" s="24">
        <v>127.0</v>
      </c>
      <c r="H9655" s="24">
        <v>12.0</v>
      </c>
      <c r="I9655" s="24">
        <v>8501.0</v>
      </c>
      <c r="J9655" s="24">
        <v>0.0</v>
      </c>
      <c r="K9655" s="23" t="s">
        <v>34</v>
      </c>
      <c r="L9655" s="25">
        <v>42332.2516087963</v>
      </c>
      <c r="M9655" s="26" t="s">
        <v>21061</v>
      </c>
      <c r="N9655" s="28"/>
      <c r="O9655" s="22" t="str">
        <f>HYPERLINK("https://pbs.twimg.com/profile_images/669176656167370756/tTLWW2aX_normal.jpg","View")</f>
        <v>View</v>
      </c>
      <c r="P9655" s="27"/>
    </row>
    <row r="9656">
      <c r="A9656" s="14">
        <v>43032.09375</v>
      </c>
      <c r="B9656" s="20" t="str">
        <f>HYPERLINK("https://twitter.com/KRTpro_News","@KRTpro_News")</f>
        <v>@KRTpro_News</v>
      </c>
      <c r="C9656" s="21" t="s">
        <v>12550</v>
      </c>
      <c r="D9656" s="21" t="s">
        <v>21062</v>
      </c>
      <c r="E9656" s="22" t="str">
        <f>HYPERLINK("https://twitter.com/KRTpro_News/status/922753280069038080","922753280069038080")</f>
        <v>922753280069038080</v>
      </c>
      <c r="F9656" s="23" t="s">
        <v>769</v>
      </c>
      <c r="G9656" s="24">
        <v>10108.0</v>
      </c>
      <c r="H9656" s="24">
        <v>6259.0</v>
      </c>
      <c r="I9656" s="24">
        <v>0.0</v>
      </c>
      <c r="J9656" s="24">
        <v>0.0</v>
      </c>
      <c r="K9656" s="23" t="s">
        <v>34</v>
      </c>
      <c r="L9656" s="25">
        <v>40533.98488425926</v>
      </c>
      <c r="M9656" s="26" t="s">
        <v>334</v>
      </c>
      <c r="N9656" s="26" t="s">
        <v>12552</v>
      </c>
      <c r="O9656" s="22" t="str">
        <f>HYPERLINK("https://pbs.twimg.com/profile_images/826028903542169601/IHhMM5JS_normal.jpg","View")</f>
        <v>View</v>
      </c>
      <c r="P9656" s="27"/>
    </row>
    <row r="9657">
      <c r="A9657" s="14">
        <v>43032.09449074074</v>
      </c>
      <c r="B9657" s="20" t="str">
        <f>HYPERLINK("https://twitter.com/GangulyPujita","@GangulyPujita")</f>
        <v>@GangulyPujita</v>
      </c>
      <c r="C9657" s="21" t="s">
        <v>21063</v>
      </c>
      <c r="D9657" s="21" t="s">
        <v>42</v>
      </c>
      <c r="E9657" s="22" t="str">
        <f>HYPERLINK("https://twitter.com/GangulyPujita/status/922753547682193408","922753547682193408")</f>
        <v>922753547682193408</v>
      </c>
      <c r="F9657" s="23" t="s">
        <v>33</v>
      </c>
      <c r="G9657" s="24">
        <v>42.0</v>
      </c>
      <c r="H9657" s="24">
        <v>50.0</v>
      </c>
      <c r="I9657" s="24">
        <v>8501.0</v>
      </c>
      <c r="J9657" s="24">
        <v>0.0</v>
      </c>
      <c r="K9657" s="23" t="s">
        <v>34</v>
      </c>
      <c r="L9657" s="25">
        <v>42870.04630787037</v>
      </c>
      <c r="M9657" s="26" t="s">
        <v>1137</v>
      </c>
      <c r="N9657" s="26" t="s">
        <v>21064</v>
      </c>
      <c r="O9657" s="22" t="str">
        <f>HYPERLINK("https://pbs.twimg.com/profile_images/921719299030499329/0nPIr8HH_normal.jpg","View")</f>
        <v>View</v>
      </c>
      <c r="P9657" s="27"/>
    </row>
    <row r="9658">
      <c r="A9658" s="14">
        <v>43032.094502314816</v>
      </c>
      <c r="B9658" s="20" t="str">
        <f>HYPERLINK("https://twitter.com/yokoohyama9012","@yokoohyama9012")</f>
        <v>@yokoohyama9012</v>
      </c>
      <c r="C9658" s="21" t="s">
        <v>21065</v>
      </c>
      <c r="D9658" s="21" t="s">
        <v>42</v>
      </c>
      <c r="E9658" s="22" t="str">
        <f>HYPERLINK("https://twitter.com/yokoohyama9012/status/922753551977156608","922753551977156608")</f>
        <v>922753551977156608</v>
      </c>
      <c r="F9658" s="23" t="s">
        <v>33</v>
      </c>
      <c r="G9658" s="24">
        <v>2018.0</v>
      </c>
      <c r="H9658" s="24">
        <v>2520.0</v>
      </c>
      <c r="I9658" s="24">
        <v>8501.0</v>
      </c>
      <c r="J9658" s="24">
        <v>0.0</v>
      </c>
      <c r="K9658" s="23" t="s">
        <v>34</v>
      </c>
      <c r="L9658" s="25">
        <v>42916.03524305555</v>
      </c>
      <c r="M9658" s="26" t="s">
        <v>19335</v>
      </c>
      <c r="N9658" s="26" t="s">
        <v>21066</v>
      </c>
      <c r="O9658" s="22" t="str">
        <f>HYPERLINK("https://pbs.twimg.com/profile_images/889134381062922240/t-QbKu8w_normal.jpg","View")</f>
        <v>View</v>
      </c>
      <c r="P9658" s="27"/>
    </row>
    <row r="9659">
      <c r="A9659" s="14">
        <v>43032.09458333333</v>
      </c>
      <c r="B9659" s="20" t="str">
        <f>HYPERLINK("https://twitter.com/FXstreetReports","@FXstreetReports")</f>
        <v>@FXstreetReports</v>
      </c>
      <c r="C9659" s="21" t="s">
        <v>21067</v>
      </c>
      <c r="D9659" s="21" t="s">
        <v>21068</v>
      </c>
      <c r="E9659" s="22" t="str">
        <f>HYPERLINK("https://twitter.com/FXstreetReports/status/922753580083367937","922753580083367937")</f>
        <v>922753580083367937</v>
      </c>
      <c r="F9659" s="23" t="s">
        <v>21069</v>
      </c>
      <c r="G9659" s="24">
        <v>9362.0</v>
      </c>
      <c r="H9659" s="24">
        <v>11.0</v>
      </c>
      <c r="I9659" s="24">
        <v>0.0</v>
      </c>
      <c r="J9659" s="24">
        <v>0.0</v>
      </c>
      <c r="K9659" s="23" t="s">
        <v>34</v>
      </c>
      <c r="L9659" s="25">
        <v>40834.344305555554</v>
      </c>
      <c r="M9659" s="26" t="s">
        <v>13543</v>
      </c>
      <c r="N9659" s="26" t="s">
        <v>21070</v>
      </c>
      <c r="O9659" s="22" t="str">
        <f>HYPERLINK("https://pbs.twimg.com/profile_images/468318162937593857/BQSIfATW_normal.png","View")</f>
        <v>View</v>
      </c>
      <c r="P9659" s="27"/>
    </row>
    <row r="9660">
      <c r="A9660" s="14">
        <v>43032.094664351855</v>
      </c>
      <c r="B9660" s="20" t="str">
        <f>HYPERLINK("https://twitter.com/vinaykc1","@vinaykc1")</f>
        <v>@vinaykc1</v>
      </c>
      <c r="C9660" s="21" t="s">
        <v>21071</v>
      </c>
      <c r="D9660" s="21" t="s">
        <v>42</v>
      </c>
      <c r="E9660" s="22" t="str">
        <f>HYPERLINK("https://twitter.com/vinaykc1/status/922753611385335808","922753611385335808")</f>
        <v>922753611385335808</v>
      </c>
      <c r="F9660" s="23" t="s">
        <v>33</v>
      </c>
      <c r="G9660" s="24">
        <v>34.0</v>
      </c>
      <c r="H9660" s="24">
        <v>136.0</v>
      </c>
      <c r="I9660" s="24">
        <v>8501.0</v>
      </c>
      <c r="J9660" s="24">
        <v>0.0</v>
      </c>
      <c r="K9660" s="23" t="s">
        <v>34</v>
      </c>
      <c r="L9660" s="25">
        <v>40485.41979166667</v>
      </c>
      <c r="M9660" s="26" t="s">
        <v>21072</v>
      </c>
      <c r="N9660" s="26" t="s">
        <v>21073</v>
      </c>
      <c r="O9660" s="22" t="str">
        <f>HYPERLINK("https://pbs.twimg.com/profile_images/881845638249406465/seqwa6xz_normal.jpg","View")</f>
        <v>View</v>
      </c>
      <c r="P9660" s="27"/>
    </row>
    <row r="9661">
      <c r="A9661" s="14">
        <v>43032.094918981486</v>
      </c>
      <c r="B9661" s="20" t="str">
        <f>HYPERLINK("https://twitter.com/Nishant_IamThat","@Nishant_IamThat")</f>
        <v>@Nishant_IamThat</v>
      </c>
      <c r="C9661" s="21" t="s">
        <v>21074</v>
      </c>
      <c r="D9661" s="21" t="s">
        <v>42</v>
      </c>
      <c r="E9661" s="22" t="str">
        <f>HYPERLINK("https://twitter.com/Nishant_IamThat/status/922753705388204033","922753705388204033")</f>
        <v>922753705388204033</v>
      </c>
      <c r="F9661" s="23" t="s">
        <v>33</v>
      </c>
      <c r="G9661" s="24">
        <v>130.0</v>
      </c>
      <c r="H9661" s="24">
        <v>291.0</v>
      </c>
      <c r="I9661" s="24">
        <v>8501.0</v>
      </c>
      <c r="J9661" s="24">
        <v>0.0</v>
      </c>
      <c r="K9661" s="23" t="s">
        <v>34</v>
      </c>
      <c r="L9661" s="25">
        <v>39946.94479166667</v>
      </c>
      <c r="M9661" s="26" t="s">
        <v>1162</v>
      </c>
      <c r="N9661" s="26" t="s">
        <v>21075</v>
      </c>
      <c r="O9661" s="22" t="str">
        <f>HYPERLINK("https://pbs.twimg.com/profile_images/861285499238965248/-_YPfvdh_normal.jpg","View")</f>
        <v>View</v>
      </c>
      <c r="P9661" s="27"/>
    </row>
    <row r="9662">
      <c r="A9662" s="14">
        <v>43032.095196759255</v>
      </c>
      <c r="B9662" s="20" t="str">
        <f>HYPERLINK("https://twitter.com/PARVATHINP","@PARVATHINP")</f>
        <v>@PARVATHINP</v>
      </c>
      <c r="C9662" s="21" t="s">
        <v>21076</v>
      </c>
      <c r="D9662" s="21" t="s">
        <v>42</v>
      </c>
      <c r="E9662" s="22" t="str">
        <f>HYPERLINK("https://twitter.com/PARVATHINP/status/922753803668959233","922753803668959233")</f>
        <v>922753803668959233</v>
      </c>
      <c r="F9662" s="23" t="s">
        <v>55</v>
      </c>
      <c r="G9662" s="24">
        <v>346.0</v>
      </c>
      <c r="H9662" s="24">
        <v>526.0</v>
      </c>
      <c r="I9662" s="24">
        <v>8501.0</v>
      </c>
      <c r="J9662" s="24">
        <v>0.0</v>
      </c>
      <c r="K9662" s="23" t="s">
        <v>34</v>
      </c>
      <c r="L9662" s="25">
        <v>40125.26974537037</v>
      </c>
      <c r="M9662" s="26" t="s">
        <v>21077</v>
      </c>
      <c r="N9662" s="26" t="s">
        <v>21078</v>
      </c>
      <c r="O9662" s="22" t="str">
        <f>HYPERLINK("https://pbs.twimg.com/profile_images/835309518246420480/lLeww3af_normal.jpg","View")</f>
        <v>View</v>
      </c>
      <c r="P9662" s="27"/>
    </row>
    <row r="9663">
      <c r="A9663" s="14">
        <v>43032.09597222222</v>
      </c>
      <c r="B9663" s="20" t="str">
        <f>HYPERLINK("https://twitter.com/anilgoyaltsk","@anilgoyaltsk")</f>
        <v>@anilgoyaltsk</v>
      </c>
      <c r="C9663" s="21" t="s">
        <v>21079</v>
      </c>
      <c r="D9663" s="21" t="s">
        <v>42</v>
      </c>
      <c r="E9663" s="22" t="str">
        <f>HYPERLINK("https://twitter.com/anilgoyaltsk/status/922754087204012032","922754087204012032")</f>
        <v>922754087204012032</v>
      </c>
      <c r="F9663" s="23" t="s">
        <v>33</v>
      </c>
      <c r="G9663" s="24">
        <v>31.0</v>
      </c>
      <c r="H9663" s="24">
        <v>105.0</v>
      </c>
      <c r="I9663" s="24">
        <v>8501.0</v>
      </c>
      <c r="J9663" s="24">
        <v>0.0</v>
      </c>
      <c r="K9663" s="23" t="s">
        <v>34</v>
      </c>
      <c r="L9663" s="25">
        <v>42849.28233796296</v>
      </c>
      <c r="M9663" s="26" t="s">
        <v>14072</v>
      </c>
      <c r="N9663" s="26" t="s">
        <v>21080</v>
      </c>
      <c r="O9663" s="22" t="str">
        <f>HYPERLINK("https://pbs.twimg.com/profile_images/856529068916785153/n6dqlezv_normal.jpg","View")</f>
        <v>View</v>
      </c>
      <c r="P9663" s="27"/>
    </row>
    <row r="9664">
      <c r="A9664" s="14">
        <v>43032.09657407408</v>
      </c>
      <c r="B9664" s="20" t="str">
        <f>HYPERLINK("https://twitter.com/AlirzaSohrabi","@AlirzaSohrabi")</f>
        <v>@AlirzaSohrabi</v>
      </c>
      <c r="C9664" s="21" t="s">
        <v>21081</v>
      </c>
      <c r="D9664" s="21" t="s">
        <v>21082</v>
      </c>
      <c r="E9664" s="22" t="str">
        <f>HYPERLINK("https://twitter.com/AlirzaSohrabi/status/922754305135853568","922754305135853568")</f>
        <v>922754305135853568</v>
      </c>
      <c r="F9664" s="30" t="s">
        <v>411</v>
      </c>
      <c r="G9664" s="24">
        <v>146.0</v>
      </c>
      <c r="H9664" s="24">
        <v>107.0</v>
      </c>
      <c r="I9664" s="24">
        <v>0.0</v>
      </c>
      <c r="J9664" s="24">
        <v>0.0</v>
      </c>
      <c r="K9664" s="23" t="s">
        <v>34</v>
      </c>
      <c r="L9664" s="25">
        <v>41784.37640046296</v>
      </c>
      <c r="M9664" s="26" t="s">
        <v>6118</v>
      </c>
      <c r="N9664" s="26" t="s">
        <v>21083</v>
      </c>
      <c r="O9664" s="22" t="str">
        <f>HYPERLINK("https://pbs.twimg.com/profile_images/470596644354813952/JUl11kwp_normal.png","View")</f>
        <v>View</v>
      </c>
      <c r="P9664" s="27"/>
    </row>
    <row r="9665">
      <c r="A9665" s="14">
        <v>43032.096608796295</v>
      </c>
      <c r="B9665" s="20" t="str">
        <f>HYPERLINK("https://twitter.com/Saeid_Salehi1","@Saeid_Salehi1")</f>
        <v>@Saeid_Salehi1</v>
      </c>
      <c r="C9665" s="21" t="s">
        <v>21084</v>
      </c>
      <c r="D9665" s="21" t="s">
        <v>21085</v>
      </c>
      <c r="E9665" s="22" t="str">
        <f>HYPERLINK("https://twitter.com/Saeid_Salehi1/status/922754314489159680","922754314489159680")</f>
        <v>922754314489159680</v>
      </c>
      <c r="F9665" s="30" t="s">
        <v>411</v>
      </c>
      <c r="G9665" s="24">
        <v>265.0</v>
      </c>
      <c r="H9665" s="24">
        <v>477.0</v>
      </c>
      <c r="I9665" s="24">
        <v>0.0</v>
      </c>
      <c r="J9665" s="24">
        <v>0.0</v>
      </c>
      <c r="K9665" s="23" t="s">
        <v>34</v>
      </c>
      <c r="L9665" s="25">
        <v>41688.432708333334</v>
      </c>
      <c r="M9665" s="28"/>
      <c r="N9665" s="28"/>
      <c r="O9665" s="22" t="str">
        <f>HYPERLINK("https://pbs.twimg.com/profile_images/435843717488840704/daewShNP_normal.jpeg","View")</f>
        <v>View</v>
      </c>
      <c r="P9665" s="27"/>
    </row>
    <row r="9666">
      <c r="A9666" s="14">
        <v>43032.096608796295</v>
      </c>
      <c r="B9666" s="20" t="str">
        <f>HYPERLINK("https://twitter.com/MohamadGorgi","@MohamadGorgi")</f>
        <v>@MohamadGorgi</v>
      </c>
      <c r="C9666" s="21" t="s">
        <v>21086</v>
      </c>
      <c r="D9666" s="21" t="s">
        <v>21087</v>
      </c>
      <c r="E9666" s="22" t="str">
        <f>HYPERLINK("https://twitter.com/MohamadGorgi/status/922754315105722369","922754315105722369")</f>
        <v>922754315105722369</v>
      </c>
      <c r="F9666" s="30" t="s">
        <v>411</v>
      </c>
      <c r="G9666" s="24">
        <v>886.0</v>
      </c>
      <c r="H9666" s="24">
        <v>441.0</v>
      </c>
      <c r="I9666" s="24">
        <v>1.0</v>
      </c>
      <c r="J9666" s="24">
        <v>0.0</v>
      </c>
      <c r="K9666" s="23" t="s">
        <v>34</v>
      </c>
      <c r="L9666" s="25">
        <v>41523.47246527778</v>
      </c>
      <c r="M9666" s="26" t="s">
        <v>40</v>
      </c>
      <c r="N9666" s="26" t="s">
        <v>21088</v>
      </c>
      <c r="O9666" s="22" t="str">
        <f>HYPERLINK("https://pbs.twimg.com/profile_images/378800000420301789/e0951385c0ae37dc0c4327cb2e008dd4_normal.jpeg","View")</f>
        <v>View</v>
      </c>
      <c r="P9666" s="27"/>
    </row>
    <row r="9667">
      <c r="A9667" s="14">
        <v>43032.096608796295</v>
      </c>
      <c r="B9667" s="20" t="str">
        <f>HYPERLINK("https://twitter.com/merlyn_hamer","@merlyn_hamer")</f>
        <v>@merlyn_hamer</v>
      </c>
      <c r="C9667" s="21" t="s">
        <v>21089</v>
      </c>
      <c r="D9667" s="21" t="s">
        <v>21090</v>
      </c>
      <c r="E9667" s="22" t="str">
        <f>HYPERLINK("https://twitter.com/merlyn_hamer/status/922754315604844544","922754315604844544")</f>
        <v>922754315604844544</v>
      </c>
      <c r="F9667" s="30" t="s">
        <v>411</v>
      </c>
      <c r="G9667" s="24">
        <v>299.0</v>
      </c>
      <c r="H9667" s="24">
        <v>125.0</v>
      </c>
      <c r="I9667" s="24">
        <v>0.0</v>
      </c>
      <c r="J9667" s="24">
        <v>0.0</v>
      </c>
      <c r="K9667" s="23" t="s">
        <v>34</v>
      </c>
      <c r="L9667" s="25">
        <v>41854.46530092593</v>
      </c>
      <c r="M9667" s="26" t="s">
        <v>905</v>
      </c>
      <c r="N9667" s="26" t="s">
        <v>21091</v>
      </c>
      <c r="O9667" s="22" t="str">
        <f>HYPERLINK("https://pbs.twimg.com/profile_images/499604337740378114/T0tXQsXA_normal.jpeg","View")</f>
        <v>View</v>
      </c>
      <c r="P9667" s="27"/>
    </row>
    <row r="9668">
      <c r="A9668" s="14">
        <v>43032.096608796295</v>
      </c>
      <c r="B9668" s="20" t="str">
        <f>HYPERLINK("https://twitter.com/rezasafaei88","@rezasafaei88")</f>
        <v>@rezasafaei88</v>
      </c>
      <c r="C9668" s="21" t="s">
        <v>21092</v>
      </c>
      <c r="D9668" s="21" t="s">
        <v>21093</v>
      </c>
      <c r="E9668" s="22" t="str">
        <f>HYPERLINK("https://twitter.com/rezasafaei88/status/922754315885801472","922754315885801472")</f>
        <v>922754315885801472</v>
      </c>
      <c r="F9668" s="30" t="s">
        <v>411</v>
      </c>
      <c r="G9668" s="24">
        <v>395.0</v>
      </c>
      <c r="H9668" s="24">
        <v>263.0</v>
      </c>
      <c r="I9668" s="24">
        <v>0.0</v>
      </c>
      <c r="J9668" s="24">
        <v>0.0</v>
      </c>
      <c r="K9668" s="23" t="s">
        <v>34</v>
      </c>
      <c r="L9668" s="25">
        <v>41546.54549768518</v>
      </c>
      <c r="M9668" s="28"/>
      <c r="N9668" s="28"/>
      <c r="O9668" s="22" t="str">
        <f>HYPERLINK("https://pbs.twimg.com/profile_images/378800000720934865/bfc0e91d337b43e3e9211431014bf3c4_normal.jpeg","View")</f>
        <v>View</v>
      </c>
      <c r="P9668" s="27"/>
    </row>
    <row r="9669">
      <c r="A9669" s="14">
        <v>43032.096608796295</v>
      </c>
      <c r="B9669" s="20" t="str">
        <f>HYPERLINK("https://twitter.com/freedom_2run","@freedom_2run")</f>
        <v>@freedom_2run</v>
      </c>
      <c r="C9669" s="21" t="s">
        <v>21094</v>
      </c>
      <c r="D9669" s="21" t="s">
        <v>21095</v>
      </c>
      <c r="E9669" s="22" t="str">
        <f>HYPERLINK("https://twitter.com/freedom_2run/status/922754316032606208","922754316032606208")</f>
        <v>922754316032606208</v>
      </c>
      <c r="F9669" s="30" t="s">
        <v>411</v>
      </c>
      <c r="G9669" s="24">
        <v>553.0</v>
      </c>
      <c r="H9669" s="24">
        <v>427.0</v>
      </c>
      <c r="I9669" s="24">
        <v>0.0</v>
      </c>
      <c r="J9669" s="24">
        <v>0.0</v>
      </c>
      <c r="K9669" s="23" t="s">
        <v>34</v>
      </c>
      <c r="L9669" s="25">
        <v>41566.96209490741</v>
      </c>
      <c r="M9669" s="26" t="s">
        <v>40</v>
      </c>
      <c r="N9669" s="26" t="s">
        <v>21088</v>
      </c>
      <c r="O9669" s="22" t="str">
        <f>HYPERLINK("https://pbs.twimg.com/profile_images/378800000622495320/c42501471d2623eb9de2608717399f60_normal.jpeg","View")</f>
        <v>View</v>
      </c>
      <c r="P9669" s="27"/>
    </row>
    <row r="9670">
      <c r="A9670" s="14">
        <v>43032.096608796295</v>
      </c>
      <c r="B9670" s="20" t="str">
        <f>HYPERLINK("https://twitter.com/amir_amin2014","@amir_amin2014")</f>
        <v>@amir_amin2014</v>
      </c>
      <c r="C9670" s="21" t="s">
        <v>21096</v>
      </c>
      <c r="D9670" s="21" t="s">
        <v>21097</v>
      </c>
      <c r="E9670" s="22" t="str">
        <f>HYPERLINK("https://twitter.com/amir_amin2014/status/922754316632338432","922754316632338432")</f>
        <v>922754316632338432</v>
      </c>
      <c r="F9670" s="30" t="s">
        <v>411</v>
      </c>
      <c r="G9670" s="24">
        <v>119.0</v>
      </c>
      <c r="H9670" s="24">
        <v>133.0</v>
      </c>
      <c r="I9670" s="24">
        <v>0.0</v>
      </c>
      <c r="J9670" s="24">
        <v>0.0</v>
      </c>
      <c r="K9670" s="23" t="s">
        <v>34</v>
      </c>
      <c r="L9670" s="25">
        <v>41776.385925925926</v>
      </c>
      <c r="M9670" s="26" t="s">
        <v>8333</v>
      </c>
      <c r="N9670" s="26" t="s">
        <v>21088</v>
      </c>
      <c r="O9670" s="22" t="str">
        <f>HYPERLINK("https://pbs.twimg.com/profile_images/470104719809982465/nTqkVRbN_normal.png","View")</f>
        <v>View</v>
      </c>
      <c r="P9670" s="27"/>
    </row>
    <row r="9671">
      <c r="A9671" s="14">
        <v>43032.096608796295</v>
      </c>
      <c r="B9671" s="20" t="str">
        <f>HYPERLINK("https://twitter.com/irane_Azad","@irane_Azad")</f>
        <v>@irane_Azad</v>
      </c>
      <c r="C9671" s="21" t="s">
        <v>21098</v>
      </c>
      <c r="D9671" s="21" t="s">
        <v>21099</v>
      </c>
      <c r="E9671" s="22" t="str">
        <f>HYPERLINK("https://twitter.com/irane_Azad/status/922754316892377088","922754316892377088")</f>
        <v>922754316892377088</v>
      </c>
      <c r="F9671" s="30" t="s">
        <v>411</v>
      </c>
      <c r="G9671" s="24">
        <v>3402.0</v>
      </c>
      <c r="H9671" s="24">
        <v>1350.0</v>
      </c>
      <c r="I9671" s="24">
        <v>79.0</v>
      </c>
      <c r="J9671" s="24">
        <v>1.0</v>
      </c>
      <c r="K9671" s="23" t="s">
        <v>34</v>
      </c>
      <c r="L9671" s="25">
        <v>41245.97122685185</v>
      </c>
      <c r="M9671" s="26" t="s">
        <v>68</v>
      </c>
      <c r="N9671" s="26" t="s">
        <v>21100</v>
      </c>
      <c r="O9671" s="22" t="str">
        <f>HYPERLINK("https://pbs.twimg.com/profile_images/2926888298/984f081eb602d138473fa319d747c270_normal.jpeg","View")</f>
        <v>View</v>
      </c>
      <c r="P9671" s="27"/>
    </row>
    <row r="9672">
      <c r="A9672" s="14">
        <v>43032.096608796295</v>
      </c>
      <c r="B9672" s="20" t="str">
        <f>HYPERLINK("https://twitter.com/AhmaeAghaei","@AhmaeAghaei")</f>
        <v>@AhmaeAghaei</v>
      </c>
      <c r="C9672" s="21" t="s">
        <v>21101</v>
      </c>
      <c r="D9672" s="21" t="s">
        <v>21102</v>
      </c>
      <c r="E9672" s="22" t="str">
        <f>HYPERLINK("https://twitter.com/AhmaeAghaei/status/922754317051760641","922754317051760641")</f>
        <v>922754317051760641</v>
      </c>
      <c r="F9672" s="30" t="s">
        <v>411</v>
      </c>
      <c r="G9672" s="24">
        <v>847.0</v>
      </c>
      <c r="H9672" s="24">
        <v>416.0</v>
      </c>
      <c r="I9672" s="24">
        <v>0.0</v>
      </c>
      <c r="J9672" s="24">
        <v>0.0</v>
      </c>
      <c r="K9672" s="23" t="s">
        <v>34</v>
      </c>
      <c r="L9672" s="25">
        <v>41518.07653935185</v>
      </c>
      <c r="M9672" s="26" t="s">
        <v>40</v>
      </c>
      <c r="N9672" s="26" t="s">
        <v>21088</v>
      </c>
      <c r="O9672" s="22" t="str">
        <f>HYPERLINK("https://pbs.twimg.com/profile_images/378800000401420223/524a1ad86dbffb8165e27bff2e80227d_normal.jpeg","View")</f>
        <v>View</v>
      </c>
      <c r="P9672" s="27"/>
    </row>
    <row r="9673">
      <c r="A9673" s="14">
        <v>43032.096608796295</v>
      </c>
      <c r="B9673" s="20" t="str">
        <f>HYPERLINK("https://twitter.com/FLYINGFREEIRAN","@FLYINGFREEIRAN")</f>
        <v>@FLYINGFREEIRAN</v>
      </c>
      <c r="C9673" s="21" t="s">
        <v>21103</v>
      </c>
      <c r="D9673" s="21" t="s">
        <v>21104</v>
      </c>
      <c r="E9673" s="22" t="str">
        <f>HYPERLINK("https://twitter.com/FLYINGFREEIRAN/status/922754317618053120","922754317618053120")</f>
        <v>922754317618053120</v>
      </c>
      <c r="F9673" s="30" t="s">
        <v>411</v>
      </c>
      <c r="G9673" s="24">
        <v>573.0</v>
      </c>
      <c r="H9673" s="24">
        <v>427.0</v>
      </c>
      <c r="I9673" s="24">
        <v>0.0</v>
      </c>
      <c r="J9673" s="24">
        <v>0.0</v>
      </c>
      <c r="K9673" s="23" t="s">
        <v>34</v>
      </c>
      <c r="L9673" s="25">
        <v>41544.9640162037</v>
      </c>
      <c r="M9673" s="26" t="s">
        <v>40</v>
      </c>
      <c r="N9673" s="26" t="s">
        <v>21105</v>
      </c>
      <c r="O9673" s="22" t="str">
        <f>HYPERLINK("https://pbs.twimg.com/profile_images/378800000517857152/d78bf77db3b84181cf5e51126c0c81ad_normal.jpeg","View")</f>
        <v>View</v>
      </c>
      <c r="P9673" s="27"/>
    </row>
    <row r="9674">
      <c r="A9674" s="14">
        <v>43032.09662037037</v>
      </c>
      <c r="B9674" s="20" t="str">
        <f>HYPERLINK("https://twitter.com/Mojahedineng","@Mojahedineng")</f>
        <v>@Mojahedineng</v>
      </c>
      <c r="C9674" s="21" t="s">
        <v>21106</v>
      </c>
      <c r="D9674" s="21" t="s">
        <v>21107</v>
      </c>
      <c r="E9674" s="22" t="str">
        <f>HYPERLINK("https://twitter.com/Mojahedineng/status/922754318351998976","922754318351998976")</f>
        <v>922754318351998976</v>
      </c>
      <c r="F9674" s="30" t="s">
        <v>411</v>
      </c>
      <c r="G9674" s="24">
        <v>10444.0</v>
      </c>
      <c r="H9674" s="24">
        <v>2.0</v>
      </c>
      <c r="I9674" s="24">
        <v>35.0</v>
      </c>
      <c r="J9674" s="24">
        <v>3.0</v>
      </c>
      <c r="K9674" s="23" t="s">
        <v>34</v>
      </c>
      <c r="L9674" s="25">
        <v>40026.47795138889</v>
      </c>
      <c r="M9674" s="26" t="s">
        <v>21108</v>
      </c>
      <c r="N9674" s="26" t="s">
        <v>21109</v>
      </c>
      <c r="O9674" s="22" t="str">
        <f>HYPERLINK("https://pbs.twimg.com/profile_images/3173295102/f160eefbf0125c34aa1195a31c897286_normal.jpeg","View")</f>
        <v>View</v>
      </c>
      <c r="P9674" s="27"/>
    </row>
    <row r="9675">
      <c r="A9675" s="14">
        <v>43032.09662037037</v>
      </c>
      <c r="B9675" s="20" t="str">
        <f>HYPERLINK("https://twitter.com/AliAsghareEmadi","@AliAsghareEmadi")</f>
        <v>@AliAsghareEmadi</v>
      </c>
      <c r="C9675" s="21" t="s">
        <v>21110</v>
      </c>
      <c r="D9675" s="21" t="s">
        <v>21111</v>
      </c>
      <c r="E9675" s="22" t="str">
        <f>HYPERLINK("https://twitter.com/AliAsghareEmadi/status/922754319899754497","922754319899754497")</f>
        <v>922754319899754497</v>
      </c>
      <c r="F9675" s="30" t="s">
        <v>411</v>
      </c>
      <c r="G9675" s="24">
        <v>761.0</v>
      </c>
      <c r="H9675" s="24">
        <v>408.0</v>
      </c>
      <c r="I9675" s="24">
        <v>0.0</v>
      </c>
      <c r="J9675" s="24">
        <v>0.0</v>
      </c>
      <c r="K9675" s="23" t="s">
        <v>34</v>
      </c>
      <c r="L9675" s="25">
        <v>41525.36434027778</v>
      </c>
      <c r="M9675" s="26" t="s">
        <v>40</v>
      </c>
      <c r="N9675" s="26" t="s">
        <v>21088</v>
      </c>
      <c r="O9675" s="22" t="str">
        <f>HYPERLINK("https://pbs.twimg.com/profile_images/378800000430529615/86d32d1c2a7dc69ef78c8816bbb08555_normal.jpeg","View")</f>
        <v>View</v>
      </c>
      <c r="P9675" s="27"/>
    </row>
    <row r="9676">
      <c r="A9676" s="14">
        <v>43032.09662037037</v>
      </c>
      <c r="B9676" s="20" t="str">
        <f>HYPERLINK("https://twitter.com/Rostam_Dastan1","@Rostam_Dastan1")</f>
        <v>@Rostam_Dastan1</v>
      </c>
      <c r="C9676" s="21" t="s">
        <v>21112</v>
      </c>
      <c r="D9676" s="21" t="s">
        <v>21113</v>
      </c>
      <c r="E9676" s="22" t="str">
        <f>HYPERLINK("https://twitter.com/Rostam_Dastan1/status/922754319903948800","922754319903948800")</f>
        <v>922754319903948800</v>
      </c>
      <c r="F9676" s="30" t="s">
        <v>411</v>
      </c>
      <c r="G9676" s="24">
        <v>113.0</v>
      </c>
      <c r="H9676" s="24">
        <v>410.0</v>
      </c>
      <c r="I9676" s="24">
        <v>0.0</v>
      </c>
      <c r="J9676" s="24">
        <v>0.0</v>
      </c>
      <c r="K9676" s="23" t="s">
        <v>34</v>
      </c>
      <c r="L9676" s="25">
        <v>41691.4387037037</v>
      </c>
      <c r="M9676" s="28"/>
      <c r="N9676" s="28"/>
      <c r="O9676" s="22" t="str">
        <f>HYPERLINK("https://pbs.twimg.com/profile_images/437104289131929600/vfg8o-WQ_normal.jpeg","View")</f>
        <v>View</v>
      </c>
      <c r="P9676" s="27"/>
    </row>
    <row r="9677">
      <c r="A9677" s="14">
        <v>43032.09662037037</v>
      </c>
      <c r="B9677" s="20" t="str">
        <f>HYPERLINK("https://twitter.com/newnews4all","@newnews4all")</f>
        <v>@newnews4all</v>
      </c>
      <c r="C9677" s="21" t="s">
        <v>21114</v>
      </c>
      <c r="D9677" s="21" t="s">
        <v>21115</v>
      </c>
      <c r="E9677" s="22" t="str">
        <f>HYPERLINK("https://twitter.com/newnews4all/status/922754320193396736","922754320193396736")</f>
        <v>922754320193396736</v>
      </c>
      <c r="F9677" s="30" t="s">
        <v>411</v>
      </c>
      <c r="G9677" s="24">
        <v>501.0</v>
      </c>
      <c r="H9677" s="24">
        <v>411.0</v>
      </c>
      <c r="I9677" s="24">
        <v>0.0</v>
      </c>
      <c r="J9677" s="24">
        <v>0.0</v>
      </c>
      <c r="K9677" s="23" t="s">
        <v>34</v>
      </c>
      <c r="L9677" s="25">
        <v>41551.99175925926</v>
      </c>
      <c r="M9677" s="26" t="s">
        <v>1246</v>
      </c>
      <c r="N9677" s="26" t="s">
        <v>21088</v>
      </c>
      <c r="O9677" s="22" t="str">
        <f>HYPERLINK("https://pbs.twimg.com/profile_images/378800000719879491/055636be53d76ef06b03512af86f15a7_normal.png","View")</f>
        <v>View</v>
      </c>
      <c r="P9677" s="27"/>
    </row>
    <row r="9678">
      <c r="A9678" s="14">
        <v>43032.09662037037</v>
      </c>
      <c r="B9678" s="20" t="str">
        <f>HYPERLINK("https://twitter.com/AminKarimy","@AminKarimy")</f>
        <v>@AminKarimy</v>
      </c>
      <c r="C9678" s="21" t="s">
        <v>21116</v>
      </c>
      <c r="D9678" s="21" t="s">
        <v>21117</v>
      </c>
      <c r="E9678" s="22" t="str">
        <f>HYPERLINK("https://twitter.com/AminKarimy/status/922754320235315200","922754320235315200")</f>
        <v>922754320235315200</v>
      </c>
      <c r="F9678" s="30" t="s">
        <v>411</v>
      </c>
      <c r="G9678" s="24">
        <v>182.0</v>
      </c>
      <c r="H9678" s="24">
        <v>198.0</v>
      </c>
      <c r="I9678" s="24">
        <v>0.0</v>
      </c>
      <c r="J9678" s="24">
        <v>0.0</v>
      </c>
      <c r="K9678" s="23" t="s">
        <v>34</v>
      </c>
      <c r="L9678" s="25">
        <v>41768.21486111111</v>
      </c>
      <c r="M9678" s="26" t="s">
        <v>40</v>
      </c>
      <c r="N9678" s="26" t="s">
        <v>21088</v>
      </c>
      <c r="O9678" s="22" t="str">
        <f>HYPERLINK("https://pbs.twimg.com/profile_images/464739525873258497/G95T75g9_normal.jpeg","View")</f>
        <v>View</v>
      </c>
      <c r="P9678" s="27"/>
    </row>
    <row r="9679">
      <c r="A9679" s="14">
        <v>43032.09662037037</v>
      </c>
      <c r="B9679" s="20" t="str">
        <f>HYPERLINK("https://twitter.com/NaserHabashi","@NaserHabashi")</f>
        <v>@NaserHabashi</v>
      </c>
      <c r="C9679" s="21" t="s">
        <v>21118</v>
      </c>
      <c r="D9679" s="21" t="s">
        <v>21119</v>
      </c>
      <c r="E9679" s="22" t="str">
        <f>HYPERLINK("https://twitter.com/NaserHabashi/status/922754320365268992","922754320365268992")</f>
        <v>922754320365268992</v>
      </c>
      <c r="F9679" s="30" t="s">
        <v>411</v>
      </c>
      <c r="G9679" s="24">
        <v>969.0</v>
      </c>
      <c r="H9679" s="24">
        <v>445.0</v>
      </c>
      <c r="I9679" s="24">
        <v>0.0</v>
      </c>
      <c r="J9679" s="24">
        <v>0.0</v>
      </c>
      <c r="K9679" s="23" t="s">
        <v>34</v>
      </c>
      <c r="L9679" s="25">
        <v>41535.47362268518</v>
      </c>
      <c r="M9679" s="26" t="s">
        <v>40</v>
      </c>
      <c r="N9679" s="26" t="s">
        <v>21088</v>
      </c>
      <c r="O9679" s="22" t="str">
        <f>HYPERLINK("https://pbs.twimg.com/profile_images/378800000474990478/4c4c9c2123c0fdde12ed44daee9b5017_normal.jpeg","View")</f>
        <v>View</v>
      </c>
      <c r="P9679" s="27"/>
    </row>
    <row r="9680">
      <c r="A9680" s="14">
        <v>43032.09662037037</v>
      </c>
      <c r="B9680" s="20" t="str">
        <f>HYPERLINK("https://twitter.com/Kazem_Zolomi","@Kazem_Zolomi")</f>
        <v>@Kazem_Zolomi</v>
      </c>
      <c r="C9680" s="21" t="s">
        <v>21120</v>
      </c>
      <c r="D9680" s="21" t="s">
        <v>21121</v>
      </c>
      <c r="E9680" s="22" t="str">
        <f>HYPERLINK("https://twitter.com/Kazem_Zolomi/status/922754320407306240","922754320407306240")</f>
        <v>922754320407306240</v>
      </c>
      <c r="F9680" s="30" t="s">
        <v>411</v>
      </c>
      <c r="G9680" s="24">
        <v>533.0</v>
      </c>
      <c r="H9680" s="24">
        <v>394.0</v>
      </c>
      <c r="I9680" s="24">
        <v>0.0</v>
      </c>
      <c r="J9680" s="24">
        <v>0.0</v>
      </c>
      <c r="K9680" s="23" t="s">
        <v>34</v>
      </c>
      <c r="L9680" s="25">
        <v>41708.516875</v>
      </c>
      <c r="M9680" s="26" t="s">
        <v>21122</v>
      </c>
      <c r="N9680" s="26" t="s">
        <v>21088</v>
      </c>
      <c r="O9680" s="22" t="str">
        <f>HYPERLINK("https://pbs.twimg.com/profile_images/443109598178713600/6YJERm6B_normal.jpeg","View")</f>
        <v>View</v>
      </c>
      <c r="P9680" s="27"/>
    </row>
    <row r="9681">
      <c r="A9681" s="14">
        <v>43032.09662037037</v>
      </c>
      <c r="B9681" s="20" t="str">
        <f>HYPERLINK("https://twitter.com/MaguireSummer","@MaguireSummer")</f>
        <v>@MaguireSummer</v>
      </c>
      <c r="C9681" s="21" t="s">
        <v>21123</v>
      </c>
      <c r="D9681" s="21" t="s">
        <v>21124</v>
      </c>
      <c r="E9681" s="22" t="str">
        <f>HYPERLINK("https://twitter.com/MaguireSummer/status/922754321090953216","922754321090953216")</f>
        <v>922754321090953216</v>
      </c>
      <c r="F9681" s="30" t="s">
        <v>411</v>
      </c>
      <c r="G9681" s="24">
        <v>92.0</v>
      </c>
      <c r="H9681" s="24">
        <v>135.0</v>
      </c>
      <c r="I9681" s="24">
        <v>0.0</v>
      </c>
      <c r="J9681" s="24">
        <v>0.0</v>
      </c>
      <c r="K9681" s="23" t="s">
        <v>34</v>
      </c>
      <c r="L9681" s="25">
        <v>41879.253217592595</v>
      </c>
      <c r="M9681" s="26" t="s">
        <v>11949</v>
      </c>
      <c r="N9681" s="26" t="s">
        <v>21125</v>
      </c>
      <c r="O9681" s="22" t="str">
        <f>HYPERLINK("https://pbs.twimg.com/profile_images/504978467595616256/QIXuAorT_normal.jpeg","View")</f>
        <v>View</v>
      </c>
      <c r="P9681" s="27"/>
    </row>
    <row r="9682">
      <c r="A9682" s="14">
        <v>43032.09662037037</v>
      </c>
      <c r="B9682" s="20" t="str">
        <f>HYPERLINK("https://twitter.com/Aliasghar_Kordi","@Aliasghar_Kordi")</f>
        <v>@Aliasghar_Kordi</v>
      </c>
      <c r="C9682" s="21" t="s">
        <v>21126</v>
      </c>
      <c r="D9682" s="21" t="s">
        <v>21127</v>
      </c>
      <c r="E9682" s="22" t="str">
        <f>HYPERLINK("https://twitter.com/Aliasghar_Kordi/status/922754321699151872","922754321699151872")</f>
        <v>922754321699151872</v>
      </c>
      <c r="F9682" s="30" t="s">
        <v>411</v>
      </c>
      <c r="G9682" s="24">
        <v>193.0</v>
      </c>
      <c r="H9682" s="24">
        <v>457.0</v>
      </c>
      <c r="I9682" s="24">
        <v>0.0</v>
      </c>
      <c r="J9682" s="24">
        <v>0.0</v>
      </c>
      <c r="K9682" s="23" t="s">
        <v>34</v>
      </c>
      <c r="L9682" s="25">
        <v>41690.18402777778</v>
      </c>
      <c r="M9682" s="26" t="s">
        <v>40</v>
      </c>
      <c r="N9682" s="26" t="s">
        <v>21088</v>
      </c>
      <c r="O9682" s="22" t="str">
        <f>HYPERLINK("https://pbs.twimg.com/profile_images/437117140806541312/Vb1nA-Lj_normal.jpeg","View")</f>
        <v>View</v>
      </c>
      <c r="P9682" s="27"/>
    </row>
    <row r="9683">
      <c r="A9683" s="14">
        <v>43032.09662037037</v>
      </c>
      <c r="B9683" s="20" t="str">
        <f>HYPERLINK("https://twitter.com/news4iran3","@news4iran3")</f>
        <v>@news4iran3</v>
      </c>
      <c r="C9683" s="21" t="s">
        <v>21128</v>
      </c>
      <c r="D9683" s="21" t="s">
        <v>21129</v>
      </c>
      <c r="E9683" s="22" t="str">
        <f>HYPERLINK("https://twitter.com/news4iran3/status/922754321959108609","922754321959108609")</f>
        <v>922754321959108609</v>
      </c>
      <c r="F9683" s="30" t="s">
        <v>411</v>
      </c>
      <c r="G9683" s="24">
        <v>544.0</v>
      </c>
      <c r="H9683" s="24">
        <v>448.0</v>
      </c>
      <c r="I9683" s="24">
        <v>0.0</v>
      </c>
      <c r="J9683" s="24">
        <v>0.0</v>
      </c>
      <c r="K9683" s="23" t="s">
        <v>34</v>
      </c>
      <c r="L9683" s="25">
        <v>41550.33256944444</v>
      </c>
      <c r="M9683" s="26" t="s">
        <v>40</v>
      </c>
      <c r="N9683" s="26" t="s">
        <v>21088</v>
      </c>
      <c r="O9683" s="22" t="str">
        <f>HYPERLINK("https://pbs.twimg.com/profile_images/378800000697629164/8990fa56f65888cf7f0950d7aaad4bbd_normal.jpeg","View")</f>
        <v>View</v>
      </c>
      <c r="P9683" s="27"/>
    </row>
    <row r="9684">
      <c r="A9684" s="14">
        <v>43032.09662037037</v>
      </c>
      <c r="B9684" s="20" t="str">
        <f>HYPERLINK("https://twitter.com/Parisa_Mahmodi","@Parisa_Mahmodi")</f>
        <v>@Parisa_Mahmodi</v>
      </c>
      <c r="C9684" s="21" t="s">
        <v>21130</v>
      </c>
      <c r="D9684" s="21" t="s">
        <v>21131</v>
      </c>
      <c r="E9684" s="22" t="str">
        <f>HYPERLINK("https://twitter.com/Parisa_Mahmodi/status/922754322034651136","922754322034651136")</f>
        <v>922754322034651136</v>
      </c>
      <c r="F9684" s="30" t="s">
        <v>411</v>
      </c>
      <c r="G9684" s="24">
        <v>134.0</v>
      </c>
      <c r="H9684" s="24">
        <v>468.0</v>
      </c>
      <c r="I9684" s="24">
        <v>0.0</v>
      </c>
      <c r="J9684" s="24">
        <v>0.0</v>
      </c>
      <c r="K9684" s="23" t="s">
        <v>34</v>
      </c>
      <c r="L9684" s="25">
        <v>41691.43444444444</v>
      </c>
      <c r="M9684" s="26" t="s">
        <v>40</v>
      </c>
      <c r="N9684" s="26" t="s">
        <v>21088</v>
      </c>
      <c r="O9684" s="22" t="str">
        <f>HYPERLINK("https://pbs.twimg.com/profile_images/437104805853413376/CgXnlfI4_normal.jpeg","View")</f>
        <v>View</v>
      </c>
      <c r="P9684" s="27"/>
    </row>
    <row r="9685">
      <c r="A9685" s="14">
        <v>43032.09663194444</v>
      </c>
      <c r="B9685" s="20" t="str">
        <f>HYPERLINK("https://twitter.com/edlebheroes","@edlebheroes")</f>
        <v>@edlebheroes</v>
      </c>
      <c r="C9685" s="21" t="s">
        <v>21132</v>
      </c>
      <c r="D9685" s="21" t="s">
        <v>21133</v>
      </c>
      <c r="E9685" s="22" t="str">
        <f>HYPERLINK("https://twitter.com/edlebheroes/status/922754322315612160","922754322315612160")</f>
        <v>922754322315612160</v>
      </c>
      <c r="F9685" s="30" t="s">
        <v>411</v>
      </c>
      <c r="G9685" s="24">
        <v>562.0</v>
      </c>
      <c r="H9685" s="24">
        <v>414.0</v>
      </c>
      <c r="I9685" s="24">
        <v>0.0</v>
      </c>
      <c r="J9685" s="24">
        <v>0.0</v>
      </c>
      <c r="K9685" s="23" t="s">
        <v>34</v>
      </c>
      <c r="L9685" s="25">
        <v>41539.03810185185</v>
      </c>
      <c r="M9685" s="26" t="s">
        <v>21122</v>
      </c>
      <c r="N9685" s="26" t="s">
        <v>21134</v>
      </c>
      <c r="O9685" s="22" t="str">
        <f>HYPERLINK("https://pbs.twimg.com/profile_images/378800000491386049/7ec88a18781704e936d1bb0cc80de01b_normal.jpeg","View")</f>
        <v>View</v>
      </c>
      <c r="P9685" s="27"/>
    </row>
    <row r="9686">
      <c r="A9686" s="14">
        <v>43032.09663194444</v>
      </c>
      <c r="B9686" s="20" t="str">
        <f>HYPERLINK("https://twitter.com/AliFeiziShabgah","@AliFeiziShabgah")</f>
        <v>@AliFeiziShabgah</v>
      </c>
      <c r="C9686" s="21" t="s">
        <v>21135</v>
      </c>
      <c r="D9686" s="21" t="s">
        <v>21136</v>
      </c>
      <c r="E9686" s="22" t="str">
        <f>HYPERLINK("https://twitter.com/AliFeiziShabgah/status/922754322424766465","922754322424766465")</f>
        <v>922754322424766465</v>
      </c>
      <c r="F9686" s="30" t="s">
        <v>411</v>
      </c>
      <c r="G9686" s="24">
        <v>938.0</v>
      </c>
      <c r="H9686" s="24">
        <v>424.0</v>
      </c>
      <c r="I9686" s="24">
        <v>0.0</v>
      </c>
      <c r="J9686" s="24">
        <v>0.0</v>
      </c>
      <c r="K9686" s="23" t="s">
        <v>34</v>
      </c>
      <c r="L9686" s="25">
        <v>41522.016909722224</v>
      </c>
      <c r="M9686" s="26" t="s">
        <v>40</v>
      </c>
      <c r="N9686" s="26" t="s">
        <v>21088</v>
      </c>
      <c r="O9686" s="22" t="str">
        <f>HYPERLINK("https://pbs.twimg.com/profile_images/378800000414110265/3d3ddf145016b60b59f5ddbf83d825d1_normal.jpeg","View")</f>
        <v>View</v>
      </c>
      <c r="P9686" s="27"/>
    </row>
    <row r="9687">
      <c r="A9687" s="14">
        <v>43032.09663194444</v>
      </c>
      <c r="B9687" s="20" t="str">
        <f>HYPERLINK("https://twitter.com/Ehsan_Toton","@Ehsan_Toton")</f>
        <v>@Ehsan_Toton</v>
      </c>
      <c r="C9687" s="21" t="s">
        <v>21137</v>
      </c>
      <c r="D9687" s="21" t="s">
        <v>21138</v>
      </c>
      <c r="E9687" s="22" t="str">
        <f>HYPERLINK("https://twitter.com/Ehsan_Toton/status/922754322839908352","922754322839908352")</f>
        <v>922754322839908352</v>
      </c>
      <c r="F9687" s="30" t="s">
        <v>411</v>
      </c>
      <c r="G9687" s="24">
        <v>683.0</v>
      </c>
      <c r="H9687" s="24">
        <v>426.0</v>
      </c>
      <c r="I9687" s="24">
        <v>42.0</v>
      </c>
      <c r="J9687" s="24">
        <v>1.0</v>
      </c>
      <c r="K9687" s="23" t="s">
        <v>34</v>
      </c>
      <c r="L9687" s="25">
        <v>41715.900601851856</v>
      </c>
      <c r="M9687" s="26" t="s">
        <v>21122</v>
      </c>
      <c r="N9687" s="26" t="s">
        <v>21088</v>
      </c>
      <c r="O9687" s="22" t="str">
        <f>HYPERLINK("https://pbs.twimg.com/profile_images/445781118248185856/fzNrMGXK_normal.jpeg","View")</f>
        <v>View</v>
      </c>
      <c r="P9687" s="27"/>
    </row>
    <row r="9688">
      <c r="A9688" s="14">
        <v>43032.09663194444</v>
      </c>
      <c r="B9688" s="20" t="str">
        <f>HYPERLINK("https://twitter.com/Anahita_Zandi","@Anahita_Zandi")</f>
        <v>@Anahita_Zandi</v>
      </c>
      <c r="C9688" s="21" t="s">
        <v>21139</v>
      </c>
      <c r="D9688" s="21" t="s">
        <v>21140</v>
      </c>
      <c r="E9688" s="22" t="str">
        <f>HYPERLINK("https://twitter.com/Anahita_Zandi/status/922754323062210561","922754323062210561")</f>
        <v>922754323062210561</v>
      </c>
      <c r="F9688" s="30" t="s">
        <v>411</v>
      </c>
      <c r="G9688" s="24">
        <v>612.0</v>
      </c>
      <c r="H9688" s="24">
        <v>407.0</v>
      </c>
      <c r="I9688" s="24">
        <v>0.0</v>
      </c>
      <c r="J9688" s="24">
        <v>0.0</v>
      </c>
      <c r="K9688" s="23" t="s">
        <v>34</v>
      </c>
      <c r="L9688" s="25">
        <v>41715.92145833334</v>
      </c>
      <c r="M9688" s="26" t="s">
        <v>11949</v>
      </c>
      <c r="N9688" s="26" t="s">
        <v>21141</v>
      </c>
      <c r="O9688" s="22" t="str">
        <f>HYPERLINK("https://pbs.twimg.com/profile_images/445788567617298432/_QgBVQZ1_normal.jpeg","View")</f>
        <v>View</v>
      </c>
      <c r="P9688" s="27"/>
    </row>
    <row r="9689">
      <c r="A9689" s="14">
        <v>43032.09663194444</v>
      </c>
      <c r="B9689" s="20" t="str">
        <f>HYPERLINK("https://twitter.com/Reyhan_Soufi","@Reyhan_Soufi")</f>
        <v>@Reyhan_Soufi</v>
      </c>
      <c r="C9689" s="21" t="s">
        <v>21142</v>
      </c>
      <c r="D9689" s="21" t="s">
        <v>21143</v>
      </c>
      <c r="E9689" s="22" t="str">
        <f>HYPERLINK("https://twitter.com/Reyhan_Soufi/status/922754323146084353","922754323146084353")</f>
        <v>922754323146084353</v>
      </c>
      <c r="F9689" s="30" t="s">
        <v>411</v>
      </c>
      <c r="G9689" s="24">
        <v>102.0</v>
      </c>
      <c r="H9689" s="24">
        <v>455.0</v>
      </c>
      <c r="I9689" s="24">
        <v>0.0</v>
      </c>
      <c r="J9689" s="24">
        <v>0.0</v>
      </c>
      <c r="K9689" s="23" t="s">
        <v>34</v>
      </c>
      <c r="L9689" s="25">
        <v>41691.874131944445</v>
      </c>
      <c r="M9689" s="26" t="s">
        <v>40</v>
      </c>
      <c r="N9689" s="26" t="s">
        <v>21083</v>
      </c>
      <c r="O9689" s="22" t="str">
        <f>HYPERLINK("https://pbs.twimg.com/profile_images/437100810636259328/Wrz60NoZ_normal.jpeg","View")</f>
        <v>View</v>
      </c>
      <c r="P9689" s="27"/>
    </row>
    <row r="9690">
      <c r="A9690" s="14">
        <v>43032.09663194444</v>
      </c>
      <c r="B9690" s="20" t="str">
        <f>HYPERLINK("https://twitter.com/freedom_2share","@freedom_2share")</f>
        <v>@freedom_2share</v>
      </c>
      <c r="C9690" s="21" t="s">
        <v>21144</v>
      </c>
      <c r="D9690" s="21" t="s">
        <v>21145</v>
      </c>
      <c r="E9690" s="22" t="str">
        <f>HYPERLINK("https://twitter.com/freedom_2share/status/922754323192332289","922754323192332289")</f>
        <v>922754323192332289</v>
      </c>
      <c r="F9690" s="30" t="s">
        <v>411</v>
      </c>
      <c r="G9690" s="24">
        <v>544.0</v>
      </c>
      <c r="H9690" s="24">
        <v>441.0</v>
      </c>
      <c r="I9690" s="24">
        <v>0.0</v>
      </c>
      <c r="J9690" s="24">
        <v>0.0</v>
      </c>
      <c r="K9690" s="23" t="s">
        <v>34</v>
      </c>
      <c r="L9690" s="25">
        <v>41567.07928240741</v>
      </c>
      <c r="M9690" s="26" t="s">
        <v>40</v>
      </c>
      <c r="N9690" s="26" t="s">
        <v>21088</v>
      </c>
      <c r="O9690" s="22" t="str">
        <f>HYPERLINK("https://pbs.twimg.com/profile_images/378800000622510769/57b7d65125d43b8540e252e0232284a5_normal.jpeg","View")</f>
        <v>View</v>
      </c>
      <c r="P9690" s="27"/>
    </row>
    <row r="9691">
      <c r="A9691" s="14">
        <v>43032.09663194444</v>
      </c>
      <c r="B9691" s="20" t="str">
        <f>HYPERLINK("https://twitter.com/dignity4boys","@dignity4boys")</f>
        <v>@dignity4boys</v>
      </c>
      <c r="C9691" s="21" t="s">
        <v>21146</v>
      </c>
      <c r="D9691" s="21" t="s">
        <v>21147</v>
      </c>
      <c r="E9691" s="22" t="str">
        <f>HYPERLINK("https://twitter.com/dignity4boys/status/922754323636928512","922754323636928512")</f>
        <v>922754323636928512</v>
      </c>
      <c r="F9691" s="30" t="s">
        <v>411</v>
      </c>
      <c r="G9691" s="24">
        <v>292.0</v>
      </c>
      <c r="H9691" s="24">
        <v>398.0</v>
      </c>
      <c r="I9691" s="24">
        <v>0.0</v>
      </c>
      <c r="J9691" s="24">
        <v>0.0</v>
      </c>
      <c r="K9691" s="23" t="s">
        <v>34</v>
      </c>
      <c r="L9691" s="25">
        <v>41572.10196759259</v>
      </c>
      <c r="M9691" s="26" t="s">
        <v>40</v>
      </c>
      <c r="N9691" s="26" t="s">
        <v>21088</v>
      </c>
      <c r="O9691" s="22" t="str">
        <f>HYPERLINK("https://pbs.twimg.com/profile_images/378800000644902098/1078d3bc6fef74d60fb4cddda83d9071_normal.jpeg","View")</f>
        <v>View</v>
      </c>
      <c r="P9691" s="27"/>
    </row>
    <row r="9692">
      <c r="A9692" s="14">
        <v>43032.09663194444</v>
      </c>
      <c r="B9692" s="20" t="str">
        <f>HYPERLINK("https://twitter.com/MyLife4Iran","@MyLife4Iran")</f>
        <v>@MyLife4Iran</v>
      </c>
      <c r="C9692" s="21" t="s">
        <v>21148</v>
      </c>
      <c r="D9692" s="21" t="s">
        <v>21149</v>
      </c>
      <c r="E9692" s="22" t="str">
        <f>HYPERLINK("https://twitter.com/MyLife4Iran/status/922754323884343296","922754323884343296")</f>
        <v>922754323884343296</v>
      </c>
      <c r="F9692" s="30" t="s">
        <v>411</v>
      </c>
      <c r="G9692" s="24">
        <v>1299.0</v>
      </c>
      <c r="H9692" s="24">
        <v>263.0</v>
      </c>
      <c r="I9692" s="24">
        <v>75.0</v>
      </c>
      <c r="J9692" s="24">
        <v>1.0</v>
      </c>
      <c r="K9692" s="23" t="s">
        <v>34</v>
      </c>
      <c r="L9692" s="25">
        <v>41698.103101851855</v>
      </c>
      <c r="M9692" s="26" t="s">
        <v>21150</v>
      </c>
      <c r="N9692" s="32" t="s">
        <v>21151</v>
      </c>
      <c r="O9692" s="22" t="str">
        <f>HYPERLINK("https://pbs.twimg.com/profile_images/501073963947012098/ydl4pBEe_normal.png","View")</f>
        <v>View</v>
      </c>
      <c r="P9692" s="27"/>
    </row>
    <row r="9693">
      <c r="A9693" s="14">
        <v>43032.09663194444</v>
      </c>
      <c r="B9693" s="20" t="str">
        <f>HYPERLINK("https://twitter.com/Parvin_Shokohi","@Parvin_Shokohi")</f>
        <v>@Parvin_Shokohi</v>
      </c>
      <c r="C9693" s="21" t="s">
        <v>21152</v>
      </c>
      <c r="D9693" s="21" t="s">
        <v>21153</v>
      </c>
      <c r="E9693" s="22" t="str">
        <f>HYPERLINK("https://twitter.com/Parvin_Shokohi/status/922754324131823616","922754324131823616")</f>
        <v>922754324131823616</v>
      </c>
      <c r="F9693" s="30" t="s">
        <v>411</v>
      </c>
      <c r="G9693" s="24">
        <v>455.0</v>
      </c>
      <c r="H9693" s="24">
        <v>451.0</v>
      </c>
      <c r="I9693" s="24">
        <v>0.0</v>
      </c>
      <c r="J9693" s="24">
        <v>0.0</v>
      </c>
      <c r="K9693" s="23" t="s">
        <v>34</v>
      </c>
      <c r="L9693" s="25">
        <v>41683.135358796295</v>
      </c>
      <c r="M9693" s="26" t="s">
        <v>40</v>
      </c>
      <c r="N9693" s="26" t="s">
        <v>21088</v>
      </c>
      <c r="O9693" s="22" t="str">
        <f>HYPERLINK("https://pbs.twimg.com/profile_images/433923398763155456/JJLtZQha_normal.jpeg","View")</f>
        <v>View</v>
      </c>
      <c r="P9693" s="27"/>
    </row>
    <row r="9694">
      <c r="A9694" s="14">
        <v>43032.09663194444</v>
      </c>
      <c r="B9694" s="20" t="str">
        <f>HYPERLINK("https://twitter.com/livetalking","@livetalking")</f>
        <v>@livetalking</v>
      </c>
      <c r="C9694" s="21" t="s">
        <v>21154</v>
      </c>
      <c r="D9694" s="21" t="s">
        <v>21155</v>
      </c>
      <c r="E9694" s="22" t="str">
        <f>HYPERLINK("https://twitter.com/livetalking/status/922754324266065921","922754324266065921")</f>
        <v>922754324266065921</v>
      </c>
      <c r="F9694" s="30" t="s">
        <v>411</v>
      </c>
      <c r="G9694" s="24">
        <v>530.0</v>
      </c>
      <c r="H9694" s="24">
        <v>455.0</v>
      </c>
      <c r="I9694" s="24">
        <v>0.0</v>
      </c>
      <c r="J9694" s="24">
        <v>0.0</v>
      </c>
      <c r="K9694" s="23" t="s">
        <v>34</v>
      </c>
      <c r="L9694" s="25">
        <v>41595.308900462966</v>
      </c>
      <c r="M9694" s="26" t="s">
        <v>40</v>
      </c>
      <c r="N9694" s="26" t="s">
        <v>21088</v>
      </c>
      <c r="O9694" s="22" t="str">
        <f>HYPERLINK("https://pbs.twimg.com/profile_images/378800000752711222/6521f2c32eea6edba6e380bbdca9c53d_normal.jpeg","View")</f>
        <v>View</v>
      </c>
      <c r="P9694" s="27"/>
    </row>
    <row r="9695">
      <c r="A9695" s="14">
        <v>43032.09663194444</v>
      </c>
      <c r="B9695" s="20" t="str">
        <f>HYPERLINK("https://twitter.com/Free_Iran3","@Free_Iran3")</f>
        <v>@Free_Iran3</v>
      </c>
      <c r="C9695" s="21" t="s">
        <v>21156</v>
      </c>
      <c r="D9695" s="21" t="s">
        <v>21157</v>
      </c>
      <c r="E9695" s="22" t="str">
        <f>HYPERLINK("https://twitter.com/Free_Iran3/status/922754324375076864","922754324375076864")</f>
        <v>922754324375076864</v>
      </c>
      <c r="F9695" s="30" t="s">
        <v>411</v>
      </c>
      <c r="G9695" s="24">
        <v>572.0</v>
      </c>
      <c r="H9695" s="24">
        <v>451.0</v>
      </c>
      <c r="I9695" s="24">
        <v>0.0</v>
      </c>
      <c r="J9695" s="24">
        <v>0.0</v>
      </c>
      <c r="K9695" s="23" t="s">
        <v>34</v>
      </c>
      <c r="L9695" s="25">
        <v>41547.13175925926</v>
      </c>
      <c r="M9695" s="26" t="s">
        <v>11949</v>
      </c>
      <c r="N9695" s="26" t="s">
        <v>21088</v>
      </c>
      <c r="O9695" s="22" t="str">
        <f>HYPERLINK("https://pbs.twimg.com/profile_images/378800000720785610/f9670e032b16f92856fcfa3c35323263_normal.jpeg","View")</f>
        <v>View</v>
      </c>
      <c r="P9695" s="27"/>
    </row>
    <row r="9696">
      <c r="A9696" s="14">
        <v>43032.09663194444</v>
      </c>
      <c r="B9696" s="20" t="str">
        <f>HYPERLINK("https://twitter.com/DoFreeIran","@DoFreeIran")</f>
        <v>@DoFreeIran</v>
      </c>
      <c r="C9696" s="21" t="s">
        <v>21158</v>
      </c>
      <c r="D9696" s="21" t="s">
        <v>21159</v>
      </c>
      <c r="E9696" s="22" t="str">
        <f>HYPERLINK("https://twitter.com/DoFreeIran/status/922754324874256385","922754324874256385")</f>
        <v>922754324874256385</v>
      </c>
      <c r="F9696" s="30" t="s">
        <v>411</v>
      </c>
      <c r="G9696" s="24">
        <v>381.0</v>
      </c>
      <c r="H9696" s="24">
        <v>471.0</v>
      </c>
      <c r="I9696" s="24">
        <v>0.0</v>
      </c>
      <c r="J9696" s="24">
        <v>0.0</v>
      </c>
      <c r="K9696" s="23" t="s">
        <v>34</v>
      </c>
      <c r="L9696" s="25">
        <v>41692.35576388889</v>
      </c>
      <c r="M9696" s="28"/>
      <c r="N9696" s="28"/>
      <c r="O9696" s="22" t="str">
        <f>HYPERLINK("https://pbs.twimg.com/profile_images/498380215970578432/p6bw56pW_normal.jpeg","View")</f>
        <v>View</v>
      </c>
      <c r="P9696" s="27"/>
    </row>
    <row r="9697">
      <c r="A9697" s="14">
        <v>43032.09663194444</v>
      </c>
      <c r="B9697" s="20" t="str">
        <f>HYPERLINK("https://twitter.com/RetweetMeNow2","@RetweetMeNow2")</f>
        <v>@RetweetMeNow2</v>
      </c>
      <c r="C9697" s="21" t="s">
        <v>21160</v>
      </c>
      <c r="D9697" s="21" t="s">
        <v>21161</v>
      </c>
      <c r="E9697" s="22" t="str">
        <f>HYPERLINK("https://twitter.com/RetweetMeNow2/status/922754325507485701","922754325507485701")</f>
        <v>922754325507485701</v>
      </c>
      <c r="F9697" s="30" t="s">
        <v>411</v>
      </c>
      <c r="G9697" s="24">
        <v>495.0</v>
      </c>
      <c r="H9697" s="24">
        <v>449.0</v>
      </c>
      <c r="I9697" s="24">
        <v>0.0</v>
      </c>
      <c r="J9697" s="24">
        <v>0.0</v>
      </c>
      <c r="K9697" s="23" t="s">
        <v>34</v>
      </c>
      <c r="L9697" s="25">
        <v>41540.466828703706</v>
      </c>
      <c r="M9697" s="28"/>
      <c r="N9697" s="28"/>
      <c r="O9697" s="22" t="str">
        <f>HYPERLINK("https://pbs.twimg.com/profile_images/378800000518028275/2d4d2af78cdaa3eea689b22bda95978c_normal.jpeg","View")</f>
        <v>View</v>
      </c>
      <c r="P9697" s="27"/>
    </row>
    <row r="9698">
      <c r="A9698" s="14">
        <v>43032.09664351852</v>
      </c>
      <c r="B9698" s="20" t="str">
        <f>HYPERLINK("https://twitter.com/peopleemotion","@peopleemotion")</f>
        <v>@peopleemotion</v>
      </c>
      <c r="C9698" s="21" t="s">
        <v>21162</v>
      </c>
      <c r="D9698" s="21" t="s">
        <v>21163</v>
      </c>
      <c r="E9698" s="22" t="str">
        <f>HYPERLINK("https://twitter.com/peopleemotion/status/922754326405120000","922754326405120000")</f>
        <v>922754326405120000</v>
      </c>
      <c r="F9698" s="30" t="s">
        <v>411</v>
      </c>
      <c r="G9698" s="24">
        <v>354.0</v>
      </c>
      <c r="H9698" s="24">
        <v>483.0</v>
      </c>
      <c r="I9698" s="24">
        <v>0.0</v>
      </c>
      <c r="J9698" s="24">
        <v>0.0</v>
      </c>
      <c r="K9698" s="23" t="s">
        <v>34</v>
      </c>
      <c r="L9698" s="25">
        <v>41578.341574074075</v>
      </c>
      <c r="M9698" s="28"/>
      <c r="N9698" s="28"/>
      <c r="O9698" s="22" t="str">
        <f>HYPERLINK("https://pbs.twimg.com/profile_images/378800000683712022/3dfa4f518a7515e3ef579f327c1db179_normal.jpeg","View")</f>
        <v>View</v>
      </c>
      <c r="P9698" s="27"/>
    </row>
    <row r="9699">
      <c r="A9699" s="14">
        <v>43032.09664351852</v>
      </c>
      <c r="B9699" s="20" t="str">
        <f>HYPERLINK("https://twitter.com/Shahram_Tavasol","@Shahram_Tavasol")</f>
        <v>@Shahram_Tavasol</v>
      </c>
      <c r="C9699" s="21" t="s">
        <v>21164</v>
      </c>
      <c r="D9699" s="21" t="s">
        <v>21165</v>
      </c>
      <c r="E9699" s="22" t="str">
        <f>HYPERLINK("https://twitter.com/Shahram_Tavasol/status/922754326585470977","922754326585470977")</f>
        <v>922754326585470977</v>
      </c>
      <c r="F9699" s="30" t="s">
        <v>411</v>
      </c>
      <c r="G9699" s="24">
        <v>637.0</v>
      </c>
      <c r="H9699" s="24">
        <v>433.0</v>
      </c>
      <c r="I9699" s="24">
        <v>41.0</v>
      </c>
      <c r="J9699" s="24">
        <v>0.0</v>
      </c>
      <c r="K9699" s="23" t="s">
        <v>34</v>
      </c>
      <c r="L9699" s="25">
        <v>41702.947233796294</v>
      </c>
      <c r="M9699" s="26" t="s">
        <v>21122</v>
      </c>
      <c r="N9699" s="26" t="s">
        <v>21088</v>
      </c>
      <c r="O9699" s="22" t="str">
        <f>HYPERLINK("https://pbs.twimg.com/profile_images/441102229773094912/_IGBCVeg_normal.jpeg","View")</f>
        <v>View</v>
      </c>
      <c r="P9699" s="27"/>
    </row>
    <row r="9700">
      <c r="A9700" s="14">
        <v>43032.09664351852</v>
      </c>
      <c r="B9700" s="20" t="str">
        <f>HYPERLINK("https://twitter.com/Free1392Iran","@Free1392Iran")</f>
        <v>@Free1392Iran</v>
      </c>
      <c r="C9700" s="21" t="s">
        <v>21156</v>
      </c>
      <c r="D9700" s="21" t="s">
        <v>21166</v>
      </c>
      <c r="E9700" s="22" t="str">
        <f>HYPERLINK("https://twitter.com/Free1392Iran/status/922754326824607750","922754326824607750")</f>
        <v>922754326824607750</v>
      </c>
      <c r="F9700" s="30" t="s">
        <v>411</v>
      </c>
      <c r="G9700" s="24">
        <v>585.0</v>
      </c>
      <c r="H9700" s="24">
        <v>420.0</v>
      </c>
      <c r="I9700" s="24">
        <v>0.0</v>
      </c>
      <c r="J9700" s="24">
        <v>0.0</v>
      </c>
      <c r="K9700" s="23" t="s">
        <v>34</v>
      </c>
      <c r="L9700" s="25">
        <v>41465.3852662037</v>
      </c>
      <c r="M9700" s="26" t="s">
        <v>40</v>
      </c>
      <c r="N9700" s="26" t="s">
        <v>21088</v>
      </c>
      <c r="O9700" s="22" t="str">
        <f>HYPERLINK("https://pbs.twimg.com/profile_images/378800000115541327/aa77835d64cb9400cc252695ab6c9d8a_normal.jpeg","View")</f>
        <v>View</v>
      </c>
      <c r="P9700" s="27"/>
    </row>
    <row r="9701">
      <c r="A9701" s="14">
        <v>43032.09664351852</v>
      </c>
      <c r="B9701" s="20" t="str">
        <f>HYPERLINK("https://twitter.com/safaeikambiz","@safaeikambiz")</f>
        <v>@safaeikambiz</v>
      </c>
      <c r="C9701" s="21" t="s">
        <v>21167</v>
      </c>
      <c r="D9701" s="21" t="s">
        <v>21168</v>
      </c>
      <c r="E9701" s="22" t="str">
        <f>HYPERLINK("https://twitter.com/safaeikambiz/status/922754326828695552","922754326828695552")</f>
        <v>922754326828695552</v>
      </c>
      <c r="F9701" s="30" t="s">
        <v>411</v>
      </c>
      <c r="G9701" s="24">
        <v>526.0</v>
      </c>
      <c r="H9701" s="24">
        <v>433.0</v>
      </c>
      <c r="I9701" s="24">
        <v>0.0</v>
      </c>
      <c r="J9701" s="24">
        <v>0.0</v>
      </c>
      <c r="K9701" s="23" t="s">
        <v>34</v>
      </c>
      <c r="L9701" s="25">
        <v>41545.88659722223</v>
      </c>
      <c r="M9701" s="26" t="s">
        <v>21169</v>
      </c>
      <c r="N9701" s="26" t="s">
        <v>21170</v>
      </c>
      <c r="O9701" s="22" t="str">
        <f>HYPERLINK("https://pbs.twimg.com/profile_images/378800000720635161/4ed96169c69b36f737daee35fe200d05_normal.jpeg","View")</f>
        <v>View</v>
      </c>
      <c r="P9701" s="27"/>
    </row>
    <row r="9702">
      <c r="A9702" s="14">
        <v>43032.09664351852</v>
      </c>
      <c r="B9702" s="20" t="str">
        <f>HYPERLINK("https://twitter.com/Pedram_Vakili","@Pedram_Vakili")</f>
        <v>@Pedram_Vakili</v>
      </c>
      <c r="C9702" s="21" t="s">
        <v>21171</v>
      </c>
      <c r="D9702" s="21" t="s">
        <v>21172</v>
      </c>
      <c r="E9702" s="22" t="str">
        <f>HYPERLINK("https://twitter.com/Pedram_Vakili/status/922754327071952896","922754327071952896")</f>
        <v>922754327071952896</v>
      </c>
      <c r="F9702" s="30" t="s">
        <v>411</v>
      </c>
      <c r="G9702" s="24">
        <v>176.0</v>
      </c>
      <c r="H9702" s="24">
        <v>429.0</v>
      </c>
      <c r="I9702" s="24">
        <v>0.0</v>
      </c>
      <c r="J9702" s="24">
        <v>0.0</v>
      </c>
      <c r="K9702" s="23" t="s">
        <v>34</v>
      </c>
      <c r="L9702" s="25">
        <v>41690.185428240744</v>
      </c>
      <c r="M9702" s="26" t="s">
        <v>40</v>
      </c>
      <c r="N9702" s="26" t="s">
        <v>21088</v>
      </c>
      <c r="O9702" s="22" t="str">
        <f>HYPERLINK("https://pbs.twimg.com/profile_images/437116793048399872/6CUXpbLS_normal.jpeg","View")</f>
        <v>View</v>
      </c>
      <c r="P9702" s="27"/>
    </row>
    <row r="9703">
      <c r="A9703" s="14">
        <v>43032.09664351852</v>
      </c>
      <c r="B9703" s="20" t="str">
        <f>HYPERLINK("https://twitter.com/Roya_Fazl","@Roya_Fazl")</f>
        <v>@Roya_Fazl</v>
      </c>
      <c r="C9703" s="21" t="s">
        <v>21173</v>
      </c>
      <c r="D9703" s="21" t="s">
        <v>21174</v>
      </c>
      <c r="E9703" s="22" t="str">
        <f>HYPERLINK("https://twitter.com/Roya_Fazl/status/922754328057671681","922754328057671681")</f>
        <v>922754328057671681</v>
      </c>
      <c r="F9703" s="30" t="s">
        <v>411</v>
      </c>
      <c r="G9703" s="24">
        <v>105.0</v>
      </c>
      <c r="H9703" s="24">
        <v>418.0</v>
      </c>
      <c r="I9703" s="24">
        <v>0.0</v>
      </c>
      <c r="J9703" s="24">
        <v>0.0</v>
      </c>
      <c r="K9703" s="23" t="s">
        <v>34</v>
      </c>
      <c r="L9703" s="25">
        <v>41691.87944444444</v>
      </c>
      <c r="M9703" s="26" t="s">
        <v>21175</v>
      </c>
      <c r="N9703" s="26" t="s">
        <v>21083</v>
      </c>
      <c r="O9703" s="22" t="str">
        <f>HYPERLINK("https://pbs.twimg.com/profile_images/437100315016306688/gI1hCMaN_normal.jpeg","View")</f>
        <v>View</v>
      </c>
      <c r="P9703" s="27"/>
    </row>
    <row r="9704">
      <c r="A9704" s="14">
        <v>43032.09664351852</v>
      </c>
      <c r="B9704" s="20" t="str">
        <f>HYPERLINK("https://twitter.com/shahababas","@shahababas")</f>
        <v>@shahababas</v>
      </c>
      <c r="C9704" s="21" t="s">
        <v>21176</v>
      </c>
      <c r="D9704" s="21" t="s">
        <v>21177</v>
      </c>
      <c r="E9704" s="22" t="str">
        <f>HYPERLINK("https://twitter.com/shahababas/status/922754328305082368","922754328305082368")</f>
        <v>922754328305082368</v>
      </c>
      <c r="F9704" s="30" t="s">
        <v>411</v>
      </c>
      <c r="G9704" s="24">
        <v>65.0</v>
      </c>
      <c r="H9704" s="24">
        <v>153.0</v>
      </c>
      <c r="I9704" s="24">
        <v>0.0</v>
      </c>
      <c r="J9704" s="24">
        <v>0.0</v>
      </c>
      <c r="K9704" s="23" t="s">
        <v>34</v>
      </c>
      <c r="L9704" s="25">
        <v>41776.29429398148</v>
      </c>
      <c r="M9704" s="26" t="s">
        <v>40</v>
      </c>
      <c r="N9704" s="26" t="s">
        <v>21088</v>
      </c>
      <c r="O9704" s="22" t="str">
        <f>HYPERLINK("https://pbs.twimg.com/profile_images/467667390335954944/k_lDeToz_normal.jpeg","View")</f>
        <v>View</v>
      </c>
      <c r="P9704" s="27"/>
    </row>
    <row r="9705">
      <c r="A9705" s="14">
        <v>43032.09664351852</v>
      </c>
      <c r="B9705" s="20" t="str">
        <f>HYPERLINK("https://twitter.com/Freedom_Iran2","@Freedom_Iran2")</f>
        <v>@Freedom_Iran2</v>
      </c>
      <c r="C9705" s="21" t="s">
        <v>21178</v>
      </c>
      <c r="D9705" s="21" t="s">
        <v>21179</v>
      </c>
      <c r="E9705" s="22" t="str">
        <f>HYPERLINK("https://twitter.com/Freedom_Iran2/status/922754328787423233","922754328787423233")</f>
        <v>922754328787423233</v>
      </c>
      <c r="F9705" s="30" t="s">
        <v>411</v>
      </c>
      <c r="G9705" s="24">
        <v>560.0</v>
      </c>
      <c r="H9705" s="24">
        <v>429.0</v>
      </c>
      <c r="I9705" s="24">
        <v>0.0</v>
      </c>
      <c r="J9705" s="24">
        <v>0.0</v>
      </c>
      <c r="K9705" s="23" t="s">
        <v>34</v>
      </c>
      <c r="L9705" s="25">
        <v>41547.11927083333</v>
      </c>
      <c r="M9705" s="26" t="s">
        <v>40</v>
      </c>
      <c r="N9705" s="26" t="s">
        <v>21088</v>
      </c>
      <c r="O9705" s="22" t="str">
        <f>HYPERLINK("https://pbs.twimg.com/profile_images/378800000720698406/a476186ed7e957fdfe98d0612b6428cb_normal.jpeg","View")</f>
        <v>View</v>
      </c>
      <c r="P9705" s="27"/>
    </row>
    <row r="9706">
      <c r="A9706" s="14">
        <v>43032.09664351852</v>
      </c>
      <c r="B9706" s="20" t="str">
        <f>HYPERLINK("https://twitter.com/Mercedes_JOYCE","@Mercedes_JOYCE")</f>
        <v>@Mercedes_JOYCE</v>
      </c>
      <c r="C9706" s="21" t="s">
        <v>21180</v>
      </c>
      <c r="D9706" s="21" t="s">
        <v>21181</v>
      </c>
      <c r="E9706" s="22" t="str">
        <f>HYPERLINK("https://twitter.com/Mercedes_JOYCE/status/922754328904867841","922754328904867841")</f>
        <v>922754328904867841</v>
      </c>
      <c r="F9706" s="30" t="s">
        <v>411</v>
      </c>
      <c r="G9706" s="24">
        <v>352.0</v>
      </c>
      <c r="H9706" s="24">
        <v>494.0</v>
      </c>
      <c r="I9706" s="24">
        <v>0.0</v>
      </c>
      <c r="J9706" s="24">
        <v>0.0</v>
      </c>
      <c r="K9706" s="23" t="s">
        <v>34</v>
      </c>
      <c r="L9706" s="25">
        <v>41682.03896990741</v>
      </c>
      <c r="M9706" s="26" t="s">
        <v>40</v>
      </c>
      <c r="N9706" s="26" t="s">
        <v>21088</v>
      </c>
      <c r="O9706" s="22" t="str">
        <f>HYPERLINK("https://pbs.twimg.com/profile_images/433525819059613696/MM-5qj_R_normal.jpeg","View")</f>
        <v>View</v>
      </c>
      <c r="P9706" s="27"/>
    </row>
    <row r="9707">
      <c r="A9707" s="14">
        <v>43032.09664351852</v>
      </c>
      <c r="B9707" s="20" t="str">
        <f>HYPERLINK("https://twitter.com/freedom_2think","@freedom_2think")</f>
        <v>@freedom_2think</v>
      </c>
      <c r="C9707" s="21" t="s">
        <v>21182</v>
      </c>
      <c r="D9707" s="21" t="s">
        <v>21183</v>
      </c>
      <c r="E9707" s="22" t="str">
        <f>HYPERLINK("https://twitter.com/freedom_2think/status/922754329164910593","922754329164910593")</f>
        <v>922754329164910593</v>
      </c>
      <c r="F9707" s="30" t="s">
        <v>411</v>
      </c>
      <c r="G9707" s="24">
        <v>544.0</v>
      </c>
      <c r="H9707" s="24">
        <v>471.0</v>
      </c>
      <c r="I9707" s="24">
        <v>0.0</v>
      </c>
      <c r="J9707" s="24">
        <v>0.0</v>
      </c>
      <c r="K9707" s="23" t="s">
        <v>34</v>
      </c>
      <c r="L9707" s="25">
        <v>41567.085335648146</v>
      </c>
      <c r="M9707" s="26" t="s">
        <v>40</v>
      </c>
      <c r="N9707" s="26" t="s">
        <v>21088</v>
      </c>
      <c r="O9707" s="22" t="str">
        <f>HYPERLINK("https://pbs.twimg.com/profile_images/378800000622525588/de22efc2311b3ceba830fc7c0ea6ac1f_normal.jpeg","View")</f>
        <v>View</v>
      </c>
      <c r="P9707" s="27"/>
    </row>
    <row r="9708">
      <c r="A9708" s="14">
        <v>43032.09664351852</v>
      </c>
      <c r="B9708" s="20" t="str">
        <f>HYPERLINK("https://twitter.com/pars_News","@pars_News")</f>
        <v>@pars_News</v>
      </c>
      <c r="C9708" s="21" t="s">
        <v>21184</v>
      </c>
      <c r="D9708" s="21" t="s">
        <v>21185</v>
      </c>
      <c r="E9708" s="22" t="str">
        <f>HYPERLINK("https://twitter.com/pars_News/status/922754329336979456","922754329336979456")</f>
        <v>922754329336979456</v>
      </c>
      <c r="F9708" s="30" t="s">
        <v>411</v>
      </c>
      <c r="G9708" s="24">
        <v>604.0</v>
      </c>
      <c r="H9708" s="24">
        <v>453.0</v>
      </c>
      <c r="I9708" s="24">
        <v>0.0</v>
      </c>
      <c r="J9708" s="24">
        <v>0.0</v>
      </c>
      <c r="K9708" s="23" t="s">
        <v>34</v>
      </c>
      <c r="L9708" s="25">
        <v>41539.15925925926</v>
      </c>
      <c r="M9708" s="26" t="s">
        <v>40</v>
      </c>
      <c r="N9708" s="26" t="s">
        <v>21088</v>
      </c>
      <c r="O9708" s="22" t="str">
        <f>HYPERLINK("https://pbs.twimg.com/profile_images/378800000720835602/dea0045838bd08dad053c6dfb4705b2a_normal.jpeg","View")</f>
        <v>View</v>
      </c>
      <c r="P9708" s="27"/>
    </row>
    <row r="9709">
      <c r="A9709" s="14">
        <v>43032.096655092595</v>
      </c>
      <c r="B9709" s="20" t="str">
        <f>HYPERLINK("https://twitter.com/dignity4riders","@dignity4riders")</f>
        <v>@dignity4riders</v>
      </c>
      <c r="C9709" s="21" t="s">
        <v>21186</v>
      </c>
      <c r="D9709" s="21" t="s">
        <v>21187</v>
      </c>
      <c r="E9709" s="22" t="str">
        <f>HYPERLINK("https://twitter.com/dignity4riders/status/922754331140505601","922754331140505601")</f>
        <v>922754331140505601</v>
      </c>
      <c r="F9709" s="30" t="s">
        <v>411</v>
      </c>
      <c r="G9709" s="24">
        <v>224.0</v>
      </c>
      <c r="H9709" s="24">
        <v>416.0</v>
      </c>
      <c r="I9709" s="24">
        <v>0.0</v>
      </c>
      <c r="J9709" s="24">
        <v>0.0</v>
      </c>
      <c r="K9709" s="23" t="s">
        <v>34</v>
      </c>
      <c r="L9709" s="25">
        <v>41573.064791666664</v>
      </c>
      <c r="M9709" s="26" t="s">
        <v>40</v>
      </c>
      <c r="N9709" s="26" t="s">
        <v>21141</v>
      </c>
      <c r="O9709" s="22" t="str">
        <f>HYPERLINK("https://pbs.twimg.com/profile_images/378800000649178227/6d0eba9486d10b15634724584c95bedb_normal.jpeg","View")</f>
        <v>View</v>
      </c>
      <c r="P9709" s="27"/>
    </row>
    <row r="9710">
      <c r="A9710" s="14">
        <v>43032.096655092595</v>
      </c>
      <c r="B9710" s="20" t="str">
        <f>HYPERLINK("https://twitter.com/AlirezaPourMoha","@AlirezaPourMoha")</f>
        <v>@AlirezaPourMoha</v>
      </c>
      <c r="C9710" s="21" t="s">
        <v>21188</v>
      </c>
      <c r="D9710" s="21" t="s">
        <v>21189</v>
      </c>
      <c r="E9710" s="22" t="str">
        <f>HYPERLINK("https://twitter.com/AlirezaPourMoha/status/922754332130447360","922754332130447360")</f>
        <v>922754332130447360</v>
      </c>
      <c r="F9710" s="30" t="s">
        <v>411</v>
      </c>
      <c r="G9710" s="24">
        <v>723.0</v>
      </c>
      <c r="H9710" s="24">
        <v>428.0</v>
      </c>
      <c r="I9710" s="24">
        <v>0.0</v>
      </c>
      <c r="J9710" s="24">
        <v>0.0</v>
      </c>
      <c r="K9710" s="23" t="s">
        <v>34</v>
      </c>
      <c r="L9710" s="25">
        <v>41524.4853125</v>
      </c>
      <c r="M9710" s="26" t="s">
        <v>40</v>
      </c>
      <c r="N9710" s="26" t="s">
        <v>21088</v>
      </c>
      <c r="O9710" s="22" t="str">
        <f>HYPERLINK("https://pbs.twimg.com/profile_images/378800000425291539/9075c1a0bbc17cb870be81af2c122167_normal.jpeg","View")</f>
        <v>View</v>
      </c>
      <c r="P9710" s="27"/>
    </row>
    <row r="9711">
      <c r="A9711" s="14">
        <v>43032.09695601852</v>
      </c>
      <c r="B9711" s="20" t="str">
        <f>HYPERLINK("https://twitter.com/BhramHbiby","@BhramHbiby")</f>
        <v>@BhramHbiby</v>
      </c>
      <c r="C9711" s="21" t="s">
        <v>21190</v>
      </c>
      <c r="D9711" s="21" t="s">
        <v>21191</v>
      </c>
      <c r="E9711" s="22" t="str">
        <f>HYPERLINK("https://twitter.com/BhramHbiby/status/922754442285461504","922754442285461504")</f>
        <v>922754442285461504</v>
      </c>
      <c r="F9711" s="23" t="s">
        <v>86</v>
      </c>
      <c r="G9711" s="24">
        <v>135.0</v>
      </c>
      <c r="H9711" s="24">
        <v>162.0</v>
      </c>
      <c r="I9711" s="24">
        <v>42.0</v>
      </c>
      <c r="J9711" s="24">
        <v>0.0</v>
      </c>
      <c r="K9711" s="23" t="s">
        <v>34</v>
      </c>
      <c r="L9711" s="25">
        <v>41770.280011574076</v>
      </c>
      <c r="M9711" s="26" t="s">
        <v>8333</v>
      </c>
      <c r="N9711" s="26" t="s">
        <v>21192</v>
      </c>
      <c r="O9711" s="22" t="str">
        <f>HYPERLINK("https://pbs.twimg.com/profile_images/465488387424518145/KpAxHK4t_normal.png","View")</f>
        <v>View</v>
      </c>
      <c r="P9711" s="27"/>
    </row>
    <row r="9712">
      <c r="A9712" s="14">
        <v>43032.09707175926</v>
      </c>
      <c r="B9712" s="20" t="str">
        <f>HYPERLINK("https://twitter.com/Yasmine__ROMERO","@Yasmine__ROMERO")</f>
        <v>@Yasmine__ROMERO</v>
      </c>
      <c r="C9712" s="21" t="s">
        <v>21193</v>
      </c>
      <c r="D9712" s="21" t="s">
        <v>21194</v>
      </c>
      <c r="E9712" s="22" t="str">
        <f>HYPERLINK("https://twitter.com/Yasmine__ROMERO/status/922754484513554432","922754484513554432")</f>
        <v>922754484513554432</v>
      </c>
      <c r="F9712" s="23" t="s">
        <v>86</v>
      </c>
      <c r="G9712" s="24">
        <v>345.0</v>
      </c>
      <c r="H9712" s="24">
        <v>392.0</v>
      </c>
      <c r="I9712" s="24">
        <v>35.0</v>
      </c>
      <c r="J9712" s="24">
        <v>0.0</v>
      </c>
      <c r="K9712" s="23" t="s">
        <v>34</v>
      </c>
      <c r="L9712" s="25">
        <v>41684.28732638889</v>
      </c>
      <c r="M9712" s="26" t="s">
        <v>7794</v>
      </c>
      <c r="N9712" s="26" t="s">
        <v>21083</v>
      </c>
      <c r="O9712" s="22" t="str">
        <f>HYPERLINK("https://pbs.twimg.com/profile_images/434340004924362752/VhWR2_Cg_normal.jpeg","View")</f>
        <v>View</v>
      </c>
      <c r="P9712" s="27"/>
    </row>
    <row r="9713">
      <c r="A9713" s="14">
        <v>43032.09788194444</v>
      </c>
      <c r="B9713" s="20" t="str">
        <f>HYPERLINK("https://twitter.com/Mojahedineng","@Mojahedineng")</f>
        <v>@Mojahedineng</v>
      </c>
      <c r="C9713" s="21" t="s">
        <v>21106</v>
      </c>
      <c r="D9713" s="21" t="s">
        <v>21195</v>
      </c>
      <c r="E9713" s="22" t="str">
        <f>HYPERLINK("https://twitter.com/Mojahedineng/status/922754779192930304","922754779192930304")</f>
        <v>922754779192930304</v>
      </c>
      <c r="F9713" s="23" t="s">
        <v>86</v>
      </c>
      <c r="G9713" s="24">
        <v>10444.0</v>
      </c>
      <c r="H9713" s="24">
        <v>2.0</v>
      </c>
      <c r="I9713" s="24">
        <v>39.0</v>
      </c>
      <c r="J9713" s="24">
        <v>3.0</v>
      </c>
      <c r="K9713" s="23" t="s">
        <v>34</v>
      </c>
      <c r="L9713" s="25">
        <v>40026.47795138889</v>
      </c>
      <c r="M9713" s="26" t="s">
        <v>21108</v>
      </c>
      <c r="N9713" s="26" t="s">
        <v>21109</v>
      </c>
      <c r="O9713" s="22" t="str">
        <f>HYPERLINK("https://pbs.twimg.com/profile_images/3173295102/f160eefbf0125c34aa1195a31c897286_normal.jpeg","View")</f>
        <v>View</v>
      </c>
      <c r="P9713" s="27"/>
    </row>
    <row r="9714">
      <c r="A9714" s="14">
        <v>43032.097905092596</v>
      </c>
      <c r="B9714" s="20" t="str">
        <f>HYPERLINK("https://twitter.com/DhrishBBHANSALI","@DhrishBBHANSALI")</f>
        <v>@DhrishBBHANSALI</v>
      </c>
      <c r="C9714" s="21" t="s">
        <v>21196</v>
      </c>
      <c r="D9714" s="21" t="s">
        <v>42</v>
      </c>
      <c r="E9714" s="22" t="str">
        <f>HYPERLINK("https://twitter.com/DhrishBBHANSALI/status/922754786532851713","922754786532851713")</f>
        <v>922754786532851713</v>
      </c>
      <c r="F9714" s="23" t="s">
        <v>33</v>
      </c>
      <c r="G9714" s="24">
        <v>78.0</v>
      </c>
      <c r="H9714" s="24">
        <v>607.0</v>
      </c>
      <c r="I9714" s="24">
        <v>8501.0</v>
      </c>
      <c r="J9714" s="24">
        <v>0.0</v>
      </c>
      <c r="K9714" s="23" t="s">
        <v>34</v>
      </c>
      <c r="L9714" s="25">
        <v>41818.05967592593</v>
      </c>
      <c r="M9714" s="26" t="s">
        <v>21197</v>
      </c>
      <c r="N9714" s="26" t="s">
        <v>21198</v>
      </c>
      <c r="O9714" s="22" t="str">
        <f>HYPERLINK("https://pbs.twimg.com/profile_images/547418273688453122/TF_u7oR6_normal.jpeg","View")</f>
        <v>View</v>
      </c>
      <c r="P9714" s="27"/>
    </row>
    <row r="9715">
      <c r="A9715" s="14">
        <v>43032.09832175926</v>
      </c>
      <c r="B9715" s="20" t="str">
        <f>HYPERLINK("https://twitter.com/GautamShivendu","@GautamShivendu")</f>
        <v>@GautamShivendu</v>
      </c>
      <c r="C9715" s="21" t="s">
        <v>21199</v>
      </c>
      <c r="D9715" s="21" t="s">
        <v>42</v>
      </c>
      <c r="E9715" s="22" t="str">
        <f>HYPERLINK("https://twitter.com/GautamShivendu/status/922754935128592384","922754935128592384")</f>
        <v>922754935128592384</v>
      </c>
      <c r="F9715" s="23" t="s">
        <v>43</v>
      </c>
      <c r="G9715" s="24">
        <v>241.0</v>
      </c>
      <c r="H9715" s="24">
        <v>434.0</v>
      </c>
      <c r="I9715" s="24">
        <v>8501.0</v>
      </c>
      <c r="J9715" s="24">
        <v>0.0</v>
      </c>
      <c r="K9715" s="23" t="s">
        <v>34</v>
      </c>
      <c r="L9715" s="25">
        <v>41567.3059375</v>
      </c>
      <c r="M9715" s="26" t="s">
        <v>21200</v>
      </c>
      <c r="N9715" s="33" t="s">
        <v>21201</v>
      </c>
      <c r="O9715" s="22" t="str">
        <f>HYPERLINK("https://pbs.twimg.com/profile_images/921452576997912576/wM5ry4Uk_normal.jpg","View")</f>
        <v>View</v>
      </c>
      <c r="P9715" s="27"/>
    </row>
    <row r="9716">
      <c r="A9716" s="14">
        <v>43032.09832175926</v>
      </c>
      <c r="B9716" s="20" t="str">
        <f t="shared" ref="B9716:B9717" si="191">HYPERLINK("https://twitter.com/Yasmine__ROMERO","@Yasmine__ROMERO")</f>
        <v>@Yasmine__ROMERO</v>
      </c>
      <c r="C9716" s="21" t="s">
        <v>21193</v>
      </c>
      <c r="D9716" s="21" t="s">
        <v>21202</v>
      </c>
      <c r="E9716" s="22" t="str">
        <f>HYPERLINK("https://twitter.com/Yasmine__ROMERO/status/922754937934585856","922754937934585856")</f>
        <v>922754937934585856</v>
      </c>
      <c r="F9716" s="23" t="s">
        <v>86</v>
      </c>
      <c r="G9716" s="24">
        <v>345.0</v>
      </c>
      <c r="H9716" s="24">
        <v>392.0</v>
      </c>
      <c r="I9716" s="24">
        <v>79.0</v>
      </c>
      <c r="J9716" s="24">
        <v>0.0</v>
      </c>
      <c r="K9716" s="23" t="s">
        <v>34</v>
      </c>
      <c r="L9716" s="25">
        <v>41684.28732638889</v>
      </c>
      <c r="M9716" s="26" t="s">
        <v>7794</v>
      </c>
      <c r="N9716" s="26" t="s">
        <v>21083</v>
      </c>
      <c r="O9716" s="22" t="str">
        <f t="shared" ref="O9716:O9717" si="192">HYPERLINK("https://pbs.twimg.com/profile_images/434340004924362752/VhWR2_Cg_normal.jpeg","View")</f>
        <v>View</v>
      </c>
      <c r="P9716" s="27"/>
    </row>
    <row r="9717">
      <c r="A9717" s="14">
        <v>43032.09868055556</v>
      </c>
      <c r="B9717" s="20" t="str">
        <f t="shared" si="191"/>
        <v>@Yasmine__ROMERO</v>
      </c>
      <c r="C9717" s="21" t="s">
        <v>21193</v>
      </c>
      <c r="D9717" s="21" t="s">
        <v>21203</v>
      </c>
      <c r="E9717" s="22" t="str">
        <f>HYPERLINK("https://twitter.com/Yasmine__ROMERO/status/922755068276781056","922755068276781056")</f>
        <v>922755068276781056</v>
      </c>
      <c r="F9717" s="23" t="s">
        <v>86</v>
      </c>
      <c r="G9717" s="24">
        <v>345.0</v>
      </c>
      <c r="H9717" s="24">
        <v>392.0</v>
      </c>
      <c r="I9717" s="24">
        <v>75.0</v>
      </c>
      <c r="J9717" s="24">
        <v>0.0</v>
      </c>
      <c r="K9717" s="23" t="s">
        <v>34</v>
      </c>
      <c r="L9717" s="25">
        <v>41684.28732638889</v>
      </c>
      <c r="M9717" s="26" t="s">
        <v>7794</v>
      </c>
      <c r="N9717" s="26" t="s">
        <v>21083</v>
      </c>
      <c r="O9717" s="22" t="str">
        <f t="shared" si="192"/>
        <v>View</v>
      </c>
      <c r="P9717" s="27"/>
    </row>
    <row r="9718">
      <c r="A9718" s="14">
        <v>43032.098703703705</v>
      </c>
      <c r="B9718" s="20" t="str">
        <f>HYPERLINK("https://twitter.com/larisashvetsov3","@larisashvetsov3")</f>
        <v>@larisashvetsov3</v>
      </c>
      <c r="C9718" s="21" t="s">
        <v>21204</v>
      </c>
      <c r="D9718" s="21" t="s">
        <v>8072</v>
      </c>
      <c r="E9718" s="22" t="str">
        <f>HYPERLINK("https://twitter.com/larisashvetsov3/status/922755075474198528","922755075474198528")</f>
        <v>922755075474198528</v>
      </c>
      <c r="F9718" s="23" t="s">
        <v>55</v>
      </c>
      <c r="G9718" s="24">
        <v>0.0</v>
      </c>
      <c r="H9718" s="24">
        <v>2.0</v>
      </c>
      <c r="I9718" s="24">
        <v>28.0</v>
      </c>
      <c r="J9718" s="24">
        <v>0.0</v>
      </c>
      <c r="K9718" s="23" t="s">
        <v>34</v>
      </c>
      <c r="L9718" s="25">
        <v>43006.11549768518</v>
      </c>
      <c r="M9718" s="28"/>
      <c r="N9718" s="28"/>
      <c r="O9718" s="22" t="str">
        <f>HYPERLINK("https://pbs.twimg.com/profile_images/922644513901780992/M6o-REl9_normal.jpg","View")</f>
        <v>View</v>
      </c>
      <c r="P9718" s="27"/>
    </row>
    <row r="9719">
      <c r="A9719" s="14">
        <v>43032.0987962963</v>
      </c>
      <c r="B9719" s="20" t="str">
        <f>HYPERLINK("https://twitter.com/AJWasahi","@AJWasahi")</f>
        <v>@AJWasahi</v>
      </c>
      <c r="C9719" s="21" t="s">
        <v>20210</v>
      </c>
      <c r="D9719" s="21" t="s">
        <v>21205</v>
      </c>
      <c r="E9719" s="22" t="str">
        <f>HYPERLINK("https://twitter.com/AJWasahi/status/922755106998697985","922755106998697985")</f>
        <v>922755106998697985</v>
      </c>
      <c r="F9719" s="23" t="s">
        <v>55</v>
      </c>
      <c r="G9719" s="24">
        <v>13524.0</v>
      </c>
      <c r="H9719" s="24">
        <v>15.0</v>
      </c>
      <c r="I9719" s="24">
        <v>2.0</v>
      </c>
      <c r="J9719" s="24">
        <v>1.0</v>
      </c>
      <c r="K9719" s="23" t="s">
        <v>34</v>
      </c>
      <c r="L9719" s="25">
        <v>40660.02068287037</v>
      </c>
      <c r="M9719" s="26" t="s">
        <v>20212</v>
      </c>
      <c r="N9719" s="26" t="s">
        <v>20213</v>
      </c>
      <c r="O9719" s="22" t="str">
        <f>HYPERLINK("https://pbs.twimg.com/profile_images/2748998510/e09ce788ebc18de90c6bd2db544967ee_normal.png","View")</f>
        <v>View</v>
      </c>
      <c r="P9719" s="27"/>
    </row>
    <row r="9720">
      <c r="A9720" s="14">
        <v>43032.09953703704</v>
      </c>
      <c r="B9720" s="20" t="str">
        <f>HYPERLINK("https://twitter.com/noikeanolife","@noikeanolife")</f>
        <v>@noikeanolife</v>
      </c>
      <c r="C9720" s="21" t="s">
        <v>21206</v>
      </c>
      <c r="D9720" s="21" t="s">
        <v>20915</v>
      </c>
      <c r="E9720" s="22" t="str">
        <f>HYPERLINK("https://twitter.com/noikeanolife/status/922755378072322048","922755378072322048")</f>
        <v>922755378072322048</v>
      </c>
      <c r="F9720" s="23" t="s">
        <v>55</v>
      </c>
      <c r="G9720" s="24">
        <v>3760.0</v>
      </c>
      <c r="H9720" s="24">
        <v>3355.0</v>
      </c>
      <c r="I9720" s="24">
        <v>5.0</v>
      </c>
      <c r="J9720" s="24">
        <v>0.0</v>
      </c>
      <c r="K9720" s="23" t="s">
        <v>34</v>
      </c>
      <c r="L9720" s="25">
        <v>40354.9662962963</v>
      </c>
      <c r="M9720" s="26" t="s">
        <v>21207</v>
      </c>
      <c r="N9720" s="26" t="s">
        <v>21208</v>
      </c>
      <c r="O9720" s="22" t="str">
        <f>HYPERLINK("https://pbs.twimg.com/profile_images/479755170314604545/3XyKdzvj_normal.png","View")</f>
        <v>View</v>
      </c>
      <c r="P9720" s="27"/>
    </row>
    <row r="9721">
      <c r="A9721" s="14">
        <v>43032.09967592593</v>
      </c>
      <c r="B9721" s="20" t="str">
        <f>HYPERLINK("https://twitter.com/serenahrm","@serenahrm")</f>
        <v>@serenahrm</v>
      </c>
      <c r="C9721" s="21" t="s">
        <v>21209</v>
      </c>
      <c r="D9721" s="21" t="s">
        <v>17363</v>
      </c>
      <c r="E9721" s="22" t="str">
        <f>HYPERLINK("https://twitter.com/serenahrm/status/922755427070349312","922755427070349312")</f>
        <v>922755427070349312</v>
      </c>
      <c r="F9721" s="23" t="s">
        <v>55</v>
      </c>
      <c r="G9721" s="24">
        <v>76.0</v>
      </c>
      <c r="H9721" s="24">
        <v>4.0</v>
      </c>
      <c r="I9721" s="24">
        <v>17.0</v>
      </c>
      <c r="J9721" s="24">
        <v>0.0</v>
      </c>
      <c r="K9721" s="23" t="s">
        <v>34</v>
      </c>
      <c r="L9721" s="25">
        <v>41369.2328125</v>
      </c>
      <c r="M9721" s="26" t="s">
        <v>21210</v>
      </c>
      <c r="N9721" s="26" t="s">
        <v>21211</v>
      </c>
      <c r="O9721" s="22" t="str">
        <f>HYPERLINK("https://pbs.twimg.com/profile_images/885541969002455041/fZey2S9g_normal.jpg","View")</f>
        <v>View</v>
      </c>
      <c r="P9721" s="27"/>
    </row>
    <row r="9722">
      <c r="A9722" s="14">
        <v>43032.0999537037</v>
      </c>
      <c r="B9722" s="20" t="str">
        <f>HYPERLINK("https://twitter.com/WorldsPolitics1","@WorldsPolitics1")</f>
        <v>@WorldsPolitics1</v>
      </c>
      <c r="C9722" s="21" t="s">
        <v>21212</v>
      </c>
      <c r="D9722" s="21" t="s">
        <v>21213</v>
      </c>
      <c r="E9722" s="22" t="str">
        <f>HYPERLINK("https://twitter.com/WorldsPolitics1/status/922755525913165824","922755525913165824")</f>
        <v>922755525913165824</v>
      </c>
      <c r="F9722" s="23" t="s">
        <v>33</v>
      </c>
      <c r="G9722" s="24">
        <v>1.0</v>
      </c>
      <c r="H9722" s="24">
        <v>118.0</v>
      </c>
      <c r="I9722" s="24">
        <v>2.0</v>
      </c>
      <c r="J9722" s="24">
        <v>0.0</v>
      </c>
      <c r="K9722" s="23" t="s">
        <v>34</v>
      </c>
      <c r="L9722" s="25">
        <v>43018.34674768518</v>
      </c>
      <c r="M9722" s="28"/>
      <c r="N9722" s="28"/>
      <c r="O9722" s="22" t="str">
        <f>HYPERLINK("https://abs.twimg.com/sticky/default_profile_images/default_profile_normal.png","View")</f>
        <v>View</v>
      </c>
      <c r="P9722" s="27"/>
    </row>
    <row r="9723">
      <c r="A9723" s="14">
        <v>43032.10018518519</v>
      </c>
      <c r="B9723" s="20" t="str">
        <f>HYPERLINK("https://twitter.com/FAhmadzadeh","@FAhmadzadeh")</f>
        <v>@FAhmadzadeh</v>
      </c>
      <c r="C9723" s="21" t="s">
        <v>21214</v>
      </c>
      <c r="D9723" s="21" t="s">
        <v>21215</v>
      </c>
      <c r="E9723" s="22" t="str">
        <f>HYPERLINK("https://twitter.com/FAhmadzadeh/status/922755609841172480","922755609841172480")</f>
        <v>922755609841172480</v>
      </c>
      <c r="F9723" s="23" t="s">
        <v>86</v>
      </c>
      <c r="G9723" s="24">
        <v>417.0</v>
      </c>
      <c r="H9723" s="24">
        <v>125.0</v>
      </c>
      <c r="I9723" s="24">
        <v>39.0</v>
      </c>
      <c r="J9723" s="24">
        <v>0.0</v>
      </c>
      <c r="K9723" s="23" t="s">
        <v>34</v>
      </c>
      <c r="L9723" s="25">
        <v>41776.09587962963</v>
      </c>
      <c r="M9723" s="26" t="s">
        <v>21216</v>
      </c>
      <c r="N9723" s="26" t="s">
        <v>21217</v>
      </c>
      <c r="O9723" s="22" t="str">
        <f>HYPERLINK("https://pbs.twimg.com/profile_images/467595249787731968/6PEw2MVx_normal.jpeg","View")</f>
        <v>View</v>
      </c>
      <c r="P9723" s="27"/>
    </row>
    <row r="9724">
      <c r="A9724" s="14">
        <v>43032.10035879629</v>
      </c>
      <c r="B9724" s="20" t="str">
        <f>HYPERLINK("https://twitter.com/russel_altman","@russel_altman")</f>
        <v>@russel_altman</v>
      </c>
      <c r="C9724" s="21" t="s">
        <v>21218</v>
      </c>
      <c r="D9724" s="21" t="s">
        <v>21215</v>
      </c>
      <c r="E9724" s="22" t="str">
        <f>HYPERLINK("https://twitter.com/russel_altman/status/922755675830095872","922755675830095872")</f>
        <v>922755675830095872</v>
      </c>
      <c r="F9724" s="23" t="s">
        <v>86</v>
      </c>
      <c r="G9724" s="24">
        <v>186.0</v>
      </c>
      <c r="H9724" s="24">
        <v>79.0</v>
      </c>
      <c r="I9724" s="24">
        <v>39.0</v>
      </c>
      <c r="J9724" s="24">
        <v>0.0</v>
      </c>
      <c r="K9724" s="23" t="s">
        <v>34</v>
      </c>
      <c r="L9724" s="25">
        <v>41868.32855324074</v>
      </c>
      <c r="M9724" s="26" t="s">
        <v>6118</v>
      </c>
      <c r="N9724" s="26" t="s">
        <v>21219</v>
      </c>
      <c r="O9724" s="22" t="str">
        <f>HYPERLINK("https://pbs.twimg.com/profile_images/501426502383050752/dUqkNCAg_normal.jpeg","View")</f>
        <v>View</v>
      </c>
      <c r="P9724" s="27"/>
    </row>
    <row r="9725">
      <c r="A9725" s="14">
        <v>43032.10041666667</v>
      </c>
      <c r="B9725" s="20" t="str">
        <f>HYPERLINK("https://twitter.com/FAhmadzadeh","@FAhmadzadeh")</f>
        <v>@FAhmadzadeh</v>
      </c>
      <c r="C9725" s="21" t="s">
        <v>21214</v>
      </c>
      <c r="D9725" s="21" t="s">
        <v>21194</v>
      </c>
      <c r="E9725" s="22" t="str">
        <f>HYPERLINK("https://twitter.com/FAhmadzadeh/status/922755694633160704","922755694633160704")</f>
        <v>922755694633160704</v>
      </c>
      <c r="F9725" s="23" t="s">
        <v>86</v>
      </c>
      <c r="G9725" s="24">
        <v>417.0</v>
      </c>
      <c r="H9725" s="24">
        <v>125.0</v>
      </c>
      <c r="I9725" s="24">
        <v>35.0</v>
      </c>
      <c r="J9725" s="24">
        <v>0.0</v>
      </c>
      <c r="K9725" s="23" t="s">
        <v>34</v>
      </c>
      <c r="L9725" s="25">
        <v>41776.09587962963</v>
      </c>
      <c r="M9725" s="26" t="s">
        <v>21216</v>
      </c>
      <c r="N9725" s="26" t="s">
        <v>21217</v>
      </c>
      <c r="O9725" s="22" t="str">
        <f>HYPERLINK("https://pbs.twimg.com/profile_images/467595249787731968/6PEw2MVx_normal.jpeg","View")</f>
        <v>View</v>
      </c>
      <c r="P9725" s="27"/>
    </row>
    <row r="9726">
      <c r="A9726" s="14">
        <v>43032.10056712963</v>
      </c>
      <c r="B9726" s="20" t="str">
        <f>HYPERLINK("https://twitter.com/russel_altman","@russel_altman")</f>
        <v>@russel_altman</v>
      </c>
      <c r="C9726" s="21" t="s">
        <v>21218</v>
      </c>
      <c r="D9726" s="21" t="s">
        <v>21194</v>
      </c>
      <c r="E9726" s="22" t="str">
        <f>HYPERLINK("https://twitter.com/russel_altman/status/922755752242028544","922755752242028544")</f>
        <v>922755752242028544</v>
      </c>
      <c r="F9726" s="23" t="s">
        <v>86</v>
      </c>
      <c r="G9726" s="24">
        <v>186.0</v>
      </c>
      <c r="H9726" s="24">
        <v>79.0</v>
      </c>
      <c r="I9726" s="24">
        <v>35.0</v>
      </c>
      <c r="J9726" s="24">
        <v>0.0</v>
      </c>
      <c r="K9726" s="23" t="s">
        <v>34</v>
      </c>
      <c r="L9726" s="25">
        <v>41868.32855324074</v>
      </c>
      <c r="M9726" s="26" t="s">
        <v>6118</v>
      </c>
      <c r="N9726" s="26" t="s">
        <v>21219</v>
      </c>
      <c r="O9726" s="22" t="str">
        <f>HYPERLINK("https://pbs.twimg.com/profile_images/501426502383050752/dUqkNCAg_normal.jpeg","View")</f>
        <v>View</v>
      </c>
      <c r="P9726" s="27"/>
    </row>
    <row r="9727">
      <c r="A9727" s="14">
        <v>43032.10077546297</v>
      </c>
      <c r="B9727" s="20" t="str">
        <f>HYPERLINK("https://twitter.com/cocu_yang","@cocu_yang")</f>
        <v>@cocu_yang</v>
      </c>
      <c r="C9727" s="21" t="s">
        <v>21220</v>
      </c>
      <c r="D9727" s="21" t="s">
        <v>10370</v>
      </c>
      <c r="E9727" s="22" t="str">
        <f>HYPERLINK("https://twitter.com/cocu_yang/status/922755827563245569","922755827563245569")</f>
        <v>922755827563245569</v>
      </c>
      <c r="F9727" s="23" t="s">
        <v>230</v>
      </c>
      <c r="G9727" s="24">
        <v>2020.0</v>
      </c>
      <c r="H9727" s="24">
        <v>1130.0</v>
      </c>
      <c r="I9727" s="24">
        <v>10.0</v>
      </c>
      <c r="J9727" s="24">
        <v>0.0</v>
      </c>
      <c r="K9727" s="23" t="s">
        <v>34</v>
      </c>
      <c r="L9727" s="25">
        <v>40201.007256944446</v>
      </c>
      <c r="M9727" s="26" t="s">
        <v>21221</v>
      </c>
      <c r="N9727" s="26" t="s">
        <v>21222</v>
      </c>
      <c r="O9727" s="22" t="str">
        <f>HYPERLINK("https://pbs.twimg.com/profile_images/726944503731359744/yEjagfY1_normal.jpg","View")</f>
        <v>View</v>
      </c>
      <c r="P9727" s="27"/>
    </row>
    <row r="9728">
      <c r="A9728" s="14">
        <v>43032.100856481484</v>
      </c>
      <c r="B9728" s="20" t="str">
        <f>HYPERLINK("https://twitter.com/3rdbadstory","@3rdbadstory")</f>
        <v>@3rdbadstory</v>
      </c>
      <c r="C9728" s="21" t="s">
        <v>21223</v>
      </c>
      <c r="D9728" s="21" t="s">
        <v>19016</v>
      </c>
      <c r="E9728" s="22" t="str">
        <f>HYPERLINK("https://twitter.com/3rdbadstory/status/922755854541008896","922755854541008896")</f>
        <v>922755854541008896</v>
      </c>
      <c r="F9728" s="23" t="s">
        <v>39</v>
      </c>
      <c r="G9728" s="24">
        <v>460.0</v>
      </c>
      <c r="H9728" s="24">
        <v>26.0</v>
      </c>
      <c r="I9728" s="24">
        <v>51.0</v>
      </c>
      <c r="J9728" s="24">
        <v>0.0</v>
      </c>
      <c r="K9728" s="23" t="s">
        <v>34</v>
      </c>
      <c r="L9728" s="25">
        <v>42470.20226851852</v>
      </c>
      <c r="M9728" s="28"/>
      <c r="N9728" s="26" t="s">
        <v>21224</v>
      </c>
      <c r="O9728" s="22" t="str">
        <f>HYPERLINK("https://pbs.twimg.com/profile_images/792863179571204096/aaGP8o2V_normal.jpg","View")</f>
        <v>View</v>
      </c>
      <c r="P9728" s="27"/>
    </row>
    <row r="9729">
      <c r="A9729" s="14">
        <v>43032.101064814815</v>
      </c>
      <c r="B9729" s="20" t="str">
        <f>HYPERLINK("https://twitter.com/HarshKothari001","@HarshKothari001")</f>
        <v>@HarshKothari001</v>
      </c>
      <c r="C9729" s="21" t="s">
        <v>21225</v>
      </c>
      <c r="D9729" s="21" t="s">
        <v>42</v>
      </c>
      <c r="E9729" s="22" t="str">
        <f>HYPERLINK("https://twitter.com/HarshKothari001/status/922755931112222720","922755931112222720")</f>
        <v>922755931112222720</v>
      </c>
      <c r="F9729" s="23" t="s">
        <v>39</v>
      </c>
      <c r="G9729" s="24">
        <v>571.0</v>
      </c>
      <c r="H9729" s="24">
        <v>754.0</v>
      </c>
      <c r="I9729" s="24">
        <v>8501.0</v>
      </c>
      <c r="J9729" s="24">
        <v>0.0</v>
      </c>
      <c r="K9729" s="23" t="s">
        <v>34</v>
      </c>
      <c r="L9729" s="25">
        <v>41924.462002314816</v>
      </c>
      <c r="M9729" s="26" t="s">
        <v>5280</v>
      </c>
      <c r="N9729" s="26" t="s">
        <v>21226</v>
      </c>
      <c r="O9729" s="22" t="str">
        <f>HYPERLINK("https://pbs.twimg.com/profile_images/548815773293375488/Bt17TX_d_normal.jpeg","View")</f>
        <v>View</v>
      </c>
      <c r="P9729" s="27"/>
    </row>
    <row r="9730">
      <c r="A9730" s="14">
        <v>43032.101493055554</v>
      </c>
      <c r="B9730" s="20" t="str">
        <f>HYPERLINK("https://twitter.com/FAhmadzadeh","@FAhmadzadeh")</f>
        <v>@FAhmadzadeh</v>
      </c>
      <c r="C9730" s="21" t="s">
        <v>21214</v>
      </c>
      <c r="D9730" s="21" t="s">
        <v>21202</v>
      </c>
      <c r="E9730" s="22" t="str">
        <f>HYPERLINK("https://twitter.com/FAhmadzadeh/status/922756084107902976","922756084107902976")</f>
        <v>922756084107902976</v>
      </c>
      <c r="F9730" s="23" t="s">
        <v>86</v>
      </c>
      <c r="G9730" s="24">
        <v>417.0</v>
      </c>
      <c r="H9730" s="24">
        <v>125.0</v>
      </c>
      <c r="I9730" s="24">
        <v>79.0</v>
      </c>
      <c r="J9730" s="24">
        <v>0.0</v>
      </c>
      <c r="K9730" s="23" t="s">
        <v>34</v>
      </c>
      <c r="L9730" s="25">
        <v>41776.09587962963</v>
      </c>
      <c r="M9730" s="26" t="s">
        <v>21216</v>
      </c>
      <c r="N9730" s="26" t="s">
        <v>21217</v>
      </c>
      <c r="O9730" s="22" t="str">
        <f>HYPERLINK("https://pbs.twimg.com/profile_images/467595249787731968/6PEw2MVx_normal.jpeg","View")</f>
        <v>View</v>
      </c>
      <c r="P9730" s="27"/>
    </row>
    <row r="9731">
      <c r="A9731" s="14">
        <v>43032.10155092593</v>
      </c>
      <c r="B9731" s="20" t="str">
        <f>HYPERLINK("https://twitter.com/JamesTurnbull","@JamesTurnbull")</f>
        <v>@JamesTurnbull</v>
      </c>
      <c r="C9731" s="21" t="s">
        <v>21227</v>
      </c>
      <c r="D9731" s="21" t="s">
        <v>21228</v>
      </c>
      <c r="E9731" s="22" t="str">
        <f>HYPERLINK("https://twitter.com/JamesTurnbull/status/922756108250476545","922756108250476545")</f>
        <v>922756108250476545</v>
      </c>
      <c r="F9731" s="23" t="s">
        <v>427</v>
      </c>
      <c r="G9731" s="24">
        <v>2820.0</v>
      </c>
      <c r="H9731" s="24">
        <v>750.0</v>
      </c>
      <c r="I9731" s="24">
        <v>2.0</v>
      </c>
      <c r="J9731" s="24">
        <v>1.0</v>
      </c>
      <c r="K9731" s="23" t="s">
        <v>34</v>
      </c>
      <c r="L9731" s="25">
        <v>39579.23296296296</v>
      </c>
      <c r="M9731" s="26" t="s">
        <v>21229</v>
      </c>
      <c r="N9731" s="26" t="s">
        <v>21230</v>
      </c>
      <c r="O9731" s="22" t="str">
        <f>HYPERLINK("https://pbs.twimg.com/profile_images/205408799/ff_normal.jpg","View")</f>
        <v>View</v>
      </c>
      <c r="P9731" s="27"/>
    </row>
    <row r="9732">
      <c r="A9732" s="14">
        <v>43032.101851851854</v>
      </c>
      <c r="B9732" s="20" t="str">
        <f>HYPERLINK("https://twitter.com/FAhmadzadeh","@FAhmadzadeh")</f>
        <v>@FAhmadzadeh</v>
      </c>
      <c r="C9732" s="21" t="s">
        <v>21214</v>
      </c>
      <c r="D9732" s="21" t="s">
        <v>21203</v>
      </c>
      <c r="E9732" s="22" t="str">
        <f>HYPERLINK("https://twitter.com/FAhmadzadeh/status/922756215590891520","922756215590891520")</f>
        <v>922756215590891520</v>
      </c>
      <c r="F9732" s="23" t="s">
        <v>86</v>
      </c>
      <c r="G9732" s="24">
        <v>417.0</v>
      </c>
      <c r="H9732" s="24">
        <v>125.0</v>
      </c>
      <c r="I9732" s="24">
        <v>75.0</v>
      </c>
      <c r="J9732" s="24">
        <v>0.0</v>
      </c>
      <c r="K9732" s="23" t="s">
        <v>34</v>
      </c>
      <c r="L9732" s="25">
        <v>41776.09587962963</v>
      </c>
      <c r="M9732" s="26" t="s">
        <v>21216</v>
      </c>
      <c r="N9732" s="26" t="s">
        <v>21217</v>
      </c>
      <c r="O9732" s="22" t="str">
        <f>HYPERLINK("https://pbs.twimg.com/profile_images/467595249787731968/6PEw2MVx_normal.jpeg","View")</f>
        <v>View</v>
      </c>
      <c r="P9732" s="27"/>
    </row>
    <row r="9733">
      <c r="A9733" s="14">
        <v>43032.10225694445</v>
      </c>
      <c r="B9733" s="20" t="str">
        <f>HYPERLINK("https://twitter.com/fuckabe_bot","@fuckabe_bot")</f>
        <v>@fuckabe_bot</v>
      </c>
      <c r="C9733" s="21" t="s">
        <v>5373</v>
      </c>
      <c r="D9733" s="21" t="s">
        <v>21231</v>
      </c>
      <c r="E9733" s="22" t="str">
        <f>HYPERLINK("https://twitter.com/fuckabe_bot/status/922756364459323395","922756364459323395")</f>
        <v>922756364459323395</v>
      </c>
      <c r="F9733" s="23" t="s">
        <v>33</v>
      </c>
      <c r="G9733" s="24">
        <v>42.0</v>
      </c>
      <c r="H9733" s="24">
        <v>102.0</v>
      </c>
      <c r="I9733" s="24">
        <v>2.0</v>
      </c>
      <c r="J9733" s="24">
        <v>0.0</v>
      </c>
      <c r="K9733" s="23" t="s">
        <v>34</v>
      </c>
      <c r="L9733" s="25">
        <v>42993.71171296296</v>
      </c>
      <c r="M9733" s="28"/>
      <c r="N9733" s="26" t="s">
        <v>5374</v>
      </c>
      <c r="O9733" s="22" t="str">
        <f>HYPERLINK("https://pbs.twimg.com/profile_images/908974832787767297/LVxVJrXG_normal.jpg","View")</f>
        <v>View</v>
      </c>
      <c r="P9733" s="27"/>
    </row>
    <row r="9734">
      <c r="A9734" s="14">
        <v>43032.10229166667</v>
      </c>
      <c r="B9734" s="20" t="str">
        <f>HYPERLINK("https://twitter.com/PMoallemian","@PMoallemian")</f>
        <v>@PMoallemian</v>
      </c>
      <c r="C9734" s="21" t="s">
        <v>1959</v>
      </c>
      <c r="D9734" s="21" t="s">
        <v>15660</v>
      </c>
      <c r="E9734" s="22" t="str">
        <f>HYPERLINK("https://twitter.com/PMoallemian/status/922756374983069697","922756374983069697")</f>
        <v>922756374983069697</v>
      </c>
      <c r="F9734" s="23" t="s">
        <v>187</v>
      </c>
      <c r="G9734" s="24">
        <v>5102.0</v>
      </c>
      <c r="H9734" s="24">
        <v>90.0</v>
      </c>
      <c r="I9734" s="24">
        <v>0.0</v>
      </c>
      <c r="J9734" s="24">
        <v>0.0</v>
      </c>
      <c r="K9734" s="23" t="s">
        <v>34</v>
      </c>
      <c r="L9734" s="25">
        <v>39556.68920138889</v>
      </c>
      <c r="M9734" s="26" t="s">
        <v>1961</v>
      </c>
      <c r="N9734" s="26" t="s">
        <v>1962</v>
      </c>
      <c r="O9734" s="22" t="str">
        <f>HYPERLINK("https://pbs.twimg.com/profile_images/2383496814/8p8tjkit7a1nmjrarib6_normal.jpeg","View")</f>
        <v>View</v>
      </c>
      <c r="P9734" s="27"/>
    </row>
    <row r="9735">
      <c r="A9735" s="14">
        <v>43032.10252314815</v>
      </c>
      <c r="B9735" s="20" t="str">
        <f>HYPERLINK("https://twitter.com/AzimeNarouei","@AzimeNarouei")</f>
        <v>@AzimeNarouei</v>
      </c>
      <c r="C9735" s="21" t="s">
        <v>21232</v>
      </c>
      <c r="D9735" s="21" t="s">
        <v>21215</v>
      </c>
      <c r="E9735" s="22" t="str">
        <f>HYPERLINK("https://twitter.com/AzimeNarouei/status/922756459238121472","922756459238121472")</f>
        <v>922756459238121472</v>
      </c>
      <c r="F9735" s="23" t="s">
        <v>86</v>
      </c>
      <c r="G9735" s="24">
        <v>947.0</v>
      </c>
      <c r="H9735" s="24">
        <v>428.0</v>
      </c>
      <c r="I9735" s="24">
        <v>39.0</v>
      </c>
      <c r="J9735" s="24">
        <v>0.0</v>
      </c>
      <c r="K9735" s="23" t="s">
        <v>34</v>
      </c>
      <c r="L9735" s="25">
        <v>41520.34738425926</v>
      </c>
      <c r="M9735" s="26" t="s">
        <v>11949</v>
      </c>
      <c r="N9735" s="26" t="s">
        <v>21141</v>
      </c>
      <c r="O9735" s="22" t="str">
        <f>HYPERLINK("https://pbs.twimg.com/profile_images/378800000411601164/2dcc128d3ae57da1d0f058a671392eba_normal.jpeg","View")</f>
        <v>View</v>
      </c>
      <c r="P9735" s="27"/>
    </row>
    <row r="9736">
      <c r="A9736" s="14">
        <v>43032.102685185186</v>
      </c>
      <c r="B9736" s="20" t="str">
        <f>HYPERLINK("https://twitter.com/Biagio960","@Biagio960")</f>
        <v>@Biagio960</v>
      </c>
      <c r="C9736" s="21" t="s">
        <v>17661</v>
      </c>
      <c r="D9736" s="21" t="s">
        <v>17703</v>
      </c>
      <c r="E9736" s="22" t="str">
        <f>HYPERLINK("https://twitter.com/Biagio960/status/922756517862010880","922756517862010880")</f>
        <v>922756517862010880</v>
      </c>
      <c r="F9736" s="23" t="s">
        <v>230</v>
      </c>
      <c r="G9736" s="24">
        <v>45170.0</v>
      </c>
      <c r="H9736" s="24">
        <v>43544.0</v>
      </c>
      <c r="I9736" s="24">
        <v>23.0</v>
      </c>
      <c r="J9736" s="24">
        <v>0.0</v>
      </c>
      <c r="K9736" s="23" t="s">
        <v>34</v>
      </c>
      <c r="L9736" s="25">
        <v>40946.07506944444</v>
      </c>
      <c r="M9736" s="28"/>
      <c r="N9736" s="26" t="s">
        <v>17663</v>
      </c>
      <c r="O9736" s="22" t="str">
        <f>HYPERLINK("https://pbs.twimg.com/profile_images/839102897069699073/9APwl0qA_normal.jpg","View")</f>
        <v>View</v>
      </c>
      <c r="P9736" s="27"/>
    </row>
    <row r="9737">
      <c r="A9737" s="14">
        <v>43032.102754629625</v>
      </c>
      <c r="B9737" s="20" t="str">
        <f>HYPERLINK("https://twitter.com/AzimeNarouei","@AzimeNarouei")</f>
        <v>@AzimeNarouei</v>
      </c>
      <c r="C9737" s="21" t="s">
        <v>21232</v>
      </c>
      <c r="D9737" s="21" t="s">
        <v>21194</v>
      </c>
      <c r="E9737" s="22" t="str">
        <f>HYPERLINK("https://twitter.com/AzimeNarouei/status/922756543786885121","922756543786885121")</f>
        <v>922756543786885121</v>
      </c>
      <c r="F9737" s="23" t="s">
        <v>86</v>
      </c>
      <c r="G9737" s="24">
        <v>947.0</v>
      </c>
      <c r="H9737" s="24">
        <v>428.0</v>
      </c>
      <c r="I9737" s="24">
        <v>35.0</v>
      </c>
      <c r="J9737" s="24">
        <v>0.0</v>
      </c>
      <c r="K9737" s="23" t="s">
        <v>34</v>
      </c>
      <c r="L9737" s="25">
        <v>41520.34738425926</v>
      </c>
      <c r="M9737" s="26" t="s">
        <v>11949</v>
      </c>
      <c r="N9737" s="26" t="s">
        <v>21141</v>
      </c>
      <c r="O9737" s="22" t="str">
        <f>HYPERLINK("https://pbs.twimg.com/profile_images/378800000411601164/2dcc128d3ae57da1d0f058a671392eba_normal.jpeg","View")</f>
        <v>View</v>
      </c>
      <c r="P9737" s="27"/>
    </row>
    <row r="9738">
      <c r="A9738" s="14">
        <v>43032.10277777778</v>
      </c>
      <c r="B9738" s="20" t="str">
        <f>HYPERLINK("https://twitter.com/sheets_nakisha","@sheets_nakisha")</f>
        <v>@sheets_nakisha</v>
      </c>
      <c r="C9738" s="21" t="s">
        <v>21233</v>
      </c>
      <c r="D9738" s="21" t="s">
        <v>21215</v>
      </c>
      <c r="E9738" s="22" t="str">
        <f>HYPERLINK("https://twitter.com/sheets_nakisha/status/922756550082437121","922756550082437121")</f>
        <v>922756550082437121</v>
      </c>
      <c r="F9738" s="23" t="s">
        <v>86</v>
      </c>
      <c r="G9738" s="24">
        <v>178.0</v>
      </c>
      <c r="H9738" s="24">
        <v>75.0</v>
      </c>
      <c r="I9738" s="24">
        <v>39.0</v>
      </c>
      <c r="J9738" s="24">
        <v>0.0</v>
      </c>
      <c r="K9738" s="23" t="s">
        <v>34</v>
      </c>
      <c r="L9738" s="25">
        <v>41869.92765046297</v>
      </c>
      <c r="M9738" s="26" t="s">
        <v>334</v>
      </c>
      <c r="N9738" s="26" t="s">
        <v>21234</v>
      </c>
      <c r="O9738" s="22" t="str">
        <f>HYPERLINK("https://pbs.twimg.com/profile_images/501804781350842368/rThSJpRh_normal.jpeg","View")</f>
        <v>View</v>
      </c>
      <c r="P9738" s="27"/>
    </row>
    <row r="9739">
      <c r="A9739" s="14">
        <v>43032.102847222224</v>
      </c>
      <c r="B9739" s="20" t="str">
        <f>HYPERLINK("https://twitter.com/asiapacifier","@asiapacifier")</f>
        <v>@asiapacifier</v>
      </c>
      <c r="C9739" s="21" t="s">
        <v>21235</v>
      </c>
      <c r="D9739" s="21" t="s">
        <v>21236</v>
      </c>
      <c r="E9739" s="22" t="str">
        <f>HYPERLINK("https://twitter.com/asiapacifier/status/922756577127534592","922756577127534592")</f>
        <v>922756577127534592</v>
      </c>
      <c r="F9739" s="23" t="s">
        <v>55</v>
      </c>
      <c r="G9739" s="24">
        <v>26.0</v>
      </c>
      <c r="H9739" s="24">
        <v>89.0</v>
      </c>
      <c r="I9739" s="24">
        <v>0.0</v>
      </c>
      <c r="J9739" s="24">
        <v>0.0</v>
      </c>
      <c r="K9739" s="23" t="s">
        <v>34</v>
      </c>
      <c r="L9739" s="25">
        <v>40198.43430555556</v>
      </c>
      <c r="M9739" s="26" t="s">
        <v>13309</v>
      </c>
      <c r="N9739" s="26" t="s">
        <v>21237</v>
      </c>
      <c r="O9739" s="22" t="str">
        <f>HYPERLINK("https://pbs.twimg.com/profile_images/909084143883112449/thCPG5Q9_normal.jpg","View")</f>
        <v>View</v>
      </c>
      <c r="P9739" s="27"/>
    </row>
    <row r="9740">
      <c r="A9740" s="14">
        <v>43032.10297453703</v>
      </c>
      <c r="B9740" s="20" t="str">
        <f>HYPERLINK("https://twitter.com/sheets_nakisha","@sheets_nakisha")</f>
        <v>@sheets_nakisha</v>
      </c>
      <c r="C9740" s="21" t="s">
        <v>21233</v>
      </c>
      <c r="D9740" s="21" t="s">
        <v>21194</v>
      </c>
      <c r="E9740" s="22" t="str">
        <f>HYPERLINK("https://twitter.com/sheets_nakisha/status/922756622753062913","922756622753062913")</f>
        <v>922756622753062913</v>
      </c>
      <c r="F9740" s="23" t="s">
        <v>86</v>
      </c>
      <c r="G9740" s="24">
        <v>178.0</v>
      </c>
      <c r="H9740" s="24">
        <v>75.0</v>
      </c>
      <c r="I9740" s="24">
        <v>35.0</v>
      </c>
      <c r="J9740" s="24">
        <v>0.0</v>
      </c>
      <c r="K9740" s="23" t="s">
        <v>34</v>
      </c>
      <c r="L9740" s="25">
        <v>41869.92765046297</v>
      </c>
      <c r="M9740" s="26" t="s">
        <v>334</v>
      </c>
      <c r="N9740" s="26" t="s">
        <v>21234</v>
      </c>
      <c r="O9740" s="22" t="str">
        <f>HYPERLINK("https://pbs.twimg.com/profile_images/501804781350842368/rThSJpRh_normal.jpeg","View")</f>
        <v>View</v>
      </c>
      <c r="P9740" s="27"/>
    </row>
    <row r="9741">
      <c r="A9741" s="14">
        <v>43032.1033449074</v>
      </c>
      <c r="B9741" s="20" t="str">
        <f>HYPERLINK("https://twitter.com/Hormuz_Hosseini","@Hormuz_Hosseini")</f>
        <v>@Hormuz_Hosseini</v>
      </c>
      <c r="C9741" s="21" t="s">
        <v>21238</v>
      </c>
      <c r="D9741" s="21" t="s">
        <v>21215</v>
      </c>
      <c r="E9741" s="22" t="str">
        <f>HYPERLINK("https://twitter.com/Hormuz_Hosseini/status/922756755163037697","922756755163037697")</f>
        <v>922756755163037697</v>
      </c>
      <c r="F9741" s="23" t="s">
        <v>86</v>
      </c>
      <c r="G9741" s="24">
        <v>593.0</v>
      </c>
      <c r="H9741" s="24">
        <v>411.0</v>
      </c>
      <c r="I9741" s="24">
        <v>39.0</v>
      </c>
      <c r="J9741" s="24">
        <v>0.0</v>
      </c>
      <c r="K9741" s="23" t="s">
        <v>34</v>
      </c>
      <c r="L9741" s="25">
        <v>41715.90332175926</v>
      </c>
      <c r="M9741" s="26" t="s">
        <v>21122</v>
      </c>
      <c r="N9741" s="26" t="s">
        <v>21088</v>
      </c>
      <c r="O9741" s="22" t="str">
        <f>HYPERLINK("https://pbs.twimg.com/profile_images/445782133840150528/372PsNUf_normal.jpeg","View")</f>
        <v>View</v>
      </c>
      <c r="P9741" s="27"/>
    </row>
    <row r="9742">
      <c r="A9742" s="14">
        <v>43032.10354166667</v>
      </c>
      <c r="B9742" s="20" t="str">
        <f>HYPERLINK("https://twitter.com/larisashvetsov3","@larisashvetsov3")</f>
        <v>@larisashvetsov3</v>
      </c>
      <c r="C9742" s="21" t="s">
        <v>21204</v>
      </c>
      <c r="D9742" s="21" t="s">
        <v>9700</v>
      </c>
      <c r="E9742" s="22" t="str">
        <f>HYPERLINK("https://twitter.com/larisashvetsov3/status/922756829779599360","922756829779599360")</f>
        <v>922756829779599360</v>
      </c>
      <c r="F9742" s="23" t="s">
        <v>55</v>
      </c>
      <c r="G9742" s="24">
        <v>0.0</v>
      </c>
      <c r="H9742" s="24">
        <v>2.0</v>
      </c>
      <c r="I9742" s="24">
        <v>46.0</v>
      </c>
      <c r="J9742" s="24">
        <v>0.0</v>
      </c>
      <c r="K9742" s="23" t="s">
        <v>34</v>
      </c>
      <c r="L9742" s="25">
        <v>43006.11549768518</v>
      </c>
      <c r="M9742" s="28"/>
      <c r="N9742" s="28"/>
      <c r="O9742" s="22" t="str">
        <f>HYPERLINK("https://pbs.twimg.com/profile_images/922644513901780992/M6o-REl9_normal.jpg","View")</f>
        <v>View</v>
      </c>
      <c r="P9742" s="27"/>
    </row>
    <row r="9743">
      <c r="A9743" s="14">
        <v>43032.103576388894</v>
      </c>
      <c r="B9743" s="20" t="str">
        <f>HYPERLINK("https://twitter.com/Hormuz_Hosseini","@Hormuz_Hosseini")</f>
        <v>@Hormuz_Hosseini</v>
      </c>
      <c r="C9743" s="21" t="s">
        <v>21238</v>
      </c>
      <c r="D9743" s="21" t="s">
        <v>21194</v>
      </c>
      <c r="E9743" s="22" t="str">
        <f>HYPERLINK("https://twitter.com/Hormuz_Hosseini/status/922756839766351873","922756839766351873")</f>
        <v>922756839766351873</v>
      </c>
      <c r="F9743" s="23" t="s">
        <v>86</v>
      </c>
      <c r="G9743" s="24">
        <v>593.0</v>
      </c>
      <c r="H9743" s="24">
        <v>411.0</v>
      </c>
      <c r="I9743" s="24">
        <v>35.0</v>
      </c>
      <c r="J9743" s="24">
        <v>0.0</v>
      </c>
      <c r="K9743" s="23" t="s">
        <v>34</v>
      </c>
      <c r="L9743" s="25">
        <v>41715.90332175926</v>
      </c>
      <c r="M9743" s="26" t="s">
        <v>21122</v>
      </c>
      <c r="N9743" s="26" t="s">
        <v>21088</v>
      </c>
      <c r="O9743" s="22" t="str">
        <f>HYPERLINK("https://pbs.twimg.com/profile_images/445782133840150528/372PsNUf_normal.jpeg","View")</f>
        <v>View</v>
      </c>
      <c r="P9743" s="27"/>
    </row>
    <row r="9744">
      <c r="A9744" s="14">
        <v>43032.10395833333</v>
      </c>
      <c r="B9744" s="20" t="str">
        <f>HYPERLINK("https://twitter.com/marekingu","@marekingu")</f>
        <v>@marekingu</v>
      </c>
      <c r="C9744" s="21" t="s">
        <v>2695</v>
      </c>
      <c r="D9744" s="21" t="s">
        <v>21239</v>
      </c>
      <c r="E9744" s="22" t="str">
        <f>HYPERLINK("https://twitter.com/marekingu/status/922756980669685760","922756980669685760")</f>
        <v>922756980669685760</v>
      </c>
      <c r="F9744" s="23" t="s">
        <v>2697</v>
      </c>
      <c r="G9744" s="24">
        <v>11032.0</v>
      </c>
      <c r="H9744" s="24">
        <v>12128.0</v>
      </c>
      <c r="I9744" s="24">
        <v>0.0</v>
      </c>
      <c r="J9744" s="24">
        <v>0.0</v>
      </c>
      <c r="K9744" s="23" t="s">
        <v>34</v>
      </c>
      <c r="L9744" s="25">
        <v>40258.68314814815</v>
      </c>
      <c r="M9744" s="26" t="s">
        <v>2698</v>
      </c>
      <c r="N9744" s="26" t="s">
        <v>2699</v>
      </c>
      <c r="O9744" s="22" t="str">
        <f>HYPERLINK("https://pbs.twimg.com/profile_images/824628323/___2_normal.jpg","View")</f>
        <v>View</v>
      </c>
      <c r="P9744" s="27"/>
    </row>
    <row r="9745">
      <c r="A9745" s="14">
        <v>43032.104351851856</v>
      </c>
      <c r="B9745" s="20" t="str">
        <f>HYPERLINK("https://twitter.com/stahl_soraya","@stahl_soraya")</f>
        <v>@stahl_soraya</v>
      </c>
      <c r="C9745" s="21" t="s">
        <v>21240</v>
      </c>
      <c r="D9745" s="21" t="s">
        <v>21215</v>
      </c>
      <c r="E9745" s="22" t="str">
        <f>HYPERLINK("https://twitter.com/stahl_soraya/status/922757120029806593","922757120029806593")</f>
        <v>922757120029806593</v>
      </c>
      <c r="F9745" s="23" t="s">
        <v>86</v>
      </c>
      <c r="G9745" s="24">
        <v>62.0</v>
      </c>
      <c r="H9745" s="24">
        <v>156.0</v>
      </c>
      <c r="I9745" s="24">
        <v>39.0</v>
      </c>
      <c r="J9745" s="24">
        <v>0.0</v>
      </c>
      <c r="K9745" s="23" t="s">
        <v>34</v>
      </c>
      <c r="L9745" s="25">
        <v>41906.38423611111</v>
      </c>
      <c r="M9745" s="26" t="s">
        <v>40</v>
      </c>
      <c r="N9745" s="26" t="s">
        <v>21241</v>
      </c>
      <c r="O9745" s="22" t="str">
        <f>HYPERLINK("https://pbs.twimg.com/profile_images/514810305705041920/hnzIPM7v_normal.jpeg","View")</f>
        <v>View</v>
      </c>
      <c r="P9745" s="27"/>
    </row>
    <row r="9746">
      <c r="A9746" s="14">
        <v>43032.104351851856</v>
      </c>
      <c r="B9746" s="20" t="str">
        <f>HYPERLINK("https://twitter.com/AzimeNarouei","@AzimeNarouei")</f>
        <v>@AzimeNarouei</v>
      </c>
      <c r="C9746" s="21" t="s">
        <v>21232</v>
      </c>
      <c r="D9746" s="21" t="s">
        <v>21202</v>
      </c>
      <c r="E9746" s="22" t="str">
        <f>HYPERLINK("https://twitter.com/AzimeNarouei/status/922757122084945920","922757122084945920")</f>
        <v>922757122084945920</v>
      </c>
      <c r="F9746" s="23" t="s">
        <v>86</v>
      </c>
      <c r="G9746" s="24">
        <v>947.0</v>
      </c>
      <c r="H9746" s="24">
        <v>428.0</v>
      </c>
      <c r="I9746" s="24">
        <v>79.0</v>
      </c>
      <c r="J9746" s="24">
        <v>0.0</v>
      </c>
      <c r="K9746" s="23" t="s">
        <v>34</v>
      </c>
      <c r="L9746" s="25">
        <v>41520.34738425926</v>
      </c>
      <c r="M9746" s="26" t="s">
        <v>11949</v>
      </c>
      <c r="N9746" s="26" t="s">
        <v>21141</v>
      </c>
      <c r="O9746" s="22" t="str">
        <f>HYPERLINK("https://pbs.twimg.com/profile_images/378800000411601164/2dcc128d3ae57da1d0f058a671392eba_normal.jpeg","View")</f>
        <v>View</v>
      </c>
      <c r="P9746" s="27"/>
    </row>
    <row r="9747">
      <c r="A9747" s="14">
        <v>43032.10440972222</v>
      </c>
      <c r="B9747" s="20" t="str">
        <f>HYPERLINK("https://twitter.com/Hormuz_Hosseini","@Hormuz_Hosseini")</f>
        <v>@Hormuz_Hosseini</v>
      </c>
      <c r="C9747" s="21" t="s">
        <v>21238</v>
      </c>
      <c r="D9747" s="21" t="s">
        <v>21202</v>
      </c>
      <c r="E9747" s="22" t="str">
        <f>HYPERLINK("https://twitter.com/Hormuz_Hosseini/status/922757143698194432","922757143698194432")</f>
        <v>922757143698194432</v>
      </c>
      <c r="F9747" s="23" t="s">
        <v>86</v>
      </c>
      <c r="G9747" s="24">
        <v>593.0</v>
      </c>
      <c r="H9747" s="24">
        <v>411.0</v>
      </c>
      <c r="I9747" s="24">
        <v>79.0</v>
      </c>
      <c r="J9747" s="24">
        <v>0.0</v>
      </c>
      <c r="K9747" s="23" t="s">
        <v>34</v>
      </c>
      <c r="L9747" s="25">
        <v>41715.90332175926</v>
      </c>
      <c r="M9747" s="26" t="s">
        <v>21122</v>
      </c>
      <c r="N9747" s="26" t="s">
        <v>21088</v>
      </c>
      <c r="O9747" s="22" t="str">
        <f>HYPERLINK("https://pbs.twimg.com/profile_images/445782133840150528/372PsNUf_normal.jpeg","View")</f>
        <v>View</v>
      </c>
      <c r="P9747" s="27"/>
    </row>
    <row r="9748">
      <c r="A9748" s="14">
        <v>43032.104583333334</v>
      </c>
      <c r="B9748" s="20" t="str">
        <f>HYPERLINK("https://twitter.com/stahl_soraya","@stahl_soraya")</f>
        <v>@stahl_soraya</v>
      </c>
      <c r="C9748" s="21" t="s">
        <v>21240</v>
      </c>
      <c r="D9748" s="21" t="s">
        <v>21194</v>
      </c>
      <c r="E9748" s="22" t="str">
        <f>HYPERLINK("https://twitter.com/stahl_soraya/status/922757204649881601","922757204649881601")</f>
        <v>922757204649881601</v>
      </c>
      <c r="F9748" s="23" t="s">
        <v>86</v>
      </c>
      <c r="G9748" s="24">
        <v>62.0</v>
      </c>
      <c r="H9748" s="24">
        <v>156.0</v>
      </c>
      <c r="I9748" s="24">
        <v>35.0</v>
      </c>
      <c r="J9748" s="24">
        <v>0.0</v>
      </c>
      <c r="K9748" s="23" t="s">
        <v>34</v>
      </c>
      <c r="L9748" s="25">
        <v>41906.38423611111</v>
      </c>
      <c r="M9748" s="26" t="s">
        <v>40</v>
      </c>
      <c r="N9748" s="26" t="s">
        <v>21241</v>
      </c>
      <c r="O9748" s="22" t="str">
        <f>HYPERLINK("https://pbs.twimg.com/profile_images/514810305705041920/hnzIPM7v_normal.jpeg","View")</f>
        <v>View</v>
      </c>
      <c r="P9748" s="27"/>
    </row>
    <row r="9749">
      <c r="A9749" s="14">
        <v>43032.104733796295</v>
      </c>
      <c r="B9749" s="20" t="str">
        <f>HYPERLINK("https://twitter.com/shinkokuyamato","@shinkokuyamato")</f>
        <v>@shinkokuyamato</v>
      </c>
      <c r="C9749" s="21" t="s">
        <v>21242</v>
      </c>
      <c r="D9749" s="21" t="s">
        <v>17703</v>
      </c>
      <c r="E9749" s="22" t="str">
        <f>HYPERLINK("https://twitter.com/shinkokuyamato/status/922757258613633025","922757258613633025")</f>
        <v>922757258613633025</v>
      </c>
      <c r="F9749" s="23" t="s">
        <v>230</v>
      </c>
      <c r="G9749" s="24">
        <v>1102.0</v>
      </c>
      <c r="H9749" s="24">
        <v>1783.0</v>
      </c>
      <c r="I9749" s="24">
        <v>23.0</v>
      </c>
      <c r="J9749" s="24">
        <v>0.0</v>
      </c>
      <c r="K9749" s="23" t="s">
        <v>34</v>
      </c>
      <c r="L9749" s="25">
        <v>41938.85304398148</v>
      </c>
      <c r="M9749" s="28"/>
      <c r="N9749" s="28"/>
      <c r="O9749" s="22" t="str">
        <f>HYPERLINK("https://pbs.twimg.com/profile_images/526579933389127681/s69wtLuf_normal.jpeg","View")</f>
        <v>View</v>
      </c>
      <c r="P9749" s="27"/>
    </row>
    <row r="9750">
      <c r="A9750" s="14">
        <v>43032.10478009259</v>
      </c>
      <c r="B9750" s="20" t="str">
        <f>HYPERLINK("https://twitter.com/Hormuz_Hosseini","@Hormuz_Hosseini")</f>
        <v>@Hormuz_Hosseini</v>
      </c>
      <c r="C9750" s="21" t="s">
        <v>21238</v>
      </c>
      <c r="D9750" s="21" t="s">
        <v>21203</v>
      </c>
      <c r="E9750" s="22" t="str">
        <f>HYPERLINK("https://twitter.com/Hormuz_Hosseini/status/922757276414361602","922757276414361602")</f>
        <v>922757276414361602</v>
      </c>
      <c r="F9750" s="23" t="s">
        <v>86</v>
      </c>
      <c r="G9750" s="24">
        <v>593.0</v>
      </c>
      <c r="H9750" s="24">
        <v>411.0</v>
      </c>
      <c r="I9750" s="24">
        <v>75.0</v>
      </c>
      <c r="J9750" s="24">
        <v>0.0</v>
      </c>
      <c r="K9750" s="23" t="s">
        <v>34</v>
      </c>
      <c r="L9750" s="25">
        <v>41715.90332175926</v>
      </c>
      <c r="M9750" s="26" t="s">
        <v>21122</v>
      </c>
      <c r="N9750" s="26" t="s">
        <v>21088</v>
      </c>
      <c r="O9750" s="22" t="str">
        <f>HYPERLINK("https://pbs.twimg.com/profile_images/445782133840150528/372PsNUf_normal.jpeg","View")</f>
        <v>View</v>
      </c>
      <c r="P9750" s="27"/>
    </row>
    <row r="9751">
      <c r="A9751" s="14">
        <v>43032.104942129634</v>
      </c>
      <c r="B9751" s="20" t="str">
        <f>HYPERLINK("https://twitter.com/AzimeNarouei","@AzimeNarouei")</f>
        <v>@AzimeNarouei</v>
      </c>
      <c r="C9751" s="21" t="s">
        <v>21232</v>
      </c>
      <c r="D9751" s="21" t="s">
        <v>21203</v>
      </c>
      <c r="E9751" s="22" t="str">
        <f>HYPERLINK("https://twitter.com/AzimeNarouei/status/922757337269510144","922757337269510144")</f>
        <v>922757337269510144</v>
      </c>
      <c r="F9751" s="23" t="s">
        <v>86</v>
      </c>
      <c r="G9751" s="24">
        <v>947.0</v>
      </c>
      <c r="H9751" s="24">
        <v>428.0</v>
      </c>
      <c r="I9751" s="24">
        <v>75.0</v>
      </c>
      <c r="J9751" s="24">
        <v>0.0</v>
      </c>
      <c r="K9751" s="23" t="s">
        <v>34</v>
      </c>
      <c r="L9751" s="25">
        <v>41520.34738425926</v>
      </c>
      <c r="M9751" s="26" t="s">
        <v>11949</v>
      </c>
      <c r="N9751" s="26" t="s">
        <v>21141</v>
      </c>
      <c r="O9751" s="22" t="str">
        <f>HYPERLINK("https://pbs.twimg.com/profile_images/378800000411601164/2dcc128d3ae57da1d0f058a671392eba_normal.jpeg","View")</f>
        <v>View</v>
      </c>
      <c r="P9751" s="27"/>
    </row>
    <row r="9752">
      <c r="A9752" s="14">
        <v>43032.10550925926</v>
      </c>
      <c r="B9752" s="20" t="str">
        <f>HYPERLINK("https://twitter.com/asuka_250","@asuka_250")</f>
        <v>@asuka_250</v>
      </c>
      <c r="C9752" s="21" t="s">
        <v>8584</v>
      </c>
      <c r="D9752" s="21" t="s">
        <v>20700</v>
      </c>
      <c r="E9752" s="22" t="str">
        <f>HYPERLINK("https://twitter.com/asuka_250/status/922757542878441473","922757542878441473")</f>
        <v>922757542878441473</v>
      </c>
      <c r="F9752" s="23" t="s">
        <v>33</v>
      </c>
      <c r="G9752" s="24">
        <v>30812.0</v>
      </c>
      <c r="H9752" s="24">
        <v>30482.0</v>
      </c>
      <c r="I9752" s="24">
        <v>27.0</v>
      </c>
      <c r="J9752" s="24">
        <v>0.0</v>
      </c>
      <c r="K9752" s="23" t="s">
        <v>34</v>
      </c>
      <c r="L9752" s="25">
        <v>41943.172476851854</v>
      </c>
      <c r="M9752" s="26" t="s">
        <v>1224</v>
      </c>
      <c r="N9752" s="26" t="s">
        <v>8586</v>
      </c>
      <c r="O9752" s="22" t="str">
        <f>HYPERLINK("https://pbs.twimg.com/profile_images/576284037486014464/dhYtI1qZ_normal.jpeg","View")</f>
        <v>View</v>
      </c>
      <c r="P9752" s="27"/>
    </row>
    <row r="9753">
      <c r="A9753" s="14">
        <v>43032.10554398148</v>
      </c>
      <c r="B9753" s="20" t="str">
        <f>HYPERLINK("https://twitter.com/AzimeNarouei","@AzimeNarouei")</f>
        <v>@AzimeNarouei</v>
      </c>
      <c r="C9753" s="21" t="s">
        <v>21232</v>
      </c>
      <c r="D9753" s="21" t="s">
        <v>21243</v>
      </c>
      <c r="E9753" s="22" t="str">
        <f>HYPERLINK("https://twitter.com/AzimeNarouei/status/922757553074839552","922757553074839552")</f>
        <v>922757553074839552</v>
      </c>
      <c r="F9753" s="23" t="s">
        <v>86</v>
      </c>
      <c r="G9753" s="24">
        <v>947.0</v>
      </c>
      <c r="H9753" s="24">
        <v>428.0</v>
      </c>
      <c r="I9753" s="24">
        <v>41.0</v>
      </c>
      <c r="J9753" s="24">
        <v>0.0</v>
      </c>
      <c r="K9753" s="23" t="s">
        <v>34</v>
      </c>
      <c r="L9753" s="25">
        <v>41520.34738425926</v>
      </c>
      <c r="M9753" s="26" t="s">
        <v>11949</v>
      </c>
      <c r="N9753" s="26" t="s">
        <v>21141</v>
      </c>
      <c r="O9753" s="22" t="str">
        <f>HYPERLINK("https://pbs.twimg.com/profile_images/378800000411601164/2dcc128d3ae57da1d0f058a671392eba_normal.jpeg","View")</f>
        <v>View</v>
      </c>
      <c r="P9753" s="27"/>
    </row>
    <row r="9754">
      <c r="A9754" s="14">
        <v>43032.105578703704</v>
      </c>
      <c r="B9754" s="20" t="str">
        <f>HYPERLINK("https://twitter.com/ezedozitt21","@ezedozitt21")</f>
        <v>@ezedozitt21</v>
      </c>
      <c r="C9754" s="21" t="s">
        <v>21244</v>
      </c>
      <c r="D9754" s="21" t="s">
        <v>16537</v>
      </c>
      <c r="E9754" s="22" t="str">
        <f>HYPERLINK("https://twitter.com/ezedozitt21/status/922757567763300352","922757567763300352")</f>
        <v>922757567763300352</v>
      </c>
      <c r="F9754" s="23" t="s">
        <v>33</v>
      </c>
      <c r="G9754" s="24">
        <v>553.0</v>
      </c>
      <c r="H9754" s="24">
        <v>2960.0</v>
      </c>
      <c r="I9754" s="24">
        <v>242.0</v>
      </c>
      <c r="J9754" s="24">
        <v>0.0</v>
      </c>
      <c r="K9754" s="23" t="s">
        <v>34</v>
      </c>
      <c r="L9754" s="25">
        <v>42260.63096064815</v>
      </c>
      <c r="M9754" s="28"/>
      <c r="N9754" s="26" t="s">
        <v>21245</v>
      </c>
      <c r="O9754" s="22" t="str">
        <f>HYPERLINK("https://pbs.twimg.com/profile_images/922755815945019393/vERBd1mH_normal.jpg","View")</f>
        <v>View</v>
      </c>
      <c r="P9754" s="27"/>
    </row>
    <row r="9755">
      <c r="A9755" s="14">
        <v>43032.10564814815</v>
      </c>
      <c r="B9755" s="20" t="str">
        <f>HYPERLINK("https://twitter.com/BloombergAsia","@BloombergAsia")</f>
        <v>@BloombergAsia</v>
      </c>
      <c r="C9755" s="21" t="s">
        <v>1726</v>
      </c>
      <c r="D9755" s="21" t="s">
        <v>21246</v>
      </c>
      <c r="E9755" s="22" t="str">
        <f>HYPERLINK("https://twitter.com/BloombergAsia/status/922757591167418369","922757591167418369")</f>
        <v>922757591167418369</v>
      </c>
      <c r="F9755" s="30" t="s">
        <v>2744</v>
      </c>
      <c r="G9755" s="24">
        <v>28807.0</v>
      </c>
      <c r="H9755" s="24">
        <v>97.0</v>
      </c>
      <c r="I9755" s="24">
        <v>2.0</v>
      </c>
      <c r="J9755" s="24">
        <v>2.0</v>
      </c>
      <c r="K9755" s="23" t="s">
        <v>34</v>
      </c>
      <c r="L9755" s="25">
        <v>41052.238483796296</v>
      </c>
      <c r="M9755" s="28"/>
      <c r="N9755" s="26" t="s">
        <v>1728</v>
      </c>
      <c r="O9755" s="22" t="str">
        <f>HYPERLINK("https://pbs.twimg.com/profile_images/778129630284902401/gXjFkqGM_normal.jpg","View")</f>
        <v>View</v>
      </c>
      <c r="P9755" s="27"/>
    </row>
    <row r="9756">
      <c r="A9756" s="14">
        <v>43032.10576388889</v>
      </c>
      <c r="B9756" s="20" t="str">
        <f>HYPERLINK("https://twitter.com/bpolitics","@bpolitics")</f>
        <v>@bpolitics</v>
      </c>
      <c r="C9756" s="21" t="s">
        <v>3445</v>
      </c>
      <c r="D9756" s="21" t="s">
        <v>21247</v>
      </c>
      <c r="E9756" s="22" t="str">
        <f>HYPERLINK("https://twitter.com/bpolitics/status/922757632850456576","922757632850456576")</f>
        <v>922757632850456576</v>
      </c>
      <c r="F9756" s="30" t="s">
        <v>2744</v>
      </c>
      <c r="G9756" s="24">
        <v>221050.0</v>
      </c>
      <c r="H9756" s="24">
        <v>865.0</v>
      </c>
      <c r="I9756" s="24">
        <v>11.0</v>
      </c>
      <c r="J9756" s="24">
        <v>7.0</v>
      </c>
      <c r="K9756" s="23" t="s">
        <v>34</v>
      </c>
      <c r="L9756" s="25">
        <v>41025.57640046296</v>
      </c>
      <c r="M9756" s="28"/>
      <c r="N9756" s="26" t="s">
        <v>3447</v>
      </c>
      <c r="O9756" s="22" t="str">
        <f>HYPERLINK("https://pbs.twimg.com/profile_images/714804098890133504/cUO4gD1A_normal.jpg","View")</f>
        <v>View</v>
      </c>
      <c r="P9756" s="27"/>
    </row>
    <row r="9757">
      <c r="A9757" s="14">
        <v>43032.10606481481</v>
      </c>
      <c r="B9757" s="20" t="str">
        <f>HYPERLINK("https://twitter.com/JUANCARLOSNAVA","@JUANCARLOSNAVA")</f>
        <v>@JUANCARLOSNAVA</v>
      </c>
      <c r="C9757" s="21" t="s">
        <v>18240</v>
      </c>
      <c r="D9757" s="21" t="s">
        <v>21248</v>
      </c>
      <c r="E9757" s="22" t="str">
        <f>HYPERLINK("https://twitter.com/JUANCARLOSNAVA/status/922757744352022528","922757744352022528")</f>
        <v>922757744352022528</v>
      </c>
      <c r="F9757" s="23" t="s">
        <v>1570</v>
      </c>
      <c r="G9757" s="24">
        <v>1183.0</v>
      </c>
      <c r="H9757" s="24">
        <v>975.0</v>
      </c>
      <c r="I9757" s="24">
        <v>0.0</v>
      </c>
      <c r="J9757" s="24">
        <v>0.0</v>
      </c>
      <c r="K9757" s="23" t="s">
        <v>34</v>
      </c>
      <c r="L9757" s="25">
        <v>39176.206354166665</v>
      </c>
      <c r="M9757" s="26" t="s">
        <v>18242</v>
      </c>
      <c r="N9757" s="26" t="s">
        <v>18243</v>
      </c>
      <c r="O9757" s="22" t="str">
        <f>HYPERLINK("https://pbs.twimg.com/profile_images/17066432/fotograf_a_digital_jcnn_normal.jpg","View")</f>
        <v>View</v>
      </c>
      <c r="P9757" s="27"/>
    </row>
    <row r="9758">
      <c r="A9758" s="14">
        <v>43032.10613425926</v>
      </c>
      <c r="B9758" s="20" t="str">
        <f>HYPERLINK("https://twitter.com/AzimeNarouei","@AzimeNarouei")</f>
        <v>@AzimeNarouei</v>
      </c>
      <c r="C9758" s="21" t="s">
        <v>21232</v>
      </c>
      <c r="D9758" s="21" t="s">
        <v>21191</v>
      </c>
      <c r="E9758" s="22" t="str">
        <f>HYPERLINK("https://twitter.com/AzimeNarouei/status/922757768729071616","922757768729071616")</f>
        <v>922757768729071616</v>
      </c>
      <c r="F9758" s="23" t="s">
        <v>86</v>
      </c>
      <c r="G9758" s="24">
        <v>947.0</v>
      </c>
      <c r="H9758" s="24">
        <v>428.0</v>
      </c>
      <c r="I9758" s="24">
        <v>42.0</v>
      </c>
      <c r="J9758" s="24">
        <v>0.0</v>
      </c>
      <c r="K9758" s="23" t="s">
        <v>34</v>
      </c>
      <c r="L9758" s="25">
        <v>41520.34738425926</v>
      </c>
      <c r="M9758" s="26" t="s">
        <v>11949</v>
      </c>
      <c r="N9758" s="26" t="s">
        <v>21141</v>
      </c>
      <c r="O9758" s="22" t="str">
        <f>HYPERLINK("https://pbs.twimg.com/profile_images/378800000411601164/2dcc128d3ae57da1d0f058a671392eba_normal.jpeg","View")</f>
        <v>View</v>
      </c>
      <c r="P9758" s="27"/>
    </row>
    <row r="9759">
      <c r="A9759" s="14">
        <v>43032.106192129635</v>
      </c>
      <c r="B9759" s="20" t="str">
        <f>HYPERLINK("https://twitter.com/stahl_soraya","@stahl_soraya")</f>
        <v>@stahl_soraya</v>
      </c>
      <c r="C9759" s="21" t="s">
        <v>21240</v>
      </c>
      <c r="D9759" s="21" t="s">
        <v>21202</v>
      </c>
      <c r="E9759" s="22" t="str">
        <f>HYPERLINK("https://twitter.com/stahl_soraya/status/922757789461737472","922757789461737472")</f>
        <v>922757789461737472</v>
      </c>
      <c r="F9759" s="23" t="s">
        <v>86</v>
      </c>
      <c r="G9759" s="24">
        <v>62.0</v>
      </c>
      <c r="H9759" s="24">
        <v>156.0</v>
      </c>
      <c r="I9759" s="24">
        <v>79.0</v>
      </c>
      <c r="J9759" s="24">
        <v>0.0</v>
      </c>
      <c r="K9759" s="23" t="s">
        <v>34</v>
      </c>
      <c r="L9759" s="25">
        <v>41906.38423611111</v>
      </c>
      <c r="M9759" s="26" t="s">
        <v>40</v>
      </c>
      <c r="N9759" s="26" t="s">
        <v>21241</v>
      </c>
      <c r="O9759" s="22" t="str">
        <f>HYPERLINK("https://pbs.twimg.com/profile_images/514810305705041920/hnzIPM7v_normal.jpeg","View")</f>
        <v>View</v>
      </c>
      <c r="P9759" s="27"/>
    </row>
    <row r="9760">
      <c r="A9760" s="14">
        <v>43032.10633101852</v>
      </c>
      <c r="B9760" s="20" t="str">
        <f>HYPERLINK("https://twitter.com/yvfk116","@yvfk116")</f>
        <v>@yvfk116</v>
      </c>
      <c r="C9760" s="21" t="s">
        <v>21249</v>
      </c>
      <c r="D9760" s="21" t="s">
        <v>20700</v>
      </c>
      <c r="E9760" s="22" t="str">
        <f>HYPERLINK("https://twitter.com/yvfk116/status/922757837876428800","922757837876428800")</f>
        <v>922757837876428800</v>
      </c>
      <c r="F9760" s="23" t="s">
        <v>55</v>
      </c>
      <c r="G9760" s="24">
        <v>242.0</v>
      </c>
      <c r="H9760" s="24">
        <v>421.0</v>
      </c>
      <c r="I9760" s="24">
        <v>27.0</v>
      </c>
      <c r="J9760" s="24">
        <v>0.0</v>
      </c>
      <c r="K9760" s="23" t="s">
        <v>34</v>
      </c>
      <c r="L9760" s="25">
        <v>42824.761967592596</v>
      </c>
      <c r="M9760" s="28"/>
      <c r="N9760" s="28"/>
      <c r="O9760" s="22" t="str">
        <f>HYPERLINK("https://pbs.twimg.com/profile_images/910771414331924481/mXFPl_l__normal.jpg","View")</f>
        <v>View</v>
      </c>
      <c r="P9760" s="27"/>
    </row>
    <row r="9761">
      <c r="A9761" s="14">
        <v>43032.10653935185</v>
      </c>
      <c r="B9761" s="20" t="str">
        <f>HYPERLINK("https://twitter.com/sitifatimahnet","@sitifatimahnet")</f>
        <v>@sitifatimahnet</v>
      </c>
      <c r="C9761" s="21" t="s">
        <v>1762</v>
      </c>
      <c r="D9761" s="21" t="s">
        <v>21250</v>
      </c>
      <c r="E9761" s="22" t="str">
        <f>HYPERLINK("https://twitter.com/sitifatimahnet/status/922757914359664641","922757914359664641")</f>
        <v>922757914359664641</v>
      </c>
      <c r="F9761" s="23" t="s">
        <v>187</v>
      </c>
      <c r="G9761" s="24">
        <v>309.0</v>
      </c>
      <c r="H9761" s="24">
        <v>27.0</v>
      </c>
      <c r="I9761" s="24">
        <v>0.0</v>
      </c>
      <c r="J9761" s="24">
        <v>0.0</v>
      </c>
      <c r="K9761" s="23" t="s">
        <v>34</v>
      </c>
      <c r="L9761" s="25">
        <v>42698.43719907408</v>
      </c>
      <c r="M9761" s="26" t="s">
        <v>1764</v>
      </c>
      <c r="N9761" s="26" t="s">
        <v>1765</v>
      </c>
      <c r="O9761" s="22" t="str">
        <f>HYPERLINK("https://pbs.twimg.com/profile_images/897683241594912769/-rSDzg9T_normal.jpg","View")</f>
        <v>View</v>
      </c>
      <c r="P9761" s="27"/>
    </row>
    <row r="9762">
      <c r="A9762" s="14">
        <v>43032.106574074074</v>
      </c>
      <c r="B9762" s="20" t="str">
        <f>HYPERLINK("https://twitter.com/Vikas19487759","@Vikas19487759")</f>
        <v>@Vikas19487759</v>
      </c>
      <c r="C9762" s="21" t="s">
        <v>21251</v>
      </c>
      <c r="D9762" s="21" t="s">
        <v>42</v>
      </c>
      <c r="E9762" s="22" t="str">
        <f>HYPERLINK("https://twitter.com/Vikas19487759/status/922757926787284992","922757926787284992")</f>
        <v>922757926787284992</v>
      </c>
      <c r="F9762" s="23" t="s">
        <v>33</v>
      </c>
      <c r="G9762" s="24">
        <v>35.0</v>
      </c>
      <c r="H9762" s="24">
        <v>250.0</v>
      </c>
      <c r="I9762" s="24">
        <v>8501.0</v>
      </c>
      <c r="J9762" s="24">
        <v>0.0</v>
      </c>
      <c r="K9762" s="23" t="s">
        <v>34</v>
      </c>
      <c r="L9762" s="25">
        <v>42939.280625</v>
      </c>
      <c r="M9762" s="26" t="s">
        <v>575</v>
      </c>
      <c r="N9762" s="26" t="s">
        <v>21252</v>
      </c>
      <c r="O9762" s="22" t="str">
        <f>HYPERLINK("https://pbs.twimg.com/profile_images/919495761607270400/Gk1JdBuD_normal.jpg","View")</f>
        <v>View</v>
      </c>
      <c r="P9762" s="27"/>
    </row>
    <row r="9763">
      <c r="A9763" s="14">
        <v>43032.10679398148</v>
      </c>
      <c r="B9763" s="20" t="str">
        <f t="shared" ref="B9763:B9764" si="193">HYPERLINK("https://twitter.com/stahl_soraya","@stahl_soraya")</f>
        <v>@stahl_soraya</v>
      </c>
      <c r="C9763" s="21" t="s">
        <v>21240</v>
      </c>
      <c r="D9763" s="21" t="s">
        <v>21203</v>
      </c>
      <c r="E9763" s="22" t="str">
        <f>HYPERLINK("https://twitter.com/stahl_soraya/status/922758008026861568","922758008026861568")</f>
        <v>922758008026861568</v>
      </c>
      <c r="F9763" s="23" t="s">
        <v>86</v>
      </c>
      <c r="G9763" s="24">
        <v>62.0</v>
      </c>
      <c r="H9763" s="24">
        <v>156.0</v>
      </c>
      <c r="I9763" s="24">
        <v>75.0</v>
      </c>
      <c r="J9763" s="24">
        <v>0.0</v>
      </c>
      <c r="K9763" s="23" t="s">
        <v>34</v>
      </c>
      <c r="L9763" s="25">
        <v>41906.38423611111</v>
      </c>
      <c r="M9763" s="26" t="s">
        <v>40</v>
      </c>
      <c r="N9763" s="26" t="s">
        <v>21241</v>
      </c>
      <c r="O9763" s="22" t="str">
        <f t="shared" ref="O9763:O9764" si="194">HYPERLINK("https://pbs.twimg.com/profile_images/514810305705041920/hnzIPM7v_normal.jpeg","View")</f>
        <v>View</v>
      </c>
      <c r="P9763" s="27"/>
    </row>
    <row r="9764">
      <c r="A9764" s="14">
        <v>43032.10739583333</v>
      </c>
      <c r="B9764" s="20" t="str">
        <f t="shared" si="193"/>
        <v>@stahl_soraya</v>
      </c>
      <c r="C9764" s="21" t="s">
        <v>21240</v>
      </c>
      <c r="D9764" s="21" t="s">
        <v>21243</v>
      </c>
      <c r="E9764" s="22" t="str">
        <f>HYPERLINK("https://twitter.com/stahl_soraya/status/922758226055180288","922758226055180288")</f>
        <v>922758226055180288</v>
      </c>
      <c r="F9764" s="23" t="s">
        <v>86</v>
      </c>
      <c r="G9764" s="24">
        <v>62.0</v>
      </c>
      <c r="H9764" s="24">
        <v>156.0</v>
      </c>
      <c r="I9764" s="24">
        <v>41.0</v>
      </c>
      <c r="J9764" s="24">
        <v>0.0</v>
      </c>
      <c r="K9764" s="23" t="s">
        <v>34</v>
      </c>
      <c r="L9764" s="25">
        <v>41906.38423611111</v>
      </c>
      <c r="M9764" s="26" t="s">
        <v>40</v>
      </c>
      <c r="N9764" s="26" t="s">
        <v>21241</v>
      </c>
      <c r="O9764" s="22" t="str">
        <f t="shared" si="194"/>
        <v>View</v>
      </c>
      <c r="P9764" s="27"/>
    </row>
    <row r="9765">
      <c r="A9765" s="14">
        <v>43032.107881944445</v>
      </c>
      <c r="B9765" s="20" t="str">
        <f>HYPERLINK("https://twitter.com/Snapzu_News","@Snapzu_News")</f>
        <v>@Snapzu_News</v>
      </c>
      <c r="C9765" s="21" t="s">
        <v>21253</v>
      </c>
      <c r="D9765" s="21" t="s">
        <v>21254</v>
      </c>
      <c r="E9765" s="22" t="str">
        <f>HYPERLINK("https://twitter.com/Snapzu_News/status/922758402215960577","922758402215960577")</f>
        <v>922758402215960577</v>
      </c>
      <c r="F9765" s="23" t="s">
        <v>187</v>
      </c>
      <c r="G9765" s="24">
        <v>2302.0</v>
      </c>
      <c r="H9765" s="24">
        <v>1.0</v>
      </c>
      <c r="I9765" s="24">
        <v>0.0</v>
      </c>
      <c r="J9765" s="24">
        <v>0.0</v>
      </c>
      <c r="K9765" s="23" t="s">
        <v>34</v>
      </c>
      <c r="L9765" s="25">
        <v>41793.65659722222</v>
      </c>
      <c r="M9765" s="26" t="s">
        <v>21255</v>
      </c>
      <c r="N9765" s="26" t="s">
        <v>21256</v>
      </c>
      <c r="O9765" s="22" t="str">
        <f>HYPERLINK("https://pbs.twimg.com/profile_images/473958880616009729/lUIfCrkP_normal.png","View")</f>
        <v>View</v>
      </c>
      <c r="P9765" s="27"/>
    </row>
    <row r="9766">
      <c r="A9766" s="14">
        <v>43032.10797453704</v>
      </c>
      <c r="B9766" s="20" t="str">
        <f>HYPERLINK("https://twitter.com/dangoago","@dangoago")</f>
        <v>@dangoago</v>
      </c>
      <c r="C9766" s="21" t="s">
        <v>20195</v>
      </c>
      <c r="D9766" s="21" t="s">
        <v>21257</v>
      </c>
      <c r="E9766" s="22" t="str">
        <f>HYPERLINK("https://twitter.com/dangoago/status/922758433761255425","922758433761255425")</f>
        <v>922758433761255425</v>
      </c>
      <c r="F9766" s="23" t="s">
        <v>39</v>
      </c>
      <c r="G9766" s="24">
        <v>1508.0</v>
      </c>
      <c r="H9766" s="24">
        <v>4162.0</v>
      </c>
      <c r="I9766" s="24">
        <v>1.0</v>
      </c>
      <c r="J9766" s="24">
        <v>0.0</v>
      </c>
      <c r="K9766" s="23" t="s">
        <v>34</v>
      </c>
      <c r="L9766" s="25">
        <v>40210.27287037037</v>
      </c>
      <c r="M9766" s="26" t="s">
        <v>20197</v>
      </c>
      <c r="N9766" s="26" t="s">
        <v>20198</v>
      </c>
      <c r="O9766" s="22" t="str">
        <f>HYPERLINK("https://pbs.twimg.com/profile_images/858660219554938880/uNEgfpZh_normal.jpg","View")</f>
        <v>View</v>
      </c>
      <c r="P9766" s="27"/>
    </row>
    <row r="9767">
      <c r="A9767" s="14">
        <v>43032.10799768519</v>
      </c>
      <c r="B9767" s="20" t="str">
        <f>HYPERLINK("https://twitter.com/Snapzu_Politics","@Snapzu_Politics")</f>
        <v>@Snapzu_Politics</v>
      </c>
      <c r="C9767" s="21" t="s">
        <v>21258</v>
      </c>
      <c r="D9767" s="21" t="s">
        <v>21259</v>
      </c>
      <c r="E9767" s="22" t="str">
        <f>HYPERLINK("https://twitter.com/Snapzu_Politics/status/922758442275823617","922758442275823617")</f>
        <v>922758442275823617</v>
      </c>
      <c r="F9767" s="23" t="s">
        <v>187</v>
      </c>
      <c r="G9767" s="24">
        <v>2435.0</v>
      </c>
      <c r="H9767" s="24">
        <v>1140.0</v>
      </c>
      <c r="I9767" s="24">
        <v>0.0</v>
      </c>
      <c r="J9767" s="24">
        <v>1.0</v>
      </c>
      <c r="K9767" s="23" t="s">
        <v>34</v>
      </c>
      <c r="L9767" s="25">
        <v>41793.68766203704</v>
      </c>
      <c r="M9767" s="26" t="s">
        <v>21255</v>
      </c>
      <c r="N9767" s="26" t="s">
        <v>21260</v>
      </c>
      <c r="O9767" s="22" t="str">
        <f>HYPERLINK("https://pbs.twimg.com/profile_images/473970175247544320/AAAER4m8_normal.png","View")</f>
        <v>View</v>
      </c>
      <c r="P9767" s="27"/>
    </row>
    <row r="9768">
      <c r="A9768" s="14">
        <v>43032.10805555555</v>
      </c>
      <c r="B9768" s="20" t="str">
        <f>HYPERLINK("https://twitter.com/stahl_soraya","@stahl_soraya")</f>
        <v>@stahl_soraya</v>
      </c>
      <c r="C9768" s="21" t="s">
        <v>21240</v>
      </c>
      <c r="D9768" s="21" t="s">
        <v>21191</v>
      </c>
      <c r="E9768" s="22" t="str">
        <f>HYPERLINK("https://twitter.com/stahl_soraya/status/922758462026715136","922758462026715136")</f>
        <v>922758462026715136</v>
      </c>
      <c r="F9768" s="23" t="s">
        <v>86</v>
      </c>
      <c r="G9768" s="24">
        <v>62.0</v>
      </c>
      <c r="H9768" s="24">
        <v>156.0</v>
      </c>
      <c r="I9768" s="24">
        <v>42.0</v>
      </c>
      <c r="J9768" s="24">
        <v>0.0</v>
      </c>
      <c r="K9768" s="23" t="s">
        <v>34</v>
      </c>
      <c r="L9768" s="25">
        <v>41906.38423611111</v>
      </c>
      <c r="M9768" s="26" t="s">
        <v>40</v>
      </c>
      <c r="N9768" s="26" t="s">
        <v>21241</v>
      </c>
      <c r="O9768" s="22" t="str">
        <f>HYPERLINK("https://pbs.twimg.com/profile_images/514810305705041920/hnzIPM7v_normal.jpeg","View")</f>
        <v>View</v>
      </c>
      <c r="P9768" s="27"/>
    </row>
    <row r="9769">
      <c r="A9769" s="14">
        <v>43032.10815972222</v>
      </c>
      <c r="B9769" s="20" t="str">
        <f>HYPERLINK("https://twitter.com/IAmJoeTrudeau","@IAmJoeTrudeau")</f>
        <v>@IAmJoeTrudeau</v>
      </c>
      <c r="C9769" s="21" t="s">
        <v>16648</v>
      </c>
      <c r="D9769" s="21" t="s">
        <v>21261</v>
      </c>
      <c r="E9769" s="22" t="str">
        <f>HYPERLINK("https://twitter.com/IAmJoeTrudeau/status/922758502958764033","922758502958764033")</f>
        <v>922758502958764033</v>
      </c>
      <c r="F9769" s="23" t="s">
        <v>230</v>
      </c>
      <c r="G9769" s="24">
        <v>31852.0</v>
      </c>
      <c r="H9769" s="24">
        <v>2720.0</v>
      </c>
      <c r="I9769" s="24">
        <v>11.0</v>
      </c>
      <c r="J9769" s="24">
        <v>0.0</v>
      </c>
      <c r="K9769" s="23" t="s">
        <v>34</v>
      </c>
      <c r="L9769" s="25">
        <v>42780.781076388885</v>
      </c>
      <c r="M9769" s="26" t="s">
        <v>920</v>
      </c>
      <c r="N9769" s="26" t="s">
        <v>16649</v>
      </c>
      <c r="O9769" s="22" t="str">
        <f>HYPERLINK("https://pbs.twimg.com/profile_images/897162932470992896/ux4IX8w4_normal.jpg","View")</f>
        <v>View</v>
      </c>
      <c r="P9769" s="27"/>
    </row>
    <row r="9770">
      <c r="A9770" s="14">
        <v>43032.108298611114</v>
      </c>
      <c r="B9770" s="20" t="str">
        <f>HYPERLINK("https://twitter.com/odessatorez","@odessatorez")</f>
        <v>@odessatorez</v>
      </c>
      <c r="C9770" s="21" t="s">
        <v>21262</v>
      </c>
      <c r="D9770" s="21" t="s">
        <v>17703</v>
      </c>
      <c r="E9770" s="22" t="str">
        <f>HYPERLINK("https://twitter.com/odessatorez/status/922758554146295809","922758554146295809")</f>
        <v>922758554146295809</v>
      </c>
      <c r="F9770" s="23" t="s">
        <v>55</v>
      </c>
      <c r="G9770" s="24">
        <v>1114.0</v>
      </c>
      <c r="H9770" s="24">
        <v>1982.0</v>
      </c>
      <c r="I9770" s="24">
        <v>23.0</v>
      </c>
      <c r="J9770" s="24">
        <v>0.0</v>
      </c>
      <c r="K9770" s="23" t="s">
        <v>34</v>
      </c>
      <c r="L9770" s="25">
        <v>40679.22271990741</v>
      </c>
      <c r="M9770" s="28"/>
      <c r="N9770" s="28"/>
      <c r="O9770" s="22" t="str">
        <f>HYPERLINK("https://pbs.twimg.com/profile_images/869548205507268608/CI3Ys7z-_normal.jpg","View")</f>
        <v>View</v>
      </c>
      <c r="P9770" s="27"/>
    </row>
    <row r="9771">
      <c r="A9771" s="14">
        <v>43032.10834490741</v>
      </c>
      <c r="B9771" s="20" t="str">
        <f t="shared" ref="B9771:B9772" si="195">HYPERLINK("https://twitter.com/dangoago","@dangoago")</f>
        <v>@dangoago</v>
      </c>
      <c r="C9771" s="21" t="s">
        <v>20195</v>
      </c>
      <c r="D9771" s="21" t="s">
        <v>21263</v>
      </c>
      <c r="E9771" s="22" t="str">
        <f>HYPERLINK("https://twitter.com/dangoago/status/922758567223894016","922758567223894016")</f>
        <v>922758567223894016</v>
      </c>
      <c r="F9771" s="23" t="s">
        <v>39</v>
      </c>
      <c r="G9771" s="24">
        <v>1508.0</v>
      </c>
      <c r="H9771" s="24">
        <v>4162.0</v>
      </c>
      <c r="I9771" s="24">
        <v>17.0</v>
      </c>
      <c r="J9771" s="24">
        <v>0.0</v>
      </c>
      <c r="K9771" s="23" t="s">
        <v>34</v>
      </c>
      <c r="L9771" s="25">
        <v>40210.27287037037</v>
      </c>
      <c r="M9771" s="26" t="s">
        <v>20197</v>
      </c>
      <c r="N9771" s="26" t="s">
        <v>20198</v>
      </c>
      <c r="O9771" s="22" t="str">
        <f t="shared" ref="O9771:O9772" si="196">HYPERLINK("https://pbs.twimg.com/profile_images/858660219554938880/uNEgfpZh_normal.jpg","View")</f>
        <v>View</v>
      </c>
      <c r="P9771" s="27"/>
    </row>
    <row r="9772">
      <c r="A9772" s="14">
        <v>43032.10841435185</v>
      </c>
      <c r="B9772" s="20" t="str">
        <f t="shared" si="195"/>
        <v>@dangoago</v>
      </c>
      <c r="C9772" s="21" t="s">
        <v>20195</v>
      </c>
      <c r="D9772" s="21" t="s">
        <v>18604</v>
      </c>
      <c r="E9772" s="22" t="str">
        <f>HYPERLINK("https://twitter.com/dangoago/status/922758594709282816","922758594709282816")</f>
        <v>922758594709282816</v>
      </c>
      <c r="F9772" s="23" t="s">
        <v>39</v>
      </c>
      <c r="G9772" s="24">
        <v>1508.0</v>
      </c>
      <c r="H9772" s="24">
        <v>4162.0</v>
      </c>
      <c r="I9772" s="24">
        <v>5.0</v>
      </c>
      <c r="J9772" s="24">
        <v>0.0</v>
      </c>
      <c r="K9772" s="23" t="s">
        <v>34</v>
      </c>
      <c r="L9772" s="25">
        <v>40210.27287037037</v>
      </c>
      <c r="M9772" s="26" t="s">
        <v>20197</v>
      </c>
      <c r="N9772" s="26" t="s">
        <v>20198</v>
      </c>
      <c r="O9772" s="22" t="str">
        <f t="shared" si="196"/>
        <v>View</v>
      </c>
      <c r="P9772" s="27"/>
    </row>
    <row r="9773">
      <c r="A9773" s="14">
        <v>43032.1084837963</v>
      </c>
      <c r="B9773" s="20" t="str">
        <f>HYPERLINK("https://twitter.com/AjayGir41518885","@AjayGir41518885")</f>
        <v>@AjayGir41518885</v>
      </c>
      <c r="C9773" s="21" t="s">
        <v>21264</v>
      </c>
      <c r="D9773" s="21" t="s">
        <v>42</v>
      </c>
      <c r="E9773" s="22" t="str">
        <f>HYPERLINK("https://twitter.com/AjayGir41518885/status/922758621200445440","922758621200445440")</f>
        <v>922758621200445440</v>
      </c>
      <c r="F9773" s="23" t="s">
        <v>33</v>
      </c>
      <c r="G9773" s="24">
        <v>6.0</v>
      </c>
      <c r="H9773" s="24">
        <v>32.0</v>
      </c>
      <c r="I9773" s="24">
        <v>8501.0</v>
      </c>
      <c r="J9773" s="24">
        <v>0.0</v>
      </c>
      <c r="K9773" s="23" t="s">
        <v>34</v>
      </c>
      <c r="L9773" s="25">
        <v>42874.75841435185</v>
      </c>
      <c r="M9773" s="26" t="s">
        <v>195</v>
      </c>
      <c r="N9773" s="26" t="s">
        <v>21265</v>
      </c>
      <c r="O9773" s="22" t="str">
        <f>HYPERLINK("https://pbs.twimg.com/profile_images/899971298889158656/muQs1u-1_normal.jpg","View")</f>
        <v>View</v>
      </c>
      <c r="P9773" s="27"/>
    </row>
    <row r="9774">
      <c r="A9774" s="14">
        <v>43032.10912037037</v>
      </c>
      <c r="B9774" s="20" t="str">
        <f>HYPERLINK("https://twitter.com/arya_aryaism","@arya_aryaism")</f>
        <v>@arya_aryaism</v>
      </c>
      <c r="C9774" s="21" t="s">
        <v>21266</v>
      </c>
      <c r="D9774" s="21" t="s">
        <v>21267</v>
      </c>
      <c r="E9774" s="22" t="str">
        <f>HYPERLINK("https://twitter.com/arya_aryaism/status/922758850859732993","922758850859732993")</f>
        <v>922758850859732993</v>
      </c>
      <c r="F9774" s="23" t="s">
        <v>55</v>
      </c>
      <c r="G9774" s="24">
        <v>1162.0</v>
      </c>
      <c r="H9774" s="24">
        <v>3457.0</v>
      </c>
      <c r="I9774" s="24">
        <v>0.0</v>
      </c>
      <c r="J9774" s="24">
        <v>0.0</v>
      </c>
      <c r="K9774" s="23" t="s">
        <v>34</v>
      </c>
      <c r="L9774" s="25">
        <v>41955.56747685185</v>
      </c>
      <c r="M9774" s="28"/>
      <c r="N9774" s="32" t="s">
        <v>21268</v>
      </c>
      <c r="O9774" s="22" t="str">
        <f>HYPERLINK("https://pbs.twimg.com/profile_images/779422370327126016/YYS9UGhi_normal.jpg","View")</f>
        <v>View</v>
      </c>
      <c r="P9774" s="27"/>
    </row>
    <row r="9775">
      <c r="A9775" s="14">
        <v>43032.10921296296</v>
      </c>
      <c r="B9775" s="20" t="str">
        <f>HYPERLINK("https://twitter.com/Kamran_Sarvnaz","@Kamran_Sarvnaz")</f>
        <v>@Kamran_Sarvnaz</v>
      </c>
      <c r="C9775" s="21" t="s">
        <v>21269</v>
      </c>
      <c r="D9775" s="21" t="s">
        <v>21215</v>
      </c>
      <c r="E9775" s="22" t="str">
        <f>HYPERLINK("https://twitter.com/Kamran_Sarvnaz/status/922758881696145408","922758881696145408")</f>
        <v>922758881696145408</v>
      </c>
      <c r="F9775" s="23" t="s">
        <v>86</v>
      </c>
      <c r="G9775" s="24">
        <v>604.0</v>
      </c>
      <c r="H9775" s="24">
        <v>382.0</v>
      </c>
      <c r="I9775" s="24">
        <v>39.0</v>
      </c>
      <c r="J9775" s="24">
        <v>0.0</v>
      </c>
      <c r="K9775" s="23" t="s">
        <v>34</v>
      </c>
      <c r="L9775" s="25">
        <v>41703.423530092594</v>
      </c>
      <c r="M9775" s="26" t="s">
        <v>21122</v>
      </c>
      <c r="N9775" s="26" t="s">
        <v>21088</v>
      </c>
      <c r="O9775" s="22" t="str">
        <f>HYPERLINK("https://pbs.twimg.com/profile_images/441274742100598785/ze426U3d_normal.jpeg","View")</f>
        <v>View</v>
      </c>
      <c r="P9775" s="27"/>
    </row>
    <row r="9776">
      <c r="A9776" s="14">
        <v>43032.10936342593</v>
      </c>
      <c r="B9776" s="20" t="str">
        <f>HYPERLINK("https://twitter.com/Chi312Chi","@Chi312Chi")</f>
        <v>@Chi312Chi</v>
      </c>
      <c r="C9776" s="21" t="s">
        <v>478</v>
      </c>
      <c r="D9776" s="21" t="s">
        <v>21202</v>
      </c>
      <c r="E9776" s="22" t="str">
        <f>HYPERLINK("https://twitter.com/Chi312Chi/status/922758936788459522","922758936788459522")</f>
        <v>922758936788459522</v>
      </c>
      <c r="F9776" s="23" t="s">
        <v>3031</v>
      </c>
      <c r="G9776" s="24">
        <v>541.0</v>
      </c>
      <c r="H9776" s="24">
        <v>2430.0</v>
      </c>
      <c r="I9776" s="24">
        <v>79.0</v>
      </c>
      <c r="J9776" s="24">
        <v>0.0</v>
      </c>
      <c r="K9776" s="23" t="s">
        <v>34</v>
      </c>
      <c r="L9776" s="25">
        <v>41645.81662037037</v>
      </c>
      <c r="M9776" s="28"/>
      <c r="N9776" s="28"/>
      <c r="O9776" s="22" t="str">
        <f>HYPERLINK("https://pbs.twimg.com/profile_images/918940173085413376/0qeHPlF8_normal.jpg","View")</f>
        <v>View</v>
      </c>
      <c r="P9776" s="27"/>
    </row>
    <row r="9777">
      <c r="A9777" s="14">
        <v>43032.10938657407</v>
      </c>
      <c r="B9777" s="20" t="str">
        <f>HYPERLINK("https://twitter.com/larisashvetsov3","@larisashvetsov3")</f>
        <v>@larisashvetsov3</v>
      </c>
      <c r="C9777" s="21" t="s">
        <v>21204</v>
      </c>
      <c r="D9777" s="21" t="s">
        <v>10972</v>
      </c>
      <c r="E9777" s="22" t="str">
        <f>HYPERLINK("https://twitter.com/larisashvetsov3/status/922758944610598912","922758944610598912")</f>
        <v>922758944610598912</v>
      </c>
      <c r="F9777" s="23" t="s">
        <v>55</v>
      </c>
      <c r="G9777" s="24">
        <v>0.0</v>
      </c>
      <c r="H9777" s="24">
        <v>2.0</v>
      </c>
      <c r="I9777" s="24">
        <v>55.0</v>
      </c>
      <c r="J9777" s="24">
        <v>0.0</v>
      </c>
      <c r="K9777" s="23" t="s">
        <v>34</v>
      </c>
      <c r="L9777" s="25">
        <v>43006.11549768518</v>
      </c>
      <c r="M9777" s="28"/>
      <c r="N9777" s="28"/>
      <c r="O9777" s="22" t="str">
        <f>HYPERLINK("https://pbs.twimg.com/profile_images/922644513901780992/M6o-REl9_normal.jpg","View")</f>
        <v>View</v>
      </c>
      <c r="P9777" s="27"/>
    </row>
    <row r="9778">
      <c r="A9778" s="14">
        <v>43032.109444444446</v>
      </c>
      <c r="B9778" s="20" t="str">
        <f>HYPERLINK("https://twitter.com/Kamran_Sarvnaz","@Kamran_Sarvnaz")</f>
        <v>@Kamran_Sarvnaz</v>
      </c>
      <c r="C9778" s="21" t="s">
        <v>21269</v>
      </c>
      <c r="D9778" s="21" t="s">
        <v>21194</v>
      </c>
      <c r="E9778" s="22" t="str">
        <f>HYPERLINK("https://twitter.com/Kamran_Sarvnaz/status/922758966299389952","922758966299389952")</f>
        <v>922758966299389952</v>
      </c>
      <c r="F9778" s="23" t="s">
        <v>86</v>
      </c>
      <c r="G9778" s="24">
        <v>604.0</v>
      </c>
      <c r="H9778" s="24">
        <v>382.0</v>
      </c>
      <c r="I9778" s="24">
        <v>35.0</v>
      </c>
      <c r="J9778" s="24">
        <v>0.0</v>
      </c>
      <c r="K9778" s="23" t="s">
        <v>34</v>
      </c>
      <c r="L9778" s="25">
        <v>41703.423530092594</v>
      </c>
      <c r="M9778" s="26" t="s">
        <v>21122</v>
      </c>
      <c r="N9778" s="26" t="s">
        <v>21088</v>
      </c>
      <c r="O9778" s="22" t="str">
        <f>HYPERLINK("https://pbs.twimg.com/profile_images/441274742100598785/ze426U3d_normal.jpeg","View")</f>
        <v>View</v>
      </c>
      <c r="P9778" s="27"/>
    </row>
    <row r="9779">
      <c r="A9779" s="14">
        <v>43032.10947916667</v>
      </c>
      <c r="B9779" s="20" t="str">
        <f>HYPERLINK("https://twitter.com/NiliMajumder","@NiliMajumder")</f>
        <v>@NiliMajumder</v>
      </c>
      <c r="C9779" s="21" t="s">
        <v>21270</v>
      </c>
      <c r="D9779" s="21" t="s">
        <v>11750</v>
      </c>
      <c r="E9779" s="22" t="str">
        <f>HYPERLINK("https://twitter.com/NiliMajumder/status/922758981889622016","922758981889622016")</f>
        <v>922758981889622016</v>
      </c>
      <c r="F9779" s="23" t="s">
        <v>55</v>
      </c>
      <c r="G9779" s="24">
        <v>25974.0</v>
      </c>
      <c r="H9779" s="24">
        <v>3856.0</v>
      </c>
      <c r="I9779" s="24">
        <v>35.0</v>
      </c>
      <c r="J9779" s="24">
        <v>0.0</v>
      </c>
      <c r="K9779" s="23" t="s">
        <v>34</v>
      </c>
      <c r="L9779" s="25">
        <v>40828.38716435185</v>
      </c>
      <c r="M9779" s="28"/>
      <c r="N9779" s="26" t="s">
        <v>21271</v>
      </c>
      <c r="O9779" s="22" t="str">
        <f>HYPERLINK("https://pbs.twimg.com/profile_images/861620741472636928/RCERE6jw_normal.jpg","View")</f>
        <v>View</v>
      </c>
      <c r="P9779" s="27"/>
    </row>
    <row r="9780">
      <c r="A9780" s="14">
        <v>43032.10972222222</v>
      </c>
      <c r="B9780" s="20" t="str">
        <f>HYPERLINK("https://twitter.com/pradesh_awadh","@pradesh_awadh")</f>
        <v>@pradesh_awadh</v>
      </c>
      <c r="C9780" s="21" t="s">
        <v>21272</v>
      </c>
      <c r="D9780" s="21" t="s">
        <v>42</v>
      </c>
      <c r="E9780" s="22" t="str">
        <f>HYPERLINK("https://twitter.com/pradesh_awadh/status/922759068762087425","922759068762087425")</f>
        <v>922759068762087425</v>
      </c>
      <c r="F9780" s="23" t="s">
        <v>33</v>
      </c>
      <c r="G9780" s="24">
        <v>64.0</v>
      </c>
      <c r="H9780" s="24">
        <v>731.0</v>
      </c>
      <c r="I9780" s="24">
        <v>8501.0</v>
      </c>
      <c r="J9780" s="24">
        <v>0.0</v>
      </c>
      <c r="K9780" s="23" t="s">
        <v>34</v>
      </c>
      <c r="L9780" s="25">
        <v>42524.85393518519</v>
      </c>
      <c r="M9780" s="26" t="s">
        <v>21273</v>
      </c>
      <c r="N9780" s="26" t="s">
        <v>21274</v>
      </c>
      <c r="O9780" s="22" t="str">
        <f>HYPERLINK("https://pbs.twimg.com/profile_images/920894083857465344/mEohh5yg_normal.jpg","View")</f>
        <v>View</v>
      </c>
      <c r="P9780" s="27"/>
    </row>
    <row r="9781">
      <c r="A9781" s="14">
        <v>43032.109918981485</v>
      </c>
      <c r="B9781" s="20" t="str">
        <f>HYPERLINK("https://twitter.com/toynbee9","@toynbee9")</f>
        <v>@toynbee9</v>
      </c>
      <c r="C9781" s="21" t="s">
        <v>21275</v>
      </c>
      <c r="D9781" s="21" t="s">
        <v>20569</v>
      </c>
      <c r="E9781" s="22" t="str">
        <f>HYPERLINK("https://twitter.com/toynbee9/status/922759137225621504","922759137225621504")</f>
        <v>922759137225621504</v>
      </c>
      <c r="F9781" s="23" t="s">
        <v>39</v>
      </c>
      <c r="G9781" s="24">
        <v>139.0</v>
      </c>
      <c r="H9781" s="24">
        <v>148.0</v>
      </c>
      <c r="I9781" s="24">
        <v>11.0</v>
      </c>
      <c r="J9781" s="24">
        <v>0.0</v>
      </c>
      <c r="K9781" s="23" t="s">
        <v>34</v>
      </c>
      <c r="L9781" s="25">
        <v>41210.13997685185</v>
      </c>
      <c r="M9781" s="28"/>
      <c r="N9781" s="28"/>
      <c r="O9781" s="22" t="str">
        <f>HYPERLINK("https://pbs.twimg.com/profile_images/586732186595827712/g19KxWjS_normal.jpg","View")</f>
        <v>View</v>
      </c>
      <c r="P9781" s="27"/>
    </row>
    <row r="9782">
      <c r="A9782" s="14">
        <v>43032.11005787037</v>
      </c>
      <c r="B9782" s="20" t="str">
        <f>HYPERLINK("https://twitter.com/Hayleyjd01","@Hayleyjd01")</f>
        <v>@Hayleyjd01</v>
      </c>
      <c r="C9782" s="21" t="s">
        <v>21276</v>
      </c>
      <c r="D9782" s="21" t="s">
        <v>21261</v>
      </c>
      <c r="E9782" s="22" t="str">
        <f>HYPERLINK("https://twitter.com/Hayleyjd01/status/922759187955937280","922759187955937280")</f>
        <v>922759187955937280</v>
      </c>
      <c r="F9782" s="23" t="s">
        <v>33</v>
      </c>
      <c r="G9782" s="24">
        <v>91.0</v>
      </c>
      <c r="H9782" s="24">
        <v>5003.0</v>
      </c>
      <c r="I9782" s="24">
        <v>11.0</v>
      </c>
      <c r="J9782" s="24">
        <v>0.0</v>
      </c>
      <c r="K9782" s="23" t="s">
        <v>34</v>
      </c>
      <c r="L9782" s="25">
        <v>40889.73983796296</v>
      </c>
      <c r="M9782" s="26" t="s">
        <v>21277</v>
      </c>
      <c r="N9782" s="26" t="s">
        <v>21278</v>
      </c>
      <c r="O9782" s="22" t="str">
        <f>HYPERLINK("https://pbs.twimg.com/profile_images/743392224302473216/MWajZuiK_normal.jpg","View")</f>
        <v>View</v>
      </c>
      <c r="P9782" s="27"/>
    </row>
    <row r="9783">
      <c r="A9783" s="14">
        <v>43032.11027777778</v>
      </c>
      <c r="B9783" s="20" t="str">
        <f>HYPERLINK("https://twitter.com/Kamran_Sarvnaz","@Kamran_Sarvnaz")</f>
        <v>@Kamran_Sarvnaz</v>
      </c>
      <c r="C9783" s="21" t="s">
        <v>21269</v>
      </c>
      <c r="D9783" s="21" t="s">
        <v>21202</v>
      </c>
      <c r="E9783" s="22" t="str">
        <f>HYPERLINK("https://twitter.com/Kamran_Sarvnaz/status/922759270172463110","922759270172463110")</f>
        <v>922759270172463110</v>
      </c>
      <c r="F9783" s="23" t="s">
        <v>86</v>
      </c>
      <c r="G9783" s="24">
        <v>604.0</v>
      </c>
      <c r="H9783" s="24">
        <v>382.0</v>
      </c>
      <c r="I9783" s="24">
        <v>79.0</v>
      </c>
      <c r="J9783" s="24">
        <v>0.0</v>
      </c>
      <c r="K9783" s="23" t="s">
        <v>34</v>
      </c>
      <c r="L9783" s="25">
        <v>41703.423530092594</v>
      </c>
      <c r="M9783" s="26" t="s">
        <v>21122</v>
      </c>
      <c r="N9783" s="26" t="s">
        <v>21088</v>
      </c>
      <c r="O9783" s="22" t="str">
        <f>HYPERLINK("https://pbs.twimg.com/profile_images/441274742100598785/ze426U3d_normal.jpeg","View")</f>
        <v>View</v>
      </c>
      <c r="P9783" s="27"/>
    </row>
    <row r="9784">
      <c r="A9784" s="14">
        <v>43032.1103125</v>
      </c>
      <c r="B9784" s="20" t="str">
        <f>HYPERLINK("https://twitter.com/lI_Gattopardo","@lI_Gattopardo")</f>
        <v>@lI_Gattopardo</v>
      </c>
      <c r="C9784" s="21" t="s">
        <v>21279</v>
      </c>
      <c r="D9784" s="21" t="s">
        <v>20700</v>
      </c>
      <c r="E9784" s="22" t="str">
        <f>HYPERLINK("https://twitter.com/lI_Gattopardo/status/922759281736278017","922759281736278017")</f>
        <v>922759281736278017</v>
      </c>
      <c r="F9784" s="23" t="s">
        <v>55</v>
      </c>
      <c r="G9784" s="24">
        <v>280.0</v>
      </c>
      <c r="H9784" s="24">
        <v>364.0</v>
      </c>
      <c r="I9784" s="24">
        <v>27.0</v>
      </c>
      <c r="J9784" s="24">
        <v>0.0</v>
      </c>
      <c r="K9784" s="23" t="s">
        <v>34</v>
      </c>
      <c r="L9784" s="25">
        <v>42483.74841435185</v>
      </c>
      <c r="M9784" s="26" t="s">
        <v>21280</v>
      </c>
      <c r="N9784" s="26" t="s">
        <v>21281</v>
      </c>
      <c r="O9784" s="22" t="str">
        <f>HYPERLINK("https://pbs.twimg.com/profile_images/868629468729950208/NWEyze-D_normal.jpg","View")</f>
        <v>View</v>
      </c>
      <c r="P9784" s="27"/>
    </row>
    <row r="9785">
      <c r="A9785" s="14">
        <v>43032.11059027778</v>
      </c>
      <c r="B9785" s="20" t="str">
        <f>HYPERLINK("https://twitter.com/mrJackCalvert","@mrJackCalvert")</f>
        <v>@mrJackCalvert</v>
      </c>
      <c r="C9785" s="21" t="s">
        <v>21282</v>
      </c>
      <c r="D9785" s="21" t="s">
        <v>21283</v>
      </c>
      <c r="E9785" s="22" t="str">
        <f>HYPERLINK("https://twitter.com/mrJackCalvert/status/922759382223523841","922759382223523841")</f>
        <v>922759382223523841</v>
      </c>
      <c r="F9785" s="23" t="s">
        <v>43</v>
      </c>
      <c r="G9785" s="24">
        <v>6206.0</v>
      </c>
      <c r="H9785" s="24">
        <v>6404.0</v>
      </c>
      <c r="I9785" s="24">
        <v>0.0</v>
      </c>
      <c r="J9785" s="24">
        <v>0.0</v>
      </c>
      <c r="K9785" s="23" t="s">
        <v>34</v>
      </c>
      <c r="L9785" s="25">
        <v>41492.563472222224</v>
      </c>
      <c r="M9785" s="26" t="s">
        <v>21284</v>
      </c>
      <c r="N9785" s="26" t="s">
        <v>21285</v>
      </c>
      <c r="O9785" s="22" t="str">
        <f>HYPERLINK("https://pbs.twimg.com/profile_images/919542702177267712/sqCJmeQc_normal.jpg","View")</f>
        <v>View</v>
      </c>
      <c r="P9785" s="27"/>
    </row>
    <row r="9786">
      <c r="A9786" s="14">
        <v>43032.11063657407</v>
      </c>
      <c r="B9786" s="20" t="str">
        <f>HYPERLINK("https://twitter.com/Kamran_Sarvnaz","@Kamran_Sarvnaz")</f>
        <v>@Kamran_Sarvnaz</v>
      </c>
      <c r="C9786" s="21" t="s">
        <v>21269</v>
      </c>
      <c r="D9786" s="21" t="s">
        <v>21203</v>
      </c>
      <c r="E9786" s="22" t="str">
        <f>HYPERLINK("https://twitter.com/Kamran_Sarvnaz/status/922759401412296704","922759401412296704")</f>
        <v>922759401412296704</v>
      </c>
      <c r="F9786" s="23" t="s">
        <v>86</v>
      </c>
      <c r="G9786" s="24">
        <v>604.0</v>
      </c>
      <c r="H9786" s="24">
        <v>382.0</v>
      </c>
      <c r="I9786" s="24">
        <v>75.0</v>
      </c>
      <c r="J9786" s="24">
        <v>0.0</v>
      </c>
      <c r="K9786" s="23" t="s">
        <v>34</v>
      </c>
      <c r="L9786" s="25">
        <v>41703.423530092594</v>
      </c>
      <c r="M9786" s="26" t="s">
        <v>21122</v>
      </c>
      <c r="N9786" s="26" t="s">
        <v>21088</v>
      </c>
      <c r="O9786" s="22" t="str">
        <f>HYPERLINK("https://pbs.twimg.com/profile_images/441274742100598785/ze426U3d_normal.jpeg","View")</f>
        <v>View</v>
      </c>
      <c r="P9786" s="27"/>
    </row>
    <row r="9787">
      <c r="A9787" s="14">
        <v>43032.1109375</v>
      </c>
      <c r="B9787" s="20" t="str">
        <f>HYPERLINK("https://twitter.com/storiesflowcom","@storiesflowcom")</f>
        <v>@storiesflowcom</v>
      </c>
      <c r="C9787" s="29" t="s">
        <v>4963</v>
      </c>
      <c r="D9787" s="21" t="s">
        <v>21286</v>
      </c>
      <c r="E9787" s="22" t="str">
        <f>HYPERLINK("https://twitter.com/storiesflowcom/status/922759509075951616","922759509075951616")</f>
        <v>922759509075951616</v>
      </c>
      <c r="F9787" s="23" t="s">
        <v>4965</v>
      </c>
      <c r="G9787" s="24">
        <v>1229.0</v>
      </c>
      <c r="H9787" s="24">
        <v>212.0</v>
      </c>
      <c r="I9787" s="24">
        <v>0.0</v>
      </c>
      <c r="J9787" s="24">
        <v>0.0</v>
      </c>
      <c r="K9787" s="23" t="s">
        <v>34</v>
      </c>
      <c r="L9787" s="25">
        <v>42334.56871527778</v>
      </c>
      <c r="M9787" s="28"/>
      <c r="N9787" s="26" t="s">
        <v>4966</v>
      </c>
      <c r="O9787" s="22" t="str">
        <f>HYPERLINK("https://pbs.twimg.com/profile_images/917886684649357312/aivZ5Pfc_normal.jpg","View")</f>
        <v>View</v>
      </c>
      <c r="P9787" s="27"/>
    </row>
    <row r="9788">
      <c r="A9788" s="14">
        <v>43032.11127314815</v>
      </c>
      <c r="B9788" s="20" t="str">
        <f>HYPERLINK("https://twitter.com/davidke08674589","@davidke08674589")</f>
        <v>@davidke08674589</v>
      </c>
      <c r="C9788" s="21" t="s">
        <v>21287</v>
      </c>
      <c r="D9788" s="21" t="s">
        <v>16537</v>
      </c>
      <c r="E9788" s="22" t="str">
        <f>HYPERLINK("https://twitter.com/davidke08674589/status/922759628118724608","922759628118724608")</f>
        <v>922759628118724608</v>
      </c>
      <c r="F9788" s="23" t="s">
        <v>55</v>
      </c>
      <c r="G9788" s="24">
        <v>78.0</v>
      </c>
      <c r="H9788" s="24">
        <v>142.0</v>
      </c>
      <c r="I9788" s="24">
        <v>242.0</v>
      </c>
      <c r="J9788" s="24">
        <v>0.0</v>
      </c>
      <c r="K9788" s="23" t="s">
        <v>34</v>
      </c>
      <c r="L9788" s="25">
        <v>42461.50238425926</v>
      </c>
      <c r="M9788" s="26" t="s">
        <v>21288</v>
      </c>
      <c r="N9788" s="26" t="s">
        <v>21289</v>
      </c>
      <c r="O9788" s="22" t="str">
        <f>HYPERLINK("https://pbs.twimg.com/profile_images/730490662211227648/5VK6kQQN_normal.jpg","View")</f>
        <v>View</v>
      </c>
      <c r="P9788" s="27"/>
    </row>
    <row r="9789">
      <c r="A9789" s="14">
        <v>43032.111921296295</v>
      </c>
      <c r="B9789" s="20" t="str">
        <f>HYPERLINK("https://twitter.com/SSharmajsr","@SSharmajsr")</f>
        <v>@SSharmajsr</v>
      </c>
      <c r="C9789" s="21" t="s">
        <v>21290</v>
      </c>
      <c r="D9789" s="21" t="s">
        <v>42</v>
      </c>
      <c r="E9789" s="22" t="str">
        <f>HYPERLINK("https://twitter.com/SSharmajsr/status/922759864220229632","922759864220229632")</f>
        <v>922759864220229632</v>
      </c>
      <c r="F9789" s="23" t="s">
        <v>33</v>
      </c>
      <c r="G9789" s="24">
        <v>66.0</v>
      </c>
      <c r="H9789" s="24">
        <v>478.0</v>
      </c>
      <c r="I9789" s="24">
        <v>8501.0</v>
      </c>
      <c r="J9789" s="24">
        <v>0.0</v>
      </c>
      <c r="K9789" s="23" t="s">
        <v>34</v>
      </c>
      <c r="L9789" s="25">
        <v>42206.78739583334</v>
      </c>
      <c r="M9789" s="26" t="s">
        <v>21291</v>
      </c>
      <c r="N9789" s="26" t="s">
        <v>21292</v>
      </c>
      <c r="O9789" s="22" t="str">
        <f>HYPERLINK("https://pbs.twimg.com/profile_images/916807942040457216/evBnNsa-_normal.jpg","View")</f>
        <v>View</v>
      </c>
      <c r="P9789" s="27"/>
    </row>
    <row r="9790">
      <c r="A9790" s="14">
        <v>43032.11200231481</v>
      </c>
      <c r="B9790" s="20" t="str">
        <f>HYPERLINK("https://twitter.com/melvin_roll","@melvin_roll")</f>
        <v>@melvin_roll</v>
      </c>
      <c r="C9790" s="21" t="s">
        <v>21293</v>
      </c>
      <c r="D9790" s="21" t="s">
        <v>21215</v>
      </c>
      <c r="E9790" s="22" t="str">
        <f>HYPERLINK("https://twitter.com/melvin_roll/status/922759895715258368","922759895715258368")</f>
        <v>922759895715258368</v>
      </c>
      <c r="F9790" s="23" t="s">
        <v>86</v>
      </c>
      <c r="G9790" s="24">
        <v>319.0</v>
      </c>
      <c r="H9790" s="24">
        <v>94.0</v>
      </c>
      <c r="I9790" s="24">
        <v>39.0</v>
      </c>
      <c r="J9790" s="24">
        <v>0.0</v>
      </c>
      <c r="K9790" s="23" t="s">
        <v>34</v>
      </c>
      <c r="L9790" s="25">
        <v>41849.358506944445</v>
      </c>
      <c r="M9790" s="28"/>
      <c r="N9790" s="28"/>
      <c r="O9790" s="22" t="str">
        <f>HYPERLINK("https://pbs.twimg.com/profile_images/494149307734323202/0BlWwSpm_normal.jpeg","View")</f>
        <v>View</v>
      </c>
      <c r="P9790" s="27"/>
    </row>
    <row r="9791">
      <c r="A9791" s="14">
        <v>43032.112175925926</v>
      </c>
      <c r="B9791" s="20" t="str">
        <f>HYPERLINK("https://twitter.com/4VictoryInIran","@4VictoryInIran")</f>
        <v>@4VictoryInIran</v>
      </c>
      <c r="C9791" s="21" t="s">
        <v>21294</v>
      </c>
      <c r="D9791" s="21" t="s">
        <v>21215</v>
      </c>
      <c r="E9791" s="22" t="str">
        <f>HYPERLINK("https://twitter.com/4VictoryInIran/status/922759957514133504","922759957514133504")</f>
        <v>922759957514133504</v>
      </c>
      <c r="F9791" s="23" t="s">
        <v>86</v>
      </c>
      <c r="G9791" s="24">
        <v>1054.0</v>
      </c>
      <c r="H9791" s="24">
        <v>407.0</v>
      </c>
      <c r="I9791" s="24">
        <v>39.0</v>
      </c>
      <c r="J9791" s="24">
        <v>0.0</v>
      </c>
      <c r="K9791" s="23" t="s">
        <v>34</v>
      </c>
      <c r="L9791" s="25">
        <v>41482.45413194445</v>
      </c>
      <c r="M9791" s="26" t="s">
        <v>40</v>
      </c>
      <c r="N9791" s="26" t="s">
        <v>21088</v>
      </c>
      <c r="O9791" s="22" t="str">
        <f>HYPERLINK("https://pbs.twimg.com/profile_images/378800000240642944/c654ff61839fdfe0bb811ac9909c1113_normal.jpeg","View")</f>
        <v>View</v>
      </c>
      <c r="P9791" s="27"/>
    </row>
    <row r="9792">
      <c r="A9792" s="14">
        <v>43032.11219907408</v>
      </c>
      <c r="B9792" s="20" t="str">
        <f>HYPERLINK("https://twitter.com/melvin_roll","@melvin_roll")</f>
        <v>@melvin_roll</v>
      </c>
      <c r="C9792" s="21" t="s">
        <v>21293</v>
      </c>
      <c r="D9792" s="21" t="s">
        <v>21194</v>
      </c>
      <c r="E9792" s="22" t="str">
        <f>HYPERLINK("https://twitter.com/melvin_roll/status/922759963637723136","922759963637723136")</f>
        <v>922759963637723136</v>
      </c>
      <c r="F9792" s="23" t="s">
        <v>86</v>
      </c>
      <c r="G9792" s="24">
        <v>319.0</v>
      </c>
      <c r="H9792" s="24">
        <v>94.0</v>
      </c>
      <c r="I9792" s="24">
        <v>35.0</v>
      </c>
      <c r="J9792" s="24">
        <v>0.0</v>
      </c>
      <c r="K9792" s="23" t="s">
        <v>34</v>
      </c>
      <c r="L9792" s="25">
        <v>41849.358506944445</v>
      </c>
      <c r="M9792" s="28"/>
      <c r="N9792" s="28"/>
      <c r="O9792" s="22" t="str">
        <f>HYPERLINK("https://pbs.twimg.com/profile_images/494149307734323202/0BlWwSpm_normal.jpeg","View")</f>
        <v>View</v>
      </c>
      <c r="P9792" s="27"/>
    </row>
    <row r="9793">
      <c r="A9793" s="14">
        <v>43032.11237268518</v>
      </c>
      <c r="B9793" s="20" t="str">
        <f>HYPERLINK("https://twitter.com/AlexContestBot","@AlexContestBot")</f>
        <v>@AlexContestBot</v>
      </c>
      <c r="C9793" s="21" t="s">
        <v>6445</v>
      </c>
      <c r="D9793" s="21" t="s">
        <v>21202</v>
      </c>
      <c r="E9793" s="22" t="str">
        <f>HYPERLINK("https://twitter.com/AlexContestBot/status/922760030377492480","922760030377492480")</f>
        <v>922760030377492480</v>
      </c>
      <c r="F9793" s="23" t="s">
        <v>6446</v>
      </c>
      <c r="G9793" s="24">
        <v>609.0</v>
      </c>
      <c r="H9793" s="24">
        <v>5002.0</v>
      </c>
      <c r="I9793" s="24">
        <v>79.0</v>
      </c>
      <c r="J9793" s="24">
        <v>0.0</v>
      </c>
      <c r="K9793" s="23" t="s">
        <v>34</v>
      </c>
      <c r="L9793" s="25">
        <v>42987.538981481484</v>
      </c>
      <c r="M9793" s="28"/>
      <c r="N9793" s="28"/>
      <c r="O9793" s="22" t="str">
        <f>HYPERLINK("https://abs.twimg.com/sticky/default_profile_images/default_profile_normal.png","View")</f>
        <v>View</v>
      </c>
      <c r="P9793" s="27"/>
    </row>
    <row r="9794">
      <c r="A9794" s="14">
        <v>43032.1124074074</v>
      </c>
      <c r="B9794" s="20" t="str">
        <f>HYPERLINK("https://twitter.com/4VictoryInIran","@4VictoryInIran")</f>
        <v>@4VictoryInIran</v>
      </c>
      <c r="C9794" s="21" t="s">
        <v>21294</v>
      </c>
      <c r="D9794" s="21" t="s">
        <v>21194</v>
      </c>
      <c r="E9794" s="22" t="str">
        <f>HYPERLINK("https://twitter.com/4VictoryInIran/status/922760042360725504","922760042360725504")</f>
        <v>922760042360725504</v>
      </c>
      <c r="F9794" s="23" t="s">
        <v>86</v>
      </c>
      <c r="G9794" s="24">
        <v>1054.0</v>
      </c>
      <c r="H9794" s="24">
        <v>407.0</v>
      </c>
      <c r="I9794" s="24">
        <v>35.0</v>
      </c>
      <c r="J9794" s="24">
        <v>0.0</v>
      </c>
      <c r="K9794" s="23" t="s">
        <v>34</v>
      </c>
      <c r="L9794" s="25">
        <v>41482.45413194445</v>
      </c>
      <c r="M9794" s="26" t="s">
        <v>40</v>
      </c>
      <c r="N9794" s="26" t="s">
        <v>21088</v>
      </c>
      <c r="O9794" s="22" t="str">
        <f>HYPERLINK("https://pbs.twimg.com/profile_images/378800000240642944/c654ff61839fdfe0bb811ac9909c1113_normal.jpeg","View")</f>
        <v>View</v>
      </c>
      <c r="P9794" s="27"/>
    </row>
    <row r="9795">
      <c r="A9795" s="14">
        <v>43032.112650462965</v>
      </c>
      <c r="B9795" s="20" t="str">
        <f>HYPERLINK("https://twitter.com/joshua_chung","@joshua_chung")</f>
        <v>@joshua_chung</v>
      </c>
      <c r="C9795" s="21" t="s">
        <v>21295</v>
      </c>
      <c r="D9795" s="21" t="s">
        <v>16537</v>
      </c>
      <c r="E9795" s="22" t="str">
        <f>HYPERLINK("https://twitter.com/joshua_chung/status/922760130206109697","922760130206109697")</f>
        <v>922760130206109697</v>
      </c>
      <c r="F9795" s="23" t="s">
        <v>55</v>
      </c>
      <c r="G9795" s="24">
        <v>104.0</v>
      </c>
      <c r="H9795" s="24">
        <v>314.0</v>
      </c>
      <c r="I9795" s="24">
        <v>242.0</v>
      </c>
      <c r="J9795" s="24">
        <v>0.0</v>
      </c>
      <c r="K9795" s="23" t="s">
        <v>34</v>
      </c>
      <c r="L9795" s="25">
        <v>41565.30349537037</v>
      </c>
      <c r="M9795" s="28"/>
      <c r="N9795" s="28"/>
      <c r="O9795" s="22" t="str">
        <f>HYPERLINK("https://pbs.twimg.com/profile_images/378800000808223520/918bcfe5ec62cf46d972e2f361dad484_normal.jpeg","View")</f>
        <v>View</v>
      </c>
      <c r="P9795" s="27"/>
    </row>
    <row r="9796">
      <c r="A9796" s="14">
        <v>43032.1127662037</v>
      </c>
      <c r="B9796" s="20" t="str">
        <f t="shared" ref="B9796:B9798" si="197">HYPERLINK("https://twitter.com/81ILoveJapan","@81ILoveJapan")</f>
        <v>@81ILoveJapan</v>
      </c>
      <c r="C9796" s="21" t="s">
        <v>7180</v>
      </c>
      <c r="D9796" s="21" t="s">
        <v>21194</v>
      </c>
      <c r="E9796" s="22" t="str">
        <f>HYPERLINK("https://twitter.com/81ILoveJapan/status/922760169729265665","922760169729265665")</f>
        <v>922760169729265665</v>
      </c>
      <c r="F9796" s="23" t="s">
        <v>7182</v>
      </c>
      <c r="G9796" s="24">
        <v>73.0</v>
      </c>
      <c r="H9796" s="24">
        <v>325.0</v>
      </c>
      <c r="I9796" s="24">
        <v>35.0</v>
      </c>
      <c r="J9796" s="24">
        <v>0.0</v>
      </c>
      <c r="K9796" s="23" t="s">
        <v>34</v>
      </c>
      <c r="L9796" s="25">
        <v>43017.014756944445</v>
      </c>
      <c r="M9796" s="28"/>
      <c r="N9796" s="28"/>
      <c r="O9796" s="22" t="str">
        <f t="shared" ref="O9796:O9798" si="198">HYPERLINK("https://pbs.twimg.com/profile_images/917294754252996614/2lWRChsz_normal.jpg","View")</f>
        <v>View</v>
      </c>
      <c r="P9796" s="27"/>
    </row>
    <row r="9797">
      <c r="A9797" s="14">
        <v>43032.112858796296</v>
      </c>
      <c r="B9797" s="20" t="str">
        <f t="shared" si="197"/>
        <v>@81ILoveJapan</v>
      </c>
      <c r="C9797" s="21" t="s">
        <v>7180</v>
      </c>
      <c r="D9797" s="21" t="s">
        <v>21202</v>
      </c>
      <c r="E9797" s="22" t="str">
        <f>HYPERLINK("https://twitter.com/81ILoveJapan/status/922760205351424006","922760205351424006")</f>
        <v>922760205351424006</v>
      </c>
      <c r="F9797" s="23" t="s">
        <v>7182</v>
      </c>
      <c r="G9797" s="24">
        <v>73.0</v>
      </c>
      <c r="H9797" s="24">
        <v>325.0</v>
      </c>
      <c r="I9797" s="24">
        <v>79.0</v>
      </c>
      <c r="J9797" s="24">
        <v>0.0</v>
      </c>
      <c r="K9797" s="23" t="s">
        <v>34</v>
      </c>
      <c r="L9797" s="25">
        <v>43017.014756944445</v>
      </c>
      <c r="M9797" s="28"/>
      <c r="N9797" s="28"/>
      <c r="O9797" s="22" t="str">
        <f t="shared" si="198"/>
        <v>View</v>
      </c>
      <c r="P9797" s="27"/>
    </row>
    <row r="9798">
      <c r="A9798" s="14">
        <v>43032.11297453704</v>
      </c>
      <c r="B9798" s="20" t="str">
        <f t="shared" si="197"/>
        <v>@81ILoveJapan</v>
      </c>
      <c r="C9798" s="21" t="s">
        <v>7180</v>
      </c>
      <c r="D9798" s="21" t="s">
        <v>21215</v>
      </c>
      <c r="E9798" s="22" t="str">
        <f>HYPERLINK("https://twitter.com/81ILoveJapan/status/922760246250168320","922760246250168320")</f>
        <v>922760246250168320</v>
      </c>
      <c r="F9798" s="23" t="s">
        <v>7182</v>
      </c>
      <c r="G9798" s="24">
        <v>73.0</v>
      </c>
      <c r="H9798" s="24">
        <v>325.0</v>
      </c>
      <c r="I9798" s="24">
        <v>39.0</v>
      </c>
      <c r="J9798" s="24">
        <v>0.0</v>
      </c>
      <c r="K9798" s="23" t="s">
        <v>34</v>
      </c>
      <c r="L9798" s="25">
        <v>43017.014756944445</v>
      </c>
      <c r="M9798" s="28"/>
      <c r="N9798" s="28"/>
      <c r="O9798" s="22" t="str">
        <f t="shared" si="198"/>
        <v>View</v>
      </c>
      <c r="P9798" s="27"/>
    </row>
    <row r="9799">
      <c r="A9799" s="14">
        <v>43032.11325231481</v>
      </c>
      <c r="B9799" s="20" t="str">
        <f>HYPERLINK("https://twitter.com/4VictoryInIran","@4VictoryInIran")</f>
        <v>@4VictoryInIran</v>
      </c>
      <c r="C9799" s="21" t="s">
        <v>21294</v>
      </c>
      <c r="D9799" s="21" t="s">
        <v>21202</v>
      </c>
      <c r="E9799" s="22" t="str">
        <f>HYPERLINK("https://twitter.com/4VictoryInIran/status/922760346644889600","922760346644889600")</f>
        <v>922760346644889600</v>
      </c>
      <c r="F9799" s="23" t="s">
        <v>86</v>
      </c>
      <c r="G9799" s="24">
        <v>1054.0</v>
      </c>
      <c r="H9799" s="24">
        <v>407.0</v>
      </c>
      <c r="I9799" s="24">
        <v>79.0</v>
      </c>
      <c r="J9799" s="24">
        <v>0.0</v>
      </c>
      <c r="K9799" s="23" t="s">
        <v>34</v>
      </c>
      <c r="L9799" s="25">
        <v>41482.45413194445</v>
      </c>
      <c r="M9799" s="26" t="s">
        <v>40</v>
      </c>
      <c r="N9799" s="26" t="s">
        <v>21088</v>
      </c>
      <c r="O9799" s="22" t="str">
        <f>HYPERLINK("https://pbs.twimg.com/profile_images/378800000240642944/c654ff61839fdfe0bb811ac9909c1113_normal.jpeg","View")</f>
        <v>View</v>
      </c>
      <c r="P9799" s="27"/>
    </row>
    <row r="9800">
      <c r="A9800" s="14">
        <v>43032.113287037035</v>
      </c>
      <c r="B9800" s="20" t="str">
        <f>HYPERLINK("https://twitter.com/monkey_viral","@monkey_viral")</f>
        <v>@monkey_viral</v>
      </c>
      <c r="C9800" s="21" t="s">
        <v>20803</v>
      </c>
      <c r="D9800" s="21" t="s">
        <v>21296</v>
      </c>
      <c r="E9800" s="22" t="str">
        <f>HYPERLINK("https://twitter.com/monkey_viral/status/922760358548459521","922760358548459521")</f>
        <v>922760358548459521</v>
      </c>
      <c r="F9800" s="23" t="s">
        <v>20805</v>
      </c>
      <c r="G9800" s="24">
        <v>5637.0</v>
      </c>
      <c r="H9800" s="24">
        <v>6148.0</v>
      </c>
      <c r="I9800" s="24">
        <v>0.0</v>
      </c>
      <c r="J9800" s="24">
        <v>0.0</v>
      </c>
      <c r="K9800" s="23" t="s">
        <v>34</v>
      </c>
      <c r="L9800" s="25">
        <v>42072.34359953704</v>
      </c>
      <c r="M9800" s="26" t="s">
        <v>20806</v>
      </c>
      <c r="N9800" s="26" t="s">
        <v>20807</v>
      </c>
      <c r="O9800" s="22" t="str">
        <f>HYPERLINK("https://pbs.twimg.com/profile_images/850042084270776320/jMiph7ll_normal.jpg","View")</f>
        <v>View</v>
      </c>
      <c r="P9800" s="27"/>
    </row>
    <row r="9801">
      <c r="A9801" s="14">
        <v>43032.113483796296</v>
      </c>
      <c r="B9801" s="20" t="str">
        <f>HYPERLINK("https://twitter.com/sanjeevrai23","@sanjeevrai23")</f>
        <v>@sanjeevrai23</v>
      </c>
      <c r="C9801" s="21" t="s">
        <v>21297</v>
      </c>
      <c r="D9801" s="21" t="s">
        <v>42</v>
      </c>
      <c r="E9801" s="22" t="str">
        <f>HYPERLINK("https://twitter.com/sanjeevrai23/status/922760431285895168","922760431285895168")</f>
        <v>922760431285895168</v>
      </c>
      <c r="F9801" s="23" t="s">
        <v>33</v>
      </c>
      <c r="G9801" s="24">
        <v>152.0</v>
      </c>
      <c r="H9801" s="24">
        <v>96.0</v>
      </c>
      <c r="I9801" s="24">
        <v>8501.0</v>
      </c>
      <c r="J9801" s="24">
        <v>0.0</v>
      </c>
      <c r="K9801" s="23" t="s">
        <v>34</v>
      </c>
      <c r="L9801" s="25">
        <v>41355.03221064815</v>
      </c>
      <c r="M9801" s="26" t="s">
        <v>2020</v>
      </c>
      <c r="N9801" s="28"/>
      <c r="O9801" s="22" t="str">
        <f>HYPERLINK("https://pbs.twimg.com/profile_images/894612976392589315/tV-_l5KU_normal.jpg","View")</f>
        <v>View</v>
      </c>
      <c r="P9801" s="27"/>
    </row>
    <row r="9802">
      <c r="A9802" s="14">
        <v>43032.11361111111</v>
      </c>
      <c r="B9802" s="20" t="str">
        <f>HYPERLINK("https://twitter.com/4VictoryInIran","@4VictoryInIran")</f>
        <v>@4VictoryInIran</v>
      </c>
      <c r="C9802" s="21" t="s">
        <v>21294</v>
      </c>
      <c r="D9802" s="21" t="s">
        <v>21203</v>
      </c>
      <c r="E9802" s="22" t="str">
        <f>HYPERLINK("https://twitter.com/4VictoryInIran/status/922760476743757824","922760476743757824")</f>
        <v>922760476743757824</v>
      </c>
      <c r="F9802" s="23" t="s">
        <v>86</v>
      </c>
      <c r="G9802" s="24">
        <v>1054.0</v>
      </c>
      <c r="H9802" s="24">
        <v>407.0</v>
      </c>
      <c r="I9802" s="24">
        <v>75.0</v>
      </c>
      <c r="J9802" s="24">
        <v>0.0</v>
      </c>
      <c r="K9802" s="23" t="s">
        <v>34</v>
      </c>
      <c r="L9802" s="25">
        <v>41482.45413194445</v>
      </c>
      <c r="M9802" s="26" t="s">
        <v>40</v>
      </c>
      <c r="N9802" s="26" t="s">
        <v>21088</v>
      </c>
      <c r="O9802" s="22" t="str">
        <f>HYPERLINK("https://pbs.twimg.com/profile_images/378800000240642944/c654ff61839fdfe0bb811ac9909c1113_normal.jpeg","View")</f>
        <v>View</v>
      </c>
      <c r="P9802" s="27"/>
    </row>
    <row r="9803">
      <c r="A9803" s="14">
        <v>43032.11393518519</v>
      </c>
      <c r="B9803" s="20" t="str">
        <f>HYPERLINK("https://twitter.com/varun18vijay","@varun18vijay")</f>
        <v>@varun18vijay</v>
      </c>
      <c r="C9803" s="21" t="s">
        <v>15708</v>
      </c>
      <c r="D9803" s="21" t="s">
        <v>9514</v>
      </c>
      <c r="E9803" s="22" t="str">
        <f>HYPERLINK("https://twitter.com/varun18vijay/status/922760592720400386","922760592720400386")</f>
        <v>922760592720400386</v>
      </c>
      <c r="F9803" s="23" t="s">
        <v>2289</v>
      </c>
      <c r="G9803" s="24">
        <v>7936.0</v>
      </c>
      <c r="H9803" s="24">
        <v>3182.0</v>
      </c>
      <c r="I9803" s="24">
        <v>7.0</v>
      </c>
      <c r="J9803" s="24">
        <v>0.0</v>
      </c>
      <c r="K9803" s="23" t="s">
        <v>34</v>
      </c>
      <c r="L9803" s="25">
        <v>40384.07797453704</v>
      </c>
      <c r="M9803" s="26" t="s">
        <v>1189</v>
      </c>
      <c r="N9803" s="26" t="s">
        <v>15709</v>
      </c>
      <c r="O9803" s="22" t="str">
        <f>HYPERLINK("https://pbs.twimg.com/profile_images/523822389956579328/0uculmR1_normal.jpeg","View")</f>
        <v>View</v>
      </c>
      <c r="P9803" s="27"/>
    </row>
    <row r="9804">
      <c r="A9804" s="14">
        <v>43032.11429398148</v>
      </c>
      <c r="B9804" s="20" t="str">
        <f t="shared" ref="B9804:B9805" si="199">HYPERLINK("https://twitter.com/merlyn_hamer","@merlyn_hamer")</f>
        <v>@merlyn_hamer</v>
      </c>
      <c r="C9804" s="21" t="s">
        <v>21089</v>
      </c>
      <c r="D9804" s="21" t="s">
        <v>21215</v>
      </c>
      <c r="E9804" s="22" t="str">
        <f>HYPERLINK("https://twitter.com/merlyn_hamer/status/922760722894880770","922760722894880770")</f>
        <v>922760722894880770</v>
      </c>
      <c r="F9804" s="23" t="s">
        <v>86</v>
      </c>
      <c r="G9804" s="24">
        <v>299.0</v>
      </c>
      <c r="H9804" s="24">
        <v>125.0</v>
      </c>
      <c r="I9804" s="24">
        <v>39.0</v>
      </c>
      <c r="J9804" s="24">
        <v>0.0</v>
      </c>
      <c r="K9804" s="23" t="s">
        <v>34</v>
      </c>
      <c r="L9804" s="25">
        <v>41854.46530092593</v>
      </c>
      <c r="M9804" s="26" t="s">
        <v>905</v>
      </c>
      <c r="N9804" s="26" t="s">
        <v>21091</v>
      </c>
      <c r="O9804" s="22" t="str">
        <f t="shared" ref="O9804:O9805" si="200">HYPERLINK("https://pbs.twimg.com/profile_images/499604337740378114/T0tXQsXA_normal.jpeg","View")</f>
        <v>View</v>
      </c>
      <c r="P9804" s="27"/>
    </row>
    <row r="9805">
      <c r="A9805" s="14">
        <v>43032.11447916667</v>
      </c>
      <c r="B9805" s="20" t="str">
        <f t="shared" si="199"/>
        <v>@merlyn_hamer</v>
      </c>
      <c r="C9805" s="21" t="s">
        <v>21089</v>
      </c>
      <c r="D9805" s="21" t="s">
        <v>21194</v>
      </c>
      <c r="E9805" s="22" t="str">
        <f>HYPERLINK("https://twitter.com/merlyn_hamer/status/922760790880354306","922760790880354306")</f>
        <v>922760790880354306</v>
      </c>
      <c r="F9805" s="23" t="s">
        <v>86</v>
      </c>
      <c r="G9805" s="24">
        <v>299.0</v>
      </c>
      <c r="H9805" s="24">
        <v>125.0</v>
      </c>
      <c r="I9805" s="24">
        <v>35.0</v>
      </c>
      <c r="J9805" s="24">
        <v>0.0</v>
      </c>
      <c r="K9805" s="23" t="s">
        <v>34</v>
      </c>
      <c r="L9805" s="25">
        <v>41854.46530092593</v>
      </c>
      <c r="M9805" s="26" t="s">
        <v>905</v>
      </c>
      <c r="N9805" s="26" t="s">
        <v>21091</v>
      </c>
      <c r="O9805" s="22" t="str">
        <f t="shared" si="200"/>
        <v>View</v>
      </c>
      <c r="P9805" s="27"/>
    </row>
    <row r="9806">
      <c r="A9806" s="14">
        <v>43032.11494212963</v>
      </c>
      <c r="B9806" s="20" t="str">
        <f t="shared" ref="B9806:B9807" si="201">HYPERLINK("https://twitter.com/Babak_Safavi","@Babak_Safavi")</f>
        <v>@Babak_Safavi</v>
      </c>
      <c r="C9806" s="21" t="s">
        <v>21298</v>
      </c>
      <c r="D9806" s="21" t="s">
        <v>21215</v>
      </c>
      <c r="E9806" s="22" t="str">
        <f>HYPERLINK("https://twitter.com/Babak_Safavi/status/922760960472891393","922760960472891393")</f>
        <v>922760960472891393</v>
      </c>
      <c r="F9806" s="23" t="s">
        <v>86</v>
      </c>
      <c r="G9806" s="24">
        <v>342.0</v>
      </c>
      <c r="H9806" s="24">
        <v>423.0</v>
      </c>
      <c r="I9806" s="24">
        <v>39.0</v>
      </c>
      <c r="J9806" s="24">
        <v>0.0</v>
      </c>
      <c r="K9806" s="23" t="s">
        <v>34</v>
      </c>
      <c r="L9806" s="25">
        <v>41687.45159722222</v>
      </c>
      <c r="M9806" s="26" t="s">
        <v>11949</v>
      </c>
      <c r="N9806" s="26" t="s">
        <v>21192</v>
      </c>
      <c r="O9806" s="22" t="str">
        <f t="shared" ref="O9806:O9807" si="202">HYPERLINK("https://pbs.twimg.com/profile_images/435487454854803457/zw2f_PSp_normal.jpeg","View")</f>
        <v>View</v>
      </c>
      <c r="P9806" s="27"/>
    </row>
    <row r="9807">
      <c r="A9807" s="14">
        <v>43032.115173611106</v>
      </c>
      <c r="B9807" s="20" t="str">
        <f t="shared" si="201"/>
        <v>@Babak_Safavi</v>
      </c>
      <c r="C9807" s="21" t="s">
        <v>21298</v>
      </c>
      <c r="D9807" s="21" t="s">
        <v>21194</v>
      </c>
      <c r="E9807" s="22" t="str">
        <f>HYPERLINK("https://twitter.com/Babak_Safavi/status/922761045113892864","922761045113892864")</f>
        <v>922761045113892864</v>
      </c>
      <c r="F9807" s="23" t="s">
        <v>86</v>
      </c>
      <c r="G9807" s="24">
        <v>342.0</v>
      </c>
      <c r="H9807" s="24">
        <v>423.0</v>
      </c>
      <c r="I9807" s="24">
        <v>35.0</v>
      </c>
      <c r="J9807" s="24">
        <v>0.0</v>
      </c>
      <c r="K9807" s="23" t="s">
        <v>34</v>
      </c>
      <c r="L9807" s="25">
        <v>41687.45159722222</v>
      </c>
      <c r="M9807" s="26" t="s">
        <v>11949</v>
      </c>
      <c r="N9807" s="26" t="s">
        <v>21192</v>
      </c>
      <c r="O9807" s="22" t="str">
        <f t="shared" si="202"/>
        <v>View</v>
      </c>
      <c r="P9807" s="27"/>
    </row>
    <row r="9808">
      <c r="A9808" s="14">
        <v>43032.11518518519</v>
      </c>
      <c r="B9808" s="20" t="str">
        <f t="shared" ref="B9808:B9809" si="203">HYPERLINK("https://twitter.com/Vliollah_Faize","@Vliollah_Faize")</f>
        <v>@Vliollah_Faize</v>
      </c>
      <c r="C9808" s="21" t="s">
        <v>21299</v>
      </c>
      <c r="D9808" s="21" t="s">
        <v>21215</v>
      </c>
      <c r="E9808" s="22" t="str">
        <f>HYPERLINK("https://twitter.com/Vliollah_Faize/status/922761046170808320","922761046170808320")</f>
        <v>922761046170808320</v>
      </c>
      <c r="F9808" s="23" t="s">
        <v>86</v>
      </c>
      <c r="G9808" s="24">
        <v>863.0</v>
      </c>
      <c r="H9808" s="24">
        <v>377.0</v>
      </c>
      <c r="I9808" s="24">
        <v>39.0</v>
      </c>
      <c r="J9808" s="24">
        <v>0.0</v>
      </c>
      <c r="K9808" s="23" t="s">
        <v>34</v>
      </c>
      <c r="L9808" s="25">
        <v>41492.12814814815</v>
      </c>
      <c r="M9808" s="28"/>
      <c r="N9808" s="35" t="s">
        <v>21300</v>
      </c>
      <c r="O9808" s="22" t="str">
        <f t="shared" ref="O9808:O9809" si="204">HYPERLINK("https://pbs.twimg.com/profile_images/378800000255637087/458d51b8b1000b6f94f5b9fcfac52ba6_normal.jpeg","View")</f>
        <v>View</v>
      </c>
      <c r="P9808" s="27"/>
    </row>
    <row r="9809">
      <c r="A9809" s="14">
        <v>43032.11541666667</v>
      </c>
      <c r="B9809" s="20" t="str">
        <f t="shared" si="203"/>
        <v>@Vliollah_Faize</v>
      </c>
      <c r="C9809" s="21" t="s">
        <v>21299</v>
      </c>
      <c r="D9809" s="21" t="s">
        <v>21194</v>
      </c>
      <c r="E9809" s="22" t="str">
        <f>HYPERLINK("https://twitter.com/Vliollah_Faize/status/922761130627416065","922761130627416065")</f>
        <v>922761130627416065</v>
      </c>
      <c r="F9809" s="23" t="s">
        <v>86</v>
      </c>
      <c r="G9809" s="24">
        <v>863.0</v>
      </c>
      <c r="H9809" s="24">
        <v>377.0</v>
      </c>
      <c r="I9809" s="24">
        <v>35.0</v>
      </c>
      <c r="J9809" s="24">
        <v>0.0</v>
      </c>
      <c r="K9809" s="23" t="s">
        <v>34</v>
      </c>
      <c r="L9809" s="25">
        <v>41492.12814814815</v>
      </c>
      <c r="M9809" s="28"/>
      <c r="N9809" s="35" t="s">
        <v>21300</v>
      </c>
      <c r="O9809" s="22" t="str">
        <f t="shared" si="204"/>
        <v>View</v>
      </c>
      <c r="P9809" s="27"/>
    </row>
    <row r="9810">
      <c r="A9810" s="14">
        <v>43032.11549768518</v>
      </c>
      <c r="B9810" s="20" t="str">
        <f>HYPERLINK("https://twitter.com/MoreShamLessWow","@MoreShamLessWow")</f>
        <v>@MoreShamLessWow</v>
      </c>
      <c r="C9810" s="21" t="s">
        <v>8133</v>
      </c>
      <c r="D9810" s="21" t="s">
        <v>21202</v>
      </c>
      <c r="E9810" s="22" t="str">
        <f>HYPERLINK("https://twitter.com/MoreShamLessWow/status/922761162848133121","922761162848133121")</f>
        <v>922761162848133121</v>
      </c>
      <c r="F9810" s="23" t="s">
        <v>8134</v>
      </c>
      <c r="G9810" s="24">
        <v>390.0</v>
      </c>
      <c r="H9810" s="24">
        <v>3140.0</v>
      </c>
      <c r="I9810" s="24">
        <v>79.0</v>
      </c>
      <c r="J9810" s="24">
        <v>0.0</v>
      </c>
      <c r="K9810" s="23" t="s">
        <v>34</v>
      </c>
      <c r="L9810" s="25">
        <v>43015.9462037037</v>
      </c>
      <c r="M9810" s="28"/>
      <c r="N9810" s="26" t="s">
        <v>8135</v>
      </c>
      <c r="O9810" s="22" t="str">
        <f>HYPERLINK("https://pbs.twimg.com/profile_images/917071167441244165/JhCl4xz1_normal.jpg","View")</f>
        <v>View</v>
      </c>
      <c r="P9810" s="27"/>
    </row>
    <row r="9811">
      <c r="A9811" s="14">
        <v>43032.11550925926</v>
      </c>
      <c r="B9811" s="20" t="str">
        <f>HYPERLINK("https://twitter.com/Dixiechik52","@Dixiechik52")</f>
        <v>@Dixiechik52</v>
      </c>
      <c r="C9811" s="21" t="s">
        <v>21301</v>
      </c>
      <c r="D9811" s="21" t="s">
        <v>21302</v>
      </c>
      <c r="E9811" s="22" t="str">
        <f>HYPERLINK("https://twitter.com/Dixiechik52/status/922761164236267521","922761164236267521")</f>
        <v>922761164236267521</v>
      </c>
      <c r="F9811" s="23" t="s">
        <v>55</v>
      </c>
      <c r="G9811" s="24">
        <v>74.0</v>
      </c>
      <c r="H9811" s="24">
        <v>181.0</v>
      </c>
      <c r="I9811" s="24">
        <v>0.0</v>
      </c>
      <c r="J9811" s="24">
        <v>0.0</v>
      </c>
      <c r="K9811" s="23" t="s">
        <v>34</v>
      </c>
      <c r="L9811" s="25">
        <v>43027.05233796296</v>
      </c>
      <c r="M9811" s="26" t="s">
        <v>68</v>
      </c>
      <c r="N9811" s="26" t="s">
        <v>21303</v>
      </c>
      <c r="O9811" s="22" t="str">
        <f>HYPERLINK("https://pbs.twimg.com/profile_images/920930692728418305/pf-2Vl7V_normal.jpg","View")</f>
        <v>View</v>
      </c>
      <c r="P9811" s="27"/>
    </row>
    <row r="9812">
      <c r="A9812" s="14">
        <v>43032.11581018519</v>
      </c>
      <c r="B9812" s="20" t="str">
        <f>HYPERLINK("https://twitter.com/18lavkush","@18lavkush")</f>
        <v>@18lavkush</v>
      </c>
      <c r="C9812" s="21" t="s">
        <v>21304</v>
      </c>
      <c r="D9812" s="21" t="s">
        <v>42</v>
      </c>
      <c r="E9812" s="22" t="str">
        <f>HYPERLINK("https://twitter.com/18lavkush/status/922761273934200833","922761273934200833")</f>
        <v>922761273934200833</v>
      </c>
      <c r="F9812" s="23" t="s">
        <v>33</v>
      </c>
      <c r="G9812" s="24">
        <v>2.0</v>
      </c>
      <c r="H9812" s="24">
        <v>68.0</v>
      </c>
      <c r="I9812" s="24">
        <v>8501.0</v>
      </c>
      <c r="J9812" s="24">
        <v>0.0</v>
      </c>
      <c r="K9812" s="23" t="s">
        <v>34</v>
      </c>
      <c r="L9812" s="25">
        <v>42999.24153935185</v>
      </c>
      <c r="M9812" s="28"/>
      <c r="N9812" s="28"/>
      <c r="O9812" s="22" t="str">
        <f>HYPERLINK("https://abs.twimg.com/sticky/default_profile_images/default_profile_normal.png","View")</f>
        <v>View</v>
      </c>
      <c r="P9812" s="27"/>
    </row>
    <row r="9813">
      <c r="A9813" s="14">
        <v>43032.116018518514</v>
      </c>
      <c r="B9813" s="20" t="str">
        <f>HYPERLINK("https://twitter.com/Vliollah_Faize","@Vliollah_Faize")</f>
        <v>@Vliollah_Faize</v>
      </c>
      <c r="C9813" s="21" t="s">
        <v>21299</v>
      </c>
      <c r="D9813" s="21" t="s">
        <v>21202</v>
      </c>
      <c r="E9813" s="22" t="str">
        <f>HYPERLINK("https://twitter.com/Vliollah_Faize/status/922761350438256641","922761350438256641")</f>
        <v>922761350438256641</v>
      </c>
      <c r="F9813" s="23" t="s">
        <v>86</v>
      </c>
      <c r="G9813" s="24">
        <v>863.0</v>
      </c>
      <c r="H9813" s="24">
        <v>377.0</v>
      </c>
      <c r="I9813" s="24">
        <v>79.0</v>
      </c>
      <c r="J9813" s="24">
        <v>0.0</v>
      </c>
      <c r="K9813" s="23" t="s">
        <v>34</v>
      </c>
      <c r="L9813" s="25">
        <v>41492.12814814815</v>
      </c>
      <c r="M9813" s="28"/>
      <c r="N9813" s="35" t="s">
        <v>21300</v>
      </c>
      <c r="O9813" s="22" t="str">
        <f>HYPERLINK("https://pbs.twimg.com/profile_images/378800000255637087/458d51b8b1000b6f94f5b9fcfac52ba6_normal.jpeg","View")</f>
        <v>View</v>
      </c>
      <c r="P9813" s="27"/>
    </row>
    <row r="9814">
      <c r="A9814" s="14">
        <v>43032.116111111114</v>
      </c>
      <c r="B9814" s="20" t="str">
        <f>HYPERLINK("https://twitter.com/mogmogoishine","@mogmogoishine")</f>
        <v>@mogmogoishine</v>
      </c>
      <c r="C9814" s="21" t="s">
        <v>21305</v>
      </c>
      <c r="D9814" s="21" t="s">
        <v>20412</v>
      </c>
      <c r="E9814" s="22" t="str">
        <f>HYPERLINK("https://twitter.com/mogmogoishine/status/922761381618659328","922761381618659328")</f>
        <v>922761381618659328</v>
      </c>
      <c r="F9814" s="23" t="s">
        <v>55</v>
      </c>
      <c r="G9814" s="24">
        <v>42.0</v>
      </c>
      <c r="H9814" s="24">
        <v>117.0</v>
      </c>
      <c r="I9814" s="24">
        <v>2.0</v>
      </c>
      <c r="J9814" s="24">
        <v>0.0</v>
      </c>
      <c r="K9814" s="23" t="s">
        <v>34</v>
      </c>
      <c r="L9814" s="25">
        <v>41521.94951388889</v>
      </c>
      <c r="M9814" s="26" t="s">
        <v>21306</v>
      </c>
      <c r="N9814" s="26" t="s">
        <v>6882</v>
      </c>
      <c r="O9814" s="22" t="str">
        <f>HYPERLINK("https://pbs.twimg.com/profile_images/878410154760323072/N7VZ1FC1_normal.jpg","View")</f>
        <v>View</v>
      </c>
      <c r="P9814" s="27"/>
    </row>
    <row r="9815">
      <c r="A9815" s="14">
        <v>43032.11625</v>
      </c>
      <c r="B9815" s="20" t="str">
        <f>HYPERLINK("https://twitter.com/iamCleesly","@iamCleesly")</f>
        <v>@iamCleesly</v>
      </c>
      <c r="C9815" s="21" t="s">
        <v>21307</v>
      </c>
      <c r="D9815" s="21" t="s">
        <v>32</v>
      </c>
      <c r="E9815" s="22" t="str">
        <f>HYPERLINK("https://twitter.com/iamCleesly/status/922761434647416832","922761434647416832")</f>
        <v>922761434647416832</v>
      </c>
      <c r="F9815" s="23" t="s">
        <v>43</v>
      </c>
      <c r="G9815" s="24">
        <v>8937.0</v>
      </c>
      <c r="H9815" s="24">
        <v>7129.0</v>
      </c>
      <c r="I9815" s="24">
        <v>471.0</v>
      </c>
      <c r="J9815" s="24">
        <v>0.0</v>
      </c>
      <c r="K9815" s="23" t="s">
        <v>34</v>
      </c>
      <c r="L9815" s="25">
        <v>40714.155069444445</v>
      </c>
      <c r="M9815" s="26" t="s">
        <v>21308</v>
      </c>
      <c r="N9815" s="28"/>
      <c r="O9815" s="22" t="str">
        <f>HYPERLINK("https://pbs.twimg.com/profile_images/573908835468972032/9AU1NvVM_normal.jpeg","View")</f>
        <v>View</v>
      </c>
      <c r="P9815" s="27"/>
    </row>
    <row r="9816">
      <c r="A9816" s="14">
        <v>43032.11633101852</v>
      </c>
      <c r="B9816" s="20" t="str">
        <f>HYPERLINK("https://twitter.com/jyotidas5000","@jyotidas5000")</f>
        <v>@jyotidas5000</v>
      </c>
      <c r="C9816" s="21" t="s">
        <v>21309</v>
      </c>
      <c r="D9816" s="21" t="s">
        <v>42</v>
      </c>
      <c r="E9816" s="22" t="str">
        <f>HYPERLINK("https://twitter.com/jyotidas5000/status/922761462933700609","922761462933700609")</f>
        <v>922761462933700609</v>
      </c>
      <c r="F9816" s="23" t="s">
        <v>33</v>
      </c>
      <c r="G9816" s="24">
        <v>34.0</v>
      </c>
      <c r="H9816" s="24">
        <v>193.0</v>
      </c>
      <c r="I9816" s="24">
        <v>8501.0</v>
      </c>
      <c r="J9816" s="24">
        <v>0.0</v>
      </c>
      <c r="K9816" s="23" t="s">
        <v>34</v>
      </c>
      <c r="L9816" s="25">
        <v>42526.22657407407</v>
      </c>
      <c r="M9816" s="26" t="s">
        <v>21310</v>
      </c>
      <c r="N9816" s="28"/>
      <c r="O9816" s="22" t="str">
        <f>HYPERLINK("https://pbs.twimg.com/profile_images/921392742189563905/u78NC8_b_normal.jpg","View")</f>
        <v>View</v>
      </c>
      <c r="P9816" s="27"/>
    </row>
    <row r="9817">
      <c r="A9817" s="14">
        <v>43032.116388888884</v>
      </c>
      <c r="B9817" s="20" t="str">
        <f>HYPERLINK("https://twitter.com/Vliollah_Faize","@Vliollah_Faize")</f>
        <v>@Vliollah_Faize</v>
      </c>
      <c r="C9817" s="21" t="s">
        <v>21299</v>
      </c>
      <c r="D9817" s="21" t="s">
        <v>21203</v>
      </c>
      <c r="E9817" s="22" t="str">
        <f>HYPERLINK("https://twitter.com/Vliollah_Faize/status/922761481908654081","922761481908654081")</f>
        <v>922761481908654081</v>
      </c>
      <c r="F9817" s="23" t="s">
        <v>86</v>
      </c>
      <c r="G9817" s="24">
        <v>863.0</v>
      </c>
      <c r="H9817" s="24">
        <v>377.0</v>
      </c>
      <c r="I9817" s="24">
        <v>75.0</v>
      </c>
      <c r="J9817" s="24">
        <v>0.0</v>
      </c>
      <c r="K9817" s="23" t="s">
        <v>34</v>
      </c>
      <c r="L9817" s="25">
        <v>41492.12814814815</v>
      </c>
      <c r="M9817" s="28"/>
      <c r="N9817" s="35" t="s">
        <v>21300</v>
      </c>
      <c r="O9817" s="22" t="str">
        <f>HYPERLINK("https://pbs.twimg.com/profile_images/378800000255637087/458d51b8b1000b6f94f5b9fcfac52ba6_normal.jpeg","View")</f>
        <v>View</v>
      </c>
      <c r="P9817" s="27"/>
    </row>
    <row r="9818">
      <c r="A9818" s="14">
        <v>43032.11659722222</v>
      </c>
      <c r="B9818" s="20" t="str">
        <f>HYPERLINK("https://twitter.com/MorganHood18","@MorganHood18")</f>
        <v>@MorganHood18</v>
      </c>
      <c r="C9818" s="21" t="s">
        <v>21311</v>
      </c>
      <c r="D9818" s="21" t="s">
        <v>21215</v>
      </c>
      <c r="E9818" s="22" t="str">
        <f>HYPERLINK("https://twitter.com/MorganHood18/status/922761557557198848","922761557557198848")</f>
        <v>922761557557198848</v>
      </c>
      <c r="F9818" s="23" t="s">
        <v>86</v>
      </c>
      <c r="G9818" s="24">
        <v>163.0</v>
      </c>
      <c r="H9818" s="24">
        <v>139.0</v>
      </c>
      <c r="I9818" s="24">
        <v>39.0</v>
      </c>
      <c r="J9818" s="24">
        <v>0.0</v>
      </c>
      <c r="K9818" s="23" t="s">
        <v>34</v>
      </c>
      <c r="L9818" s="25">
        <v>41867.42375</v>
      </c>
      <c r="M9818" s="26" t="s">
        <v>21312</v>
      </c>
      <c r="N9818" s="26" t="s">
        <v>21125</v>
      </c>
      <c r="O9818" s="22" t="str">
        <f>HYPERLINK("https://pbs.twimg.com/profile_images/500719323455815680/ZTTM25cr_normal.jpeg","View")</f>
        <v>View</v>
      </c>
      <c r="P9818" s="27"/>
    </row>
    <row r="9819">
      <c r="A9819" s="14">
        <v>43032.116643518515</v>
      </c>
      <c r="B9819" s="20" t="str">
        <f>HYPERLINK("https://twitter.com/otwdlver","@otwdlver")</f>
        <v>@otwdlver</v>
      </c>
      <c r="C9819" s="21" t="s">
        <v>21313</v>
      </c>
      <c r="D9819" s="21" t="s">
        <v>21261</v>
      </c>
      <c r="E9819" s="22" t="str">
        <f>HYPERLINK("https://twitter.com/otwdlver/status/922761575399874560","922761575399874560")</f>
        <v>922761575399874560</v>
      </c>
      <c r="F9819" s="23" t="s">
        <v>33</v>
      </c>
      <c r="G9819" s="24">
        <v>88.0</v>
      </c>
      <c r="H9819" s="24">
        <v>4472.0</v>
      </c>
      <c r="I9819" s="24">
        <v>11.0</v>
      </c>
      <c r="J9819" s="24">
        <v>0.0</v>
      </c>
      <c r="K9819" s="23" t="s">
        <v>34</v>
      </c>
      <c r="L9819" s="25">
        <v>41740.60189814815</v>
      </c>
      <c r="M9819" s="26" t="s">
        <v>16031</v>
      </c>
      <c r="N9819" s="26" t="s">
        <v>21314</v>
      </c>
      <c r="O9819" s="22" t="str">
        <f>HYPERLINK("https://pbs.twimg.com/profile_images/750410740255916033/baFFeu1e_normal.jpg","View")</f>
        <v>View</v>
      </c>
      <c r="P9819" s="27"/>
    </row>
    <row r="9820">
      <c r="A9820" s="14">
        <v>43032.11671296296</v>
      </c>
      <c r="B9820" s="20" t="str">
        <f>HYPERLINK("https://twitter.com/saramokhtar71","@saramokhtar71")</f>
        <v>@saramokhtar71</v>
      </c>
      <c r="C9820" s="21" t="s">
        <v>21315</v>
      </c>
      <c r="D9820" s="21" t="s">
        <v>21194</v>
      </c>
      <c r="E9820" s="22" t="str">
        <f>HYPERLINK("https://twitter.com/saramokhtar71/status/922761603057111045","922761603057111045")</f>
        <v>922761603057111045</v>
      </c>
      <c r="F9820" s="23" t="s">
        <v>33</v>
      </c>
      <c r="G9820" s="24">
        <v>230.0</v>
      </c>
      <c r="H9820" s="24">
        <v>242.0</v>
      </c>
      <c r="I9820" s="24">
        <v>35.0</v>
      </c>
      <c r="J9820" s="24">
        <v>0.0</v>
      </c>
      <c r="K9820" s="23" t="s">
        <v>34</v>
      </c>
      <c r="L9820" s="25">
        <v>42150.063518518524</v>
      </c>
      <c r="M9820" s="28"/>
      <c r="N9820" s="28"/>
      <c r="O9820" s="22" t="str">
        <f>HYPERLINK("https://pbs.twimg.com/profile_images/603523979756892160/5ilMjB-o_normal.jpg","View")</f>
        <v>View</v>
      </c>
      <c r="P9820" s="27"/>
    </row>
    <row r="9821">
      <c r="A9821" s="14">
        <v>43032.11678240741</v>
      </c>
      <c r="B9821" s="20" t="str">
        <f>HYPERLINK("https://twitter.com/Babak_Safavi","@Babak_Safavi")</f>
        <v>@Babak_Safavi</v>
      </c>
      <c r="C9821" s="21" t="s">
        <v>21298</v>
      </c>
      <c r="D9821" s="21" t="s">
        <v>21202</v>
      </c>
      <c r="E9821" s="22" t="str">
        <f>HYPERLINK("https://twitter.com/Babak_Safavi/status/922761624787681280","922761624787681280")</f>
        <v>922761624787681280</v>
      </c>
      <c r="F9821" s="23" t="s">
        <v>86</v>
      </c>
      <c r="G9821" s="24">
        <v>342.0</v>
      </c>
      <c r="H9821" s="24">
        <v>423.0</v>
      </c>
      <c r="I9821" s="24">
        <v>79.0</v>
      </c>
      <c r="J9821" s="24">
        <v>0.0</v>
      </c>
      <c r="K9821" s="23" t="s">
        <v>34</v>
      </c>
      <c r="L9821" s="25">
        <v>41687.45159722222</v>
      </c>
      <c r="M9821" s="26" t="s">
        <v>11949</v>
      </c>
      <c r="N9821" s="26" t="s">
        <v>21192</v>
      </c>
      <c r="O9821" s="22" t="str">
        <f>HYPERLINK("https://pbs.twimg.com/profile_images/435487454854803457/zw2f_PSp_normal.jpeg","View")</f>
        <v>View</v>
      </c>
      <c r="P9821" s="27"/>
    </row>
    <row r="9822">
      <c r="A9822" s="14">
        <v>43032.11678240741</v>
      </c>
      <c r="B9822" s="20" t="str">
        <f>HYPERLINK("https://twitter.com/MorganHood18","@MorganHood18")</f>
        <v>@MorganHood18</v>
      </c>
      <c r="C9822" s="21" t="s">
        <v>21311</v>
      </c>
      <c r="D9822" s="21" t="s">
        <v>21194</v>
      </c>
      <c r="E9822" s="22" t="str">
        <f>HYPERLINK("https://twitter.com/MorganHood18/status/922761624963837952","922761624963837952")</f>
        <v>922761624963837952</v>
      </c>
      <c r="F9822" s="23" t="s">
        <v>86</v>
      </c>
      <c r="G9822" s="24">
        <v>163.0</v>
      </c>
      <c r="H9822" s="24">
        <v>139.0</v>
      </c>
      <c r="I9822" s="24">
        <v>35.0</v>
      </c>
      <c r="J9822" s="24">
        <v>0.0</v>
      </c>
      <c r="K9822" s="23" t="s">
        <v>34</v>
      </c>
      <c r="L9822" s="25">
        <v>41867.42375</v>
      </c>
      <c r="M9822" s="26" t="s">
        <v>21312</v>
      </c>
      <c r="N9822" s="26" t="s">
        <v>21125</v>
      </c>
      <c r="O9822" s="22" t="str">
        <f>HYPERLINK("https://pbs.twimg.com/profile_images/500719323455815680/ZTTM25cr_normal.jpeg","View")</f>
        <v>View</v>
      </c>
      <c r="P9822" s="27"/>
    </row>
    <row r="9823">
      <c r="A9823" s="14">
        <v>43032.11680555556</v>
      </c>
      <c r="B9823" s="20" t="str">
        <f>HYPERLINK("https://twitter.com/ZalaYogendra1","@ZalaYogendra1")</f>
        <v>@ZalaYogendra1</v>
      </c>
      <c r="C9823" s="21" t="s">
        <v>21316</v>
      </c>
      <c r="D9823" s="21" t="s">
        <v>42</v>
      </c>
      <c r="E9823" s="22" t="str">
        <f>HYPERLINK("https://twitter.com/ZalaYogendra1/status/922761635181117441","922761635181117441")</f>
        <v>922761635181117441</v>
      </c>
      <c r="F9823" s="23" t="s">
        <v>33</v>
      </c>
      <c r="G9823" s="24">
        <v>557.0</v>
      </c>
      <c r="H9823" s="24">
        <v>727.0</v>
      </c>
      <c r="I9823" s="24">
        <v>8501.0</v>
      </c>
      <c r="J9823" s="24">
        <v>0.0</v>
      </c>
      <c r="K9823" s="23" t="s">
        <v>34</v>
      </c>
      <c r="L9823" s="25">
        <v>41606.339224537034</v>
      </c>
      <c r="M9823" s="26" t="s">
        <v>1354</v>
      </c>
      <c r="N9823" s="26" t="s">
        <v>21317</v>
      </c>
      <c r="O9823" s="22" t="str">
        <f>HYPERLINK("https://pbs.twimg.com/profile_images/654108341183098880/7oUyNrSx_normal.jpg","View")</f>
        <v>View</v>
      </c>
      <c r="P9823" s="27"/>
    </row>
    <row r="9824">
      <c r="A9824" s="14">
        <v>43032.11681712963</v>
      </c>
      <c r="B9824" s="20" t="str">
        <f>HYPERLINK("https://twitter.com/saramokhtar71","@saramokhtar71")</f>
        <v>@saramokhtar71</v>
      </c>
      <c r="C9824" s="21" t="s">
        <v>21315</v>
      </c>
      <c r="D9824" s="21" t="s">
        <v>21215</v>
      </c>
      <c r="E9824" s="22" t="str">
        <f>HYPERLINK("https://twitter.com/saramokhtar71/status/922761639518265344","922761639518265344")</f>
        <v>922761639518265344</v>
      </c>
      <c r="F9824" s="23" t="s">
        <v>33</v>
      </c>
      <c r="G9824" s="24">
        <v>230.0</v>
      </c>
      <c r="H9824" s="24">
        <v>242.0</v>
      </c>
      <c r="I9824" s="24">
        <v>39.0</v>
      </c>
      <c r="J9824" s="24">
        <v>0.0</v>
      </c>
      <c r="K9824" s="23" t="s">
        <v>34</v>
      </c>
      <c r="L9824" s="25">
        <v>42150.063518518524</v>
      </c>
      <c r="M9824" s="28"/>
      <c r="N9824" s="28"/>
      <c r="O9824" s="22" t="str">
        <f>HYPERLINK("https://pbs.twimg.com/profile_images/603523979756892160/5ilMjB-o_normal.jpg","View")</f>
        <v>View</v>
      </c>
      <c r="P9824" s="27"/>
    </row>
    <row r="9825">
      <c r="A9825" s="14">
        <v>43032.11730324074</v>
      </c>
      <c r="B9825" s="20" t="str">
        <f>HYPERLINK("https://twitter.com/amlaneas","@amlaneas")</f>
        <v>@amlaneas</v>
      </c>
      <c r="C9825" s="21" t="s">
        <v>21318</v>
      </c>
      <c r="D9825" s="21" t="s">
        <v>42</v>
      </c>
      <c r="E9825" s="22" t="str">
        <f>HYPERLINK("https://twitter.com/amlaneas/status/922761815569833985","922761815569833985")</f>
        <v>922761815569833985</v>
      </c>
      <c r="F9825" s="23" t="s">
        <v>33</v>
      </c>
      <c r="G9825" s="24">
        <v>82.0</v>
      </c>
      <c r="H9825" s="24">
        <v>302.0</v>
      </c>
      <c r="I9825" s="24">
        <v>8501.0</v>
      </c>
      <c r="J9825" s="24">
        <v>0.0</v>
      </c>
      <c r="K9825" s="23" t="s">
        <v>34</v>
      </c>
      <c r="L9825" s="25">
        <v>42130.50137731481</v>
      </c>
      <c r="M9825" s="26" t="s">
        <v>575</v>
      </c>
      <c r="N9825" s="26" t="s">
        <v>21319</v>
      </c>
      <c r="O9825" s="22" t="str">
        <f>HYPERLINK("https://pbs.twimg.com/profile_images/839819654658994178/0C1ieE9U_normal.jpg","View")</f>
        <v>View</v>
      </c>
      <c r="P9825" s="27"/>
    </row>
    <row r="9826">
      <c r="A9826" s="14">
        <v>43032.117430555554</v>
      </c>
      <c r="B9826" s="20" t="str">
        <f>HYPERLINK("https://twitter.com/Babak_Safavi","@Babak_Safavi")</f>
        <v>@Babak_Safavi</v>
      </c>
      <c r="C9826" s="21" t="s">
        <v>21298</v>
      </c>
      <c r="D9826" s="21" t="s">
        <v>21203</v>
      </c>
      <c r="E9826" s="22" t="str">
        <f>HYPERLINK("https://twitter.com/Babak_Safavi/status/922761859987513344","922761859987513344")</f>
        <v>922761859987513344</v>
      </c>
      <c r="F9826" s="23" t="s">
        <v>86</v>
      </c>
      <c r="G9826" s="24">
        <v>342.0</v>
      </c>
      <c r="H9826" s="24">
        <v>423.0</v>
      </c>
      <c r="I9826" s="24">
        <v>75.0</v>
      </c>
      <c r="J9826" s="24">
        <v>0.0</v>
      </c>
      <c r="K9826" s="23" t="s">
        <v>34</v>
      </c>
      <c r="L9826" s="25">
        <v>41687.45159722222</v>
      </c>
      <c r="M9826" s="26" t="s">
        <v>11949</v>
      </c>
      <c r="N9826" s="26" t="s">
        <v>21192</v>
      </c>
      <c r="O9826" s="22" t="str">
        <f>HYPERLINK("https://pbs.twimg.com/profile_images/435487454854803457/zw2f_PSp_normal.jpeg","View")</f>
        <v>View</v>
      </c>
      <c r="P9826" s="27"/>
    </row>
    <row r="9827">
      <c r="A9827" s="14">
        <v>43032.11753472222</v>
      </c>
      <c r="B9827" s="20" t="str">
        <f>HYPERLINK("https://twitter.com/SKS4NAMO","@SKS4NAMO")</f>
        <v>@SKS4NAMO</v>
      </c>
      <c r="C9827" s="21" t="s">
        <v>21320</v>
      </c>
      <c r="D9827" s="21" t="s">
        <v>42</v>
      </c>
      <c r="E9827" s="22" t="str">
        <f>HYPERLINK("https://twitter.com/SKS4NAMO/status/922761898088632320","922761898088632320")</f>
        <v>922761898088632320</v>
      </c>
      <c r="F9827" s="23" t="s">
        <v>33</v>
      </c>
      <c r="G9827" s="24">
        <v>507.0</v>
      </c>
      <c r="H9827" s="24">
        <v>1104.0</v>
      </c>
      <c r="I9827" s="24">
        <v>8501.0</v>
      </c>
      <c r="J9827" s="24">
        <v>0.0</v>
      </c>
      <c r="K9827" s="23" t="s">
        <v>34</v>
      </c>
      <c r="L9827" s="25">
        <v>41236.30553240741</v>
      </c>
      <c r="M9827" s="26" t="s">
        <v>204</v>
      </c>
      <c r="N9827" s="26" t="s">
        <v>21321</v>
      </c>
      <c r="O9827" s="22" t="str">
        <f>HYPERLINK("https://pbs.twimg.com/profile_images/917288359130685440/Jtw9OLE4_normal.jpg","View")</f>
        <v>View</v>
      </c>
      <c r="P9827" s="27"/>
    </row>
    <row r="9828">
      <c r="A9828" s="14">
        <v>43032.11765046296</v>
      </c>
      <c r="B9828" s="20" t="str">
        <f>HYPERLINK("https://twitter.com/rahul_karunakar","@rahul_karunakar")</f>
        <v>@rahul_karunakar</v>
      </c>
      <c r="C9828" s="21" t="s">
        <v>21322</v>
      </c>
      <c r="D9828" s="21" t="s">
        <v>7602</v>
      </c>
      <c r="E9828" s="22" t="str">
        <f>HYPERLINK("https://twitter.com/rahul_karunakar/status/922761939083603968","922761939083603968")</f>
        <v>922761939083603968</v>
      </c>
      <c r="F9828" s="23" t="s">
        <v>39</v>
      </c>
      <c r="G9828" s="24">
        <v>253.0</v>
      </c>
      <c r="H9828" s="24">
        <v>405.0</v>
      </c>
      <c r="I9828" s="24">
        <v>7.0</v>
      </c>
      <c r="J9828" s="24">
        <v>0.0</v>
      </c>
      <c r="K9828" s="23" t="s">
        <v>34</v>
      </c>
      <c r="L9828" s="25">
        <v>40481.036944444444</v>
      </c>
      <c r="M9828" s="26" t="s">
        <v>1991</v>
      </c>
      <c r="N9828" s="26" t="s">
        <v>21323</v>
      </c>
      <c r="O9828" s="22" t="str">
        <f>HYPERLINK("https://pbs.twimg.com/profile_images/434241383809830912/zuv_XRQt_normal.jpeg","View")</f>
        <v>View</v>
      </c>
      <c r="P9828" s="27"/>
    </row>
    <row r="9829">
      <c r="A9829" s="14">
        <v>43032.11771990741</v>
      </c>
      <c r="B9829" s="20" t="str">
        <f>HYPERLINK("https://twitter.com/T0mRead","@T0mRead")</f>
        <v>@T0mRead</v>
      </c>
      <c r="C9829" s="21" t="s">
        <v>21324</v>
      </c>
      <c r="D9829" s="21" t="s">
        <v>21202</v>
      </c>
      <c r="E9829" s="22" t="str">
        <f>HYPERLINK("https://twitter.com/T0mRead/status/922761967110164480","922761967110164480")</f>
        <v>922761967110164480</v>
      </c>
      <c r="F9829" s="23" t="s">
        <v>21324</v>
      </c>
      <c r="G9829" s="24">
        <v>566.0</v>
      </c>
      <c r="H9829" s="24">
        <v>32.0</v>
      </c>
      <c r="I9829" s="24">
        <v>79.0</v>
      </c>
      <c r="J9829" s="24">
        <v>0.0</v>
      </c>
      <c r="K9829" s="23" t="s">
        <v>34</v>
      </c>
      <c r="L9829" s="25">
        <v>42277.66789351852</v>
      </c>
      <c r="M9829" s="28"/>
      <c r="N9829" s="28"/>
      <c r="O9829" s="22" t="str">
        <f>HYPERLINK("https://pbs.twimg.com/profile_images/649359105447067648/Om_7zDHJ_normal.jpg","View")</f>
        <v>View</v>
      </c>
      <c r="P9829" s="27"/>
    </row>
    <row r="9830">
      <c r="A9830" s="14">
        <v>43032.1178125</v>
      </c>
      <c r="B9830" s="20" t="str">
        <f>HYPERLINK("https://twitter.com/Avinash82110010","@Avinash82110010")</f>
        <v>@Avinash82110010</v>
      </c>
      <c r="C9830" s="21" t="s">
        <v>21325</v>
      </c>
      <c r="D9830" s="21" t="s">
        <v>42</v>
      </c>
      <c r="E9830" s="22" t="str">
        <f>HYPERLINK("https://twitter.com/Avinash82110010/status/922761998005288960","922761998005288960")</f>
        <v>922761998005288960</v>
      </c>
      <c r="F9830" s="23" t="s">
        <v>33</v>
      </c>
      <c r="G9830" s="24">
        <v>22.0</v>
      </c>
      <c r="H9830" s="24">
        <v>117.0</v>
      </c>
      <c r="I9830" s="24">
        <v>8501.0</v>
      </c>
      <c r="J9830" s="24">
        <v>0.0</v>
      </c>
      <c r="K9830" s="23" t="s">
        <v>34</v>
      </c>
      <c r="L9830" s="25">
        <v>42867.24403935185</v>
      </c>
      <c r="M9830" s="26" t="s">
        <v>2335</v>
      </c>
      <c r="N9830" s="26" t="s">
        <v>21326</v>
      </c>
      <c r="O9830" s="22" t="str">
        <f>HYPERLINK("https://pbs.twimg.com/profile_images/885062766939295748/2lKFi3de_normal.jpg","View")</f>
        <v>View</v>
      </c>
      <c r="P9830" s="27"/>
    </row>
    <row r="9831">
      <c r="A9831" s="14">
        <v>43032.117893518516</v>
      </c>
      <c r="B9831" s="20" t="str">
        <f>HYPERLINK("https://twitter.com/victoryemotion","@victoryemotion")</f>
        <v>@victoryemotion</v>
      </c>
      <c r="C9831" s="21" t="s">
        <v>21327</v>
      </c>
      <c r="D9831" s="21" t="s">
        <v>21215</v>
      </c>
      <c r="E9831" s="22" t="str">
        <f>HYPERLINK("https://twitter.com/victoryemotion/status/922762030288740352","922762030288740352")</f>
        <v>922762030288740352</v>
      </c>
      <c r="F9831" s="23" t="s">
        <v>86</v>
      </c>
      <c r="G9831" s="24">
        <v>345.0</v>
      </c>
      <c r="H9831" s="24">
        <v>423.0</v>
      </c>
      <c r="I9831" s="24">
        <v>39.0</v>
      </c>
      <c r="J9831" s="24">
        <v>0.0</v>
      </c>
      <c r="K9831" s="23" t="s">
        <v>34</v>
      </c>
      <c r="L9831" s="25">
        <v>41580.38832175926</v>
      </c>
      <c r="M9831" s="28"/>
      <c r="N9831" s="28"/>
      <c r="O9831" s="22" t="str">
        <f>HYPERLINK("https://pbs.twimg.com/profile_images/378800000735244169/f69345af5cf4ea7cdc6ff4d38809e796_normal.jpeg","View")</f>
        <v>View</v>
      </c>
      <c r="P9831" s="27"/>
    </row>
    <row r="9832">
      <c r="A9832" s="14">
        <v>43032.117939814816</v>
      </c>
      <c r="B9832" s="20" t="str">
        <f>HYPERLINK("https://twitter.com/FransiscaWorkm3","@FransiscaWorkm3")</f>
        <v>@FransiscaWorkm3</v>
      </c>
      <c r="C9832" s="21" t="s">
        <v>21328</v>
      </c>
      <c r="D9832" s="21" t="s">
        <v>21215</v>
      </c>
      <c r="E9832" s="22" t="str">
        <f>HYPERLINK("https://twitter.com/FransiscaWorkm3/status/922762045250031616","922762045250031616")</f>
        <v>922762045250031616</v>
      </c>
      <c r="F9832" s="23" t="s">
        <v>86</v>
      </c>
      <c r="G9832" s="24">
        <v>57.0</v>
      </c>
      <c r="H9832" s="24">
        <v>121.0</v>
      </c>
      <c r="I9832" s="24">
        <v>39.0</v>
      </c>
      <c r="J9832" s="24">
        <v>0.0</v>
      </c>
      <c r="K9832" s="23" t="s">
        <v>34</v>
      </c>
      <c r="L9832" s="25">
        <v>41906.392962962964</v>
      </c>
      <c r="M9832" s="26" t="s">
        <v>11949</v>
      </c>
      <c r="N9832" s="26" t="s">
        <v>21329</v>
      </c>
      <c r="O9832" s="22" t="str">
        <f>HYPERLINK("https://pbs.twimg.com/profile_images/514813373360271361/0K3Rl5zP_normal.jpeg","View")</f>
        <v>View</v>
      </c>
      <c r="P9832" s="27"/>
    </row>
    <row r="9833">
      <c r="A9833" s="14">
        <v>43032.1180787037</v>
      </c>
      <c r="B9833" s="20" t="str">
        <f>HYPERLINK("https://twitter.com/Babak_Safavi","@Babak_Safavi")</f>
        <v>@Babak_Safavi</v>
      </c>
      <c r="C9833" s="21" t="s">
        <v>21298</v>
      </c>
      <c r="D9833" s="21" t="s">
        <v>21243</v>
      </c>
      <c r="E9833" s="22" t="str">
        <f>HYPERLINK("https://twitter.com/Babak_Safavi/status/922762094906241024","922762094906241024")</f>
        <v>922762094906241024</v>
      </c>
      <c r="F9833" s="23" t="s">
        <v>86</v>
      </c>
      <c r="G9833" s="24">
        <v>342.0</v>
      </c>
      <c r="H9833" s="24">
        <v>423.0</v>
      </c>
      <c r="I9833" s="24">
        <v>41.0</v>
      </c>
      <c r="J9833" s="24">
        <v>0.0</v>
      </c>
      <c r="K9833" s="23" t="s">
        <v>34</v>
      </c>
      <c r="L9833" s="25">
        <v>41687.45159722222</v>
      </c>
      <c r="M9833" s="26" t="s">
        <v>11949</v>
      </c>
      <c r="N9833" s="26" t="s">
        <v>21192</v>
      </c>
      <c r="O9833" s="22" t="str">
        <f>HYPERLINK("https://pbs.twimg.com/profile_images/435487454854803457/zw2f_PSp_normal.jpeg","View")</f>
        <v>View</v>
      </c>
      <c r="P9833" s="27"/>
    </row>
    <row r="9834">
      <c r="A9834" s="14">
        <v>43032.11813657408</v>
      </c>
      <c r="B9834" s="20" t="str">
        <f>HYPERLINK("https://twitter.com/victoryemotion","@victoryemotion")</f>
        <v>@victoryemotion</v>
      </c>
      <c r="C9834" s="21" t="s">
        <v>21327</v>
      </c>
      <c r="D9834" s="21" t="s">
        <v>21194</v>
      </c>
      <c r="E9834" s="22" t="str">
        <f>HYPERLINK("https://twitter.com/victoryemotion/status/922762115336695808","922762115336695808")</f>
        <v>922762115336695808</v>
      </c>
      <c r="F9834" s="23" t="s">
        <v>86</v>
      </c>
      <c r="G9834" s="24">
        <v>345.0</v>
      </c>
      <c r="H9834" s="24">
        <v>423.0</v>
      </c>
      <c r="I9834" s="24">
        <v>35.0</v>
      </c>
      <c r="J9834" s="24">
        <v>0.0</v>
      </c>
      <c r="K9834" s="23" t="s">
        <v>34</v>
      </c>
      <c r="L9834" s="25">
        <v>41580.38832175926</v>
      </c>
      <c r="M9834" s="28"/>
      <c r="N9834" s="28"/>
      <c r="O9834" s="22" t="str">
        <f>HYPERLINK("https://pbs.twimg.com/profile_images/378800000735244169/f69345af5cf4ea7cdc6ff4d38809e796_normal.jpeg","View")</f>
        <v>View</v>
      </c>
      <c r="P9834" s="27"/>
    </row>
    <row r="9835">
      <c r="A9835" s="14">
        <v>43032.1181712963</v>
      </c>
      <c r="B9835" s="20" t="str">
        <f>HYPERLINK("https://twitter.com/FransiscaWorkm3","@FransiscaWorkm3")</f>
        <v>@FransiscaWorkm3</v>
      </c>
      <c r="C9835" s="21" t="s">
        <v>21328</v>
      </c>
      <c r="D9835" s="21" t="s">
        <v>21194</v>
      </c>
      <c r="E9835" s="22" t="str">
        <f>HYPERLINK("https://twitter.com/FransiscaWorkm3/status/922762129903628293","922762129903628293")</f>
        <v>922762129903628293</v>
      </c>
      <c r="F9835" s="23" t="s">
        <v>86</v>
      </c>
      <c r="G9835" s="24">
        <v>57.0</v>
      </c>
      <c r="H9835" s="24">
        <v>121.0</v>
      </c>
      <c r="I9835" s="24">
        <v>35.0</v>
      </c>
      <c r="J9835" s="24">
        <v>0.0</v>
      </c>
      <c r="K9835" s="23" t="s">
        <v>34</v>
      </c>
      <c r="L9835" s="25">
        <v>41906.392962962964</v>
      </c>
      <c r="M9835" s="26" t="s">
        <v>11949</v>
      </c>
      <c r="N9835" s="26" t="s">
        <v>21329</v>
      </c>
      <c r="O9835" s="22" t="str">
        <f>HYPERLINK("https://pbs.twimg.com/profile_images/514813373360271361/0K3Rl5zP_normal.jpeg","View")</f>
        <v>View</v>
      </c>
      <c r="P9835" s="27"/>
    </row>
    <row r="9836">
      <c r="A9836" s="14">
        <v>43032.11851851852</v>
      </c>
      <c r="B9836" s="20" t="str">
        <f>HYPERLINK("https://twitter.com/LallyFloyd","@LallyFloyd")</f>
        <v>@LallyFloyd</v>
      </c>
      <c r="C9836" s="21" t="s">
        <v>21330</v>
      </c>
      <c r="D9836" s="21" t="s">
        <v>21261</v>
      </c>
      <c r="E9836" s="22" t="str">
        <f>HYPERLINK("https://twitter.com/LallyFloyd/status/922762255061708800","922762255061708800")</f>
        <v>922762255061708800</v>
      </c>
      <c r="F9836" s="23" t="s">
        <v>33</v>
      </c>
      <c r="G9836" s="24">
        <v>78.0</v>
      </c>
      <c r="H9836" s="24">
        <v>3524.0</v>
      </c>
      <c r="I9836" s="24">
        <v>11.0</v>
      </c>
      <c r="J9836" s="24">
        <v>0.0</v>
      </c>
      <c r="K9836" s="23" t="s">
        <v>34</v>
      </c>
      <c r="L9836" s="25">
        <v>41741.706655092596</v>
      </c>
      <c r="M9836" s="26" t="s">
        <v>21331</v>
      </c>
      <c r="N9836" s="26" t="s">
        <v>21332</v>
      </c>
      <c r="O9836" s="22" t="str">
        <f>HYPERLINK("https://pbs.twimg.com/profile_images/750411107760742402/QSKqP3LR_normal.jpg","View")</f>
        <v>View</v>
      </c>
      <c r="P9836" s="27"/>
    </row>
    <row r="9837">
      <c r="A9837" s="14">
        <v>43032.11855324074</v>
      </c>
      <c r="B9837" s="20" t="str">
        <f>HYPERLINK("https://twitter.com/victoryemotion","@victoryemotion")</f>
        <v>@victoryemotion</v>
      </c>
      <c r="C9837" s="21" t="s">
        <v>21327</v>
      </c>
      <c r="D9837" s="21" t="s">
        <v>21202</v>
      </c>
      <c r="E9837" s="22" t="str">
        <f>HYPERLINK("https://twitter.com/victoryemotion/status/922762270265901056","922762270265901056")</f>
        <v>922762270265901056</v>
      </c>
      <c r="F9837" s="23" t="s">
        <v>86</v>
      </c>
      <c r="G9837" s="24">
        <v>345.0</v>
      </c>
      <c r="H9837" s="24">
        <v>423.0</v>
      </c>
      <c r="I9837" s="24">
        <v>79.0</v>
      </c>
      <c r="J9837" s="24">
        <v>0.0</v>
      </c>
      <c r="K9837" s="23" t="s">
        <v>34</v>
      </c>
      <c r="L9837" s="25">
        <v>41580.38832175926</v>
      </c>
      <c r="M9837" s="28"/>
      <c r="N9837" s="28"/>
      <c r="O9837" s="22" t="str">
        <f>HYPERLINK("https://pbs.twimg.com/profile_images/378800000735244169/f69345af5cf4ea7cdc6ff4d38809e796_normal.jpeg","View")</f>
        <v>View</v>
      </c>
      <c r="P9837" s="27"/>
    </row>
    <row r="9838">
      <c r="A9838" s="14">
        <v>43032.118726851855</v>
      </c>
      <c r="B9838" s="20" t="str">
        <f>HYPERLINK("https://twitter.com/Babak_Safavi","@Babak_Safavi")</f>
        <v>@Babak_Safavi</v>
      </c>
      <c r="C9838" s="21" t="s">
        <v>21298</v>
      </c>
      <c r="D9838" s="21" t="s">
        <v>21191</v>
      </c>
      <c r="E9838" s="22" t="str">
        <f>HYPERLINK("https://twitter.com/Babak_Safavi/status/922762329804095488","922762329804095488")</f>
        <v>922762329804095488</v>
      </c>
      <c r="F9838" s="23" t="s">
        <v>86</v>
      </c>
      <c r="G9838" s="24">
        <v>342.0</v>
      </c>
      <c r="H9838" s="24">
        <v>423.0</v>
      </c>
      <c r="I9838" s="24">
        <v>42.0</v>
      </c>
      <c r="J9838" s="24">
        <v>0.0</v>
      </c>
      <c r="K9838" s="23" t="s">
        <v>34</v>
      </c>
      <c r="L9838" s="25">
        <v>41687.45159722222</v>
      </c>
      <c r="M9838" s="26" t="s">
        <v>11949</v>
      </c>
      <c r="N9838" s="26" t="s">
        <v>21192</v>
      </c>
      <c r="O9838" s="22" t="str">
        <f>HYPERLINK("https://pbs.twimg.com/profile_images/435487454854803457/zw2f_PSp_normal.jpeg","View")</f>
        <v>View</v>
      </c>
      <c r="P9838" s="27"/>
    </row>
    <row r="9839">
      <c r="A9839" s="14">
        <v>43032.1187962963</v>
      </c>
      <c r="B9839" s="20" t="str">
        <f>HYPERLINK("https://twitter.com/myles_ariel","@myles_ariel")</f>
        <v>@myles_ariel</v>
      </c>
      <c r="C9839" s="21" t="s">
        <v>21333</v>
      </c>
      <c r="D9839" s="21" t="s">
        <v>21215</v>
      </c>
      <c r="E9839" s="22" t="str">
        <f>HYPERLINK("https://twitter.com/myles_ariel/status/922762355519475712","922762355519475712")</f>
        <v>922762355519475712</v>
      </c>
      <c r="F9839" s="23" t="s">
        <v>86</v>
      </c>
      <c r="G9839" s="24">
        <v>294.0</v>
      </c>
      <c r="H9839" s="24">
        <v>80.0</v>
      </c>
      <c r="I9839" s="24">
        <v>39.0</v>
      </c>
      <c r="J9839" s="24">
        <v>0.0</v>
      </c>
      <c r="K9839" s="23" t="s">
        <v>34</v>
      </c>
      <c r="L9839" s="25">
        <v>41850.38758101852</v>
      </c>
      <c r="M9839" s="26" t="s">
        <v>40</v>
      </c>
      <c r="N9839" s="26" t="s">
        <v>21334</v>
      </c>
      <c r="O9839" s="22" t="str">
        <f>HYPERLINK("https://pbs.twimg.com/profile_images/499602971034791938/_FOWNish_normal.jpeg","View")</f>
        <v>View</v>
      </c>
      <c r="P9839" s="27"/>
    </row>
    <row r="9840">
      <c r="A9840" s="14">
        <v>43032.11891203704</v>
      </c>
      <c r="B9840" s="20" t="str">
        <f>HYPERLINK("https://twitter.com/victoryemotion","@victoryemotion")</f>
        <v>@victoryemotion</v>
      </c>
      <c r="C9840" s="21" t="s">
        <v>21327</v>
      </c>
      <c r="D9840" s="21" t="s">
        <v>21203</v>
      </c>
      <c r="E9840" s="22" t="str">
        <f>HYPERLINK("https://twitter.com/victoryemotion/status/922762400125689856","922762400125689856")</f>
        <v>922762400125689856</v>
      </c>
      <c r="F9840" s="23" t="s">
        <v>86</v>
      </c>
      <c r="G9840" s="24">
        <v>345.0</v>
      </c>
      <c r="H9840" s="24">
        <v>423.0</v>
      </c>
      <c r="I9840" s="24">
        <v>75.0</v>
      </c>
      <c r="J9840" s="24">
        <v>0.0</v>
      </c>
      <c r="K9840" s="23" t="s">
        <v>34</v>
      </c>
      <c r="L9840" s="25">
        <v>41580.38832175926</v>
      </c>
      <c r="M9840" s="28"/>
      <c r="N9840" s="28"/>
      <c r="O9840" s="22" t="str">
        <f>HYPERLINK("https://pbs.twimg.com/profile_images/378800000735244169/f69345af5cf4ea7cdc6ff4d38809e796_normal.jpeg","View")</f>
        <v>View</v>
      </c>
      <c r="P9840" s="27"/>
    </row>
    <row r="9841">
      <c r="A9841" s="14">
        <v>43032.118981481486</v>
      </c>
      <c r="B9841" s="20" t="str">
        <f>HYPERLINK("https://twitter.com/myles_ariel","@myles_ariel")</f>
        <v>@myles_ariel</v>
      </c>
      <c r="C9841" s="21" t="s">
        <v>21333</v>
      </c>
      <c r="D9841" s="21" t="s">
        <v>21194</v>
      </c>
      <c r="E9841" s="22" t="str">
        <f>HYPERLINK("https://twitter.com/myles_ariel/status/922762423181836288","922762423181836288")</f>
        <v>922762423181836288</v>
      </c>
      <c r="F9841" s="23" t="s">
        <v>86</v>
      </c>
      <c r="G9841" s="24">
        <v>294.0</v>
      </c>
      <c r="H9841" s="24">
        <v>80.0</v>
      </c>
      <c r="I9841" s="24">
        <v>35.0</v>
      </c>
      <c r="J9841" s="24">
        <v>0.0</v>
      </c>
      <c r="K9841" s="23" t="s">
        <v>34</v>
      </c>
      <c r="L9841" s="25">
        <v>41850.38758101852</v>
      </c>
      <c r="M9841" s="26" t="s">
        <v>40</v>
      </c>
      <c r="N9841" s="26" t="s">
        <v>21334</v>
      </c>
      <c r="O9841" s="22" t="str">
        <f>HYPERLINK("https://pbs.twimg.com/profile_images/499602971034791938/_FOWNish_normal.jpeg","View")</f>
        <v>View</v>
      </c>
      <c r="P9841" s="27"/>
    </row>
    <row r="9842">
      <c r="A9842" s="14">
        <v>43032.11989583333</v>
      </c>
      <c r="B9842" s="20" t="str">
        <f>HYPERLINK("https://twitter.com/FransiscaWorkm3","@FransiscaWorkm3")</f>
        <v>@FransiscaWorkm3</v>
      </c>
      <c r="C9842" s="21" t="s">
        <v>21328</v>
      </c>
      <c r="D9842" s="21" t="s">
        <v>21202</v>
      </c>
      <c r="E9842" s="22" t="str">
        <f>HYPERLINK("https://twitter.com/FransiscaWorkm3/status/922762756440379392","922762756440379392")</f>
        <v>922762756440379392</v>
      </c>
      <c r="F9842" s="23" t="s">
        <v>86</v>
      </c>
      <c r="G9842" s="24">
        <v>57.0</v>
      </c>
      <c r="H9842" s="24">
        <v>121.0</v>
      </c>
      <c r="I9842" s="24">
        <v>79.0</v>
      </c>
      <c r="J9842" s="24">
        <v>0.0</v>
      </c>
      <c r="K9842" s="23" t="s">
        <v>34</v>
      </c>
      <c r="L9842" s="25">
        <v>41906.392962962964</v>
      </c>
      <c r="M9842" s="26" t="s">
        <v>11949</v>
      </c>
      <c r="N9842" s="26" t="s">
        <v>21329</v>
      </c>
      <c r="O9842" s="22" t="str">
        <f>HYPERLINK("https://pbs.twimg.com/profile_images/514813373360271361/0K3Rl5zP_normal.jpeg","View")</f>
        <v>View</v>
      </c>
      <c r="P9842" s="27"/>
    </row>
    <row r="9843">
      <c r="A9843" s="14">
        <v>43032.12001157408</v>
      </c>
      <c r="B9843" s="20" t="str">
        <f>HYPERLINK("https://twitter.com/bronlslavak","@bronlslavak")</f>
        <v>@bronlslavak</v>
      </c>
      <c r="C9843" s="21" t="s">
        <v>21335</v>
      </c>
      <c r="D9843" s="21" t="s">
        <v>21261</v>
      </c>
      <c r="E9843" s="22" t="str">
        <f>HYPERLINK("https://twitter.com/bronlslavak/status/922762798102401024","922762798102401024")</f>
        <v>922762798102401024</v>
      </c>
      <c r="F9843" s="23" t="s">
        <v>33</v>
      </c>
      <c r="G9843" s="24">
        <v>56.0</v>
      </c>
      <c r="H9843" s="24">
        <v>4305.0</v>
      </c>
      <c r="I9843" s="24">
        <v>11.0</v>
      </c>
      <c r="J9843" s="24">
        <v>0.0</v>
      </c>
      <c r="K9843" s="23" t="s">
        <v>34</v>
      </c>
      <c r="L9843" s="25">
        <v>41084.38364583333</v>
      </c>
      <c r="M9843" s="28"/>
      <c r="N9843" s="26" t="s">
        <v>21336</v>
      </c>
      <c r="O9843" s="22" t="str">
        <f>HYPERLINK("https://pbs.twimg.com/profile_images/749314952477937664/2d65giZU_normal.jpg","View")</f>
        <v>View</v>
      </c>
      <c r="P9843" s="27"/>
    </row>
    <row r="9844">
      <c r="A9844" s="14">
        <v>43032.12033564815</v>
      </c>
      <c r="B9844" s="20" t="str">
        <f>HYPERLINK("https://twitter.com/peter4jx","@peter4jx")</f>
        <v>@peter4jx</v>
      </c>
      <c r="C9844" s="21" t="s">
        <v>21337</v>
      </c>
      <c r="D9844" s="21" t="s">
        <v>19568</v>
      </c>
      <c r="E9844" s="22" t="str">
        <f>HYPERLINK("https://twitter.com/peter4jx/status/922762913148014593","922762913148014593")</f>
        <v>922762913148014593</v>
      </c>
      <c r="F9844" s="23" t="s">
        <v>21338</v>
      </c>
      <c r="G9844" s="24">
        <v>6964.0</v>
      </c>
      <c r="H9844" s="24">
        <v>7476.0</v>
      </c>
      <c r="I9844" s="24">
        <v>9.0</v>
      </c>
      <c r="J9844" s="24">
        <v>0.0</v>
      </c>
      <c r="K9844" s="23" t="s">
        <v>34</v>
      </c>
      <c r="L9844" s="25">
        <v>40062.775729166664</v>
      </c>
      <c r="M9844" s="26" t="s">
        <v>68</v>
      </c>
      <c r="N9844" s="26" t="s">
        <v>21339</v>
      </c>
      <c r="O9844" s="22" t="str">
        <f>HYPERLINK("https://pbs.twimg.com/profile_images/714857028955545600/JQPbDwci_normal.jpg","View")</f>
        <v>View</v>
      </c>
      <c r="P9844" s="27"/>
    </row>
    <row r="9845">
      <c r="A9845" s="14">
        <v>43032.12048611111</v>
      </c>
      <c r="B9845" s="20" t="str">
        <f>HYPERLINK("https://twitter.com/Yadira_GILBERT","@Yadira_GILBERT")</f>
        <v>@Yadira_GILBERT</v>
      </c>
      <c r="C9845" s="21" t="s">
        <v>21340</v>
      </c>
      <c r="D9845" s="21" t="s">
        <v>21215</v>
      </c>
      <c r="E9845" s="22" t="str">
        <f>HYPERLINK("https://twitter.com/Yadira_GILBERT/status/922762967212474368","922762967212474368")</f>
        <v>922762967212474368</v>
      </c>
      <c r="F9845" s="23" t="s">
        <v>86</v>
      </c>
      <c r="G9845" s="24">
        <v>336.0</v>
      </c>
      <c r="H9845" s="24">
        <v>398.0</v>
      </c>
      <c r="I9845" s="24">
        <v>39.0</v>
      </c>
      <c r="J9845" s="24">
        <v>0.0</v>
      </c>
      <c r="K9845" s="23" t="s">
        <v>34</v>
      </c>
      <c r="L9845" s="25">
        <v>41684.273460648146</v>
      </c>
      <c r="M9845" s="28"/>
      <c r="N9845" s="28"/>
      <c r="O9845" s="22" t="str">
        <f>HYPERLINK("https://pbs.twimg.com/profile_images/434335023873789953/HQhI7E7V_normal.jpeg","View")</f>
        <v>View</v>
      </c>
      <c r="P9845" s="27"/>
    </row>
    <row r="9846">
      <c r="A9846" s="14">
        <v>43032.120520833334</v>
      </c>
      <c r="B9846" s="20" t="str">
        <f>HYPERLINK("https://twitter.com/serenahrm","@serenahrm")</f>
        <v>@serenahrm</v>
      </c>
      <c r="C9846" s="21" t="s">
        <v>21209</v>
      </c>
      <c r="D9846" s="21" t="s">
        <v>11540</v>
      </c>
      <c r="E9846" s="22" t="str">
        <f>HYPERLINK("https://twitter.com/serenahrm/status/922762982769221632","922762982769221632")</f>
        <v>922762982769221632</v>
      </c>
      <c r="F9846" s="23" t="s">
        <v>55</v>
      </c>
      <c r="G9846" s="24">
        <v>76.0</v>
      </c>
      <c r="H9846" s="24">
        <v>4.0</v>
      </c>
      <c r="I9846" s="24">
        <v>14.0</v>
      </c>
      <c r="J9846" s="24">
        <v>0.0</v>
      </c>
      <c r="K9846" s="23" t="s">
        <v>34</v>
      </c>
      <c r="L9846" s="25">
        <v>41369.2328125</v>
      </c>
      <c r="M9846" s="26" t="s">
        <v>21210</v>
      </c>
      <c r="N9846" s="26" t="s">
        <v>21211</v>
      </c>
      <c r="O9846" s="22" t="str">
        <f>HYPERLINK("https://pbs.twimg.com/profile_images/885541969002455041/fZey2S9g_normal.jpg","View")</f>
        <v>View</v>
      </c>
      <c r="P9846" s="27"/>
    </row>
    <row r="9847">
      <c r="A9847" s="14">
        <v>43032.12055555556</v>
      </c>
      <c r="B9847" s="20" t="str">
        <f>HYPERLINK("https://twitter.com/FransiscaWorkm3","@FransiscaWorkm3")</f>
        <v>@FransiscaWorkm3</v>
      </c>
      <c r="C9847" s="21" t="s">
        <v>21328</v>
      </c>
      <c r="D9847" s="21" t="s">
        <v>21203</v>
      </c>
      <c r="E9847" s="22" t="str">
        <f>HYPERLINK("https://twitter.com/FransiscaWorkm3/status/922762992437080064","922762992437080064")</f>
        <v>922762992437080064</v>
      </c>
      <c r="F9847" s="23" t="s">
        <v>86</v>
      </c>
      <c r="G9847" s="24">
        <v>57.0</v>
      </c>
      <c r="H9847" s="24">
        <v>121.0</v>
      </c>
      <c r="I9847" s="24">
        <v>75.0</v>
      </c>
      <c r="J9847" s="24">
        <v>0.0</v>
      </c>
      <c r="K9847" s="23" t="s">
        <v>34</v>
      </c>
      <c r="L9847" s="25">
        <v>41906.392962962964</v>
      </c>
      <c r="M9847" s="26" t="s">
        <v>11949</v>
      </c>
      <c r="N9847" s="26" t="s">
        <v>21329</v>
      </c>
      <c r="O9847" s="22" t="str">
        <f>HYPERLINK("https://pbs.twimg.com/profile_images/514813373360271361/0K3Rl5zP_normal.jpeg","View")</f>
        <v>View</v>
      </c>
      <c r="P9847" s="27"/>
    </row>
    <row r="9848">
      <c r="A9848" s="14">
        <v>43032.121087962965</v>
      </c>
      <c r="B9848" s="20" t="str">
        <f>HYPERLINK("https://twitter.com/nickie_furr","@nickie_furr")</f>
        <v>@nickie_furr</v>
      </c>
      <c r="C9848" s="21" t="s">
        <v>21341</v>
      </c>
      <c r="D9848" s="21" t="s">
        <v>21215</v>
      </c>
      <c r="E9848" s="22" t="str">
        <f>HYPERLINK("https://twitter.com/nickie_furr/status/922763188881440768","922763188881440768")</f>
        <v>922763188881440768</v>
      </c>
      <c r="F9848" s="23" t="s">
        <v>86</v>
      </c>
      <c r="G9848" s="24">
        <v>139.0</v>
      </c>
      <c r="H9848" s="24">
        <v>94.0</v>
      </c>
      <c r="I9848" s="24">
        <v>39.0</v>
      </c>
      <c r="J9848" s="24">
        <v>0.0</v>
      </c>
      <c r="K9848" s="23" t="s">
        <v>34</v>
      </c>
      <c r="L9848" s="25">
        <v>41866.43386574074</v>
      </c>
      <c r="M9848" s="26" t="s">
        <v>6118</v>
      </c>
      <c r="N9848" s="26" t="s">
        <v>21219</v>
      </c>
      <c r="O9848" s="22" t="str">
        <f>HYPERLINK("https://pbs.twimg.com/profile_images/500714284175732737/rduafl1o_normal.jpeg","View")</f>
        <v>View</v>
      </c>
      <c r="P9848" s="27"/>
    </row>
    <row r="9849">
      <c r="A9849" s="14">
        <v>43032.121145833335</v>
      </c>
      <c r="B9849" s="20" t="str">
        <f>HYPERLINK("https://twitter.com/Yadira_GILBERT","@Yadira_GILBERT")</f>
        <v>@Yadira_GILBERT</v>
      </c>
      <c r="C9849" s="21" t="s">
        <v>21340</v>
      </c>
      <c r="D9849" s="21" t="s">
        <v>21202</v>
      </c>
      <c r="E9849" s="22" t="str">
        <f>HYPERLINK("https://twitter.com/Yadira_GILBERT/status/922763206942007296","922763206942007296")</f>
        <v>922763206942007296</v>
      </c>
      <c r="F9849" s="23" t="s">
        <v>86</v>
      </c>
      <c r="G9849" s="24">
        <v>336.0</v>
      </c>
      <c r="H9849" s="24">
        <v>398.0</v>
      </c>
      <c r="I9849" s="24">
        <v>79.0</v>
      </c>
      <c r="J9849" s="24">
        <v>0.0</v>
      </c>
      <c r="K9849" s="23" t="s">
        <v>34</v>
      </c>
      <c r="L9849" s="25">
        <v>41684.273460648146</v>
      </c>
      <c r="M9849" s="28"/>
      <c r="N9849" s="28"/>
      <c r="O9849" s="22" t="str">
        <f>HYPERLINK("https://pbs.twimg.com/profile_images/434335023873789953/HQhI7E7V_normal.jpeg","View")</f>
        <v>View</v>
      </c>
      <c r="P9849" s="27"/>
    </row>
    <row r="9850">
      <c r="A9850" s="14">
        <v>43032.121203703704</v>
      </c>
      <c r="B9850" s="20" t="str">
        <f>HYPERLINK("https://twitter.com/FransiscaWorkm3","@FransiscaWorkm3")</f>
        <v>@FransiscaWorkm3</v>
      </c>
      <c r="C9850" s="21" t="s">
        <v>21328</v>
      </c>
      <c r="D9850" s="21" t="s">
        <v>21243</v>
      </c>
      <c r="E9850" s="22" t="str">
        <f>HYPERLINK("https://twitter.com/FransiscaWorkm3/status/922763228907757569","922763228907757569")</f>
        <v>922763228907757569</v>
      </c>
      <c r="F9850" s="23" t="s">
        <v>86</v>
      </c>
      <c r="G9850" s="24">
        <v>57.0</v>
      </c>
      <c r="H9850" s="24">
        <v>121.0</v>
      </c>
      <c r="I9850" s="24">
        <v>41.0</v>
      </c>
      <c r="J9850" s="24">
        <v>0.0</v>
      </c>
      <c r="K9850" s="23" t="s">
        <v>34</v>
      </c>
      <c r="L9850" s="25">
        <v>41906.392962962964</v>
      </c>
      <c r="M9850" s="26" t="s">
        <v>11949</v>
      </c>
      <c r="N9850" s="26" t="s">
        <v>21329</v>
      </c>
      <c r="O9850" s="22" t="str">
        <f>HYPERLINK("https://pbs.twimg.com/profile_images/514813373360271361/0K3Rl5zP_normal.jpeg","View")</f>
        <v>View</v>
      </c>
      <c r="P9850" s="27"/>
    </row>
    <row r="9851">
      <c r="A9851" s="14">
        <v>43032.12125</v>
      </c>
      <c r="B9851" s="20" t="str">
        <f>HYPERLINK("https://twitter.com/Sriniva49891896","@Sriniva49891896")</f>
        <v>@Sriniva49891896</v>
      </c>
      <c r="C9851" s="21" t="s">
        <v>21342</v>
      </c>
      <c r="D9851" s="21" t="s">
        <v>42</v>
      </c>
      <c r="E9851" s="22" t="str">
        <f>HYPERLINK("https://twitter.com/Sriniva49891896/status/922763246687227904","922763246687227904")</f>
        <v>922763246687227904</v>
      </c>
      <c r="F9851" s="23" t="s">
        <v>33</v>
      </c>
      <c r="G9851" s="24">
        <v>239.0</v>
      </c>
      <c r="H9851" s="24">
        <v>179.0</v>
      </c>
      <c r="I9851" s="24">
        <v>8501.0</v>
      </c>
      <c r="J9851" s="24">
        <v>0.0</v>
      </c>
      <c r="K9851" s="23" t="s">
        <v>34</v>
      </c>
      <c r="L9851" s="25">
        <v>42770.09515046296</v>
      </c>
      <c r="M9851" s="28"/>
      <c r="N9851" s="28"/>
      <c r="O9851" s="22" t="str">
        <f>HYPERLINK("https://pbs.twimg.com/profile_images/827829958957465601/R_G5n52i_normal.jpg","View")</f>
        <v>View</v>
      </c>
      <c r="P9851" s="27"/>
    </row>
    <row r="9852">
      <c r="A9852" s="14">
        <v>43032.12128472222</v>
      </c>
      <c r="B9852" s="20" t="str">
        <f>HYPERLINK("https://twitter.com/nickie_furr","@nickie_furr")</f>
        <v>@nickie_furr</v>
      </c>
      <c r="C9852" s="21" t="s">
        <v>21341</v>
      </c>
      <c r="D9852" s="21" t="s">
        <v>21194</v>
      </c>
      <c r="E9852" s="22" t="str">
        <f>HYPERLINK("https://twitter.com/nickie_furr/status/922763256967577600","922763256967577600")</f>
        <v>922763256967577600</v>
      </c>
      <c r="F9852" s="23" t="s">
        <v>86</v>
      </c>
      <c r="G9852" s="24">
        <v>139.0</v>
      </c>
      <c r="H9852" s="24">
        <v>94.0</v>
      </c>
      <c r="I9852" s="24">
        <v>35.0</v>
      </c>
      <c r="J9852" s="24">
        <v>0.0</v>
      </c>
      <c r="K9852" s="23" t="s">
        <v>34</v>
      </c>
      <c r="L9852" s="25">
        <v>41866.43386574074</v>
      </c>
      <c r="M9852" s="26" t="s">
        <v>6118</v>
      </c>
      <c r="N9852" s="26" t="s">
        <v>21219</v>
      </c>
      <c r="O9852" s="22" t="str">
        <f>HYPERLINK("https://pbs.twimg.com/profile_images/500714284175732737/rduafl1o_normal.jpeg","View")</f>
        <v>View</v>
      </c>
      <c r="P9852" s="27"/>
    </row>
    <row r="9853">
      <c r="A9853" s="14">
        <v>43032.12137731482</v>
      </c>
      <c r="B9853" s="20" t="str">
        <f>HYPERLINK("https://twitter.com/ChocolaRei","@ChocolaRei")</f>
        <v>@ChocolaRei</v>
      </c>
      <c r="C9853" s="21" t="s">
        <v>21343</v>
      </c>
      <c r="D9853" s="21" t="s">
        <v>12974</v>
      </c>
      <c r="E9853" s="22" t="str">
        <f>HYPERLINK("https://twitter.com/ChocolaRei/status/922763292971384832","922763292971384832")</f>
        <v>922763292971384832</v>
      </c>
      <c r="F9853" s="23" t="s">
        <v>39</v>
      </c>
      <c r="G9853" s="24">
        <v>143.0</v>
      </c>
      <c r="H9853" s="24">
        <v>435.0</v>
      </c>
      <c r="I9853" s="24">
        <v>110.0</v>
      </c>
      <c r="J9853" s="24">
        <v>0.0</v>
      </c>
      <c r="K9853" s="23" t="s">
        <v>34</v>
      </c>
      <c r="L9853" s="25">
        <v>42956.64482638889</v>
      </c>
      <c r="M9853" s="28"/>
      <c r="N9853" s="28"/>
      <c r="O9853" s="22" t="str">
        <f>HYPERLINK("https://pbs.twimg.com/profile_images/921902951626502146/P9S70wUo_normal.png","View")</f>
        <v>View</v>
      </c>
      <c r="P9853" s="27"/>
    </row>
    <row r="9854">
      <c r="A9854" s="14">
        <v>43032.121620370366</v>
      </c>
      <c r="B9854" s="20" t="str">
        <f>HYPERLINK("https://twitter.com/Yadira_GILBERT","@Yadira_GILBERT")</f>
        <v>@Yadira_GILBERT</v>
      </c>
      <c r="C9854" s="21" t="s">
        <v>21340</v>
      </c>
      <c r="D9854" s="21" t="s">
        <v>21203</v>
      </c>
      <c r="E9854" s="22" t="str">
        <f>HYPERLINK("https://twitter.com/Yadira_GILBERT/status/922763379441152000","922763379441152000")</f>
        <v>922763379441152000</v>
      </c>
      <c r="F9854" s="23" t="s">
        <v>86</v>
      </c>
      <c r="G9854" s="24">
        <v>336.0</v>
      </c>
      <c r="H9854" s="24">
        <v>398.0</v>
      </c>
      <c r="I9854" s="24">
        <v>75.0</v>
      </c>
      <c r="J9854" s="24">
        <v>0.0</v>
      </c>
      <c r="K9854" s="23" t="s">
        <v>34</v>
      </c>
      <c r="L9854" s="25">
        <v>41684.273460648146</v>
      </c>
      <c r="M9854" s="28"/>
      <c r="N9854" s="28"/>
      <c r="O9854" s="22" t="str">
        <f>HYPERLINK("https://pbs.twimg.com/profile_images/434335023873789953/HQhI7E7V_normal.jpeg","View")</f>
        <v>View</v>
      </c>
      <c r="P9854" s="27"/>
    </row>
    <row r="9855">
      <c r="A9855" s="14">
        <v>43032.12186342593</v>
      </c>
      <c r="B9855" s="20" t="str">
        <f>HYPERLINK("https://twitter.com/FransiscaWorkm3","@FransiscaWorkm3")</f>
        <v>@FransiscaWorkm3</v>
      </c>
      <c r="C9855" s="21" t="s">
        <v>21328</v>
      </c>
      <c r="D9855" s="21" t="s">
        <v>21191</v>
      </c>
      <c r="E9855" s="22" t="str">
        <f>HYPERLINK("https://twitter.com/FransiscaWorkm3/status/922763465814675457","922763465814675457")</f>
        <v>922763465814675457</v>
      </c>
      <c r="F9855" s="23" t="s">
        <v>86</v>
      </c>
      <c r="G9855" s="24">
        <v>57.0</v>
      </c>
      <c r="H9855" s="24">
        <v>121.0</v>
      </c>
      <c r="I9855" s="24">
        <v>42.0</v>
      </c>
      <c r="J9855" s="24">
        <v>0.0</v>
      </c>
      <c r="K9855" s="23" t="s">
        <v>34</v>
      </c>
      <c r="L9855" s="25">
        <v>41906.392962962964</v>
      </c>
      <c r="M9855" s="26" t="s">
        <v>11949</v>
      </c>
      <c r="N9855" s="26" t="s">
        <v>21329</v>
      </c>
      <c r="O9855" s="22" t="str">
        <f>HYPERLINK("https://pbs.twimg.com/profile_images/514813373360271361/0K3Rl5zP_normal.jpeg","View")</f>
        <v>View</v>
      </c>
      <c r="P9855" s="27"/>
    </row>
    <row r="9856">
      <c r="A9856" s="14">
        <v>43032.12278935185</v>
      </c>
      <c r="B9856" s="20" t="str">
        <f>HYPERLINK("https://twitter.com/UiTV_Connect","@UiTV_Connect")</f>
        <v>@UiTV_Connect</v>
      </c>
      <c r="C9856" s="21" t="s">
        <v>21344</v>
      </c>
      <c r="D9856" s="21" t="s">
        <v>21345</v>
      </c>
      <c r="E9856" s="22" t="str">
        <f>HYPERLINK("https://twitter.com/UiTV_Connect/status/922763802487042048","922763802487042048")</f>
        <v>922763802487042048</v>
      </c>
      <c r="F9856" s="23" t="s">
        <v>55</v>
      </c>
      <c r="G9856" s="24">
        <v>1210.0</v>
      </c>
      <c r="H9856" s="24">
        <v>672.0</v>
      </c>
      <c r="I9856" s="24">
        <v>0.0</v>
      </c>
      <c r="J9856" s="24">
        <v>1.0</v>
      </c>
      <c r="K9856" s="23" t="s">
        <v>34</v>
      </c>
      <c r="L9856" s="25">
        <v>41498.12333333334</v>
      </c>
      <c r="M9856" s="26" t="s">
        <v>40</v>
      </c>
      <c r="N9856" s="26" t="s">
        <v>21346</v>
      </c>
      <c r="O9856" s="22" t="str">
        <f>HYPERLINK("https://pbs.twimg.com/profile_images/827071562918531073/lwHwWwP8_normal.jpg","View")</f>
        <v>View</v>
      </c>
      <c r="P9856" s="27"/>
    </row>
    <row r="9857">
      <c r="A9857" s="14">
        <v>43032.12331018518</v>
      </c>
      <c r="B9857" s="20" t="str">
        <f>HYPERLINK("https://twitter.com/Yasmine__ROMERO","@Yasmine__ROMERO")</f>
        <v>@Yasmine__ROMERO</v>
      </c>
      <c r="C9857" s="21" t="s">
        <v>21193</v>
      </c>
      <c r="D9857" s="21" t="s">
        <v>21215</v>
      </c>
      <c r="E9857" s="22" t="str">
        <f>HYPERLINK("https://twitter.com/Yasmine__ROMERO/status/922763991100702720","922763991100702720")</f>
        <v>922763991100702720</v>
      </c>
      <c r="F9857" s="23" t="s">
        <v>86</v>
      </c>
      <c r="G9857" s="24">
        <v>345.0</v>
      </c>
      <c r="H9857" s="24">
        <v>392.0</v>
      </c>
      <c r="I9857" s="24">
        <v>39.0</v>
      </c>
      <c r="J9857" s="24">
        <v>0.0</v>
      </c>
      <c r="K9857" s="23" t="s">
        <v>34</v>
      </c>
      <c r="L9857" s="25">
        <v>41684.28732638889</v>
      </c>
      <c r="M9857" s="26" t="s">
        <v>7794</v>
      </c>
      <c r="N9857" s="26" t="s">
        <v>21083</v>
      </c>
      <c r="O9857" s="22" t="str">
        <f>HYPERLINK("https://pbs.twimg.com/profile_images/434340004924362752/VhWR2_Cg_normal.jpeg","View")</f>
        <v>View</v>
      </c>
      <c r="P9857" s="27"/>
    </row>
    <row r="9858">
      <c r="A9858" s="14">
        <v>43032.123819444445</v>
      </c>
      <c r="B9858" s="20" t="str">
        <f>HYPERLINK("https://twitter.com/jukkaisorinne","@jukkaisorinne")</f>
        <v>@jukkaisorinne</v>
      </c>
      <c r="C9858" s="21" t="s">
        <v>21347</v>
      </c>
      <c r="D9858" s="21" t="s">
        <v>17703</v>
      </c>
      <c r="E9858" s="22" t="str">
        <f>HYPERLINK("https://twitter.com/jukkaisorinne/status/922764174639468544","922764174639468544")</f>
        <v>922764174639468544</v>
      </c>
      <c r="F9858" s="23" t="s">
        <v>39</v>
      </c>
      <c r="G9858" s="24">
        <v>1280.0</v>
      </c>
      <c r="H9858" s="24">
        <v>1144.0</v>
      </c>
      <c r="I9858" s="24">
        <v>23.0</v>
      </c>
      <c r="J9858" s="24">
        <v>0.0</v>
      </c>
      <c r="K9858" s="23" t="s">
        <v>34</v>
      </c>
      <c r="L9858" s="25">
        <v>40051.251608796294</v>
      </c>
      <c r="M9858" s="26" t="s">
        <v>1110</v>
      </c>
      <c r="N9858" s="28"/>
      <c r="O9858" s="22" t="str">
        <f>HYPERLINK("https://pbs.twimg.com/profile_images/802635890673717253/o2V1cWrB_normal.jpg","View")</f>
        <v>View</v>
      </c>
      <c r="P9858" s="27"/>
    </row>
    <row r="9859">
      <c r="A9859" s="14">
        <v>43032.124074074076</v>
      </c>
      <c r="B9859" s="20" t="str">
        <f>HYPERLINK("https://twitter.com/RealKikoMedlna","@RealKikoMedlna")</f>
        <v>@RealKikoMedlna</v>
      </c>
      <c r="C9859" s="21" t="s">
        <v>21348</v>
      </c>
      <c r="D9859" s="21" t="s">
        <v>21261</v>
      </c>
      <c r="E9859" s="22" t="str">
        <f>HYPERLINK("https://twitter.com/RealKikoMedlna/status/922764268969385984","922764268969385984")</f>
        <v>922764268969385984</v>
      </c>
      <c r="F9859" s="23" t="s">
        <v>33</v>
      </c>
      <c r="G9859" s="24">
        <v>32.0</v>
      </c>
      <c r="H9859" s="24">
        <v>1391.0</v>
      </c>
      <c r="I9859" s="24">
        <v>11.0</v>
      </c>
      <c r="J9859" s="24">
        <v>0.0</v>
      </c>
      <c r="K9859" s="23" t="s">
        <v>34</v>
      </c>
      <c r="L9859" s="25">
        <v>41084.55662037037</v>
      </c>
      <c r="M9859" s="26" t="s">
        <v>21349</v>
      </c>
      <c r="N9859" s="26" t="s">
        <v>21350</v>
      </c>
      <c r="O9859" s="22" t="str">
        <f>HYPERLINK("https://pbs.twimg.com/profile_images/764415369473843200/CUXJW_nJ_normal.jpg","View")</f>
        <v>View</v>
      </c>
      <c r="P9859" s="27"/>
    </row>
    <row r="9860">
      <c r="A9860" s="14">
        <v>43032.124178240745</v>
      </c>
      <c r="B9860" s="20" t="str">
        <f>HYPERLINK("https://twitter.com/AnneinParis","@AnneinParis")</f>
        <v>@AnneinParis</v>
      </c>
      <c r="C9860" s="21" t="s">
        <v>21351</v>
      </c>
      <c r="D9860" s="21" t="s">
        <v>20410</v>
      </c>
      <c r="E9860" s="22" t="str">
        <f>HYPERLINK("https://twitter.com/AnneinParis/status/922764305262612481","922764305262612481")</f>
        <v>922764305262612481</v>
      </c>
      <c r="F9860" s="23" t="s">
        <v>55</v>
      </c>
      <c r="G9860" s="24">
        <v>1352.0</v>
      </c>
      <c r="H9860" s="24">
        <v>1114.0</v>
      </c>
      <c r="I9860" s="24">
        <v>3.0</v>
      </c>
      <c r="J9860" s="24">
        <v>0.0</v>
      </c>
      <c r="K9860" s="23" t="s">
        <v>34</v>
      </c>
      <c r="L9860" s="25">
        <v>39059.27253472222</v>
      </c>
      <c r="M9860" s="26" t="s">
        <v>1110</v>
      </c>
      <c r="N9860" s="26" t="s">
        <v>21352</v>
      </c>
      <c r="O9860" s="22" t="str">
        <f>HYPERLINK("https://pbs.twimg.com/profile_images/807236648505372672/eID4qlKI_normal.jpg","View")</f>
        <v>View</v>
      </c>
      <c r="P9860" s="27"/>
    </row>
    <row r="9861">
      <c r="A9861" s="14">
        <v>43032.12509259259</v>
      </c>
      <c r="B9861" s="20" t="str">
        <f>HYPERLINK("https://twitter.com/orientexpressgu","@orientexpressgu")</f>
        <v>@orientexpressgu</v>
      </c>
      <c r="C9861" s="21" t="s">
        <v>21353</v>
      </c>
      <c r="D9861" s="21" t="s">
        <v>21354</v>
      </c>
      <c r="E9861" s="22" t="str">
        <f>HYPERLINK("https://twitter.com/orientexpressgu/status/922764636818169858","922764636818169858")</f>
        <v>922764636818169858</v>
      </c>
      <c r="F9861" s="23" t="s">
        <v>55</v>
      </c>
      <c r="G9861" s="24">
        <v>593.0</v>
      </c>
      <c r="H9861" s="24">
        <v>514.0</v>
      </c>
      <c r="I9861" s="24">
        <v>0.0</v>
      </c>
      <c r="J9861" s="24">
        <v>0.0</v>
      </c>
      <c r="K9861" s="23" t="s">
        <v>34</v>
      </c>
      <c r="L9861" s="25">
        <v>40849.36888888889</v>
      </c>
      <c r="M9861" s="26" t="s">
        <v>21355</v>
      </c>
      <c r="N9861" s="26" t="s">
        <v>21356</v>
      </c>
      <c r="O9861" s="22" t="str">
        <f>HYPERLINK("https://pbs.twimg.com/profile_images/644089196156579840/DYrkrVfs_normal.jpg","View")</f>
        <v>View</v>
      </c>
      <c r="P9861" s="27"/>
    </row>
    <row r="9862">
      <c r="A9862" s="14">
        <v>43032.12614583333</v>
      </c>
      <c r="B9862" s="20" t="str">
        <f>HYPERLINK("https://twitter.com/turbatn","@turbatn")</f>
        <v>@turbatn</v>
      </c>
      <c r="C9862" s="21" t="s">
        <v>21357</v>
      </c>
      <c r="D9862" s="21" t="s">
        <v>8665</v>
      </c>
      <c r="E9862" s="22" t="str">
        <f>HYPERLINK("https://twitter.com/turbatn/status/922765019854422016","922765019854422016")</f>
        <v>922765019854422016</v>
      </c>
      <c r="F9862" s="23" t="s">
        <v>33</v>
      </c>
      <c r="G9862" s="24">
        <v>62723.0</v>
      </c>
      <c r="H9862" s="24">
        <v>1681.0</v>
      </c>
      <c r="I9862" s="24">
        <v>67.0</v>
      </c>
      <c r="J9862" s="24">
        <v>0.0</v>
      </c>
      <c r="K9862" s="23" t="s">
        <v>34</v>
      </c>
      <c r="L9862" s="25">
        <v>41995.087372685186</v>
      </c>
      <c r="M9862" s="26" t="s">
        <v>18994</v>
      </c>
      <c r="N9862" s="26" t="s">
        <v>21358</v>
      </c>
      <c r="O9862" s="22" t="str">
        <f>HYPERLINK("https://pbs.twimg.com/profile_images/843127625623117825/uOADWTRE_normal.jpg","View")</f>
        <v>View</v>
      </c>
      <c r="P9862" s="27"/>
    </row>
    <row r="9863">
      <c r="A9863" s="14">
        <v>43032.12715277778</v>
      </c>
      <c r="B9863" s="20" t="str">
        <f>HYPERLINK("https://twitter.com/paige_antoine","@paige_antoine")</f>
        <v>@paige_antoine</v>
      </c>
      <c r="C9863" s="21" t="s">
        <v>21359</v>
      </c>
      <c r="D9863" s="21" t="s">
        <v>21215</v>
      </c>
      <c r="E9863" s="22" t="str">
        <f>HYPERLINK("https://twitter.com/paige_antoine/status/922765385551699968","922765385551699968")</f>
        <v>922765385551699968</v>
      </c>
      <c r="F9863" s="23" t="s">
        <v>86</v>
      </c>
      <c r="G9863" s="24">
        <v>135.0</v>
      </c>
      <c r="H9863" s="24">
        <v>107.0</v>
      </c>
      <c r="I9863" s="24">
        <v>39.0</v>
      </c>
      <c r="J9863" s="24">
        <v>0.0</v>
      </c>
      <c r="K9863" s="23" t="s">
        <v>34</v>
      </c>
      <c r="L9863" s="25">
        <v>41876.4421875</v>
      </c>
      <c r="M9863" s="26" t="s">
        <v>40</v>
      </c>
      <c r="N9863" s="26" t="s">
        <v>21334</v>
      </c>
      <c r="O9863" s="22" t="str">
        <f>HYPERLINK("https://pbs.twimg.com/profile_images/503967133064110080/tbXTxmqI_normal.jpeg","View")</f>
        <v>View</v>
      </c>
      <c r="P9863" s="27"/>
    </row>
    <row r="9864">
      <c r="A9864" s="14">
        <v>43032.127280092594</v>
      </c>
      <c r="B9864" s="20" t="str">
        <f>HYPERLINK("https://twitter.com/RaiJon16","@RaiJon16")</f>
        <v>@RaiJon16</v>
      </c>
      <c r="C9864" s="21" t="s">
        <v>21360</v>
      </c>
      <c r="D9864" s="21" t="s">
        <v>21215</v>
      </c>
      <c r="E9864" s="22" t="str">
        <f>HYPERLINK("https://twitter.com/RaiJon16/status/922765429319307264","922765429319307264")</f>
        <v>922765429319307264</v>
      </c>
      <c r="F9864" s="23" t="s">
        <v>21361</v>
      </c>
      <c r="G9864" s="24">
        <v>224.0</v>
      </c>
      <c r="H9864" s="24">
        <v>2016.0</v>
      </c>
      <c r="I9864" s="24">
        <v>39.0</v>
      </c>
      <c r="J9864" s="24">
        <v>0.0</v>
      </c>
      <c r="K9864" s="23" t="s">
        <v>34</v>
      </c>
      <c r="L9864" s="25">
        <v>42904.58369212963</v>
      </c>
      <c r="M9864" s="26" t="s">
        <v>68</v>
      </c>
      <c r="N9864" s="26" t="s">
        <v>21362</v>
      </c>
      <c r="O9864" s="22" t="str">
        <f>HYPERLINK("https://pbs.twimg.com/profile_images/876545803329974273/A_UKlGD7_normal.jpg","View")</f>
        <v>View</v>
      </c>
      <c r="P9864" s="27"/>
    </row>
    <row r="9865">
      <c r="A9865" s="14">
        <v>43032.127280092594</v>
      </c>
      <c r="B9865" s="20" t="str">
        <f>HYPERLINK("https://twitter.com/LitanDe95548240","@LitanDe95548240")</f>
        <v>@LitanDe95548240</v>
      </c>
      <c r="C9865" s="21" t="s">
        <v>21363</v>
      </c>
      <c r="D9865" s="21" t="s">
        <v>42</v>
      </c>
      <c r="E9865" s="22" t="str">
        <f>HYPERLINK("https://twitter.com/LitanDe95548240/status/922765431391137792","922765431391137792")</f>
        <v>922765431391137792</v>
      </c>
      <c r="F9865" s="23" t="s">
        <v>33</v>
      </c>
      <c r="G9865" s="24">
        <v>4.0</v>
      </c>
      <c r="H9865" s="24">
        <v>99.0</v>
      </c>
      <c r="I9865" s="24">
        <v>8501.0</v>
      </c>
      <c r="J9865" s="24">
        <v>0.0</v>
      </c>
      <c r="K9865" s="23" t="s">
        <v>34</v>
      </c>
      <c r="L9865" s="25">
        <v>43024.04039351852</v>
      </c>
      <c r="M9865" s="26" t="s">
        <v>557</v>
      </c>
      <c r="N9865" s="26" t="s">
        <v>2671</v>
      </c>
      <c r="O9865" s="22" t="str">
        <f>HYPERLINK("https://pbs.twimg.com/profile_images/922764277106098176/mjeYWMcY_normal.jpg","View")</f>
        <v>View</v>
      </c>
      <c r="P9865" s="27"/>
    </row>
    <row r="9866">
      <c r="A9866" s="14">
        <v>43032.12761574074</v>
      </c>
      <c r="B9866" s="20" t="str">
        <f>HYPERLINK("https://twitter.com/ebitiri_rie","@ebitiri_rie")</f>
        <v>@ebitiri_rie</v>
      </c>
      <c r="C9866" s="21" t="s">
        <v>21364</v>
      </c>
      <c r="D9866" s="21" t="s">
        <v>8782</v>
      </c>
      <c r="E9866" s="22" t="str">
        <f>HYPERLINK("https://twitter.com/ebitiri_rie/status/922765553671925764","922765553671925764")</f>
        <v>922765553671925764</v>
      </c>
      <c r="F9866" s="23" t="s">
        <v>230</v>
      </c>
      <c r="G9866" s="24">
        <v>1158.0</v>
      </c>
      <c r="H9866" s="24">
        <v>757.0</v>
      </c>
      <c r="I9866" s="24">
        <v>20.0</v>
      </c>
      <c r="J9866" s="24">
        <v>0.0</v>
      </c>
      <c r="K9866" s="23" t="s">
        <v>34</v>
      </c>
      <c r="L9866" s="25">
        <v>40291.060069444444</v>
      </c>
      <c r="M9866" s="26" t="s">
        <v>1089</v>
      </c>
      <c r="N9866" s="26" t="s">
        <v>21365</v>
      </c>
      <c r="O9866" s="22" t="str">
        <f>HYPERLINK("https://pbs.twimg.com/profile_images/1127321070/__________normal.jpg","View")</f>
        <v>View</v>
      </c>
      <c r="P9866" s="27"/>
    </row>
    <row r="9867">
      <c r="A9867" s="14">
        <v>43032.12773148148</v>
      </c>
      <c r="B9867" s="20" t="str">
        <f>HYPERLINK("https://twitter.com/Hikariuru","@Hikariuru")</f>
        <v>@Hikariuru</v>
      </c>
      <c r="C9867" s="21" t="s">
        <v>7057</v>
      </c>
      <c r="D9867" s="21" t="s">
        <v>8665</v>
      </c>
      <c r="E9867" s="22" t="str">
        <f>HYPERLINK("https://twitter.com/Hikariuru/status/922765594335764480","922765594335764480")</f>
        <v>922765594335764480</v>
      </c>
      <c r="F9867" s="23" t="s">
        <v>39</v>
      </c>
      <c r="G9867" s="24">
        <v>728.0</v>
      </c>
      <c r="H9867" s="24">
        <v>437.0</v>
      </c>
      <c r="I9867" s="24">
        <v>67.0</v>
      </c>
      <c r="J9867" s="24">
        <v>0.0</v>
      </c>
      <c r="K9867" s="23" t="s">
        <v>34</v>
      </c>
      <c r="L9867" s="25">
        <v>42697.33399305555</v>
      </c>
      <c r="M9867" s="26" t="s">
        <v>660</v>
      </c>
      <c r="N9867" s="26" t="s">
        <v>7058</v>
      </c>
      <c r="O9867" s="22" t="str">
        <f>HYPERLINK("https://pbs.twimg.com/profile_images/907545195830329345/fXxpWO5l_normal.jpg","View")</f>
        <v>View</v>
      </c>
      <c r="P9867" s="27"/>
    </row>
    <row r="9868">
      <c r="A9868" s="14">
        <v>43032.1277662037</v>
      </c>
      <c r="B9868" s="20" t="str">
        <f>HYPERLINK("https://twitter.com/Zotac6","@Zotac6")</f>
        <v>@Zotac6</v>
      </c>
      <c r="C9868" s="21" t="s">
        <v>3853</v>
      </c>
      <c r="D9868" s="21" t="s">
        <v>21194</v>
      </c>
      <c r="E9868" s="22" t="str">
        <f>HYPERLINK("https://twitter.com/Zotac6/status/922765605199142912","922765605199142912")</f>
        <v>922765605199142912</v>
      </c>
      <c r="F9868" s="23" t="s">
        <v>3854</v>
      </c>
      <c r="G9868" s="24">
        <v>90.0</v>
      </c>
      <c r="H9868" s="24">
        <v>1032.0</v>
      </c>
      <c r="I9868" s="24">
        <v>35.0</v>
      </c>
      <c r="J9868" s="24">
        <v>0.0</v>
      </c>
      <c r="K9868" s="23" t="s">
        <v>34</v>
      </c>
      <c r="L9868" s="25">
        <v>42935.346863425926</v>
      </c>
      <c r="M9868" s="26" t="s">
        <v>68</v>
      </c>
      <c r="N9868" s="28"/>
      <c r="O9868" s="22" t="str">
        <f>HYPERLINK("https://pbs.twimg.com/profile_images/887693908750237697/wrgYF88C_normal.jpg","View")</f>
        <v>View</v>
      </c>
      <c r="P9868" s="27"/>
    </row>
    <row r="9869">
      <c r="A9869" s="14">
        <v>43032.12793981482</v>
      </c>
      <c r="B9869" s="20" t="str">
        <f>HYPERLINK("https://twitter.com/Bashir_Sabri","@Bashir_Sabri")</f>
        <v>@Bashir_Sabri</v>
      </c>
      <c r="C9869" s="21" t="s">
        <v>21366</v>
      </c>
      <c r="D9869" s="21" t="s">
        <v>21215</v>
      </c>
      <c r="E9869" s="22" t="str">
        <f>HYPERLINK("https://twitter.com/Bashir_Sabri/status/922765669908676608","922765669908676608")</f>
        <v>922765669908676608</v>
      </c>
      <c r="F9869" s="23" t="s">
        <v>86</v>
      </c>
      <c r="G9869" s="24">
        <v>161.0</v>
      </c>
      <c r="H9869" s="24">
        <v>420.0</v>
      </c>
      <c r="I9869" s="24">
        <v>39.0</v>
      </c>
      <c r="J9869" s="24">
        <v>0.0</v>
      </c>
      <c r="K9869" s="23" t="s">
        <v>34</v>
      </c>
      <c r="L9869" s="25">
        <v>41690.3915162037</v>
      </c>
      <c r="M9869" s="26" t="s">
        <v>11949</v>
      </c>
      <c r="N9869" s="26" t="s">
        <v>21192</v>
      </c>
      <c r="O9869" s="22" t="str">
        <f>HYPERLINK("https://pbs.twimg.com/profile_images/437112796677799936/jq-JxI10_normal.jpeg","View")</f>
        <v>View</v>
      </c>
      <c r="P9869" s="27"/>
    </row>
    <row r="9870">
      <c r="A9870" s="14">
        <v>43032.12831018519</v>
      </c>
      <c r="B9870" s="20" t="str">
        <f>HYPERLINK("https://twitter.com/vinayharswal","@vinayharswal")</f>
        <v>@vinayharswal</v>
      </c>
      <c r="C9870" s="21" t="s">
        <v>21367</v>
      </c>
      <c r="D9870" s="21" t="s">
        <v>42</v>
      </c>
      <c r="E9870" s="22" t="str">
        <f>HYPERLINK("https://twitter.com/vinayharswal/status/922765805963460609","922765805963460609")</f>
        <v>922765805963460609</v>
      </c>
      <c r="F9870" s="23" t="s">
        <v>33</v>
      </c>
      <c r="G9870" s="24">
        <v>145.0</v>
      </c>
      <c r="H9870" s="24">
        <v>378.0</v>
      </c>
      <c r="I9870" s="24">
        <v>8501.0</v>
      </c>
      <c r="J9870" s="24">
        <v>0.0</v>
      </c>
      <c r="K9870" s="23" t="s">
        <v>34</v>
      </c>
      <c r="L9870" s="25">
        <v>40845.015868055554</v>
      </c>
      <c r="M9870" s="28"/>
      <c r="N9870" s="26" t="s">
        <v>21368</v>
      </c>
      <c r="O9870" s="22" t="str">
        <f>HYPERLINK("https://pbs.twimg.com/profile_images/434374494975561729/C76tU6jN_normal.jpeg","View")</f>
        <v>View</v>
      </c>
      <c r="P9870" s="27"/>
    </row>
    <row r="9871">
      <c r="A9871" s="14">
        <v>43032.12858796296</v>
      </c>
      <c r="B9871" s="20" t="str">
        <f>HYPERLINK("https://twitter.com/OSKempawad","@OSKempawad")</f>
        <v>@OSKempawad</v>
      </c>
      <c r="C9871" s="21" t="s">
        <v>21369</v>
      </c>
      <c r="D9871" s="21" t="s">
        <v>163</v>
      </c>
      <c r="E9871" s="22" t="str">
        <f>HYPERLINK("https://twitter.com/OSKempawad/status/922765902923345920","922765902923345920")</f>
        <v>922765902923345920</v>
      </c>
      <c r="F9871" s="23" t="s">
        <v>33</v>
      </c>
      <c r="G9871" s="24">
        <v>19.0</v>
      </c>
      <c r="H9871" s="24">
        <v>133.0</v>
      </c>
      <c r="I9871" s="24">
        <v>1005.0</v>
      </c>
      <c r="J9871" s="24">
        <v>0.0</v>
      </c>
      <c r="K9871" s="23" t="s">
        <v>34</v>
      </c>
      <c r="L9871" s="25">
        <v>42789.52865740741</v>
      </c>
      <c r="M9871" s="26" t="s">
        <v>7677</v>
      </c>
      <c r="N9871" s="26" t="s">
        <v>21370</v>
      </c>
      <c r="O9871" s="22" t="str">
        <f>HYPERLINK("https://pbs.twimg.com/profile_images/835132780610732032/PFk8k00D_normal.jpg","View")</f>
        <v>View</v>
      </c>
      <c r="P9871" s="27"/>
    </row>
    <row r="9872">
      <c r="A9872" s="14">
        <v>43032.128854166665</v>
      </c>
      <c r="B9872" s="20" t="str">
        <f>HYPERLINK("https://twitter.com/Srinivasmurthi1","@Srinivasmurthi1")</f>
        <v>@Srinivasmurthi1</v>
      </c>
      <c r="C9872" s="21" t="s">
        <v>21371</v>
      </c>
      <c r="D9872" s="21" t="s">
        <v>42</v>
      </c>
      <c r="E9872" s="22" t="str">
        <f>HYPERLINK("https://twitter.com/Srinivasmurthi1/status/922766000109453319","922766000109453319")</f>
        <v>922766000109453319</v>
      </c>
      <c r="F9872" s="23" t="s">
        <v>33</v>
      </c>
      <c r="G9872" s="24">
        <v>4.0</v>
      </c>
      <c r="H9872" s="24">
        <v>66.0</v>
      </c>
      <c r="I9872" s="24">
        <v>8501.0</v>
      </c>
      <c r="J9872" s="24">
        <v>0.0</v>
      </c>
      <c r="K9872" s="23" t="s">
        <v>34</v>
      </c>
      <c r="L9872" s="25">
        <v>42940.75460648148</v>
      </c>
      <c r="M9872" s="28"/>
      <c r="N9872" s="28"/>
      <c r="O9872" s="22" t="str">
        <f>HYPERLINK("https://abs.twimg.com/sticky/default_profile_images/default_profile_normal.png","View")</f>
        <v>View</v>
      </c>
      <c r="P9872" s="27"/>
    </row>
    <row r="9873">
      <c r="A9873" s="14">
        <v>43032.129282407404</v>
      </c>
      <c r="B9873" s="20" t="str">
        <f>HYPERLINK("https://twitter.com/totaalvoet","@totaalvoet")</f>
        <v>@totaalvoet</v>
      </c>
      <c r="C9873" s="21" t="s">
        <v>21372</v>
      </c>
      <c r="D9873" s="21" t="s">
        <v>19530</v>
      </c>
      <c r="E9873" s="22" t="str">
        <f>HYPERLINK("https://twitter.com/totaalvoet/status/922766156183715840","922766156183715840")</f>
        <v>922766156183715840</v>
      </c>
      <c r="F9873" s="23" t="s">
        <v>39</v>
      </c>
      <c r="G9873" s="24">
        <v>227.0</v>
      </c>
      <c r="H9873" s="24">
        <v>347.0</v>
      </c>
      <c r="I9873" s="24">
        <v>3.0</v>
      </c>
      <c r="J9873" s="24">
        <v>0.0</v>
      </c>
      <c r="K9873" s="23" t="s">
        <v>34</v>
      </c>
      <c r="L9873" s="25">
        <v>41895.67962962963</v>
      </c>
      <c r="M9873" s="26" t="s">
        <v>21373</v>
      </c>
      <c r="N9873" s="26" t="s">
        <v>21374</v>
      </c>
      <c r="O9873" s="22" t="str">
        <f>HYPERLINK("https://pbs.twimg.com/profile_images/728157950875836417/XHsm2ggT_normal.jpg","View")</f>
        <v>View</v>
      </c>
      <c r="P9873" s="27"/>
    </row>
    <row r="9874">
      <c r="A9874" s="14">
        <v>43032.12929398148</v>
      </c>
      <c r="B9874" s="20" t="str">
        <f>HYPERLINK("https://twitter.com/Bashir_Sabri","@Bashir_Sabri")</f>
        <v>@Bashir_Sabri</v>
      </c>
      <c r="C9874" s="21" t="s">
        <v>21366</v>
      </c>
      <c r="D9874" s="21" t="s">
        <v>21202</v>
      </c>
      <c r="E9874" s="22" t="str">
        <f>HYPERLINK("https://twitter.com/Bashir_Sabri/status/922766160248020992","922766160248020992")</f>
        <v>922766160248020992</v>
      </c>
      <c r="F9874" s="23" t="s">
        <v>86</v>
      </c>
      <c r="G9874" s="24">
        <v>161.0</v>
      </c>
      <c r="H9874" s="24">
        <v>420.0</v>
      </c>
      <c r="I9874" s="24">
        <v>79.0</v>
      </c>
      <c r="J9874" s="24">
        <v>0.0</v>
      </c>
      <c r="K9874" s="23" t="s">
        <v>34</v>
      </c>
      <c r="L9874" s="25">
        <v>41690.3915162037</v>
      </c>
      <c r="M9874" s="26" t="s">
        <v>11949</v>
      </c>
      <c r="N9874" s="26" t="s">
        <v>21192</v>
      </c>
      <c r="O9874" s="22" t="str">
        <f>HYPERLINK("https://pbs.twimg.com/profile_images/437112796677799936/jq-JxI10_normal.jpeg","View")</f>
        <v>View</v>
      </c>
      <c r="P9874" s="27"/>
    </row>
    <row r="9875">
      <c r="A9875" s="14">
        <v>43032.12945601852</v>
      </c>
      <c r="B9875" s="20" t="str">
        <f>HYPERLINK("https://twitter.com/paulsen_chana","@paulsen_chana")</f>
        <v>@paulsen_chana</v>
      </c>
      <c r="C9875" s="21" t="s">
        <v>21375</v>
      </c>
      <c r="D9875" s="21" t="s">
        <v>21215</v>
      </c>
      <c r="E9875" s="22" t="str">
        <f>HYPERLINK("https://twitter.com/paulsen_chana/status/922766217768714240","922766217768714240")</f>
        <v>922766217768714240</v>
      </c>
      <c r="F9875" s="23" t="s">
        <v>86</v>
      </c>
      <c r="G9875" s="24">
        <v>96.0</v>
      </c>
      <c r="H9875" s="24">
        <v>83.0</v>
      </c>
      <c r="I9875" s="24">
        <v>39.0</v>
      </c>
      <c r="J9875" s="24">
        <v>0.0</v>
      </c>
      <c r="K9875" s="23" t="s">
        <v>34</v>
      </c>
      <c r="L9875" s="25">
        <v>41879.15655092592</v>
      </c>
      <c r="M9875" s="26" t="s">
        <v>40</v>
      </c>
      <c r="N9875" s="26" t="s">
        <v>21376</v>
      </c>
      <c r="O9875" s="22" t="str">
        <f>HYPERLINK("https://pbs.twimg.com/profile_images/504950401800491008/sNTusumV_normal.jpeg","View")</f>
        <v>View</v>
      </c>
      <c r="P9875" s="27"/>
    </row>
    <row r="9876">
      <c r="A9876" s="14">
        <v>43032.12950231481</v>
      </c>
      <c r="B9876" s="20" t="str">
        <f>HYPERLINK("https://twitter.com/JNilssonWright","@JNilssonWright")</f>
        <v>@JNilssonWright</v>
      </c>
      <c r="C9876" s="21" t="s">
        <v>16739</v>
      </c>
      <c r="D9876" s="21" t="s">
        <v>21377</v>
      </c>
      <c r="E9876" s="22" t="str">
        <f>HYPERLINK("https://twitter.com/JNilssonWright/status/922766237310111744","922766237310111744")</f>
        <v>922766237310111744</v>
      </c>
      <c r="F9876" s="23" t="s">
        <v>55</v>
      </c>
      <c r="G9876" s="24">
        <v>1306.0</v>
      </c>
      <c r="H9876" s="24">
        <v>925.0</v>
      </c>
      <c r="I9876" s="24">
        <v>2.0</v>
      </c>
      <c r="J9876" s="24">
        <v>7.0</v>
      </c>
      <c r="K9876" s="23" t="s">
        <v>34</v>
      </c>
      <c r="L9876" s="25">
        <v>39967.725740740745</v>
      </c>
      <c r="M9876" s="26" t="s">
        <v>16741</v>
      </c>
      <c r="N9876" s="26" t="s">
        <v>16742</v>
      </c>
      <c r="O9876" s="22" t="str">
        <f>HYPERLINK("https://pbs.twimg.com/profile_images/651470531213021184/YGCR7BrJ_normal.jpg","View")</f>
        <v>View</v>
      </c>
      <c r="P9876" s="27"/>
    </row>
    <row r="9877">
      <c r="A9877" s="14">
        <v>43032.12994212963</v>
      </c>
      <c r="B9877" s="20" t="str">
        <f>HYPERLINK("https://twitter.com/Bashir_Sabri","@Bashir_Sabri")</f>
        <v>@Bashir_Sabri</v>
      </c>
      <c r="C9877" s="21" t="s">
        <v>21366</v>
      </c>
      <c r="D9877" s="21" t="s">
        <v>21203</v>
      </c>
      <c r="E9877" s="22" t="str">
        <f>HYPERLINK("https://twitter.com/Bashir_Sabri/status/922766395271557120","922766395271557120")</f>
        <v>922766395271557120</v>
      </c>
      <c r="F9877" s="23" t="s">
        <v>86</v>
      </c>
      <c r="G9877" s="24">
        <v>161.0</v>
      </c>
      <c r="H9877" s="24">
        <v>420.0</v>
      </c>
      <c r="I9877" s="24">
        <v>75.0</v>
      </c>
      <c r="J9877" s="24">
        <v>0.0</v>
      </c>
      <c r="K9877" s="23" t="s">
        <v>34</v>
      </c>
      <c r="L9877" s="25">
        <v>41690.3915162037</v>
      </c>
      <c r="M9877" s="26" t="s">
        <v>11949</v>
      </c>
      <c r="N9877" s="26" t="s">
        <v>21192</v>
      </c>
      <c r="O9877" s="22" t="str">
        <f>HYPERLINK("https://pbs.twimg.com/profile_images/437112796677799936/jq-JxI10_normal.jpeg","View")</f>
        <v>View</v>
      </c>
      <c r="P9877" s="27"/>
    </row>
    <row r="9878">
      <c r="A9878" s="14">
        <v>43032.13043981481</v>
      </c>
      <c r="B9878" s="20" t="str">
        <f>HYPERLINK("https://twitter.com/TheParthChavda","@TheParthChavda")</f>
        <v>@TheParthChavda</v>
      </c>
      <c r="C9878" s="21" t="s">
        <v>21378</v>
      </c>
      <c r="D9878" s="21" t="s">
        <v>42</v>
      </c>
      <c r="E9878" s="22" t="str">
        <f>HYPERLINK("https://twitter.com/TheParthChavda/status/922766574523580416","922766574523580416")</f>
        <v>922766574523580416</v>
      </c>
      <c r="F9878" s="23" t="s">
        <v>33</v>
      </c>
      <c r="G9878" s="24">
        <v>36.0</v>
      </c>
      <c r="H9878" s="24">
        <v>227.0</v>
      </c>
      <c r="I9878" s="24">
        <v>8501.0</v>
      </c>
      <c r="J9878" s="24">
        <v>0.0</v>
      </c>
      <c r="K9878" s="23" t="s">
        <v>34</v>
      </c>
      <c r="L9878" s="25">
        <v>42316.93927083333</v>
      </c>
      <c r="M9878" s="26" t="s">
        <v>21379</v>
      </c>
      <c r="N9878" s="26" t="s">
        <v>21380</v>
      </c>
      <c r="O9878" s="22" t="str">
        <f>HYPERLINK("https://pbs.twimg.com/profile_images/907691468038590465/IPSFnjIS_normal.jpg","View")</f>
        <v>View</v>
      </c>
      <c r="P9878" s="27"/>
    </row>
    <row r="9879">
      <c r="A9879" s="14">
        <v>43032.13056712963</v>
      </c>
      <c r="B9879" s="20" t="str">
        <f>HYPERLINK("https://twitter.com/freedom4iranian","@freedom4iranian")</f>
        <v>@freedom4iranian</v>
      </c>
      <c r="C9879" s="21" t="s">
        <v>21381</v>
      </c>
      <c r="D9879" s="21" t="s">
        <v>21215</v>
      </c>
      <c r="E9879" s="22" t="str">
        <f>HYPERLINK("https://twitter.com/freedom4iranian/status/922766620908388352","922766620908388352")</f>
        <v>922766620908388352</v>
      </c>
      <c r="F9879" s="23" t="s">
        <v>86</v>
      </c>
      <c r="G9879" s="24">
        <v>537.0</v>
      </c>
      <c r="H9879" s="24">
        <v>400.0</v>
      </c>
      <c r="I9879" s="24">
        <v>39.0</v>
      </c>
      <c r="J9879" s="24">
        <v>0.0</v>
      </c>
      <c r="K9879" s="23" t="s">
        <v>34</v>
      </c>
      <c r="L9879" s="25">
        <v>41558.22740740741</v>
      </c>
      <c r="M9879" s="26" t="s">
        <v>21122</v>
      </c>
      <c r="N9879" s="26" t="s">
        <v>21088</v>
      </c>
      <c r="O9879" s="22" t="str">
        <f>HYPERLINK("https://pbs.twimg.com/profile_images/378800000588600803/2464083e454484f0fa97664bc93438cb_normal.jpeg","View")</f>
        <v>View</v>
      </c>
      <c r="P9879" s="27"/>
    </row>
    <row r="9880">
      <c r="A9880" s="14">
        <v>43032.13059027778</v>
      </c>
      <c r="B9880" s="20" t="str">
        <f>HYPERLINK("https://twitter.com/Bashir_Sabri","@Bashir_Sabri")</f>
        <v>@Bashir_Sabri</v>
      </c>
      <c r="C9880" s="21" t="s">
        <v>21366</v>
      </c>
      <c r="D9880" s="21" t="s">
        <v>21243</v>
      </c>
      <c r="E9880" s="22" t="str">
        <f>HYPERLINK("https://twitter.com/Bashir_Sabri/status/922766630362345472","922766630362345472")</f>
        <v>922766630362345472</v>
      </c>
      <c r="F9880" s="23" t="s">
        <v>86</v>
      </c>
      <c r="G9880" s="24">
        <v>161.0</v>
      </c>
      <c r="H9880" s="24">
        <v>420.0</v>
      </c>
      <c r="I9880" s="24">
        <v>41.0</v>
      </c>
      <c r="J9880" s="24">
        <v>0.0</v>
      </c>
      <c r="K9880" s="23" t="s">
        <v>34</v>
      </c>
      <c r="L9880" s="25">
        <v>41690.3915162037</v>
      </c>
      <c r="M9880" s="26" t="s">
        <v>11949</v>
      </c>
      <c r="N9880" s="26" t="s">
        <v>21192</v>
      </c>
      <c r="O9880" s="22" t="str">
        <f>HYPERLINK("https://pbs.twimg.com/profile_images/437112796677799936/jq-JxI10_normal.jpeg","View")</f>
        <v>View</v>
      </c>
      <c r="P9880" s="27"/>
    </row>
    <row r="9881">
      <c r="A9881" s="14">
        <v>43032.130798611106</v>
      </c>
      <c r="B9881" s="20" t="str">
        <f>HYPERLINK("https://twitter.com/krunox123","@krunox123")</f>
        <v>@krunox123</v>
      </c>
      <c r="C9881" s="21" t="s">
        <v>1750</v>
      </c>
      <c r="D9881" s="21" t="s">
        <v>16738</v>
      </c>
      <c r="E9881" s="22" t="str">
        <f>HYPERLINK("https://twitter.com/krunox123/status/922766706388463616","922766706388463616")</f>
        <v>922766706388463616</v>
      </c>
      <c r="F9881" s="23" t="s">
        <v>187</v>
      </c>
      <c r="G9881" s="24">
        <v>10220.0</v>
      </c>
      <c r="H9881" s="24">
        <v>2.0</v>
      </c>
      <c r="I9881" s="24">
        <v>0.0</v>
      </c>
      <c r="J9881" s="24">
        <v>0.0</v>
      </c>
      <c r="K9881" s="23" t="s">
        <v>34</v>
      </c>
      <c r="L9881" s="25">
        <v>40938.22789351852</v>
      </c>
      <c r="M9881" s="26" t="s">
        <v>1752</v>
      </c>
      <c r="N9881" s="26" t="s">
        <v>1753</v>
      </c>
      <c r="O9881" s="22" t="str">
        <f>HYPERLINK("https://pbs.twimg.com/profile_images/824952382618349568/2SFIkM2x_normal.jpg","View")</f>
        <v>View</v>
      </c>
      <c r="P9881" s="27"/>
    </row>
    <row r="9882">
      <c r="A9882" s="14">
        <v>43032.13092592593</v>
      </c>
      <c r="B9882" s="20" t="str">
        <f>HYPERLINK("https://twitter.com/miksnmats","@miksnmats")</f>
        <v>@miksnmats</v>
      </c>
      <c r="C9882" s="21" t="s">
        <v>21382</v>
      </c>
      <c r="D9882" s="21" t="s">
        <v>20893</v>
      </c>
      <c r="E9882" s="22" t="str">
        <f>HYPERLINK("https://twitter.com/miksnmats/status/922766752978583552","922766752978583552")</f>
        <v>922766752978583552</v>
      </c>
      <c r="F9882" s="23" t="s">
        <v>55</v>
      </c>
      <c r="G9882" s="24">
        <v>504.0</v>
      </c>
      <c r="H9882" s="24">
        <v>676.0</v>
      </c>
      <c r="I9882" s="24">
        <v>2.0</v>
      </c>
      <c r="J9882" s="24">
        <v>0.0</v>
      </c>
      <c r="K9882" s="23" t="s">
        <v>34</v>
      </c>
      <c r="L9882" s="25">
        <v>39512.1268287037</v>
      </c>
      <c r="M9882" s="26" t="s">
        <v>5516</v>
      </c>
      <c r="N9882" s="26" t="s">
        <v>21383</v>
      </c>
      <c r="O9882" s="22" t="str">
        <f>HYPERLINK("https://pbs.twimg.com/profile_images/886876764693078017/aai7BvfK_normal.jpg","View")</f>
        <v>View</v>
      </c>
      <c r="P9882" s="27"/>
    </row>
    <row r="9883">
      <c r="A9883" s="14">
        <v>43032.13123842592</v>
      </c>
      <c r="B9883" s="20" t="str">
        <f>HYPERLINK("https://twitter.com/Bashir_Sabri","@Bashir_Sabri")</f>
        <v>@Bashir_Sabri</v>
      </c>
      <c r="C9883" s="21" t="s">
        <v>21366</v>
      </c>
      <c r="D9883" s="21" t="s">
        <v>21191</v>
      </c>
      <c r="E9883" s="22" t="str">
        <f>HYPERLINK("https://twitter.com/Bashir_Sabri/status/922766865620807680","922766865620807680")</f>
        <v>922766865620807680</v>
      </c>
      <c r="F9883" s="23" t="s">
        <v>86</v>
      </c>
      <c r="G9883" s="24">
        <v>161.0</v>
      </c>
      <c r="H9883" s="24">
        <v>420.0</v>
      </c>
      <c r="I9883" s="24">
        <v>42.0</v>
      </c>
      <c r="J9883" s="24">
        <v>0.0</v>
      </c>
      <c r="K9883" s="23" t="s">
        <v>34</v>
      </c>
      <c r="L9883" s="25">
        <v>41690.3915162037</v>
      </c>
      <c r="M9883" s="26" t="s">
        <v>11949</v>
      </c>
      <c r="N9883" s="26" t="s">
        <v>21192</v>
      </c>
      <c r="O9883" s="22" t="str">
        <f>HYPERLINK("https://pbs.twimg.com/profile_images/437112796677799936/jq-JxI10_normal.jpeg","View")</f>
        <v>View</v>
      </c>
      <c r="P9883" s="27"/>
    </row>
    <row r="9884">
      <c r="A9884" s="14">
        <v>43032.131261574075</v>
      </c>
      <c r="B9884" s="20" t="str">
        <f>HYPERLINK("https://twitter.com/hikosaemon","@hikosaemon")</f>
        <v>@hikosaemon</v>
      </c>
      <c r="C9884" s="21" t="s">
        <v>19547</v>
      </c>
      <c r="D9884" s="21" t="s">
        <v>21384</v>
      </c>
      <c r="E9884" s="22" t="str">
        <f>HYPERLINK("https://twitter.com/hikosaemon/status/922766874718457857","922766874718457857")</f>
        <v>922766874718457857</v>
      </c>
      <c r="F9884" s="23" t="s">
        <v>4619</v>
      </c>
      <c r="G9884" s="24">
        <v>10869.0</v>
      </c>
      <c r="H9884" s="24">
        <v>6719.0</v>
      </c>
      <c r="I9884" s="24">
        <v>0.0</v>
      </c>
      <c r="J9884" s="24">
        <v>0.0</v>
      </c>
      <c r="K9884" s="23" t="s">
        <v>34</v>
      </c>
      <c r="L9884" s="25">
        <v>39933.02936342593</v>
      </c>
      <c r="M9884" s="26" t="s">
        <v>923</v>
      </c>
      <c r="N9884" s="26" t="s">
        <v>19549</v>
      </c>
      <c r="O9884" s="22" t="str">
        <f>HYPERLINK("https://pbs.twimg.com/profile_images/667341467203993600/K4ONEP4k_normal.png","View")</f>
        <v>View</v>
      </c>
      <c r="P9884" s="27"/>
    </row>
    <row r="9885">
      <c r="A9885" s="14">
        <v>43032.131273148145</v>
      </c>
      <c r="B9885" s="20" t="str">
        <f>HYPERLINK("https://twitter.com/TessieLivingst1","@TessieLivingst1")</f>
        <v>@TessieLivingst1</v>
      </c>
      <c r="C9885" s="21" t="s">
        <v>21385</v>
      </c>
      <c r="D9885" s="21" t="s">
        <v>21202</v>
      </c>
      <c r="E9885" s="22" t="str">
        <f>HYPERLINK("https://twitter.com/TessieLivingst1/status/922766879541874688","922766879541874688")</f>
        <v>922766879541874688</v>
      </c>
      <c r="F9885" s="23" t="s">
        <v>86</v>
      </c>
      <c r="G9885" s="24">
        <v>41.0</v>
      </c>
      <c r="H9885" s="24">
        <v>75.0</v>
      </c>
      <c r="I9885" s="24">
        <v>79.0</v>
      </c>
      <c r="J9885" s="24">
        <v>0.0</v>
      </c>
      <c r="K9885" s="23" t="s">
        <v>34</v>
      </c>
      <c r="L9885" s="25">
        <v>41906.40238425926</v>
      </c>
      <c r="M9885" s="26" t="s">
        <v>11949</v>
      </c>
      <c r="N9885" s="26" t="s">
        <v>21386</v>
      </c>
      <c r="O9885" s="22" t="str">
        <f>HYPERLINK("https://pbs.twimg.com/profile_images/514816749980499969/OLFXqSnB_normal.jpeg","View")</f>
        <v>View</v>
      </c>
      <c r="P9885" s="27"/>
    </row>
    <row r="9886">
      <c r="A9886" s="14">
        <v>43032.1318287037</v>
      </c>
      <c r="B9886" s="20" t="str">
        <f>HYPERLINK("https://twitter.com/pearlene_motley","@pearlene_motley")</f>
        <v>@pearlene_motley</v>
      </c>
      <c r="C9886" s="21" t="s">
        <v>21387</v>
      </c>
      <c r="D9886" s="21" t="s">
        <v>21215</v>
      </c>
      <c r="E9886" s="22" t="str">
        <f>HYPERLINK("https://twitter.com/pearlene_motley/status/922767080482521088","922767080482521088")</f>
        <v>922767080482521088</v>
      </c>
      <c r="F9886" s="23" t="s">
        <v>86</v>
      </c>
      <c r="G9886" s="24">
        <v>131.0</v>
      </c>
      <c r="H9886" s="24">
        <v>89.0</v>
      </c>
      <c r="I9886" s="24">
        <v>39.0</v>
      </c>
      <c r="J9886" s="24">
        <v>0.0</v>
      </c>
      <c r="K9886" s="23" t="s">
        <v>34</v>
      </c>
      <c r="L9886" s="25">
        <v>41875.44085648148</v>
      </c>
      <c r="M9886" s="26" t="s">
        <v>21388</v>
      </c>
      <c r="N9886" s="26" t="s">
        <v>21329</v>
      </c>
      <c r="O9886" s="22" t="str">
        <f>HYPERLINK("https://pbs.twimg.com/profile_images/503626311097524225/zjZEvMpU_normal.jpeg","View")</f>
        <v>View</v>
      </c>
      <c r="P9886" s="27"/>
    </row>
    <row r="9887">
      <c r="A9887" s="14">
        <v>43032.13193287037</v>
      </c>
      <c r="B9887" s="20" t="str">
        <f>HYPERLINK("https://twitter.com/TessieLivingst1","@TessieLivingst1")</f>
        <v>@TessieLivingst1</v>
      </c>
      <c r="C9887" s="21" t="s">
        <v>21385</v>
      </c>
      <c r="D9887" s="21" t="s">
        <v>21203</v>
      </c>
      <c r="E9887" s="22" t="str">
        <f>HYPERLINK("https://twitter.com/TessieLivingst1/status/922767116570386433","922767116570386433")</f>
        <v>922767116570386433</v>
      </c>
      <c r="F9887" s="23" t="s">
        <v>86</v>
      </c>
      <c r="G9887" s="24">
        <v>41.0</v>
      </c>
      <c r="H9887" s="24">
        <v>75.0</v>
      </c>
      <c r="I9887" s="24">
        <v>75.0</v>
      </c>
      <c r="J9887" s="24">
        <v>0.0</v>
      </c>
      <c r="K9887" s="23" t="s">
        <v>34</v>
      </c>
      <c r="L9887" s="25">
        <v>41906.40238425926</v>
      </c>
      <c r="M9887" s="26" t="s">
        <v>11949</v>
      </c>
      <c r="N9887" s="26" t="s">
        <v>21386</v>
      </c>
      <c r="O9887" s="22" t="str">
        <f>HYPERLINK("https://pbs.twimg.com/profile_images/514816749980499969/OLFXqSnB_normal.jpeg","View")</f>
        <v>View</v>
      </c>
      <c r="P9887" s="27"/>
    </row>
    <row r="9888">
      <c r="A9888" s="14">
        <v>43032.131990740745</v>
      </c>
      <c r="B9888" s="20" t="str">
        <f>HYPERLINK("https://twitter.com/freedom4iranian","@freedom4iranian")</f>
        <v>@freedom4iranian</v>
      </c>
      <c r="C9888" s="21" t="s">
        <v>21381</v>
      </c>
      <c r="D9888" s="21" t="s">
        <v>21202</v>
      </c>
      <c r="E9888" s="22" t="str">
        <f>HYPERLINK("https://twitter.com/freedom4iranian/status/922767138544160769","922767138544160769")</f>
        <v>922767138544160769</v>
      </c>
      <c r="F9888" s="23" t="s">
        <v>86</v>
      </c>
      <c r="G9888" s="24">
        <v>537.0</v>
      </c>
      <c r="H9888" s="24">
        <v>400.0</v>
      </c>
      <c r="I9888" s="24">
        <v>79.0</v>
      </c>
      <c r="J9888" s="24">
        <v>0.0</v>
      </c>
      <c r="K9888" s="23" t="s">
        <v>34</v>
      </c>
      <c r="L9888" s="25">
        <v>41558.22740740741</v>
      </c>
      <c r="M9888" s="26" t="s">
        <v>21122</v>
      </c>
      <c r="N9888" s="26" t="s">
        <v>21088</v>
      </c>
      <c r="O9888" s="22" t="str">
        <f>HYPERLINK("https://pbs.twimg.com/profile_images/378800000588600803/2464083e454484f0fa97664bc93438cb_normal.jpeg","View")</f>
        <v>View</v>
      </c>
      <c r="P9888" s="27"/>
    </row>
    <row r="9889">
      <c r="A9889" s="14">
        <v>43032.13203703704</v>
      </c>
      <c r="B9889" s="20" t="str">
        <f>HYPERLINK("https://twitter.com/kartik_embedded","@kartik_embedded")</f>
        <v>@kartik_embedded</v>
      </c>
      <c r="C9889" s="21" t="s">
        <v>21389</v>
      </c>
      <c r="D9889" s="21" t="s">
        <v>42</v>
      </c>
      <c r="E9889" s="22" t="str">
        <f>HYPERLINK("https://twitter.com/kartik_embedded/status/922767155636121602","922767155636121602")</f>
        <v>922767155636121602</v>
      </c>
      <c r="F9889" s="23" t="s">
        <v>780</v>
      </c>
      <c r="G9889" s="24">
        <v>59.0</v>
      </c>
      <c r="H9889" s="24">
        <v>211.0</v>
      </c>
      <c r="I9889" s="24">
        <v>8501.0</v>
      </c>
      <c r="J9889" s="24">
        <v>0.0</v>
      </c>
      <c r="K9889" s="23" t="s">
        <v>34</v>
      </c>
      <c r="L9889" s="25">
        <v>40216.077627314815</v>
      </c>
      <c r="M9889" s="26" t="s">
        <v>1162</v>
      </c>
      <c r="N9889" s="26" t="s">
        <v>21390</v>
      </c>
      <c r="O9889" s="22" t="str">
        <f>HYPERLINK("https://pbs.twimg.com/profile_images/797218018841468928/8kCXpQWH_normal.jpg","View")</f>
        <v>View</v>
      </c>
      <c r="P9889" s="27"/>
    </row>
    <row r="9890">
      <c r="A9890" s="14">
        <v>43032.13208333333</v>
      </c>
      <c r="B9890" s="20" t="str">
        <f>HYPERLINK("https://twitter.com/lalarimando","@lalarimando")</f>
        <v>@lalarimando</v>
      </c>
      <c r="C9890" s="21" t="s">
        <v>18178</v>
      </c>
      <c r="D9890" s="21" t="s">
        <v>21391</v>
      </c>
      <c r="E9890" s="22" t="str">
        <f>HYPERLINK("https://twitter.com/lalarimando/status/922767171410972673","922767171410972673")</f>
        <v>922767171410972673</v>
      </c>
      <c r="F9890" s="23" t="s">
        <v>427</v>
      </c>
      <c r="G9890" s="24">
        <v>5286.0</v>
      </c>
      <c r="H9890" s="24">
        <v>1295.0</v>
      </c>
      <c r="I9890" s="24">
        <v>0.0</v>
      </c>
      <c r="J9890" s="24">
        <v>0.0</v>
      </c>
      <c r="K9890" s="23" t="s">
        <v>34</v>
      </c>
      <c r="L9890" s="25">
        <v>40023.02180555556</v>
      </c>
      <c r="M9890" s="26" t="s">
        <v>3327</v>
      </c>
      <c r="N9890" s="26" t="s">
        <v>18180</v>
      </c>
      <c r="O9890" s="22" t="str">
        <f>HYPERLINK("https://pbs.twimg.com/profile_images/521353699201789952/9wQe_mF6_normal.jpeg","View")</f>
        <v>View</v>
      </c>
      <c r="P9890" s="27"/>
    </row>
    <row r="9891">
      <c r="A9891" s="14">
        <v>43032.132314814815</v>
      </c>
      <c r="B9891" s="20" t="str">
        <f>HYPERLINK("https://twitter.com/Pratap06106124","@Pratap06106124")</f>
        <v>@Pratap06106124</v>
      </c>
      <c r="C9891" s="21" t="s">
        <v>21392</v>
      </c>
      <c r="D9891" s="21" t="s">
        <v>42</v>
      </c>
      <c r="E9891" s="22" t="str">
        <f>HYPERLINK("https://twitter.com/Pratap06106124/status/922767255632355328","922767255632355328")</f>
        <v>922767255632355328</v>
      </c>
      <c r="F9891" s="23" t="s">
        <v>33</v>
      </c>
      <c r="G9891" s="24">
        <v>1806.0</v>
      </c>
      <c r="H9891" s="24">
        <v>284.0</v>
      </c>
      <c r="I9891" s="24">
        <v>8501.0</v>
      </c>
      <c r="J9891" s="24">
        <v>0.0</v>
      </c>
      <c r="K9891" s="23" t="s">
        <v>34</v>
      </c>
      <c r="L9891" s="25">
        <v>42443.10775462963</v>
      </c>
      <c r="M9891" s="28"/>
      <c r="N9891" s="26" t="s">
        <v>21393</v>
      </c>
      <c r="O9891" s="22" t="str">
        <f>HYPERLINK("https://pbs.twimg.com/profile_images/715145473913393152/RTFMrYO9_normal.jpg","View")</f>
        <v>View</v>
      </c>
      <c r="P9891" s="27"/>
    </row>
    <row r="9892">
      <c r="A9892" s="14">
        <v>43032.13246527778</v>
      </c>
      <c r="B9892" s="20" t="str">
        <f>HYPERLINK("https://twitter.com/freedom4iranian","@freedom4iranian")</f>
        <v>@freedom4iranian</v>
      </c>
      <c r="C9892" s="21" t="s">
        <v>21381</v>
      </c>
      <c r="D9892" s="21" t="s">
        <v>21203</v>
      </c>
      <c r="E9892" s="22" t="str">
        <f>HYPERLINK("https://twitter.com/freedom4iranian/status/922767311743807489","922767311743807489")</f>
        <v>922767311743807489</v>
      </c>
      <c r="F9892" s="23" t="s">
        <v>86</v>
      </c>
      <c r="G9892" s="24">
        <v>537.0</v>
      </c>
      <c r="H9892" s="24">
        <v>400.0</v>
      </c>
      <c r="I9892" s="24">
        <v>75.0</v>
      </c>
      <c r="J9892" s="24">
        <v>0.0</v>
      </c>
      <c r="K9892" s="23" t="s">
        <v>34</v>
      </c>
      <c r="L9892" s="25">
        <v>41558.22740740741</v>
      </c>
      <c r="M9892" s="26" t="s">
        <v>21122</v>
      </c>
      <c r="N9892" s="26" t="s">
        <v>21088</v>
      </c>
      <c r="O9892" s="22" t="str">
        <f>HYPERLINK("https://pbs.twimg.com/profile_images/378800000588600803/2464083e454484f0fa97664bc93438cb_normal.jpeg","View")</f>
        <v>View</v>
      </c>
      <c r="P9892" s="27"/>
    </row>
    <row r="9893">
      <c r="A9893" s="14">
        <v>43032.13258101852</v>
      </c>
      <c r="B9893" s="20" t="str">
        <f t="shared" ref="B9893:B9894" si="205">HYPERLINK("https://twitter.com/TessieLivingst1","@TessieLivingst1")</f>
        <v>@TessieLivingst1</v>
      </c>
      <c r="C9893" s="21" t="s">
        <v>21385</v>
      </c>
      <c r="D9893" s="21" t="s">
        <v>21243</v>
      </c>
      <c r="E9893" s="22" t="str">
        <f>HYPERLINK("https://twitter.com/TessieLivingst1/status/922767353162682368","922767353162682368")</f>
        <v>922767353162682368</v>
      </c>
      <c r="F9893" s="23" t="s">
        <v>86</v>
      </c>
      <c r="G9893" s="24">
        <v>41.0</v>
      </c>
      <c r="H9893" s="24">
        <v>75.0</v>
      </c>
      <c r="I9893" s="24">
        <v>41.0</v>
      </c>
      <c r="J9893" s="24">
        <v>0.0</v>
      </c>
      <c r="K9893" s="23" t="s">
        <v>34</v>
      </c>
      <c r="L9893" s="25">
        <v>41906.40238425926</v>
      </c>
      <c r="M9893" s="26" t="s">
        <v>11949</v>
      </c>
      <c r="N9893" s="26" t="s">
        <v>21386</v>
      </c>
      <c r="O9893" s="22" t="str">
        <f t="shared" ref="O9893:O9894" si="206">HYPERLINK("https://pbs.twimg.com/profile_images/514816749980499969/OLFXqSnB_normal.jpeg","View")</f>
        <v>View</v>
      </c>
      <c r="P9893" s="27"/>
    </row>
    <row r="9894">
      <c r="A9894" s="14">
        <v>43032.13324074074</v>
      </c>
      <c r="B9894" s="20" t="str">
        <f t="shared" si="205"/>
        <v>@TessieLivingst1</v>
      </c>
      <c r="C9894" s="21" t="s">
        <v>21385</v>
      </c>
      <c r="D9894" s="21" t="s">
        <v>21191</v>
      </c>
      <c r="E9894" s="22" t="str">
        <f>HYPERLINK("https://twitter.com/TessieLivingst1/status/922767590044430337","922767590044430337")</f>
        <v>922767590044430337</v>
      </c>
      <c r="F9894" s="23" t="s">
        <v>86</v>
      </c>
      <c r="G9894" s="24">
        <v>41.0</v>
      </c>
      <c r="H9894" s="24">
        <v>75.0</v>
      </c>
      <c r="I9894" s="24">
        <v>42.0</v>
      </c>
      <c r="J9894" s="24">
        <v>0.0</v>
      </c>
      <c r="K9894" s="23" t="s">
        <v>34</v>
      </c>
      <c r="L9894" s="25">
        <v>41906.40238425926</v>
      </c>
      <c r="M9894" s="26" t="s">
        <v>11949</v>
      </c>
      <c r="N9894" s="26" t="s">
        <v>21386</v>
      </c>
      <c r="O9894" s="22" t="str">
        <f t="shared" si="206"/>
        <v>View</v>
      </c>
      <c r="P9894" s="27"/>
    </row>
    <row r="9895">
      <c r="A9895" s="14">
        <v>43032.13334490741</v>
      </c>
      <c r="B9895" s="20" t="str">
        <f>HYPERLINK("https://twitter.com/shagil_","@shagil_")</f>
        <v>@shagil_</v>
      </c>
      <c r="C9895" s="21" t="s">
        <v>21394</v>
      </c>
      <c r="D9895" s="21" t="s">
        <v>42</v>
      </c>
      <c r="E9895" s="22" t="str">
        <f>HYPERLINK("https://twitter.com/shagil_/status/922767626891177985","922767626891177985")</f>
        <v>922767626891177985</v>
      </c>
      <c r="F9895" s="23" t="s">
        <v>33</v>
      </c>
      <c r="G9895" s="24">
        <v>1783.0</v>
      </c>
      <c r="H9895" s="24">
        <v>394.0</v>
      </c>
      <c r="I9895" s="24">
        <v>8501.0</v>
      </c>
      <c r="J9895" s="24">
        <v>0.0</v>
      </c>
      <c r="K9895" s="23" t="s">
        <v>34</v>
      </c>
      <c r="L9895" s="25">
        <v>40201.2003125</v>
      </c>
      <c r="M9895" s="26" t="s">
        <v>204</v>
      </c>
      <c r="N9895" s="26" t="s">
        <v>204</v>
      </c>
      <c r="O9895" s="22" t="str">
        <f>HYPERLINK("https://pbs.twimg.com/profile_images/726846866621607936/b0dEDsmg_normal.jpg","View")</f>
        <v>View</v>
      </c>
      <c r="P9895" s="27"/>
    </row>
    <row r="9896">
      <c r="A9896" s="14">
        <v>43032.133368055554</v>
      </c>
      <c r="B9896" s="20" t="str">
        <f>HYPERLINK("https://twitter.com/wdkblogger","@wdkblogger")</f>
        <v>@wdkblogger</v>
      </c>
      <c r="C9896" s="21" t="s">
        <v>21395</v>
      </c>
      <c r="D9896" s="21" t="s">
        <v>16537</v>
      </c>
      <c r="E9896" s="22" t="str">
        <f>HYPERLINK("https://twitter.com/wdkblogger/status/922767638887063553","922767638887063553")</f>
        <v>922767638887063553</v>
      </c>
      <c r="F9896" s="23" t="s">
        <v>33</v>
      </c>
      <c r="G9896" s="24">
        <v>877.0</v>
      </c>
      <c r="H9896" s="24">
        <v>1493.0</v>
      </c>
      <c r="I9896" s="24">
        <v>242.0</v>
      </c>
      <c r="J9896" s="24">
        <v>0.0</v>
      </c>
      <c r="K9896" s="23" t="s">
        <v>34</v>
      </c>
      <c r="L9896" s="25">
        <v>39961.26892361111</v>
      </c>
      <c r="M9896" s="26" t="s">
        <v>21396</v>
      </c>
      <c r="N9896" s="26" t="s">
        <v>21397</v>
      </c>
      <c r="O9896" s="22" t="str">
        <f>HYPERLINK("https://pbs.twimg.com/profile_images/667770381395230720/QVMhfzPy_normal.png","View")</f>
        <v>View</v>
      </c>
      <c r="P9896" s="27"/>
    </row>
    <row r="9897">
      <c r="A9897" s="14">
        <v>43032.13344907407</v>
      </c>
      <c r="B9897" s="20" t="str">
        <f>HYPERLINK("https://twitter.com/JOHCMUK","@JOHCMUK")</f>
        <v>@JOHCMUK</v>
      </c>
      <c r="C9897" s="21" t="s">
        <v>21398</v>
      </c>
      <c r="D9897" s="21" t="s">
        <v>21399</v>
      </c>
      <c r="E9897" s="22" t="str">
        <f>HYPERLINK("https://twitter.com/JOHCMUK/status/922767668171759617","922767668171759617")</f>
        <v>922767668171759617</v>
      </c>
      <c r="F9897" s="23" t="s">
        <v>55</v>
      </c>
      <c r="G9897" s="24">
        <v>112.0</v>
      </c>
      <c r="H9897" s="24">
        <v>131.0</v>
      </c>
      <c r="I9897" s="24">
        <v>0.0</v>
      </c>
      <c r="J9897" s="24">
        <v>0.0</v>
      </c>
      <c r="K9897" s="23" t="s">
        <v>34</v>
      </c>
      <c r="L9897" s="25">
        <v>42166.189988425926</v>
      </c>
      <c r="M9897" s="26" t="s">
        <v>40</v>
      </c>
      <c r="N9897" s="26" t="s">
        <v>21400</v>
      </c>
      <c r="O9897" s="22" t="str">
        <f>HYPERLINK("https://pbs.twimg.com/profile_images/608962459953717248/m5s_UZrJ_normal.jpg","View")</f>
        <v>View</v>
      </c>
      <c r="P9897" s="27"/>
    </row>
    <row r="9898">
      <c r="A9898" s="14">
        <v>43032.133738425924</v>
      </c>
      <c r="B9898" s="20" t="str">
        <f>HYPERLINK("https://twitter.com/ShivamT94641457","@ShivamT94641457")</f>
        <v>@ShivamT94641457</v>
      </c>
      <c r="C9898" s="21" t="s">
        <v>21401</v>
      </c>
      <c r="D9898" s="21" t="s">
        <v>42</v>
      </c>
      <c r="E9898" s="22" t="str">
        <f>HYPERLINK("https://twitter.com/ShivamT94641457/status/922767769518723073","922767769518723073")</f>
        <v>922767769518723073</v>
      </c>
      <c r="F9898" s="23" t="s">
        <v>33</v>
      </c>
      <c r="G9898" s="24">
        <v>74.0</v>
      </c>
      <c r="H9898" s="24">
        <v>16.0</v>
      </c>
      <c r="I9898" s="24">
        <v>8501.0</v>
      </c>
      <c r="J9898" s="24">
        <v>0.0</v>
      </c>
      <c r="K9898" s="23" t="s">
        <v>34</v>
      </c>
      <c r="L9898" s="25">
        <v>42332.449953703705</v>
      </c>
      <c r="M9898" s="26" t="s">
        <v>2044</v>
      </c>
      <c r="N9898" s="26" t="s">
        <v>21402</v>
      </c>
      <c r="O9898" s="22" t="str">
        <f>HYPERLINK("https://pbs.twimg.com/profile_images/919896094166999040/I1VHKDV4_normal.jpg","View")</f>
        <v>View</v>
      </c>
      <c r="P9898" s="27"/>
    </row>
    <row r="9899">
      <c r="A9899" s="14">
        <v>43032.134097222224</v>
      </c>
      <c r="B9899" s="20" t="str">
        <f>HYPERLINK("https://twitter.com/KenWeinstein","@KenWeinstein")</f>
        <v>@KenWeinstein</v>
      </c>
      <c r="C9899" s="21" t="s">
        <v>21403</v>
      </c>
      <c r="D9899" s="21" t="s">
        <v>21404</v>
      </c>
      <c r="E9899" s="22" t="str">
        <f>HYPERLINK("https://twitter.com/KenWeinstein/status/922767899252707330","922767899252707330")</f>
        <v>922767899252707330</v>
      </c>
      <c r="F9899" s="23" t="s">
        <v>39</v>
      </c>
      <c r="G9899" s="24">
        <v>2250.0</v>
      </c>
      <c r="H9899" s="24">
        <v>1095.0</v>
      </c>
      <c r="I9899" s="24">
        <v>0.0</v>
      </c>
      <c r="J9899" s="24">
        <v>0.0</v>
      </c>
      <c r="K9899" s="23" t="s">
        <v>34</v>
      </c>
      <c r="L9899" s="25">
        <v>39966.55452546296</v>
      </c>
      <c r="M9899" s="26" t="s">
        <v>21405</v>
      </c>
      <c r="N9899" s="26" t="s">
        <v>21406</v>
      </c>
      <c r="O9899" s="22" t="str">
        <f>HYPERLINK("https://pbs.twimg.com/profile_images/717529045219598336/me3u4Rvt_normal.jpg","View")</f>
        <v>View</v>
      </c>
      <c r="P9899" s="27"/>
    </row>
    <row r="9900">
      <c r="A9900" s="14">
        <v>43032.134108796294</v>
      </c>
      <c r="B9900" s="20" t="str">
        <f>HYPERLINK("https://twitter.com/TNbbZJBe4VrJgyG","@TNbbZJBe4VrJgyG")</f>
        <v>@TNbbZJBe4VrJgyG</v>
      </c>
      <c r="C9900" s="21" t="s">
        <v>21407</v>
      </c>
      <c r="D9900" s="21" t="s">
        <v>20700</v>
      </c>
      <c r="E9900" s="22" t="str">
        <f>HYPERLINK("https://twitter.com/TNbbZJBe4VrJgyG/status/922767905304993792","922767905304993792")</f>
        <v>922767905304993792</v>
      </c>
      <c r="F9900" s="23" t="s">
        <v>55</v>
      </c>
      <c r="G9900" s="24">
        <v>15.0</v>
      </c>
      <c r="H9900" s="24">
        <v>27.0</v>
      </c>
      <c r="I9900" s="24">
        <v>27.0</v>
      </c>
      <c r="J9900" s="24">
        <v>0.0</v>
      </c>
      <c r="K9900" s="23" t="s">
        <v>34</v>
      </c>
      <c r="L9900" s="25">
        <v>42999.12351851852</v>
      </c>
      <c r="M9900" s="28"/>
      <c r="N9900" s="28"/>
      <c r="O9900" s="22" t="str">
        <f>HYPERLINK("https://abs.twimg.com/sticky/default_profile_images/default_profile_normal.png","View")</f>
        <v>View</v>
      </c>
      <c r="P9900" s="27"/>
    </row>
    <row r="9901">
      <c r="A9901" s="14">
        <v>43032.13418981481</v>
      </c>
      <c r="B9901" s="20" t="str">
        <f>HYPERLINK("https://twitter.com/Karim_Balochi","@Karim_Balochi")</f>
        <v>@Karim_Balochi</v>
      </c>
      <c r="C9901" s="21" t="s">
        <v>21408</v>
      </c>
      <c r="D9901" s="21" t="s">
        <v>21215</v>
      </c>
      <c r="E9901" s="22" t="str">
        <f>HYPERLINK("https://twitter.com/Karim_Balochi/status/922767936137216001","922767936137216001")</f>
        <v>922767936137216001</v>
      </c>
      <c r="F9901" s="23" t="s">
        <v>86</v>
      </c>
      <c r="G9901" s="24">
        <v>623.0</v>
      </c>
      <c r="H9901" s="24">
        <v>415.0</v>
      </c>
      <c r="I9901" s="24">
        <v>39.0</v>
      </c>
      <c r="J9901" s="24">
        <v>0.0</v>
      </c>
      <c r="K9901" s="23" t="s">
        <v>34</v>
      </c>
      <c r="L9901" s="25">
        <v>41710.26111111111</v>
      </c>
      <c r="M9901" s="26" t="s">
        <v>21122</v>
      </c>
      <c r="N9901" s="26" t="s">
        <v>21088</v>
      </c>
      <c r="O9901" s="22" t="str">
        <f>HYPERLINK("https://pbs.twimg.com/profile_images/443738579202621440/0gxacIYv_normal.jpeg","View")</f>
        <v>View</v>
      </c>
      <c r="P9901" s="27"/>
    </row>
    <row r="9902">
      <c r="A9902" s="14">
        <v>43032.13555555556</v>
      </c>
      <c r="B9902" s="20" t="str">
        <f>HYPERLINK("https://twitter.com/TheTruthArtists","@TheTruthArtists")</f>
        <v>@TheTruthArtists</v>
      </c>
      <c r="C9902" s="21" t="s">
        <v>12010</v>
      </c>
      <c r="D9902" s="21" t="s">
        <v>21409</v>
      </c>
      <c r="E9902" s="22" t="str">
        <f>HYPERLINK("https://twitter.com/TheTruthArtists/status/922768429819588609","922768429819588609")</f>
        <v>922768429819588609</v>
      </c>
      <c r="F9902" s="23" t="s">
        <v>48</v>
      </c>
      <c r="G9902" s="24">
        <v>313.0</v>
      </c>
      <c r="H9902" s="24">
        <v>47.0</v>
      </c>
      <c r="I9902" s="24">
        <v>0.0</v>
      </c>
      <c r="J9902" s="24">
        <v>0.0</v>
      </c>
      <c r="K9902" s="23" t="s">
        <v>34</v>
      </c>
      <c r="L9902" s="25">
        <v>41918.55987268519</v>
      </c>
      <c r="M9902" s="26" t="s">
        <v>12012</v>
      </c>
      <c r="N9902" s="26" t="s">
        <v>12013</v>
      </c>
      <c r="O9902" s="22" t="str">
        <f>HYPERLINK("https://pbs.twimg.com/profile_images/616415473828171776/GWoI531q_normal.png","View")</f>
        <v>View</v>
      </c>
      <c r="P9902" s="27"/>
    </row>
    <row r="9903">
      <c r="A9903" s="14">
        <v>43032.135729166665</v>
      </c>
      <c r="B9903" s="20" t="str">
        <f t="shared" ref="B9903:B9904" si="207">HYPERLINK("https://twitter.com/Karim_Balochi","@Karim_Balochi")</f>
        <v>@Karim_Balochi</v>
      </c>
      <c r="C9903" s="21" t="s">
        <v>21408</v>
      </c>
      <c r="D9903" s="21" t="s">
        <v>21202</v>
      </c>
      <c r="E9903" s="22" t="str">
        <f>HYPERLINK("https://twitter.com/Karim_Balochi/status/922768493493100544","922768493493100544")</f>
        <v>922768493493100544</v>
      </c>
      <c r="F9903" s="23" t="s">
        <v>86</v>
      </c>
      <c r="G9903" s="24">
        <v>623.0</v>
      </c>
      <c r="H9903" s="24">
        <v>415.0</v>
      </c>
      <c r="I9903" s="24">
        <v>79.0</v>
      </c>
      <c r="J9903" s="24">
        <v>0.0</v>
      </c>
      <c r="K9903" s="23" t="s">
        <v>34</v>
      </c>
      <c r="L9903" s="25">
        <v>41710.26111111111</v>
      </c>
      <c r="M9903" s="26" t="s">
        <v>21122</v>
      </c>
      <c r="N9903" s="26" t="s">
        <v>21088</v>
      </c>
      <c r="O9903" s="22" t="str">
        <f t="shared" ref="O9903:O9904" si="208">HYPERLINK("https://pbs.twimg.com/profile_images/443738579202621440/0gxacIYv_normal.jpeg","View")</f>
        <v>View</v>
      </c>
      <c r="P9903" s="27"/>
    </row>
    <row r="9904">
      <c r="A9904" s="14">
        <v>43032.1362037037</v>
      </c>
      <c r="B9904" s="20" t="str">
        <f t="shared" si="207"/>
        <v>@Karim_Balochi</v>
      </c>
      <c r="C9904" s="21" t="s">
        <v>21408</v>
      </c>
      <c r="D9904" s="21" t="s">
        <v>21203</v>
      </c>
      <c r="E9904" s="22" t="str">
        <f>HYPERLINK("https://twitter.com/Karim_Balochi/status/922768665807699969","922768665807699969")</f>
        <v>922768665807699969</v>
      </c>
      <c r="F9904" s="23" t="s">
        <v>86</v>
      </c>
      <c r="G9904" s="24">
        <v>623.0</v>
      </c>
      <c r="H9904" s="24">
        <v>415.0</v>
      </c>
      <c r="I9904" s="24">
        <v>75.0</v>
      </c>
      <c r="J9904" s="24">
        <v>0.0</v>
      </c>
      <c r="K9904" s="23" t="s">
        <v>34</v>
      </c>
      <c r="L9904" s="25">
        <v>41710.26111111111</v>
      </c>
      <c r="M9904" s="26" t="s">
        <v>21122</v>
      </c>
      <c r="N9904" s="26" t="s">
        <v>21088</v>
      </c>
      <c r="O9904" s="22" t="str">
        <f t="shared" si="208"/>
        <v>View</v>
      </c>
      <c r="P9904" s="27"/>
    </row>
    <row r="9905">
      <c r="A9905" s="14">
        <v>43032.13622685186</v>
      </c>
      <c r="B9905" s="20" t="str">
        <f>HYPERLINK("https://twitter.com/Legacy_Citizen","@Legacy_Citizen")</f>
        <v>@Legacy_Citizen</v>
      </c>
      <c r="C9905" s="21" t="s">
        <v>21410</v>
      </c>
      <c r="D9905" s="21" t="s">
        <v>21411</v>
      </c>
      <c r="E9905" s="22" t="str">
        <f>HYPERLINK("https://twitter.com/Legacy_Citizen/status/922768674133602304","922768674133602304")</f>
        <v>922768674133602304</v>
      </c>
      <c r="F9905" s="23" t="s">
        <v>55</v>
      </c>
      <c r="G9905" s="24">
        <v>952.0</v>
      </c>
      <c r="H9905" s="24">
        <v>2524.0</v>
      </c>
      <c r="I9905" s="24">
        <v>0.0</v>
      </c>
      <c r="J9905" s="24">
        <v>0.0</v>
      </c>
      <c r="K9905" s="23" t="s">
        <v>34</v>
      </c>
      <c r="L9905" s="25">
        <v>40978.322222222225</v>
      </c>
      <c r="M9905" s="28"/>
      <c r="N9905" s="26" t="s">
        <v>21412</v>
      </c>
      <c r="O9905" s="22" t="str">
        <f>HYPERLINK("https://pbs.twimg.com/profile_images/862070865965568000/7FpACIzX_normal.jpg","View")</f>
        <v>View</v>
      </c>
      <c r="P9905" s="27"/>
    </row>
    <row r="9906">
      <c r="A9906" s="14">
        <v>43032.136296296296</v>
      </c>
      <c r="B9906" s="20" t="str">
        <f>HYPERLINK("https://twitter.com/business","@business")</f>
        <v>@business</v>
      </c>
      <c r="C9906" s="21" t="s">
        <v>3937</v>
      </c>
      <c r="D9906" s="21" t="s">
        <v>21413</v>
      </c>
      <c r="E9906" s="22" t="str">
        <f>HYPERLINK("https://twitter.com/business/status/922768700167675904","922768700167675904")</f>
        <v>922768700167675904</v>
      </c>
      <c r="F9906" s="30" t="s">
        <v>2744</v>
      </c>
      <c r="G9906" s="24">
        <v>4337401.0</v>
      </c>
      <c r="H9906" s="24">
        <v>1088.0</v>
      </c>
      <c r="I9906" s="24">
        <v>16.0</v>
      </c>
      <c r="J9906" s="24">
        <v>32.0</v>
      </c>
      <c r="K9906" s="23" t="s">
        <v>34</v>
      </c>
      <c r="L9906" s="25">
        <v>39926.545335648145</v>
      </c>
      <c r="M9906" s="26" t="s">
        <v>3939</v>
      </c>
      <c r="N9906" s="26" t="s">
        <v>3940</v>
      </c>
      <c r="O9906" s="22" t="str">
        <f>HYPERLINK("https://pbs.twimg.com/profile_images/714946924105883648/4fgNVF4H_normal.jpg","View")</f>
        <v>View</v>
      </c>
      <c r="P9906" s="27"/>
    </row>
    <row r="9907">
      <c r="A9907" s="14">
        <v>43032.136354166665</v>
      </c>
      <c r="B9907" s="20" t="str">
        <f>HYPERLINK("https://twitter.com/shailendra_nair","@shailendra_nair")</f>
        <v>@shailendra_nair</v>
      </c>
      <c r="C9907" s="21" t="s">
        <v>4072</v>
      </c>
      <c r="D9907" s="21" t="s">
        <v>21414</v>
      </c>
      <c r="E9907" s="22" t="str">
        <f>HYPERLINK("https://twitter.com/shailendra_nair/status/922768718094102528","922768718094102528")</f>
        <v>922768718094102528</v>
      </c>
      <c r="F9907" s="23" t="s">
        <v>187</v>
      </c>
      <c r="G9907" s="24">
        <v>3990.0</v>
      </c>
      <c r="H9907" s="24">
        <v>1041.0</v>
      </c>
      <c r="I9907" s="24">
        <v>0.0</v>
      </c>
      <c r="J9907" s="24">
        <v>0.0</v>
      </c>
      <c r="K9907" s="23" t="s">
        <v>34</v>
      </c>
      <c r="L9907" s="25">
        <v>40362.43798611111</v>
      </c>
      <c r="M9907" s="26" t="s">
        <v>246</v>
      </c>
      <c r="N9907" s="26" t="s">
        <v>4074</v>
      </c>
      <c r="O9907" s="22" t="str">
        <f>HYPERLINK("https://pbs.twimg.com/profile_images/884758468879466497/M_w6UjD3_normal.jpg","View")</f>
        <v>View</v>
      </c>
      <c r="P9907" s="27"/>
    </row>
    <row r="9908">
      <c r="A9908" s="14">
        <v>43032.13640046296</v>
      </c>
      <c r="B9908" s="20" t="str">
        <f>HYPERLINK("https://twitter.com/mlnangalama","@mlnangalama")</f>
        <v>@mlnangalama</v>
      </c>
      <c r="C9908" s="21" t="s">
        <v>925</v>
      </c>
      <c r="D9908" s="21" t="s">
        <v>21415</v>
      </c>
      <c r="E9908" s="22" t="str">
        <f>HYPERLINK("https://twitter.com/mlnangalama/status/922768733826895872","922768733826895872")</f>
        <v>922768733826895872</v>
      </c>
      <c r="F9908" s="23" t="s">
        <v>187</v>
      </c>
      <c r="G9908" s="24">
        <v>2366.0</v>
      </c>
      <c r="H9908" s="24">
        <v>1582.0</v>
      </c>
      <c r="I9908" s="24">
        <v>0.0</v>
      </c>
      <c r="J9908" s="24">
        <v>0.0</v>
      </c>
      <c r="K9908" s="23" t="s">
        <v>34</v>
      </c>
      <c r="L9908" s="25">
        <v>41041.54378472222</v>
      </c>
      <c r="M9908" s="26" t="s">
        <v>927</v>
      </c>
      <c r="N9908" s="26" t="s">
        <v>928</v>
      </c>
      <c r="O9908" s="22" t="str">
        <f>HYPERLINK("https://pbs.twimg.com/profile_images/900915882444173313/biUHzvpx_normal.jpg","View")</f>
        <v>View</v>
      </c>
      <c r="P9908" s="27"/>
    </row>
    <row r="9909">
      <c r="A9909" s="14">
        <v>43032.13693287037</v>
      </c>
      <c r="B9909" s="20" t="str">
        <f>HYPERLINK("https://twitter.com/WalskWarn","@WalskWarn")</f>
        <v>@WalskWarn</v>
      </c>
      <c r="C9909" s="21" t="s">
        <v>21416</v>
      </c>
      <c r="D9909" s="21" t="s">
        <v>21417</v>
      </c>
      <c r="E9909" s="22" t="str">
        <f>HYPERLINK("https://twitter.com/WalskWarn/status/922768930577567749","922768930577567749")</f>
        <v>922768930577567749</v>
      </c>
      <c r="F9909" s="23" t="s">
        <v>43</v>
      </c>
      <c r="G9909" s="24">
        <v>53.0</v>
      </c>
      <c r="H9909" s="24">
        <v>222.0</v>
      </c>
      <c r="I9909" s="24">
        <v>16.0</v>
      </c>
      <c r="J9909" s="24">
        <v>0.0</v>
      </c>
      <c r="K9909" s="23" t="s">
        <v>34</v>
      </c>
      <c r="L9909" s="25">
        <v>41288.5725</v>
      </c>
      <c r="M9909" s="28"/>
      <c r="N9909" s="26" t="s">
        <v>21418</v>
      </c>
      <c r="O9909" s="22" t="str">
        <f>HYPERLINK("https://pbs.twimg.com/profile_images/830967314556342272/CPoR3wdU_normal.jpg","View")</f>
        <v>View</v>
      </c>
      <c r="P9909" s="27"/>
    </row>
    <row r="9910">
      <c r="A9910" s="14">
        <v>43032.13765046296</v>
      </c>
      <c r="B9910" s="20" t="str">
        <f>HYPERLINK("https://twitter.com/YashGoshar","@YashGoshar")</f>
        <v>@YashGoshar</v>
      </c>
      <c r="C9910" s="21" t="s">
        <v>21419</v>
      </c>
      <c r="D9910" s="21" t="s">
        <v>42</v>
      </c>
      <c r="E9910" s="22" t="str">
        <f>HYPERLINK("https://twitter.com/YashGoshar/status/922769189655285760","922769189655285760")</f>
        <v>922769189655285760</v>
      </c>
      <c r="F9910" s="23" t="s">
        <v>33</v>
      </c>
      <c r="G9910" s="24">
        <v>15773.0</v>
      </c>
      <c r="H9910" s="24">
        <v>15378.0</v>
      </c>
      <c r="I9910" s="24">
        <v>8501.0</v>
      </c>
      <c r="J9910" s="24">
        <v>0.0</v>
      </c>
      <c r="K9910" s="23" t="s">
        <v>34</v>
      </c>
      <c r="L9910" s="25">
        <v>40940.45136574074</v>
      </c>
      <c r="M9910" s="26" t="s">
        <v>6483</v>
      </c>
      <c r="N9910" s="26" t="s">
        <v>21420</v>
      </c>
      <c r="O9910" s="22" t="str">
        <f>HYPERLINK("https://pbs.twimg.com/profile_images/739319884975247360/xv9thehm_normal.jpg","View")</f>
        <v>View</v>
      </c>
      <c r="P9910" s="27"/>
    </row>
    <row r="9911">
      <c r="A9911" s="14">
        <v>43032.13773148148</v>
      </c>
      <c r="B9911" s="20" t="str">
        <f>HYPERLINK("https://twitter.com/jaimeotero_","@jaimeotero_")</f>
        <v>@jaimeotero_</v>
      </c>
      <c r="C9911" s="21" t="s">
        <v>3960</v>
      </c>
      <c r="D9911" s="21" t="s">
        <v>21421</v>
      </c>
      <c r="E9911" s="22" t="str">
        <f>HYPERLINK("https://twitter.com/jaimeotero_/status/922769216859762688","922769216859762688")</f>
        <v>922769216859762688</v>
      </c>
      <c r="F9911" s="23" t="s">
        <v>187</v>
      </c>
      <c r="G9911" s="24">
        <v>34534.0</v>
      </c>
      <c r="H9911" s="24">
        <v>31264.0</v>
      </c>
      <c r="I9911" s="24">
        <v>1.0</v>
      </c>
      <c r="J9911" s="24">
        <v>1.0</v>
      </c>
      <c r="K9911" s="23" t="s">
        <v>34</v>
      </c>
      <c r="L9911" s="25">
        <v>42531.01219907407</v>
      </c>
      <c r="M9911" s="26" t="s">
        <v>3962</v>
      </c>
      <c r="N9911" s="26" t="s">
        <v>3963</v>
      </c>
      <c r="O9911" s="22" t="str">
        <f>HYPERLINK("https://pbs.twimg.com/profile_images/849817561281818626/acAU04SD_normal.jpg","View")</f>
        <v>View</v>
      </c>
      <c r="P9911" s="27"/>
    </row>
    <row r="9912">
      <c r="A9912" s="14">
        <v>43032.13773148148</v>
      </c>
      <c r="B9912" s="20" t="str">
        <f>HYPERLINK("https://twitter.com/kyennekeith","@kyennekeith")</f>
        <v>@kyennekeith</v>
      </c>
      <c r="C9912" s="21" t="s">
        <v>21422</v>
      </c>
      <c r="D9912" s="21" t="s">
        <v>21417</v>
      </c>
      <c r="E9912" s="22" t="str">
        <f>HYPERLINK("https://twitter.com/kyennekeith/status/922769220277903360","922769220277903360")</f>
        <v>922769220277903360</v>
      </c>
      <c r="F9912" s="23" t="s">
        <v>55</v>
      </c>
      <c r="G9912" s="24">
        <v>369.0</v>
      </c>
      <c r="H9912" s="24">
        <v>522.0</v>
      </c>
      <c r="I9912" s="24">
        <v>16.0</v>
      </c>
      <c r="J9912" s="24">
        <v>0.0</v>
      </c>
      <c r="K9912" s="23" t="s">
        <v>34</v>
      </c>
      <c r="L9912" s="25">
        <v>39922.41633101852</v>
      </c>
      <c r="M9912" s="26" t="s">
        <v>21423</v>
      </c>
      <c r="N9912" s="26" t="s">
        <v>21424</v>
      </c>
      <c r="O9912" s="22" t="str">
        <f>HYPERLINK("https://pbs.twimg.com/profile_images/907079478676881408/Fi8XpKKY_normal.jpg","View")</f>
        <v>View</v>
      </c>
      <c r="P9912" s="27"/>
    </row>
    <row r="9913">
      <c r="A9913" s="14">
        <v>43032.13788194444</v>
      </c>
      <c r="B9913" s="20" t="str">
        <f>HYPERLINK("https://twitter.com/DelMrsn89578","@DelMrsn89578")</f>
        <v>@DelMrsn89578</v>
      </c>
      <c r="C9913" s="21" t="s">
        <v>21425</v>
      </c>
      <c r="D9913" s="21" t="s">
        <v>21426</v>
      </c>
      <c r="E9913" s="22" t="str">
        <f>HYPERLINK("https://twitter.com/DelMrsn89578/status/922769274057449472","922769274057449472")</f>
        <v>922769274057449472</v>
      </c>
      <c r="F9913" s="23" t="s">
        <v>33</v>
      </c>
      <c r="G9913" s="24">
        <v>2188.0</v>
      </c>
      <c r="H9913" s="24">
        <v>3614.0</v>
      </c>
      <c r="I9913" s="24">
        <v>1.0</v>
      </c>
      <c r="J9913" s="24">
        <v>0.0</v>
      </c>
      <c r="K9913" s="23" t="s">
        <v>34</v>
      </c>
      <c r="L9913" s="25">
        <v>41498.035775462966</v>
      </c>
      <c r="M9913" s="28"/>
      <c r="N9913" s="26" t="s">
        <v>21427</v>
      </c>
      <c r="O9913" s="22" t="str">
        <f>HYPERLINK("https://pbs.twimg.com/profile_images/616014622454321153/jiSAn3P__normal.jpg","View")</f>
        <v>View</v>
      </c>
      <c r="P9913" s="27"/>
    </row>
    <row r="9914">
      <c r="A9914" s="14">
        <v>43032.13798611111</v>
      </c>
      <c r="B9914" s="20" t="str">
        <f>HYPERLINK("https://twitter.com/piedad_bright","@piedad_bright")</f>
        <v>@piedad_bright</v>
      </c>
      <c r="C9914" s="21" t="s">
        <v>21428</v>
      </c>
      <c r="D9914" s="21" t="s">
        <v>21215</v>
      </c>
      <c r="E9914" s="22" t="str">
        <f>HYPERLINK("https://twitter.com/piedad_bright/status/922769311596347393","922769311596347393")</f>
        <v>922769311596347393</v>
      </c>
      <c r="F9914" s="23" t="s">
        <v>86</v>
      </c>
      <c r="G9914" s="24">
        <v>297.0</v>
      </c>
      <c r="H9914" s="24">
        <v>84.0</v>
      </c>
      <c r="I9914" s="24">
        <v>39.0</v>
      </c>
      <c r="J9914" s="24">
        <v>0.0</v>
      </c>
      <c r="K9914" s="23" t="s">
        <v>34</v>
      </c>
      <c r="L9914" s="25">
        <v>41854.469930555555</v>
      </c>
      <c r="M9914" s="26" t="s">
        <v>68</v>
      </c>
      <c r="N9914" s="26" t="s">
        <v>21429</v>
      </c>
      <c r="O9914" s="22" t="str">
        <f>HYPERLINK("https://pbs.twimg.com/profile_images/499604925748240384/bkUA4xVH_normal.jpeg","View")</f>
        <v>View</v>
      </c>
      <c r="P9914" s="27"/>
    </row>
    <row r="9915">
      <c r="A9915" s="14">
        <v>43032.13802083333</v>
      </c>
      <c r="B9915" s="20" t="str">
        <f>HYPERLINK("https://twitter.com/udyan123","@udyan123")</f>
        <v>@udyan123</v>
      </c>
      <c r="C9915" s="21" t="s">
        <v>21430</v>
      </c>
      <c r="D9915" s="21" t="s">
        <v>42</v>
      </c>
      <c r="E9915" s="22" t="str">
        <f>HYPERLINK("https://twitter.com/udyan123/status/922769323189354497","922769323189354497")</f>
        <v>922769323189354497</v>
      </c>
      <c r="F9915" s="23" t="s">
        <v>33</v>
      </c>
      <c r="G9915" s="24">
        <v>958.0</v>
      </c>
      <c r="H9915" s="24">
        <v>1664.0</v>
      </c>
      <c r="I9915" s="24">
        <v>8501.0</v>
      </c>
      <c r="J9915" s="24">
        <v>0.0</v>
      </c>
      <c r="K9915" s="23" t="s">
        <v>34</v>
      </c>
      <c r="L9915" s="25">
        <v>40586.85288194445</v>
      </c>
      <c r="M9915" s="26" t="s">
        <v>21431</v>
      </c>
      <c r="N9915" s="26" t="s">
        <v>21432</v>
      </c>
      <c r="O9915" s="22" t="str">
        <f>HYPERLINK("https://pbs.twimg.com/profile_images/660709177690468353/BWUyj3Ew_normal.jpg","View")</f>
        <v>View</v>
      </c>
      <c r="P9915" s="27"/>
    </row>
    <row r="9916">
      <c r="A9916" s="14">
        <v>43032.13804398148</v>
      </c>
      <c r="B9916" s="20" t="str">
        <f>HYPERLINK("https://twitter.com/MsMaddieGonzale","@MsMaddieGonzale")</f>
        <v>@MsMaddieGonzale</v>
      </c>
      <c r="C9916" s="21" t="s">
        <v>21433</v>
      </c>
      <c r="D9916" s="21" t="s">
        <v>21261</v>
      </c>
      <c r="E9916" s="22" t="str">
        <f>HYPERLINK("https://twitter.com/MsMaddieGonzale/status/922769332727291905","922769332727291905")</f>
        <v>922769332727291905</v>
      </c>
      <c r="F9916" s="23" t="s">
        <v>43</v>
      </c>
      <c r="G9916" s="24">
        <v>740.0</v>
      </c>
      <c r="H9916" s="24">
        <v>633.0</v>
      </c>
      <c r="I9916" s="24">
        <v>11.0</v>
      </c>
      <c r="J9916" s="24">
        <v>0.0</v>
      </c>
      <c r="K9916" s="23" t="s">
        <v>34</v>
      </c>
      <c r="L9916" s="25">
        <v>41062.83799768519</v>
      </c>
      <c r="M9916" s="26" t="s">
        <v>6779</v>
      </c>
      <c r="N9916" s="26" t="s">
        <v>21434</v>
      </c>
      <c r="O9916" s="22" t="str">
        <f>HYPERLINK("https://pbs.twimg.com/profile_images/378800000208867420/880edbb8df430cf5a5c2a22c93e1a671_normal.jpeg","View")</f>
        <v>View</v>
      </c>
      <c r="P9916" s="27"/>
    </row>
    <row r="9917">
      <c r="A9917" s="14">
        <v>43032.138449074075</v>
      </c>
      <c r="B9917" s="20" t="str">
        <f>HYPERLINK("https://twitter.com/serge_poznanski","@serge_poznanski")</f>
        <v>@serge_poznanski</v>
      </c>
      <c r="C9917" s="21" t="s">
        <v>2763</v>
      </c>
      <c r="D9917" s="21" t="s">
        <v>21435</v>
      </c>
      <c r="E9917" s="22" t="str">
        <f>HYPERLINK("https://twitter.com/serge_poznanski/status/922769476910764033","922769476910764033")</f>
        <v>922769476910764033</v>
      </c>
      <c r="F9917" s="23" t="s">
        <v>187</v>
      </c>
      <c r="G9917" s="24">
        <v>1438.0</v>
      </c>
      <c r="H9917" s="24">
        <v>2138.0</v>
      </c>
      <c r="I9917" s="24">
        <v>0.0</v>
      </c>
      <c r="J9917" s="24">
        <v>0.0</v>
      </c>
      <c r="K9917" s="23" t="s">
        <v>34</v>
      </c>
      <c r="L9917" s="25">
        <v>42271.47445601852</v>
      </c>
      <c r="M9917" s="28"/>
      <c r="N9917" s="28"/>
      <c r="O9917" s="22" t="str">
        <f>HYPERLINK("https://pbs.twimg.com/profile_images/647277253240291328/3GezjFCJ_normal.jpg","View")</f>
        <v>View</v>
      </c>
      <c r="P9917" s="27"/>
    </row>
    <row r="9918">
      <c r="A9918" s="14">
        <v>43032.13857638889</v>
      </c>
      <c r="B9918" s="20" t="str">
        <f>HYPERLINK("https://twitter.com/bdnews24","@bdnews24")</f>
        <v>@bdnews24</v>
      </c>
      <c r="C9918" s="21" t="s">
        <v>831</v>
      </c>
      <c r="D9918" s="21" t="s">
        <v>21436</v>
      </c>
      <c r="E9918" s="22" t="str">
        <f>HYPERLINK("https://twitter.com/bdnews24/status/922769522708369411","922769522708369411")</f>
        <v>922769522708369411</v>
      </c>
      <c r="F9918" s="23" t="s">
        <v>187</v>
      </c>
      <c r="G9918" s="24">
        <v>215300.0</v>
      </c>
      <c r="H9918" s="24">
        <v>67843.0</v>
      </c>
      <c r="I9918" s="24">
        <v>0.0</v>
      </c>
      <c r="J9918" s="24">
        <v>0.0</v>
      </c>
      <c r="K9918" s="23" t="s">
        <v>34</v>
      </c>
      <c r="L9918" s="25">
        <v>39844.468043981484</v>
      </c>
      <c r="M9918" s="26" t="s">
        <v>833</v>
      </c>
      <c r="N9918" s="26" t="s">
        <v>834</v>
      </c>
      <c r="O9918" s="22" t="str">
        <f>HYPERLINK("https://pbs.twimg.com/profile_images/718433521509994497/4iW9RC_r_normal.jpg","View")</f>
        <v>View</v>
      </c>
      <c r="P9918" s="27"/>
    </row>
    <row r="9919">
      <c r="A9919" s="14">
        <v>43032.138819444444</v>
      </c>
      <c r="B9919" s="20" t="str">
        <f>HYPERLINK("https://twitter.com/fremo","@fremo")</f>
        <v>@fremo</v>
      </c>
      <c r="C9919" s="21" t="s">
        <v>21437</v>
      </c>
      <c r="D9919" s="21" t="s">
        <v>32</v>
      </c>
      <c r="E9919" s="22" t="str">
        <f>HYPERLINK("https://twitter.com/fremo/status/922769614131662848","922769614131662848")</f>
        <v>922769614131662848</v>
      </c>
      <c r="F9919" s="23" t="s">
        <v>33</v>
      </c>
      <c r="G9919" s="24">
        <v>854.0</v>
      </c>
      <c r="H9919" s="24">
        <v>2399.0</v>
      </c>
      <c r="I9919" s="24">
        <v>471.0</v>
      </c>
      <c r="J9919" s="24">
        <v>0.0</v>
      </c>
      <c r="K9919" s="23" t="s">
        <v>34</v>
      </c>
      <c r="L9919" s="25">
        <v>39897.39635416667</v>
      </c>
      <c r="M9919" s="26" t="s">
        <v>114</v>
      </c>
      <c r="N9919" s="26" t="s">
        <v>21438</v>
      </c>
      <c r="O9919" s="22" t="str">
        <f>HYPERLINK("https://pbs.twimg.com/profile_images/790861004406218752/6ciN62Qg_normal.jpg","View")</f>
        <v>View</v>
      </c>
      <c r="P9919" s="27"/>
    </row>
    <row r="9920">
      <c r="A9920" s="14">
        <v>43032.13916666667</v>
      </c>
      <c r="B9920" s="20" t="str">
        <f>HYPERLINK("https://twitter.com/IanHanke","@IanHanke")</f>
        <v>@IanHanke</v>
      </c>
      <c r="C9920" s="21" t="s">
        <v>21439</v>
      </c>
      <c r="D9920" s="21" t="s">
        <v>21417</v>
      </c>
      <c r="E9920" s="22" t="str">
        <f>HYPERLINK("https://twitter.com/IanHanke/status/922769737116934145","922769737116934145")</f>
        <v>922769737116934145</v>
      </c>
      <c r="F9920" s="23" t="s">
        <v>43</v>
      </c>
      <c r="G9920" s="24">
        <v>1643.0</v>
      </c>
      <c r="H9920" s="24">
        <v>511.0</v>
      </c>
      <c r="I9920" s="24">
        <v>16.0</v>
      </c>
      <c r="J9920" s="24">
        <v>0.0</v>
      </c>
      <c r="K9920" s="23" t="s">
        <v>34</v>
      </c>
      <c r="L9920" s="25">
        <v>39958.95512731482</v>
      </c>
      <c r="M9920" s="26" t="s">
        <v>3011</v>
      </c>
      <c r="N9920" s="26" t="s">
        <v>21440</v>
      </c>
      <c r="O9920" s="22" t="str">
        <f>HYPERLINK("https://pbs.twimg.com/profile_images/872642853394030592/sSFvxo5r_normal.jpg","View")</f>
        <v>View</v>
      </c>
      <c r="P9920" s="27"/>
    </row>
    <row r="9921">
      <c r="A9921" s="14">
        <v>43032.139189814814</v>
      </c>
      <c r="B9921" s="20" t="str">
        <f>HYPERLINK("https://twitter.com/Bullish","@Bullish")</f>
        <v>@Bullish</v>
      </c>
      <c r="C9921" s="21" t="s">
        <v>2943</v>
      </c>
      <c r="D9921" s="21" t="s">
        <v>21441</v>
      </c>
      <c r="E9921" s="22" t="str">
        <f>HYPERLINK("https://twitter.com/Bullish/status/922769745027444737","922769745027444737")</f>
        <v>922769745027444737</v>
      </c>
      <c r="F9921" s="23" t="s">
        <v>187</v>
      </c>
      <c r="G9921" s="24">
        <v>184.0</v>
      </c>
      <c r="H9921" s="24">
        <v>87.0</v>
      </c>
      <c r="I9921" s="24">
        <v>0.0</v>
      </c>
      <c r="J9921" s="24">
        <v>0.0</v>
      </c>
      <c r="K9921" s="23" t="s">
        <v>34</v>
      </c>
      <c r="L9921" s="25">
        <v>42618.75304398148</v>
      </c>
      <c r="M9921" s="28"/>
      <c r="N9921" s="28"/>
      <c r="O9921" s="22" t="str">
        <f>HYPERLINK("https://pbs.twimg.com/profile_images/798692093736599552/UikI9dNE_normal.jpg","View")</f>
        <v>View</v>
      </c>
      <c r="P9921" s="27"/>
    </row>
    <row r="9922">
      <c r="A9922" s="14">
        <v>43032.139652777776</v>
      </c>
      <c r="B9922" s="20" t="str">
        <f>HYPERLINK("https://twitter.com/washi90","@washi90")</f>
        <v>@washi90</v>
      </c>
      <c r="C9922" s="21" t="s">
        <v>21442</v>
      </c>
      <c r="D9922" s="21" t="s">
        <v>17269</v>
      </c>
      <c r="E9922" s="22" t="str">
        <f>HYPERLINK("https://twitter.com/washi90/status/922769912770080768","922769912770080768")</f>
        <v>922769912770080768</v>
      </c>
      <c r="F9922" s="23" t="s">
        <v>33</v>
      </c>
      <c r="G9922" s="24">
        <v>222.0</v>
      </c>
      <c r="H9922" s="24">
        <v>1862.0</v>
      </c>
      <c r="I9922" s="24">
        <v>2.0</v>
      </c>
      <c r="J9922" s="24">
        <v>0.0</v>
      </c>
      <c r="K9922" s="23" t="s">
        <v>34</v>
      </c>
      <c r="L9922" s="25">
        <v>40028.612233796295</v>
      </c>
      <c r="M9922" s="28"/>
      <c r="N9922" s="28"/>
      <c r="O9922" s="22" t="str">
        <f>HYPERLINK("https://pbs.twimg.com/profile_images/822615344154112002/WzbC6M9j_normal.jpg","View")</f>
        <v>View</v>
      </c>
      <c r="P9922" s="27"/>
    </row>
    <row r="9923">
      <c r="A9923" s="14">
        <v>43032.14003472222</v>
      </c>
      <c r="B9923" s="20" t="str">
        <f>HYPERLINK("https://twitter.com/OurMissingNews_","@OurMissingNews_")</f>
        <v>@OurMissingNews_</v>
      </c>
      <c r="C9923" s="21" t="s">
        <v>18643</v>
      </c>
      <c r="D9923" s="21" t="s">
        <v>21443</v>
      </c>
      <c r="E9923" s="22" t="str">
        <f>HYPERLINK("https://twitter.com/OurMissingNews_/status/922770051580776449","922770051580776449")</f>
        <v>922770051580776449</v>
      </c>
      <c r="F9923" s="23" t="s">
        <v>55</v>
      </c>
      <c r="G9923" s="24">
        <v>280.0</v>
      </c>
      <c r="H9923" s="24">
        <v>9.0</v>
      </c>
      <c r="I9923" s="24">
        <v>0.0</v>
      </c>
      <c r="J9923" s="24">
        <v>0.0</v>
      </c>
      <c r="K9923" s="23" t="s">
        <v>34</v>
      </c>
      <c r="L9923" s="25">
        <v>40126.876180555555</v>
      </c>
      <c r="M9923" s="26" t="s">
        <v>2534</v>
      </c>
      <c r="N9923" s="26" t="s">
        <v>18645</v>
      </c>
      <c r="O9923" s="22" t="str">
        <f>HYPERLINK("https://pbs.twimg.com/profile_images/689197140283944961/xflx5LeE_normal.jpg","View")</f>
        <v>View</v>
      </c>
      <c r="P9923" s="27"/>
    </row>
    <row r="9924">
      <c r="A9924" s="14">
        <v>43032.14013888889</v>
      </c>
      <c r="B9924" s="20" t="str">
        <f>HYPERLINK("https://twitter.com/bkdugar","@bkdugar")</f>
        <v>@bkdugar</v>
      </c>
      <c r="C9924" s="21" t="s">
        <v>21444</v>
      </c>
      <c r="D9924" s="21" t="s">
        <v>21445</v>
      </c>
      <c r="E9924" s="22" t="str">
        <f>HYPERLINK("https://twitter.com/bkdugar/status/922770089715236864","922770089715236864")</f>
        <v>922770089715236864</v>
      </c>
      <c r="F9924" s="23" t="s">
        <v>55</v>
      </c>
      <c r="G9924" s="24">
        <v>44.0</v>
      </c>
      <c r="H9924" s="24">
        <v>189.0</v>
      </c>
      <c r="I9924" s="24">
        <v>0.0</v>
      </c>
      <c r="J9924" s="24">
        <v>0.0</v>
      </c>
      <c r="K9924" s="23" t="s">
        <v>34</v>
      </c>
      <c r="L9924" s="25">
        <v>40727.64114583333</v>
      </c>
      <c r="M9924" s="28"/>
      <c r="N9924" s="28"/>
      <c r="O9924" s="22" t="str">
        <f>HYPERLINK("https://pbs.twimg.com/profile_images/799582456814764032/DHdRms9D_normal.jpg","View")</f>
        <v>View</v>
      </c>
      <c r="P9924" s="27"/>
    </row>
    <row r="9925">
      <c r="A9925" s="14">
        <v>43032.14023148148</v>
      </c>
      <c r="B9925" s="20" t="str">
        <f>HYPERLINK("https://twitter.com/Borzo_Shoshtari","@Borzo_Shoshtari")</f>
        <v>@Borzo_Shoshtari</v>
      </c>
      <c r="C9925" s="21" t="s">
        <v>21446</v>
      </c>
      <c r="D9925" s="21" t="s">
        <v>21215</v>
      </c>
      <c r="E9925" s="22" t="str">
        <f>HYPERLINK("https://twitter.com/Borzo_Shoshtari/status/922770124855111681","922770124855111681")</f>
        <v>922770124855111681</v>
      </c>
      <c r="F9925" s="23" t="s">
        <v>86</v>
      </c>
      <c r="G9925" s="24">
        <v>169.0</v>
      </c>
      <c r="H9925" s="24">
        <v>463.0</v>
      </c>
      <c r="I9925" s="24">
        <v>39.0</v>
      </c>
      <c r="J9925" s="24">
        <v>0.0</v>
      </c>
      <c r="K9925" s="23" t="s">
        <v>34</v>
      </c>
      <c r="L9925" s="25">
        <v>41690.16986111111</v>
      </c>
      <c r="M9925" s="26" t="s">
        <v>11949</v>
      </c>
      <c r="N9925" s="26" t="s">
        <v>21192</v>
      </c>
      <c r="O9925" s="22" t="str">
        <f>HYPERLINK("https://pbs.twimg.com/profile_images/437119289552666624/03mEiW-B_normal.jpeg","View")</f>
        <v>View</v>
      </c>
      <c r="P9925" s="27"/>
    </row>
    <row r="9926">
      <c r="A9926" s="14">
        <v>43032.14067129629</v>
      </c>
      <c r="B9926" s="20" t="str">
        <f>HYPERLINK("https://twitter.com/Fluffy_Banal","@Fluffy_Banal")</f>
        <v>@Fluffy_Banal</v>
      </c>
      <c r="C9926" s="21" t="s">
        <v>21447</v>
      </c>
      <c r="D9926" s="21" t="s">
        <v>21448</v>
      </c>
      <c r="E9926" s="22" t="str">
        <f>HYPERLINK("https://twitter.com/Fluffy_Banal/status/922770283190194178","922770283190194178")</f>
        <v>922770283190194178</v>
      </c>
      <c r="F9926" s="23" t="s">
        <v>10255</v>
      </c>
      <c r="G9926" s="24">
        <v>31.0</v>
      </c>
      <c r="H9926" s="24">
        <v>24.0</v>
      </c>
      <c r="I9926" s="24">
        <v>1.0</v>
      </c>
      <c r="J9926" s="24">
        <v>0.0</v>
      </c>
      <c r="K9926" s="23" t="s">
        <v>34</v>
      </c>
      <c r="L9926" s="25">
        <v>42254.119722222225</v>
      </c>
      <c r="M9926" s="26" t="s">
        <v>1961</v>
      </c>
      <c r="N9926" s="28"/>
      <c r="O9926" s="22" t="str">
        <f>HYPERLINK("https://abs.twimg.com/sticky/default_profile_images/default_profile_normal.png","View")</f>
        <v>View</v>
      </c>
      <c r="P9926" s="27"/>
    </row>
    <row r="9927">
      <c r="A9927" s="14">
        <v>43032.14119212963</v>
      </c>
      <c r="B9927" s="20" t="str">
        <f>HYPERLINK("https://twitter.com/FallySomboNkhwa","@FallySomboNkhwa")</f>
        <v>@FallySomboNkhwa</v>
      </c>
      <c r="C9927" s="21" t="s">
        <v>4279</v>
      </c>
      <c r="D9927" s="21" t="s">
        <v>21449</v>
      </c>
      <c r="E9927" s="22" t="str">
        <f>HYPERLINK("https://twitter.com/FallySomboNkhwa/status/922770472147800065","922770472147800065")</f>
        <v>922770472147800065</v>
      </c>
      <c r="F9927" s="23" t="s">
        <v>187</v>
      </c>
      <c r="G9927" s="24">
        <v>406.0</v>
      </c>
      <c r="H9927" s="24">
        <v>2189.0</v>
      </c>
      <c r="I9927" s="24">
        <v>0.0</v>
      </c>
      <c r="J9927" s="24">
        <v>0.0</v>
      </c>
      <c r="K9927" s="23" t="s">
        <v>34</v>
      </c>
      <c r="L9927" s="25">
        <v>41551.82041666667</v>
      </c>
      <c r="M9927" s="26" t="s">
        <v>4281</v>
      </c>
      <c r="N9927" s="26" t="s">
        <v>4282</v>
      </c>
      <c r="O9927" s="22" t="str">
        <f>HYPERLINK("https://pbs.twimg.com/profile_images/543761133505503235/pKcg8bc2_normal.jpeg","View")</f>
        <v>View</v>
      </c>
      <c r="P9927" s="27"/>
    </row>
    <row r="9928">
      <c r="A9928" s="14">
        <v>43032.14134259259</v>
      </c>
      <c r="B9928" s="20" t="str">
        <f>HYPERLINK("https://twitter.com/DTradingAcademy","@DTradingAcademy")</f>
        <v>@DTradingAcademy</v>
      </c>
      <c r="C9928" s="21" t="s">
        <v>4960</v>
      </c>
      <c r="D9928" s="21" t="s">
        <v>21450</v>
      </c>
      <c r="E9928" s="22" t="str">
        <f>HYPERLINK("https://twitter.com/DTradingAcademy/status/922770526895927296","922770526895927296")</f>
        <v>922770526895927296</v>
      </c>
      <c r="F9928" s="23" t="s">
        <v>55</v>
      </c>
      <c r="G9928" s="24">
        <v>4251.0</v>
      </c>
      <c r="H9928" s="24">
        <v>680.0</v>
      </c>
      <c r="I9928" s="24">
        <v>0.0</v>
      </c>
      <c r="J9928" s="24">
        <v>0.0</v>
      </c>
      <c r="K9928" s="23" t="s">
        <v>34</v>
      </c>
      <c r="L9928" s="25">
        <v>40992.8062037037</v>
      </c>
      <c r="M9928" s="26" t="s">
        <v>3507</v>
      </c>
      <c r="N9928" s="26" t="s">
        <v>4962</v>
      </c>
      <c r="O9928" s="22" t="str">
        <f>HYPERLINK("https://pbs.twimg.com/profile_images/378800000412994280/5661be1a8625bd36406b48f28bf653a0_normal.jpeg","View")</f>
        <v>View</v>
      </c>
      <c r="P9928" s="27"/>
    </row>
    <row r="9929">
      <c r="A9929" s="14">
        <v>43032.141701388886</v>
      </c>
      <c r="B9929" s="20" t="str">
        <f>HYPERLINK("https://twitter.com/KarimiForogh","@KarimiForogh")</f>
        <v>@KarimiForogh</v>
      </c>
      <c r="C9929" s="21" t="s">
        <v>21451</v>
      </c>
      <c r="D9929" s="21" t="s">
        <v>21215</v>
      </c>
      <c r="E9929" s="22" t="str">
        <f>HYPERLINK("https://twitter.com/KarimiForogh/status/922770657099894784","922770657099894784")</f>
        <v>922770657099894784</v>
      </c>
      <c r="F9929" s="23" t="s">
        <v>86</v>
      </c>
      <c r="G9929" s="24">
        <v>162.0</v>
      </c>
      <c r="H9929" s="24">
        <v>38.0</v>
      </c>
      <c r="I9929" s="24">
        <v>39.0</v>
      </c>
      <c r="J9929" s="24">
        <v>0.0</v>
      </c>
      <c r="K9929" s="23" t="s">
        <v>34</v>
      </c>
      <c r="L9929" s="25">
        <v>42184.47542824074</v>
      </c>
      <c r="M9929" s="26" t="s">
        <v>40</v>
      </c>
      <c r="N9929" s="26" t="s">
        <v>21088</v>
      </c>
      <c r="O9929" s="22" t="str">
        <f>HYPERLINK("https://pbs.twimg.com/profile_images/615587429223804928/m7DYEvEr_normal.jpg","View")</f>
        <v>View</v>
      </c>
      <c r="P9929" s="27"/>
    </row>
    <row r="9930">
      <c r="A9930" s="14">
        <v>43032.14175925926</v>
      </c>
      <c r="B9930" s="20" t="str">
        <f>HYPERLINK("https://twitter.com/prepzilla","@prepzilla")</f>
        <v>@prepzilla</v>
      </c>
      <c r="C9930" s="21" t="s">
        <v>4010</v>
      </c>
      <c r="D9930" s="21" t="s">
        <v>21452</v>
      </c>
      <c r="E9930" s="22" t="str">
        <f>HYPERLINK("https://twitter.com/prepzilla/status/922770679350644736","922770679350644736")</f>
        <v>922770679350644736</v>
      </c>
      <c r="F9930" s="23" t="s">
        <v>187</v>
      </c>
      <c r="G9930" s="24">
        <v>7689.0</v>
      </c>
      <c r="H9930" s="24">
        <v>476.0</v>
      </c>
      <c r="I9930" s="24">
        <v>0.0</v>
      </c>
      <c r="J9930" s="24">
        <v>0.0</v>
      </c>
      <c r="K9930" s="23" t="s">
        <v>34</v>
      </c>
      <c r="L9930" s="25">
        <v>41299.741736111115</v>
      </c>
      <c r="M9930" s="26" t="s">
        <v>4012</v>
      </c>
      <c r="N9930" s="26" t="s">
        <v>4013</v>
      </c>
      <c r="O9930" s="22" t="str">
        <f>HYPERLINK("https://pbs.twimg.com/profile_images/900797880516005888/1bWN5qbC_normal.jpg","View")</f>
        <v>View</v>
      </c>
      <c r="P9930" s="27"/>
    </row>
    <row r="9931">
      <c r="A9931" s="14">
        <v>43032.14194444445</v>
      </c>
      <c r="B9931" s="20" t="str">
        <f>HYPERLINK("https://twitter.com/Borzo_Shoshtari","@Borzo_Shoshtari")</f>
        <v>@Borzo_Shoshtari</v>
      </c>
      <c r="C9931" s="21" t="s">
        <v>21446</v>
      </c>
      <c r="D9931" s="21" t="s">
        <v>21202</v>
      </c>
      <c r="E9931" s="22" t="str">
        <f>HYPERLINK("https://twitter.com/Borzo_Shoshtari/status/922770744966201344","922770744966201344")</f>
        <v>922770744966201344</v>
      </c>
      <c r="F9931" s="23" t="s">
        <v>86</v>
      </c>
      <c r="G9931" s="24">
        <v>169.0</v>
      </c>
      <c r="H9931" s="24">
        <v>463.0</v>
      </c>
      <c r="I9931" s="24">
        <v>79.0</v>
      </c>
      <c r="J9931" s="24">
        <v>0.0</v>
      </c>
      <c r="K9931" s="23" t="s">
        <v>34</v>
      </c>
      <c r="L9931" s="25">
        <v>41690.16986111111</v>
      </c>
      <c r="M9931" s="26" t="s">
        <v>11949</v>
      </c>
      <c r="N9931" s="26" t="s">
        <v>21192</v>
      </c>
      <c r="O9931" s="22" t="str">
        <f>HYPERLINK("https://pbs.twimg.com/profile_images/437119289552666624/03mEiW-B_normal.jpeg","View")</f>
        <v>View</v>
      </c>
      <c r="P9931" s="27"/>
    </row>
    <row r="9932">
      <c r="A9932" s="14">
        <v>43032.1425</v>
      </c>
      <c r="B9932" s="20" t="str">
        <f>HYPERLINK("https://twitter.com/IQWealth","@IQWealth")</f>
        <v>@IQWealth</v>
      </c>
      <c r="C9932" s="21" t="s">
        <v>21453</v>
      </c>
      <c r="D9932" s="21" t="s">
        <v>21454</v>
      </c>
      <c r="E9932" s="22" t="str">
        <f>HYPERLINK("https://twitter.com/IQWealth/status/922770947492458496","922770947492458496")</f>
        <v>922770947492458496</v>
      </c>
      <c r="F9932" s="23" t="s">
        <v>39</v>
      </c>
      <c r="G9932" s="24">
        <v>829.0</v>
      </c>
      <c r="H9932" s="24">
        <v>520.0</v>
      </c>
      <c r="I9932" s="24">
        <v>3.0</v>
      </c>
      <c r="J9932" s="24">
        <v>0.0</v>
      </c>
      <c r="K9932" s="23" t="s">
        <v>34</v>
      </c>
      <c r="L9932" s="25">
        <v>41038.26268518518</v>
      </c>
      <c r="M9932" s="26" t="s">
        <v>334</v>
      </c>
      <c r="N9932" s="26" t="s">
        <v>21455</v>
      </c>
      <c r="O9932" s="22" t="str">
        <f>HYPERLINK("https://pbs.twimg.com/profile_images/744818326275137538/Unq7Ko_w_normal.jpg","View")</f>
        <v>View</v>
      </c>
      <c r="P9932" s="27"/>
    </row>
    <row r="9933">
      <c r="A9933" s="14">
        <v>43032.14270833333</v>
      </c>
      <c r="B9933" s="20" t="str">
        <f>HYPERLINK("https://twitter.com/Borzo_Shoshtari","@Borzo_Shoshtari")</f>
        <v>@Borzo_Shoshtari</v>
      </c>
      <c r="C9933" s="21" t="s">
        <v>21446</v>
      </c>
      <c r="D9933" s="21" t="s">
        <v>21203</v>
      </c>
      <c r="E9933" s="22" t="str">
        <f>HYPERLINK("https://twitter.com/Borzo_Shoshtari/status/922771022385889280","922771022385889280")</f>
        <v>922771022385889280</v>
      </c>
      <c r="F9933" s="23" t="s">
        <v>86</v>
      </c>
      <c r="G9933" s="24">
        <v>169.0</v>
      </c>
      <c r="H9933" s="24">
        <v>463.0</v>
      </c>
      <c r="I9933" s="24">
        <v>75.0</v>
      </c>
      <c r="J9933" s="24">
        <v>0.0</v>
      </c>
      <c r="K9933" s="23" t="s">
        <v>34</v>
      </c>
      <c r="L9933" s="25">
        <v>41690.16986111111</v>
      </c>
      <c r="M9933" s="26" t="s">
        <v>11949</v>
      </c>
      <c r="N9933" s="26" t="s">
        <v>21192</v>
      </c>
      <c r="O9933" s="22" t="str">
        <f>HYPERLINK("https://pbs.twimg.com/profile_images/437119289552666624/03mEiW-B_normal.jpeg","View")</f>
        <v>View</v>
      </c>
      <c r="P9933" s="27"/>
    </row>
    <row r="9934">
      <c r="A9934" s="14">
        <v>43032.14283564815</v>
      </c>
      <c r="B9934" s="20" t="str">
        <f>HYPERLINK("https://twitter.com/DMShowZA","@DMShowZA")</f>
        <v>@DMShowZA</v>
      </c>
      <c r="C9934" s="21" t="s">
        <v>21456</v>
      </c>
      <c r="D9934" s="21" t="s">
        <v>21457</v>
      </c>
      <c r="E9934" s="22" t="str">
        <f>HYPERLINK("https://twitter.com/DMShowZA/status/922771069764820992","922771069764820992")</f>
        <v>922771069764820992</v>
      </c>
      <c r="F9934" s="23" t="s">
        <v>33</v>
      </c>
      <c r="G9934" s="24">
        <v>1251.0</v>
      </c>
      <c r="H9934" s="24">
        <v>844.0</v>
      </c>
      <c r="I9934" s="24">
        <v>3.0</v>
      </c>
      <c r="J9934" s="24">
        <v>2.0</v>
      </c>
      <c r="K9934" s="23" t="s">
        <v>34</v>
      </c>
      <c r="L9934" s="25">
        <v>42190.37060185186</v>
      </c>
      <c r="M9934" s="26" t="s">
        <v>4198</v>
      </c>
      <c r="N9934" s="26" t="s">
        <v>21458</v>
      </c>
      <c r="O9934" s="22" t="str">
        <f>HYPERLINK("https://pbs.twimg.com/profile_images/770897800695603200/CsSmcwJL_normal.jpg","View")</f>
        <v>View</v>
      </c>
      <c r="P9934" s="27"/>
    </row>
    <row r="9935">
      <c r="A9935" s="14">
        <v>43032.14298611111</v>
      </c>
      <c r="B9935" s="20" t="str">
        <f>HYPERLINK("https://twitter.com/unlewis","@unlewis")</f>
        <v>@unlewis</v>
      </c>
      <c r="C9935" s="21" t="s">
        <v>2684</v>
      </c>
      <c r="D9935" s="21" t="s">
        <v>21417</v>
      </c>
      <c r="E9935" s="22" t="str">
        <f>HYPERLINK("https://twitter.com/unlewis/status/922771122822754304","922771122822754304")</f>
        <v>922771122822754304</v>
      </c>
      <c r="F9935" s="23" t="s">
        <v>230</v>
      </c>
      <c r="G9935" s="24">
        <v>2973.0</v>
      </c>
      <c r="H9935" s="24">
        <v>2099.0</v>
      </c>
      <c r="I9935" s="24">
        <v>16.0</v>
      </c>
      <c r="J9935" s="24">
        <v>0.0</v>
      </c>
      <c r="K9935" s="23" t="s">
        <v>34</v>
      </c>
      <c r="L9935" s="25">
        <v>41159.83283564815</v>
      </c>
      <c r="M9935" s="28"/>
      <c r="N9935" s="26" t="s">
        <v>2685</v>
      </c>
      <c r="O9935" s="22" t="str">
        <f>HYPERLINK("https://pbs.twimg.com/profile_images/862117304196255744/4KSB5b7P_normal.jpg","View")</f>
        <v>View</v>
      </c>
      <c r="P9935" s="27"/>
    </row>
    <row r="9936">
      <c r="A9936" s="14">
        <v>43032.14335648148</v>
      </c>
      <c r="B9936" s="20" t="str">
        <f>HYPERLINK("https://twitter.com/Borzo_Shoshtari","@Borzo_Shoshtari")</f>
        <v>@Borzo_Shoshtari</v>
      </c>
      <c r="C9936" s="21" t="s">
        <v>21446</v>
      </c>
      <c r="D9936" s="21" t="s">
        <v>21243</v>
      </c>
      <c r="E9936" s="22" t="str">
        <f>HYPERLINK("https://twitter.com/Borzo_Shoshtari/status/922771257317253120","922771257317253120")</f>
        <v>922771257317253120</v>
      </c>
      <c r="F9936" s="23" t="s">
        <v>86</v>
      </c>
      <c r="G9936" s="24">
        <v>169.0</v>
      </c>
      <c r="H9936" s="24">
        <v>463.0</v>
      </c>
      <c r="I9936" s="24">
        <v>41.0</v>
      </c>
      <c r="J9936" s="24">
        <v>0.0</v>
      </c>
      <c r="K9936" s="23" t="s">
        <v>34</v>
      </c>
      <c r="L9936" s="25">
        <v>41690.16986111111</v>
      </c>
      <c r="M9936" s="26" t="s">
        <v>11949</v>
      </c>
      <c r="N9936" s="26" t="s">
        <v>21192</v>
      </c>
      <c r="O9936" s="22" t="str">
        <f>HYPERLINK("https://pbs.twimg.com/profile_images/437119289552666624/03mEiW-B_normal.jpeg","View")</f>
        <v>View</v>
      </c>
      <c r="P9936" s="27"/>
    </row>
    <row r="9937">
      <c r="A9937" s="14">
        <v>43032.14336805556</v>
      </c>
      <c r="B9937" s="20" t="str">
        <f>HYPERLINK("https://twitter.com/BSAFunds","@BSAFunds")</f>
        <v>@BSAFunds</v>
      </c>
      <c r="C9937" s="21" t="s">
        <v>1248</v>
      </c>
      <c r="D9937" s="21" t="s">
        <v>21459</v>
      </c>
      <c r="E9937" s="22" t="str">
        <f>HYPERLINK("https://twitter.com/BSAFunds/status/922771260706316294","922771260706316294")</f>
        <v>922771260706316294</v>
      </c>
      <c r="F9937" s="23" t="s">
        <v>187</v>
      </c>
      <c r="G9937" s="24">
        <v>20910.0</v>
      </c>
      <c r="H9937" s="24">
        <v>8929.0</v>
      </c>
      <c r="I9937" s="24">
        <v>0.0</v>
      </c>
      <c r="J9937" s="24">
        <v>0.0</v>
      </c>
      <c r="K9937" s="23" t="s">
        <v>34</v>
      </c>
      <c r="L9937" s="25">
        <v>42601.94818287037</v>
      </c>
      <c r="M9937" s="26" t="s">
        <v>1250</v>
      </c>
      <c r="N9937" s="26" t="s">
        <v>1251</v>
      </c>
      <c r="O9937" s="22" t="str">
        <f>HYPERLINK("https://pbs.twimg.com/profile_images/912769166960033792/N4LAmrTs_normal.jpg","View")</f>
        <v>View</v>
      </c>
      <c r="P9937" s="27"/>
    </row>
    <row r="9938">
      <c r="A9938" s="14">
        <v>43032.14355324074</v>
      </c>
      <c r="B9938" s="20" t="str">
        <f>HYPERLINK("https://twitter.com/KarimiForogh","@KarimiForogh")</f>
        <v>@KarimiForogh</v>
      </c>
      <c r="C9938" s="21" t="s">
        <v>21451</v>
      </c>
      <c r="D9938" s="21" t="s">
        <v>21202</v>
      </c>
      <c r="E9938" s="22" t="str">
        <f>HYPERLINK("https://twitter.com/KarimiForogh/status/922771326330384385","922771326330384385")</f>
        <v>922771326330384385</v>
      </c>
      <c r="F9938" s="23" t="s">
        <v>86</v>
      </c>
      <c r="G9938" s="24">
        <v>162.0</v>
      </c>
      <c r="H9938" s="24">
        <v>38.0</v>
      </c>
      <c r="I9938" s="24">
        <v>79.0</v>
      </c>
      <c r="J9938" s="24">
        <v>0.0</v>
      </c>
      <c r="K9938" s="23" t="s">
        <v>34</v>
      </c>
      <c r="L9938" s="25">
        <v>42184.47542824074</v>
      </c>
      <c r="M9938" s="26" t="s">
        <v>40</v>
      </c>
      <c r="N9938" s="26" t="s">
        <v>21088</v>
      </c>
      <c r="O9938" s="22" t="str">
        <f>HYPERLINK("https://pbs.twimg.com/profile_images/615587429223804928/m7DYEvEr_normal.jpg","View")</f>
        <v>View</v>
      </c>
      <c r="P9938" s="27"/>
    </row>
    <row r="9939">
      <c r="A9939" s="14">
        <v>43032.14383101852</v>
      </c>
      <c r="B9939" s="20" t="str">
        <f>HYPERLINK("https://twitter.com/grandted212","@grandted212")</f>
        <v>@grandted212</v>
      </c>
      <c r="C9939" s="21" t="s">
        <v>15710</v>
      </c>
      <c r="D9939" s="21" t="s">
        <v>21460</v>
      </c>
      <c r="E9939" s="22" t="str">
        <f>HYPERLINK("https://twitter.com/grandted212/status/922771429094854656","922771429094854656")</f>
        <v>922771429094854656</v>
      </c>
      <c r="F9939" s="23" t="s">
        <v>2697</v>
      </c>
      <c r="G9939" s="24">
        <v>2726.0</v>
      </c>
      <c r="H9939" s="24">
        <v>2453.0</v>
      </c>
      <c r="I9939" s="24">
        <v>0.0</v>
      </c>
      <c r="J9939" s="24">
        <v>0.0</v>
      </c>
      <c r="K9939" s="23" t="s">
        <v>34</v>
      </c>
      <c r="L9939" s="25">
        <v>41140.314108796294</v>
      </c>
      <c r="M9939" s="28"/>
      <c r="N9939" s="26" t="s">
        <v>15712</v>
      </c>
      <c r="O9939" s="22" t="str">
        <f>HYPERLINK("https://pbs.twimg.com/profile_images/785451800497364992/FbFOmUqm_normal.jpg","View")</f>
        <v>View</v>
      </c>
      <c r="P9939" s="27"/>
    </row>
    <row r="9940">
      <c r="A9940" s="14">
        <v>43032.144004629634</v>
      </c>
      <c r="B9940" s="20" t="str">
        <f>HYPERLINK("https://twitter.com/Borzo_Shoshtari","@Borzo_Shoshtari")</f>
        <v>@Borzo_Shoshtari</v>
      </c>
      <c r="C9940" s="21" t="s">
        <v>21446</v>
      </c>
      <c r="D9940" s="21" t="s">
        <v>21191</v>
      </c>
      <c r="E9940" s="22" t="str">
        <f>HYPERLINK("https://twitter.com/Borzo_Shoshtari/status/922771492609212416","922771492609212416")</f>
        <v>922771492609212416</v>
      </c>
      <c r="F9940" s="23" t="s">
        <v>86</v>
      </c>
      <c r="G9940" s="24">
        <v>169.0</v>
      </c>
      <c r="H9940" s="24">
        <v>463.0</v>
      </c>
      <c r="I9940" s="24">
        <v>42.0</v>
      </c>
      <c r="J9940" s="24">
        <v>0.0</v>
      </c>
      <c r="K9940" s="23" t="s">
        <v>34</v>
      </c>
      <c r="L9940" s="25">
        <v>41690.16986111111</v>
      </c>
      <c r="M9940" s="26" t="s">
        <v>11949</v>
      </c>
      <c r="N9940" s="26" t="s">
        <v>21192</v>
      </c>
      <c r="O9940" s="22" t="str">
        <f>HYPERLINK("https://pbs.twimg.com/profile_images/437119289552666624/03mEiW-B_normal.jpeg","View")</f>
        <v>View</v>
      </c>
      <c r="P9940" s="27"/>
    </row>
    <row r="9941">
      <c r="A9941" s="14">
        <v>43032.14420138889</v>
      </c>
      <c r="B9941" s="20" t="str">
        <f>HYPERLINK("https://twitter.com/evgeniia91","@evgeniia91")</f>
        <v>@evgeniia91</v>
      </c>
      <c r="C9941" s="21" t="s">
        <v>21461</v>
      </c>
      <c r="D9941" s="21" t="s">
        <v>18162</v>
      </c>
      <c r="E9941" s="22" t="str">
        <f>HYPERLINK("https://twitter.com/evgeniia91/status/922771562419314690","922771562419314690")</f>
        <v>922771562419314690</v>
      </c>
      <c r="F9941" s="23" t="s">
        <v>55</v>
      </c>
      <c r="G9941" s="24">
        <v>2.0</v>
      </c>
      <c r="H9941" s="24">
        <v>2.0</v>
      </c>
      <c r="I9941" s="24">
        <v>59.0</v>
      </c>
      <c r="J9941" s="24">
        <v>0.0</v>
      </c>
      <c r="K9941" s="23" t="s">
        <v>34</v>
      </c>
      <c r="L9941" s="25">
        <v>43014.409629629634</v>
      </c>
      <c r="M9941" s="28"/>
      <c r="N9941" s="28"/>
      <c r="O9941" s="22" t="str">
        <f>HYPERLINK("https://pbs.twimg.com/profile_images/917332193466236928/eE8xznZ4_normal.jpg","View")</f>
        <v>View</v>
      </c>
      <c r="P9941" s="27"/>
    </row>
    <row r="9942">
      <c r="A9942" s="14">
        <v>43032.14420138889</v>
      </c>
      <c r="B9942" s="20" t="str">
        <f t="shared" ref="B9942:B9943" si="209">HYPERLINK("https://twitter.com/KarimiForogh","@KarimiForogh")</f>
        <v>@KarimiForogh</v>
      </c>
      <c r="C9942" s="21" t="s">
        <v>21451</v>
      </c>
      <c r="D9942" s="21" t="s">
        <v>21203</v>
      </c>
      <c r="E9942" s="22" t="str">
        <f>HYPERLINK("https://twitter.com/KarimiForogh/status/922771562603872256","922771562603872256")</f>
        <v>922771562603872256</v>
      </c>
      <c r="F9942" s="23" t="s">
        <v>86</v>
      </c>
      <c r="G9942" s="24">
        <v>162.0</v>
      </c>
      <c r="H9942" s="24">
        <v>38.0</v>
      </c>
      <c r="I9942" s="24">
        <v>75.0</v>
      </c>
      <c r="J9942" s="24">
        <v>0.0</v>
      </c>
      <c r="K9942" s="23" t="s">
        <v>34</v>
      </c>
      <c r="L9942" s="25">
        <v>42184.47542824074</v>
      </c>
      <c r="M9942" s="26" t="s">
        <v>40</v>
      </c>
      <c r="N9942" s="26" t="s">
        <v>21088</v>
      </c>
      <c r="O9942" s="22" t="str">
        <f t="shared" ref="O9942:O9943" si="210">HYPERLINK("https://pbs.twimg.com/profile_images/615587429223804928/m7DYEvEr_normal.jpg","View")</f>
        <v>View</v>
      </c>
      <c r="P9942" s="27"/>
    </row>
    <row r="9943">
      <c r="A9943" s="14">
        <v>43032.14486111111</v>
      </c>
      <c r="B9943" s="20" t="str">
        <f t="shared" si="209"/>
        <v>@KarimiForogh</v>
      </c>
      <c r="C9943" s="21" t="s">
        <v>21451</v>
      </c>
      <c r="D9943" s="21" t="s">
        <v>21243</v>
      </c>
      <c r="E9943" s="22" t="str">
        <f>HYPERLINK("https://twitter.com/KarimiForogh/status/922771800060293121","922771800060293121")</f>
        <v>922771800060293121</v>
      </c>
      <c r="F9943" s="23" t="s">
        <v>86</v>
      </c>
      <c r="G9943" s="24">
        <v>162.0</v>
      </c>
      <c r="H9943" s="24">
        <v>38.0</v>
      </c>
      <c r="I9943" s="24">
        <v>41.0</v>
      </c>
      <c r="J9943" s="24">
        <v>0.0</v>
      </c>
      <c r="K9943" s="23" t="s">
        <v>34</v>
      </c>
      <c r="L9943" s="25">
        <v>42184.47542824074</v>
      </c>
      <c r="M9943" s="26" t="s">
        <v>40</v>
      </c>
      <c r="N9943" s="26" t="s">
        <v>21088</v>
      </c>
      <c r="O9943" s="22" t="str">
        <f t="shared" si="210"/>
        <v>View</v>
      </c>
      <c r="P9943" s="27"/>
    </row>
    <row r="9944">
      <c r="A9944" s="14">
        <v>43032.14519675926</v>
      </c>
      <c r="B9944" s="20" t="str">
        <f>HYPERLINK("https://twitter.com/isizulu","@isizulu")</f>
        <v>@isizulu</v>
      </c>
      <c r="C9944" s="21" t="s">
        <v>21462</v>
      </c>
      <c r="D9944" s="21" t="s">
        <v>21463</v>
      </c>
      <c r="E9944" s="22" t="str">
        <f>HYPERLINK("https://twitter.com/isizulu/status/922771922135293952","922771922135293952")</f>
        <v>922771922135293952</v>
      </c>
      <c r="F9944" s="23" t="s">
        <v>55</v>
      </c>
      <c r="G9944" s="24">
        <v>241.0</v>
      </c>
      <c r="H9944" s="24">
        <v>106.0</v>
      </c>
      <c r="I9944" s="24">
        <v>3.0</v>
      </c>
      <c r="J9944" s="24">
        <v>0.0</v>
      </c>
      <c r="K9944" s="23" t="s">
        <v>34</v>
      </c>
      <c r="L9944" s="25">
        <v>40150.42545138889</v>
      </c>
      <c r="M9944" s="28"/>
      <c r="N9944" s="26" t="s">
        <v>21464</v>
      </c>
      <c r="O9944" s="22" t="str">
        <f>HYPERLINK("https://pbs.twimg.com/profile_images/2109091800/lewis_dad_normal.jpg","View")</f>
        <v>View</v>
      </c>
      <c r="P9944" s="27"/>
    </row>
    <row r="9945">
      <c r="A9945" s="14">
        <v>43032.14524305555</v>
      </c>
      <c r="B9945" s="20" t="str">
        <f>HYPERLINK("https://twitter.com/Chi312Chi","@Chi312Chi")</f>
        <v>@Chi312Chi</v>
      </c>
      <c r="C9945" s="21" t="s">
        <v>478</v>
      </c>
      <c r="D9945" s="21" t="s">
        <v>21243</v>
      </c>
      <c r="E9945" s="22" t="str">
        <f>HYPERLINK("https://twitter.com/Chi312Chi/status/922771939244040192","922771939244040192")</f>
        <v>922771939244040192</v>
      </c>
      <c r="F9945" s="23" t="s">
        <v>3031</v>
      </c>
      <c r="G9945" s="24">
        <v>541.0</v>
      </c>
      <c r="H9945" s="24">
        <v>2430.0</v>
      </c>
      <c r="I9945" s="24">
        <v>41.0</v>
      </c>
      <c r="J9945" s="24">
        <v>0.0</v>
      </c>
      <c r="K9945" s="23" t="s">
        <v>34</v>
      </c>
      <c r="L9945" s="25">
        <v>41645.81662037037</v>
      </c>
      <c r="M9945" s="28"/>
      <c r="N9945" s="28"/>
      <c r="O9945" s="22" t="str">
        <f>HYPERLINK("https://pbs.twimg.com/profile_images/918940173085413376/0qeHPlF8_normal.jpg","View")</f>
        <v>View</v>
      </c>
      <c r="P9945" s="27"/>
    </row>
    <row r="9946">
      <c r="A9946" s="14">
        <v>43032.14550925926</v>
      </c>
      <c r="B9946" s="20" t="str">
        <f>HYPERLINK("https://twitter.com/KarimiForogh","@KarimiForogh")</f>
        <v>@KarimiForogh</v>
      </c>
      <c r="C9946" s="21" t="s">
        <v>21451</v>
      </c>
      <c r="D9946" s="21" t="s">
        <v>21191</v>
      </c>
      <c r="E9946" s="22" t="str">
        <f>HYPERLINK("https://twitter.com/KarimiForogh/status/922772036606398464","922772036606398464")</f>
        <v>922772036606398464</v>
      </c>
      <c r="F9946" s="23" t="s">
        <v>86</v>
      </c>
      <c r="G9946" s="24">
        <v>162.0</v>
      </c>
      <c r="H9946" s="24">
        <v>38.0</v>
      </c>
      <c r="I9946" s="24">
        <v>42.0</v>
      </c>
      <c r="J9946" s="24">
        <v>0.0</v>
      </c>
      <c r="K9946" s="23" t="s">
        <v>34</v>
      </c>
      <c r="L9946" s="25">
        <v>42184.47542824074</v>
      </c>
      <c r="M9946" s="26" t="s">
        <v>40</v>
      </c>
      <c r="N9946" s="26" t="s">
        <v>21088</v>
      </c>
      <c r="O9946" s="22" t="str">
        <f>HYPERLINK("https://pbs.twimg.com/profile_images/615587429223804928/m7DYEvEr_normal.jpg","View")</f>
        <v>View</v>
      </c>
      <c r="P9946" s="27"/>
    </row>
    <row r="9947">
      <c r="A9947" s="14">
        <v>43032.14601851851</v>
      </c>
      <c r="B9947" s="20" t="str">
        <f>HYPERLINK("https://twitter.com/KnightzCode","@KnightzCode")</f>
        <v>@KnightzCode</v>
      </c>
      <c r="C9947" s="21" t="s">
        <v>9887</v>
      </c>
      <c r="D9947" s="21" t="s">
        <v>6403</v>
      </c>
      <c r="E9947" s="22" t="str">
        <f>HYPERLINK("https://twitter.com/KnightzCode/status/922772223257120768","922772223257120768")</f>
        <v>922772223257120768</v>
      </c>
      <c r="F9947" s="23" t="s">
        <v>33</v>
      </c>
      <c r="G9947" s="24">
        <v>629.0</v>
      </c>
      <c r="H9947" s="24">
        <v>958.0</v>
      </c>
      <c r="I9947" s="24">
        <v>97.0</v>
      </c>
      <c r="J9947" s="24">
        <v>0.0</v>
      </c>
      <c r="K9947" s="23" t="s">
        <v>34</v>
      </c>
      <c r="L9947" s="25">
        <v>39935.36189814815</v>
      </c>
      <c r="M9947" s="26" t="s">
        <v>9889</v>
      </c>
      <c r="N9947" s="26" t="s">
        <v>9890</v>
      </c>
      <c r="O9947" s="22" t="str">
        <f>HYPERLINK("https://pbs.twimg.com/profile_images/751426173331054592/W80kmclA_normal.jpg","View")</f>
        <v>View</v>
      </c>
      <c r="P9947" s="27"/>
    </row>
    <row r="9948">
      <c r="A9948" s="14">
        <v>43032.14604166667</v>
      </c>
      <c r="B9948" s="20" t="str">
        <f>HYPERLINK("https://twitter.com/Tekki_VR","@Tekki_VR")</f>
        <v>@Tekki_VR</v>
      </c>
      <c r="C9948" s="21" t="s">
        <v>4050</v>
      </c>
      <c r="D9948" s="21" t="s">
        <v>21465</v>
      </c>
      <c r="E9948" s="22" t="str">
        <f>HYPERLINK("https://twitter.com/Tekki_VR/status/922772229473161216","922772229473161216")</f>
        <v>922772229473161216</v>
      </c>
      <c r="F9948" s="23" t="s">
        <v>187</v>
      </c>
      <c r="G9948" s="24">
        <v>1899.0</v>
      </c>
      <c r="H9948" s="24">
        <v>2480.0</v>
      </c>
      <c r="I9948" s="24">
        <v>0.0</v>
      </c>
      <c r="J9948" s="24">
        <v>0.0</v>
      </c>
      <c r="K9948" s="23" t="s">
        <v>34</v>
      </c>
      <c r="L9948" s="25">
        <v>42263.54553240741</v>
      </c>
      <c r="M9948" s="26" t="s">
        <v>4052</v>
      </c>
      <c r="N9948" s="26" t="s">
        <v>4053</v>
      </c>
      <c r="O9948" s="22" t="str">
        <f>HYPERLINK("https://pbs.twimg.com/profile_images/760662770694098944/h1nSBfE8_normal.jpg","View")</f>
        <v>View</v>
      </c>
      <c r="P9948" s="27"/>
    </row>
    <row r="9949">
      <c r="A9949" s="14">
        <v>43032.146157407406</v>
      </c>
      <c r="B9949" s="20" t="str">
        <f>HYPERLINK("https://twitter.com/yogamber_raina","@yogamber_raina")</f>
        <v>@yogamber_raina</v>
      </c>
      <c r="C9949" s="21" t="s">
        <v>21466</v>
      </c>
      <c r="D9949" s="21" t="s">
        <v>42</v>
      </c>
      <c r="E9949" s="22" t="str">
        <f>HYPERLINK("https://twitter.com/yogamber_raina/status/922772271562760192","922772271562760192")</f>
        <v>922772271562760192</v>
      </c>
      <c r="F9949" s="23" t="s">
        <v>33</v>
      </c>
      <c r="G9949" s="24">
        <v>964.0</v>
      </c>
      <c r="H9949" s="24">
        <v>1624.0</v>
      </c>
      <c r="I9949" s="24">
        <v>8501.0</v>
      </c>
      <c r="J9949" s="24">
        <v>0.0</v>
      </c>
      <c r="K9949" s="23" t="s">
        <v>34</v>
      </c>
      <c r="L9949" s="25">
        <v>42426.69017361111</v>
      </c>
      <c r="M9949" s="26" t="s">
        <v>21467</v>
      </c>
      <c r="N9949" s="26" t="s">
        <v>21468</v>
      </c>
      <c r="O9949" s="22" t="str">
        <f>HYPERLINK("https://pbs.twimg.com/profile_images/910945719330103296/5p6Sq2OR_normal.jpg","View")</f>
        <v>View</v>
      </c>
      <c r="P9949" s="27"/>
    </row>
    <row r="9950">
      <c r="A9950" s="14">
        <v>43032.14711805555</v>
      </c>
      <c r="B9950" s="20" t="str">
        <f>HYPERLINK("https://twitter.com/alison_mcentee","@alison_mcentee")</f>
        <v>@alison_mcentee</v>
      </c>
      <c r="C9950" s="21" t="s">
        <v>21469</v>
      </c>
      <c r="D9950" s="21" t="s">
        <v>12974</v>
      </c>
      <c r="E9950" s="22" t="str">
        <f>HYPERLINK("https://twitter.com/alison_mcentee/status/922772621380419586","922772621380419586")</f>
        <v>922772621380419586</v>
      </c>
      <c r="F9950" s="23" t="s">
        <v>39</v>
      </c>
      <c r="G9950" s="24">
        <v>1314.0</v>
      </c>
      <c r="H9950" s="24">
        <v>5001.0</v>
      </c>
      <c r="I9950" s="24">
        <v>110.0</v>
      </c>
      <c r="J9950" s="24">
        <v>0.0</v>
      </c>
      <c r="K9950" s="23" t="s">
        <v>34</v>
      </c>
      <c r="L9950" s="25">
        <v>40304.21487268519</v>
      </c>
      <c r="M9950" s="26" t="s">
        <v>21470</v>
      </c>
      <c r="N9950" s="26" t="s">
        <v>21471</v>
      </c>
      <c r="O9950" s="22" t="str">
        <f>HYPERLINK("https://pbs.twimg.com/profile_images/922820800293502976/XV5qSi5e_normal.jpg","View")</f>
        <v>View</v>
      </c>
      <c r="P9950" s="27"/>
    </row>
    <row r="9951">
      <c r="A9951" s="14">
        <v>43032.14722222222</v>
      </c>
      <c r="B9951" s="20" t="str">
        <f>HYPERLINK("https://twitter.com/libertad717","@libertad717")</f>
        <v>@libertad717</v>
      </c>
      <c r="C9951" s="21" t="s">
        <v>1228</v>
      </c>
      <c r="D9951" s="21" t="s">
        <v>12653</v>
      </c>
      <c r="E9951" s="22" t="str">
        <f>HYPERLINK("https://twitter.com/libertad717/status/922772655861837824","922772655861837824")</f>
        <v>922772655861837824</v>
      </c>
      <c r="F9951" s="23" t="s">
        <v>33</v>
      </c>
      <c r="G9951" s="24">
        <v>1043.0</v>
      </c>
      <c r="H9951" s="24">
        <v>1058.0</v>
      </c>
      <c r="I9951" s="24">
        <v>3.0</v>
      </c>
      <c r="J9951" s="24">
        <v>0.0</v>
      </c>
      <c r="K9951" s="23" t="s">
        <v>34</v>
      </c>
      <c r="L9951" s="25">
        <v>40681.701203703706</v>
      </c>
      <c r="M9951" s="28"/>
      <c r="N9951" s="28"/>
      <c r="O9951" s="22" t="str">
        <f>HYPERLINK("https://pbs.twimg.com/profile_images/378800000709612949/cfd1435ac2c89df971f95fff2d2610a6_normal.jpeg","View")</f>
        <v>View</v>
      </c>
      <c r="P9951" s="27"/>
    </row>
    <row r="9952">
      <c r="A9952" s="14">
        <v>43032.14809027778</v>
      </c>
      <c r="B9952" s="20" t="str">
        <f>HYPERLINK("https://twitter.com/swissifg","@swissifg")</f>
        <v>@swissifg</v>
      </c>
      <c r="C9952" s="21" t="s">
        <v>3967</v>
      </c>
      <c r="D9952" s="21" t="s">
        <v>21472</v>
      </c>
      <c r="E9952" s="22" t="str">
        <f>HYPERLINK("https://twitter.com/swissifg/status/922772971026042880","922772971026042880")</f>
        <v>922772971026042880</v>
      </c>
      <c r="F9952" s="23" t="s">
        <v>187</v>
      </c>
      <c r="G9952" s="24">
        <v>1204.0</v>
      </c>
      <c r="H9952" s="24">
        <v>671.0</v>
      </c>
      <c r="I9952" s="24">
        <v>0.0</v>
      </c>
      <c r="J9952" s="24">
        <v>0.0</v>
      </c>
      <c r="K9952" s="23" t="s">
        <v>34</v>
      </c>
      <c r="L9952" s="25">
        <v>42499.2341087963</v>
      </c>
      <c r="M9952" s="26" t="s">
        <v>3969</v>
      </c>
      <c r="N9952" s="26" t="s">
        <v>3970</v>
      </c>
      <c r="O9952" s="22" t="str">
        <f>HYPERLINK("https://pbs.twimg.com/profile_images/729681805088063489/N4ls5vb8_normal.jpg","View")</f>
        <v>View</v>
      </c>
      <c r="P9952" s="27"/>
    </row>
    <row r="9953">
      <c r="A9953" s="14">
        <v>43032.14881944444</v>
      </c>
      <c r="B9953" s="20" t="str">
        <f>HYPERLINK("https://twitter.com/sherise_mannix","@sherise_mannix")</f>
        <v>@sherise_mannix</v>
      </c>
      <c r="C9953" s="21" t="s">
        <v>21473</v>
      </c>
      <c r="D9953" s="21" t="s">
        <v>21215</v>
      </c>
      <c r="E9953" s="22" t="str">
        <f>HYPERLINK("https://twitter.com/sherise_mannix/status/922773234327592961","922773234327592961")</f>
        <v>922773234327592961</v>
      </c>
      <c r="F9953" s="23" t="s">
        <v>86</v>
      </c>
      <c r="G9953" s="24">
        <v>281.0</v>
      </c>
      <c r="H9953" s="24">
        <v>70.0</v>
      </c>
      <c r="I9953" s="24">
        <v>39.0</v>
      </c>
      <c r="J9953" s="24">
        <v>0.0</v>
      </c>
      <c r="K9953" s="23" t="s">
        <v>34</v>
      </c>
      <c r="L9953" s="25">
        <v>41849.38586805556</v>
      </c>
      <c r="M9953" s="28"/>
      <c r="N9953" s="26" t="s">
        <v>21474</v>
      </c>
      <c r="O9953" s="22" t="str">
        <f>HYPERLINK("https://pbs.twimg.com/profile_images/494162824285806593/iFky_8no_normal.jpeg","View")</f>
        <v>View</v>
      </c>
      <c r="P9953" s="27"/>
    </row>
    <row r="9954">
      <c r="A9954" s="14">
        <v>43032.14934027778</v>
      </c>
      <c r="B9954" s="20" t="str">
        <f>HYPERLINK("https://twitter.com/newloc_security","@newloc_security")</f>
        <v>@newloc_security</v>
      </c>
      <c r="C9954" s="21" t="s">
        <v>17934</v>
      </c>
      <c r="D9954" s="21" t="s">
        <v>21475</v>
      </c>
      <c r="E9954" s="22" t="str">
        <f>HYPERLINK("https://twitter.com/newloc_security/status/922773424971411456","922773424971411456")</f>
        <v>922773424971411456</v>
      </c>
      <c r="F9954" s="23" t="s">
        <v>1020</v>
      </c>
      <c r="G9954" s="24">
        <v>1958.0</v>
      </c>
      <c r="H9954" s="24">
        <v>1964.0</v>
      </c>
      <c r="I9954" s="24">
        <v>0.0</v>
      </c>
      <c r="J9954" s="24">
        <v>0.0</v>
      </c>
      <c r="K9954" s="23" t="s">
        <v>34</v>
      </c>
      <c r="L9954" s="25">
        <v>41050.218993055554</v>
      </c>
      <c r="M9954" s="28"/>
      <c r="N9954" s="26" t="s">
        <v>17936</v>
      </c>
      <c r="O9954" s="22" t="str">
        <f>HYPERLINK("https://pbs.twimg.com/profile_images/2280368018/2cl89fdjgfw6466nin82_normal.png","View")</f>
        <v>View</v>
      </c>
      <c r="P9954" s="27"/>
    </row>
    <row r="9955">
      <c r="A9955" s="14">
        <v>43032.14949074074</v>
      </c>
      <c r="B9955" s="20" t="str">
        <f>HYPERLINK("https://twitter.com/lordvickombewa","@lordvickombewa")</f>
        <v>@lordvickombewa</v>
      </c>
      <c r="C9955" s="21" t="s">
        <v>21476</v>
      </c>
      <c r="D9955" s="21" t="s">
        <v>32</v>
      </c>
      <c r="E9955" s="22" t="str">
        <f>HYPERLINK("https://twitter.com/lordvickombewa/status/922773480260755456","922773480260755456")</f>
        <v>922773480260755456</v>
      </c>
      <c r="F9955" s="23" t="s">
        <v>33</v>
      </c>
      <c r="G9955" s="24">
        <v>2082.0</v>
      </c>
      <c r="H9955" s="24">
        <v>2958.0</v>
      </c>
      <c r="I9955" s="24">
        <v>471.0</v>
      </c>
      <c r="J9955" s="24">
        <v>0.0</v>
      </c>
      <c r="K9955" s="23" t="s">
        <v>34</v>
      </c>
      <c r="L9955" s="25">
        <v>41253.8640625</v>
      </c>
      <c r="M9955" s="26" t="s">
        <v>1457</v>
      </c>
      <c r="N9955" s="26" t="s">
        <v>21477</v>
      </c>
      <c r="O9955" s="22" t="str">
        <f>HYPERLINK("https://pbs.twimg.com/profile_images/860773150468038656/IKRrbuZr_normal.jpg","View")</f>
        <v>View</v>
      </c>
      <c r="P9955" s="27"/>
    </row>
    <row r="9956">
      <c r="A9956" s="14">
        <v>43032.14954861111</v>
      </c>
      <c r="B9956" s="20" t="str">
        <f>HYPERLINK("https://twitter.com/arjun00383110","@arjun00383110")</f>
        <v>@arjun00383110</v>
      </c>
      <c r="C9956" s="21" t="s">
        <v>11373</v>
      </c>
      <c r="D9956" s="21" t="s">
        <v>42</v>
      </c>
      <c r="E9956" s="22" t="str">
        <f>HYPERLINK("https://twitter.com/arjun00383110/status/922773499185324033","922773499185324033")</f>
        <v>922773499185324033</v>
      </c>
      <c r="F9956" s="23" t="s">
        <v>33</v>
      </c>
      <c r="G9956" s="24">
        <v>15.0</v>
      </c>
      <c r="H9956" s="24">
        <v>69.0</v>
      </c>
      <c r="I9956" s="24">
        <v>8501.0</v>
      </c>
      <c r="J9956" s="24">
        <v>0.0</v>
      </c>
      <c r="K9956" s="23" t="s">
        <v>34</v>
      </c>
      <c r="L9956" s="25">
        <v>42805.81971064815</v>
      </c>
      <c r="M9956" s="28"/>
      <c r="N9956" s="28"/>
      <c r="O9956" s="22" t="str">
        <f>HYPERLINK("https://pbs.twimg.com/profile_images/840769967779864577/GkAss_kk_normal.jpg","View")</f>
        <v>View</v>
      </c>
      <c r="P9956" s="27"/>
    </row>
    <row r="9957">
      <c r="A9957" s="14">
        <v>43032.149884259255</v>
      </c>
      <c r="B9957" s="20" t="str">
        <f t="shared" ref="B9957:B9958" si="211">HYPERLINK("https://twitter.com/yuuji_K1","@yuuji_K1")</f>
        <v>@yuuji_K1</v>
      </c>
      <c r="C9957" s="21" t="s">
        <v>5882</v>
      </c>
      <c r="D9957" s="21" t="s">
        <v>19882</v>
      </c>
      <c r="E9957" s="22" t="str">
        <f>HYPERLINK("https://twitter.com/yuuji_K1/status/922773623877726208","922773623877726208")</f>
        <v>922773623877726208</v>
      </c>
      <c r="F9957" s="23" t="s">
        <v>39</v>
      </c>
      <c r="G9957" s="24">
        <v>2341.0</v>
      </c>
      <c r="H9957" s="24">
        <v>2256.0</v>
      </c>
      <c r="I9957" s="24">
        <v>7.0</v>
      </c>
      <c r="J9957" s="24">
        <v>0.0</v>
      </c>
      <c r="K9957" s="23" t="s">
        <v>34</v>
      </c>
      <c r="L9957" s="25">
        <v>41720.116006944445</v>
      </c>
      <c r="M9957" s="28"/>
      <c r="N9957" s="26" t="s">
        <v>5883</v>
      </c>
      <c r="O9957" s="22" t="str">
        <f t="shared" ref="O9957:O9958" si="212">HYPERLINK("https://pbs.twimg.com/profile_images/447319649642770432/l3MsVwx__normal.jpeg","View")</f>
        <v>View</v>
      </c>
      <c r="P9957" s="27"/>
    </row>
    <row r="9958">
      <c r="A9958" s="14">
        <v>43032.15016203704</v>
      </c>
      <c r="B9958" s="20" t="str">
        <f t="shared" si="211"/>
        <v>@yuuji_K1</v>
      </c>
      <c r="C9958" s="21" t="s">
        <v>5882</v>
      </c>
      <c r="D9958" s="21" t="s">
        <v>20149</v>
      </c>
      <c r="E9958" s="22" t="str">
        <f>HYPERLINK("https://twitter.com/yuuji_K1/status/922773723182071808","922773723182071808")</f>
        <v>922773723182071808</v>
      </c>
      <c r="F9958" s="23" t="s">
        <v>39</v>
      </c>
      <c r="G9958" s="24">
        <v>2341.0</v>
      </c>
      <c r="H9958" s="24">
        <v>2256.0</v>
      </c>
      <c r="I9958" s="24">
        <v>4.0</v>
      </c>
      <c r="J9958" s="24">
        <v>0.0</v>
      </c>
      <c r="K9958" s="23" t="s">
        <v>34</v>
      </c>
      <c r="L9958" s="25">
        <v>41720.116006944445</v>
      </c>
      <c r="M9958" s="28"/>
      <c r="N9958" s="26" t="s">
        <v>5883</v>
      </c>
      <c r="O9958" s="22" t="str">
        <f t="shared" si="212"/>
        <v>View</v>
      </c>
      <c r="P9958" s="27"/>
    </row>
    <row r="9959">
      <c r="A9959" s="14">
        <v>43032.15101851852</v>
      </c>
      <c r="B9959" s="20" t="str">
        <f>HYPERLINK("https://twitter.com/PMoallemian","@PMoallemian")</f>
        <v>@PMoallemian</v>
      </c>
      <c r="C9959" s="21" t="s">
        <v>1959</v>
      </c>
      <c r="D9959" s="21" t="s">
        <v>21478</v>
      </c>
      <c r="E9959" s="22" t="str">
        <f>HYPERLINK("https://twitter.com/PMoallemian/status/922774033438879744","922774033438879744")</f>
        <v>922774033438879744</v>
      </c>
      <c r="F9959" s="23" t="s">
        <v>187</v>
      </c>
      <c r="G9959" s="24">
        <v>5102.0</v>
      </c>
      <c r="H9959" s="24">
        <v>90.0</v>
      </c>
      <c r="I9959" s="24">
        <v>0.0</v>
      </c>
      <c r="J9959" s="24">
        <v>0.0</v>
      </c>
      <c r="K9959" s="23" t="s">
        <v>34</v>
      </c>
      <c r="L9959" s="25">
        <v>39556.68920138889</v>
      </c>
      <c r="M9959" s="26" t="s">
        <v>1961</v>
      </c>
      <c r="N9959" s="26" t="s">
        <v>1962</v>
      </c>
      <c r="O9959" s="22" t="str">
        <f>HYPERLINK("https://pbs.twimg.com/profile_images/2383496814/8p8tjkit7a1nmjrarib6_normal.jpeg","View")</f>
        <v>View</v>
      </c>
      <c r="P9959" s="27"/>
    </row>
    <row r="9960">
      <c r="A9960" s="14">
        <v>43032.15106481481</v>
      </c>
      <c r="B9960" s="20" t="str">
        <f>HYPERLINK("https://twitter.com/n27VpjzEKCB8kah","@n27VpjzEKCB8kah")</f>
        <v>@n27VpjzEKCB8kah</v>
      </c>
      <c r="C9960" s="21" t="s">
        <v>21479</v>
      </c>
      <c r="D9960" s="21" t="s">
        <v>42</v>
      </c>
      <c r="E9960" s="22" t="str">
        <f>HYPERLINK("https://twitter.com/n27VpjzEKCB8kah/status/922774050555826176","922774050555826176")</f>
        <v>922774050555826176</v>
      </c>
      <c r="F9960" s="23" t="s">
        <v>33</v>
      </c>
      <c r="G9960" s="24">
        <v>14.0</v>
      </c>
      <c r="H9960" s="24">
        <v>158.0</v>
      </c>
      <c r="I9960" s="24">
        <v>8501.0</v>
      </c>
      <c r="J9960" s="24">
        <v>0.0</v>
      </c>
      <c r="K9960" s="23" t="s">
        <v>34</v>
      </c>
      <c r="L9960" s="25">
        <v>43028.01011574074</v>
      </c>
      <c r="M9960" s="26" t="s">
        <v>21480</v>
      </c>
      <c r="N9960" s="28"/>
      <c r="O9960" s="22" t="str">
        <f>HYPERLINK("https://pbs.twimg.com/profile_images/922776623232966656/RqjahE4X_normal.jpg","View")</f>
        <v>View</v>
      </c>
      <c r="P9960" s="27"/>
    </row>
    <row r="9961">
      <c r="A9961" s="14">
        <v>43032.1514699074</v>
      </c>
      <c r="B9961" s="20" t="str">
        <f>HYPERLINK("https://twitter.com/Yadira_GILBERT","@Yadira_GILBERT")</f>
        <v>@Yadira_GILBERT</v>
      </c>
      <c r="C9961" s="21" t="s">
        <v>21340</v>
      </c>
      <c r="D9961" s="21" t="s">
        <v>21194</v>
      </c>
      <c r="E9961" s="22" t="str">
        <f>HYPERLINK("https://twitter.com/Yadira_GILBERT/status/922774197167779840","922774197167779840")</f>
        <v>922774197167779840</v>
      </c>
      <c r="F9961" s="23" t="s">
        <v>86</v>
      </c>
      <c r="G9961" s="24">
        <v>336.0</v>
      </c>
      <c r="H9961" s="24">
        <v>398.0</v>
      </c>
      <c r="I9961" s="24">
        <v>35.0</v>
      </c>
      <c r="J9961" s="24">
        <v>0.0</v>
      </c>
      <c r="K9961" s="23" t="s">
        <v>34</v>
      </c>
      <c r="L9961" s="25">
        <v>41684.273460648146</v>
      </c>
      <c r="M9961" s="28"/>
      <c r="N9961" s="28"/>
      <c r="O9961" s="22" t="str">
        <f>HYPERLINK("https://pbs.twimg.com/profile_images/434335023873789953/HQhI7E7V_normal.jpeg","View")</f>
        <v>View</v>
      </c>
      <c r="P9961" s="27"/>
    </row>
    <row r="9962">
      <c r="A9962" s="14">
        <v>43032.15189814815</v>
      </c>
      <c r="B9962" s="20" t="str">
        <f>HYPERLINK("https://twitter.com/evgeniia91","@evgeniia91")</f>
        <v>@evgeniia91</v>
      </c>
      <c r="C9962" s="21" t="s">
        <v>21461</v>
      </c>
      <c r="D9962" s="21" t="s">
        <v>213</v>
      </c>
      <c r="E9962" s="22" t="str">
        <f>HYPERLINK("https://twitter.com/evgeniia91/status/922774351291674624","922774351291674624")</f>
        <v>922774351291674624</v>
      </c>
      <c r="F9962" s="23" t="s">
        <v>55</v>
      </c>
      <c r="G9962" s="24">
        <v>2.0</v>
      </c>
      <c r="H9962" s="24">
        <v>2.0</v>
      </c>
      <c r="I9962" s="24">
        <v>94.0</v>
      </c>
      <c r="J9962" s="24">
        <v>0.0</v>
      </c>
      <c r="K9962" s="23" t="s">
        <v>34</v>
      </c>
      <c r="L9962" s="25">
        <v>43014.409629629634</v>
      </c>
      <c r="M9962" s="28"/>
      <c r="N9962" s="28"/>
      <c r="O9962" s="22" t="str">
        <f>HYPERLINK("https://pbs.twimg.com/profile_images/917332193466236928/eE8xznZ4_normal.jpg","View")</f>
        <v>View</v>
      </c>
      <c r="P9962" s="27"/>
    </row>
    <row r="9963">
      <c r="A9963" s="14">
        <v>43032.15222222223</v>
      </c>
      <c r="B9963" s="20" t="str">
        <f t="shared" ref="B9963:B9964" si="213">HYPERLINK("https://twitter.com/yuuji_K1","@yuuji_K1")</f>
        <v>@yuuji_K1</v>
      </c>
      <c r="C9963" s="21" t="s">
        <v>5882</v>
      </c>
      <c r="D9963" s="21" t="s">
        <v>20850</v>
      </c>
      <c r="E9963" s="22" t="str">
        <f>HYPERLINK("https://twitter.com/yuuji_K1/status/922774470204407808","922774470204407808")</f>
        <v>922774470204407808</v>
      </c>
      <c r="F9963" s="23" t="s">
        <v>39</v>
      </c>
      <c r="G9963" s="24">
        <v>2341.0</v>
      </c>
      <c r="H9963" s="24">
        <v>2256.0</v>
      </c>
      <c r="I9963" s="24">
        <v>3.0</v>
      </c>
      <c r="J9963" s="24">
        <v>0.0</v>
      </c>
      <c r="K9963" s="23" t="s">
        <v>34</v>
      </c>
      <c r="L9963" s="25">
        <v>41720.116006944445</v>
      </c>
      <c r="M9963" s="28"/>
      <c r="N9963" s="26" t="s">
        <v>5883</v>
      </c>
      <c r="O9963" s="22" t="str">
        <f t="shared" ref="O9963:O9964" si="214">HYPERLINK("https://pbs.twimg.com/profile_images/447319649642770432/l3MsVwx__normal.jpeg","View")</f>
        <v>View</v>
      </c>
      <c r="P9963" s="27"/>
    </row>
    <row r="9964">
      <c r="A9964" s="14">
        <v>43032.15226851852</v>
      </c>
      <c r="B9964" s="20" t="str">
        <f t="shared" si="213"/>
        <v>@yuuji_K1</v>
      </c>
      <c r="C9964" s="21" t="s">
        <v>5882</v>
      </c>
      <c r="D9964" s="21" t="s">
        <v>20842</v>
      </c>
      <c r="E9964" s="22" t="str">
        <f>HYPERLINK("https://twitter.com/yuuji_K1/status/922774486759350272","922774486759350272")</f>
        <v>922774486759350272</v>
      </c>
      <c r="F9964" s="23" t="s">
        <v>39</v>
      </c>
      <c r="G9964" s="24">
        <v>2341.0</v>
      </c>
      <c r="H9964" s="24">
        <v>2256.0</v>
      </c>
      <c r="I9964" s="24">
        <v>6.0</v>
      </c>
      <c r="J9964" s="24">
        <v>0.0</v>
      </c>
      <c r="K9964" s="23" t="s">
        <v>34</v>
      </c>
      <c r="L9964" s="25">
        <v>41720.116006944445</v>
      </c>
      <c r="M9964" s="28"/>
      <c r="N9964" s="26" t="s">
        <v>5883</v>
      </c>
      <c r="O9964" s="22" t="str">
        <f t="shared" si="214"/>
        <v>View</v>
      </c>
      <c r="P9964" s="27"/>
    </row>
    <row r="9965">
      <c r="A9965" s="14">
        <v>43032.15261574074</v>
      </c>
      <c r="B9965" s="20" t="str">
        <f>HYPERLINK("https://twitter.com/alexcamill","@alexcamill")</f>
        <v>@alexcamill</v>
      </c>
      <c r="C9965" s="21" t="s">
        <v>21481</v>
      </c>
      <c r="D9965" s="21" t="s">
        <v>21191</v>
      </c>
      <c r="E9965" s="22" t="str">
        <f>HYPERLINK("https://twitter.com/alexcamill/status/922774610743058432","922774610743058432")</f>
        <v>922774610743058432</v>
      </c>
      <c r="F9965" s="23" t="s">
        <v>21482</v>
      </c>
      <c r="G9965" s="24">
        <v>358.0</v>
      </c>
      <c r="H9965" s="24">
        <v>2228.0</v>
      </c>
      <c r="I9965" s="24">
        <v>42.0</v>
      </c>
      <c r="J9965" s="24">
        <v>0.0</v>
      </c>
      <c r="K9965" s="23" t="s">
        <v>34</v>
      </c>
      <c r="L9965" s="25">
        <v>40212.13171296296</v>
      </c>
      <c r="M9965" s="26" t="s">
        <v>9802</v>
      </c>
      <c r="N9965" s="26" t="s">
        <v>21483</v>
      </c>
      <c r="O9965" s="22" t="str">
        <f>HYPERLINK("https://pbs.twimg.com/profile_images/918735413363265536/w8V-Ge5G_normal.jpg","View")</f>
        <v>View</v>
      </c>
      <c r="P9965" s="27"/>
    </row>
    <row r="9966">
      <c r="A9966" s="14">
        <v>43032.15263888889</v>
      </c>
      <c r="B9966" s="20" t="str">
        <f>HYPERLINK("https://twitter.com/SUBHANKARNAG4","@SUBHANKARNAG4")</f>
        <v>@SUBHANKARNAG4</v>
      </c>
      <c r="C9966" s="21" t="s">
        <v>21484</v>
      </c>
      <c r="D9966" s="21" t="s">
        <v>42</v>
      </c>
      <c r="E9966" s="22" t="str">
        <f>HYPERLINK("https://twitter.com/SUBHANKARNAG4/status/922774620297560064","922774620297560064")</f>
        <v>922774620297560064</v>
      </c>
      <c r="F9966" s="23" t="s">
        <v>33</v>
      </c>
      <c r="G9966" s="24">
        <v>5.0</v>
      </c>
      <c r="H9966" s="24">
        <v>36.0</v>
      </c>
      <c r="I9966" s="24">
        <v>8501.0</v>
      </c>
      <c r="J9966" s="24">
        <v>0.0</v>
      </c>
      <c r="K9966" s="23" t="s">
        <v>34</v>
      </c>
      <c r="L9966" s="25">
        <v>43017.58814814815</v>
      </c>
      <c r="M9966" s="28"/>
      <c r="N9966" s="28"/>
      <c r="O9966" s="22" t="str">
        <f>HYPERLINK("https://abs.twimg.com/sticky/default_profile_images/default_profile_normal.png","View")</f>
        <v>View</v>
      </c>
      <c r="P9966" s="27"/>
    </row>
    <row r="9967">
      <c r="A9967" s="14">
        <v>43032.15277777778</v>
      </c>
      <c r="B9967" s="20" t="str">
        <f>HYPERLINK("https://twitter.com/prospect_uk","@prospect_uk")</f>
        <v>@prospect_uk</v>
      </c>
      <c r="C9967" s="21" t="s">
        <v>21485</v>
      </c>
      <c r="D9967" s="21" t="s">
        <v>21486</v>
      </c>
      <c r="E9967" s="22" t="str">
        <f>HYPERLINK("https://twitter.com/prospect_uk/status/922774670427922432","922774670427922432")</f>
        <v>922774670427922432</v>
      </c>
      <c r="F9967" s="23" t="s">
        <v>769</v>
      </c>
      <c r="G9967" s="24">
        <v>41051.0</v>
      </c>
      <c r="H9967" s="24">
        <v>4681.0</v>
      </c>
      <c r="I9967" s="24">
        <v>1.0</v>
      </c>
      <c r="J9967" s="24">
        <v>0.0</v>
      </c>
      <c r="K9967" s="23" t="s">
        <v>34</v>
      </c>
      <c r="L9967" s="25">
        <v>39864.418125</v>
      </c>
      <c r="M9967" s="26" t="s">
        <v>334</v>
      </c>
      <c r="N9967" s="26" t="s">
        <v>21487</v>
      </c>
      <c r="O9967" s="22" t="str">
        <f>HYPERLINK("https://pbs.twimg.com/profile_images/866635745389367296/P04hHW2R_normal.jpg","View")</f>
        <v>View</v>
      </c>
      <c r="P9967" s="27"/>
    </row>
    <row r="9968">
      <c r="A9968" s="14">
        <v>43032.15295138889</v>
      </c>
      <c r="B9968" s="20" t="str">
        <f>HYPERLINK("https://twitter.com/twittFliy","@twittFliy")</f>
        <v>@twittFliy</v>
      </c>
      <c r="C9968" s="21" t="s">
        <v>1299</v>
      </c>
      <c r="D9968" s="21" t="s">
        <v>21191</v>
      </c>
      <c r="E9968" s="22" t="str">
        <f>HYPERLINK("https://twitter.com/twittFliy/status/922774733262901248","922774733262901248")</f>
        <v>922774733262901248</v>
      </c>
      <c r="F9968" s="23" t="s">
        <v>1300</v>
      </c>
      <c r="G9968" s="24">
        <v>5611.0</v>
      </c>
      <c r="H9968" s="24">
        <v>1769.0</v>
      </c>
      <c r="I9968" s="24">
        <v>42.0</v>
      </c>
      <c r="J9968" s="24">
        <v>0.0</v>
      </c>
      <c r="K9968" s="23" t="s">
        <v>34</v>
      </c>
      <c r="L9968" s="25">
        <v>42240.491898148146</v>
      </c>
      <c r="M9968" s="28"/>
      <c r="N9968" s="26" t="s">
        <v>1301</v>
      </c>
      <c r="O9968" s="22" t="str">
        <f>HYPERLINK("https://pbs.twimg.com/profile_images/635931039215583232/NLUpEzNY_normal.jpg","View")</f>
        <v>View</v>
      </c>
      <c r="P9968" s="27"/>
    </row>
    <row r="9969">
      <c r="A9969" s="14">
        <v>43032.152962962966</v>
      </c>
      <c r="B9969" s="20" t="str">
        <f>HYPERLINK("https://twitter.com/Rico05645968","@Rico05645968")</f>
        <v>@Rico05645968</v>
      </c>
      <c r="C9969" s="21" t="s">
        <v>21488</v>
      </c>
      <c r="D9969" s="21" t="s">
        <v>126</v>
      </c>
      <c r="E9969" s="22" t="str">
        <f>HYPERLINK("https://twitter.com/Rico05645968/status/922774735879942144","922774735879942144")</f>
        <v>922774735879942144</v>
      </c>
      <c r="F9969" s="23" t="s">
        <v>33</v>
      </c>
      <c r="G9969" s="24">
        <v>3655.0</v>
      </c>
      <c r="H9969" s="24">
        <v>2711.0</v>
      </c>
      <c r="I9969" s="24">
        <v>62.0</v>
      </c>
      <c r="J9969" s="24">
        <v>0.0</v>
      </c>
      <c r="K9969" s="23" t="s">
        <v>34</v>
      </c>
      <c r="L9969" s="25">
        <v>42072.87859953704</v>
      </c>
      <c r="M9969" s="26" t="s">
        <v>21489</v>
      </c>
      <c r="N9969" s="26" t="s">
        <v>21490</v>
      </c>
      <c r="O9969" s="22" t="str">
        <f>HYPERLINK("https://pbs.twimg.com/profile_images/636674406861791232/Ob3mtoKu_normal.jpg","View")</f>
        <v>View</v>
      </c>
      <c r="P9969" s="27"/>
    </row>
    <row r="9970">
      <c r="A9970" s="14">
        <v>43032.15304398148</v>
      </c>
      <c r="B9970" s="20" t="str">
        <f t="shared" ref="B9970:B9972" si="215">HYPERLINK("https://twitter.com/yuuji_K1","@yuuji_K1")</f>
        <v>@yuuji_K1</v>
      </c>
      <c r="C9970" s="21" t="s">
        <v>5882</v>
      </c>
      <c r="D9970" s="21" t="s">
        <v>21231</v>
      </c>
      <c r="E9970" s="22" t="str">
        <f>HYPERLINK("https://twitter.com/yuuji_K1/status/922774767995797505","922774767995797505")</f>
        <v>922774767995797505</v>
      </c>
      <c r="F9970" s="23" t="s">
        <v>39</v>
      </c>
      <c r="G9970" s="24">
        <v>2341.0</v>
      </c>
      <c r="H9970" s="24">
        <v>2256.0</v>
      </c>
      <c r="I9970" s="24">
        <v>2.0</v>
      </c>
      <c r="J9970" s="24">
        <v>0.0</v>
      </c>
      <c r="K9970" s="23" t="s">
        <v>34</v>
      </c>
      <c r="L9970" s="25">
        <v>41720.116006944445</v>
      </c>
      <c r="M9970" s="28"/>
      <c r="N9970" s="26" t="s">
        <v>5883</v>
      </c>
      <c r="O9970" s="22" t="str">
        <f t="shared" ref="O9970:O9972" si="216">HYPERLINK("https://pbs.twimg.com/profile_images/447319649642770432/l3MsVwx__normal.jpeg","View")</f>
        <v>View</v>
      </c>
      <c r="P9970" s="27"/>
    </row>
    <row r="9971">
      <c r="A9971" s="14">
        <v>43032.153090277774</v>
      </c>
      <c r="B9971" s="20" t="str">
        <f t="shared" si="215"/>
        <v>@yuuji_K1</v>
      </c>
      <c r="C9971" s="21" t="s">
        <v>5882</v>
      </c>
      <c r="D9971" s="21" t="s">
        <v>21491</v>
      </c>
      <c r="E9971" s="22" t="str">
        <f>HYPERLINK("https://twitter.com/yuuji_K1/status/922774782298308608","922774782298308608")</f>
        <v>922774782298308608</v>
      </c>
      <c r="F9971" s="23" t="s">
        <v>39</v>
      </c>
      <c r="G9971" s="24">
        <v>2341.0</v>
      </c>
      <c r="H9971" s="24">
        <v>2256.0</v>
      </c>
      <c r="I9971" s="24">
        <v>1.0</v>
      </c>
      <c r="J9971" s="24">
        <v>0.0</v>
      </c>
      <c r="K9971" s="23" t="s">
        <v>34</v>
      </c>
      <c r="L9971" s="25">
        <v>41720.116006944445</v>
      </c>
      <c r="M9971" s="28"/>
      <c r="N9971" s="26" t="s">
        <v>5883</v>
      </c>
      <c r="O9971" s="22" t="str">
        <f t="shared" si="216"/>
        <v>View</v>
      </c>
      <c r="P9971" s="27"/>
    </row>
    <row r="9972">
      <c r="A9972" s="14">
        <v>43032.15332175926</v>
      </c>
      <c r="B9972" s="20" t="str">
        <f t="shared" si="215"/>
        <v>@yuuji_K1</v>
      </c>
      <c r="C9972" s="21" t="s">
        <v>5882</v>
      </c>
      <c r="D9972" s="21" t="s">
        <v>21492</v>
      </c>
      <c r="E9972" s="22" t="str">
        <f>HYPERLINK("https://twitter.com/yuuji_K1/status/922774868319395841","922774868319395841")</f>
        <v>922774868319395841</v>
      </c>
      <c r="F9972" s="23" t="s">
        <v>39</v>
      </c>
      <c r="G9972" s="24">
        <v>2341.0</v>
      </c>
      <c r="H9972" s="24">
        <v>2256.0</v>
      </c>
      <c r="I9972" s="24">
        <v>1.0</v>
      </c>
      <c r="J9972" s="24">
        <v>0.0</v>
      </c>
      <c r="K9972" s="23" t="s">
        <v>34</v>
      </c>
      <c r="L9972" s="25">
        <v>41720.116006944445</v>
      </c>
      <c r="M9972" s="28"/>
      <c r="N9972" s="26" t="s">
        <v>5883</v>
      </c>
      <c r="O9972" s="22" t="str">
        <f t="shared" si="216"/>
        <v>View</v>
      </c>
      <c r="P9972" s="27"/>
    </row>
    <row r="9973">
      <c r="A9973" s="14">
        <v>43032.15383101851</v>
      </c>
      <c r="B9973" s="20" t="str">
        <f>HYPERLINK("https://twitter.com/asiapacifier","@asiapacifier")</f>
        <v>@asiapacifier</v>
      </c>
      <c r="C9973" s="21" t="s">
        <v>21235</v>
      </c>
      <c r="D9973" s="21" t="s">
        <v>21493</v>
      </c>
      <c r="E9973" s="22" t="str">
        <f>HYPERLINK("https://twitter.com/asiapacifier/status/922775050788458503","922775050788458503")</f>
        <v>922775050788458503</v>
      </c>
      <c r="F9973" s="23" t="s">
        <v>55</v>
      </c>
      <c r="G9973" s="24">
        <v>26.0</v>
      </c>
      <c r="H9973" s="24">
        <v>89.0</v>
      </c>
      <c r="I9973" s="24">
        <v>0.0</v>
      </c>
      <c r="J9973" s="24">
        <v>0.0</v>
      </c>
      <c r="K9973" s="23" t="s">
        <v>34</v>
      </c>
      <c r="L9973" s="25">
        <v>40198.43430555556</v>
      </c>
      <c r="M9973" s="26" t="s">
        <v>13309</v>
      </c>
      <c r="N9973" s="26" t="s">
        <v>21237</v>
      </c>
      <c r="O9973" s="22" t="str">
        <f>HYPERLINK("https://pbs.twimg.com/profile_images/909084143883112449/thCPG5Q9_normal.jpg","View")</f>
        <v>View</v>
      </c>
      <c r="P9973" s="27"/>
    </row>
    <row r="9974">
      <c r="A9974" s="14">
        <v>43032.154236111106</v>
      </c>
      <c r="B9974" s="20" t="str">
        <f>HYPERLINK("https://twitter.com/sanjay_80075","@sanjay_80075")</f>
        <v>@sanjay_80075</v>
      </c>
      <c r="C9974" s="21" t="s">
        <v>21494</v>
      </c>
      <c r="D9974" s="21" t="s">
        <v>42</v>
      </c>
      <c r="E9974" s="22" t="str">
        <f>HYPERLINK("https://twitter.com/sanjay_80075/status/922775201221185536","922775201221185536")</f>
        <v>922775201221185536</v>
      </c>
      <c r="F9974" s="23" t="s">
        <v>33</v>
      </c>
      <c r="G9974" s="24">
        <v>187.0</v>
      </c>
      <c r="H9974" s="24">
        <v>723.0</v>
      </c>
      <c r="I9974" s="24">
        <v>8501.0</v>
      </c>
      <c r="J9974" s="24">
        <v>0.0</v>
      </c>
      <c r="K9974" s="23" t="s">
        <v>34</v>
      </c>
      <c r="L9974" s="25">
        <v>41532.4484375</v>
      </c>
      <c r="M9974" s="26" t="s">
        <v>21495</v>
      </c>
      <c r="N9974" s="28"/>
      <c r="O9974" s="22" t="str">
        <f>HYPERLINK("https://pbs.twimg.com/profile_images/899124014097997824/S87NDw93_normal.jpg","View")</f>
        <v>View</v>
      </c>
      <c r="P9974" s="27"/>
    </row>
    <row r="9975">
      <c r="A9975" s="14">
        <v>43032.15436342593</v>
      </c>
      <c r="B9975" s="20" t="str">
        <f>HYPERLINK("https://twitter.com/NileshMerchant3","@NileshMerchant3")</f>
        <v>@NileshMerchant3</v>
      </c>
      <c r="C9975" s="21" t="s">
        <v>21496</v>
      </c>
      <c r="D9975" s="21" t="s">
        <v>42</v>
      </c>
      <c r="E9975" s="22" t="str">
        <f>HYPERLINK("https://twitter.com/NileshMerchant3/status/922775243659214848","922775243659214848")</f>
        <v>922775243659214848</v>
      </c>
      <c r="F9975" s="23" t="s">
        <v>33</v>
      </c>
      <c r="G9975" s="24">
        <v>64.0</v>
      </c>
      <c r="H9975" s="24">
        <v>181.0</v>
      </c>
      <c r="I9975" s="24">
        <v>8501.0</v>
      </c>
      <c r="J9975" s="24">
        <v>0.0</v>
      </c>
      <c r="K9975" s="23" t="s">
        <v>34</v>
      </c>
      <c r="L9975" s="25">
        <v>42967.03837962963</v>
      </c>
      <c r="M9975" s="26" t="s">
        <v>21497</v>
      </c>
      <c r="N9975" s="26" t="s">
        <v>21498</v>
      </c>
      <c r="O9975" s="22" t="str">
        <f>HYPERLINK("https://pbs.twimg.com/profile_images/916613556237344769/J9wAkYzv_normal.jpg","View")</f>
        <v>View</v>
      </c>
      <c r="P9975" s="27"/>
    </row>
    <row r="9976">
      <c r="A9976" s="14">
        <v>43032.15490740741</v>
      </c>
      <c r="B9976" s="20" t="str">
        <f>HYPERLINK("https://twitter.com/Shiahin_Rodbar","@Shiahin_Rodbar")</f>
        <v>@Shiahin_Rodbar</v>
      </c>
      <c r="C9976" s="21" t="s">
        <v>21499</v>
      </c>
      <c r="D9976" s="21" t="s">
        <v>21202</v>
      </c>
      <c r="E9976" s="22" t="str">
        <f>HYPERLINK("https://twitter.com/Shiahin_Rodbar/status/922775441915736064","922775441915736064")</f>
        <v>922775441915736064</v>
      </c>
      <c r="F9976" s="23" t="s">
        <v>86</v>
      </c>
      <c r="G9976" s="24">
        <v>508.0</v>
      </c>
      <c r="H9976" s="24">
        <v>435.0</v>
      </c>
      <c r="I9976" s="24">
        <v>79.0</v>
      </c>
      <c r="J9976" s="24">
        <v>0.0</v>
      </c>
      <c r="K9976" s="23" t="s">
        <v>34</v>
      </c>
      <c r="L9976" s="25">
        <v>41667.47434027778</v>
      </c>
      <c r="M9976" s="28"/>
      <c r="N9976" s="28"/>
      <c r="O9976" s="22" t="str">
        <f>HYPERLINK("https://pbs.twimg.com/profile_images/428248394545377280/HLr9Lb9o_normal.jpeg","View")</f>
        <v>View</v>
      </c>
      <c r="P9976" s="27"/>
    </row>
    <row r="9977">
      <c r="A9977" s="14">
        <v>43032.155381944445</v>
      </c>
      <c r="B9977" s="20" t="str">
        <f>HYPERLINK("https://twitter.com/Hermesinvest","@Hermesinvest")</f>
        <v>@Hermesinvest</v>
      </c>
      <c r="C9977" s="21" t="s">
        <v>21500</v>
      </c>
      <c r="D9977" s="21" t="s">
        <v>21454</v>
      </c>
      <c r="E9977" s="22" t="str">
        <f>HYPERLINK("https://twitter.com/Hermesinvest/status/922775615371141120","922775615371141120")</f>
        <v>922775615371141120</v>
      </c>
      <c r="F9977" s="23" t="s">
        <v>39</v>
      </c>
      <c r="G9977" s="24">
        <v>10038.0</v>
      </c>
      <c r="H9977" s="24">
        <v>1757.0</v>
      </c>
      <c r="I9977" s="24">
        <v>3.0</v>
      </c>
      <c r="J9977" s="24">
        <v>0.0</v>
      </c>
      <c r="K9977" s="23" t="s">
        <v>34</v>
      </c>
      <c r="L9977" s="25">
        <v>41310.53545138889</v>
      </c>
      <c r="M9977" s="28"/>
      <c r="N9977" s="26" t="s">
        <v>21501</v>
      </c>
      <c r="O9977" s="22" t="str">
        <f>HYPERLINK("https://pbs.twimg.com/profile_images/506062739874140160/a2W1mn8w_normal.jpeg","View")</f>
        <v>View</v>
      </c>
      <c r="P9977" s="27"/>
    </row>
    <row r="9978">
      <c r="A9978" s="14">
        <v>43032.15557870371</v>
      </c>
      <c r="B9978" s="20" t="str">
        <f>HYPERLINK("https://twitter.com/Shiahin_Rodbar","@Shiahin_Rodbar")</f>
        <v>@Shiahin_Rodbar</v>
      </c>
      <c r="C9978" s="21" t="s">
        <v>21499</v>
      </c>
      <c r="D9978" s="21" t="s">
        <v>21203</v>
      </c>
      <c r="E9978" s="22" t="str">
        <f>HYPERLINK("https://twitter.com/Shiahin_Rodbar/status/922775687538315264","922775687538315264")</f>
        <v>922775687538315264</v>
      </c>
      <c r="F9978" s="23" t="s">
        <v>86</v>
      </c>
      <c r="G9978" s="24">
        <v>508.0</v>
      </c>
      <c r="H9978" s="24">
        <v>435.0</v>
      </c>
      <c r="I9978" s="24">
        <v>75.0</v>
      </c>
      <c r="J9978" s="24">
        <v>0.0</v>
      </c>
      <c r="K9978" s="23" t="s">
        <v>34</v>
      </c>
      <c r="L9978" s="25">
        <v>41667.47434027778</v>
      </c>
      <c r="M9978" s="28"/>
      <c r="N9978" s="28"/>
      <c r="O9978" s="22" t="str">
        <f>HYPERLINK("https://pbs.twimg.com/profile_images/428248394545377280/HLr9Lb9o_normal.jpeg","View")</f>
        <v>View</v>
      </c>
      <c r="P9978" s="27"/>
    </row>
    <row r="9979">
      <c r="A9979" s="14">
        <v>43032.15590277778</v>
      </c>
      <c r="B9979" s="20" t="str">
        <f>HYPERLINK("https://twitter.com/BloombergTV","@BloombergTV")</f>
        <v>@BloombergTV</v>
      </c>
      <c r="C9979" s="21" t="s">
        <v>1723</v>
      </c>
      <c r="D9979" s="21" t="s">
        <v>21502</v>
      </c>
      <c r="E9979" s="22" t="str">
        <f>HYPERLINK("https://twitter.com/BloombergTV/status/922775804458819586","922775804458819586")</f>
        <v>922775804458819586</v>
      </c>
      <c r="F9979" s="23" t="s">
        <v>1103</v>
      </c>
      <c r="G9979" s="24">
        <v>452742.0</v>
      </c>
      <c r="H9979" s="24">
        <v>458.0</v>
      </c>
      <c r="I9979" s="24">
        <v>1.0</v>
      </c>
      <c r="J9979" s="24">
        <v>2.0</v>
      </c>
      <c r="K9979" s="23" t="s">
        <v>34</v>
      </c>
      <c r="L9979" s="25">
        <v>39927.48997685185</v>
      </c>
      <c r="M9979" s="26" t="s">
        <v>389</v>
      </c>
      <c r="N9979" s="26" t="s">
        <v>1725</v>
      </c>
      <c r="O9979" s="22" t="str">
        <f>HYPERLINK("https://pbs.twimg.com/profile_images/714801760632770560/7My2hMBt_normal.jpg","View")</f>
        <v>View</v>
      </c>
      <c r="P9979" s="27"/>
    </row>
    <row r="9980">
      <c r="A9980" s="14">
        <v>43032.15623842593</v>
      </c>
      <c r="B9980" s="20" t="str">
        <f>HYPERLINK("https://twitter.com/Shiahin_Rodbar","@Shiahin_Rodbar")</f>
        <v>@Shiahin_Rodbar</v>
      </c>
      <c r="C9980" s="21" t="s">
        <v>21499</v>
      </c>
      <c r="D9980" s="21" t="s">
        <v>21243</v>
      </c>
      <c r="E9980" s="22" t="str">
        <f>HYPERLINK("https://twitter.com/Shiahin_Rodbar/status/922775925086937088","922775925086937088")</f>
        <v>922775925086937088</v>
      </c>
      <c r="F9980" s="23" t="s">
        <v>86</v>
      </c>
      <c r="G9980" s="24">
        <v>508.0</v>
      </c>
      <c r="H9980" s="24">
        <v>435.0</v>
      </c>
      <c r="I9980" s="24">
        <v>41.0</v>
      </c>
      <c r="J9980" s="24">
        <v>0.0</v>
      </c>
      <c r="K9980" s="23" t="s">
        <v>34</v>
      </c>
      <c r="L9980" s="25">
        <v>41667.47434027778</v>
      </c>
      <c r="M9980" s="28"/>
      <c r="N9980" s="28"/>
      <c r="O9980" s="22" t="str">
        <f>HYPERLINK("https://pbs.twimg.com/profile_images/428248394545377280/HLr9Lb9o_normal.jpeg","View")</f>
        <v>View</v>
      </c>
      <c r="P9980" s="27"/>
    </row>
    <row r="9981">
      <c r="A9981" s="14">
        <v>43032.15640046296</v>
      </c>
      <c r="B9981" s="20" t="str">
        <f>HYPERLINK("https://twitter.com/asp_lankaze","@asp_lankaze")</f>
        <v>@asp_lankaze</v>
      </c>
      <c r="C9981" s="21" t="s">
        <v>21503</v>
      </c>
      <c r="D9981" s="21" t="s">
        <v>20700</v>
      </c>
      <c r="E9981" s="22" t="str">
        <f>HYPERLINK("https://twitter.com/asp_lankaze/status/922775982150262784","922775982150262784")</f>
        <v>922775982150262784</v>
      </c>
      <c r="F9981" s="23" t="s">
        <v>39</v>
      </c>
      <c r="G9981" s="24">
        <v>1142.0</v>
      </c>
      <c r="H9981" s="24">
        <v>840.0</v>
      </c>
      <c r="I9981" s="24">
        <v>27.0</v>
      </c>
      <c r="J9981" s="24">
        <v>0.0</v>
      </c>
      <c r="K9981" s="23" t="s">
        <v>34</v>
      </c>
      <c r="L9981" s="25">
        <v>41504.316145833334</v>
      </c>
      <c r="M9981" s="26" t="s">
        <v>21504</v>
      </c>
      <c r="N9981" s="26" t="s">
        <v>21505</v>
      </c>
      <c r="O9981" s="22" t="str">
        <f>HYPERLINK("https://pbs.twimg.com/profile_images/798886204578013184/yKE-7gNp_normal.jpg","View")</f>
        <v>View</v>
      </c>
      <c r="P9981" s="27"/>
    </row>
    <row r="9982">
      <c r="A9982" s="14">
        <v>43032.15689814815</v>
      </c>
      <c r="B9982" s="20" t="str">
        <f>HYPERLINK("https://twitter.com/Shiahin_Rodbar","@Shiahin_Rodbar")</f>
        <v>@Shiahin_Rodbar</v>
      </c>
      <c r="C9982" s="21" t="s">
        <v>21499</v>
      </c>
      <c r="D9982" s="21" t="s">
        <v>21191</v>
      </c>
      <c r="E9982" s="22" t="str">
        <f>HYPERLINK("https://twitter.com/Shiahin_Rodbar/status/922776163038220289","922776163038220289")</f>
        <v>922776163038220289</v>
      </c>
      <c r="F9982" s="23" t="s">
        <v>86</v>
      </c>
      <c r="G9982" s="24">
        <v>508.0</v>
      </c>
      <c r="H9982" s="24">
        <v>435.0</v>
      </c>
      <c r="I9982" s="24">
        <v>42.0</v>
      </c>
      <c r="J9982" s="24">
        <v>0.0</v>
      </c>
      <c r="K9982" s="23" t="s">
        <v>34</v>
      </c>
      <c r="L9982" s="25">
        <v>41667.47434027778</v>
      </c>
      <c r="M9982" s="28"/>
      <c r="N9982" s="28"/>
      <c r="O9982" s="22" t="str">
        <f>HYPERLINK("https://pbs.twimg.com/profile_images/428248394545377280/HLr9Lb9o_normal.jpeg","View")</f>
        <v>View</v>
      </c>
      <c r="P9982" s="27"/>
    </row>
    <row r="9983">
      <c r="A9983" s="14">
        <v>43032.157430555555</v>
      </c>
      <c r="B9983" s="20" t="str">
        <f>HYPERLINK("https://twitter.com/angelbeastster","@angelbeastster")</f>
        <v>@angelbeastster</v>
      </c>
      <c r="C9983" s="21" t="s">
        <v>21506</v>
      </c>
      <c r="D9983" s="21" t="s">
        <v>19621</v>
      </c>
      <c r="E9983" s="22" t="str">
        <f>HYPERLINK("https://twitter.com/angelbeastster/status/922776358434099200","922776358434099200")</f>
        <v>922776358434099200</v>
      </c>
      <c r="F9983" s="23" t="s">
        <v>39</v>
      </c>
      <c r="G9983" s="24">
        <v>199.0</v>
      </c>
      <c r="H9983" s="24">
        <v>721.0</v>
      </c>
      <c r="I9983" s="24">
        <v>18.0</v>
      </c>
      <c r="J9983" s="24">
        <v>0.0</v>
      </c>
      <c r="K9983" s="23" t="s">
        <v>34</v>
      </c>
      <c r="L9983" s="25">
        <v>40292.264710648145</v>
      </c>
      <c r="M9983" s="26" t="s">
        <v>10709</v>
      </c>
      <c r="N9983" s="26" t="s">
        <v>21507</v>
      </c>
      <c r="O9983" s="22" t="str">
        <f>HYPERLINK("https://pbs.twimg.com/profile_images/724982532022910976/FUaSbRS2_normal.jpg","View")</f>
        <v>View</v>
      </c>
      <c r="P9983" s="27"/>
    </row>
    <row r="9984">
      <c r="A9984" s="14">
        <v>43032.15787037037</v>
      </c>
      <c r="B9984" s="20" t="str">
        <f>HYPERLINK("https://twitter.com/crajkumarsingh1","@crajkumarsingh1")</f>
        <v>@crajkumarsingh1</v>
      </c>
      <c r="C9984" s="21" t="s">
        <v>21508</v>
      </c>
      <c r="D9984" s="21" t="s">
        <v>42</v>
      </c>
      <c r="E9984" s="22" t="str">
        <f>HYPERLINK("https://twitter.com/crajkumarsingh1/status/922776516487921665","922776516487921665")</f>
        <v>922776516487921665</v>
      </c>
      <c r="F9984" s="23" t="s">
        <v>39</v>
      </c>
      <c r="G9984" s="24">
        <v>22.0</v>
      </c>
      <c r="H9984" s="24">
        <v>146.0</v>
      </c>
      <c r="I9984" s="24">
        <v>8501.0</v>
      </c>
      <c r="J9984" s="24">
        <v>0.0</v>
      </c>
      <c r="K9984" s="23" t="s">
        <v>34</v>
      </c>
      <c r="L9984" s="25">
        <v>41811.869733796295</v>
      </c>
      <c r="M9984" s="28"/>
      <c r="N9984" s="28"/>
      <c r="O9984" s="22" t="str">
        <f>HYPERLINK("https://abs.twimg.com/sticky/default_profile_images/default_profile_normal.png","View")</f>
        <v>View</v>
      </c>
      <c r="P9984" s="27"/>
    </row>
    <row r="9985">
      <c r="A9985" s="14">
        <v>43032.15792824074</v>
      </c>
      <c r="B9985" s="20" t="str">
        <f>HYPERLINK("https://twitter.com/DaraniPrasanta","@DaraniPrasanta")</f>
        <v>@DaraniPrasanta</v>
      </c>
      <c r="C9985" s="21" t="s">
        <v>21509</v>
      </c>
      <c r="D9985" s="21" t="s">
        <v>42</v>
      </c>
      <c r="E9985" s="22" t="str">
        <f>HYPERLINK("https://twitter.com/DaraniPrasanta/status/922776536679268352","922776536679268352")</f>
        <v>922776536679268352</v>
      </c>
      <c r="F9985" s="23" t="s">
        <v>33</v>
      </c>
      <c r="G9985" s="24">
        <v>3.0</v>
      </c>
      <c r="H9985" s="24">
        <v>47.0</v>
      </c>
      <c r="I9985" s="24">
        <v>8501.0</v>
      </c>
      <c r="J9985" s="24">
        <v>0.0</v>
      </c>
      <c r="K9985" s="23" t="s">
        <v>34</v>
      </c>
      <c r="L9985" s="25">
        <v>42999.19060185185</v>
      </c>
      <c r="M9985" s="26" t="s">
        <v>21510</v>
      </c>
      <c r="N9985" s="26" t="s">
        <v>21511</v>
      </c>
      <c r="O9985" s="22" t="str">
        <f>HYPERLINK("https://pbs.twimg.com/profile_images/910831572156276736/dcV-R_KP_normal.jpg","View")</f>
        <v>View</v>
      </c>
      <c r="P9985" s="27"/>
    </row>
    <row r="9986">
      <c r="A9986" s="14">
        <v>43032.158425925925</v>
      </c>
      <c r="B9986" s="20" t="str">
        <f>HYPERLINK("https://twitter.com/moejunko","@moejunko")</f>
        <v>@moejunko</v>
      </c>
      <c r="C9986" s="21" t="s">
        <v>21512</v>
      </c>
      <c r="D9986" s="21" t="s">
        <v>17300</v>
      </c>
      <c r="E9986" s="22" t="str">
        <f>HYPERLINK("https://twitter.com/moejunko/status/922776716166119424","922776716166119424")</f>
        <v>922776716166119424</v>
      </c>
      <c r="F9986" s="23" t="s">
        <v>39</v>
      </c>
      <c r="G9986" s="24">
        <v>7209.0</v>
      </c>
      <c r="H9986" s="24">
        <v>6701.0</v>
      </c>
      <c r="I9986" s="24">
        <v>7.0</v>
      </c>
      <c r="J9986" s="24">
        <v>0.0</v>
      </c>
      <c r="K9986" s="23" t="s">
        <v>34</v>
      </c>
      <c r="L9986" s="25">
        <v>41394.315729166665</v>
      </c>
      <c r="M9986" s="26" t="s">
        <v>17381</v>
      </c>
      <c r="N9986" s="26" t="s">
        <v>21513</v>
      </c>
      <c r="O9986" s="22" t="str">
        <f>HYPERLINK("https://pbs.twimg.com/profile_images/907619994002800640/1fsy3bPC_normal.jpg","View")</f>
        <v>View</v>
      </c>
      <c r="P9986" s="27"/>
    </row>
    <row r="9987">
      <c r="A9987" s="14">
        <v>43032.158692129626</v>
      </c>
      <c r="B9987" s="20" t="str">
        <f>HYPERLINK("https://twitter.com/AjeetKumarDannu","@AjeetKumarDannu")</f>
        <v>@AjeetKumarDannu</v>
      </c>
      <c r="C9987" s="21" t="s">
        <v>21514</v>
      </c>
      <c r="D9987" s="21" t="s">
        <v>42</v>
      </c>
      <c r="E9987" s="22" t="str">
        <f>HYPERLINK("https://twitter.com/AjeetKumarDannu/status/922776815856377857","922776815856377857")</f>
        <v>922776815856377857</v>
      </c>
      <c r="F9987" s="23" t="s">
        <v>33</v>
      </c>
      <c r="G9987" s="24">
        <v>16.0</v>
      </c>
      <c r="H9987" s="24">
        <v>106.0</v>
      </c>
      <c r="I9987" s="24">
        <v>8501.0</v>
      </c>
      <c r="J9987" s="24">
        <v>0.0</v>
      </c>
      <c r="K9987" s="23" t="s">
        <v>34</v>
      </c>
      <c r="L9987" s="25">
        <v>42763.93096064815</v>
      </c>
      <c r="M9987" s="26" t="s">
        <v>21515</v>
      </c>
      <c r="N9987" s="26" t="s">
        <v>21516</v>
      </c>
      <c r="O9987" s="22" t="str">
        <f>HYPERLINK("https://pbs.twimg.com/profile_images/909303290071965696/r0F4djMQ_normal.jpg","View")</f>
        <v>View</v>
      </c>
      <c r="P9987" s="27"/>
    </row>
    <row r="9988">
      <c r="A9988" s="14">
        <v>43032.159166666665</v>
      </c>
      <c r="B9988" s="20" t="str">
        <f>HYPERLINK("https://twitter.com/devakikhanna","@devakikhanna")</f>
        <v>@devakikhanna</v>
      </c>
      <c r="C9988" s="21" t="s">
        <v>21517</v>
      </c>
      <c r="D9988" s="21" t="s">
        <v>21518</v>
      </c>
      <c r="E9988" s="22" t="str">
        <f>HYPERLINK("https://twitter.com/devakikhanna/status/922776986157834240","922776986157834240")</f>
        <v>922776986157834240</v>
      </c>
      <c r="F9988" s="23" t="s">
        <v>1570</v>
      </c>
      <c r="G9988" s="24">
        <v>1642.0</v>
      </c>
      <c r="H9988" s="24">
        <v>2088.0</v>
      </c>
      <c r="I9988" s="24">
        <v>0.0</v>
      </c>
      <c r="J9988" s="24">
        <v>0.0</v>
      </c>
      <c r="K9988" s="23" t="s">
        <v>34</v>
      </c>
      <c r="L9988" s="25">
        <v>39897.12462962963</v>
      </c>
      <c r="M9988" s="26" t="s">
        <v>96</v>
      </c>
      <c r="N9988" s="26" t="s">
        <v>21519</v>
      </c>
      <c r="O9988" s="22" t="str">
        <f>HYPERLINK("https://pbs.twimg.com/profile_images/857520874475343873/NBabjVN__normal.jpg","View")</f>
        <v>View</v>
      </c>
      <c r="P9988" s="27"/>
    </row>
    <row r="9989">
      <c r="A9989" s="14">
        <v>43032.15918981482</v>
      </c>
      <c r="B9989" s="20" t="str">
        <f>HYPERLINK("https://twitter.com/DhruvBishnoi11","@DhruvBishnoi11")</f>
        <v>@DhruvBishnoi11</v>
      </c>
      <c r="C9989" s="21" t="s">
        <v>21520</v>
      </c>
      <c r="D9989" s="21" t="s">
        <v>42</v>
      </c>
      <c r="E9989" s="22" t="str">
        <f>HYPERLINK("https://twitter.com/DhruvBishnoi11/status/922776995934515200","922776995934515200")</f>
        <v>922776995934515200</v>
      </c>
      <c r="F9989" s="23" t="s">
        <v>33</v>
      </c>
      <c r="G9989" s="24">
        <v>27.0</v>
      </c>
      <c r="H9989" s="24">
        <v>71.0</v>
      </c>
      <c r="I9989" s="24">
        <v>8501.0</v>
      </c>
      <c r="J9989" s="24">
        <v>0.0</v>
      </c>
      <c r="K9989" s="23" t="s">
        <v>34</v>
      </c>
      <c r="L9989" s="25">
        <v>42880.07261574074</v>
      </c>
      <c r="M9989" s="28"/>
      <c r="N9989" s="28"/>
      <c r="O9989" s="22" t="str">
        <f>HYPERLINK("https://pbs.twimg.com/profile_images/920982183728128000/eNYm4hUl_normal.jpg","View")</f>
        <v>View</v>
      </c>
      <c r="P9989" s="27"/>
    </row>
    <row r="9990">
      <c r="A9990" s="14">
        <v>43032.159525462965</v>
      </c>
      <c r="B9990" s="20" t="str">
        <f>HYPERLINK("https://twitter.com/harish_hubli","@harish_hubli")</f>
        <v>@harish_hubli</v>
      </c>
      <c r="C9990" s="21" t="s">
        <v>21521</v>
      </c>
      <c r="D9990" s="21" t="s">
        <v>163</v>
      </c>
      <c r="E9990" s="22" t="str">
        <f>HYPERLINK("https://twitter.com/harish_hubli/status/922777115400876032","922777115400876032")</f>
        <v>922777115400876032</v>
      </c>
      <c r="F9990" s="23" t="s">
        <v>33</v>
      </c>
      <c r="G9990" s="24">
        <v>218.0</v>
      </c>
      <c r="H9990" s="24">
        <v>279.0</v>
      </c>
      <c r="I9990" s="24">
        <v>1005.0</v>
      </c>
      <c r="J9990" s="24">
        <v>0.0</v>
      </c>
      <c r="K9990" s="23" t="s">
        <v>34</v>
      </c>
      <c r="L9990" s="25">
        <v>40302.98987268518</v>
      </c>
      <c r="M9990" s="26" t="s">
        <v>21522</v>
      </c>
      <c r="N9990" s="26" t="s">
        <v>21523</v>
      </c>
      <c r="O9990" s="22" t="str">
        <f>HYPERLINK("https://pbs.twimg.com/profile_images/600257514517598209/XE5P7I-5_normal.jpg","View")</f>
        <v>View</v>
      </c>
      <c r="P9990" s="27"/>
    </row>
    <row r="9991">
      <c r="A9991" s="14">
        <v>43032.159733796296</v>
      </c>
      <c r="B9991" s="20" t="str">
        <f>HYPERLINK("https://twitter.com/championemotion","@championemotion")</f>
        <v>@championemotion</v>
      </c>
      <c r="C9991" s="21" t="s">
        <v>21524</v>
      </c>
      <c r="D9991" s="21" t="s">
        <v>21202</v>
      </c>
      <c r="E9991" s="22" t="str">
        <f>HYPERLINK("https://twitter.com/championemotion/status/922777190197891072","922777190197891072")</f>
        <v>922777190197891072</v>
      </c>
      <c r="F9991" s="23" t="s">
        <v>86</v>
      </c>
      <c r="G9991" s="24">
        <v>388.0</v>
      </c>
      <c r="H9991" s="24">
        <v>476.0</v>
      </c>
      <c r="I9991" s="24">
        <v>79.0</v>
      </c>
      <c r="J9991" s="24">
        <v>0.0</v>
      </c>
      <c r="K9991" s="23" t="s">
        <v>34</v>
      </c>
      <c r="L9991" s="25">
        <v>41578.41793981481</v>
      </c>
      <c r="M9991" s="26" t="s">
        <v>11949</v>
      </c>
      <c r="N9991" s="26" t="s">
        <v>21141</v>
      </c>
      <c r="O9991" s="22" t="str">
        <f>HYPERLINK("https://pbs.twimg.com/profile_images/378800000676892277/fb3bd56ae51b4b6518d1011589c31f03_normal.jpeg","View")</f>
        <v>View</v>
      </c>
      <c r="P9991" s="27"/>
    </row>
    <row r="9992">
      <c r="A9992" s="14">
        <v>43032.16009259259</v>
      </c>
      <c r="B9992" s="20" t="str">
        <f>HYPERLINK("https://twitter.com/nadeemhaque","@nadeemhaque")</f>
        <v>@nadeemhaque</v>
      </c>
      <c r="C9992" s="21" t="s">
        <v>21525</v>
      </c>
      <c r="D9992" s="21" t="s">
        <v>21526</v>
      </c>
      <c r="E9992" s="22" t="str">
        <f>HYPERLINK("https://twitter.com/nadeemhaque/status/922777323312738304","922777323312738304")</f>
        <v>922777323312738304</v>
      </c>
      <c r="F9992" s="23" t="s">
        <v>230</v>
      </c>
      <c r="G9992" s="24">
        <v>19683.0</v>
      </c>
      <c r="H9992" s="24">
        <v>2104.0</v>
      </c>
      <c r="I9992" s="24">
        <v>1.0</v>
      </c>
      <c r="J9992" s="24">
        <v>0.0</v>
      </c>
      <c r="K9992" s="23" t="s">
        <v>34</v>
      </c>
      <c r="L9992" s="25">
        <v>39878.52939814815</v>
      </c>
      <c r="M9992" s="26" t="s">
        <v>4225</v>
      </c>
      <c r="N9992" s="26" t="s">
        <v>21527</v>
      </c>
      <c r="O9992" s="22" t="str">
        <f>HYPERLINK("https://pbs.twimg.com/profile_images/639517744631820288/ulljVZ3A_normal.jpg","View")</f>
        <v>View</v>
      </c>
      <c r="P9992" s="27"/>
    </row>
    <row r="9993">
      <c r="A9993" s="14">
        <v>43032.16023148148</v>
      </c>
      <c r="B9993" s="20" t="str">
        <f>HYPERLINK("https://twitter.com/debradating","@debradating")</f>
        <v>@debradating</v>
      </c>
      <c r="C9993" s="21" t="s">
        <v>21528</v>
      </c>
      <c r="D9993" s="21" t="s">
        <v>21529</v>
      </c>
      <c r="E9993" s="22" t="str">
        <f>HYPERLINK("https://twitter.com/debradating/status/922777373623357441","922777373623357441")</f>
        <v>922777373623357441</v>
      </c>
      <c r="F9993" s="23" t="s">
        <v>21530</v>
      </c>
      <c r="G9993" s="24">
        <v>270.0</v>
      </c>
      <c r="H9993" s="24">
        <v>1056.0</v>
      </c>
      <c r="I9993" s="24">
        <v>0.0</v>
      </c>
      <c r="J9993" s="24">
        <v>0.0</v>
      </c>
      <c r="K9993" s="23" t="s">
        <v>34</v>
      </c>
      <c r="L9993" s="25">
        <v>42728.97369212963</v>
      </c>
      <c r="M9993" s="26" t="s">
        <v>10709</v>
      </c>
      <c r="N9993" s="28"/>
      <c r="O9993" s="22" t="str">
        <f>HYPERLINK("https://pbs.twimg.com/profile_images/897848428901928960/UDIvK0W0_normal.jpg","View")</f>
        <v>View</v>
      </c>
      <c r="P9993" s="27"/>
    </row>
    <row r="9994">
      <c r="A9994" s="14">
        <v>43032.16024305555</v>
      </c>
      <c r="B9994" s="20" t="str">
        <f>HYPERLINK("https://twitter.com/MyBIZ5","@MyBIZ5")</f>
        <v>@MyBIZ5</v>
      </c>
      <c r="C9994" s="21" t="s">
        <v>21531</v>
      </c>
      <c r="D9994" s="21" t="s">
        <v>21532</v>
      </c>
      <c r="E9994" s="22" t="str">
        <f>HYPERLINK("https://twitter.com/MyBIZ5/status/922777377486397440","922777377486397440")</f>
        <v>922777377486397440</v>
      </c>
      <c r="F9994" s="23" t="s">
        <v>21533</v>
      </c>
      <c r="G9994" s="24">
        <v>433.0</v>
      </c>
      <c r="H9994" s="24">
        <v>602.0</v>
      </c>
      <c r="I9994" s="24">
        <v>0.0</v>
      </c>
      <c r="J9994" s="24">
        <v>0.0</v>
      </c>
      <c r="K9994" s="23" t="s">
        <v>34</v>
      </c>
      <c r="L9994" s="25">
        <v>40905.837743055556</v>
      </c>
      <c r="M9994" s="26" t="s">
        <v>10709</v>
      </c>
      <c r="N9994" s="28"/>
      <c r="O9994" s="22" t="str">
        <f>HYPERLINK("https://pbs.twimg.com/profile_images/459559065283076096/Sa4TmTgF_normal.jpeg","View")</f>
        <v>View</v>
      </c>
      <c r="P9994" s="27"/>
    </row>
    <row r="9995">
      <c r="A9995" s="14">
        <v>43032.16038194444</v>
      </c>
      <c r="B9995" s="20" t="str">
        <f>HYPERLINK("https://twitter.com/championemotion","@championemotion")</f>
        <v>@championemotion</v>
      </c>
      <c r="C9995" s="21" t="s">
        <v>21524</v>
      </c>
      <c r="D9995" s="21" t="s">
        <v>21203</v>
      </c>
      <c r="E9995" s="22" t="str">
        <f>HYPERLINK("https://twitter.com/championemotion/status/922777424596627456","922777424596627456")</f>
        <v>922777424596627456</v>
      </c>
      <c r="F9995" s="23" t="s">
        <v>86</v>
      </c>
      <c r="G9995" s="24">
        <v>388.0</v>
      </c>
      <c r="H9995" s="24">
        <v>476.0</v>
      </c>
      <c r="I9995" s="24">
        <v>75.0</v>
      </c>
      <c r="J9995" s="24">
        <v>0.0</v>
      </c>
      <c r="K9995" s="23" t="s">
        <v>34</v>
      </c>
      <c r="L9995" s="25">
        <v>41578.41793981481</v>
      </c>
      <c r="M9995" s="26" t="s">
        <v>11949</v>
      </c>
      <c r="N9995" s="26" t="s">
        <v>21141</v>
      </c>
      <c r="O9995" s="22" t="str">
        <f>HYPERLINK("https://pbs.twimg.com/profile_images/378800000676892277/fb3bd56ae51b4b6518d1011589c31f03_normal.jpeg","View")</f>
        <v>View</v>
      </c>
      <c r="P9995" s="27"/>
    </row>
    <row r="9996">
      <c r="A9996" s="14">
        <v>43032.16045138889</v>
      </c>
      <c r="B9996" s="20" t="str">
        <f>HYPERLINK("https://twitter.com/HiYuHiMi","@HiYuHiMi")</f>
        <v>@HiYuHiMi</v>
      </c>
      <c r="C9996" s="21" t="s">
        <v>21534</v>
      </c>
      <c r="D9996" s="21" t="s">
        <v>1642</v>
      </c>
      <c r="E9996" s="22" t="str">
        <f>HYPERLINK("https://twitter.com/HiYuHiMi/status/922777451725332480","922777451725332480")</f>
        <v>922777451725332480</v>
      </c>
      <c r="F9996" s="23" t="s">
        <v>39</v>
      </c>
      <c r="G9996" s="24">
        <v>256.0</v>
      </c>
      <c r="H9996" s="24">
        <v>177.0</v>
      </c>
      <c r="I9996" s="24">
        <v>199.0</v>
      </c>
      <c r="J9996" s="24">
        <v>0.0</v>
      </c>
      <c r="K9996" s="23" t="s">
        <v>34</v>
      </c>
      <c r="L9996" s="25">
        <v>41388.820752314816</v>
      </c>
      <c r="M9996" s="28"/>
      <c r="N9996" s="26" t="s">
        <v>21535</v>
      </c>
      <c r="O9996" s="22" t="str">
        <f>HYPERLINK("https://pbs.twimg.com/profile_images/3617938859/294e920ae2f16bdaebf7d369f2cec0a2_normal.jpeg","View")</f>
        <v>View</v>
      </c>
      <c r="P9996" s="27"/>
    </row>
    <row r="9997">
      <c r="A9997" s="14">
        <v>43032.160532407404</v>
      </c>
      <c r="B9997" s="20" t="str">
        <f>HYPERLINK("https://twitter.com/Purplegarter1","@Purplegarter1")</f>
        <v>@Purplegarter1</v>
      </c>
      <c r="C9997" s="21" t="s">
        <v>19190</v>
      </c>
      <c r="D9997" s="21" t="s">
        <v>16537</v>
      </c>
      <c r="E9997" s="22" t="str">
        <f>HYPERLINK("https://twitter.com/Purplegarter1/status/922777482872451073","922777482872451073")</f>
        <v>922777482872451073</v>
      </c>
      <c r="F9997" s="23" t="s">
        <v>230</v>
      </c>
      <c r="G9997" s="24">
        <v>5047.0</v>
      </c>
      <c r="H9997" s="24">
        <v>2989.0</v>
      </c>
      <c r="I9997" s="24">
        <v>242.0</v>
      </c>
      <c r="J9997" s="24">
        <v>0.0</v>
      </c>
      <c r="K9997" s="23" t="s">
        <v>34</v>
      </c>
      <c r="L9997" s="25">
        <v>41558.56601851852</v>
      </c>
      <c r="M9997" s="28"/>
      <c r="N9997" s="28"/>
      <c r="O9997" s="22" t="str">
        <f>HYPERLINK("https://pbs.twimg.com/profile_images/413699302611886080/geQ9MFWE_normal.jpeg","View")</f>
        <v>View</v>
      </c>
      <c r="P9997" s="27"/>
    </row>
    <row r="9998">
      <c r="A9998" s="14">
        <v>43032.16060185185</v>
      </c>
      <c r="B9998" s="20" t="str">
        <f>HYPERLINK("https://twitter.com/Devender56Tiwar","@Devender56Tiwar")</f>
        <v>@Devender56Tiwar</v>
      </c>
      <c r="C9998" s="21" t="s">
        <v>21536</v>
      </c>
      <c r="D9998" s="21" t="s">
        <v>42</v>
      </c>
      <c r="E9998" s="22" t="str">
        <f>HYPERLINK("https://twitter.com/Devender56Tiwar/status/922777506888818689","922777506888818689")</f>
        <v>922777506888818689</v>
      </c>
      <c r="F9998" s="23" t="s">
        <v>33</v>
      </c>
      <c r="G9998" s="24">
        <v>2.0</v>
      </c>
      <c r="H9998" s="24">
        <v>29.0</v>
      </c>
      <c r="I9998" s="24">
        <v>8501.0</v>
      </c>
      <c r="J9998" s="24">
        <v>0.0</v>
      </c>
      <c r="K9998" s="23" t="s">
        <v>34</v>
      </c>
      <c r="L9998" s="25">
        <v>42791.266377314816</v>
      </c>
      <c r="M9998" s="28"/>
      <c r="N9998" s="28"/>
      <c r="O9998" s="22" t="str">
        <f>HYPERLINK("https://abs.twimg.com/sticky/default_profile_images/default_profile_normal.png","View")</f>
        <v>View</v>
      </c>
      <c r="P9998" s="27"/>
    </row>
    <row r="9999">
      <c r="A9999" s="14">
        <v>43032.160775462966</v>
      </c>
      <c r="B9999" s="20" t="str">
        <f>HYPERLINK("https://twitter.com/drmassee","@drmassee")</f>
        <v>@drmassee</v>
      </c>
      <c r="C9999" s="21" t="s">
        <v>13837</v>
      </c>
      <c r="D9999" s="21" t="s">
        <v>21537</v>
      </c>
      <c r="E9999" s="22" t="str">
        <f>HYPERLINK("https://twitter.com/drmassee/status/922777569618882564","922777569618882564")</f>
        <v>922777569618882564</v>
      </c>
      <c r="F9999" s="23" t="s">
        <v>55</v>
      </c>
      <c r="G9999" s="24">
        <v>3217.0</v>
      </c>
      <c r="H9999" s="24">
        <v>4763.0</v>
      </c>
      <c r="I9999" s="24">
        <v>0.0</v>
      </c>
      <c r="J9999" s="24">
        <v>0.0</v>
      </c>
      <c r="K9999" s="23" t="s">
        <v>34</v>
      </c>
      <c r="L9999" s="25">
        <v>42122.247094907405</v>
      </c>
      <c r="M9999" s="26" t="s">
        <v>1024</v>
      </c>
      <c r="N9999" s="26" t="s">
        <v>13839</v>
      </c>
      <c r="O9999" s="22" t="str">
        <f>HYPERLINK("https://pbs.twimg.com/profile_images/815683684082716672/bHegxK3D_normal.jpg","View")</f>
        <v>View</v>
      </c>
      <c r="P9999" s="27"/>
    </row>
    <row r="10000">
      <c r="A10000" s="14">
        <v>43032.1610300926</v>
      </c>
      <c r="B10000" s="20" t="str">
        <f>HYPERLINK("https://twitter.com/championemotion","@championemotion")</f>
        <v>@championemotion</v>
      </c>
      <c r="C10000" s="21" t="s">
        <v>21524</v>
      </c>
      <c r="D10000" s="21" t="s">
        <v>21243</v>
      </c>
      <c r="E10000" s="22" t="str">
        <f>HYPERLINK("https://twitter.com/championemotion/status/922777659787980800","922777659787980800")</f>
        <v>922777659787980800</v>
      </c>
      <c r="F10000" s="23" t="s">
        <v>86</v>
      </c>
      <c r="G10000" s="24">
        <v>388.0</v>
      </c>
      <c r="H10000" s="24">
        <v>476.0</v>
      </c>
      <c r="I10000" s="24">
        <v>41.0</v>
      </c>
      <c r="J10000" s="24">
        <v>0.0</v>
      </c>
      <c r="K10000" s="23" t="s">
        <v>34</v>
      </c>
      <c r="L10000" s="25">
        <v>41578.41793981481</v>
      </c>
      <c r="M10000" s="26" t="s">
        <v>11949</v>
      </c>
      <c r="N10000" s="26" t="s">
        <v>21141</v>
      </c>
      <c r="O10000" s="22" t="str">
        <f>HYPERLINK("https://pbs.twimg.com/profile_images/378800000676892277/fb3bd56ae51b4b6518d1011589c31f03_normal.jpeg","View")</f>
        <v>View</v>
      </c>
      <c r="P10000" s="27"/>
    </row>
    <row r="10001">
      <c r="A10001" s="14">
        <v>43032.16142361111</v>
      </c>
      <c r="B10001" s="20" t="str">
        <f>HYPERLINK("https://twitter.com/ShingetsuNews","@ShingetsuNews")</f>
        <v>@ShingetsuNews</v>
      </c>
      <c r="C10001" s="21" t="s">
        <v>18813</v>
      </c>
      <c r="D10001" s="21" t="s">
        <v>21538</v>
      </c>
      <c r="E10001" s="22" t="str">
        <f>HYPERLINK("https://twitter.com/ShingetsuNews/status/922777802612412416","922777802612412416")</f>
        <v>922777802612412416</v>
      </c>
      <c r="F10001" s="23" t="s">
        <v>55</v>
      </c>
      <c r="G10001" s="24">
        <v>6327.0</v>
      </c>
      <c r="H10001" s="24">
        <v>277.0</v>
      </c>
      <c r="I10001" s="24">
        <v>0.0</v>
      </c>
      <c r="J10001" s="24">
        <v>1.0</v>
      </c>
      <c r="K10001" s="23" t="s">
        <v>34</v>
      </c>
      <c r="L10001" s="25">
        <v>40593.06306712963</v>
      </c>
      <c r="M10001" s="26" t="s">
        <v>923</v>
      </c>
      <c r="N10001" s="26" t="s">
        <v>18815</v>
      </c>
      <c r="O10001" s="22" t="str">
        <f>HYPERLINK("https://pbs.twimg.com/profile_images/711533259646054403/1ZDyWxWY_normal.jpg","View")</f>
        <v>View</v>
      </c>
      <c r="P10001" s="27"/>
    </row>
    <row r="10002">
      <c r="A10002" s="14">
        <v>43032.16167824074</v>
      </c>
      <c r="B10002" s="20" t="str">
        <f>HYPERLINK("https://twitter.com/championemotion","@championemotion")</f>
        <v>@championemotion</v>
      </c>
      <c r="C10002" s="21" t="s">
        <v>21524</v>
      </c>
      <c r="D10002" s="21" t="s">
        <v>21191</v>
      </c>
      <c r="E10002" s="22" t="str">
        <f>HYPERLINK("https://twitter.com/championemotion/status/922777895210061825","922777895210061825")</f>
        <v>922777895210061825</v>
      </c>
      <c r="F10002" s="23" t="s">
        <v>86</v>
      </c>
      <c r="G10002" s="24">
        <v>388.0</v>
      </c>
      <c r="H10002" s="24">
        <v>476.0</v>
      </c>
      <c r="I10002" s="24">
        <v>42.0</v>
      </c>
      <c r="J10002" s="24">
        <v>0.0</v>
      </c>
      <c r="K10002" s="23" t="s">
        <v>34</v>
      </c>
      <c r="L10002" s="25">
        <v>41578.41793981481</v>
      </c>
      <c r="M10002" s="26" t="s">
        <v>11949</v>
      </c>
      <c r="N10002" s="26" t="s">
        <v>21141</v>
      </c>
      <c r="O10002" s="22" t="str">
        <f>HYPERLINK("https://pbs.twimg.com/profile_images/378800000676892277/fb3bd56ae51b4b6518d1011589c31f03_normal.jpeg","View")</f>
        <v>View</v>
      </c>
      <c r="P10002" s="27"/>
    </row>
    <row r="10003">
      <c r="A10003" s="14">
        <v>43032.1622337963</v>
      </c>
      <c r="B10003" s="20" t="str">
        <f>HYPERLINK("https://twitter.com/kumarrvipin","@kumarrvipin")</f>
        <v>@kumarrvipin</v>
      </c>
      <c r="C10003" s="21" t="s">
        <v>21539</v>
      </c>
      <c r="D10003" s="21" t="s">
        <v>42</v>
      </c>
      <c r="E10003" s="22" t="str">
        <f>HYPERLINK("https://twitter.com/kumarrvipin/status/922778099363717121","922778099363717121")</f>
        <v>922778099363717121</v>
      </c>
      <c r="F10003" s="23" t="s">
        <v>33</v>
      </c>
      <c r="G10003" s="24">
        <v>705.0</v>
      </c>
      <c r="H10003" s="24">
        <v>737.0</v>
      </c>
      <c r="I10003" s="24">
        <v>8501.0</v>
      </c>
      <c r="J10003" s="24">
        <v>0.0</v>
      </c>
      <c r="K10003" s="23" t="s">
        <v>34</v>
      </c>
      <c r="L10003" s="25">
        <v>41625.29871527778</v>
      </c>
      <c r="M10003" s="28"/>
      <c r="N10003" s="26" t="s">
        <v>21540</v>
      </c>
      <c r="O10003" s="22" t="str">
        <f>HYPERLINK("https://pbs.twimg.com/profile_images/852160188194881536/-sV9_5rL_normal.jpg","View")</f>
        <v>View</v>
      </c>
      <c r="P10003" s="27"/>
    </row>
    <row r="10004">
      <c r="A10004" s="14">
        <v>43032.16233796296</v>
      </c>
      <c r="B10004" s="20" t="str">
        <f>HYPERLINK("https://twitter.com/Razer17441735","@Razer17441735")</f>
        <v>@Razer17441735</v>
      </c>
      <c r="C10004" s="21" t="s">
        <v>19133</v>
      </c>
      <c r="D10004" s="21" t="s">
        <v>21243</v>
      </c>
      <c r="E10004" s="22" t="str">
        <f>HYPERLINK("https://twitter.com/Razer17441735/status/922778134054866944","922778134054866944")</f>
        <v>922778134054866944</v>
      </c>
      <c r="F10004" s="23" t="s">
        <v>19134</v>
      </c>
      <c r="G10004" s="24">
        <v>173.0</v>
      </c>
      <c r="H10004" s="24">
        <v>1855.0</v>
      </c>
      <c r="I10004" s="24">
        <v>41.0</v>
      </c>
      <c r="J10004" s="24">
        <v>0.0</v>
      </c>
      <c r="K10004" s="23" t="s">
        <v>34</v>
      </c>
      <c r="L10004" s="25">
        <v>42907.14829861111</v>
      </c>
      <c r="M10004" s="26" t="s">
        <v>68</v>
      </c>
      <c r="N10004" s="26" t="s">
        <v>19135</v>
      </c>
      <c r="O10004" s="22" t="str">
        <f>HYPERLINK("https://pbs.twimg.com/profile_images/877474799391571968/tHcwTsPe_normal.jpg","View")</f>
        <v>View</v>
      </c>
      <c r="P10004" s="27"/>
    </row>
    <row r="10005">
      <c r="A10005" s="14">
        <v>43032.16258101852</v>
      </c>
      <c r="B10005" s="20" t="str">
        <f>HYPERLINK("https://twitter.com/notbatmanyet","@notbatmanyet")</f>
        <v>@notbatmanyet</v>
      </c>
      <c r="C10005" s="21" t="s">
        <v>21541</v>
      </c>
      <c r="D10005" s="21" t="s">
        <v>21542</v>
      </c>
      <c r="E10005" s="22" t="str">
        <f>HYPERLINK("https://twitter.com/notbatmanyet/status/922778221678137344","922778221678137344")</f>
        <v>922778221678137344</v>
      </c>
      <c r="F10005" s="23" t="s">
        <v>39</v>
      </c>
      <c r="G10005" s="24">
        <v>96107.0</v>
      </c>
      <c r="H10005" s="24">
        <v>101973.0</v>
      </c>
      <c r="I10005" s="24">
        <v>1.0</v>
      </c>
      <c r="J10005" s="24">
        <v>0.0</v>
      </c>
      <c r="K10005" s="23" t="s">
        <v>34</v>
      </c>
      <c r="L10005" s="25">
        <v>41555.611539351856</v>
      </c>
      <c r="M10005" s="26" t="s">
        <v>21543</v>
      </c>
      <c r="N10005" s="26" t="s">
        <v>21544</v>
      </c>
      <c r="O10005" s="22" t="str">
        <f>HYPERLINK("https://pbs.twimg.com/profile_images/921501882174115840/ZeHfi-Tk_normal.jpg","View")</f>
        <v>View</v>
      </c>
      <c r="P10005" s="27"/>
    </row>
    <row r="10006">
      <c r="A10006" s="14">
        <v>43032.16417824074</v>
      </c>
      <c r="B10006" s="20" t="str">
        <f>HYPERLINK("https://twitter.com/IFAMagazine","@IFAMagazine")</f>
        <v>@IFAMagazine</v>
      </c>
      <c r="C10006" s="21" t="s">
        <v>8214</v>
      </c>
      <c r="D10006" s="21" t="s">
        <v>21545</v>
      </c>
      <c r="E10006" s="22" t="str">
        <f>HYPERLINK("https://twitter.com/IFAMagazine/status/922778801263792129","922778801263792129")</f>
        <v>922778801263792129</v>
      </c>
      <c r="F10006" s="23" t="s">
        <v>55</v>
      </c>
      <c r="G10006" s="24">
        <v>3883.0</v>
      </c>
      <c r="H10006" s="24">
        <v>2233.0</v>
      </c>
      <c r="I10006" s="24">
        <v>0.0</v>
      </c>
      <c r="J10006" s="24">
        <v>0.0</v>
      </c>
      <c r="K10006" s="23" t="s">
        <v>34</v>
      </c>
      <c r="L10006" s="25">
        <v>40441.29652777778</v>
      </c>
      <c r="M10006" s="28"/>
      <c r="N10006" s="26" t="s">
        <v>8217</v>
      </c>
      <c r="O10006" s="22" t="str">
        <f>HYPERLINK("https://pbs.twimg.com/profile_images/702808635387285504/ZA_0BwTz_normal.jpg","View")</f>
        <v>View</v>
      </c>
      <c r="P10006" s="27"/>
    </row>
    <row r="10007">
      <c r="A10007" s="14">
        <v>43032.16436342592</v>
      </c>
      <c r="B10007" s="20" t="str">
        <f>HYPERLINK("https://twitter.com/ChennaiUngalKai","@ChennaiUngalKai")</f>
        <v>@ChennaiUngalKai</v>
      </c>
      <c r="C10007" s="21" t="s">
        <v>21546</v>
      </c>
      <c r="D10007" s="21" t="s">
        <v>21547</v>
      </c>
      <c r="E10007" s="22" t="str">
        <f>HYPERLINK("https://twitter.com/ChennaiUngalKai/status/922778870377357314","922778870377357314")</f>
        <v>922778870377357314</v>
      </c>
      <c r="F10007" s="23" t="s">
        <v>55</v>
      </c>
      <c r="G10007" s="24">
        <v>157.0</v>
      </c>
      <c r="H10007" s="24">
        <v>487.0</v>
      </c>
      <c r="I10007" s="24">
        <v>0.0</v>
      </c>
      <c r="J10007" s="24">
        <v>0.0</v>
      </c>
      <c r="K10007" s="23" t="s">
        <v>34</v>
      </c>
      <c r="L10007" s="25">
        <v>41793.449745370366</v>
      </c>
      <c r="M10007" s="26" t="s">
        <v>56</v>
      </c>
      <c r="N10007" s="26" t="s">
        <v>21548</v>
      </c>
      <c r="O10007" s="22" t="str">
        <f>HYPERLINK("https://pbs.twimg.com/profile_images/766230043777302529/7H_QjG8u_normal.jpg","View")</f>
        <v>View</v>
      </c>
      <c r="P10007" s="27"/>
    </row>
    <row r="10008">
      <c r="A10008" s="14">
        <v>43032.164988425924</v>
      </c>
      <c r="B10008" s="20" t="str">
        <f>HYPERLINK("https://twitter.com/freedom4iranian","@freedom4iranian")</f>
        <v>@freedom4iranian</v>
      </c>
      <c r="C10008" s="21" t="s">
        <v>21381</v>
      </c>
      <c r="D10008" s="21" t="s">
        <v>21194</v>
      </c>
      <c r="E10008" s="22" t="str">
        <f>HYPERLINK("https://twitter.com/freedom4iranian/status/922779096538423296","922779096538423296")</f>
        <v>922779096538423296</v>
      </c>
      <c r="F10008" s="23" t="s">
        <v>86</v>
      </c>
      <c r="G10008" s="24">
        <v>537.0</v>
      </c>
      <c r="H10008" s="24">
        <v>400.0</v>
      </c>
      <c r="I10008" s="24">
        <v>35.0</v>
      </c>
      <c r="J10008" s="24">
        <v>0.0</v>
      </c>
      <c r="K10008" s="23" t="s">
        <v>34</v>
      </c>
      <c r="L10008" s="25">
        <v>41558.22740740741</v>
      </c>
      <c r="M10008" s="26" t="s">
        <v>21122</v>
      </c>
      <c r="N10008" s="26" t="s">
        <v>21088</v>
      </c>
      <c r="O10008" s="22" t="str">
        <f>HYPERLINK("https://pbs.twimg.com/profile_images/378800000588600803/2464083e454484f0fa97664bc93438cb_normal.jpeg","View")</f>
        <v>View</v>
      </c>
      <c r="P10008" s="27"/>
    </row>
    <row r="10009">
      <c r="A10009" s="14">
        <v>43032.165185185186</v>
      </c>
      <c r="B10009" s="20" t="str">
        <f>HYPERLINK("https://twitter.com/NoreeChris","@NoreeChris")</f>
        <v>@NoreeChris</v>
      </c>
      <c r="C10009" s="21" t="s">
        <v>21549</v>
      </c>
      <c r="D10009" s="21" t="s">
        <v>13295</v>
      </c>
      <c r="E10009" s="22" t="str">
        <f>HYPERLINK("https://twitter.com/NoreeChris/status/922779166050791424","922779166050791424")</f>
        <v>922779166050791424</v>
      </c>
      <c r="F10009" s="23" t="s">
        <v>39</v>
      </c>
      <c r="G10009" s="24">
        <v>52.0</v>
      </c>
      <c r="H10009" s="24">
        <v>107.0</v>
      </c>
      <c r="I10009" s="24">
        <v>19.0</v>
      </c>
      <c r="J10009" s="24">
        <v>0.0</v>
      </c>
      <c r="K10009" s="23" t="s">
        <v>34</v>
      </c>
      <c r="L10009" s="25">
        <v>42505.03273148148</v>
      </c>
      <c r="M10009" s="28"/>
      <c r="N10009" s="28"/>
      <c r="O10009" s="22" t="str">
        <f>HYPERLINK("https://pbs.twimg.com/profile_images/731760430864076800/0dj66v0I_normal.jpg","View")</f>
        <v>View</v>
      </c>
      <c r="P10009" s="27"/>
    </row>
    <row r="10010">
      <c r="A10010" s="14">
        <v>43032.1658449074</v>
      </c>
      <c r="B10010" s="20" t="str">
        <f>HYPERLINK("https://twitter.com/oralee_demarco","@oralee_demarco")</f>
        <v>@oralee_demarco</v>
      </c>
      <c r="C10010" s="21" t="s">
        <v>21550</v>
      </c>
      <c r="D10010" s="21" t="s">
        <v>21215</v>
      </c>
      <c r="E10010" s="22" t="str">
        <f>HYPERLINK("https://twitter.com/oralee_demarco/status/922779406463934465","922779406463934465")</f>
        <v>922779406463934465</v>
      </c>
      <c r="F10010" s="23" t="s">
        <v>86</v>
      </c>
      <c r="G10010" s="24">
        <v>128.0</v>
      </c>
      <c r="H10010" s="24">
        <v>124.0</v>
      </c>
      <c r="I10010" s="24">
        <v>39.0</v>
      </c>
      <c r="J10010" s="24">
        <v>0.0</v>
      </c>
      <c r="K10010" s="23" t="s">
        <v>34</v>
      </c>
      <c r="L10010" s="25">
        <v>41879.260150462964</v>
      </c>
      <c r="M10010" s="26" t="s">
        <v>40</v>
      </c>
      <c r="N10010" s="26" t="s">
        <v>21241</v>
      </c>
      <c r="O10010" s="22" t="str">
        <f>HYPERLINK("https://pbs.twimg.com/profile_images/504980912375742464/Rlu2gvY0_normal.jpeg","View")</f>
        <v>View</v>
      </c>
      <c r="P10010" s="27"/>
    </row>
    <row r="10011">
      <c r="A10011" s="14">
        <v>43032.16590277778</v>
      </c>
      <c r="B10011" s="20" t="str">
        <f>HYPERLINK("https://twitter.com/Nine_Banal","@Nine_Banal")</f>
        <v>@Nine_Banal</v>
      </c>
      <c r="C10011" s="21" t="s">
        <v>21551</v>
      </c>
      <c r="D10011" s="21" t="s">
        <v>21552</v>
      </c>
      <c r="E10011" s="22" t="str">
        <f>HYPERLINK("https://twitter.com/Nine_Banal/status/922779426890317824","922779426890317824")</f>
        <v>922779426890317824</v>
      </c>
      <c r="F10011" s="23" t="s">
        <v>10255</v>
      </c>
      <c r="G10011" s="24">
        <v>36.0</v>
      </c>
      <c r="H10011" s="24">
        <v>28.0</v>
      </c>
      <c r="I10011" s="24">
        <v>1.0</v>
      </c>
      <c r="J10011" s="24">
        <v>0.0</v>
      </c>
      <c r="K10011" s="23" t="s">
        <v>34</v>
      </c>
      <c r="L10011" s="25">
        <v>42251.06327546296</v>
      </c>
      <c r="M10011" s="26" t="s">
        <v>21553</v>
      </c>
      <c r="N10011" s="28"/>
      <c r="O10011" s="22" t="str">
        <f>HYPERLINK("https://abs.twimg.com/sticky/default_profile_images/default_profile_normal.png","View")</f>
        <v>View</v>
      </c>
      <c r="P10011" s="27"/>
    </row>
    <row r="10012">
      <c r="A10012" s="14">
        <v>43032.16604166667</v>
      </c>
      <c r="B10012" s="20" t="str">
        <f>HYPERLINK("https://twitter.com/oralee_demarco","@oralee_demarco")</f>
        <v>@oralee_demarco</v>
      </c>
      <c r="C10012" s="21" t="s">
        <v>21550</v>
      </c>
      <c r="D10012" s="21" t="s">
        <v>21194</v>
      </c>
      <c r="E10012" s="22" t="str">
        <f>HYPERLINK("https://twitter.com/oralee_demarco/status/922779477825929216","922779477825929216")</f>
        <v>922779477825929216</v>
      </c>
      <c r="F10012" s="23" t="s">
        <v>86</v>
      </c>
      <c r="G10012" s="24">
        <v>128.0</v>
      </c>
      <c r="H10012" s="24">
        <v>124.0</v>
      </c>
      <c r="I10012" s="24">
        <v>35.0</v>
      </c>
      <c r="J10012" s="24">
        <v>0.0</v>
      </c>
      <c r="K10012" s="23" t="s">
        <v>34</v>
      </c>
      <c r="L10012" s="25">
        <v>41879.260150462964</v>
      </c>
      <c r="M10012" s="26" t="s">
        <v>40</v>
      </c>
      <c r="N10012" s="26" t="s">
        <v>21241</v>
      </c>
      <c r="O10012" s="22" t="str">
        <f>HYPERLINK("https://pbs.twimg.com/profile_images/504980912375742464/Rlu2gvY0_normal.jpeg","View")</f>
        <v>View</v>
      </c>
      <c r="P10012" s="27"/>
    </row>
    <row r="10013">
      <c r="A10013" s="14">
        <v>43032.16637731482</v>
      </c>
      <c r="B10013" s="20" t="str">
        <f>HYPERLINK("https://twitter.com/Shirmorad_Khale","@Shirmorad_Khale")</f>
        <v>@Shirmorad_Khale</v>
      </c>
      <c r="C10013" s="21" t="s">
        <v>21554</v>
      </c>
      <c r="D10013" s="21" t="s">
        <v>21202</v>
      </c>
      <c r="E10013" s="22" t="str">
        <f>HYPERLINK("https://twitter.com/Shirmorad_Khale/status/922779599754399744","922779599754399744")</f>
        <v>922779599754399744</v>
      </c>
      <c r="F10013" s="23" t="s">
        <v>86</v>
      </c>
      <c r="G10013" s="24">
        <v>290.0</v>
      </c>
      <c r="H10013" s="24">
        <v>413.0</v>
      </c>
      <c r="I10013" s="24">
        <v>79.0</v>
      </c>
      <c r="J10013" s="24">
        <v>0.0</v>
      </c>
      <c r="K10013" s="23" t="s">
        <v>34</v>
      </c>
      <c r="L10013" s="25">
        <v>41687.43813657407</v>
      </c>
      <c r="M10013" s="28"/>
      <c r="N10013" s="28"/>
      <c r="O10013" s="22" t="str">
        <f>HYPERLINK("https://pbs.twimg.com/profile_images/435484374801190912/WGqOoHYd_normal.jpeg","View")</f>
        <v>View</v>
      </c>
      <c r="P10013" s="27"/>
    </row>
    <row r="10014">
      <c r="A10014" s="14">
        <v>43032.16645833333</v>
      </c>
      <c r="B10014" s="20" t="str">
        <f>HYPERLINK("https://twitter.com/tony_tole","@tony_tole")</f>
        <v>@tony_tole</v>
      </c>
      <c r="C10014" s="21" t="s">
        <v>21555</v>
      </c>
      <c r="D10014" s="21" t="s">
        <v>32</v>
      </c>
      <c r="E10014" s="22" t="str">
        <f>HYPERLINK("https://twitter.com/tony_tole/status/922779630095933440","922779630095933440")</f>
        <v>922779630095933440</v>
      </c>
      <c r="F10014" s="23" t="s">
        <v>33</v>
      </c>
      <c r="G10014" s="24">
        <v>64.0</v>
      </c>
      <c r="H10014" s="24">
        <v>169.0</v>
      </c>
      <c r="I10014" s="24">
        <v>471.0</v>
      </c>
      <c r="J10014" s="24">
        <v>0.0</v>
      </c>
      <c r="K10014" s="23" t="s">
        <v>34</v>
      </c>
      <c r="L10014" s="25">
        <v>42508.058842592596</v>
      </c>
      <c r="M10014" s="28"/>
      <c r="N10014" s="28"/>
      <c r="O10014" s="22" t="str">
        <f>HYPERLINK("https://pbs.twimg.com/profile_images/830130358603612160/Q2KCqfhR_normal.jpg","View")</f>
        <v>View</v>
      </c>
      <c r="P10014" s="27"/>
    </row>
    <row r="10015">
      <c r="A10015" s="14">
        <v>43032.1668287037</v>
      </c>
      <c r="B10015" s="20" t="str">
        <f>HYPERLINK("https://twitter.com/CliffCentralCom","@CliffCentralCom")</f>
        <v>@CliffCentralCom</v>
      </c>
      <c r="C10015" s="29" t="s">
        <v>21556</v>
      </c>
      <c r="D10015" s="21" t="s">
        <v>21463</v>
      </c>
      <c r="E10015" s="22" t="str">
        <f>HYPERLINK("https://twitter.com/CliffCentralCom/status/922779761398730752","922779761398730752")</f>
        <v>922779761398730752</v>
      </c>
      <c r="F10015" s="23" t="s">
        <v>55</v>
      </c>
      <c r="G10015" s="24">
        <v>70796.0</v>
      </c>
      <c r="H10015" s="24">
        <v>341.0</v>
      </c>
      <c r="I10015" s="24">
        <v>3.0</v>
      </c>
      <c r="J10015" s="24">
        <v>0.0</v>
      </c>
      <c r="K10015" s="23" t="s">
        <v>34</v>
      </c>
      <c r="L10015" s="25">
        <v>41742.16113425926</v>
      </c>
      <c r="M10015" s="26" t="s">
        <v>4198</v>
      </c>
      <c r="N10015" s="26" t="s">
        <v>21557</v>
      </c>
      <c r="O10015" s="22" t="str">
        <f>HYPERLINK("https://pbs.twimg.com/profile_images/815304612508999681/ODPu2Tgl_normal.jpg","View")</f>
        <v>View</v>
      </c>
      <c r="P10015" s="27"/>
    </row>
    <row r="10016">
      <c r="A10016" s="14">
        <v>43032.167025462964</v>
      </c>
      <c r="B10016" s="20" t="str">
        <f>HYPERLINK("https://twitter.com/Shirmorad_Khale","@Shirmorad_Khale")</f>
        <v>@Shirmorad_Khale</v>
      </c>
      <c r="C10016" s="21" t="s">
        <v>21554</v>
      </c>
      <c r="D10016" s="21" t="s">
        <v>21203</v>
      </c>
      <c r="E10016" s="22" t="str">
        <f>HYPERLINK("https://twitter.com/Shirmorad_Khale/status/922779835507896325","922779835507896325")</f>
        <v>922779835507896325</v>
      </c>
      <c r="F10016" s="23" t="s">
        <v>86</v>
      </c>
      <c r="G10016" s="24">
        <v>290.0</v>
      </c>
      <c r="H10016" s="24">
        <v>413.0</v>
      </c>
      <c r="I10016" s="24">
        <v>75.0</v>
      </c>
      <c r="J10016" s="24">
        <v>0.0</v>
      </c>
      <c r="K10016" s="23" t="s">
        <v>34</v>
      </c>
      <c r="L10016" s="25">
        <v>41687.43813657407</v>
      </c>
      <c r="M10016" s="28"/>
      <c r="N10016" s="28"/>
      <c r="O10016" s="22" t="str">
        <f>HYPERLINK("https://pbs.twimg.com/profile_images/435484374801190912/WGqOoHYd_normal.jpeg","View")</f>
        <v>View</v>
      </c>
      <c r="P10016" s="27"/>
    </row>
    <row r="10017">
      <c r="A10017" s="14">
        <v>43032.16756944444</v>
      </c>
      <c r="B10017" s="20" t="str">
        <f>HYPERLINK("https://twitter.com/BloombergTV","@BloombergTV")</f>
        <v>@BloombergTV</v>
      </c>
      <c r="C10017" s="21" t="s">
        <v>1723</v>
      </c>
      <c r="D10017" s="21" t="s">
        <v>21558</v>
      </c>
      <c r="E10017" s="22" t="str">
        <f>HYPERLINK("https://twitter.com/BloombergTV/status/922780031117508609","922780031117508609")</f>
        <v>922780031117508609</v>
      </c>
      <c r="F10017" s="30" t="s">
        <v>2744</v>
      </c>
      <c r="G10017" s="24">
        <v>452742.0</v>
      </c>
      <c r="H10017" s="24">
        <v>458.0</v>
      </c>
      <c r="I10017" s="24">
        <v>5.0</v>
      </c>
      <c r="J10017" s="24">
        <v>4.0</v>
      </c>
      <c r="K10017" s="23" t="s">
        <v>34</v>
      </c>
      <c r="L10017" s="25">
        <v>39927.48997685185</v>
      </c>
      <c r="M10017" s="26" t="s">
        <v>389</v>
      </c>
      <c r="N10017" s="26" t="s">
        <v>1725</v>
      </c>
      <c r="O10017" s="22" t="str">
        <f>HYPERLINK("https://pbs.twimg.com/profile_images/714801760632770560/7My2hMBt_normal.jpg","View")</f>
        <v>View</v>
      </c>
      <c r="P10017" s="27"/>
    </row>
    <row r="10018">
      <c r="A10018" s="14">
        <v>43032.16768518518</v>
      </c>
      <c r="B10018" s="20" t="str">
        <f>HYPERLINK("https://twitter.com/Shirmorad_Khale","@Shirmorad_Khale")</f>
        <v>@Shirmorad_Khale</v>
      </c>
      <c r="C10018" s="21" t="s">
        <v>21554</v>
      </c>
      <c r="D10018" s="21" t="s">
        <v>21243</v>
      </c>
      <c r="E10018" s="22" t="str">
        <f>HYPERLINK("https://twitter.com/Shirmorad_Khale/status/922780072418971649","922780072418971649")</f>
        <v>922780072418971649</v>
      </c>
      <c r="F10018" s="23" t="s">
        <v>86</v>
      </c>
      <c r="G10018" s="24">
        <v>290.0</v>
      </c>
      <c r="H10018" s="24">
        <v>413.0</v>
      </c>
      <c r="I10018" s="24">
        <v>41.0</v>
      </c>
      <c r="J10018" s="24">
        <v>0.0</v>
      </c>
      <c r="K10018" s="23" t="s">
        <v>34</v>
      </c>
      <c r="L10018" s="25">
        <v>41687.43813657407</v>
      </c>
      <c r="M10018" s="28"/>
      <c r="N10018" s="28"/>
      <c r="O10018" s="22" t="str">
        <f>HYPERLINK("https://pbs.twimg.com/profile_images/435484374801190912/WGqOoHYd_normal.jpeg","View")</f>
        <v>View</v>
      </c>
      <c r="P10018" s="27"/>
    </row>
    <row r="10019">
      <c r="A10019" s="14">
        <v>43032.168020833335</v>
      </c>
      <c r="B10019" s="20" t="str">
        <f>HYPERLINK("https://twitter.com/DrKynast","@DrKynast")</f>
        <v>@DrKynast</v>
      </c>
      <c r="C10019" s="21" t="s">
        <v>9188</v>
      </c>
      <c r="D10019" s="21" t="s">
        <v>21559</v>
      </c>
      <c r="E10019" s="22" t="str">
        <f>HYPERLINK("https://twitter.com/DrKynast/status/922780195014299648","922780195014299648")</f>
        <v>922780195014299648</v>
      </c>
      <c r="F10019" s="23" t="s">
        <v>43</v>
      </c>
      <c r="G10019" s="24">
        <v>2455.0</v>
      </c>
      <c r="H10019" s="24">
        <v>2607.0</v>
      </c>
      <c r="I10019" s="24">
        <v>9.0</v>
      </c>
      <c r="J10019" s="24">
        <v>0.0</v>
      </c>
      <c r="K10019" s="23" t="s">
        <v>34</v>
      </c>
      <c r="L10019" s="25">
        <v>42619.794016203705</v>
      </c>
      <c r="M10019" s="26" t="s">
        <v>9190</v>
      </c>
      <c r="N10019" s="26" t="s">
        <v>9191</v>
      </c>
      <c r="O10019" s="22" t="str">
        <f>HYPERLINK("https://pbs.twimg.com/profile_images/773512285629345792/2AmdEU5W_normal.jpg","View")</f>
        <v>View</v>
      </c>
      <c r="P10019" s="27"/>
    </row>
    <row r="10020">
      <c r="A10020" s="14">
        <v>43032.16809027777</v>
      </c>
      <c r="B10020" s="20" t="str">
        <f t="shared" ref="B10020:B10021" si="217">HYPERLINK("https://twitter.com/ostrander_joana","@ostrander_joana")</f>
        <v>@ostrander_joana</v>
      </c>
      <c r="C10020" s="21" t="s">
        <v>21560</v>
      </c>
      <c r="D10020" s="21" t="s">
        <v>21215</v>
      </c>
      <c r="E10020" s="22" t="str">
        <f>HYPERLINK("https://twitter.com/ostrander_joana/status/922780221278863361","922780221278863361")</f>
        <v>922780221278863361</v>
      </c>
      <c r="F10020" s="23" t="s">
        <v>86</v>
      </c>
      <c r="G10020" s="24">
        <v>165.0</v>
      </c>
      <c r="H10020" s="24">
        <v>123.0</v>
      </c>
      <c r="I10020" s="24">
        <v>39.0</v>
      </c>
      <c r="J10020" s="24">
        <v>0.0</v>
      </c>
      <c r="K10020" s="23" t="s">
        <v>34</v>
      </c>
      <c r="L10020" s="25">
        <v>41879.2217824074</v>
      </c>
      <c r="M10020" s="28"/>
      <c r="N10020" s="26" t="s">
        <v>21561</v>
      </c>
      <c r="O10020" s="22" t="str">
        <f t="shared" ref="O10020:O10021" si="218">HYPERLINK("https://pbs.twimg.com/profile_images/504968320567611392/aTMVSRBA_normal.jpeg","View")</f>
        <v>View</v>
      </c>
      <c r="P10020" s="27"/>
    </row>
    <row r="10021">
      <c r="A10021" s="14">
        <v>43032.16828703704</v>
      </c>
      <c r="B10021" s="20" t="str">
        <f t="shared" si="217"/>
        <v>@ostrander_joana</v>
      </c>
      <c r="C10021" s="21" t="s">
        <v>21560</v>
      </c>
      <c r="D10021" s="21" t="s">
        <v>21194</v>
      </c>
      <c r="E10021" s="22" t="str">
        <f>HYPERLINK("https://twitter.com/ostrander_joana/status/922780291655016448","922780291655016448")</f>
        <v>922780291655016448</v>
      </c>
      <c r="F10021" s="23" t="s">
        <v>86</v>
      </c>
      <c r="G10021" s="24">
        <v>165.0</v>
      </c>
      <c r="H10021" s="24">
        <v>123.0</v>
      </c>
      <c r="I10021" s="24">
        <v>35.0</v>
      </c>
      <c r="J10021" s="24">
        <v>0.0</v>
      </c>
      <c r="K10021" s="23" t="s">
        <v>34</v>
      </c>
      <c r="L10021" s="25">
        <v>41879.2217824074</v>
      </c>
      <c r="M10021" s="28"/>
      <c r="N10021" s="26" t="s">
        <v>21561</v>
      </c>
      <c r="O10021" s="22" t="str">
        <f t="shared" si="218"/>
        <v>View</v>
      </c>
      <c r="P10021" s="27"/>
    </row>
    <row r="10022">
      <c r="A10022" s="14">
        <v>43032.168333333335</v>
      </c>
      <c r="B10022" s="20" t="str">
        <f>HYPERLINK("https://twitter.com/Shirmorad_Khale","@Shirmorad_Khale")</f>
        <v>@Shirmorad_Khale</v>
      </c>
      <c r="C10022" s="21" t="s">
        <v>21554</v>
      </c>
      <c r="D10022" s="21" t="s">
        <v>21191</v>
      </c>
      <c r="E10022" s="22" t="str">
        <f>HYPERLINK("https://twitter.com/Shirmorad_Khale/status/922780309577400322","922780309577400322")</f>
        <v>922780309577400322</v>
      </c>
      <c r="F10022" s="23" t="s">
        <v>86</v>
      </c>
      <c r="G10022" s="24">
        <v>290.0</v>
      </c>
      <c r="H10022" s="24">
        <v>413.0</v>
      </c>
      <c r="I10022" s="24">
        <v>42.0</v>
      </c>
      <c r="J10022" s="24">
        <v>0.0</v>
      </c>
      <c r="K10022" s="23" t="s">
        <v>34</v>
      </c>
      <c r="L10022" s="25">
        <v>41687.43813657407</v>
      </c>
      <c r="M10022" s="28"/>
      <c r="N10022" s="28"/>
      <c r="O10022" s="22" t="str">
        <f>HYPERLINK("https://pbs.twimg.com/profile_images/435484374801190912/WGqOoHYd_normal.jpeg","View")</f>
        <v>View</v>
      </c>
      <c r="P10022" s="27"/>
    </row>
    <row r="10023">
      <c r="A10023" s="14">
        <v>43032.16846064814</v>
      </c>
      <c r="B10023" s="20" t="str">
        <f>HYPERLINK("https://twitter.com/Karim_Balochi","@Karim_Balochi")</f>
        <v>@Karim_Balochi</v>
      </c>
      <c r="C10023" s="21" t="s">
        <v>21408</v>
      </c>
      <c r="D10023" s="21" t="s">
        <v>21194</v>
      </c>
      <c r="E10023" s="22" t="str">
        <f>HYPERLINK("https://twitter.com/Karim_Balochi/status/922780353520996352","922780353520996352")</f>
        <v>922780353520996352</v>
      </c>
      <c r="F10023" s="23" t="s">
        <v>86</v>
      </c>
      <c r="G10023" s="24">
        <v>623.0</v>
      </c>
      <c r="H10023" s="24">
        <v>415.0</v>
      </c>
      <c r="I10023" s="24">
        <v>35.0</v>
      </c>
      <c r="J10023" s="24">
        <v>0.0</v>
      </c>
      <c r="K10023" s="23" t="s">
        <v>34</v>
      </c>
      <c r="L10023" s="25">
        <v>41710.26111111111</v>
      </c>
      <c r="M10023" s="26" t="s">
        <v>21122</v>
      </c>
      <c r="N10023" s="26" t="s">
        <v>21088</v>
      </c>
      <c r="O10023" s="22" t="str">
        <f>HYPERLINK("https://pbs.twimg.com/profile_images/443738579202621440/0gxacIYv_normal.jpeg","View")</f>
        <v>View</v>
      </c>
      <c r="P10023" s="27"/>
    </row>
    <row r="10024">
      <c r="A10024" s="14">
        <v>43032.168761574074</v>
      </c>
      <c r="B10024" s="20" t="str">
        <f>HYPERLINK("https://twitter.com/MMMagza","@MMMagza")</f>
        <v>@MMMagza</v>
      </c>
      <c r="C10024" s="21" t="s">
        <v>21562</v>
      </c>
      <c r="D10024" s="21" t="s">
        <v>21563</v>
      </c>
      <c r="E10024" s="22" t="str">
        <f>HYPERLINK("https://twitter.com/MMMagza/status/922780462623412224","922780462623412224")</f>
        <v>922780462623412224</v>
      </c>
      <c r="F10024" s="23" t="s">
        <v>55</v>
      </c>
      <c r="G10024" s="24">
        <v>956.0</v>
      </c>
      <c r="H10024" s="24">
        <v>1240.0</v>
      </c>
      <c r="I10024" s="24">
        <v>5.0</v>
      </c>
      <c r="J10024" s="24">
        <v>0.0</v>
      </c>
      <c r="K10024" s="23" t="s">
        <v>34</v>
      </c>
      <c r="L10024" s="25">
        <v>41726.14376157407</v>
      </c>
      <c r="M10024" s="28"/>
      <c r="N10024" s="26" t="s">
        <v>21564</v>
      </c>
      <c r="O10024" s="22" t="str">
        <f>HYPERLINK("https://pbs.twimg.com/profile_images/449495929809166337/9r8BfNAK_normal.jpeg","View")</f>
        <v>View</v>
      </c>
      <c r="P10024" s="27"/>
    </row>
    <row r="10025">
      <c r="A10025" s="14">
        <v>43032.16883101852</v>
      </c>
      <c r="B10025" s="20" t="str">
        <f>HYPERLINK("https://twitter.com/tokeyneale","@tokeyneale")</f>
        <v>@tokeyneale</v>
      </c>
      <c r="C10025" s="21" t="s">
        <v>12240</v>
      </c>
      <c r="D10025" s="21" t="s">
        <v>21563</v>
      </c>
      <c r="E10025" s="22" t="str">
        <f>HYPERLINK("https://twitter.com/tokeyneale/status/922780487466106885","922780487466106885")</f>
        <v>922780487466106885</v>
      </c>
      <c r="F10025" s="23" t="s">
        <v>536</v>
      </c>
      <c r="G10025" s="24">
        <v>2935.0</v>
      </c>
      <c r="H10025" s="24">
        <v>1045.0</v>
      </c>
      <c r="I10025" s="24">
        <v>5.0</v>
      </c>
      <c r="J10025" s="24">
        <v>0.0</v>
      </c>
      <c r="K10025" s="23" t="s">
        <v>34</v>
      </c>
      <c r="L10025" s="25">
        <v>40195.11246527778</v>
      </c>
      <c r="M10025" s="26" t="s">
        <v>12242</v>
      </c>
      <c r="N10025" s="26" t="s">
        <v>12243</v>
      </c>
      <c r="O10025" s="22" t="str">
        <f>HYPERLINK("https://pbs.twimg.com/profile_images/1083675039/19296967_1437038289_normal.jpg","View")</f>
        <v>View</v>
      </c>
      <c r="P10025" s="27"/>
    </row>
    <row r="10026">
      <c r="A10026" s="14">
        <v>43032.16956018518</v>
      </c>
      <c r="B10026" s="20" t="str">
        <f>HYPERLINK("https://twitter.com/TopFiveTraders","@TopFiveTraders")</f>
        <v>@TopFiveTraders</v>
      </c>
      <c r="C10026" s="21" t="s">
        <v>1984</v>
      </c>
      <c r="D10026" s="21" t="s">
        <v>21565</v>
      </c>
      <c r="E10026" s="22" t="str">
        <f>HYPERLINK("https://twitter.com/TopFiveTraders/status/922780750474305537","922780750474305537")</f>
        <v>922780750474305537</v>
      </c>
      <c r="F10026" s="23" t="s">
        <v>187</v>
      </c>
      <c r="G10026" s="24">
        <v>8168.0</v>
      </c>
      <c r="H10026" s="24">
        <v>6711.0</v>
      </c>
      <c r="I10026" s="24">
        <v>0.0</v>
      </c>
      <c r="J10026" s="24">
        <v>0.0</v>
      </c>
      <c r="K10026" s="23" t="s">
        <v>34</v>
      </c>
      <c r="L10026" s="25">
        <v>41573.484201388885</v>
      </c>
      <c r="M10026" s="26" t="s">
        <v>1986</v>
      </c>
      <c r="N10026" s="26" t="s">
        <v>1987</v>
      </c>
      <c r="O10026" s="22" t="str">
        <f>HYPERLINK("https://pbs.twimg.com/profile_images/729113141444026370/hi202Ffp_normal.jpg","View")</f>
        <v>View</v>
      </c>
      <c r="P10026" s="27"/>
    </row>
    <row r="10027">
      <c r="A10027" s="14">
        <v>43032.16957175926</v>
      </c>
      <c r="B10027" s="20" t="str">
        <f>HYPERLINK("https://twitter.com/jsftennis","@jsftennis")</f>
        <v>@jsftennis</v>
      </c>
      <c r="C10027" s="21" t="s">
        <v>21566</v>
      </c>
      <c r="D10027" s="21" t="s">
        <v>16537</v>
      </c>
      <c r="E10027" s="22" t="str">
        <f>HYPERLINK("https://twitter.com/jsftennis/status/922780758770581504","922780758770581504")</f>
        <v>922780758770581504</v>
      </c>
      <c r="F10027" s="23" t="s">
        <v>39</v>
      </c>
      <c r="G10027" s="24">
        <v>1291.0</v>
      </c>
      <c r="H10027" s="24">
        <v>2372.0</v>
      </c>
      <c r="I10027" s="24">
        <v>242.0</v>
      </c>
      <c r="J10027" s="24">
        <v>0.0</v>
      </c>
      <c r="K10027" s="23" t="s">
        <v>34</v>
      </c>
      <c r="L10027" s="25">
        <v>42607.825266203705</v>
      </c>
      <c r="M10027" s="26" t="s">
        <v>21567</v>
      </c>
      <c r="N10027" s="26" t="s">
        <v>21568</v>
      </c>
      <c r="O10027" s="22" t="str">
        <f>HYPERLINK("https://pbs.twimg.com/profile_images/908866111210442753/soGceCrC_normal.jpg","View")</f>
        <v>View</v>
      </c>
      <c r="P10027" s="27"/>
    </row>
    <row r="10028">
      <c r="A10028" s="14">
        <v>43032.16960648148</v>
      </c>
      <c r="B10028" s="20" t="str">
        <f>HYPERLINK("https://twitter.com/Ubequity_Coach","@Ubequity_Coach")</f>
        <v>@Ubequity_Coach</v>
      </c>
      <c r="C10028" s="21" t="s">
        <v>21569</v>
      </c>
      <c r="D10028" s="21" t="s">
        <v>21570</v>
      </c>
      <c r="E10028" s="22" t="str">
        <f>HYPERLINK("https://twitter.com/Ubequity_Coach/status/922780770732855296","922780770732855296")</f>
        <v>922780770732855296</v>
      </c>
      <c r="F10028" s="23" t="s">
        <v>187</v>
      </c>
      <c r="G10028" s="24">
        <v>33357.0</v>
      </c>
      <c r="H10028" s="24">
        <v>38342.0</v>
      </c>
      <c r="I10028" s="24">
        <v>0.0</v>
      </c>
      <c r="J10028" s="24">
        <v>0.0</v>
      </c>
      <c r="K10028" s="23" t="s">
        <v>34</v>
      </c>
      <c r="L10028" s="25">
        <v>39889.16748842593</v>
      </c>
      <c r="M10028" s="26" t="s">
        <v>4198</v>
      </c>
      <c r="N10028" s="26" t="s">
        <v>21571</v>
      </c>
      <c r="O10028" s="22" t="str">
        <f>HYPERLINK("https://pbs.twimg.com/profile_images/451321472477175808/yEjBA7Nc_normal.jpeg","View")</f>
        <v>View</v>
      </c>
      <c r="P10028" s="27"/>
    </row>
    <row r="10029">
      <c r="A10029" s="14">
        <v>43032.170069444444</v>
      </c>
      <c r="B10029" s="20" t="str">
        <f>HYPERLINK("https://twitter.com/TFTCS","@TFTCS")</f>
        <v>@TFTCS</v>
      </c>
      <c r="C10029" s="21" t="s">
        <v>1851</v>
      </c>
      <c r="D10029" s="21" t="s">
        <v>21572</v>
      </c>
      <c r="E10029" s="22" t="str">
        <f>HYPERLINK("https://twitter.com/TFTCS/status/922780935162130432","922780935162130432")</f>
        <v>922780935162130432</v>
      </c>
      <c r="F10029" s="23" t="s">
        <v>187</v>
      </c>
      <c r="G10029" s="24">
        <v>4389.0</v>
      </c>
      <c r="H10029" s="24">
        <v>4555.0</v>
      </c>
      <c r="I10029" s="24">
        <v>0.0</v>
      </c>
      <c r="J10029" s="24">
        <v>0.0</v>
      </c>
      <c r="K10029" s="23" t="s">
        <v>34</v>
      </c>
      <c r="L10029" s="25">
        <v>41868.76810185185</v>
      </c>
      <c r="M10029" s="26" t="s">
        <v>1853</v>
      </c>
      <c r="N10029" s="26" t="s">
        <v>1854</v>
      </c>
      <c r="O10029" s="22" t="str">
        <f>HYPERLINK("https://pbs.twimg.com/profile_images/736027772800368640/DdLGgNNU_normal.jpg","View")</f>
        <v>View</v>
      </c>
      <c r="P10029" s="27"/>
    </row>
    <row r="10030">
      <c r="A10030" s="14">
        <v>43032.17030092592</v>
      </c>
      <c r="B10030" s="20" t="str">
        <f>HYPERLINK("https://twitter.com/paige_antoine","@paige_antoine")</f>
        <v>@paige_antoine</v>
      </c>
      <c r="C10030" s="21" t="s">
        <v>21359</v>
      </c>
      <c r="D10030" s="21" t="s">
        <v>21194</v>
      </c>
      <c r="E10030" s="22" t="str">
        <f>HYPERLINK("https://twitter.com/paige_antoine/status/922781021468160000","922781021468160000")</f>
        <v>922781021468160000</v>
      </c>
      <c r="F10030" s="23" t="s">
        <v>86</v>
      </c>
      <c r="G10030" s="24">
        <v>135.0</v>
      </c>
      <c r="H10030" s="24">
        <v>107.0</v>
      </c>
      <c r="I10030" s="24">
        <v>35.0</v>
      </c>
      <c r="J10030" s="24">
        <v>0.0</v>
      </c>
      <c r="K10030" s="23" t="s">
        <v>34</v>
      </c>
      <c r="L10030" s="25">
        <v>41876.4421875</v>
      </c>
      <c r="M10030" s="26" t="s">
        <v>40</v>
      </c>
      <c r="N10030" s="26" t="s">
        <v>21334</v>
      </c>
      <c r="O10030" s="22" t="str">
        <f>HYPERLINK("https://pbs.twimg.com/profile_images/503967133064110080/tbXTxmqI_normal.jpeg","View")</f>
        <v>View</v>
      </c>
      <c r="P10030" s="27"/>
    </row>
    <row r="10031">
      <c r="A10031" s="14">
        <v>43032.170439814814</v>
      </c>
      <c r="B10031" s="20" t="str">
        <f>HYPERLINK("https://twitter.com/DavidMcNeill3","@DavidMcNeill3")</f>
        <v>@DavidMcNeill3</v>
      </c>
      <c r="C10031" s="21" t="s">
        <v>21573</v>
      </c>
      <c r="D10031" s="21" t="s">
        <v>21574</v>
      </c>
      <c r="E10031" s="22" t="str">
        <f>HYPERLINK("https://twitter.com/DavidMcNeill3/status/922781071439151106","922781071439151106")</f>
        <v>922781071439151106</v>
      </c>
      <c r="F10031" s="23" t="s">
        <v>55</v>
      </c>
      <c r="G10031" s="24">
        <v>3161.0</v>
      </c>
      <c r="H10031" s="24">
        <v>314.0</v>
      </c>
      <c r="I10031" s="24">
        <v>4.0</v>
      </c>
      <c r="J10031" s="24">
        <v>7.0</v>
      </c>
      <c r="K10031" s="23" t="s">
        <v>34</v>
      </c>
      <c r="L10031" s="25">
        <v>40702.61145833333</v>
      </c>
      <c r="M10031" s="26" t="s">
        <v>923</v>
      </c>
      <c r="N10031" s="26" t="s">
        <v>21575</v>
      </c>
      <c r="O10031" s="22" t="str">
        <f>HYPERLINK("https://pbs.twimg.com/profile_images/689052183220760576/R4oS_7MT_normal.jpg","View")</f>
        <v>View</v>
      </c>
      <c r="P10031" s="27"/>
    </row>
    <row r="10032">
      <c r="A10032" s="14">
        <v>43032.171076388884</v>
      </c>
      <c r="B10032" s="20" t="str">
        <f>HYPERLINK("https://twitter.com/ceomongol","@ceomongol")</f>
        <v>@ceomongol</v>
      </c>
      <c r="C10032" s="21" t="s">
        <v>21576</v>
      </c>
      <c r="D10032" s="21" t="s">
        <v>8665</v>
      </c>
      <c r="E10032" s="22" t="str">
        <f>HYPERLINK("https://twitter.com/ceomongol/status/922781300502568961","922781300502568961")</f>
        <v>922781300502568961</v>
      </c>
      <c r="F10032" s="23" t="s">
        <v>39</v>
      </c>
      <c r="G10032" s="24">
        <v>25583.0</v>
      </c>
      <c r="H10032" s="24">
        <v>1096.0</v>
      </c>
      <c r="I10032" s="24">
        <v>67.0</v>
      </c>
      <c r="J10032" s="24">
        <v>0.0</v>
      </c>
      <c r="K10032" s="23" t="s">
        <v>34</v>
      </c>
      <c r="L10032" s="25">
        <v>40611.26090277778</v>
      </c>
      <c r="M10032" s="26" t="s">
        <v>21577</v>
      </c>
      <c r="N10032" s="26" t="s">
        <v>21578</v>
      </c>
      <c r="O10032" s="22" t="str">
        <f>HYPERLINK("https://pbs.twimg.com/profile_images/903105494260244480/nbOGnJ0v_normal.jpg","View")</f>
        <v>View</v>
      </c>
      <c r="P10032" s="27"/>
    </row>
    <row r="10033">
      <c r="A10033" s="14">
        <v>43032.171122685184</v>
      </c>
      <c r="B10033" s="20" t="str">
        <f>HYPERLINK("https://twitter.com/RobbieGramer","@RobbieGramer")</f>
        <v>@RobbieGramer</v>
      </c>
      <c r="C10033" s="21" t="s">
        <v>21579</v>
      </c>
      <c r="D10033" s="21" t="s">
        <v>18761</v>
      </c>
      <c r="E10033" s="22" t="str">
        <f>HYPERLINK("https://twitter.com/RobbieGramer/status/922781319465259009","922781319465259009")</f>
        <v>922781319465259009</v>
      </c>
      <c r="F10033" s="23" t="s">
        <v>39</v>
      </c>
      <c r="G10033" s="24">
        <v>9966.0</v>
      </c>
      <c r="H10033" s="24">
        <v>2325.0</v>
      </c>
      <c r="I10033" s="24">
        <v>11.0</v>
      </c>
      <c r="J10033" s="24">
        <v>0.0</v>
      </c>
      <c r="K10033" s="23" t="s">
        <v>34</v>
      </c>
      <c r="L10033" s="25">
        <v>40436.8284375</v>
      </c>
      <c r="M10033" s="26" t="s">
        <v>21580</v>
      </c>
      <c r="N10033" s="26" t="s">
        <v>21581</v>
      </c>
      <c r="O10033" s="22" t="str">
        <f>HYPERLINK("https://pbs.twimg.com/profile_images/829707211819581440/JsZs9ZjO_normal.jpg","View")</f>
        <v>View</v>
      </c>
      <c r="P10033" s="27"/>
    </row>
    <row r="10034">
      <c r="A10034" s="14">
        <v>43032.17128472222</v>
      </c>
      <c r="B10034" s="20" t="str">
        <f>HYPERLINK("https://twitter.com/BloombergAsia","@BloombergAsia")</f>
        <v>@BloombergAsia</v>
      </c>
      <c r="C10034" s="21" t="s">
        <v>1726</v>
      </c>
      <c r="D10034" s="21" t="s">
        <v>21582</v>
      </c>
      <c r="E10034" s="22" t="str">
        <f>HYPERLINK("https://twitter.com/BloombergAsia/status/922781375882760192","922781375882760192")</f>
        <v>922781375882760192</v>
      </c>
      <c r="F10034" s="23" t="s">
        <v>1103</v>
      </c>
      <c r="G10034" s="24">
        <v>28807.0</v>
      </c>
      <c r="H10034" s="24">
        <v>97.0</v>
      </c>
      <c r="I10034" s="24">
        <v>2.0</v>
      </c>
      <c r="J10034" s="24">
        <v>2.0</v>
      </c>
      <c r="K10034" s="23" t="s">
        <v>34</v>
      </c>
      <c r="L10034" s="25">
        <v>41052.238483796296</v>
      </c>
      <c r="M10034" s="28"/>
      <c r="N10034" s="26" t="s">
        <v>1728</v>
      </c>
      <c r="O10034" s="22" t="str">
        <f>HYPERLINK("https://pbs.twimg.com/profile_images/778129630284902401/gXjFkqGM_normal.jpg","View")</f>
        <v>View</v>
      </c>
      <c r="P10034" s="27"/>
    </row>
    <row r="10035">
      <c r="A10035" s="14">
        <v>43032.17229166666</v>
      </c>
      <c r="B10035" s="20" t="str">
        <f>HYPERLINK("https://twitter.com/alexcamill","@alexcamill")</f>
        <v>@alexcamill</v>
      </c>
      <c r="C10035" s="21" t="s">
        <v>21481</v>
      </c>
      <c r="D10035" s="21" t="s">
        <v>21202</v>
      </c>
      <c r="E10035" s="22" t="str">
        <f>HYPERLINK("https://twitter.com/alexcamill/status/922781742716674049","922781742716674049")</f>
        <v>922781742716674049</v>
      </c>
      <c r="F10035" s="23" t="s">
        <v>21482</v>
      </c>
      <c r="G10035" s="24">
        <v>358.0</v>
      </c>
      <c r="H10035" s="24">
        <v>2228.0</v>
      </c>
      <c r="I10035" s="24">
        <v>79.0</v>
      </c>
      <c r="J10035" s="24">
        <v>0.0</v>
      </c>
      <c r="K10035" s="23" t="s">
        <v>34</v>
      </c>
      <c r="L10035" s="25">
        <v>40212.13171296296</v>
      </c>
      <c r="M10035" s="26" t="s">
        <v>9802</v>
      </c>
      <c r="N10035" s="26" t="s">
        <v>21483</v>
      </c>
      <c r="O10035" s="22" t="str">
        <f>HYPERLINK("https://pbs.twimg.com/profile_images/918735413363265536/w8V-Ge5G_normal.jpg","View")</f>
        <v>View</v>
      </c>
      <c r="P10035" s="27"/>
    </row>
    <row r="10036">
      <c r="A10036" s="14">
        <v>43032.17236111111</v>
      </c>
      <c r="B10036" s="20" t="str">
        <f>HYPERLINK("https://twitter.com/InPRA","@InPRA")</f>
        <v>@InPRA</v>
      </c>
      <c r="C10036" s="21" t="s">
        <v>21583</v>
      </c>
      <c r="D10036" s="21" t="s">
        <v>21584</v>
      </c>
      <c r="E10036" s="22" t="str">
        <f>HYPERLINK("https://twitter.com/InPRA/status/922781768763281409","922781768763281409")</f>
        <v>922781768763281409</v>
      </c>
      <c r="F10036" s="23" t="s">
        <v>55</v>
      </c>
      <c r="G10036" s="24">
        <v>289.0</v>
      </c>
      <c r="H10036" s="24">
        <v>228.0</v>
      </c>
      <c r="I10036" s="24">
        <v>0.0</v>
      </c>
      <c r="J10036" s="24">
        <v>0.0</v>
      </c>
      <c r="K10036" s="23" t="s">
        <v>34</v>
      </c>
      <c r="L10036" s="25">
        <v>41652.11767361111</v>
      </c>
      <c r="M10036" s="26" t="s">
        <v>96</v>
      </c>
      <c r="N10036" s="26" t="s">
        <v>21585</v>
      </c>
      <c r="O10036" s="22" t="str">
        <f>HYPERLINK("https://pbs.twimg.com/profile_images/561378279785910272/QoFnFH4U_normal.png","View")</f>
        <v>View</v>
      </c>
      <c r="P10036" s="27"/>
    </row>
    <row r="10037">
      <c r="A10037" s="14">
        <v>43032.172372685185</v>
      </c>
      <c r="B10037" s="20" t="str">
        <f>HYPERLINK("https://twitter.com/vrai777","@vrai777")</f>
        <v>@vrai777</v>
      </c>
      <c r="C10037" s="21" t="s">
        <v>1770</v>
      </c>
      <c r="D10037" s="21" t="s">
        <v>21586</v>
      </c>
      <c r="E10037" s="22" t="str">
        <f>HYPERLINK("https://twitter.com/vrai777/status/922781772567531520","922781772567531520")</f>
        <v>922781772567531520</v>
      </c>
      <c r="F10037" s="23" t="s">
        <v>187</v>
      </c>
      <c r="G10037" s="24">
        <v>7944.0</v>
      </c>
      <c r="H10037" s="24">
        <v>71.0</v>
      </c>
      <c r="I10037" s="24">
        <v>0.0</v>
      </c>
      <c r="J10037" s="24">
        <v>0.0</v>
      </c>
      <c r="K10037" s="23" t="s">
        <v>34</v>
      </c>
      <c r="L10037" s="25">
        <v>39878.7593287037</v>
      </c>
      <c r="M10037" s="26" t="s">
        <v>1024</v>
      </c>
      <c r="N10037" s="26" t="s">
        <v>1772</v>
      </c>
      <c r="O10037" s="22" t="str">
        <f>HYPERLINK("https://pbs.twimg.com/profile_images/688775800284266496/qhWTo08H_normal.png","View")</f>
        <v>View</v>
      </c>
      <c r="P10037" s="27"/>
    </row>
    <row r="10038">
      <c r="A10038" s="14">
        <v>43032.17256944445</v>
      </c>
      <c r="B10038" s="20" t="str">
        <f>HYPERLINK("https://twitter.com/CherryBlues4me","@CherryBlues4me")</f>
        <v>@CherryBlues4me</v>
      </c>
      <c r="C10038" s="21" t="s">
        <v>21587</v>
      </c>
      <c r="D10038" s="21" t="s">
        <v>21202</v>
      </c>
      <c r="E10038" s="22" t="str">
        <f>HYPERLINK("https://twitter.com/CherryBlues4me/status/922781843438501888","922781843438501888")</f>
        <v>922781843438501888</v>
      </c>
      <c r="F10038" s="23" t="s">
        <v>86</v>
      </c>
      <c r="G10038" s="24">
        <v>502.0</v>
      </c>
      <c r="H10038" s="24">
        <v>423.0</v>
      </c>
      <c r="I10038" s="24">
        <v>79.0</v>
      </c>
      <c r="J10038" s="24">
        <v>0.0</v>
      </c>
      <c r="K10038" s="23" t="s">
        <v>34</v>
      </c>
      <c r="L10038" s="25">
        <v>41554.39372685185</v>
      </c>
      <c r="M10038" s="26" t="s">
        <v>11949</v>
      </c>
      <c r="N10038" s="26" t="s">
        <v>21588</v>
      </c>
      <c r="O10038" s="22" t="str">
        <f>HYPERLINK("https://pbs.twimg.com/profile_images/378800000563075219/675bcf17bec1b3be2a3ff1bef53c0e09_normal.jpeg","View")</f>
        <v>View</v>
      </c>
      <c r="P10038" s="27"/>
    </row>
    <row r="10039">
      <c r="A10039" s="14">
        <v>43032.1728125</v>
      </c>
      <c r="B10039" s="20" t="str">
        <f>HYPERLINK("https://twitter.com/sandi_childs","@sandi_childs")</f>
        <v>@sandi_childs</v>
      </c>
      <c r="C10039" s="21" t="s">
        <v>9404</v>
      </c>
      <c r="D10039" s="21" t="s">
        <v>21417</v>
      </c>
      <c r="E10039" s="22" t="str">
        <f>HYPERLINK("https://twitter.com/sandi_childs/status/922781932722708480","922781932722708480")</f>
        <v>922781932722708480</v>
      </c>
      <c r="F10039" s="23" t="s">
        <v>39</v>
      </c>
      <c r="G10039" s="24">
        <v>2447.0</v>
      </c>
      <c r="H10039" s="24">
        <v>3815.0</v>
      </c>
      <c r="I10039" s="24">
        <v>16.0</v>
      </c>
      <c r="J10039" s="24">
        <v>0.0</v>
      </c>
      <c r="K10039" s="23" t="s">
        <v>34</v>
      </c>
      <c r="L10039" s="25">
        <v>41594.161898148144</v>
      </c>
      <c r="M10039" s="26" t="s">
        <v>9405</v>
      </c>
      <c r="N10039" s="26" t="s">
        <v>9406</v>
      </c>
      <c r="O10039" s="22" t="str">
        <f>HYPERLINK("https://pbs.twimg.com/profile_images/810013492480643072/fSC_6Jgm_normal.jpg","View")</f>
        <v>View</v>
      </c>
      <c r="P10039" s="27"/>
    </row>
    <row r="10040">
      <c r="A10040" s="14">
        <v>43032.17282407408</v>
      </c>
      <c r="B10040" s="20" t="str">
        <f>HYPERLINK("https://twitter.com/TopFiveTraders","@TopFiveTraders")</f>
        <v>@TopFiveTraders</v>
      </c>
      <c r="C10040" s="21" t="s">
        <v>1984</v>
      </c>
      <c r="D10040" s="21" t="s">
        <v>21589</v>
      </c>
      <c r="E10040" s="22" t="str">
        <f>HYPERLINK("https://twitter.com/TopFiveTraders/status/922781937181315072","922781937181315072")</f>
        <v>922781937181315072</v>
      </c>
      <c r="F10040" s="23" t="s">
        <v>187</v>
      </c>
      <c r="G10040" s="24">
        <v>8168.0</v>
      </c>
      <c r="H10040" s="24">
        <v>6711.0</v>
      </c>
      <c r="I10040" s="24">
        <v>1.0</v>
      </c>
      <c r="J10040" s="24">
        <v>0.0</v>
      </c>
      <c r="K10040" s="23" t="s">
        <v>34</v>
      </c>
      <c r="L10040" s="25">
        <v>41573.484201388885</v>
      </c>
      <c r="M10040" s="26" t="s">
        <v>1986</v>
      </c>
      <c r="N10040" s="26" t="s">
        <v>1987</v>
      </c>
      <c r="O10040" s="22" t="str">
        <f>HYPERLINK("https://pbs.twimg.com/profile_images/729113141444026370/hi202Ffp_normal.jpg","View")</f>
        <v>View</v>
      </c>
      <c r="P10040" s="27"/>
    </row>
    <row r="10041">
      <c r="A10041" s="14">
        <v>43032.173055555555</v>
      </c>
      <c r="B10041" s="20" t="str">
        <f>HYPERLINK("https://twitter.com/jmhamiltonblog","@jmhamiltonblog")</f>
        <v>@jmhamiltonblog</v>
      </c>
      <c r="C10041" s="21" t="s">
        <v>3858</v>
      </c>
      <c r="D10041" s="21" t="s">
        <v>21417</v>
      </c>
      <c r="E10041" s="22" t="str">
        <f>HYPERLINK("https://twitter.com/jmhamiltonblog/status/922782020689907713","922782020689907713")</f>
        <v>922782020689907713</v>
      </c>
      <c r="F10041" s="23" t="s">
        <v>55</v>
      </c>
      <c r="G10041" s="24">
        <v>5966.0</v>
      </c>
      <c r="H10041" s="24">
        <v>5477.0</v>
      </c>
      <c r="I10041" s="24">
        <v>16.0</v>
      </c>
      <c r="J10041" s="24">
        <v>0.0</v>
      </c>
      <c r="K10041" s="23" t="s">
        <v>34</v>
      </c>
      <c r="L10041" s="25">
        <v>40565.48446759259</v>
      </c>
      <c r="M10041" s="26" t="s">
        <v>3860</v>
      </c>
      <c r="N10041" s="26" t="s">
        <v>3861</v>
      </c>
      <c r="O10041" s="22" t="str">
        <f>HYPERLINK("https://pbs.twimg.com/profile_images/1261161568/Camera_Phone_009_normal.jpg","View")</f>
        <v>View</v>
      </c>
      <c r="P10041" s="27"/>
    </row>
    <row r="10042">
      <c r="A10042" s="14">
        <v>43032.173067129625</v>
      </c>
      <c r="B10042" s="20" t="str">
        <f>HYPERLINK("https://twitter.com/autoworldmag","@autoworldmag")</f>
        <v>@autoworldmag</v>
      </c>
      <c r="C10042" s="21" t="s">
        <v>21590</v>
      </c>
      <c r="D10042" s="21" t="s">
        <v>21591</v>
      </c>
      <c r="E10042" s="22" t="str">
        <f>HYPERLINK("https://twitter.com/autoworldmag/status/922782025051922432","922782025051922432")</f>
        <v>922782025051922432</v>
      </c>
      <c r="F10042" s="23" t="s">
        <v>33</v>
      </c>
      <c r="G10042" s="24">
        <v>694.0</v>
      </c>
      <c r="H10042" s="24">
        <v>1391.0</v>
      </c>
      <c r="I10042" s="24">
        <v>2.0</v>
      </c>
      <c r="J10042" s="24">
        <v>0.0</v>
      </c>
      <c r="K10042" s="23" t="s">
        <v>34</v>
      </c>
      <c r="L10042" s="25">
        <v>41210.290509259255</v>
      </c>
      <c r="M10042" s="26" t="s">
        <v>65</v>
      </c>
      <c r="N10042" s="26" t="s">
        <v>21592</v>
      </c>
      <c r="O10042" s="22" t="str">
        <f>HYPERLINK("https://pbs.twimg.com/profile_images/697346844641202177/4Pt-MQr2_normal.jpg","View")</f>
        <v>View</v>
      </c>
      <c r="P10042" s="27"/>
    </row>
    <row r="10043">
      <c r="A10043" s="14">
        <v>43032.17313657407</v>
      </c>
      <c r="B10043" s="20" t="str">
        <f>HYPERLINK("https://twitter.com/InfoSharesinsid","@InfoSharesinsid")</f>
        <v>@InfoSharesinsid</v>
      </c>
      <c r="C10043" s="21" t="s">
        <v>21593</v>
      </c>
      <c r="D10043" s="21" t="s">
        <v>21594</v>
      </c>
      <c r="E10043" s="22" t="str">
        <f>HYPERLINK("https://twitter.com/InfoSharesinsid/status/922782050347896832","922782050347896832")</f>
        <v>922782050347896832</v>
      </c>
      <c r="F10043" s="23" t="s">
        <v>55</v>
      </c>
      <c r="G10043" s="24">
        <v>1865.0</v>
      </c>
      <c r="H10043" s="24">
        <v>4983.0</v>
      </c>
      <c r="I10043" s="24">
        <v>1.0</v>
      </c>
      <c r="J10043" s="24">
        <v>0.0</v>
      </c>
      <c r="K10043" s="23" t="s">
        <v>34</v>
      </c>
      <c r="L10043" s="25">
        <v>42518.012094907404</v>
      </c>
      <c r="M10043" s="26" t="s">
        <v>9327</v>
      </c>
      <c r="N10043" s="26" t="s">
        <v>21595</v>
      </c>
      <c r="O10043" s="22" t="str">
        <f>HYPERLINK("https://pbs.twimg.com/profile_images/736463198262427648/4JJAFLTk_normal.jpg","View")</f>
        <v>View</v>
      </c>
      <c r="P10043" s="27"/>
    </row>
    <row r="10044">
      <c r="A10044" s="14">
        <v>43032.17325231481</v>
      </c>
      <c r="B10044" s="20" t="str">
        <f>HYPERLINK("https://twitter.com/CherryBlues4me","@CherryBlues4me")</f>
        <v>@CherryBlues4me</v>
      </c>
      <c r="C10044" s="21" t="s">
        <v>21587</v>
      </c>
      <c r="D10044" s="21" t="s">
        <v>21203</v>
      </c>
      <c r="E10044" s="22" t="str">
        <f>HYPERLINK("https://twitter.com/CherryBlues4me/status/922782088834646017","922782088834646017")</f>
        <v>922782088834646017</v>
      </c>
      <c r="F10044" s="23" t="s">
        <v>86</v>
      </c>
      <c r="G10044" s="24">
        <v>502.0</v>
      </c>
      <c r="H10044" s="24">
        <v>423.0</v>
      </c>
      <c r="I10044" s="24">
        <v>75.0</v>
      </c>
      <c r="J10044" s="24">
        <v>0.0</v>
      </c>
      <c r="K10044" s="23" t="s">
        <v>34</v>
      </c>
      <c r="L10044" s="25">
        <v>41554.39372685185</v>
      </c>
      <c r="M10044" s="26" t="s">
        <v>11949</v>
      </c>
      <c r="N10044" s="26" t="s">
        <v>21588</v>
      </c>
      <c r="O10044" s="22" t="str">
        <f>HYPERLINK("https://pbs.twimg.com/profile_images/378800000563075219/675bcf17bec1b3be2a3ff1bef53c0e09_normal.jpeg","View")</f>
        <v>View</v>
      </c>
      <c r="P10044" s="27"/>
    </row>
    <row r="10045">
      <c r="A10045" s="14">
        <v>43032.17351851852</v>
      </c>
      <c r="B10045" s="20" t="str">
        <f>HYPERLINK("https://twitter.com/kevinaudigier","@kevinaudigier")</f>
        <v>@kevinaudigier</v>
      </c>
      <c r="C10045" s="21" t="s">
        <v>21596</v>
      </c>
      <c r="D10045" s="21" t="s">
        <v>21563</v>
      </c>
      <c r="E10045" s="22" t="str">
        <f>HYPERLINK("https://twitter.com/kevinaudigier/status/922782188671729665","922782188671729665")</f>
        <v>922782188671729665</v>
      </c>
      <c r="F10045" s="23" t="s">
        <v>33</v>
      </c>
      <c r="G10045" s="24">
        <v>850.0</v>
      </c>
      <c r="H10045" s="24">
        <v>568.0</v>
      </c>
      <c r="I10045" s="24">
        <v>5.0</v>
      </c>
      <c r="J10045" s="24">
        <v>0.0</v>
      </c>
      <c r="K10045" s="23" t="s">
        <v>34</v>
      </c>
      <c r="L10045" s="25">
        <v>40925.392222222225</v>
      </c>
      <c r="M10045" s="28"/>
      <c r="N10045" s="26" t="s">
        <v>21597</v>
      </c>
      <c r="O10045" s="22" t="str">
        <f>HYPERLINK("https://pbs.twimg.com/profile_images/826507173983289347/fYjc1awX_normal.jpg","View")</f>
        <v>View</v>
      </c>
      <c r="P10045" s="27"/>
    </row>
    <row r="10046">
      <c r="A10046" s="14">
        <v>43032.17390046296</v>
      </c>
      <c r="B10046" s="20" t="str">
        <f t="shared" ref="B10046:B10047" si="219">HYPERLINK("https://twitter.com/CherryBlues4me","@CherryBlues4me")</f>
        <v>@CherryBlues4me</v>
      </c>
      <c r="C10046" s="21" t="s">
        <v>21587</v>
      </c>
      <c r="D10046" s="21" t="s">
        <v>21243</v>
      </c>
      <c r="E10046" s="22" t="str">
        <f>HYPERLINK("https://twitter.com/CherryBlues4me/status/922782323547947009","922782323547947009")</f>
        <v>922782323547947009</v>
      </c>
      <c r="F10046" s="23" t="s">
        <v>86</v>
      </c>
      <c r="G10046" s="24">
        <v>502.0</v>
      </c>
      <c r="H10046" s="24">
        <v>423.0</v>
      </c>
      <c r="I10046" s="24">
        <v>41.0</v>
      </c>
      <c r="J10046" s="24">
        <v>0.0</v>
      </c>
      <c r="K10046" s="23" t="s">
        <v>34</v>
      </c>
      <c r="L10046" s="25">
        <v>41554.39372685185</v>
      </c>
      <c r="M10046" s="26" t="s">
        <v>11949</v>
      </c>
      <c r="N10046" s="26" t="s">
        <v>21588</v>
      </c>
      <c r="O10046" s="22" t="str">
        <f t="shared" ref="O10046:O10047" si="220">HYPERLINK("https://pbs.twimg.com/profile_images/378800000563075219/675bcf17bec1b3be2a3ff1bef53c0e09_normal.jpeg","View")</f>
        <v>View</v>
      </c>
      <c r="P10046" s="27"/>
    </row>
    <row r="10047">
      <c r="A10047" s="14">
        <v>43032.17454861111</v>
      </c>
      <c r="B10047" s="20" t="str">
        <f t="shared" si="219"/>
        <v>@CherryBlues4me</v>
      </c>
      <c r="C10047" s="21" t="s">
        <v>21587</v>
      </c>
      <c r="D10047" s="21" t="s">
        <v>21191</v>
      </c>
      <c r="E10047" s="22" t="str">
        <f>HYPERLINK("https://twitter.com/CherryBlues4me/status/922782558810652673","922782558810652673")</f>
        <v>922782558810652673</v>
      </c>
      <c r="F10047" s="23" t="s">
        <v>86</v>
      </c>
      <c r="G10047" s="24">
        <v>502.0</v>
      </c>
      <c r="H10047" s="24">
        <v>423.0</v>
      </c>
      <c r="I10047" s="24">
        <v>42.0</v>
      </c>
      <c r="J10047" s="24">
        <v>0.0</v>
      </c>
      <c r="K10047" s="23" t="s">
        <v>34</v>
      </c>
      <c r="L10047" s="25">
        <v>41554.39372685185</v>
      </c>
      <c r="M10047" s="26" t="s">
        <v>11949</v>
      </c>
      <c r="N10047" s="26" t="s">
        <v>21588</v>
      </c>
      <c r="O10047" s="22" t="str">
        <f t="shared" si="220"/>
        <v>View</v>
      </c>
      <c r="P10047" s="27"/>
    </row>
    <row r="10048">
      <c r="A10048" s="14">
        <v>43032.17460648148</v>
      </c>
      <c r="B10048" s="20" t="str">
        <f>HYPERLINK("https://twitter.com/pearlene_motley","@pearlene_motley")</f>
        <v>@pearlene_motley</v>
      </c>
      <c r="C10048" s="21" t="s">
        <v>21387</v>
      </c>
      <c r="D10048" s="21" t="s">
        <v>21194</v>
      </c>
      <c r="E10048" s="22" t="str">
        <f>HYPERLINK("https://twitter.com/pearlene_motley/status/922782579505246208","922782579505246208")</f>
        <v>922782579505246208</v>
      </c>
      <c r="F10048" s="23" t="s">
        <v>86</v>
      </c>
      <c r="G10048" s="24">
        <v>131.0</v>
      </c>
      <c r="H10048" s="24">
        <v>89.0</v>
      </c>
      <c r="I10048" s="24">
        <v>35.0</v>
      </c>
      <c r="J10048" s="24">
        <v>0.0</v>
      </c>
      <c r="K10048" s="23" t="s">
        <v>34</v>
      </c>
      <c r="L10048" s="25">
        <v>41875.44085648148</v>
      </c>
      <c r="M10048" s="26" t="s">
        <v>21388</v>
      </c>
      <c r="N10048" s="26" t="s">
        <v>21329</v>
      </c>
      <c r="O10048" s="22" t="str">
        <f>HYPERLINK("https://pbs.twimg.com/profile_images/503626311097524225/zjZEvMpU_normal.jpeg","View")</f>
        <v>View</v>
      </c>
      <c r="P10048" s="27"/>
    </row>
    <row r="10049">
      <c r="A10049" s="14">
        <v>43032.17487268518</v>
      </c>
      <c r="B10049" s="20" t="str">
        <f>HYPERLINK("https://twitter.com/InsdataInter","@InsdataInter")</f>
        <v>@InsdataInter</v>
      </c>
      <c r="C10049" s="21" t="s">
        <v>5482</v>
      </c>
      <c r="D10049" s="21" t="s">
        <v>21417</v>
      </c>
      <c r="E10049" s="22" t="str">
        <f>HYPERLINK("https://twitter.com/InsdataInter/status/922782679224979457","922782679224979457")</f>
        <v>922782679224979457</v>
      </c>
      <c r="F10049" s="23" t="s">
        <v>39</v>
      </c>
      <c r="G10049" s="24">
        <v>1725.0</v>
      </c>
      <c r="H10049" s="24">
        <v>2942.0</v>
      </c>
      <c r="I10049" s="24">
        <v>16.0</v>
      </c>
      <c r="J10049" s="24">
        <v>0.0</v>
      </c>
      <c r="K10049" s="23" t="s">
        <v>34</v>
      </c>
      <c r="L10049" s="25">
        <v>41533.38997685185</v>
      </c>
      <c r="M10049" s="26" t="s">
        <v>5483</v>
      </c>
      <c r="N10049" s="28"/>
      <c r="O10049" s="22" t="str">
        <f>HYPERLINK("https://pbs.twimg.com/profile_images/378800000501893520/b4582cd3ce52a7c47133d606b639176e_normal.jpeg","View")</f>
        <v>View</v>
      </c>
      <c r="P10049" s="27"/>
    </row>
    <row r="10050">
      <c r="A10050" s="14">
        <v>43032.175034722226</v>
      </c>
      <c r="B10050" s="20" t="str">
        <f>HYPERLINK("https://twitter.com/Eguy1995","@Eguy1995")</f>
        <v>@Eguy1995</v>
      </c>
      <c r="C10050" s="21" t="s">
        <v>21598</v>
      </c>
      <c r="D10050" s="21" t="s">
        <v>21599</v>
      </c>
      <c r="E10050" s="22" t="str">
        <f>HYPERLINK("https://twitter.com/Eguy1995/status/922782738494582786","922782738494582786")</f>
        <v>922782738494582786</v>
      </c>
      <c r="F10050" s="23" t="s">
        <v>33</v>
      </c>
      <c r="G10050" s="24">
        <v>71.0</v>
      </c>
      <c r="H10050" s="24">
        <v>83.0</v>
      </c>
      <c r="I10050" s="24">
        <v>0.0</v>
      </c>
      <c r="J10050" s="24">
        <v>0.0</v>
      </c>
      <c r="K10050" s="23" t="s">
        <v>34</v>
      </c>
      <c r="L10050" s="25">
        <v>41708.257418981484</v>
      </c>
      <c r="M10050" s="26" t="s">
        <v>71</v>
      </c>
      <c r="N10050" s="26" t="s">
        <v>21600</v>
      </c>
      <c r="O10050" s="22" t="str">
        <f>HYPERLINK("https://pbs.twimg.com/profile_images/490319109351936002/aEUa0Z8D_normal.jpeg","View")</f>
        <v>View</v>
      </c>
      <c r="P10050" s="27"/>
    </row>
    <row r="10051">
      <c r="A10051" s="14">
        <v>43032.175150462965</v>
      </c>
      <c r="B10051" s="20" t="str">
        <f>HYPERLINK("https://twitter.com/GlanceHistory","@GlanceHistory")</f>
        <v>@GlanceHistory</v>
      </c>
      <c r="C10051" s="21" t="s">
        <v>21601</v>
      </c>
      <c r="D10051" s="21" t="s">
        <v>21602</v>
      </c>
      <c r="E10051" s="22" t="str">
        <f>HYPERLINK("https://twitter.com/GlanceHistory/status/922782778491416576","922782778491416576")</f>
        <v>922782778491416576</v>
      </c>
      <c r="F10051" s="23" t="s">
        <v>55</v>
      </c>
      <c r="G10051" s="24">
        <v>139.0</v>
      </c>
      <c r="H10051" s="24">
        <v>246.0</v>
      </c>
      <c r="I10051" s="24">
        <v>4.0</v>
      </c>
      <c r="J10051" s="24">
        <v>9.0</v>
      </c>
      <c r="K10051" s="23" t="s">
        <v>34</v>
      </c>
      <c r="L10051" s="25">
        <v>42933.004432870366</v>
      </c>
      <c r="M10051" s="26" t="s">
        <v>21603</v>
      </c>
      <c r="N10051" s="26" t="s">
        <v>21604</v>
      </c>
      <c r="O10051" s="22" t="str">
        <f>HYPERLINK("https://pbs.twimg.com/profile_images/890955203515523073/_y6zwn-0_normal.jpg","View")</f>
        <v>View</v>
      </c>
      <c r="P10051" s="27"/>
    </row>
    <row r="10052">
      <c r="A10052" s="14">
        <v>43032.17534722222</v>
      </c>
      <c r="B10052" s="20" t="str">
        <f>HYPERLINK("https://twitter.com/CNBCTradersFan","@CNBCTradersFan")</f>
        <v>@CNBCTradersFan</v>
      </c>
      <c r="C10052" s="21" t="s">
        <v>1945</v>
      </c>
      <c r="D10052" s="21" t="s">
        <v>21605</v>
      </c>
      <c r="E10052" s="22" t="str">
        <f>HYPERLINK("https://twitter.com/CNBCTradersFan/status/922782848301625344","922782848301625344")</f>
        <v>922782848301625344</v>
      </c>
      <c r="F10052" s="23" t="s">
        <v>187</v>
      </c>
      <c r="G10052" s="24">
        <v>17128.0</v>
      </c>
      <c r="H10052" s="24">
        <v>11615.0</v>
      </c>
      <c r="I10052" s="24">
        <v>0.0</v>
      </c>
      <c r="J10052" s="24">
        <v>0.0</v>
      </c>
      <c r="K10052" s="23" t="s">
        <v>34</v>
      </c>
      <c r="L10052" s="25">
        <v>40922.50542824074</v>
      </c>
      <c r="M10052" s="26" t="s">
        <v>1947</v>
      </c>
      <c r="N10052" s="26" t="s">
        <v>1948</v>
      </c>
      <c r="O10052" s="22" t="str">
        <f>HYPERLINK("https://pbs.twimg.com/profile_images/731870469318684672/Ckf7rDdJ_normal.jpg","View")</f>
        <v>View</v>
      </c>
      <c r="P10052" s="27"/>
    </row>
    <row r="10053">
      <c r="A10053" s="14">
        <v>43032.17592592593</v>
      </c>
      <c r="B10053" s="20" t="str">
        <f>HYPERLINK("https://twitter.com/sitifatimahnet","@sitifatimahnet")</f>
        <v>@sitifatimahnet</v>
      </c>
      <c r="C10053" s="21" t="s">
        <v>1762</v>
      </c>
      <c r="D10053" s="21" t="s">
        <v>21606</v>
      </c>
      <c r="E10053" s="22" t="str">
        <f>HYPERLINK("https://twitter.com/sitifatimahnet/status/922783061007327232","922783061007327232")</f>
        <v>922783061007327232</v>
      </c>
      <c r="F10053" s="23" t="s">
        <v>187</v>
      </c>
      <c r="G10053" s="24">
        <v>309.0</v>
      </c>
      <c r="H10053" s="24">
        <v>27.0</v>
      </c>
      <c r="I10053" s="24">
        <v>0.0</v>
      </c>
      <c r="J10053" s="24">
        <v>0.0</v>
      </c>
      <c r="K10053" s="23" t="s">
        <v>34</v>
      </c>
      <c r="L10053" s="25">
        <v>42698.43719907408</v>
      </c>
      <c r="M10053" s="26" t="s">
        <v>1764</v>
      </c>
      <c r="N10053" s="26" t="s">
        <v>1765</v>
      </c>
      <c r="O10053" s="22" t="str">
        <f>HYPERLINK("https://pbs.twimg.com/profile_images/897683241594912769/-rSDzg9T_normal.jpg","View")</f>
        <v>View</v>
      </c>
      <c r="P10053" s="27"/>
    </row>
    <row r="10054">
      <c r="A10054" s="14">
        <v>43032.176145833335</v>
      </c>
      <c r="B10054" s="20" t="str">
        <f>HYPERLINK("https://twitter.com/InsdataInter","@InsdataInter")</f>
        <v>@InsdataInter</v>
      </c>
      <c r="C10054" s="21" t="s">
        <v>5482</v>
      </c>
      <c r="D10054" s="21" t="s">
        <v>20700</v>
      </c>
      <c r="E10054" s="22" t="str">
        <f>HYPERLINK("https://twitter.com/InsdataInter/status/922783140086779904","922783140086779904")</f>
        <v>922783140086779904</v>
      </c>
      <c r="F10054" s="23" t="s">
        <v>39</v>
      </c>
      <c r="G10054" s="24">
        <v>1725.0</v>
      </c>
      <c r="H10054" s="24">
        <v>2942.0</v>
      </c>
      <c r="I10054" s="24">
        <v>27.0</v>
      </c>
      <c r="J10054" s="24">
        <v>0.0</v>
      </c>
      <c r="K10054" s="23" t="s">
        <v>34</v>
      </c>
      <c r="L10054" s="25">
        <v>41533.38997685185</v>
      </c>
      <c r="M10054" s="26" t="s">
        <v>5483</v>
      </c>
      <c r="N10054" s="28"/>
      <c r="O10054" s="22" t="str">
        <f>HYPERLINK("https://pbs.twimg.com/profile_images/378800000501893520/b4582cd3ce52a7c47133d606b639176e_normal.jpeg","View")</f>
        <v>View</v>
      </c>
      <c r="P10054" s="27"/>
    </row>
    <row r="10055">
      <c r="A10055" s="14">
        <v>43032.176678240736</v>
      </c>
      <c r="B10055" s="20" t="str">
        <f>HYPERLINK("https://twitter.com/dark_bernd","@dark_bernd")</f>
        <v>@dark_bernd</v>
      </c>
      <c r="C10055" s="21" t="s">
        <v>21607</v>
      </c>
      <c r="D10055" s="21" t="s">
        <v>21608</v>
      </c>
      <c r="E10055" s="22" t="str">
        <f>HYPERLINK("https://twitter.com/dark_bernd/status/922783332324085760","922783332324085760")</f>
        <v>922783332324085760</v>
      </c>
      <c r="F10055" s="23" t="s">
        <v>33</v>
      </c>
      <c r="G10055" s="24">
        <v>195.0</v>
      </c>
      <c r="H10055" s="24">
        <v>80.0</v>
      </c>
      <c r="I10055" s="24">
        <v>4.0</v>
      </c>
      <c r="J10055" s="24">
        <v>0.0</v>
      </c>
      <c r="K10055" s="23" t="s">
        <v>34</v>
      </c>
      <c r="L10055" s="25">
        <v>41729.253379629634</v>
      </c>
      <c r="M10055" s="28"/>
      <c r="N10055" s="26" t="s">
        <v>21609</v>
      </c>
      <c r="O10055" s="22" t="str">
        <f>HYPERLINK("https://abs.twimg.com/sticky/default_profile_images/default_profile_normal.png","View")</f>
        <v>View</v>
      </c>
      <c r="P10055" s="27"/>
    </row>
    <row r="10056">
      <c r="A10056" s="14">
        <v>43032.17673611111</v>
      </c>
      <c r="B10056" s="20" t="str">
        <f>HYPERLINK("https://twitter.com/olasdeoro","@olasdeoro")</f>
        <v>@olasdeoro</v>
      </c>
      <c r="C10056" s="21" t="s">
        <v>21610</v>
      </c>
      <c r="D10056" s="21" t="s">
        <v>21611</v>
      </c>
      <c r="E10056" s="22" t="str">
        <f>HYPERLINK("https://twitter.com/olasdeoro/status/922783354067419137","922783354067419137")</f>
        <v>922783354067419137</v>
      </c>
      <c r="F10056" s="23" t="s">
        <v>39</v>
      </c>
      <c r="G10056" s="24">
        <v>84.0</v>
      </c>
      <c r="H10056" s="24">
        <v>136.0</v>
      </c>
      <c r="I10056" s="24">
        <v>2.0</v>
      </c>
      <c r="J10056" s="24">
        <v>0.0</v>
      </c>
      <c r="K10056" s="23" t="s">
        <v>34</v>
      </c>
      <c r="L10056" s="25">
        <v>42652.62179398148</v>
      </c>
      <c r="M10056" s="26" t="s">
        <v>21612</v>
      </c>
      <c r="N10056" s="26" t="s">
        <v>21613</v>
      </c>
      <c r="O10056" s="22" t="str">
        <f>HYPERLINK("https://pbs.twimg.com/profile_images/920348439275233280/bwHwe5k0_normal.jpg","View")</f>
        <v>View</v>
      </c>
      <c r="P10056" s="27"/>
    </row>
    <row r="10057">
      <c r="A10057" s="14">
        <v>43032.17684027778</v>
      </c>
      <c r="B10057" s="20" t="str">
        <f>HYPERLINK("https://twitter.com/bluecimpex1","@bluecimpex1")</f>
        <v>@bluecimpex1</v>
      </c>
      <c r="C10057" s="21" t="s">
        <v>21614</v>
      </c>
      <c r="D10057" s="21" t="s">
        <v>42</v>
      </c>
      <c r="E10057" s="22" t="str">
        <f>HYPERLINK("https://twitter.com/bluecimpex1/status/922783389463097344","922783389463097344")</f>
        <v>922783389463097344</v>
      </c>
      <c r="F10057" s="23" t="s">
        <v>33</v>
      </c>
      <c r="G10057" s="24">
        <v>40.0</v>
      </c>
      <c r="H10057" s="24">
        <v>66.0</v>
      </c>
      <c r="I10057" s="24">
        <v>8501.0</v>
      </c>
      <c r="J10057" s="24">
        <v>0.0</v>
      </c>
      <c r="K10057" s="23" t="s">
        <v>34</v>
      </c>
      <c r="L10057" s="25">
        <v>41812.278761574074</v>
      </c>
      <c r="M10057" s="28"/>
      <c r="N10057" s="28"/>
      <c r="O10057" s="22" t="str">
        <f>HYPERLINK("https://pbs.twimg.com/profile_images/576352015732756480/jia5DtKA_normal.jpeg","View")</f>
        <v>View</v>
      </c>
      <c r="P10057" s="27"/>
    </row>
    <row r="10058">
      <c r="A10058" s="14">
        <v>43032.176898148144</v>
      </c>
      <c r="B10058" s="20" t="str">
        <f>HYPERLINK("https://twitter.com/peebles_krystin","@peebles_krystin")</f>
        <v>@peebles_krystin</v>
      </c>
      <c r="C10058" s="21" t="s">
        <v>21615</v>
      </c>
      <c r="D10058" s="21" t="s">
        <v>21215</v>
      </c>
      <c r="E10058" s="22" t="str">
        <f>HYPERLINK("https://twitter.com/peebles_krystin/status/922783412217307136","922783412217307136")</f>
        <v>922783412217307136</v>
      </c>
      <c r="F10058" s="23" t="s">
        <v>86</v>
      </c>
      <c r="G10058" s="24">
        <v>112.0</v>
      </c>
      <c r="H10058" s="24">
        <v>78.0</v>
      </c>
      <c r="I10058" s="24">
        <v>39.0</v>
      </c>
      <c r="J10058" s="24">
        <v>0.0</v>
      </c>
      <c r="K10058" s="23" t="s">
        <v>34</v>
      </c>
      <c r="L10058" s="25">
        <v>41882.49052083334</v>
      </c>
      <c r="M10058" s="28"/>
      <c r="N10058" s="26" t="s">
        <v>21616</v>
      </c>
      <c r="O10058" s="22" t="str">
        <f>HYPERLINK("https://pbs.twimg.com/profile_images/506151513295564801/hool9BKz_normal.jpeg","View")</f>
        <v>View</v>
      </c>
      <c r="P10058" s="27"/>
    </row>
    <row r="10059">
      <c r="A10059" s="14">
        <v>43032.17696759259</v>
      </c>
      <c r="B10059" s="20" t="str">
        <f>HYPERLINK("https://twitter.com/devakikhanna","@devakikhanna")</f>
        <v>@devakikhanna</v>
      </c>
      <c r="C10059" s="21" t="s">
        <v>21517</v>
      </c>
      <c r="D10059" s="21" t="s">
        <v>21617</v>
      </c>
      <c r="E10059" s="22" t="str">
        <f>HYPERLINK("https://twitter.com/devakikhanna/status/922783436850581504","922783436850581504")</f>
        <v>922783436850581504</v>
      </c>
      <c r="F10059" s="23" t="s">
        <v>1570</v>
      </c>
      <c r="G10059" s="24">
        <v>1642.0</v>
      </c>
      <c r="H10059" s="24">
        <v>2088.0</v>
      </c>
      <c r="I10059" s="24">
        <v>0.0</v>
      </c>
      <c r="J10059" s="24">
        <v>0.0</v>
      </c>
      <c r="K10059" s="23" t="s">
        <v>34</v>
      </c>
      <c r="L10059" s="25">
        <v>39897.12462962963</v>
      </c>
      <c r="M10059" s="26" t="s">
        <v>96</v>
      </c>
      <c r="N10059" s="26" t="s">
        <v>21519</v>
      </c>
      <c r="O10059" s="22" t="str">
        <f>HYPERLINK("https://pbs.twimg.com/profile_images/857520874475343873/NBabjVN__normal.jpg","View")</f>
        <v>View</v>
      </c>
      <c r="P10059" s="27"/>
    </row>
    <row r="10060">
      <c r="A10060" s="14">
        <v>43032.17709490741</v>
      </c>
      <c r="B10060" s="20" t="str">
        <f>HYPERLINK("https://twitter.com/peebles_krystin","@peebles_krystin")</f>
        <v>@peebles_krystin</v>
      </c>
      <c r="C10060" s="21" t="s">
        <v>21615</v>
      </c>
      <c r="D10060" s="21" t="s">
        <v>21194</v>
      </c>
      <c r="E10060" s="22" t="str">
        <f>HYPERLINK("https://twitter.com/peebles_krystin/status/922783484602597378","922783484602597378")</f>
        <v>922783484602597378</v>
      </c>
      <c r="F10060" s="23" t="s">
        <v>86</v>
      </c>
      <c r="G10060" s="24">
        <v>112.0</v>
      </c>
      <c r="H10060" s="24">
        <v>78.0</v>
      </c>
      <c r="I10060" s="24">
        <v>35.0</v>
      </c>
      <c r="J10060" s="24">
        <v>0.0</v>
      </c>
      <c r="K10060" s="23" t="s">
        <v>34</v>
      </c>
      <c r="L10060" s="25">
        <v>41882.49052083334</v>
      </c>
      <c r="M10060" s="28"/>
      <c r="N10060" s="26" t="s">
        <v>21616</v>
      </c>
      <c r="O10060" s="22" t="str">
        <f>HYPERLINK("https://pbs.twimg.com/profile_images/506151513295564801/hool9BKz_normal.jpeg","View")</f>
        <v>View</v>
      </c>
      <c r="P10060" s="27"/>
    </row>
    <row r="10061">
      <c r="A10061" s="14">
        <v>43032.1772800926</v>
      </c>
      <c r="B10061" s="20" t="str">
        <f>HYPERLINK("https://twitter.com/rajupanna1","@rajupanna1")</f>
        <v>@rajupanna1</v>
      </c>
      <c r="C10061" s="21" t="s">
        <v>21618</v>
      </c>
      <c r="D10061" s="21" t="s">
        <v>42</v>
      </c>
      <c r="E10061" s="22" t="str">
        <f>HYPERLINK("https://twitter.com/rajupanna1/status/922783550818041858","922783550818041858")</f>
        <v>922783550818041858</v>
      </c>
      <c r="F10061" s="23" t="s">
        <v>230</v>
      </c>
      <c r="G10061" s="24">
        <v>2850.0</v>
      </c>
      <c r="H10061" s="24">
        <v>4997.0</v>
      </c>
      <c r="I10061" s="24">
        <v>8501.0</v>
      </c>
      <c r="J10061" s="24">
        <v>0.0</v>
      </c>
      <c r="K10061" s="23" t="s">
        <v>34</v>
      </c>
      <c r="L10061" s="25">
        <v>42652.20037037037</v>
      </c>
      <c r="M10061" s="28"/>
      <c r="N10061" s="28"/>
      <c r="O10061" s="22" t="str">
        <f>HYPERLINK("https://pbs.twimg.com/profile_images/813350177822175232/jQCfpvcN_normal.jpg","View")</f>
        <v>View</v>
      </c>
      <c r="P10061" s="27"/>
    </row>
    <row r="10062">
      <c r="A10062" s="14">
        <v>43032.177407407406</v>
      </c>
      <c r="B10062" s="20" t="str">
        <f>HYPERLINK("https://twitter.com/libertad717","@libertad717")</f>
        <v>@libertad717</v>
      </c>
      <c r="C10062" s="21" t="s">
        <v>1228</v>
      </c>
      <c r="D10062" s="21" t="s">
        <v>13131</v>
      </c>
      <c r="E10062" s="22" t="str">
        <f>HYPERLINK("https://twitter.com/libertad717/status/922783595500134400","922783595500134400")</f>
        <v>922783595500134400</v>
      </c>
      <c r="F10062" s="23" t="s">
        <v>33</v>
      </c>
      <c r="G10062" s="24">
        <v>1043.0</v>
      </c>
      <c r="H10062" s="24">
        <v>1058.0</v>
      </c>
      <c r="I10062" s="24">
        <v>5.0</v>
      </c>
      <c r="J10062" s="24">
        <v>0.0</v>
      </c>
      <c r="K10062" s="23" t="s">
        <v>34</v>
      </c>
      <c r="L10062" s="25">
        <v>40681.701203703706</v>
      </c>
      <c r="M10062" s="28"/>
      <c r="N10062" s="28"/>
      <c r="O10062" s="22" t="str">
        <f>HYPERLINK("https://pbs.twimg.com/profile_images/378800000709612949/cfd1435ac2c89df971f95fff2d2610a6_normal.jpeg","View")</f>
        <v>View</v>
      </c>
      <c r="P10062" s="27"/>
    </row>
    <row r="10063">
      <c r="A10063" s="14">
        <v>43032.17822916667</v>
      </c>
      <c r="B10063" s="20" t="str">
        <f>HYPERLINK("https://twitter.com/Kiransh80505704","@Kiransh80505704")</f>
        <v>@Kiransh80505704</v>
      </c>
      <c r="C10063" s="21" t="s">
        <v>21619</v>
      </c>
      <c r="D10063" s="21" t="s">
        <v>42</v>
      </c>
      <c r="E10063" s="22" t="str">
        <f>HYPERLINK("https://twitter.com/Kiransh80505704/status/922783895782793216","922783895782793216")</f>
        <v>922783895782793216</v>
      </c>
      <c r="F10063" s="23" t="s">
        <v>33</v>
      </c>
      <c r="G10063" s="24">
        <v>2.0</v>
      </c>
      <c r="H10063" s="24">
        <v>53.0</v>
      </c>
      <c r="I10063" s="24">
        <v>8501.0</v>
      </c>
      <c r="J10063" s="24">
        <v>0.0</v>
      </c>
      <c r="K10063" s="23" t="s">
        <v>34</v>
      </c>
      <c r="L10063" s="25">
        <v>43027.03408564815</v>
      </c>
      <c r="M10063" s="26" t="s">
        <v>21620</v>
      </c>
      <c r="N10063" s="26" t="s">
        <v>21621</v>
      </c>
      <c r="O10063" s="22" t="str">
        <f>HYPERLINK("https://pbs.twimg.com/profile_images/922731185993682945/K0F5IdSx_normal.jpg","View")</f>
        <v>View</v>
      </c>
      <c r="P10063" s="27"/>
    </row>
    <row r="10064">
      <c r="A10064" s="14">
        <v>43032.179398148146</v>
      </c>
      <c r="B10064" s="20" t="str">
        <f>HYPERLINK("https://twitter.com/business","@business")</f>
        <v>@business</v>
      </c>
      <c r="C10064" s="21" t="s">
        <v>3937</v>
      </c>
      <c r="D10064" s="21" t="s">
        <v>21622</v>
      </c>
      <c r="E10064" s="22" t="str">
        <f>HYPERLINK("https://twitter.com/business/status/922784316324581377","922784316324581377")</f>
        <v>922784316324581377</v>
      </c>
      <c r="F10064" s="23" t="s">
        <v>1103</v>
      </c>
      <c r="G10064" s="24">
        <v>4337401.0</v>
      </c>
      <c r="H10064" s="24">
        <v>1088.0</v>
      </c>
      <c r="I10064" s="24">
        <v>122.0</v>
      </c>
      <c r="J10064" s="24">
        <v>26.0</v>
      </c>
      <c r="K10064" s="23" t="s">
        <v>34</v>
      </c>
      <c r="L10064" s="25">
        <v>39926.545335648145</v>
      </c>
      <c r="M10064" s="26" t="s">
        <v>3939</v>
      </c>
      <c r="N10064" s="26" t="s">
        <v>3940</v>
      </c>
      <c r="O10064" s="22" t="str">
        <f>HYPERLINK("https://pbs.twimg.com/profile_images/714946924105883648/4fgNVF4H_normal.jpg","View")</f>
        <v>View</v>
      </c>
      <c r="P10064" s="27"/>
    </row>
    <row r="10065">
      <c r="A10065" s="14">
        <v>43032.179444444446</v>
      </c>
      <c r="B10065" s="20" t="str">
        <f>HYPERLINK("https://twitter.com/jaimeotero_","@jaimeotero_")</f>
        <v>@jaimeotero_</v>
      </c>
      <c r="C10065" s="21" t="s">
        <v>3960</v>
      </c>
      <c r="D10065" s="21" t="s">
        <v>21623</v>
      </c>
      <c r="E10065" s="22" t="str">
        <f>HYPERLINK("https://twitter.com/jaimeotero_/status/922784335744458752","922784335744458752")</f>
        <v>922784335744458752</v>
      </c>
      <c r="F10065" s="23" t="s">
        <v>187</v>
      </c>
      <c r="G10065" s="24">
        <v>34534.0</v>
      </c>
      <c r="H10065" s="24">
        <v>31264.0</v>
      </c>
      <c r="I10065" s="24">
        <v>0.0</v>
      </c>
      <c r="J10065" s="24">
        <v>0.0</v>
      </c>
      <c r="K10065" s="23" t="s">
        <v>34</v>
      </c>
      <c r="L10065" s="25">
        <v>42531.01219907407</v>
      </c>
      <c r="M10065" s="26" t="s">
        <v>3962</v>
      </c>
      <c r="N10065" s="26" t="s">
        <v>3963</v>
      </c>
      <c r="O10065" s="22" t="str">
        <f>HYPERLINK("https://pbs.twimg.com/profile_images/849817561281818626/acAU04SD_normal.jpg","View")</f>
        <v>View</v>
      </c>
      <c r="P10065" s="27"/>
    </row>
    <row r="10066">
      <c r="A10066" s="14">
        <v>43032.17954861111</v>
      </c>
      <c r="B10066" s="20" t="str">
        <f>HYPERLINK("https://twitter.com/ektrit","@ektrit")</f>
        <v>@ektrit</v>
      </c>
      <c r="C10066" s="21" t="s">
        <v>21624</v>
      </c>
      <c r="D10066" s="21" t="s">
        <v>21625</v>
      </c>
      <c r="E10066" s="22" t="str">
        <f>HYPERLINK("https://twitter.com/ektrit/status/922784373757349889","922784373757349889")</f>
        <v>922784373757349889</v>
      </c>
      <c r="F10066" s="23" t="s">
        <v>769</v>
      </c>
      <c r="G10066" s="24">
        <v>3175.0</v>
      </c>
      <c r="H10066" s="24">
        <v>551.0</v>
      </c>
      <c r="I10066" s="24">
        <v>122.0</v>
      </c>
      <c r="J10066" s="24">
        <v>0.0</v>
      </c>
      <c r="K10066" s="23" t="s">
        <v>34</v>
      </c>
      <c r="L10066" s="25">
        <v>40802.65528935185</v>
      </c>
      <c r="M10066" s="26" t="s">
        <v>21626</v>
      </c>
      <c r="N10066" s="26" t="s">
        <v>21627</v>
      </c>
      <c r="O10066" s="22" t="str">
        <f>HYPERLINK("https://pbs.twimg.com/profile_images/881453781581541376/vST3rDN1_normal.jpg","View")</f>
        <v>View</v>
      </c>
      <c r="P10066" s="27"/>
    </row>
    <row r="10067">
      <c r="A10067" s="14">
        <v>43032.17954861111</v>
      </c>
      <c r="B10067" s="20" t="str">
        <f>HYPERLINK("https://twitter.com/SanjayCho","@SanjayCho")</f>
        <v>@SanjayCho</v>
      </c>
      <c r="C10067" s="21" t="s">
        <v>21628</v>
      </c>
      <c r="D10067" s="21" t="s">
        <v>42</v>
      </c>
      <c r="E10067" s="22" t="str">
        <f>HYPERLINK("https://twitter.com/SanjayCho/status/922784374147366913","922784374147366913")</f>
        <v>922784374147366913</v>
      </c>
      <c r="F10067" s="23" t="s">
        <v>43</v>
      </c>
      <c r="G10067" s="24">
        <v>18045.0</v>
      </c>
      <c r="H10067" s="24">
        <v>13812.0</v>
      </c>
      <c r="I10067" s="24">
        <v>8501.0</v>
      </c>
      <c r="J10067" s="24">
        <v>0.0</v>
      </c>
      <c r="K10067" s="23" t="s">
        <v>34</v>
      </c>
      <c r="L10067" s="25">
        <v>40064.96978009259</v>
      </c>
      <c r="M10067" s="26" t="s">
        <v>21629</v>
      </c>
      <c r="N10067" s="26" t="s">
        <v>21630</v>
      </c>
      <c r="O10067" s="22" t="str">
        <f>HYPERLINK("https://pbs.twimg.com/profile_images/680029559140433920/okS0gQT8_normal.jpg","View")</f>
        <v>View</v>
      </c>
      <c r="P10067" s="27"/>
    </row>
    <row r="10068">
      <c r="A10068" s="14">
        <v>43032.179756944446</v>
      </c>
      <c r="B10068" s="20" t="str">
        <f>HYPERLINK("https://twitter.com/avinashdeokar90","@avinashdeokar90")</f>
        <v>@avinashdeokar90</v>
      </c>
      <c r="C10068" s="21" t="s">
        <v>21631</v>
      </c>
      <c r="D10068" s="21" t="s">
        <v>42</v>
      </c>
      <c r="E10068" s="22" t="str">
        <f>HYPERLINK("https://twitter.com/avinashdeokar90/status/922784446398447616","922784446398447616")</f>
        <v>922784446398447616</v>
      </c>
      <c r="F10068" s="23" t="s">
        <v>39</v>
      </c>
      <c r="G10068" s="24">
        <v>12.0</v>
      </c>
      <c r="H10068" s="24">
        <v>161.0</v>
      </c>
      <c r="I10068" s="24">
        <v>8501.0</v>
      </c>
      <c r="J10068" s="24">
        <v>0.0</v>
      </c>
      <c r="K10068" s="23" t="s">
        <v>34</v>
      </c>
      <c r="L10068" s="25">
        <v>42707.258125</v>
      </c>
      <c r="M10068" s="28"/>
      <c r="N10068" s="28"/>
      <c r="O10068" s="22" t="str">
        <f>HYPERLINK("https://abs.twimg.com/sticky/default_profile_images/default_profile_normal.png","View")</f>
        <v>View</v>
      </c>
      <c r="P10068" s="27"/>
    </row>
    <row r="10069">
      <c r="A10069" s="14">
        <v>43032.179884259254</v>
      </c>
      <c r="B10069" s="20" t="str">
        <f>HYPERLINK("https://twitter.com/JaponcaDersi","@JaponcaDersi")</f>
        <v>@JaponcaDersi</v>
      </c>
      <c r="C10069" s="21" t="s">
        <v>21632</v>
      </c>
      <c r="D10069" s="21" t="s">
        <v>21633</v>
      </c>
      <c r="E10069" s="22" t="str">
        <f>HYPERLINK("https://twitter.com/JaponcaDersi/status/922784495866122240","922784495866122240")</f>
        <v>922784495866122240</v>
      </c>
      <c r="F10069" s="23" t="s">
        <v>33</v>
      </c>
      <c r="G10069" s="24">
        <v>717.0</v>
      </c>
      <c r="H10069" s="24">
        <v>5002.0</v>
      </c>
      <c r="I10069" s="24">
        <v>0.0</v>
      </c>
      <c r="J10069" s="24">
        <v>0.0</v>
      </c>
      <c r="K10069" s="23" t="s">
        <v>34</v>
      </c>
      <c r="L10069" s="25">
        <v>42895.54412037037</v>
      </c>
      <c r="M10069" s="26" t="s">
        <v>21634</v>
      </c>
      <c r="N10069" s="26" t="s">
        <v>21635</v>
      </c>
      <c r="O10069" s="22" t="str">
        <f>HYPERLINK("https://pbs.twimg.com/profile_images/885771797894975490/zTzML67E_normal.jpg","View")</f>
        <v>View</v>
      </c>
      <c r="P10069" s="27"/>
    </row>
    <row r="10070">
      <c r="A10070" s="14">
        <v>43032.18003472222</v>
      </c>
      <c r="B10070" s="20" t="str">
        <f>HYPERLINK("https://twitter.com/serge_poznanski","@serge_poznanski")</f>
        <v>@serge_poznanski</v>
      </c>
      <c r="C10070" s="21" t="s">
        <v>2763</v>
      </c>
      <c r="D10070" s="21" t="s">
        <v>21636</v>
      </c>
      <c r="E10070" s="22" t="str">
        <f>HYPERLINK("https://twitter.com/serge_poznanski/status/922784546713726976","922784546713726976")</f>
        <v>922784546713726976</v>
      </c>
      <c r="F10070" s="23" t="s">
        <v>187</v>
      </c>
      <c r="G10070" s="24">
        <v>1438.0</v>
      </c>
      <c r="H10070" s="24">
        <v>2138.0</v>
      </c>
      <c r="I10070" s="24">
        <v>0.0</v>
      </c>
      <c r="J10070" s="24">
        <v>0.0</v>
      </c>
      <c r="K10070" s="23" t="s">
        <v>34</v>
      </c>
      <c r="L10070" s="25">
        <v>42271.47445601852</v>
      </c>
      <c r="M10070" s="28"/>
      <c r="N10070" s="28"/>
      <c r="O10070" s="22" t="str">
        <f>HYPERLINK("https://pbs.twimg.com/profile_images/647277253240291328/3GezjFCJ_normal.jpg","View")</f>
        <v>View</v>
      </c>
      <c r="P10070" s="27"/>
    </row>
    <row r="10071">
      <c r="A10071" s="14">
        <v>43032.180393518516</v>
      </c>
      <c r="B10071" s="20" t="str">
        <f>HYPERLINK("https://twitter.com/mjbohl07","@mjbohl07")</f>
        <v>@mjbohl07</v>
      </c>
      <c r="C10071" s="21" t="s">
        <v>21637</v>
      </c>
      <c r="D10071" s="21" t="s">
        <v>21625</v>
      </c>
      <c r="E10071" s="22" t="str">
        <f>HYPERLINK("https://twitter.com/mjbohl07/status/922784677722701824","922784677722701824")</f>
        <v>922784677722701824</v>
      </c>
      <c r="F10071" s="23" t="s">
        <v>3895</v>
      </c>
      <c r="G10071" s="24">
        <v>3553.0</v>
      </c>
      <c r="H10071" s="24">
        <v>4983.0</v>
      </c>
      <c r="I10071" s="24">
        <v>122.0</v>
      </c>
      <c r="J10071" s="24">
        <v>0.0</v>
      </c>
      <c r="K10071" s="23" t="s">
        <v>34</v>
      </c>
      <c r="L10071" s="25">
        <v>41842.478993055556</v>
      </c>
      <c r="M10071" s="26" t="s">
        <v>6037</v>
      </c>
      <c r="N10071" s="26" t="s">
        <v>21638</v>
      </c>
      <c r="O10071" s="22" t="str">
        <f>HYPERLINK("https://pbs.twimg.com/profile_images/892883538403500032/vIXLw2fs_normal.jpg","View")</f>
        <v>View</v>
      </c>
      <c r="P10071" s="27"/>
    </row>
    <row r="10072">
      <c r="A10072" s="14">
        <v>43032.18040509259</v>
      </c>
      <c r="B10072" s="20" t="str">
        <f>HYPERLINK("https://twitter.com/DianaLaneHR","@DianaLaneHR")</f>
        <v>@DianaLaneHR</v>
      </c>
      <c r="C10072" s="21" t="s">
        <v>21639</v>
      </c>
      <c r="D10072" s="21" t="s">
        <v>21625</v>
      </c>
      <c r="E10072" s="22" t="str">
        <f>HYPERLINK("https://twitter.com/DianaLaneHR/status/922784682168733696","922784682168733696")</f>
        <v>922784682168733696</v>
      </c>
      <c r="F10072" s="23" t="s">
        <v>55</v>
      </c>
      <c r="G10072" s="24">
        <v>261.0</v>
      </c>
      <c r="H10072" s="24">
        <v>222.0</v>
      </c>
      <c r="I10072" s="24">
        <v>122.0</v>
      </c>
      <c r="J10072" s="24">
        <v>0.0</v>
      </c>
      <c r="K10072" s="23" t="s">
        <v>34</v>
      </c>
      <c r="L10072" s="25">
        <v>41029.44391203704</v>
      </c>
      <c r="M10072" s="28"/>
      <c r="N10072" s="26" t="s">
        <v>21640</v>
      </c>
      <c r="O10072" s="22" t="str">
        <f>HYPERLINK("https://pbs.twimg.com/profile_images/2179228206/diana_normal","View")</f>
        <v>View</v>
      </c>
      <c r="P10072" s="27"/>
    </row>
    <row r="10073">
      <c r="A10073" s="14">
        <v>43032.18063657408</v>
      </c>
      <c r="B10073" s="20" t="str">
        <f>HYPERLINK("https://twitter.com/News365247live","@News365247live")</f>
        <v>@News365247live</v>
      </c>
      <c r="C10073" s="21" t="s">
        <v>759</v>
      </c>
      <c r="D10073" s="21" t="s">
        <v>21625</v>
      </c>
      <c r="E10073" s="22" t="str">
        <f>HYPERLINK("https://twitter.com/News365247live/status/922784768441196544","922784768441196544")</f>
        <v>922784768441196544</v>
      </c>
      <c r="F10073" s="23" t="s">
        <v>761</v>
      </c>
      <c r="G10073" s="24">
        <v>1497.0</v>
      </c>
      <c r="H10073" s="24">
        <v>4734.0</v>
      </c>
      <c r="I10073" s="24">
        <v>122.0</v>
      </c>
      <c r="J10073" s="24">
        <v>0.0</v>
      </c>
      <c r="K10073" s="23" t="s">
        <v>34</v>
      </c>
      <c r="L10073" s="25">
        <v>42728.342094907406</v>
      </c>
      <c r="M10073" s="26" t="s">
        <v>762</v>
      </c>
      <c r="N10073" s="26" t="s">
        <v>763</v>
      </c>
      <c r="O10073" s="22" t="str">
        <f>HYPERLINK("https://pbs.twimg.com/profile_images/813047771091472384/ZtakiWrG_normal.jpg","View")</f>
        <v>View</v>
      </c>
      <c r="P10073" s="27"/>
    </row>
    <row r="10074">
      <c r="A10074" s="14">
        <v>43032.18082175926</v>
      </c>
      <c r="B10074" s="20" t="str">
        <f>HYPERLINK("https://twitter.com/JaponcaDersi","@JaponcaDersi")</f>
        <v>@JaponcaDersi</v>
      </c>
      <c r="C10074" s="21" t="s">
        <v>21632</v>
      </c>
      <c r="D10074" s="21" t="s">
        <v>21641</v>
      </c>
      <c r="E10074" s="22" t="str">
        <f>HYPERLINK("https://twitter.com/JaponcaDersi/status/922784834518507521","922784834518507521")</f>
        <v>922784834518507521</v>
      </c>
      <c r="F10074" s="23" t="s">
        <v>33</v>
      </c>
      <c r="G10074" s="24">
        <v>717.0</v>
      </c>
      <c r="H10074" s="24">
        <v>5002.0</v>
      </c>
      <c r="I10074" s="24">
        <v>0.0</v>
      </c>
      <c r="J10074" s="24">
        <v>0.0</v>
      </c>
      <c r="K10074" s="23" t="s">
        <v>34</v>
      </c>
      <c r="L10074" s="25">
        <v>42895.54412037037</v>
      </c>
      <c r="M10074" s="26" t="s">
        <v>21634</v>
      </c>
      <c r="N10074" s="26" t="s">
        <v>21635</v>
      </c>
      <c r="O10074" s="22" t="str">
        <f>HYPERLINK("https://pbs.twimg.com/profile_images/885771797894975490/zTzML67E_normal.jpg","View")</f>
        <v>View</v>
      </c>
      <c r="P10074" s="27"/>
    </row>
    <row r="10075">
      <c r="A10075" s="14">
        <v>43032.180983796294</v>
      </c>
      <c r="B10075" s="20" t="str">
        <f>HYPERLINK("https://twitter.com/Bullish","@Bullish")</f>
        <v>@Bullish</v>
      </c>
      <c r="C10075" s="21" t="s">
        <v>2943</v>
      </c>
      <c r="D10075" s="21" t="s">
        <v>21642</v>
      </c>
      <c r="E10075" s="22" t="str">
        <f>HYPERLINK("https://twitter.com/Bullish/status/922784891087020032","922784891087020032")</f>
        <v>922784891087020032</v>
      </c>
      <c r="F10075" s="23" t="s">
        <v>187</v>
      </c>
      <c r="G10075" s="24">
        <v>184.0</v>
      </c>
      <c r="H10075" s="24">
        <v>87.0</v>
      </c>
      <c r="I10075" s="24">
        <v>0.0</v>
      </c>
      <c r="J10075" s="24">
        <v>0.0</v>
      </c>
      <c r="K10075" s="23" t="s">
        <v>34</v>
      </c>
      <c r="L10075" s="25">
        <v>42618.75304398148</v>
      </c>
      <c r="M10075" s="28"/>
      <c r="N10075" s="28"/>
      <c r="O10075" s="22" t="str">
        <f>HYPERLINK("https://pbs.twimg.com/profile_images/798692093736599552/UikI9dNE_normal.jpg","View")</f>
        <v>View</v>
      </c>
      <c r="P10075" s="27"/>
    </row>
    <row r="10076">
      <c r="A10076" s="14">
        <v>43032.18105324074</v>
      </c>
      <c r="B10076" s="20" t="str">
        <f>HYPERLINK("https://twitter.com/saurabhfeb2010","@saurabhfeb2010")</f>
        <v>@saurabhfeb2010</v>
      </c>
      <c r="C10076" s="21" t="s">
        <v>21643</v>
      </c>
      <c r="D10076" s="21" t="s">
        <v>42</v>
      </c>
      <c r="E10076" s="22" t="str">
        <f>HYPERLINK("https://twitter.com/saurabhfeb2010/status/922784917116743680","922784917116743680")</f>
        <v>922784917116743680</v>
      </c>
      <c r="F10076" s="23" t="s">
        <v>33</v>
      </c>
      <c r="G10076" s="24">
        <v>290.0</v>
      </c>
      <c r="H10076" s="24">
        <v>608.0</v>
      </c>
      <c r="I10076" s="24">
        <v>8501.0</v>
      </c>
      <c r="J10076" s="24">
        <v>0.0</v>
      </c>
      <c r="K10076" s="23" t="s">
        <v>34</v>
      </c>
      <c r="L10076" s="25">
        <v>40223.31597222222</v>
      </c>
      <c r="M10076" s="28"/>
      <c r="N10076" s="28"/>
      <c r="O10076" s="22" t="str">
        <f>HYPERLINK("https://pbs.twimg.com/profile_images/702426698332180481/txXR_jnU_normal.jpg","View")</f>
        <v>View</v>
      </c>
      <c r="P10076" s="27"/>
    </row>
    <row r="10077">
      <c r="A10077" s="14">
        <v>43032.18108796296</v>
      </c>
      <c r="B10077" s="20" t="str">
        <f>HYPERLINK("https://twitter.com/Tekki_VR","@Tekki_VR")</f>
        <v>@Tekki_VR</v>
      </c>
      <c r="C10077" s="21" t="s">
        <v>4050</v>
      </c>
      <c r="D10077" s="21" t="s">
        <v>21644</v>
      </c>
      <c r="E10077" s="22" t="str">
        <f>HYPERLINK("https://twitter.com/Tekki_VR/status/922784928089165824","922784928089165824")</f>
        <v>922784928089165824</v>
      </c>
      <c r="F10077" s="23" t="s">
        <v>187</v>
      </c>
      <c r="G10077" s="24">
        <v>1899.0</v>
      </c>
      <c r="H10077" s="24">
        <v>2480.0</v>
      </c>
      <c r="I10077" s="24">
        <v>0.0</v>
      </c>
      <c r="J10077" s="24">
        <v>0.0</v>
      </c>
      <c r="K10077" s="23" t="s">
        <v>34</v>
      </c>
      <c r="L10077" s="25">
        <v>42263.54553240741</v>
      </c>
      <c r="M10077" s="26" t="s">
        <v>4052</v>
      </c>
      <c r="N10077" s="26" t="s">
        <v>4053</v>
      </c>
      <c r="O10077" s="22" t="str">
        <f>HYPERLINK("https://pbs.twimg.com/profile_images/760662770694098944/h1nSBfE8_normal.jpg","View")</f>
        <v>View</v>
      </c>
      <c r="P10077" s="27"/>
    </row>
    <row r="10078">
      <c r="A10078" s="14">
        <v>43032.18116898148</v>
      </c>
      <c r="B10078" s="20" t="str">
        <f>HYPERLINK("https://twitter.com/piedad_bright","@piedad_bright")</f>
        <v>@piedad_bright</v>
      </c>
      <c r="C10078" s="21" t="s">
        <v>21428</v>
      </c>
      <c r="D10078" s="21" t="s">
        <v>21194</v>
      </c>
      <c r="E10078" s="22" t="str">
        <f>HYPERLINK("https://twitter.com/piedad_bright/status/922784960280330241","922784960280330241")</f>
        <v>922784960280330241</v>
      </c>
      <c r="F10078" s="23" t="s">
        <v>86</v>
      </c>
      <c r="G10078" s="24">
        <v>297.0</v>
      </c>
      <c r="H10078" s="24">
        <v>84.0</v>
      </c>
      <c r="I10078" s="24">
        <v>35.0</v>
      </c>
      <c r="J10078" s="24">
        <v>0.0</v>
      </c>
      <c r="K10078" s="23" t="s">
        <v>34</v>
      </c>
      <c r="L10078" s="25">
        <v>41854.469930555555</v>
      </c>
      <c r="M10078" s="26" t="s">
        <v>68</v>
      </c>
      <c r="N10078" s="26" t="s">
        <v>21429</v>
      </c>
      <c r="O10078" s="22" t="str">
        <f>HYPERLINK("https://pbs.twimg.com/profile_images/499604925748240384/bkUA4xVH_normal.jpeg","View")</f>
        <v>View</v>
      </c>
      <c r="P10078" s="27"/>
    </row>
    <row r="10079">
      <c r="A10079" s="14">
        <v>43032.181342592594</v>
      </c>
      <c r="B10079" s="20" t="str">
        <f>HYPERLINK("https://twitter.com/CD_Hyeri","@CD_Hyeri")</f>
        <v>@CD_Hyeri</v>
      </c>
      <c r="C10079" s="21" t="s">
        <v>21645</v>
      </c>
      <c r="D10079" s="21" t="s">
        <v>21625</v>
      </c>
      <c r="E10079" s="22" t="str">
        <f>HYPERLINK("https://twitter.com/CD_Hyeri/status/922785020904816640","922785020904816640")</f>
        <v>922785020904816640</v>
      </c>
      <c r="F10079" s="23" t="s">
        <v>33</v>
      </c>
      <c r="G10079" s="24">
        <v>663.0</v>
      </c>
      <c r="H10079" s="24">
        <v>506.0</v>
      </c>
      <c r="I10079" s="24">
        <v>122.0</v>
      </c>
      <c r="J10079" s="24">
        <v>0.0</v>
      </c>
      <c r="K10079" s="23" t="s">
        <v>34</v>
      </c>
      <c r="L10079" s="25">
        <v>42081.0084375</v>
      </c>
      <c r="M10079" s="28"/>
      <c r="N10079" s="28"/>
      <c r="O10079" s="22" t="str">
        <f>HYPERLINK("https://pbs.twimg.com/profile_images/799525633835626496/nhxIgkVH_normal.jpg","View")</f>
        <v>View</v>
      </c>
      <c r="P10079" s="27"/>
    </row>
    <row r="10080">
      <c r="A10080" s="14">
        <v>43032.18135416666</v>
      </c>
      <c r="B10080" s="20" t="str">
        <f>HYPERLINK("https://twitter.com/PatriotFNP","@PatriotFNP")</f>
        <v>@PatriotFNP</v>
      </c>
      <c r="C10080" s="21" t="s">
        <v>21646</v>
      </c>
      <c r="D10080" s="21" t="s">
        <v>163</v>
      </c>
      <c r="E10080" s="22" t="str">
        <f>HYPERLINK("https://twitter.com/PatriotFNP/status/922785028148428800","922785028148428800")</f>
        <v>922785028148428800</v>
      </c>
      <c r="F10080" s="23" t="s">
        <v>39</v>
      </c>
      <c r="G10080" s="24">
        <v>814.0</v>
      </c>
      <c r="H10080" s="24">
        <v>823.0</v>
      </c>
      <c r="I10080" s="24">
        <v>1005.0</v>
      </c>
      <c r="J10080" s="24">
        <v>0.0</v>
      </c>
      <c r="K10080" s="23" t="s">
        <v>34</v>
      </c>
      <c r="L10080" s="25">
        <v>42492.36350694444</v>
      </c>
      <c r="M10080" s="26" t="s">
        <v>6241</v>
      </c>
      <c r="N10080" s="26" t="s">
        <v>21647</v>
      </c>
      <c r="O10080" s="22" t="str">
        <f>HYPERLINK("https://pbs.twimg.com/profile_images/876886571110330368/3EjwILnw_normal.jpg","View")</f>
        <v>View</v>
      </c>
      <c r="P10080" s="27"/>
    </row>
    <row r="10081">
      <c r="A10081" s="14">
        <v>43032.181435185186</v>
      </c>
      <c r="B10081" s="20" t="str">
        <f>HYPERLINK("https://twitter.com/mlnangalama","@mlnangalama")</f>
        <v>@mlnangalama</v>
      </c>
      <c r="C10081" s="21" t="s">
        <v>925</v>
      </c>
      <c r="D10081" s="21" t="s">
        <v>21648</v>
      </c>
      <c r="E10081" s="22" t="str">
        <f>HYPERLINK("https://twitter.com/mlnangalama/status/922785056896233472","922785056896233472")</f>
        <v>922785056896233472</v>
      </c>
      <c r="F10081" s="23" t="s">
        <v>187</v>
      </c>
      <c r="G10081" s="24">
        <v>2366.0</v>
      </c>
      <c r="H10081" s="24">
        <v>1582.0</v>
      </c>
      <c r="I10081" s="24">
        <v>0.0</v>
      </c>
      <c r="J10081" s="24">
        <v>0.0</v>
      </c>
      <c r="K10081" s="23" t="s">
        <v>34</v>
      </c>
      <c r="L10081" s="25">
        <v>41041.54378472222</v>
      </c>
      <c r="M10081" s="26" t="s">
        <v>927</v>
      </c>
      <c r="N10081" s="26" t="s">
        <v>928</v>
      </c>
      <c r="O10081" s="22" t="str">
        <f>HYPERLINK("https://pbs.twimg.com/profile_images/900915882444173313/biUHzvpx_normal.jpg","View")</f>
        <v>View</v>
      </c>
      <c r="P10081" s="27"/>
    </row>
    <row r="10082">
      <c r="A10082" s="14">
        <v>43032.18157407407</v>
      </c>
      <c r="B10082" s="20" t="str">
        <f>HYPERLINK("https://twitter.com/shailendra_nair","@shailendra_nair")</f>
        <v>@shailendra_nair</v>
      </c>
      <c r="C10082" s="21" t="s">
        <v>4072</v>
      </c>
      <c r="D10082" s="21" t="s">
        <v>21649</v>
      </c>
      <c r="E10082" s="22" t="str">
        <f>HYPERLINK("https://twitter.com/shailendra_nair/status/922785104480653312","922785104480653312")</f>
        <v>922785104480653312</v>
      </c>
      <c r="F10082" s="23" t="s">
        <v>187</v>
      </c>
      <c r="G10082" s="24">
        <v>3990.0</v>
      </c>
      <c r="H10082" s="24">
        <v>1041.0</v>
      </c>
      <c r="I10082" s="24">
        <v>0.0</v>
      </c>
      <c r="J10082" s="24">
        <v>0.0</v>
      </c>
      <c r="K10082" s="23" t="s">
        <v>34</v>
      </c>
      <c r="L10082" s="25">
        <v>40362.43798611111</v>
      </c>
      <c r="M10082" s="26" t="s">
        <v>246</v>
      </c>
      <c r="N10082" s="26" t="s">
        <v>4074</v>
      </c>
      <c r="O10082" s="22" t="str">
        <f>HYPERLINK("https://pbs.twimg.com/profile_images/884758468879466497/M_w6UjD3_normal.jpg","View")</f>
        <v>View</v>
      </c>
      <c r="P10082" s="27"/>
    </row>
    <row r="10083">
      <c r="A10083" s="14">
        <v>43032.18174768519</v>
      </c>
      <c r="B10083" s="20" t="str">
        <f>HYPERLINK("https://twitter.com/Pelleg1Gabriell","@Pelleg1Gabriell")</f>
        <v>@Pelleg1Gabriell</v>
      </c>
      <c r="C10083" s="21" t="s">
        <v>21650</v>
      </c>
      <c r="D10083" s="21" t="s">
        <v>16537</v>
      </c>
      <c r="E10083" s="22" t="str">
        <f>HYPERLINK("https://twitter.com/Pelleg1Gabriell/status/922785167294341120","922785167294341120")</f>
        <v>922785167294341120</v>
      </c>
      <c r="F10083" s="23" t="s">
        <v>39</v>
      </c>
      <c r="G10083" s="24">
        <v>1161.0</v>
      </c>
      <c r="H10083" s="24">
        <v>885.0</v>
      </c>
      <c r="I10083" s="24">
        <v>242.0</v>
      </c>
      <c r="J10083" s="24">
        <v>0.0</v>
      </c>
      <c r="K10083" s="23" t="s">
        <v>34</v>
      </c>
      <c r="L10083" s="25">
        <v>42232.21096064815</v>
      </c>
      <c r="M10083" s="26" t="s">
        <v>21651</v>
      </c>
      <c r="N10083" s="26" t="s">
        <v>21652</v>
      </c>
      <c r="O10083" s="22" t="str">
        <f>HYPERLINK("https://pbs.twimg.com/profile_images/633634811605741569/vvvAX6UL_normal.jpg","View")</f>
        <v>View</v>
      </c>
      <c r="P10083" s="27"/>
    </row>
    <row r="10084">
      <c r="A10084" s="14">
        <v>43032.181759259256</v>
      </c>
      <c r="B10084" s="20" t="str">
        <f>HYPERLINK("https://twitter.com/WaqasBukhari15","@WaqasBukhari15")</f>
        <v>@WaqasBukhari15</v>
      </c>
      <c r="C10084" s="21" t="s">
        <v>21653</v>
      </c>
      <c r="D10084" s="21" t="s">
        <v>3205</v>
      </c>
      <c r="E10084" s="22" t="str">
        <f>HYPERLINK("https://twitter.com/WaqasBukhari15/status/922785174164828160","922785174164828160")</f>
        <v>922785174164828160</v>
      </c>
      <c r="F10084" s="23" t="s">
        <v>33</v>
      </c>
      <c r="G10084" s="24">
        <v>563.0</v>
      </c>
      <c r="H10084" s="24">
        <v>2826.0</v>
      </c>
      <c r="I10084" s="24">
        <v>13.0</v>
      </c>
      <c r="J10084" s="24">
        <v>0.0</v>
      </c>
      <c r="K10084" s="23" t="s">
        <v>34</v>
      </c>
      <c r="L10084" s="25">
        <v>41643.048993055556</v>
      </c>
      <c r="M10084" s="26" t="s">
        <v>238</v>
      </c>
      <c r="N10084" s="32" t="s">
        <v>21654</v>
      </c>
      <c r="O10084" s="22" t="str">
        <f>HYPERLINK("https://pbs.twimg.com/profile_images/884307497053556736/tNYvIQkb_normal.jpg","View")</f>
        <v>View</v>
      </c>
      <c r="P10084" s="27"/>
    </row>
    <row r="10085">
      <c r="A10085" s="14">
        <v>43032.181851851856</v>
      </c>
      <c r="B10085" s="20" t="str">
        <f>HYPERLINK("https://twitter.com/LudgmyF","@LudgmyF")</f>
        <v>@LudgmyF</v>
      </c>
      <c r="C10085" s="21" t="s">
        <v>21655</v>
      </c>
      <c r="D10085" s="21" t="s">
        <v>21625</v>
      </c>
      <c r="E10085" s="22" t="str">
        <f>HYPERLINK("https://twitter.com/LudgmyF/status/922785207383724033","922785207383724033")</f>
        <v>922785207383724033</v>
      </c>
      <c r="F10085" s="23" t="s">
        <v>39</v>
      </c>
      <c r="G10085" s="24">
        <v>356.0</v>
      </c>
      <c r="H10085" s="24">
        <v>167.0</v>
      </c>
      <c r="I10085" s="24">
        <v>122.0</v>
      </c>
      <c r="J10085" s="24">
        <v>0.0</v>
      </c>
      <c r="K10085" s="23" t="s">
        <v>34</v>
      </c>
      <c r="L10085" s="25">
        <v>41467.30365740741</v>
      </c>
      <c r="M10085" s="28"/>
      <c r="N10085" s="28"/>
      <c r="O10085" s="22" t="str">
        <f>HYPERLINK("https://pbs.twimg.com/profile_images/776732685364441089/FHFcSq6G_normal.jpg","View")</f>
        <v>View</v>
      </c>
      <c r="P10085" s="27"/>
    </row>
    <row r="10086">
      <c r="A10086" s="14">
        <v>43032.182650462964</v>
      </c>
      <c r="B10086" s="20" t="str">
        <f>HYPERLINK("https://twitter.com/AcharyaBhanu","@AcharyaBhanu")</f>
        <v>@AcharyaBhanu</v>
      </c>
      <c r="C10086" s="21" t="s">
        <v>21656</v>
      </c>
      <c r="D10086" s="21" t="s">
        <v>19279</v>
      </c>
      <c r="E10086" s="22" t="str">
        <f>HYPERLINK("https://twitter.com/AcharyaBhanu/status/922785495050006529","922785495050006529")</f>
        <v>922785495050006529</v>
      </c>
      <c r="F10086" s="23" t="s">
        <v>39</v>
      </c>
      <c r="G10086" s="24">
        <v>984.0</v>
      </c>
      <c r="H10086" s="24">
        <v>816.0</v>
      </c>
      <c r="I10086" s="24">
        <v>12.0</v>
      </c>
      <c r="J10086" s="24">
        <v>0.0</v>
      </c>
      <c r="K10086" s="23" t="s">
        <v>34</v>
      </c>
      <c r="L10086" s="25">
        <v>40874.3341087963</v>
      </c>
      <c r="M10086" s="26" t="s">
        <v>12072</v>
      </c>
      <c r="N10086" s="26" t="s">
        <v>21657</v>
      </c>
      <c r="O10086" s="22" t="str">
        <f>HYPERLINK("https://pbs.twimg.com/profile_images/846553669852114945/qqwJhOdY_normal.jpg","View")</f>
        <v>View</v>
      </c>
      <c r="P10086" s="27"/>
    </row>
    <row r="10087">
      <c r="A10087" s="14">
        <v>43032.182800925926</v>
      </c>
      <c r="B10087" s="20" t="str">
        <f>HYPERLINK("https://twitter.com/dimplebjp","@dimplebjp")</f>
        <v>@dimplebjp</v>
      </c>
      <c r="C10087" s="21" t="s">
        <v>21658</v>
      </c>
      <c r="D10087" s="21" t="s">
        <v>42</v>
      </c>
      <c r="E10087" s="22" t="str">
        <f>HYPERLINK("https://twitter.com/dimplebjp/status/922785550641369089","922785550641369089")</f>
        <v>922785550641369089</v>
      </c>
      <c r="F10087" s="23" t="s">
        <v>33</v>
      </c>
      <c r="G10087" s="24">
        <v>19.0</v>
      </c>
      <c r="H10087" s="24">
        <v>42.0</v>
      </c>
      <c r="I10087" s="24">
        <v>8501.0</v>
      </c>
      <c r="J10087" s="24">
        <v>0.0</v>
      </c>
      <c r="K10087" s="23" t="s">
        <v>34</v>
      </c>
      <c r="L10087" s="25">
        <v>41719.39844907408</v>
      </c>
      <c r="M10087" s="28"/>
      <c r="N10087" s="28"/>
      <c r="O10087" s="22" t="str">
        <f>HYPERLINK("https://pbs.twimg.com/profile_images/447049988237840384/pLr7pv7f_normal.jpeg","View")</f>
        <v>View</v>
      </c>
      <c r="P10087" s="27"/>
    </row>
    <row r="10088">
      <c r="A10088" s="14">
        <v>43032.18289351852</v>
      </c>
      <c r="B10088" s="20" t="str">
        <f>HYPERLINK("https://twitter.com/swissifg","@swissifg")</f>
        <v>@swissifg</v>
      </c>
      <c r="C10088" s="21" t="s">
        <v>3967</v>
      </c>
      <c r="D10088" s="21" t="s">
        <v>21659</v>
      </c>
      <c r="E10088" s="22" t="str">
        <f>HYPERLINK("https://twitter.com/swissifg/status/922785582392193024","922785582392193024")</f>
        <v>922785582392193024</v>
      </c>
      <c r="F10088" s="23" t="s">
        <v>187</v>
      </c>
      <c r="G10088" s="24">
        <v>1204.0</v>
      </c>
      <c r="H10088" s="24">
        <v>671.0</v>
      </c>
      <c r="I10088" s="24">
        <v>0.0</v>
      </c>
      <c r="J10088" s="24">
        <v>0.0</v>
      </c>
      <c r="K10088" s="23" t="s">
        <v>34</v>
      </c>
      <c r="L10088" s="25">
        <v>42499.2341087963</v>
      </c>
      <c r="M10088" s="26" t="s">
        <v>3969</v>
      </c>
      <c r="N10088" s="26" t="s">
        <v>3970</v>
      </c>
      <c r="O10088" s="22" t="str">
        <f>HYPERLINK("https://pbs.twimg.com/profile_images/729681805088063489/N4ls5vb8_normal.jpg","View")</f>
        <v>View</v>
      </c>
      <c r="P10088" s="27"/>
    </row>
    <row r="10089">
      <c r="A10089" s="14">
        <v>43032.18291666667</v>
      </c>
      <c r="B10089" s="20" t="str">
        <f>HYPERLINK("https://twitter.com/_DebSchulte","@_DebSchulte")</f>
        <v>@_DebSchulte</v>
      </c>
      <c r="C10089" s="21" t="s">
        <v>21660</v>
      </c>
      <c r="D10089" s="21" t="s">
        <v>11750</v>
      </c>
      <c r="E10089" s="22" t="str">
        <f>HYPERLINK("https://twitter.com/_DebSchulte/status/922785592756207616","922785592756207616")</f>
        <v>922785592756207616</v>
      </c>
      <c r="F10089" s="23" t="s">
        <v>33</v>
      </c>
      <c r="G10089" s="24">
        <v>3007.0</v>
      </c>
      <c r="H10089" s="24">
        <v>416.0</v>
      </c>
      <c r="I10089" s="24">
        <v>35.0</v>
      </c>
      <c r="J10089" s="24">
        <v>0.0</v>
      </c>
      <c r="K10089" s="23" t="s">
        <v>34</v>
      </c>
      <c r="L10089" s="25">
        <v>40936.77693287037</v>
      </c>
      <c r="M10089" s="26" t="s">
        <v>21661</v>
      </c>
      <c r="N10089" s="26" t="s">
        <v>21662</v>
      </c>
      <c r="O10089" s="22" t="str">
        <f>HYPERLINK("https://pbs.twimg.com/profile_images/626159773289947136/PH3GQlGa_normal.jpg","View")</f>
        <v>View</v>
      </c>
      <c r="P10089" s="27"/>
    </row>
    <row r="10090">
      <c r="A10090" s="14">
        <v>43032.18303240741</v>
      </c>
      <c r="B10090" s="20" t="str">
        <f>HYPERLINK("https://twitter.com/FallySomboNkhwa","@FallySomboNkhwa")</f>
        <v>@FallySomboNkhwa</v>
      </c>
      <c r="C10090" s="21" t="s">
        <v>4279</v>
      </c>
      <c r="D10090" s="21" t="s">
        <v>21663</v>
      </c>
      <c r="E10090" s="22" t="str">
        <f>HYPERLINK("https://twitter.com/FallySomboNkhwa/status/922785635177549856","922785635177549856")</f>
        <v>922785635177549856</v>
      </c>
      <c r="F10090" s="23" t="s">
        <v>187</v>
      </c>
      <c r="G10090" s="24">
        <v>406.0</v>
      </c>
      <c r="H10090" s="24">
        <v>2189.0</v>
      </c>
      <c r="I10090" s="24">
        <v>0.0</v>
      </c>
      <c r="J10090" s="24">
        <v>0.0</v>
      </c>
      <c r="K10090" s="23" t="s">
        <v>34</v>
      </c>
      <c r="L10090" s="25">
        <v>41551.82041666667</v>
      </c>
      <c r="M10090" s="26" t="s">
        <v>4281</v>
      </c>
      <c r="N10090" s="26" t="s">
        <v>4282</v>
      </c>
      <c r="O10090" s="22" t="str">
        <f>HYPERLINK("https://pbs.twimg.com/profile_images/543761133505503235/pKcg8bc2_normal.jpeg","View")</f>
        <v>View</v>
      </c>
      <c r="P10090" s="27"/>
    </row>
    <row r="10091">
      <c r="A10091" s="14">
        <v>43032.18305555556</v>
      </c>
      <c r="B10091" s="20" t="str">
        <f>HYPERLINK("https://twitter.com/fillonafrique","@fillonafrique")</f>
        <v>@fillonafrique</v>
      </c>
      <c r="C10091" s="21" t="s">
        <v>7305</v>
      </c>
      <c r="D10091" s="21" t="s">
        <v>10614</v>
      </c>
      <c r="E10091" s="22" t="str">
        <f>HYPERLINK("https://twitter.com/fillonafrique/status/922785642509152256","922785642509152256")</f>
        <v>922785642509152256</v>
      </c>
      <c r="F10091" s="23" t="s">
        <v>55</v>
      </c>
      <c r="G10091" s="24">
        <v>1585.0</v>
      </c>
      <c r="H10091" s="24">
        <v>1346.0</v>
      </c>
      <c r="I10091" s="24">
        <v>159.0</v>
      </c>
      <c r="J10091" s="24">
        <v>0.0</v>
      </c>
      <c r="K10091" s="23" t="s">
        <v>34</v>
      </c>
      <c r="L10091" s="25">
        <v>42834.67506944445</v>
      </c>
      <c r="M10091" s="26" t="s">
        <v>7306</v>
      </c>
      <c r="N10091" s="26" t="s">
        <v>7307</v>
      </c>
      <c r="O10091" s="22" t="str">
        <f>HYPERLINK("https://pbs.twimg.com/profile_images/856877904772427776/z96cFxqa_normal.jpg","View")</f>
        <v>View</v>
      </c>
      <c r="P10091" s="27"/>
    </row>
    <row r="10092">
      <c r="A10092" s="14">
        <v>43032.18320601852</v>
      </c>
      <c r="B10092" s="20" t="str">
        <f>HYPERLINK("https://twitter.com/SChoudh78931520","@SChoudh78931520")</f>
        <v>@SChoudh78931520</v>
      </c>
      <c r="C10092" s="21" t="s">
        <v>21664</v>
      </c>
      <c r="D10092" s="21" t="s">
        <v>42</v>
      </c>
      <c r="E10092" s="22" t="str">
        <f>HYPERLINK("https://twitter.com/SChoudh78931520/status/922785698377121792","922785698377121792")</f>
        <v>922785698377121792</v>
      </c>
      <c r="F10092" s="23" t="s">
        <v>33</v>
      </c>
      <c r="G10092" s="24">
        <v>3.0</v>
      </c>
      <c r="H10092" s="24">
        <v>4.0</v>
      </c>
      <c r="I10092" s="24">
        <v>8501.0</v>
      </c>
      <c r="J10092" s="24">
        <v>0.0</v>
      </c>
      <c r="K10092" s="23" t="s">
        <v>34</v>
      </c>
      <c r="L10092" s="25">
        <v>42552.421064814815</v>
      </c>
      <c r="M10092" s="28"/>
      <c r="N10092" s="28"/>
      <c r="O10092" s="22" t="str">
        <f>HYPERLINK("https://abs.twimg.com/sticky/default_profile_images/default_profile_normal.png","View")</f>
        <v>View</v>
      </c>
      <c r="P10092" s="27"/>
    </row>
    <row r="10093">
      <c r="A10093" s="14">
        <v>43032.18376157407</v>
      </c>
      <c r="B10093" s="20" t="str">
        <f>HYPERLINK("https://twitter.com/maddavidbrown","@maddavidbrown")</f>
        <v>@maddavidbrown</v>
      </c>
      <c r="C10093" s="21" t="s">
        <v>21665</v>
      </c>
      <c r="D10093" s="21" t="s">
        <v>5177</v>
      </c>
      <c r="E10093" s="22" t="str">
        <f>HYPERLINK("https://twitter.com/maddavidbrown/status/922785899288465408","922785899288465408")</f>
        <v>922785899288465408</v>
      </c>
      <c r="F10093" s="23" t="s">
        <v>3572</v>
      </c>
      <c r="G10093" s="24">
        <v>1138.0</v>
      </c>
      <c r="H10093" s="24">
        <v>35.0</v>
      </c>
      <c r="I10093" s="24">
        <v>115.0</v>
      </c>
      <c r="J10093" s="24">
        <v>0.0</v>
      </c>
      <c r="K10093" s="23" t="s">
        <v>34</v>
      </c>
      <c r="L10093" s="25">
        <v>39946.021828703706</v>
      </c>
      <c r="M10093" s="28"/>
      <c r="N10093" s="26" t="s">
        <v>21666</v>
      </c>
      <c r="O10093" s="22" t="str">
        <f>HYPERLINK("https://pbs.twimg.com/profile_images/636043881281261568/xwxeK8Lx_normal.jpg","View")</f>
        <v>View</v>
      </c>
      <c r="P10093" s="27"/>
    </row>
    <row r="10094">
      <c r="A10094" s="14">
        <v>43032.18380787037</v>
      </c>
      <c r="B10094" s="20" t="str">
        <f>HYPERLINK("https://twitter.com/NWarind","@NWarind")</f>
        <v>@NWarind</v>
      </c>
      <c r="C10094" s="21" t="s">
        <v>21667</v>
      </c>
      <c r="D10094" s="21" t="s">
        <v>21625</v>
      </c>
      <c r="E10094" s="22" t="str">
        <f>HYPERLINK("https://twitter.com/NWarind/status/922785913901584384","922785913901584384")</f>
        <v>922785913901584384</v>
      </c>
      <c r="F10094" s="23" t="s">
        <v>39</v>
      </c>
      <c r="G10094" s="24">
        <v>1591.0</v>
      </c>
      <c r="H10094" s="24">
        <v>703.0</v>
      </c>
      <c r="I10094" s="24">
        <v>122.0</v>
      </c>
      <c r="J10094" s="24">
        <v>0.0</v>
      </c>
      <c r="K10094" s="23" t="s">
        <v>34</v>
      </c>
      <c r="L10094" s="25">
        <v>41132.61140046296</v>
      </c>
      <c r="M10094" s="26" t="s">
        <v>21668</v>
      </c>
      <c r="N10094" s="26" t="s">
        <v>21669</v>
      </c>
      <c r="O10094" s="22" t="str">
        <f>HYPERLINK("https://pbs.twimg.com/profile_images/447816450179227648/0XqRD6wu_normal.jpeg","View")</f>
        <v>View</v>
      </c>
      <c r="P10094" s="27"/>
    </row>
    <row r="10095">
      <c r="A10095" s="14">
        <v>43032.18380787037</v>
      </c>
      <c r="B10095" s="20" t="str">
        <f>HYPERLINK("https://twitter.com/sabrinadh","@sabrinadh")</f>
        <v>@sabrinadh</v>
      </c>
      <c r="C10095" s="21" t="s">
        <v>21670</v>
      </c>
      <c r="D10095" s="21" t="s">
        <v>163</v>
      </c>
      <c r="E10095" s="22" t="str">
        <f>HYPERLINK("https://twitter.com/sabrinadh/status/922785915143155712","922785915143155712")</f>
        <v>922785915143155712</v>
      </c>
      <c r="F10095" s="23" t="s">
        <v>33</v>
      </c>
      <c r="G10095" s="24">
        <v>136.0</v>
      </c>
      <c r="H10095" s="24">
        <v>65.0</v>
      </c>
      <c r="I10095" s="24">
        <v>1005.0</v>
      </c>
      <c r="J10095" s="24">
        <v>0.0</v>
      </c>
      <c r="K10095" s="23" t="s">
        <v>34</v>
      </c>
      <c r="L10095" s="25">
        <v>40459.615</v>
      </c>
      <c r="M10095" s="28"/>
      <c r="N10095" s="28"/>
      <c r="O10095" s="22" t="str">
        <f>HYPERLINK("https://pbs.twimg.com/profile_images/530951611422482432/5R3Dn_fD_normal.jpeg","View")</f>
        <v>View</v>
      </c>
      <c r="P10095" s="27"/>
    </row>
    <row r="10096">
      <c r="A10096" s="14">
        <v>43032.184224537035</v>
      </c>
      <c r="B10096" s="20" t="str">
        <f>HYPERLINK("https://twitter.com/rcsamayoa","@rcsamayoa")</f>
        <v>@rcsamayoa</v>
      </c>
      <c r="C10096" s="21" t="s">
        <v>21671</v>
      </c>
      <c r="D10096" s="21" t="s">
        <v>21625</v>
      </c>
      <c r="E10096" s="22" t="str">
        <f>HYPERLINK("https://twitter.com/rcsamayoa/status/922786068491112448","922786068491112448")</f>
        <v>922786068491112448</v>
      </c>
      <c r="F10096" s="23" t="s">
        <v>39</v>
      </c>
      <c r="G10096" s="24">
        <v>587.0</v>
      </c>
      <c r="H10096" s="24">
        <v>1180.0</v>
      </c>
      <c r="I10096" s="24">
        <v>122.0</v>
      </c>
      <c r="J10096" s="24">
        <v>0.0</v>
      </c>
      <c r="K10096" s="23" t="s">
        <v>34</v>
      </c>
      <c r="L10096" s="25">
        <v>39957.592928240745</v>
      </c>
      <c r="M10096" s="26" t="s">
        <v>21405</v>
      </c>
      <c r="N10096" s="26" t="s">
        <v>21672</v>
      </c>
      <c r="O10096" s="22" t="str">
        <f>HYPERLINK("https://pbs.twimg.com/profile_images/892946815091220480/V9GcHng-_normal.jpg","View")</f>
        <v>View</v>
      </c>
      <c r="P10096" s="27"/>
    </row>
    <row r="10097">
      <c r="A10097" s="14">
        <v>43032.18489583333</v>
      </c>
      <c r="B10097" s="20" t="str">
        <f t="shared" ref="B10097:B10098" si="221">HYPERLINK("https://twitter.com/nekocracy","@nekocracy")</f>
        <v>@nekocracy</v>
      </c>
      <c r="C10097" s="21" t="s">
        <v>21673</v>
      </c>
      <c r="D10097" s="21" t="s">
        <v>20905</v>
      </c>
      <c r="E10097" s="22" t="str">
        <f>HYPERLINK("https://twitter.com/nekocracy/status/922786309743116289","922786309743116289")</f>
        <v>922786309743116289</v>
      </c>
      <c r="F10097" s="23" t="s">
        <v>39</v>
      </c>
      <c r="G10097" s="24">
        <v>485.0</v>
      </c>
      <c r="H10097" s="24">
        <v>830.0</v>
      </c>
      <c r="I10097" s="24">
        <v>4.0</v>
      </c>
      <c r="J10097" s="24">
        <v>0.0</v>
      </c>
      <c r="K10097" s="23" t="s">
        <v>34</v>
      </c>
      <c r="L10097" s="25">
        <v>42217.37787037037</v>
      </c>
      <c r="M10097" s="26" t="s">
        <v>21674</v>
      </c>
      <c r="N10097" s="26" t="s">
        <v>21675</v>
      </c>
      <c r="O10097" s="22" t="str">
        <f t="shared" ref="O10097:O10098" si="222">HYPERLINK("https://pbs.twimg.com/profile_images/759408700687736833/68v6L08G_normal.jpg","View")</f>
        <v>View</v>
      </c>
      <c r="P10097" s="27"/>
    </row>
    <row r="10098">
      <c r="A10098" s="14">
        <v>43032.185011574074</v>
      </c>
      <c r="B10098" s="20" t="str">
        <f t="shared" si="221"/>
        <v>@nekocracy</v>
      </c>
      <c r="C10098" s="21" t="s">
        <v>21673</v>
      </c>
      <c r="D10098" s="21" t="s">
        <v>20569</v>
      </c>
      <c r="E10098" s="22" t="str">
        <f>HYPERLINK("https://twitter.com/nekocracy/status/922786350583111680","922786350583111680")</f>
        <v>922786350583111680</v>
      </c>
      <c r="F10098" s="23" t="s">
        <v>39</v>
      </c>
      <c r="G10098" s="24">
        <v>485.0</v>
      </c>
      <c r="H10098" s="24">
        <v>830.0</v>
      </c>
      <c r="I10098" s="24">
        <v>11.0</v>
      </c>
      <c r="J10098" s="24">
        <v>0.0</v>
      </c>
      <c r="K10098" s="23" t="s">
        <v>34</v>
      </c>
      <c r="L10098" s="25">
        <v>42217.37787037037</v>
      </c>
      <c r="M10098" s="26" t="s">
        <v>21674</v>
      </c>
      <c r="N10098" s="26" t="s">
        <v>21675</v>
      </c>
      <c r="O10098" s="22" t="str">
        <f t="shared" si="222"/>
        <v>View</v>
      </c>
      <c r="P10098" s="27"/>
    </row>
    <row r="10099">
      <c r="A10099" s="14">
        <v>43032.1853587963</v>
      </c>
      <c r="B10099" s="20" t="str">
        <f t="shared" ref="B10099:B10100" si="223">HYPERLINK("https://twitter.com/childishemtion","@childishemtion")</f>
        <v>@childishemtion</v>
      </c>
      <c r="C10099" s="21" t="s">
        <v>21676</v>
      </c>
      <c r="D10099" s="21" t="s">
        <v>21202</v>
      </c>
      <c r="E10099" s="22" t="str">
        <f>HYPERLINK("https://twitter.com/childishemtion/status/922786478391881729","922786478391881729")</f>
        <v>922786478391881729</v>
      </c>
      <c r="F10099" s="23" t="s">
        <v>86</v>
      </c>
      <c r="G10099" s="24">
        <v>442.0</v>
      </c>
      <c r="H10099" s="24">
        <v>415.0</v>
      </c>
      <c r="I10099" s="24">
        <v>79.0</v>
      </c>
      <c r="J10099" s="24">
        <v>0.0</v>
      </c>
      <c r="K10099" s="23" t="s">
        <v>34</v>
      </c>
      <c r="L10099" s="25">
        <v>41578.50524305555</v>
      </c>
      <c r="M10099" s="26" t="s">
        <v>40</v>
      </c>
      <c r="N10099" s="26" t="s">
        <v>21141</v>
      </c>
      <c r="O10099" s="22" t="str">
        <f t="shared" ref="O10099:O10100" si="224">HYPERLINK("https://pbs.twimg.com/profile_images/378800000683738093/844fd8c43151695813f23b34ff3a7e4d_normal.jpeg","View")</f>
        <v>View</v>
      </c>
      <c r="P10099" s="27"/>
    </row>
    <row r="10100">
      <c r="A10100" s="14">
        <v>43032.18601851852</v>
      </c>
      <c r="B10100" s="20" t="str">
        <f t="shared" si="223"/>
        <v>@childishemtion</v>
      </c>
      <c r="C10100" s="21" t="s">
        <v>21676</v>
      </c>
      <c r="D10100" s="21" t="s">
        <v>21203</v>
      </c>
      <c r="E10100" s="22" t="str">
        <f>HYPERLINK("https://twitter.com/childishemtion/status/922786714996719616","922786714996719616")</f>
        <v>922786714996719616</v>
      </c>
      <c r="F10100" s="23" t="s">
        <v>86</v>
      </c>
      <c r="G10100" s="24">
        <v>442.0</v>
      </c>
      <c r="H10100" s="24">
        <v>415.0</v>
      </c>
      <c r="I10100" s="24">
        <v>75.0</v>
      </c>
      <c r="J10100" s="24">
        <v>0.0</v>
      </c>
      <c r="K10100" s="23" t="s">
        <v>34</v>
      </c>
      <c r="L10100" s="25">
        <v>41578.50524305555</v>
      </c>
      <c r="M10100" s="26" t="s">
        <v>40</v>
      </c>
      <c r="N10100" s="26" t="s">
        <v>21141</v>
      </c>
      <c r="O10100" s="22" t="str">
        <f t="shared" si="224"/>
        <v>View</v>
      </c>
      <c r="P10100" s="27"/>
    </row>
    <row r="10101">
      <c r="A10101" s="14">
        <v>43032.186481481476</v>
      </c>
      <c r="B10101" s="20" t="str">
        <f>HYPERLINK("https://twitter.com/Thirumalpathy1","@Thirumalpathy1")</f>
        <v>@Thirumalpathy1</v>
      </c>
      <c r="C10101" s="21" t="s">
        <v>21677</v>
      </c>
      <c r="D10101" s="21" t="s">
        <v>42</v>
      </c>
      <c r="E10101" s="22" t="str">
        <f>HYPERLINK("https://twitter.com/Thirumalpathy1/status/922786886506102785","922786886506102785")</f>
        <v>922786886506102785</v>
      </c>
      <c r="F10101" s="23" t="s">
        <v>33</v>
      </c>
      <c r="G10101" s="24">
        <v>1.0</v>
      </c>
      <c r="H10101" s="24">
        <v>136.0</v>
      </c>
      <c r="I10101" s="24">
        <v>8501.0</v>
      </c>
      <c r="J10101" s="24">
        <v>0.0</v>
      </c>
      <c r="K10101" s="23" t="s">
        <v>34</v>
      </c>
      <c r="L10101" s="25">
        <v>43021.104004629626</v>
      </c>
      <c r="M10101" s="26" t="s">
        <v>21678</v>
      </c>
      <c r="N10101" s="26" t="s">
        <v>3577</v>
      </c>
      <c r="O10101" s="22" t="str">
        <f>HYPERLINK("https://pbs.twimg.com/profile_images/918782230045929473/eEh3RHWj_normal.jpg","View")</f>
        <v>View</v>
      </c>
      <c r="P10101" s="27"/>
    </row>
    <row r="10102">
      <c r="A10102" s="14">
        <v>43032.18666666667</v>
      </c>
      <c r="B10102" s="20" t="str">
        <f>HYPERLINK("https://twitter.com/childishemtion","@childishemtion")</f>
        <v>@childishemtion</v>
      </c>
      <c r="C10102" s="21" t="s">
        <v>21676</v>
      </c>
      <c r="D10102" s="21" t="s">
        <v>21243</v>
      </c>
      <c r="E10102" s="22" t="str">
        <f>HYPERLINK("https://twitter.com/childishemtion/status/922786949957533698","922786949957533698")</f>
        <v>922786949957533698</v>
      </c>
      <c r="F10102" s="23" t="s">
        <v>86</v>
      </c>
      <c r="G10102" s="24">
        <v>442.0</v>
      </c>
      <c r="H10102" s="24">
        <v>415.0</v>
      </c>
      <c r="I10102" s="24">
        <v>41.0</v>
      </c>
      <c r="J10102" s="24">
        <v>0.0</v>
      </c>
      <c r="K10102" s="23" t="s">
        <v>34</v>
      </c>
      <c r="L10102" s="25">
        <v>41578.50524305555</v>
      </c>
      <c r="M10102" s="26" t="s">
        <v>40</v>
      </c>
      <c r="N10102" s="26" t="s">
        <v>21141</v>
      </c>
      <c r="O10102" s="22" t="str">
        <f>HYPERLINK("https://pbs.twimg.com/profile_images/378800000683738093/844fd8c43151695813f23b34ff3a7e4d_normal.jpeg","View")</f>
        <v>View</v>
      </c>
      <c r="P10102" s="27"/>
    </row>
    <row r="10103">
      <c r="A10103" s="14">
        <v>43032.18672453704</v>
      </c>
      <c r="B10103" s="20" t="str">
        <f>HYPERLINK("https://twitter.com/NewtiesB","@NewtiesB")</f>
        <v>@NewtiesB</v>
      </c>
      <c r="C10103" s="21" t="s">
        <v>21679</v>
      </c>
      <c r="D10103" s="21" t="s">
        <v>21680</v>
      </c>
      <c r="E10103" s="22" t="str">
        <f>HYPERLINK("https://twitter.com/NewtiesB/status/922786974024511488","922786974024511488")</f>
        <v>922786974024511488</v>
      </c>
      <c r="F10103" s="23" t="s">
        <v>48</v>
      </c>
      <c r="G10103" s="24">
        <v>679.0</v>
      </c>
      <c r="H10103" s="24">
        <v>1014.0</v>
      </c>
      <c r="I10103" s="24">
        <v>0.0</v>
      </c>
      <c r="J10103" s="24">
        <v>0.0</v>
      </c>
      <c r="K10103" s="23" t="s">
        <v>34</v>
      </c>
      <c r="L10103" s="25">
        <v>41345.551145833335</v>
      </c>
      <c r="M10103" s="26" t="s">
        <v>114</v>
      </c>
      <c r="N10103" s="26" t="s">
        <v>21681</v>
      </c>
      <c r="O10103" s="22" t="str">
        <f>HYPERLINK("https://pbs.twimg.com/profile_images/631853944873029632/t6t_MIwM_normal.jpg","View")</f>
        <v>View</v>
      </c>
      <c r="P10103" s="27"/>
    </row>
    <row r="10104">
      <c r="A10104" s="14">
        <v>43032.186793981484</v>
      </c>
      <c r="B10104" s="20" t="str">
        <f>HYPERLINK("https://twitter.com/KeskinenIL","@KeskinenIL")</f>
        <v>@KeskinenIL</v>
      </c>
      <c r="C10104" s="21" t="s">
        <v>9932</v>
      </c>
      <c r="D10104" s="21" t="s">
        <v>13295</v>
      </c>
      <c r="E10104" s="22" t="str">
        <f>HYPERLINK("https://twitter.com/KeskinenIL/status/922786999639126017","922786999639126017")</f>
        <v>922786999639126017</v>
      </c>
      <c r="F10104" s="23" t="s">
        <v>55</v>
      </c>
      <c r="G10104" s="24">
        <v>3221.0</v>
      </c>
      <c r="H10104" s="24">
        <v>870.0</v>
      </c>
      <c r="I10104" s="24">
        <v>19.0</v>
      </c>
      <c r="J10104" s="24">
        <v>0.0</v>
      </c>
      <c r="K10104" s="23" t="s">
        <v>34</v>
      </c>
      <c r="L10104" s="25">
        <v>41752.49408564815</v>
      </c>
      <c r="M10104" s="26" t="s">
        <v>9933</v>
      </c>
      <c r="N10104" s="26" t="s">
        <v>9934</v>
      </c>
      <c r="O10104" s="22" t="str">
        <f>HYPERLINK("https://pbs.twimg.com/profile_images/459043072349700096/ziFUMbKR_normal.jpeg","View")</f>
        <v>View</v>
      </c>
      <c r="P10104" s="27"/>
    </row>
    <row r="10105">
      <c r="A10105" s="14">
        <v>43032.18685185185</v>
      </c>
      <c r="B10105" s="20" t="str">
        <f>HYPERLINK("https://twitter.com/NewtiesB","@NewtiesB")</f>
        <v>@NewtiesB</v>
      </c>
      <c r="C10105" s="21" t="s">
        <v>21679</v>
      </c>
      <c r="D10105" s="21" t="s">
        <v>21682</v>
      </c>
      <c r="E10105" s="22" t="str">
        <f>HYPERLINK("https://twitter.com/NewtiesB/status/922787017263632384","922787017263632384")</f>
        <v>922787017263632384</v>
      </c>
      <c r="F10105" s="23" t="s">
        <v>48</v>
      </c>
      <c r="G10105" s="24">
        <v>679.0</v>
      </c>
      <c r="H10105" s="24">
        <v>1014.0</v>
      </c>
      <c r="I10105" s="24">
        <v>0.0</v>
      </c>
      <c r="J10105" s="24">
        <v>0.0</v>
      </c>
      <c r="K10105" s="23" t="s">
        <v>34</v>
      </c>
      <c r="L10105" s="25">
        <v>41345.551145833335</v>
      </c>
      <c r="M10105" s="26" t="s">
        <v>114</v>
      </c>
      <c r="N10105" s="26" t="s">
        <v>21681</v>
      </c>
      <c r="O10105" s="22" t="str">
        <f>HYPERLINK("https://pbs.twimg.com/profile_images/631853944873029632/t6t_MIwM_normal.jpg","View")</f>
        <v>View</v>
      </c>
      <c r="P10105" s="27"/>
    </row>
    <row r="10106">
      <c r="A10106" s="14">
        <v>43032.187060185184</v>
      </c>
      <c r="B10106" s="20" t="str">
        <f>HYPERLINK("https://twitter.com/sansquare_in","@sansquare_in")</f>
        <v>@sansquare_in</v>
      </c>
      <c r="C10106" s="21" t="s">
        <v>21683</v>
      </c>
      <c r="D10106" s="21" t="s">
        <v>42</v>
      </c>
      <c r="E10106" s="22" t="str">
        <f>HYPERLINK("https://twitter.com/sansquare_in/status/922787093750804480","922787093750804480")</f>
        <v>922787093750804480</v>
      </c>
      <c r="F10106" s="23" t="s">
        <v>39</v>
      </c>
      <c r="G10106" s="24">
        <v>33.0</v>
      </c>
      <c r="H10106" s="24">
        <v>202.0</v>
      </c>
      <c r="I10106" s="24">
        <v>8501.0</v>
      </c>
      <c r="J10106" s="24">
        <v>0.0</v>
      </c>
      <c r="K10106" s="23" t="s">
        <v>34</v>
      </c>
      <c r="L10106" s="25">
        <v>41535.97378472222</v>
      </c>
      <c r="M10106" s="26" t="s">
        <v>1224</v>
      </c>
      <c r="N10106" s="26" t="s">
        <v>21684</v>
      </c>
      <c r="O10106" s="22" t="str">
        <f>HYPERLINK("https://pbs.twimg.com/profile_images/378800000477264392/293a079deeb266798367152c9518446f_normal.jpeg","View")</f>
        <v>View</v>
      </c>
      <c r="P10106" s="27"/>
    </row>
    <row r="10107">
      <c r="A10107" s="14">
        <v>43032.187314814815</v>
      </c>
      <c r="B10107" s="20" t="str">
        <f>HYPERLINK("https://twitter.com/childishemtion","@childishemtion")</f>
        <v>@childishemtion</v>
      </c>
      <c r="C10107" s="21" t="s">
        <v>21676</v>
      </c>
      <c r="D10107" s="21" t="s">
        <v>21191</v>
      </c>
      <c r="E10107" s="22" t="str">
        <f>HYPERLINK("https://twitter.com/childishemtion/status/922787185350213632","922787185350213632")</f>
        <v>922787185350213632</v>
      </c>
      <c r="F10107" s="23" t="s">
        <v>86</v>
      </c>
      <c r="G10107" s="24">
        <v>442.0</v>
      </c>
      <c r="H10107" s="24">
        <v>415.0</v>
      </c>
      <c r="I10107" s="24">
        <v>42.0</v>
      </c>
      <c r="J10107" s="24">
        <v>0.0</v>
      </c>
      <c r="K10107" s="23" t="s">
        <v>34</v>
      </c>
      <c r="L10107" s="25">
        <v>41578.50524305555</v>
      </c>
      <c r="M10107" s="26" t="s">
        <v>40</v>
      </c>
      <c r="N10107" s="26" t="s">
        <v>21141</v>
      </c>
      <c r="O10107" s="22" t="str">
        <f>HYPERLINK("https://pbs.twimg.com/profile_images/378800000683738093/844fd8c43151695813f23b34ff3a7e4d_normal.jpeg","View")</f>
        <v>View</v>
      </c>
      <c r="P10107" s="27"/>
    </row>
    <row r="10108">
      <c r="A10108" s="14">
        <v>43032.18788194444</v>
      </c>
      <c r="B10108" s="20" t="str">
        <f>HYPERLINK("https://twitter.com/makarova8iulia","@makarova8iulia")</f>
        <v>@makarova8iulia</v>
      </c>
      <c r="C10108" s="21" t="s">
        <v>21685</v>
      </c>
      <c r="D10108" s="21" t="s">
        <v>105</v>
      </c>
      <c r="E10108" s="22" t="str">
        <f>HYPERLINK("https://twitter.com/makarova8iulia/status/922787393039564800","922787393039564800")</f>
        <v>922787393039564800</v>
      </c>
      <c r="F10108" s="23" t="s">
        <v>55</v>
      </c>
      <c r="G10108" s="24">
        <v>3.0</v>
      </c>
      <c r="H10108" s="24">
        <v>1.0</v>
      </c>
      <c r="I10108" s="24">
        <v>69.0</v>
      </c>
      <c r="J10108" s="24">
        <v>0.0</v>
      </c>
      <c r="K10108" s="23" t="s">
        <v>34</v>
      </c>
      <c r="L10108" s="25">
        <v>43014.41017361111</v>
      </c>
      <c r="M10108" s="28"/>
      <c r="N10108" s="28"/>
      <c r="O10108" s="22" t="str">
        <f>HYPERLINK("https://pbs.twimg.com/profile_images/917334068999553024/ZveVEEDW_normal.jpg","View")</f>
        <v>View</v>
      </c>
      <c r="P10108" s="27"/>
    </row>
    <row r="10109">
      <c r="A10109" s="14">
        <v>43032.18817129629</v>
      </c>
      <c r="B10109" s="20" t="str">
        <f>HYPERLINK("https://twitter.com/rorotrader","@rorotrader")</f>
        <v>@rorotrader</v>
      </c>
      <c r="C10109" s="21" t="s">
        <v>21686</v>
      </c>
      <c r="D10109" s="21" t="s">
        <v>17690</v>
      </c>
      <c r="E10109" s="22" t="str">
        <f>HYPERLINK("https://twitter.com/rorotrader/status/922787497230389248","922787497230389248")</f>
        <v>922787497230389248</v>
      </c>
      <c r="F10109" s="23" t="s">
        <v>55</v>
      </c>
      <c r="G10109" s="24">
        <v>168.0</v>
      </c>
      <c r="H10109" s="24">
        <v>174.0</v>
      </c>
      <c r="I10109" s="24">
        <v>7.0</v>
      </c>
      <c r="J10109" s="24">
        <v>0.0</v>
      </c>
      <c r="K10109" s="23" t="s">
        <v>34</v>
      </c>
      <c r="L10109" s="25">
        <v>42298.643796296295</v>
      </c>
      <c r="M10109" s="26" t="s">
        <v>21687</v>
      </c>
      <c r="N10109" s="26" t="s">
        <v>21688</v>
      </c>
      <c r="O10109" s="22" t="str">
        <f>HYPERLINK("https://pbs.twimg.com/profile_images/680513328066736128/Ncy9l1dH_normal.jpg","View")</f>
        <v>View</v>
      </c>
      <c r="P10109" s="27"/>
    </row>
    <row r="10110">
      <c r="A10110" s="14">
        <v>43032.1891087963</v>
      </c>
      <c r="B10110" s="20" t="str">
        <f>HYPERLINK("https://twitter.com/victory2writers","@victory2writers")</f>
        <v>@victory2writers</v>
      </c>
      <c r="C10110" s="21" t="s">
        <v>21689</v>
      </c>
      <c r="D10110" s="21" t="s">
        <v>21202</v>
      </c>
      <c r="E10110" s="22" t="str">
        <f>HYPERLINK("https://twitter.com/victory2writers/status/922787835027050497","922787835027050497")</f>
        <v>922787835027050497</v>
      </c>
      <c r="F10110" s="23" t="s">
        <v>86</v>
      </c>
      <c r="G10110" s="24">
        <v>392.0</v>
      </c>
      <c r="H10110" s="24">
        <v>432.0</v>
      </c>
      <c r="I10110" s="24">
        <v>79.0</v>
      </c>
      <c r="J10110" s="24">
        <v>0.0</v>
      </c>
      <c r="K10110" s="23" t="s">
        <v>34</v>
      </c>
      <c r="L10110" s="25">
        <v>41578.26436342593</v>
      </c>
      <c r="M10110" s="28"/>
      <c r="N10110" s="28"/>
      <c r="O10110" s="22" t="str">
        <f>HYPERLINK("https://pbs.twimg.com/profile_images/378800000673648699/ab29b3d6dfd04f976a62bff61c19758e_normal.jpeg","View")</f>
        <v>View</v>
      </c>
      <c r="P10110" s="27"/>
    </row>
    <row r="10111">
      <c r="A10111" s="14">
        <v>43032.189293981486</v>
      </c>
      <c r="B10111" s="20" t="str">
        <f>HYPERLINK("https://twitter.com/IGuhaonthemove","@IGuhaonthemove")</f>
        <v>@IGuhaonthemove</v>
      </c>
      <c r="C10111" s="21" t="s">
        <v>21690</v>
      </c>
      <c r="D10111" s="21" t="s">
        <v>42</v>
      </c>
      <c r="E10111" s="22" t="str">
        <f>HYPERLINK("https://twitter.com/IGuhaonthemove/status/922787905776570368","922787905776570368")</f>
        <v>922787905776570368</v>
      </c>
      <c r="F10111" s="23" t="s">
        <v>33</v>
      </c>
      <c r="G10111" s="24">
        <v>5.0</v>
      </c>
      <c r="H10111" s="24">
        <v>15.0</v>
      </c>
      <c r="I10111" s="24">
        <v>8501.0</v>
      </c>
      <c r="J10111" s="24">
        <v>0.0</v>
      </c>
      <c r="K10111" s="23" t="s">
        <v>34</v>
      </c>
      <c r="L10111" s="25">
        <v>41835.499178240745</v>
      </c>
      <c r="M10111" s="28"/>
      <c r="N10111" s="28"/>
      <c r="O10111" s="22" t="str">
        <f>HYPERLINK("https://abs.twimg.com/sticky/default_profile_images/default_profile_normal.png","View")</f>
        <v>View</v>
      </c>
      <c r="P10111" s="27"/>
    </row>
    <row r="10112">
      <c r="A10112" s="14">
        <v>43032.18950231481</v>
      </c>
      <c r="B10112" s="20" t="str">
        <f>HYPERLINK("https://twitter.com/Carlos_Wako","@Carlos_Wako")</f>
        <v>@Carlos_Wako</v>
      </c>
      <c r="C10112" s="21" t="s">
        <v>21691</v>
      </c>
      <c r="D10112" s="21" t="s">
        <v>21625</v>
      </c>
      <c r="E10112" s="22" t="str">
        <f>HYPERLINK("https://twitter.com/Carlos_Wako/status/922787977499107328","922787977499107328")</f>
        <v>922787977499107328</v>
      </c>
      <c r="F10112" s="23" t="s">
        <v>55</v>
      </c>
      <c r="G10112" s="24">
        <v>233.0</v>
      </c>
      <c r="H10112" s="24">
        <v>138.0</v>
      </c>
      <c r="I10112" s="24">
        <v>122.0</v>
      </c>
      <c r="J10112" s="24">
        <v>0.0</v>
      </c>
      <c r="K10112" s="23" t="s">
        <v>34</v>
      </c>
      <c r="L10112" s="25">
        <v>41928.239699074074</v>
      </c>
      <c r="M10112" s="26" t="s">
        <v>21692</v>
      </c>
      <c r="N10112" s="26" t="s">
        <v>21693</v>
      </c>
      <c r="O10112" s="22" t="str">
        <f>HYPERLINK("https://pbs.twimg.com/profile_images/523810168400654338/FLycgM90_normal.jpeg","View")</f>
        <v>View</v>
      </c>
      <c r="P10112" s="27"/>
    </row>
    <row r="10113">
      <c r="A10113" s="14">
        <v>43032.18975694444</v>
      </c>
      <c r="B10113" s="20" t="str">
        <f>HYPERLINK("https://twitter.com/victory2writers","@victory2writers")</f>
        <v>@victory2writers</v>
      </c>
      <c r="C10113" s="21" t="s">
        <v>21689</v>
      </c>
      <c r="D10113" s="21" t="s">
        <v>21203</v>
      </c>
      <c r="E10113" s="22" t="str">
        <f>HYPERLINK("https://twitter.com/victory2writers/status/922788070843351042","922788070843351042")</f>
        <v>922788070843351042</v>
      </c>
      <c r="F10113" s="23" t="s">
        <v>86</v>
      </c>
      <c r="G10113" s="24">
        <v>392.0</v>
      </c>
      <c r="H10113" s="24">
        <v>432.0</v>
      </c>
      <c r="I10113" s="24">
        <v>75.0</v>
      </c>
      <c r="J10113" s="24">
        <v>0.0</v>
      </c>
      <c r="K10113" s="23" t="s">
        <v>34</v>
      </c>
      <c r="L10113" s="25">
        <v>41578.26436342593</v>
      </c>
      <c r="M10113" s="28"/>
      <c r="N10113" s="28"/>
      <c r="O10113" s="22" t="str">
        <f>HYPERLINK("https://pbs.twimg.com/profile_images/378800000673648699/ab29b3d6dfd04f976a62bff61c19758e_normal.jpeg","View")</f>
        <v>View</v>
      </c>
      <c r="P10113" s="27"/>
    </row>
    <row r="10114">
      <c r="A10114" s="14">
        <v>43032.18989583333</v>
      </c>
      <c r="B10114" s="20" t="str">
        <f>HYPERLINK("https://twitter.com/mvkgshinya","@mvkgshinya")</f>
        <v>@mvkgshinya</v>
      </c>
      <c r="C10114" s="21" t="s">
        <v>1730</v>
      </c>
      <c r="D10114" s="21" t="s">
        <v>20700</v>
      </c>
      <c r="E10114" s="22" t="str">
        <f>HYPERLINK("https://twitter.com/mvkgshinya/status/922788121715945477","922788121715945477")</f>
        <v>922788121715945477</v>
      </c>
      <c r="F10114" s="23" t="s">
        <v>33</v>
      </c>
      <c r="G10114" s="24">
        <v>1013.0</v>
      </c>
      <c r="H10114" s="24">
        <v>1109.0</v>
      </c>
      <c r="I10114" s="24">
        <v>27.0</v>
      </c>
      <c r="J10114" s="24">
        <v>0.0</v>
      </c>
      <c r="K10114" s="23" t="s">
        <v>34</v>
      </c>
      <c r="L10114" s="25">
        <v>40941.261921296296</v>
      </c>
      <c r="M10114" s="26" t="s">
        <v>1732</v>
      </c>
      <c r="N10114" s="26" t="s">
        <v>1733</v>
      </c>
      <c r="O10114" s="22" t="str">
        <f>HYPERLINK("https://pbs.twimg.com/profile_images/727446279802867712/fivaqPog_normal.jpg","View")</f>
        <v>View</v>
      </c>
      <c r="P10114" s="27"/>
    </row>
    <row r="10115">
      <c r="A10115" s="14">
        <v>43032.1902662037</v>
      </c>
      <c r="B10115" s="20" t="str">
        <f>HYPERLINK("https://twitter.com/alananqdsd","@alananqdsd")</f>
        <v>@alananqdsd</v>
      </c>
      <c r="C10115" s="21" t="s">
        <v>21694</v>
      </c>
      <c r="D10115" s="21" t="s">
        <v>20407</v>
      </c>
      <c r="E10115" s="22" t="str">
        <f>HYPERLINK("https://twitter.com/alananqdsd/status/922788254272847872","922788254272847872")</f>
        <v>922788254272847872</v>
      </c>
      <c r="F10115" s="23" t="s">
        <v>39</v>
      </c>
      <c r="G10115" s="24">
        <v>280.0</v>
      </c>
      <c r="H10115" s="24">
        <v>1856.0</v>
      </c>
      <c r="I10115" s="24">
        <v>2.0</v>
      </c>
      <c r="J10115" s="24">
        <v>0.0</v>
      </c>
      <c r="K10115" s="23" t="s">
        <v>34</v>
      </c>
      <c r="L10115" s="25">
        <v>42350.79331018518</v>
      </c>
      <c r="M10115" s="28"/>
      <c r="N10115" s="26" t="s">
        <v>21695</v>
      </c>
      <c r="O10115" s="22" t="str">
        <f>HYPERLINK("https://pbs.twimg.com/profile_images/675874549204840448/1czUyis-_normal.jpg","View")</f>
        <v>View</v>
      </c>
      <c r="P10115" s="27"/>
    </row>
    <row r="10116">
      <c r="A10116" s="14">
        <v>43032.190405092595</v>
      </c>
      <c r="B10116" s="20" t="str">
        <f>HYPERLINK("https://twitter.com/victory2writers","@victory2writers")</f>
        <v>@victory2writers</v>
      </c>
      <c r="C10116" s="21" t="s">
        <v>21689</v>
      </c>
      <c r="D10116" s="21" t="s">
        <v>21243</v>
      </c>
      <c r="E10116" s="22" t="str">
        <f>HYPERLINK("https://twitter.com/victory2writers/status/922788307276312576","922788307276312576")</f>
        <v>922788307276312576</v>
      </c>
      <c r="F10116" s="23" t="s">
        <v>86</v>
      </c>
      <c r="G10116" s="24">
        <v>392.0</v>
      </c>
      <c r="H10116" s="24">
        <v>432.0</v>
      </c>
      <c r="I10116" s="24">
        <v>41.0</v>
      </c>
      <c r="J10116" s="24">
        <v>0.0</v>
      </c>
      <c r="K10116" s="23" t="s">
        <v>34</v>
      </c>
      <c r="L10116" s="25">
        <v>41578.26436342593</v>
      </c>
      <c r="M10116" s="28"/>
      <c r="N10116" s="28"/>
      <c r="O10116" s="22" t="str">
        <f>HYPERLINK("https://pbs.twimg.com/profile_images/378800000673648699/ab29b3d6dfd04f976a62bff61c19758e_normal.jpeg","View")</f>
        <v>View</v>
      </c>
      <c r="P10116" s="27"/>
    </row>
    <row r="10117">
      <c r="A10117" s="14">
        <v>43032.19072916667</v>
      </c>
      <c r="B10117" s="20" t="str">
        <f>HYPERLINK("https://twitter.com/Ngoduptn","@Ngoduptn")</f>
        <v>@Ngoduptn</v>
      </c>
      <c r="C10117" s="21" t="s">
        <v>21696</v>
      </c>
      <c r="D10117" s="21" t="s">
        <v>42</v>
      </c>
      <c r="E10117" s="22" t="str">
        <f>HYPERLINK("https://twitter.com/Ngoduptn/status/922788424985272322","922788424985272322")</f>
        <v>922788424985272322</v>
      </c>
      <c r="F10117" s="23" t="s">
        <v>33</v>
      </c>
      <c r="G10117" s="24">
        <v>11.0</v>
      </c>
      <c r="H10117" s="24">
        <v>191.0</v>
      </c>
      <c r="I10117" s="24">
        <v>8501.0</v>
      </c>
      <c r="J10117" s="24">
        <v>0.0</v>
      </c>
      <c r="K10117" s="23" t="s">
        <v>34</v>
      </c>
      <c r="L10117" s="25">
        <v>40308.99248842592</v>
      </c>
      <c r="M10117" s="26" t="s">
        <v>204</v>
      </c>
      <c r="N10117" s="28"/>
      <c r="O10117" s="22" t="str">
        <f>HYPERLINK("https://pbs.twimg.com/profile_images/788290190573842432/9Rux_utB_normal.jpg","View")</f>
        <v>View</v>
      </c>
      <c r="P10117" s="27"/>
    </row>
    <row r="10118">
      <c r="A10118" s="14">
        <v>43032.19082175926</v>
      </c>
      <c r="B10118" s="20" t="str">
        <f>HYPERLINK("https://twitter.com/JKSCN","@JKSCN")</f>
        <v>@JKSCN</v>
      </c>
      <c r="C10118" s="21" t="s">
        <v>21697</v>
      </c>
      <c r="D10118" s="21" t="s">
        <v>16537</v>
      </c>
      <c r="E10118" s="22" t="str">
        <f>HYPERLINK("https://twitter.com/JKSCN/status/922788457457635329","922788457457635329")</f>
        <v>922788457457635329</v>
      </c>
      <c r="F10118" s="23" t="s">
        <v>39</v>
      </c>
      <c r="G10118" s="24">
        <v>1392.0</v>
      </c>
      <c r="H10118" s="24">
        <v>4293.0</v>
      </c>
      <c r="I10118" s="24">
        <v>242.0</v>
      </c>
      <c r="J10118" s="24">
        <v>0.0</v>
      </c>
      <c r="K10118" s="23" t="s">
        <v>34</v>
      </c>
      <c r="L10118" s="25">
        <v>39773.729108796295</v>
      </c>
      <c r="M10118" s="26" t="s">
        <v>21698</v>
      </c>
      <c r="N10118" s="26" t="s">
        <v>21699</v>
      </c>
      <c r="O10118" s="22" t="str">
        <f>HYPERLINK("https://pbs.twimg.com/profile_images/477977036905267200/cf71VHxI_normal.jpeg","View")</f>
        <v>View</v>
      </c>
      <c r="P10118" s="27"/>
    </row>
    <row r="10119">
      <c r="A10119" s="14">
        <v>43032.19106481482</v>
      </c>
      <c r="B10119" s="20" t="str">
        <f>HYPERLINK("https://twitter.com/victory2writers","@victory2writers")</f>
        <v>@victory2writers</v>
      </c>
      <c r="C10119" s="21" t="s">
        <v>21689</v>
      </c>
      <c r="D10119" s="21" t="s">
        <v>21191</v>
      </c>
      <c r="E10119" s="22" t="str">
        <f>HYPERLINK("https://twitter.com/victory2writers/status/922788544850137090","922788544850137090")</f>
        <v>922788544850137090</v>
      </c>
      <c r="F10119" s="23" t="s">
        <v>86</v>
      </c>
      <c r="G10119" s="24">
        <v>392.0</v>
      </c>
      <c r="H10119" s="24">
        <v>432.0</v>
      </c>
      <c r="I10119" s="24">
        <v>42.0</v>
      </c>
      <c r="J10119" s="24">
        <v>0.0</v>
      </c>
      <c r="K10119" s="23" t="s">
        <v>34</v>
      </c>
      <c r="L10119" s="25">
        <v>41578.26436342593</v>
      </c>
      <c r="M10119" s="28"/>
      <c r="N10119" s="28"/>
      <c r="O10119" s="22" t="str">
        <f>HYPERLINK("https://pbs.twimg.com/profile_images/378800000673648699/ab29b3d6dfd04f976a62bff61c19758e_normal.jpeg","View")</f>
        <v>View</v>
      </c>
      <c r="P10119" s="27"/>
    </row>
    <row r="10120">
      <c r="A10120" s="14">
        <v>43032.19136574074</v>
      </c>
      <c r="B10120" s="20" t="str">
        <f>HYPERLINK("https://twitter.com/sherise_mannix","@sherise_mannix")</f>
        <v>@sherise_mannix</v>
      </c>
      <c r="C10120" s="21" t="s">
        <v>21473</v>
      </c>
      <c r="D10120" s="21" t="s">
        <v>21194</v>
      </c>
      <c r="E10120" s="22" t="str">
        <f>HYPERLINK("https://twitter.com/sherise_mannix/status/922788655436984323","922788655436984323")</f>
        <v>922788655436984323</v>
      </c>
      <c r="F10120" s="23" t="s">
        <v>86</v>
      </c>
      <c r="G10120" s="24">
        <v>281.0</v>
      </c>
      <c r="H10120" s="24">
        <v>70.0</v>
      </c>
      <c r="I10120" s="24">
        <v>35.0</v>
      </c>
      <c r="J10120" s="24">
        <v>0.0</v>
      </c>
      <c r="K10120" s="23" t="s">
        <v>34</v>
      </c>
      <c r="L10120" s="25">
        <v>41849.38586805556</v>
      </c>
      <c r="M10120" s="28"/>
      <c r="N10120" s="26" t="s">
        <v>21474</v>
      </c>
      <c r="O10120" s="22" t="str">
        <f>HYPERLINK("https://pbs.twimg.com/profile_images/494162824285806593/iFky_8no_normal.jpeg","View")</f>
        <v>View</v>
      </c>
      <c r="P10120" s="27"/>
    </row>
    <row r="10121">
      <c r="A10121" s="14">
        <v>43032.19194444444</v>
      </c>
      <c r="B10121" s="20" t="str">
        <f>HYPERLINK("https://twitter.com/beardedmiguel","@beardedmiguel")</f>
        <v>@beardedmiguel</v>
      </c>
      <c r="C10121" s="21" t="s">
        <v>21700</v>
      </c>
      <c r="D10121" s="21" t="s">
        <v>21701</v>
      </c>
      <c r="E10121" s="22" t="str">
        <f>HYPERLINK("https://twitter.com/beardedmiguel/status/922788866142154752","922788866142154752")</f>
        <v>922788866142154752</v>
      </c>
      <c r="F10121" s="23" t="s">
        <v>39</v>
      </c>
      <c r="G10121" s="24">
        <v>1462.0</v>
      </c>
      <c r="H10121" s="24">
        <v>623.0</v>
      </c>
      <c r="I10121" s="24">
        <v>0.0</v>
      </c>
      <c r="J10121" s="24">
        <v>0.0</v>
      </c>
      <c r="K10121" s="23" t="s">
        <v>34</v>
      </c>
      <c r="L10121" s="25">
        <v>39915.643067129626</v>
      </c>
      <c r="M10121" s="26" t="s">
        <v>21702</v>
      </c>
      <c r="N10121" s="26" t="s">
        <v>21703</v>
      </c>
      <c r="O10121" s="22" t="str">
        <f>HYPERLINK("https://pbs.twimg.com/profile_images/873039252396752896/M5FIzu9H_normal.jpg","View")</f>
        <v>View</v>
      </c>
      <c r="P10121" s="27"/>
    </row>
    <row r="10122">
      <c r="A10122" s="14">
        <v>43032.19222222222</v>
      </c>
      <c r="B10122" s="20" t="str">
        <f>HYPERLINK("https://twitter.com/makarova8iulia","@makarova8iulia")</f>
        <v>@makarova8iulia</v>
      </c>
      <c r="C10122" s="21" t="s">
        <v>21685</v>
      </c>
      <c r="D10122" s="21" t="s">
        <v>17123</v>
      </c>
      <c r="E10122" s="22" t="str">
        <f>HYPERLINK("https://twitter.com/makarova8iulia/status/922788965823823872","922788965823823872")</f>
        <v>922788965823823872</v>
      </c>
      <c r="F10122" s="23" t="s">
        <v>55</v>
      </c>
      <c r="G10122" s="24">
        <v>3.0</v>
      </c>
      <c r="H10122" s="24">
        <v>1.0</v>
      </c>
      <c r="I10122" s="24">
        <v>163.0</v>
      </c>
      <c r="J10122" s="24">
        <v>0.0</v>
      </c>
      <c r="K10122" s="23" t="s">
        <v>34</v>
      </c>
      <c r="L10122" s="25">
        <v>43014.41017361111</v>
      </c>
      <c r="M10122" s="28"/>
      <c r="N10122" s="28"/>
      <c r="O10122" s="22" t="str">
        <f>HYPERLINK("https://pbs.twimg.com/profile_images/917334068999553024/ZveVEEDW_normal.jpg","View")</f>
        <v>View</v>
      </c>
      <c r="P10122" s="27"/>
    </row>
    <row r="10123">
      <c r="A10123" s="14">
        <v>43032.193125000005</v>
      </c>
      <c r="B10123" s="20" t="str">
        <f>HYPERLINK("https://twitter.com/jljzen","@jljzen")</f>
        <v>@jljzen</v>
      </c>
      <c r="C10123" s="21" t="s">
        <v>3696</v>
      </c>
      <c r="D10123" s="21" t="s">
        <v>21704</v>
      </c>
      <c r="E10123" s="22" t="str">
        <f>HYPERLINK("https://twitter.com/jljzen/status/922789292937699335","922789292937699335")</f>
        <v>922789292937699335</v>
      </c>
      <c r="F10123" s="23" t="s">
        <v>39</v>
      </c>
      <c r="G10123" s="24">
        <v>4332.0</v>
      </c>
      <c r="H10123" s="24">
        <v>2013.0</v>
      </c>
      <c r="I10123" s="24">
        <v>0.0</v>
      </c>
      <c r="J10123" s="24">
        <v>0.0</v>
      </c>
      <c r="K10123" s="23" t="s">
        <v>34</v>
      </c>
      <c r="L10123" s="25">
        <v>39635.071608796294</v>
      </c>
      <c r="M10123" s="26" t="s">
        <v>3693</v>
      </c>
      <c r="N10123" s="26" t="s">
        <v>3698</v>
      </c>
      <c r="O10123" s="22" t="str">
        <f>HYPERLINK("https://pbs.twimg.com/profile_images/917531279632900096/6oc5ihff_normal.jpg","View")</f>
        <v>View</v>
      </c>
      <c r="P10123" s="27"/>
    </row>
    <row r="10124">
      <c r="A10124" s="14">
        <v>43032.19325231481</v>
      </c>
      <c r="B10124" s="20" t="str">
        <f>HYPERLINK("https://twitter.com/Fronterakid","@Fronterakid")</f>
        <v>@Fronterakid</v>
      </c>
      <c r="C10124" s="21" t="s">
        <v>21705</v>
      </c>
      <c r="D10124" s="21" t="s">
        <v>18761</v>
      </c>
      <c r="E10124" s="22" t="str">
        <f>HYPERLINK("https://twitter.com/Fronterakid/status/922789339657940994","922789339657940994")</f>
        <v>922789339657940994</v>
      </c>
      <c r="F10124" s="23" t="s">
        <v>33</v>
      </c>
      <c r="G10124" s="24">
        <v>756.0</v>
      </c>
      <c r="H10124" s="24">
        <v>679.0</v>
      </c>
      <c r="I10124" s="24">
        <v>11.0</v>
      </c>
      <c r="J10124" s="24">
        <v>0.0</v>
      </c>
      <c r="K10124" s="23" t="s">
        <v>34</v>
      </c>
      <c r="L10124" s="25">
        <v>40389.303564814814</v>
      </c>
      <c r="M10124" s="26" t="s">
        <v>4052</v>
      </c>
      <c r="N10124" s="26" t="s">
        <v>21706</v>
      </c>
      <c r="O10124" s="22" t="str">
        <f>HYPERLINK("https://pbs.twimg.com/profile_images/832690670410178560/Z-LMEHWq_normal.jpg","View")</f>
        <v>View</v>
      </c>
      <c r="P10124" s="27"/>
    </row>
    <row r="10125">
      <c r="A10125" s="14">
        <v>43032.19327546297</v>
      </c>
      <c r="B10125" s="20" t="str">
        <f>HYPERLINK("https://twitter.com/pal41993","@pal41993")</f>
        <v>@pal41993</v>
      </c>
      <c r="C10125" s="21" t="s">
        <v>21707</v>
      </c>
      <c r="D10125" s="21" t="s">
        <v>42</v>
      </c>
      <c r="E10125" s="22" t="str">
        <f>HYPERLINK("https://twitter.com/pal41993/status/922789345471242242","922789345471242242")</f>
        <v>922789345471242242</v>
      </c>
      <c r="F10125" s="23" t="s">
        <v>43</v>
      </c>
      <c r="G10125" s="24">
        <v>29.0</v>
      </c>
      <c r="H10125" s="24">
        <v>185.0</v>
      </c>
      <c r="I10125" s="24">
        <v>8501.0</v>
      </c>
      <c r="J10125" s="24">
        <v>0.0</v>
      </c>
      <c r="K10125" s="23" t="s">
        <v>34</v>
      </c>
      <c r="L10125" s="25">
        <v>41690.223020833335</v>
      </c>
      <c r="M10125" s="26" t="s">
        <v>1991</v>
      </c>
      <c r="N10125" s="26" t="s">
        <v>4159</v>
      </c>
      <c r="O10125" s="22" t="str">
        <f>HYPERLINK("https://pbs.twimg.com/profile_images/828559762321072128/SLaoDrx2_normal.jpg","View")</f>
        <v>View</v>
      </c>
      <c r="P10125" s="27"/>
    </row>
    <row r="10126">
      <c r="A10126" s="14">
        <v>43032.193344907406</v>
      </c>
      <c r="B10126" s="20" t="str">
        <f>HYPERLINK("https://twitter.com/BBmaque","@BBmaque")</f>
        <v>@BBmaque</v>
      </c>
      <c r="C10126" s="21" t="s">
        <v>21708</v>
      </c>
      <c r="D10126" s="21" t="s">
        <v>21709</v>
      </c>
      <c r="E10126" s="22" t="str">
        <f>HYPERLINK("https://twitter.com/BBmaque/status/922789371031572480","922789371031572480")</f>
        <v>922789371031572480</v>
      </c>
      <c r="F10126" s="23" t="s">
        <v>33</v>
      </c>
      <c r="G10126" s="24">
        <v>107.0</v>
      </c>
      <c r="H10126" s="24">
        <v>509.0</v>
      </c>
      <c r="I10126" s="24">
        <v>4.0</v>
      </c>
      <c r="J10126" s="24">
        <v>0.0</v>
      </c>
      <c r="K10126" s="23" t="s">
        <v>34</v>
      </c>
      <c r="L10126" s="25">
        <v>41829.43738425926</v>
      </c>
      <c r="M10126" s="28"/>
      <c r="N10126" s="28"/>
      <c r="O10126" s="22" t="str">
        <f>HYPERLINK("https://pbs.twimg.com/profile_images/858983728940449792/raKcS5rU_normal.jpg","View")</f>
        <v>View</v>
      </c>
      <c r="P10126" s="27"/>
    </row>
    <row r="10127">
      <c r="A10127" s="14">
        <v>43032.19369212963</v>
      </c>
      <c r="B10127" s="20" t="str">
        <f>HYPERLINK("https://twitter.com/jostaryoutube43","@jostaryoutube43")</f>
        <v>@jostaryoutube43</v>
      </c>
      <c r="C10127" s="21" t="s">
        <v>21710</v>
      </c>
      <c r="D10127" s="21" t="s">
        <v>21711</v>
      </c>
      <c r="E10127" s="22" t="str">
        <f>HYPERLINK("https://twitter.com/jostaryoutube43/status/922789497082748928","922789497082748928")</f>
        <v>922789497082748928</v>
      </c>
      <c r="F10127" s="30" t="s">
        <v>659</v>
      </c>
      <c r="G10127" s="24">
        <v>37.0</v>
      </c>
      <c r="H10127" s="24">
        <v>36.0</v>
      </c>
      <c r="I10127" s="24">
        <v>0.0</v>
      </c>
      <c r="J10127" s="24">
        <v>0.0</v>
      </c>
      <c r="K10127" s="23" t="s">
        <v>34</v>
      </c>
      <c r="L10127" s="25">
        <v>42689.680439814816</v>
      </c>
      <c r="M10127" s="26" t="s">
        <v>71</v>
      </c>
      <c r="N10127" s="26" t="s">
        <v>21712</v>
      </c>
      <c r="O10127" s="22" t="str">
        <f>HYPERLINK("https://pbs.twimg.com/profile_images/798682717294444544/Ubt5g1cF_normal.jpg","View")</f>
        <v>View</v>
      </c>
      <c r="P10127" s="27"/>
    </row>
    <row r="10128">
      <c r="A10128" s="14">
        <v>43032.19392361111</v>
      </c>
      <c r="B10128" s="20" t="str">
        <f>HYPERLINK("https://twitter.com/ZhirnovaVera","@ZhirnovaVera")</f>
        <v>@ZhirnovaVera</v>
      </c>
      <c r="C10128" s="21" t="s">
        <v>21713</v>
      </c>
      <c r="D10128" s="21" t="s">
        <v>20700</v>
      </c>
      <c r="E10128" s="22" t="str">
        <f>HYPERLINK("https://twitter.com/ZhirnovaVera/status/922789582218735616","922789582218735616")</f>
        <v>922789582218735616</v>
      </c>
      <c r="F10128" s="23" t="s">
        <v>55</v>
      </c>
      <c r="G10128" s="24">
        <v>11047.0</v>
      </c>
      <c r="H10128" s="24">
        <v>71.0</v>
      </c>
      <c r="I10128" s="24">
        <v>27.0</v>
      </c>
      <c r="J10128" s="24">
        <v>0.0</v>
      </c>
      <c r="K10128" s="23" t="s">
        <v>34</v>
      </c>
      <c r="L10128" s="25">
        <v>42994.40158564815</v>
      </c>
      <c r="M10128" s="28"/>
      <c r="N10128" s="28"/>
      <c r="O10128" s="22" t="str">
        <f>HYPERLINK("https://pbs.twimg.com/profile_images/922764229249187840/-ChWDl4F_normal.jpg","View")</f>
        <v>View</v>
      </c>
      <c r="P10128" s="27"/>
    </row>
    <row r="10129">
      <c r="A10129" s="14">
        <v>43032.194872685184</v>
      </c>
      <c r="B10129" s="20" t="str">
        <f>HYPERLINK("https://twitter.com/harajukuberbie","@harajukuberbie")</f>
        <v>@harajukuberbie</v>
      </c>
      <c r="C10129" s="21" t="s">
        <v>21714</v>
      </c>
      <c r="D10129" s="21" t="s">
        <v>32</v>
      </c>
      <c r="E10129" s="22" t="str">
        <f>HYPERLINK("https://twitter.com/harajukuberbie/status/922789925631782912","922789925631782912")</f>
        <v>922789925631782912</v>
      </c>
      <c r="F10129" s="23" t="s">
        <v>33</v>
      </c>
      <c r="G10129" s="24">
        <v>1744.0</v>
      </c>
      <c r="H10129" s="24">
        <v>1004.0</v>
      </c>
      <c r="I10129" s="24">
        <v>471.0</v>
      </c>
      <c r="J10129" s="24">
        <v>0.0</v>
      </c>
      <c r="K10129" s="23" t="s">
        <v>34</v>
      </c>
      <c r="L10129" s="25">
        <v>40548.1902662037</v>
      </c>
      <c r="M10129" s="28"/>
      <c r="N10129" s="26" t="s">
        <v>21715</v>
      </c>
      <c r="O10129" s="22" t="str">
        <f>HYPERLINK("https://pbs.twimg.com/profile_images/898920815160373250/RttVv5YN_normal.jpg","View")</f>
        <v>View</v>
      </c>
      <c r="P10129" s="27"/>
    </row>
    <row r="10130">
      <c r="A10130" s="14">
        <v>43032.19695601852</v>
      </c>
      <c r="B10130" s="20" t="str">
        <f>HYPERLINK("https://twitter.com/ajithrs07","@ajithrs07")</f>
        <v>@ajithrs07</v>
      </c>
      <c r="C10130" s="21" t="s">
        <v>21716</v>
      </c>
      <c r="D10130" s="21" t="s">
        <v>42</v>
      </c>
      <c r="E10130" s="22" t="str">
        <f>HYPERLINK("https://twitter.com/ajithrs07/status/922790679343980544","922790679343980544")</f>
        <v>922790679343980544</v>
      </c>
      <c r="F10130" s="23" t="s">
        <v>33</v>
      </c>
      <c r="G10130" s="24">
        <v>19.0</v>
      </c>
      <c r="H10130" s="24">
        <v>98.0</v>
      </c>
      <c r="I10130" s="24">
        <v>8501.0</v>
      </c>
      <c r="J10130" s="24">
        <v>0.0</v>
      </c>
      <c r="K10130" s="23" t="s">
        <v>34</v>
      </c>
      <c r="L10130" s="25">
        <v>42386.123125</v>
      </c>
      <c r="M10130" s="26" t="s">
        <v>238</v>
      </c>
      <c r="N10130" s="28"/>
      <c r="O10130" s="22" t="str">
        <f>HYPERLINK("https://pbs.twimg.com/profile_images/729358250920038401/vFOdssmn_normal.jpg","View")</f>
        <v>View</v>
      </c>
      <c r="P10130" s="27"/>
    </row>
    <row r="10131">
      <c r="A10131" s="14">
        <v>43032.19740740741</v>
      </c>
      <c r="B10131" s="20" t="str">
        <f>HYPERLINK("https://twitter.com/JPnewsinEng","@JPnewsinEng")</f>
        <v>@JPnewsinEng</v>
      </c>
      <c r="C10131" s="21" t="s">
        <v>500</v>
      </c>
      <c r="D10131" s="21" t="s">
        <v>21717</v>
      </c>
      <c r="E10131" s="22" t="str">
        <f>HYPERLINK("https://twitter.com/JPnewsinEng/status/922790844771553280","922790844771553280")</f>
        <v>922790844771553280</v>
      </c>
      <c r="F10131" s="23" t="s">
        <v>187</v>
      </c>
      <c r="G10131" s="24">
        <v>92.0</v>
      </c>
      <c r="H10131" s="24">
        <v>0.0</v>
      </c>
      <c r="I10131" s="24">
        <v>0.0</v>
      </c>
      <c r="J10131" s="24">
        <v>0.0</v>
      </c>
      <c r="K10131" s="23" t="s">
        <v>34</v>
      </c>
      <c r="L10131" s="25">
        <v>42298.27949074074</v>
      </c>
      <c r="M10131" s="26" t="s">
        <v>71</v>
      </c>
      <c r="N10131" s="26" t="s">
        <v>502</v>
      </c>
      <c r="O10131" s="22" t="str">
        <f>HYPERLINK("https://pbs.twimg.com/profile_images/658617776026705920/TPmWzjC0_normal.png","View")</f>
        <v>View</v>
      </c>
      <c r="P10131" s="27"/>
    </row>
    <row r="10132">
      <c r="A10132" s="14">
        <v>43032.19746527778</v>
      </c>
      <c r="B10132" s="20" t="str">
        <f>HYPERLINK("https://twitter.com/sadogashima3210","@sadogashima3210")</f>
        <v>@sadogashima3210</v>
      </c>
      <c r="C10132" s="21" t="s">
        <v>21718</v>
      </c>
      <c r="D10132" s="21" t="s">
        <v>21261</v>
      </c>
      <c r="E10132" s="22" t="str">
        <f>HYPERLINK("https://twitter.com/sadogashima3210/status/922790865185095680","922790865185095680")</f>
        <v>922790865185095680</v>
      </c>
      <c r="F10132" s="23" t="s">
        <v>39</v>
      </c>
      <c r="G10132" s="24">
        <v>1921.0</v>
      </c>
      <c r="H10132" s="24">
        <v>2711.0</v>
      </c>
      <c r="I10132" s="24">
        <v>11.0</v>
      </c>
      <c r="J10132" s="24">
        <v>0.0</v>
      </c>
      <c r="K10132" s="23" t="s">
        <v>34</v>
      </c>
      <c r="L10132" s="25">
        <v>42479.85942129629</v>
      </c>
      <c r="M10132" s="26" t="s">
        <v>21719</v>
      </c>
      <c r="N10132" s="26" t="s">
        <v>21720</v>
      </c>
      <c r="O10132" s="22" t="str">
        <f>HYPERLINK("https://pbs.twimg.com/profile_images/724193853356429312/aNY1xIQg_normal.jpg","View")</f>
        <v>View</v>
      </c>
      <c r="P10132" s="27"/>
    </row>
    <row r="10133">
      <c r="A10133" s="14">
        <v>43032.19792824074</v>
      </c>
      <c r="B10133" s="20" t="str">
        <f>HYPERLINK("https://twitter.com/SBLewisSB","@SBLewisSB")</f>
        <v>@SBLewisSB</v>
      </c>
      <c r="C10133" s="21" t="s">
        <v>15804</v>
      </c>
      <c r="D10133" s="21" t="s">
        <v>21721</v>
      </c>
      <c r="E10133" s="22" t="str">
        <f>HYPERLINK("https://twitter.com/SBLewisSB/status/922791034282827776","922791034282827776")</f>
        <v>922791034282827776</v>
      </c>
      <c r="F10133" s="23" t="s">
        <v>230</v>
      </c>
      <c r="G10133" s="24">
        <v>499.0</v>
      </c>
      <c r="H10133" s="24">
        <v>4998.0</v>
      </c>
      <c r="I10133" s="24">
        <v>1.0</v>
      </c>
      <c r="J10133" s="24">
        <v>0.0</v>
      </c>
      <c r="K10133" s="23" t="s">
        <v>34</v>
      </c>
      <c r="L10133" s="25">
        <v>42041.34644675926</v>
      </c>
      <c r="M10133" s="26" t="s">
        <v>15806</v>
      </c>
      <c r="N10133" s="26" t="s">
        <v>15807</v>
      </c>
      <c r="O10133" s="22" t="str">
        <f>HYPERLINK("https://pbs.twimg.com/profile_images/804731529251454976/gdK-bv7p_normal.jpg","View")</f>
        <v>View</v>
      </c>
      <c r="P10133" s="27"/>
    </row>
    <row r="10134">
      <c r="A10134" s="14">
        <v>43032.19915509259</v>
      </c>
      <c r="B10134" s="20" t="str">
        <f>HYPERLINK("https://twitter.com/abhish12344","@abhish12344")</f>
        <v>@abhish12344</v>
      </c>
      <c r="C10134" s="21" t="s">
        <v>6507</v>
      </c>
      <c r="D10134" s="21" t="s">
        <v>42</v>
      </c>
      <c r="E10134" s="22" t="str">
        <f>HYPERLINK("https://twitter.com/abhish12344/status/922791476274200577","922791476274200577")</f>
        <v>922791476274200577</v>
      </c>
      <c r="F10134" s="23" t="s">
        <v>33</v>
      </c>
      <c r="G10134" s="24">
        <v>51.0</v>
      </c>
      <c r="H10134" s="24">
        <v>337.0</v>
      </c>
      <c r="I10134" s="24">
        <v>8501.0</v>
      </c>
      <c r="J10134" s="24">
        <v>0.0</v>
      </c>
      <c r="K10134" s="23" t="s">
        <v>34</v>
      </c>
      <c r="L10134" s="25">
        <v>42676.41096064815</v>
      </c>
      <c r="M10134" s="28"/>
      <c r="N10134" s="26" t="s">
        <v>21722</v>
      </c>
      <c r="O10134" s="22" t="str">
        <f>HYPERLINK("https://pbs.twimg.com/profile_images/860046470715670528/rBwei319_normal.jpg","View")</f>
        <v>View</v>
      </c>
      <c r="P10134" s="27"/>
    </row>
    <row r="10135">
      <c r="A10135" s="14">
        <v>43032.19940972222</v>
      </c>
      <c r="B10135" s="20" t="str">
        <f>HYPERLINK("https://twitter.com/Angela2132","@Angela2132")</f>
        <v>@Angela2132</v>
      </c>
      <c r="C10135" s="21" t="s">
        <v>21723</v>
      </c>
      <c r="D10135" s="21" t="s">
        <v>18788</v>
      </c>
      <c r="E10135" s="22" t="str">
        <f>HYPERLINK("https://twitter.com/Angela2132/status/922791567768899584","922791567768899584")</f>
        <v>922791567768899584</v>
      </c>
      <c r="F10135" s="23" t="s">
        <v>39</v>
      </c>
      <c r="G10135" s="24">
        <v>1826.0</v>
      </c>
      <c r="H10135" s="24">
        <v>1259.0</v>
      </c>
      <c r="I10135" s="24">
        <v>28.0</v>
      </c>
      <c r="J10135" s="24">
        <v>0.0</v>
      </c>
      <c r="K10135" s="23" t="s">
        <v>34</v>
      </c>
      <c r="L10135" s="25">
        <v>40711.68450231481</v>
      </c>
      <c r="M10135" s="28"/>
      <c r="N10135" s="26" t="s">
        <v>21724</v>
      </c>
      <c r="O10135" s="22" t="str">
        <f>HYPERLINK("https://pbs.twimg.com/profile_images/795694641584730113/eTntslQR_normal.jpg","View")</f>
        <v>View</v>
      </c>
      <c r="P10135" s="27"/>
    </row>
    <row r="10136">
      <c r="A10136" s="14">
        <v>43032.19986111111</v>
      </c>
      <c r="B10136" s="20" t="str">
        <f>HYPERLINK("https://twitter.com/JuliaSm45799532","@JuliaSm45799532")</f>
        <v>@JuliaSm45799532</v>
      </c>
      <c r="C10136" s="21" t="s">
        <v>21725</v>
      </c>
      <c r="D10136" s="21" t="s">
        <v>16537</v>
      </c>
      <c r="E10136" s="22" t="str">
        <f>HYPERLINK("https://twitter.com/JuliaSm45799532/status/922791732370079744","922791732370079744")</f>
        <v>922791732370079744</v>
      </c>
      <c r="F10136" s="23" t="s">
        <v>43</v>
      </c>
      <c r="G10136" s="24">
        <v>72.0</v>
      </c>
      <c r="H10136" s="24">
        <v>128.0</v>
      </c>
      <c r="I10136" s="24">
        <v>242.0</v>
      </c>
      <c r="J10136" s="24">
        <v>0.0</v>
      </c>
      <c r="K10136" s="23" t="s">
        <v>34</v>
      </c>
      <c r="L10136" s="25">
        <v>40999.502592592595</v>
      </c>
      <c r="M10136" s="26" t="s">
        <v>7794</v>
      </c>
      <c r="N10136" s="28"/>
      <c r="O10136" s="22" t="str">
        <f>HYPERLINK("https://pbs.twimg.com/profile_images/745128028989095937/dnWG27Hv_normal.jpg","View")</f>
        <v>View</v>
      </c>
      <c r="P10136" s="27"/>
    </row>
    <row r="10137">
      <c r="A10137" s="14">
        <v>43032.2000925926</v>
      </c>
      <c r="B10137" s="20" t="str">
        <f>HYPERLINK("https://twitter.com/BatistaKish_","@BatistaKish_")</f>
        <v>@BatistaKish_</v>
      </c>
      <c r="C10137" s="21" t="s">
        <v>21726</v>
      </c>
      <c r="D10137" s="21" t="s">
        <v>32</v>
      </c>
      <c r="E10137" s="22" t="str">
        <f>HYPERLINK("https://twitter.com/BatistaKish_/status/922791816482533376","922791816482533376")</f>
        <v>922791816482533376</v>
      </c>
      <c r="F10137" s="23" t="s">
        <v>33</v>
      </c>
      <c r="G10137" s="24">
        <v>2708.0</v>
      </c>
      <c r="H10137" s="24">
        <v>1043.0</v>
      </c>
      <c r="I10137" s="24">
        <v>471.0</v>
      </c>
      <c r="J10137" s="24">
        <v>0.0</v>
      </c>
      <c r="K10137" s="23" t="s">
        <v>34</v>
      </c>
      <c r="L10137" s="25">
        <v>41526.19189814815</v>
      </c>
      <c r="M10137" s="28"/>
      <c r="N10137" s="28"/>
      <c r="O10137" s="22" t="str">
        <f>HYPERLINK("https://pbs.twimg.com/profile_images/910562119535521793/lP_XEBSD_normal.jpg","View")</f>
        <v>View</v>
      </c>
      <c r="P10137" s="27"/>
    </row>
    <row r="10138">
      <c r="A10138" s="14">
        <v>43032.20097222222</v>
      </c>
      <c r="B10138" s="20" t="str">
        <f>HYPERLINK("https://twitter.com/rajuparama","@rajuparama")</f>
        <v>@rajuparama</v>
      </c>
      <c r="C10138" s="21" t="s">
        <v>21727</v>
      </c>
      <c r="D10138" s="21" t="s">
        <v>42</v>
      </c>
      <c r="E10138" s="22" t="str">
        <f>HYPERLINK("https://twitter.com/rajuparama/status/922792137770508288","922792137770508288")</f>
        <v>922792137770508288</v>
      </c>
      <c r="F10138" s="23" t="s">
        <v>33</v>
      </c>
      <c r="G10138" s="24">
        <v>31.0</v>
      </c>
      <c r="H10138" s="24">
        <v>107.0</v>
      </c>
      <c r="I10138" s="24">
        <v>8501.0</v>
      </c>
      <c r="J10138" s="24">
        <v>0.0</v>
      </c>
      <c r="K10138" s="23" t="s">
        <v>34</v>
      </c>
      <c r="L10138" s="25">
        <v>40518.30721064815</v>
      </c>
      <c r="M10138" s="26" t="s">
        <v>18723</v>
      </c>
      <c r="N10138" s="26" t="s">
        <v>21728</v>
      </c>
      <c r="O10138" s="22" t="str">
        <f>HYPERLINK("https://pbs.twimg.com/profile_images/921443796503560192/GSObBHvK_normal.jpg","View")</f>
        <v>View</v>
      </c>
      <c r="P10138" s="27"/>
    </row>
    <row r="10139">
      <c r="A10139" s="14">
        <v>43032.201331018514</v>
      </c>
      <c r="B10139" s="20" t="str">
        <f>HYPERLINK("https://twitter.com/MidoMldosadek","@MidoMldosadek")</f>
        <v>@MidoMldosadek</v>
      </c>
      <c r="C10139" s="21" t="s">
        <v>21729</v>
      </c>
      <c r="D10139" s="21" t="s">
        <v>21625</v>
      </c>
      <c r="E10139" s="22" t="str">
        <f>HYPERLINK("https://twitter.com/MidoMldosadek/status/922792266808414209","922792266808414209")</f>
        <v>922792266808414209</v>
      </c>
      <c r="F10139" s="23" t="s">
        <v>33</v>
      </c>
      <c r="G10139" s="24">
        <v>67.0</v>
      </c>
      <c r="H10139" s="24">
        <v>2287.0</v>
      </c>
      <c r="I10139" s="24">
        <v>122.0</v>
      </c>
      <c r="J10139" s="24">
        <v>0.0</v>
      </c>
      <c r="K10139" s="23" t="s">
        <v>34</v>
      </c>
      <c r="L10139" s="25">
        <v>40861.10828703704</v>
      </c>
      <c r="M10139" s="28"/>
      <c r="N10139" s="28"/>
      <c r="O10139" s="22" t="str">
        <f>HYPERLINK("https://pbs.twimg.com/profile_images/763010401718177792/kbcs-VEe_normal.jpg","View")</f>
        <v>View</v>
      </c>
      <c r="P10139" s="27"/>
    </row>
    <row r="10140">
      <c r="A10140" s="14">
        <v>43032.20141203704</v>
      </c>
      <c r="B10140" s="20" t="str">
        <f>HYPERLINK("https://twitter.com/airforground","@airforground")</f>
        <v>@airforground</v>
      </c>
      <c r="C10140" s="21" t="s">
        <v>21730</v>
      </c>
      <c r="D10140" s="21" t="s">
        <v>21731</v>
      </c>
      <c r="E10140" s="22" t="str">
        <f>HYPERLINK("https://twitter.com/airforground/status/922792293232402432","922792293232402432")</f>
        <v>922792293232402432</v>
      </c>
      <c r="F10140" s="23" t="s">
        <v>33</v>
      </c>
      <c r="G10140" s="24">
        <v>309.0</v>
      </c>
      <c r="H10140" s="24">
        <v>496.0</v>
      </c>
      <c r="I10140" s="24">
        <v>1.0</v>
      </c>
      <c r="J10140" s="24">
        <v>0.0</v>
      </c>
      <c r="K10140" s="23" t="s">
        <v>34</v>
      </c>
      <c r="L10140" s="25">
        <v>40127.42385416667</v>
      </c>
      <c r="M10140" s="26" t="s">
        <v>17623</v>
      </c>
      <c r="N10140" s="26" t="s">
        <v>21732</v>
      </c>
      <c r="O10140" s="22" t="str">
        <f>HYPERLINK("https://pbs.twimg.com/profile_images/623914502455623680/XlvWFPHL_normal.jpg","View")</f>
        <v>View</v>
      </c>
      <c r="P10140" s="27"/>
    </row>
    <row r="10141">
      <c r="A10141" s="14">
        <v>43032.20145833334</v>
      </c>
      <c r="B10141" s="20" t="str">
        <f>HYPERLINK("https://twitter.com/iamamity007","@iamamity007")</f>
        <v>@iamamity007</v>
      </c>
      <c r="C10141" s="21" t="s">
        <v>21733</v>
      </c>
      <c r="D10141" s="21" t="s">
        <v>42</v>
      </c>
      <c r="E10141" s="22" t="str">
        <f>HYPERLINK("https://twitter.com/iamamity007/status/922792310936551425","922792310936551425")</f>
        <v>922792310936551425</v>
      </c>
      <c r="F10141" s="23" t="s">
        <v>780</v>
      </c>
      <c r="G10141" s="24">
        <v>657.0</v>
      </c>
      <c r="H10141" s="24">
        <v>4337.0</v>
      </c>
      <c r="I10141" s="24">
        <v>8501.0</v>
      </c>
      <c r="J10141" s="24">
        <v>0.0</v>
      </c>
      <c r="K10141" s="23" t="s">
        <v>34</v>
      </c>
      <c r="L10141" s="25">
        <v>42449.45247685185</v>
      </c>
      <c r="M10141" s="26" t="s">
        <v>21734</v>
      </c>
      <c r="N10141" s="26" t="s">
        <v>21735</v>
      </c>
      <c r="O10141" s="22" t="str">
        <f>HYPERLINK("https://pbs.twimg.com/profile_images/909803127259373569/vhvPcEg0_normal.jpg","View")</f>
        <v>View</v>
      </c>
      <c r="P10141" s="27"/>
    </row>
    <row r="10142">
      <c r="A10142" s="14">
        <v>43032.20170138888</v>
      </c>
      <c r="B10142" s="20" t="str">
        <f>HYPERLINK("https://twitter.com/smith_kessy","@smith_kessy")</f>
        <v>@smith_kessy</v>
      </c>
      <c r="C10142" s="21" t="s">
        <v>21736</v>
      </c>
      <c r="D10142" s="21" t="s">
        <v>21625</v>
      </c>
      <c r="E10142" s="22" t="str">
        <f>HYPERLINK("https://twitter.com/smith_kessy/status/922792401051242497","922792401051242497")</f>
        <v>922792401051242497</v>
      </c>
      <c r="F10142" s="23" t="s">
        <v>230</v>
      </c>
      <c r="G10142" s="24">
        <v>67.0</v>
      </c>
      <c r="H10142" s="24">
        <v>761.0</v>
      </c>
      <c r="I10142" s="24">
        <v>122.0</v>
      </c>
      <c r="J10142" s="24">
        <v>0.0</v>
      </c>
      <c r="K10142" s="23" t="s">
        <v>34</v>
      </c>
      <c r="L10142" s="25">
        <v>43029.72145833333</v>
      </c>
      <c r="M10142" s="28"/>
      <c r="N10142" s="28"/>
      <c r="O10142" s="22" t="str">
        <f>HYPERLINK("https://pbs.twimg.com/profile_images/922450364720402432/RHSPqdl7_normal.jpg","View")</f>
        <v>View</v>
      </c>
      <c r="P10142" s="27"/>
    </row>
    <row r="10143">
      <c r="A10143" s="14">
        <v>43032.20171296297</v>
      </c>
      <c r="B10143" s="20" t="str">
        <f>HYPERLINK("https://twitter.com/MansionKey","@MansionKey")</f>
        <v>@MansionKey</v>
      </c>
      <c r="C10143" s="21" t="s">
        <v>21737</v>
      </c>
      <c r="D10143" s="21" t="s">
        <v>21625</v>
      </c>
      <c r="E10143" s="22" t="str">
        <f>HYPERLINK("https://twitter.com/MansionKey/status/922792403735662592","922792403735662592")</f>
        <v>922792403735662592</v>
      </c>
      <c r="F10143" s="23" t="s">
        <v>14456</v>
      </c>
      <c r="G10143" s="24">
        <v>84.0</v>
      </c>
      <c r="H10143" s="24">
        <v>4213.0</v>
      </c>
      <c r="I10143" s="24">
        <v>122.0</v>
      </c>
      <c r="J10143" s="24">
        <v>0.0</v>
      </c>
      <c r="K10143" s="23" t="s">
        <v>34</v>
      </c>
      <c r="L10143" s="25">
        <v>42819.78474537037</v>
      </c>
      <c r="M10143" s="26" t="s">
        <v>1983</v>
      </c>
      <c r="N10143" s="26" t="s">
        <v>21738</v>
      </c>
      <c r="O10143" s="22" t="str">
        <f>HYPERLINK("https://pbs.twimg.com/profile_images/845826642434019328/kU3gR5lg_normal.jpg","View")</f>
        <v>View</v>
      </c>
      <c r="P10143" s="27"/>
    </row>
    <row r="10144">
      <c r="A10144" s="14">
        <v>43032.20171296297</v>
      </c>
      <c r="B10144" s="20" t="str">
        <f>HYPERLINK("https://twitter.com/Mikemikelol1","@Mikemikelol1")</f>
        <v>@Mikemikelol1</v>
      </c>
      <c r="C10144" s="21" t="s">
        <v>21739</v>
      </c>
      <c r="D10144" s="21" t="s">
        <v>21625</v>
      </c>
      <c r="E10144" s="22" t="str">
        <f>HYPERLINK("https://twitter.com/Mikemikelol1/status/922792403798495232","922792403798495232")</f>
        <v>922792403798495232</v>
      </c>
      <c r="F10144" s="23" t="s">
        <v>14456</v>
      </c>
      <c r="G10144" s="24">
        <v>50.0</v>
      </c>
      <c r="H10144" s="24">
        <v>3527.0</v>
      </c>
      <c r="I10144" s="24">
        <v>122.0</v>
      </c>
      <c r="J10144" s="24">
        <v>0.0</v>
      </c>
      <c r="K10144" s="23" t="s">
        <v>34</v>
      </c>
      <c r="L10144" s="25">
        <v>42836.87278935185</v>
      </c>
      <c r="M10144" s="28"/>
      <c r="N10144" s="28"/>
      <c r="O10144" s="22" t="str">
        <f t="shared" ref="O10144:O10149" si="225">HYPERLINK("https://abs.twimg.com/sticky/default_profile_images/default_profile_normal.png","View")</f>
        <v>View</v>
      </c>
      <c r="P10144" s="27"/>
    </row>
    <row r="10145">
      <c r="A10145" s="14">
        <v>43032.20171296297</v>
      </c>
      <c r="B10145" s="20" t="str">
        <f>HYPERLINK("https://twitter.com/Slimslim221","@Slimslim221")</f>
        <v>@Slimslim221</v>
      </c>
      <c r="C10145" s="21" t="s">
        <v>21740</v>
      </c>
      <c r="D10145" s="21" t="s">
        <v>21625</v>
      </c>
      <c r="E10145" s="22" t="str">
        <f>HYPERLINK("https://twitter.com/Slimslim221/status/922792403894964224","922792403894964224")</f>
        <v>922792403894964224</v>
      </c>
      <c r="F10145" s="23" t="s">
        <v>14456</v>
      </c>
      <c r="G10145" s="24">
        <v>56.0</v>
      </c>
      <c r="H10145" s="24">
        <v>3839.0</v>
      </c>
      <c r="I10145" s="24">
        <v>122.0</v>
      </c>
      <c r="J10145" s="24">
        <v>0.0</v>
      </c>
      <c r="K10145" s="23" t="s">
        <v>34</v>
      </c>
      <c r="L10145" s="25">
        <v>42836.87111111111</v>
      </c>
      <c r="M10145" s="28"/>
      <c r="N10145" s="28"/>
      <c r="O10145" s="22" t="str">
        <f t="shared" si="225"/>
        <v>View</v>
      </c>
      <c r="P10145" s="27"/>
    </row>
    <row r="10146">
      <c r="A10146" s="14">
        <v>43032.20171296297</v>
      </c>
      <c r="B10146" s="20" t="str">
        <f>HYPERLINK("https://twitter.com/Slim68507682","@Slim68507682")</f>
        <v>@Slim68507682</v>
      </c>
      <c r="C10146" s="21" t="s">
        <v>21741</v>
      </c>
      <c r="D10146" s="21" t="s">
        <v>21625</v>
      </c>
      <c r="E10146" s="22" t="str">
        <f>HYPERLINK("https://twitter.com/Slim68507682/status/922792403924406272","922792403924406272")</f>
        <v>922792403924406272</v>
      </c>
      <c r="F10146" s="23" t="s">
        <v>14456</v>
      </c>
      <c r="G10146" s="24">
        <v>55.0</v>
      </c>
      <c r="H10146" s="24">
        <v>3828.0</v>
      </c>
      <c r="I10146" s="24">
        <v>122.0</v>
      </c>
      <c r="J10146" s="24">
        <v>0.0</v>
      </c>
      <c r="K10146" s="23" t="s">
        <v>34</v>
      </c>
      <c r="L10146" s="25">
        <v>42836.87622685185</v>
      </c>
      <c r="M10146" s="28"/>
      <c r="N10146" s="28"/>
      <c r="O10146" s="22" t="str">
        <f t="shared" si="225"/>
        <v>View</v>
      </c>
      <c r="P10146" s="27"/>
    </row>
    <row r="10147">
      <c r="A10147" s="14">
        <v>43032.20171296297</v>
      </c>
      <c r="B10147" s="20" t="str">
        <f>HYPERLINK("https://twitter.com/slimslim1223","@slimslim1223")</f>
        <v>@slimslim1223</v>
      </c>
      <c r="C10147" s="21" t="s">
        <v>21742</v>
      </c>
      <c r="D10147" s="21" t="s">
        <v>21625</v>
      </c>
      <c r="E10147" s="22" t="str">
        <f>HYPERLINK("https://twitter.com/slimslim1223/status/922792403949498368","922792403949498368")</f>
        <v>922792403949498368</v>
      </c>
      <c r="F10147" s="23" t="s">
        <v>14456</v>
      </c>
      <c r="G10147" s="24">
        <v>47.0</v>
      </c>
      <c r="H10147" s="24">
        <v>3518.0</v>
      </c>
      <c r="I10147" s="24">
        <v>122.0</v>
      </c>
      <c r="J10147" s="24">
        <v>0.0</v>
      </c>
      <c r="K10147" s="23" t="s">
        <v>34</v>
      </c>
      <c r="L10147" s="25">
        <v>42836.874930555554</v>
      </c>
      <c r="M10147" s="28"/>
      <c r="N10147" s="28"/>
      <c r="O10147" s="22" t="str">
        <f t="shared" si="225"/>
        <v>View</v>
      </c>
      <c r="P10147" s="27"/>
    </row>
    <row r="10148">
      <c r="A10148" s="14">
        <v>43032.20171296297</v>
      </c>
      <c r="B10148" s="20" t="str">
        <f>HYPERLINK("https://twitter.com/Nicopass1","@Nicopass1")</f>
        <v>@Nicopass1</v>
      </c>
      <c r="C10148" s="21" t="s">
        <v>21743</v>
      </c>
      <c r="D10148" s="21" t="s">
        <v>21625</v>
      </c>
      <c r="E10148" s="22" t="str">
        <f>HYPERLINK("https://twitter.com/Nicopass1/status/922792403974664192","922792403974664192")</f>
        <v>922792403974664192</v>
      </c>
      <c r="F10148" s="23" t="s">
        <v>14456</v>
      </c>
      <c r="G10148" s="24">
        <v>46.0</v>
      </c>
      <c r="H10148" s="24">
        <v>3525.0</v>
      </c>
      <c r="I10148" s="24">
        <v>122.0</v>
      </c>
      <c r="J10148" s="24">
        <v>0.0</v>
      </c>
      <c r="K10148" s="23" t="s">
        <v>34</v>
      </c>
      <c r="L10148" s="25">
        <v>42836.87190972222</v>
      </c>
      <c r="M10148" s="28"/>
      <c r="N10148" s="28"/>
      <c r="O10148" s="22" t="str">
        <f t="shared" si="225"/>
        <v>View</v>
      </c>
      <c r="P10148" s="27"/>
    </row>
    <row r="10149">
      <c r="A10149" s="14">
        <v>43032.20171296297</v>
      </c>
      <c r="B10149" s="20" t="str">
        <f>HYPERLINK("https://twitter.com/IDuNtunfoLLoW","@IDuNtunfoLLoW")</f>
        <v>@IDuNtunfoLLoW</v>
      </c>
      <c r="C10149" s="21" t="s">
        <v>20399</v>
      </c>
      <c r="D10149" s="21" t="s">
        <v>21625</v>
      </c>
      <c r="E10149" s="22" t="str">
        <f>HYPERLINK("https://twitter.com/IDuNtunfoLLoW/status/922792405266501633","922792405266501633")</f>
        <v>922792405266501633</v>
      </c>
      <c r="F10149" s="23" t="s">
        <v>14456</v>
      </c>
      <c r="G10149" s="24">
        <v>41.0</v>
      </c>
      <c r="H10149" s="24">
        <v>4998.0</v>
      </c>
      <c r="I10149" s="24">
        <v>122.0</v>
      </c>
      <c r="J10149" s="24">
        <v>0.0</v>
      </c>
      <c r="K10149" s="23" t="s">
        <v>34</v>
      </c>
      <c r="L10149" s="25">
        <v>43004.62409722222</v>
      </c>
      <c r="M10149" s="28"/>
      <c r="N10149" s="28"/>
      <c r="O10149" s="22" t="str">
        <f t="shared" si="225"/>
        <v>View</v>
      </c>
      <c r="P10149" s="27"/>
    </row>
    <row r="10150">
      <c r="A10150" s="14">
        <v>43032.20172453704</v>
      </c>
      <c r="B10150" s="20" t="str">
        <f>HYPERLINK("https://twitter.com/comumgay","@comumgay")</f>
        <v>@comumgay</v>
      </c>
      <c r="C10150" s="21" t="s">
        <v>21744</v>
      </c>
      <c r="D10150" s="21" t="s">
        <v>21625</v>
      </c>
      <c r="E10150" s="22" t="str">
        <f>HYPERLINK("https://twitter.com/comumgay/status/922792407959244801","922792407959244801")</f>
        <v>922792407959244801</v>
      </c>
      <c r="F10150" s="23" t="s">
        <v>230</v>
      </c>
      <c r="G10150" s="24">
        <v>204.0</v>
      </c>
      <c r="H10150" s="24">
        <v>892.0</v>
      </c>
      <c r="I10150" s="24">
        <v>122.0</v>
      </c>
      <c r="J10150" s="24">
        <v>0.0</v>
      </c>
      <c r="K10150" s="23" t="s">
        <v>34</v>
      </c>
      <c r="L10150" s="25">
        <v>42981.83534722222</v>
      </c>
      <c r="M10150" s="26" t="s">
        <v>21745</v>
      </c>
      <c r="N10150" s="28"/>
      <c r="O10150" s="22" t="str">
        <f>HYPERLINK("https://pbs.twimg.com/profile_images/922690287922802689/XbOnWK33_normal.jpg","View")</f>
        <v>View</v>
      </c>
      <c r="P10150" s="27"/>
    </row>
    <row r="10151">
      <c r="A10151" s="14">
        <v>43032.20172453704</v>
      </c>
      <c r="B10151" s="20" t="str">
        <f>HYPERLINK("https://twitter.com/kona1314","@kona1314")</f>
        <v>@kona1314</v>
      </c>
      <c r="C10151" s="21" t="s">
        <v>21746</v>
      </c>
      <c r="D10151" s="21" t="s">
        <v>21625</v>
      </c>
      <c r="E10151" s="22" t="str">
        <f>HYPERLINK("https://twitter.com/kona1314/status/922792409406177286","922792409406177286")</f>
        <v>922792409406177286</v>
      </c>
      <c r="F10151" s="23" t="s">
        <v>230</v>
      </c>
      <c r="G10151" s="24">
        <v>8.0</v>
      </c>
      <c r="H10151" s="24">
        <v>927.0</v>
      </c>
      <c r="I10151" s="24">
        <v>122.0</v>
      </c>
      <c r="J10151" s="24">
        <v>0.0</v>
      </c>
      <c r="K10151" s="23" t="s">
        <v>34</v>
      </c>
      <c r="L10151" s="25">
        <v>43031.99967592592</v>
      </c>
      <c r="M10151" s="28"/>
      <c r="N10151" s="28"/>
      <c r="O10151" s="22" t="str">
        <f t="shared" ref="O10151:O10155" si="226">HYPERLINK("https://abs.twimg.com/sticky/default_profile_images/default_profile_normal.png","View")</f>
        <v>View</v>
      </c>
      <c r="P10151" s="27"/>
    </row>
    <row r="10152">
      <c r="A10152" s="14">
        <v>43032.20172453704</v>
      </c>
      <c r="B10152" s="20" t="str">
        <f>HYPERLINK("https://twitter.com/bilbo1314","@bilbo1314")</f>
        <v>@bilbo1314</v>
      </c>
      <c r="C10152" s="21" t="s">
        <v>21747</v>
      </c>
      <c r="D10152" s="21" t="s">
        <v>21625</v>
      </c>
      <c r="E10152" s="22" t="str">
        <f>HYPERLINK("https://twitter.com/bilbo1314/status/922792409406193665","922792409406193665")</f>
        <v>922792409406193665</v>
      </c>
      <c r="F10152" s="23" t="s">
        <v>230</v>
      </c>
      <c r="G10152" s="24">
        <v>6.0</v>
      </c>
      <c r="H10152" s="24">
        <v>913.0</v>
      </c>
      <c r="I10152" s="24">
        <v>122.0</v>
      </c>
      <c r="J10152" s="24">
        <v>0.0</v>
      </c>
      <c r="K10152" s="23" t="s">
        <v>34</v>
      </c>
      <c r="L10152" s="25">
        <v>43031.99427083333</v>
      </c>
      <c r="M10152" s="28"/>
      <c r="N10152" s="28"/>
      <c r="O10152" s="22" t="str">
        <f t="shared" si="226"/>
        <v>View</v>
      </c>
      <c r="P10152" s="27"/>
    </row>
    <row r="10153">
      <c r="A10153" s="14">
        <v>43032.20172453704</v>
      </c>
      <c r="B10153" s="20" t="str">
        <f>HYPERLINK("https://twitter.com/kyle_cheever","@kyle_cheever")</f>
        <v>@kyle_cheever</v>
      </c>
      <c r="C10153" s="21" t="s">
        <v>21748</v>
      </c>
      <c r="D10153" s="21" t="s">
        <v>21625</v>
      </c>
      <c r="E10153" s="22" t="str">
        <f>HYPERLINK("https://twitter.com/kyle_cheever/status/922792409410310144","922792409410310144")</f>
        <v>922792409410310144</v>
      </c>
      <c r="F10153" s="23" t="s">
        <v>230</v>
      </c>
      <c r="G10153" s="24">
        <v>39.0</v>
      </c>
      <c r="H10153" s="24">
        <v>1057.0</v>
      </c>
      <c r="I10153" s="24">
        <v>122.0</v>
      </c>
      <c r="J10153" s="24">
        <v>0.0</v>
      </c>
      <c r="K10153" s="23" t="s">
        <v>34</v>
      </c>
      <c r="L10153" s="25">
        <v>41961.7872800926</v>
      </c>
      <c r="M10153" s="26" t="s">
        <v>21749</v>
      </c>
      <c r="N10153" s="26" t="s">
        <v>21750</v>
      </c>
      <c r="O10153" s="22" t="str">
        <f t="shared" si="226"/>
        <v>View</v>
      </c>
      <c r="P10153" s="27"/>
    </row>
    <row r="10154">
      <c r="A10154" s="14">
        <v>43032.20172453704</v>
      </c>
      <c r="B10154" s="20" t="str">
        <f>HYPERLINK("https://twitter.com/jokey1315","@jokey1315")</f>
        <v>@jokey1315</v>
      </c>
      <c r="C10154" s="21" t="s">
        <v>21751</v>
      </c>
      <c r="D10154" s="21" t="s">
        <v>21625</v>
      </c>
      <c r="E10154" s="22" t="str">
        <f>HYPERLINK("https://twitter.com/jokey1315/status/922792409410318336","922792409410318336")</f>
        <v>922792409410318336</v>
      </c>
      <c r="F10154" s="23" t="s">
        <v>230</v>
      </c>
      <c r="G10154" s="24">
        <v>5.0</v>
      </c>
      <c r="H10154" s="24">
        <v>769.0</v>
      </c>
      <c r="I10154" s="24">
        <v>122.0</v>
      </c>
      <c r="J10154" s="24">
        <v>0.0</v>
      </c>
      <c r="K10154" s="23" t="s">
        <v>34</v>
      </c>
      <c r="L10154" s="25">
        <v>43032.0906712963</v>
      </c>
      <c r="M10154" s="28"/>
      <c r="N10154" s="28"/>
      <c r="O10154" s="22" t="str">
        <f t="shared" si="226"/>
        <v>View</v>
      </c>
      <c r="P10154" s="27"/>
    </row>
    <row r="10155">
      <c r="A10155" s="14">
        <v>43032.20172453704</v>
      </c>
      <c r="B10155" s="20" t="str">
        <f>HYPERLINK("https://twitter.com/killy1315","@killy1315")</f>
        <v>@killy1315</v>
      </c>
      <c r="C10155" s="21" t="s">
        <v>21752</v>
      </c>
      <c r="D10155" s="21" t="s">
        <v>21625</v>
      </c>
      <c r="E10155" s="22" t="str">
        <f>HYPERLINK("https://twitter.com/killy1315/status/922792409414561793","922792409414561793")</f>
        <v>922792409414561793</v>
      </c>
      <c r="F10155" s="23" t="s">
        <v>230</v>
      </c>
      <c r="G10155" s="24">
        <v>6.0</v>
      </c>
      <c r="H10155" s="24">
        <v>767.0</v>
      </c>
      <c r="I10155" s="24">
        <v>122.0</v>
      </c>
      <c r="J10155" s="24">
        <v>0.0</v>
      </c>
      <c r="K10155" s="23" t="s">
        <v>34</v>
      </c>
      <c r="L10155" s="25">
        <v>43032.09243055555</v>
      </c>
      <c r="M10155" s="28"/>
      <c r="N10155" s="28"/>
      <c r="O10155" s="22" t="str">
        <f t="shared" si="226"/>
        <v>View</v>
      </c>
      <c r="P10155" s="27"/>
    </row>
    <row r="10156">
      <c r="A10156" s="14">
        <v>43032.20172453704</v>
      </c>
      <c r="B10156" s="20" t="str">
        <f>HYPERLINK("https://twitter.com/kyooolz","@kyooolz")</f>
        <v>@kyooolz</v>
      </c>
      <c r="C10156" s="21" t="s">
        <v>21753</v>
      </c>
      <c r="D10156" s="21" t="s">
        <v>21625</v>
      </c>
      <c r="E10156" s="22" t="str">
        <f>HYPERLINK("https://twitter.com/kyooolz/status/922792409448177664","922792409448177664")</f>
        <v>922792409448177664</v>
      </c>
      <c r="F10156" s="23" t="s">
        <v>230</v>
      </c>
      <c r="G10156" s="24">
        <v>47.0</v>
      </c>
      <c r="H10156" s="24">
        <v>1075.0</v>
      </c>
      <c r="I10156" s="24">
        <v>122.0</v>
      </c>
      <c r="J10156" s="24">
        <v>0.0</v>
      </c>
      <c r="K10156" s="23" t="s">
        <v>34</v>
      </c>
      <c r="L10156" s="25">
        <v>42051.91546296296</v>
      </c>
      <c r="M10156" s="26" t="s">
        <v>14200</v>
      </c>
      <c r="N10156" s="28"/>
      <c r="O10156" s="22" t="str">
        <f>HYPERLINK("https://pbs.twimg.com/profile_images/845872720931778561/aKHCTxVF_normal.jpg","View")</f>
        <v>View</v>
      </c>
      <c r="P10156" s="27"/>
    </row>
    <row r="10157">
      <c r="A10157" s="14">
        <v>43032.20172453704</v>
      </c>
      <c r="B10157" s="20" t="str">
        <f>HYPERLINK("https://twitter.com/boobs1314","@boobs1314")</f>
        <v>@boobs1314</v>
      </c>
      <c r="C10157" s="21" t="s">
        <v>21754</v>
      </c>
      <c r="D10157" s="21" t="s">
        <v>21625</v>
      </c>
      <c r="E10157" s="22" t="str">
        <f>HYPERLINK("https://twitter.com/boobs1314/status/922792409502597120","922792409502597120")</f>
        <v>922792409502597120</v>
      </c>
      <c r="F10157" s="23" t="s">
        <v>230</v>
      </c>
      <c r="G10157" s="24">
        <v>9.0</v>
      </c>
      <c r="H10157" s="24">
        <v>918.0</v>
      </c>
      <c r="I10157" s="24">
        <v>122.0</v>
      </c>
      <c r="J10157" s="24">
        <v>0.0</v>
      </c>
      <c r="K10157" s="23" t="s">
        <v>34</v>
      </c>
      <c r="L10157" s="25">
        <v>43031.99193287037</v>
      </c>
      <c r="M10157" s="28"/>
      <c r="N10157" s="28"/>
      <c r="O10157" s="22" t="str">
        <f>HYPERLINK("https://abs.twimg.com/sticky/default_profile_images/default_profile_normal.png","View")</f>
        <v>View</v>
      </c>
      <c r="P10157" s="27"/>
    </row>
    <row r="10158">
      <c r="A10158" s="14">
        <v>43032.20172453704</v>
      </c>
      <c r="B10158" s="20" t="str">
        <f>HYPERLINK("https://twitter.com/211Samia","@211Samia")</f>
        <v>@211Samia</v>
      </c>
      <c r="C10158" s="21" t="s">
        <v>21755</v>
      </c>
      <c r="D10158" s="21" t="s">
        <v>21625</v>
      </c>
      <c r="E10158" s="22" t="str">
        <f>HYPERLINK("https://twitter.com/211Samia/status/922792410522046464","922792410522046464")</f>
        <v>922792410522046464</v>
      </c>
      <c r="F10158" s="23" t="s">
        <v>230</v>
      </c>
      <c r="G10158" s="24">
        <v>10.0</v>
      </c>
      <c r="H10158" s="24">
        <v>604.0</v>
      </c>
      <c r="I10158" s="24">
        <v>122.0</v>
      </c>
      <c r="J10158" s="24">
        <v>0.0</v>
      </c>
      <c r="K10158" s="23" t="s">
        <v>34</v>
      </c>
      <c r="L10158" s="25">
        <v>42964.834965277776</v>
      </c>
      <c r="M10158" s="26" t="s">
        <v>1250</v>
      </c>
      <c r="N10158" s="28"/>
      <c r="O10158" s="22" t="str">
        <f>HYPERLINK("https://pbs.twimg.com/profile_images/898380030631432192/OTlXCkxa_normal.jpg","View")</f>
        <v>View</v>
      </c>
      <c r="P10158" s="27"/>
    </row>
    <row r="10159">
      <c r="A10159" s="14">
        <v>43032.20172453704</v>
      </c>
      <c r="B10159" s="20" t="str">
        <f>HYPERLINK("https://twitter.com/18iherb18","@18iherb18")</f>
        <v>@18iherb18</v>
      </c>
      <c r="C10159" s="21" t="s">
        <v>21756</v>
      </c>
      <c r="D10159" s="21" t="s">
        <v>21625</v>
      </c>
      <c r="E10159" s="22" t="str">
        <f>HYPERLINK("https://twitter.com/18iherb18/status/922792410534510592","922792410534510592")</f>
        <v>922792410534510592</v>
      </c>
      <c r="F10159" s="23" t="s">
        <v>230</v>
      </c>
      <c r="G10159" s="24">
        <v>50.0</v>
      </c>
      <c r="H10159" s="24">
        <v>622.0</v>
      </c>
      <c r="I10159" s="24">
        <v>122.0</v>
      </c>
      <c r="J10159" s="24">
        <v>0.0</v>
      </c>
      <c r="K10159" s="23" t="s">
        <v>34</v>
      </c>
      <c r="L10159" s="25">
        <v>42659.29304398148</v>
      </c>
      <c r="M10159" s="26" t="s">
        <v>68</v>
      </c>
      <c r="N10159" s="28"/>
      <c r="O10159" s="22" t="str">
        <f>HYPERLINK("https://pbs.twimg.com/profile_images/915730425267572736/JE9P_tiE_normal.jpg","View")</f>
        <v>View</v>
      </c>
      <c r="P10159" s="27"/>
    </row>
    <row r="10160">
      <c r="A10160" s="14">
        <v>43032.20172453704</v>
      </c>
      <c r="B10160" s="20" t="str">
        <f>HYPERLINK("https://twitter.com/4000miss","@4000miss")</f>
        <v>@4000miss</v>
      </c>
      <c r="C10160" s="31" t="s">
        <v>21757</v>
      </c>
      <c r="D10160" s="21" t="s">
        <v>21625</v>
      </c>
      <c r="E10160" s="22" t="str">
        <f>HYPERLINK("https://twitter.com/4000miss/status/922792410534547456","922792410534547456")</f>
        <v>922792410534547456</v>
      </c>
      <c r="F10160" s="23" t="s">
        <v>230</v>
      </c>
      <c r="G10160" s="24">
        <v>17.0</v>
      </c>
      <c r="H10160" s="24">
        <v>838.0</v>
      </c>
      <c r="I10160" s="24">
        <v>122.0</v>
      </c>
      <c r="J10160" s="24">
        <v>0.0</v>
      </c>
      <c r="K10160" s="23" t="s">
        <v>34</v>
      </c>
      <c r="L10160" s="25">
        <v>42991.17159722222</v>
      </c>
      <c r="M10160" s="32" t="s">
        <v>21758</v>
      </c>
      <c r="N10160" s="28"/>
      <c r="O10160" s="22" t="str">
        <f>HYPERLINK("https://pbs.twimg.com/profile_images/907923921122594816/EVTt8dVM_normal.jpg","View")</f>
        <v>View</v>
      </c>
      <c r="P10160" s="27"/>
    </row>
    <row r="10161">
      <c r="A10161" s="14">
        <v>43032.20172453704</v>
      </c>
      <c r="B10161" s="20" t="str">
        <f>HYPERLINK("https://twitter.com/Yahya7370","@Yahya7370")</f>
        <v>@Yahya7370</v>
      </c>
      <c r="C10161" s="21" t="s">
        <v>21759</v>
      </c>
      <c r="D10161" s="21" t="s">
        <v>21625</v>
      </c>
      <c r="E10161" s="22" t="str">
        <f>HYPERLINK("https://twitter.com/Yahya7370/status/922792410547212289","922792410547212289")</f>
        <v>922792410547212289</v>
      </c>
      <c r="F10161" s="23" t="s">
        <v>230</v>
      </c>
      <c r="G10161" s="24">
        <v>8.0</v>
      </c>
      <c r="H10161" s="24">
        <v>650.0</v>
      </c>
      <c r="I10161" s="24">
        <v>122.0</v>
      </c>
      <c r="J10161" s="24">
        <v>0.0</v>
      </c>
      <c r="K10161" s="23" t="s">
        <v>34</v>
      </c>
      <c r="L10161" s="25">
        <v>43022.41743055556</v>
      </c>
      <c r="M10161" s="32" t="s">
        <v>21760</v>
      </c>
      <c r="N10161" s="32" t="s">
        <v>21761</v>
      </c>
      <c r="O10161" s="22" t="str">
        <f>HYPERLINK("https://pbs.twimg.com/profile_images/919247061182304257/to0bnmEv_normal.jpg","View")</f>
        <v>View</v>
      </c>
      <c r="P10161" s="27"/>
    </row>
    <row r="10162">
      <c r="A10162" s="14">
        <v>43032.20172453704</v>
      </c>
      <c r="B10162" s="20" t="str">
        <f>HYPERLINK("https://twitter.com/Monte999Hat","@Monte999Hat")</f>
        <v>@Monte999Hat</v>
      </c>
      <c r="C10162" s="21" t="s">
        <v>21762</v>
      </c>
      <c r="D10162" s="21" t="s">
        <v>21625</v>
      </c>
      <c r="E10162" s="22" t="str">
        <f>HYPERLINK("https://twitter.com/Monte999Hat/status/922792410551345154","922792410551345154")</f>
        <v>922792410551345154</v>
      </c>
      <c r="F10162" s="23" t="s">
        <v>230</v>
      </c>
      <c r="G10162" s="24">
        <v>14.0</v>
      </c>
      <c r="H10162" s="24">
        <v>636.0</v>
      </c>
      <c r="I10162" s="24">
        <v>122.0</v>
      </c>
      <c r="J10162" s="24">
        <v>0.0</v>
      </c>
      <c r="K10162" s="23" t="s">
        <v>34</v>
      </c>
      <c r="L10162" s="25">
        <v>42947.32287037037</v>
      </c>
      <c r="M10162" s="28"/>
      <c r="N10162" s="28"/>
      <c r="O10162" s="22" t="str">
        <f>HYPERLINK("https://pbs.twimg.com/profile_images/892033677806514176/MemHoynJ_normal.jpg","View")</f>
        <v>View</v>
      </c>
      <c r="P10162" s="27"/>
    </row>
    <row r="10163">
      <c r="A10163" s="14">
        <v>43032.20172453704</v>
      </c>
      <c r="B10163" s="20" t="str">
        <f>HYPERLINK("https://twitter.com/200lora","@200lora")</f>
        <v>@200lora</v>
      </c>
      <c r="C10163" s="21" t="s">
        <v>21763</v>
      </c>
      <c r="D10163" s="21" t="s">
        <v>21625</v>
      </c>
      <c r="E10163" s="22" t="str">
        <f>HYPERLINK("https://twitter.com/200lora/status/922792410551373824","922792410551373824")</f>
        <v>922792410551373824</v>
      </c>
      <c r="F10163" s="23" t="s">
        <v>230</v>
      </c>
      <c r="G10163" s="24">
        <v>12.0</v>
      </c>
      <c r="H10163" s="24">
        <v>699.0</v>
      </c>
      <c r="I10163" s="24">
        <v>122.0</v>
      </c>
      <c r="J10163" s="24">
        <v>0.0</v>
      </c>
      <c r="K10163" s="23" t="s">
        <v>34</v>
      </c>
      <c r="L10163" s="25">
        <v>42958.048692129625</v>
      </c>
      <c r="M10163" s="26" t="s">
        <v>21764</v>
      </c>
      <c r="N10163" s="28"/>
      <c r="O10163" s="22" t="str">
        <f>HYPERLINK("https://pbs.twimg.com/profile_images/895920891619573761/jS9Wn6CV_normal.jpg","View")</f>
        <v>View</v>
      </c>
      <c r="P10163" s="27"/>
    </row>
    <row r="10164">
      <c r="A10164" s="14">
        <v>43032.20172453704</v>
      </c>
      <c r="B10164" s="20" t="str">
        <f>HYPERLINK("https://twitter.com/Iherb18","@Iherb18")</f>
        <v>@Iherb18</v>
      </c>
      <c r="C10164" s="21" t="s">
        <v>1279</v>
      </c>
      <c r="D10164" s="21" t="s">
        <v>21625</v>
      </c>
      <c r="E10164" s="22" t="str">
        <f>HYPERLINK("https://twitter.com/Iherb18/status/922792410555576322","922792410555576322")</f>
        <v>922792410555576322</v>
      </c>
      <c r="F10164" s="23" t="s">
        <v>230</v>
      </c>
      <c r="G10164" s="24">
        <v>29.0</v>
      </c>
      <c r="H10164" s="24">
        <v>653.0</v>
      </c>
      <c r="I10164" s="24">
        <v>122.0</v>
      </c>
      <c r="J10164" s="24">
        <v>0.0</v>
      </c>
      <c r="K10164" s="23" t="s">
        <v>34</v>
      </c>
      <c r="L10164" s="25">
        <v>42659.236562499995</v>
      </c>
      <c r="M10164" s="26" t="s">
        <v>1250</v>
      </c>
      <c r="N10164" s="26" t="s">
        <v>21765</v>
      </c>
      <c r="O10164" s="22" t="str">
        <f>HYPERLINK("https://pbs.twimg.com/profile_images/787652159617830912/IIy6FkP7_normal.jpg","View")</f>
        <v>View</v>
      </c>
      <c r="P10164" s="27"/>
    </row>
    <row r="10165">
      <c r="A10165" s="14">
        <v>43032.20172453704</v>
      </c>
      <c r="B10165" s="20" t="str">
        <f>HYPERLINK("https://twitter.com/Lamia980o","@Lamia980o")</f>
        <v>@Lamia980o</v>
      </c>
      <c r="C10165" s="21" t="s">
        <v>21766</v>
      </c>
      <c r="D10165" s="21" t="s">
        <v>21625</v>
      </c>
      <c r="E10165" s="22" t="str">
        <f>HYPERLINK("https://twitter.com/Lamia980o/status/922792410563870720","922792410563870720")</f>
        <v>922792410563870720</v>
      </c>
      <c r="F10165" s="23" t="s">
        <v>230</v>
      </c>
      <c r="G10165" s="24">
        <v>13.0</v>
      </c>
      <c r="H10165" s="24">
        <v>665.0</v>
      </c>
      <c r="I10165" s="24">
        <v>122.0</v>
      </c>
      <c r="J10165" s="24">
        <v>0.0</v>
      </c>
      <c r="K10165" s="23" t="s">
        <v>34</v>
      </c>
      <c r="L10165" s="25">
        <v>42983.177569444444</v>
      </c>
      <c r="M10165" s="28"/>
      <c r="N10165" s="28"/>
      <c r="O10165" s="22" t="str">
        <f>HYPERLINK("https://pbs.twimg.com/profile_images/905296240702828545/bPELJM-K_normal.jpg","View")</f>
        <v>View</v>
      </c>
      <c r="P10165" s="27"/>
    </row>
    <row r="10166">
      <c r="A10166" s="14">
        <v>43032.20172453704</v>
      </c>
      <c r="B10166" s="20" t="str">
        <f>HYPERLINK("https://twitter.com/Bassam9191","@Bassam9191")</f>
        <v>@Bassam9191</v>
      </c>
      <c r="C10166" s="21" t="s">
        <v>21767</v>
      </c>
      <c r="D10166" s="21" t="s">
        <v>21625</v>
      </c>
      <c r="E10166" s="22" t="str">
        <f>HYPERLINK("https://twitter.com/Bassam9191/status/922792410576556032","922792410576556032")</f>
        <v>922792410576556032</v>
      </c>
      <c r="F10166" s="23" t="s">
        <v>230</v>
      </c>
      <c r="G10166" s="24">
        <v>4.0</v>
      </c>
      <c r="H10166" s="24">
        <v>637.0</v>
      </c>
      <c r="I10166" s="24">
        <v>122.0</v>
      </c>
      <c r="J10166" s="24">
        <v>0.0</v>
      </c>
      <c r="K10166" s="23" t="s">
        <v>34</v>
      </c>
      <c r="L10166" s="25">
        <v>43022.41083333333</v>
      </c>
      <c r="M10166" s="32" t="s">
        <v>1889</v>
      </c>
      <c r="N10166" s="32" t="s">
        <v>21768</v>
      </c>
      <c r="O10166" s="22" t="str">
        <f>HYPERLINK("https://pbs.twimg.com/profile_images/919244899253399553/iDLkHDTS_normal.jpg","View")</f>
        <v>View</v>
      </c>
      <c r="P10166" s="27"/>
    </row>
    <row r="10167">
      <c r="A10167" s="14">
        <v>43032.20172453704</v>
      </c>
      <c r="B10167" s="20" t="str">
        <f>HYPERLINK("https://twitter.com/7711Salem","@7711Salem")</f>
        <v>@7711Salem</v>
      </c>
      <c r="C10167" s="21" t="s">
        <v>21769</v>
      </c>
      <c r="D10167" s="21" t="s">
        <v>21625</v>
      </c>
      <c r="E10167" s="22" t="str">
        <f>HYPERLINK("https://twitter.com/7711Salem/status/922792410589155328","922792410589155328")</f>
        <v>922792410589155328</v>
      </c>
      <c r="F10167" s="23" t="s">
        <v>230</v>
      </c>
      <c r="G10167" s="24">
        <v>17.0</v>
      </c>
      <c r="H10167" s="24">
        <v>722.0</v>
      </c>
      <c r="I10167" s="24">
        <v>122.0</v>
      </c>
      <c r="J10167" s="24">
        <v>0.0</v>
      </c>
      <c r="K10167" s="23" t="s">
        <v>34</v>
      </c>
      <c r="L10167" s="25">
        <v>42973.67768518519</v>
      </c>
      <c r="M10167" s="28"/>
      <c r="N10167" s="28"/>
      <c r="O10167" s="22" t="str">
        <f>HYPERLINK("https://pbs.twimg.com/profile_images/901584350923419648/1M_APBJZ_normal.jpg","View")</f>
        <v>View</v>
      </c>
      <c r="P10167" s="27"/>
    </row>
    <row r="10168">
      <c r="A10168" s="14">
        <v>43032.20173611111</v>
      </c>
      <c r="B10168" s="20" t="str">
        <f>HYPERLINK("https://twitter.com/210Majeed","@210Majeed")</f>
        <v>@210Majeed</v>
      </c>
      <c r="C10168" s="21" t="s">
        <v>21770</v>
      </c>
      <c r="D10168" s="21" t="s">
        <v>21625</v>
      </c>
      <c r="E10168" s="22" t="str">
        <f>HYPERLINK("https://twitter.com/210Majeed/status/922792410622685185","922792410622685185")</f>
        <v>922792410622685185</v>
      </c>
      <c r="F10168" s="23" t="s">
        <v>230</v>
      </c>
      <c r="G10168" s="24">
        <v>21.0</v>
      </c>
      <c r="H10168" s="24">
        <v>592.0</v>
      </c>
      <c r="I10168" s="24">
        <v>122.0</v>
      </c>
      <c r="J10168" s="24">
        <v>0.0</v>
      </c>
      <c r="K10168" s="23" t="s">
        <v>34</v>
      </c>
      <c r="L10168" s="25">
        <v>42964.83840277778</v>
      </c>
      <c r="M10168" s="26" t="s">
        <v>40</v>
      </c>
      <c r="N10168" s="26" t="s">
        <v>21771</v>
      </c>
      <c r="O10168" s="22" t="str">
        <f>HYPERLINK("https://pbs.twimg.com/profile_images/898381141534814210/rOAo8ymf_normal.jpg","View")</f>
        <v>View</v>
      </c>
      <c r="P10168" s="27"/>
    </row>
    <row r="10169">
      <c r="A10169" s="14">
        <v>43032.20173611111</v>
      </c>
      <c r="B10169" s="20" t="str">
        <f>HYPERLINK("https://twitter.com/3400nowal","@3400nowal")</f>
        <v>@3400nowal</v>
      </c>
      <c r="C10169" s="31" t="s">
        <v>21772</v>
      </c>
      <c r="D10169" s="21" t="s">
        <v>21625</v>
      </c>
      <c r="E10169" s="22" t="str">
        <f>HYPERLINK("https://twitter.com/3400nowal/status/922792410631102469","922792410631102469")</f>
        <v>922792410631102469</v>
      </c>
      <c r="F10169" s="23" t="s">
        <v>230</v>
      </c>
      <c r="G10169" s="24">
        <v>19.0</v>
      </c>
      <c r="H10169" s="24">
        <v>623.0</v>
      </c>
      <c r="I10169" s="24">
        <v>122.0</v>
      </c>
      <c r="J10169" s="24">
        <v>0.0</v>
      </c>
      <c r="K10169" s="23" t="s">
        <v>34</v>
      </c>
      <c r="L10169" s="25">
        <v>42991.17681712963</v>
      </c>
      <c r="M10169" s="32" t="s">
        <v>21773</v>
      </c>
      <c r="N10169" s="28"/>
      <c r="O10169" s="22" t="str">
        <f>HYPERLINK("https://pbs.twimg.com/profile_images/907925771993436160/NM9x5Dyk_normal.jpg","View")</f>
        <v>View</v>
      </c>
      <c r="P10169" s="27"/>
    </row>
    <row r="10170">
      <c r="A10170" s="14">
        <v>43032.20173611111</v>
      </c>
      <c r="B10170" s="20" t="str">
        <f>HYPERLINK("https://twitter.com/603Hasan","@603Hasan")</f>
        <v>@603Hasan</v>
      </c>
      <c r="C10170" s="21" t="s">
        <v>21774</v>
      </c>
      <c r="D10170" s="21" t="s">
        <v>21625</v>
      </c>
      <c r="E10170" s="22" t="str">
        <f>HYPERLINK("https://twitter.com/603Hasan/status/922792410635173888","922792410635173888")</f>
        <v>922792410635173888</v>
      </c>
      <c r="F10170" s="23" t="s">
        <v>230</v>
      </c>
      <c r="G10170" s="24">
        <v>11.0</v>
      </c>
      <c r="H10170" s="24">
        <v>601.0</v>
      </c>
      <c r="I10170" s="24">
        <v>122.0</v>
      </c>
      <c r="J10170" s="24">
        <v>0.0</v>
      </c>
      <c r="K10170" s="23" t="s">
        <v>34</v>
      </c>
      <c r="L10170" s="25">
        <v>42964.84525462963</v>
      </c>
      <c r="M10170" s="32" t="s">
        <v>21773</v>
      </c>
      <c r="N10170" s="32" t="s">
        <v>21775</v>
      </c>
      <c r="O10170" s="22" t="str">
        <f>HYPERLINK("https://pbs.twimg.com/profile_images/898383826556211205/OAizkxo3_normal.jpg","View")</f>
        <v>View</v>
      </c>
      <c r="P10170" s="27"/>
    </row>
    <row r="10171">
      <c r="A10171" s="14">
        <v>43032.20173611111</v>
      </c>
      <c r="B10171" s="20" t="str">
        <f>HYPERLINK("https://twitter.com/190Liam","@190Liam")</f>
        <v>@190Liam</v>
      </c>
      <c r="C10171" s="21" t="s">
        <v>21776</v>
      </c>
      <c r="D10171" s="21" t="s">
        <v>21625</v>
      </c>
      <c r="E10171" s="22" t="str">
        <f>HYPERLINK("https://twitter.com/190Liam/status/922792410639462405","922792410639462405")</f>
        <v>922792410639462405</v>
      </c>
      <c r="F10171" s="23" t="s">
        <v>230</v>
      </c>
      <c r="G10171" s="24">
        <v>13.0</v>
      </c>
      <c r="H10171" s="24">
        <v>648.0</v>
      </c>
      <c r="I10171" s="24">
        <v>122.0</v>
      </c>
      <c r="J10171" s="24">
        <v>0.0</v>
      </c>
      <c r="K10171" s="23" t="s">
        <v>34</v>
      </c>
      <c r="L10171" s="25">
        <v>42958.044756944444</v>
      </c>
      <c r="M10171" s="26" t="s">
        <v>1250</v>
      </c>
      <c r="N10171" s="28"/>
      <c r="O10171" s="22" t="str">
        <f>HYPERLINK("https://pbs.twimg.com/profile_images/895919650952929280/aZkxLCCq_normal.jpg","View")</f>
        <v>View</v>
      </c>
      <c r="P10171" s="27"/>
    </row>
    <row r="10172">
      <c r="A10172" s="14">
        <v>43032.20173611111</v>
      </c>
      <c r="B10172" s="20" t="str">
        <f>HYPERLINK("https://twitter.com/3421kalid","@3421kalid")</f>
        <v>@3421kalid</v>
      </c>
      <c r="C10172" s="31" t="s">
        <v>21777</v>
      </c>
      <c r="D10172" s="21" t="s">
        <v>21625</v>
      </c>
      <c r="E10172" s="22" t="str">
        <f>HYPERLINK("https://twitter.com/3421kalid/status/922792410651987968","922792410651987968")</f>
        <v>922792410651987968</v>
      </c>
      <c r="F10172" s="23" t="s">
        <v>230</v>
      </c>
      <c r="G10172" s="24">
        <v>19.0</v>
      </c>
      <c r="H10172" s="24">
        <v>733.0</v>
      </c>
      <c r="I10172" s="24">
        <v>122.0</v>
      </c>
      <c r="J10172" s="24">
        <v>0.0</v>
      </c>
      <c r="K10172" s="23" t="s">
        <v>34</v>
      </c>
      <c r="L10172" s="25">
        <v>42983.17631944444</v>
      </c>
      <c r="M10172" s="28"/>
      <c r="N10172" s="28"/>
      <c r="O10172" s="22" t="str">
        <f>HYPERLINK("https://abs.twimg.com/sticky/default_profile_images/default_profile_normal.png","View")</f>
        <v>View</v>
      </c>
      <c r="P10172" s="27"/>
    </row>
    <row r="10173">
      <c r="A10173" s="14">
        <v>43032.20173611111</v>
      </c>
      <c r="B10173" s="20" t="str">
        <f>HYPERLINK("https://twitter.com/Salma5115","@Salma5115")</f>
        <v>@Salma5115</v>
      </c>
      <c r="C10173" s="21" t="s">
        <v>21778</v>
      </c>
      <c r="D10173" s="21" t="s">
        <v>21625</v>
      </c>
      <c r="E10173" s="22" t="str">
        <f>HYPERLINK("https://twitter.com/Salma5115/status/922792410660433921","922792410660433921")</f>
        <v>922792410660433921</v>
      </c>
      <c r="F10173" s="23" t="s">
        <v>230</v>
      </c>
      <c r="G10173" s="24">
        <v>12.0</v>
      </c>
      <c r="H10173" s="24">
        <v>686.0</v>
      </c>
      <c r="I10173" s="24">
        <v>122.0</v>
      </c>
      <c r="J10173" s="24">
        <v>0.0</v>
      </c>
      <c r="K10173" s="23" t="s">
        <v>34</v>
      </c>
      <c r="L10173" s="25">
        <v>43022.415856481486</v>
      </c>
      <c r="M10173" s="32" t="s">
        <v>21779</v>
      </c>
      <c r="N10173" s="32" t="s">
        <v>21780</v>
      </c>
      <c r="O10173" s="22" t="str">
        <f>HYPERLINK("https://pbs.twimg.com/profile_images/919246496448614400/XvSfiInk_normal.jpg","View")</f>
        <v>View</v>
      </c>
      <c r="P10173" s="27"/>
    </row>
    <row r="10174">
      <c r="A10174" s="14">
        <v>43032.20173611111</v>
      </c>
      <c r="B10174" s="20" t="str">
        <f>HYPERLINK("https://twitter.com/192Nora","@192Nora")</f>
        <v>@192Nora</v>
      </c>
      <c r="C10174" s="21" t="s">
        <v>21781</v>
      </c>
      <c r="D10174" s="21" t="s">
        <v>21625</v>
      </c>
      <c r="E10174" s="22" t="str">
        <f>HYPERLINK("https://twitter.com/192Nora/status/922792410660442112","922792410660442112")</f>
        <v>922792410660442112</v>
      </c>
      <c r="F10174" s="23" t="s">
        <v>230</v>
      </c>
      <c r="G10174" s="24">
        <v>18.0</v>
      </c>
      <c r="H10174" s="24">
        <v>605.0</v>
      </c>
      <c r="I10174" s="24">
        <v>122.0</v>
      </c>
      <c r="J10174" s="24">
        <v>0.0</v>
      </c>
      <c r="K10174" s="23" t="s">
        <v>34</v>
      </c>
      <c r="L10174" s="25">
        <v>42958.066828703704</v>
      </c>
      <c r="M10174" s="26" t="s">
        <v>21782</v>
      </c>
      <c r="N10174" s="28"/>
      <c r="O10174" s="22" t="str">
        <f>HYPERLINK("https://pbs.twimg.com/profile_images/895927265774768128/zNgYj3Cb_normal.jpg","View")</f>
        <v>View</v>
      </c>
      <c r="P10174" s="27"/>
    </row>
    <row r="10175">
      <c r="A10175" s="14">
        <v>43032.20173611111</v>
      </c>
      <c r="B10175" s="20" t="str">
        <f>HYPERLINK("https://twitter.com/3400moon","@3400moon")</f>
        <v>@3400moon</v>
      </c>
      <c r="C10175" s="31" t="s">
        <v>21783</v>
      </c>
      <c r="D10175" s="21" t="s">
        <v>21625</v>
      </c>
      <c r="E10175" s="22" t="str">
        <f>HYPERLINK("https://twitter.com/3400moon/status/922792410668814336","922792410668814336")</f>
        <v>922792410668814336</v>
      </c>
      <c r="F10175" s="23" t="s">
        <v>230</v>
      </c>
      <c r="G10175" s="24">
        <v>17.0</v>
      </c>
      <c r="H10175" s="24">
        <v>616.0</v>
      </c>
      <c r="I10175" s="24">
        <v>122.0</v>
      </c>
      <c r="J10175" s="24">
        <v>0.0</v>
      </c>
      <c r="K10175" s="23" t="s">
        <v>34</v>
      </c>
      <c r="L10175" s="25">
        <v>42991.17393518519</v>
      </c>
      <c r="M10175" s="32" t="s">
        <v>5828</v>
      </c>
      <c r="N10175" s="28"/>
      <c r="O10175" s="22" t="str">
        <f>HYPERLINK("https://pbs.twimg.com/profile_images/907924820037435392/q9fhIoeZ_normal.jpg","View")</f>
        <v>View</v>
      </c>
      <c r="P10175" s="27"/>
    </row>
    <row r="10176">
      <c r="A10176" s="14">
        <v>43032.20173611111</v>
      </c>
      <c r="B10176" s="20" t="str">
        <f>HYPERLINK("https://twitter.com/sambobbobsam","@sambobbobsam")</f>
        <v>@sambobbobsam</v>
      </c>
      <c r="C10176" s="21">
        <v>9.0</v>
      </c>
      <c r="D10176" s="21" t="s">
        <v>21625</v>
      </c>
      <c r="E10176" s="22" t="str">
        <f>HYPERLINK("https://twitter.com/sambobbobsam/status/922792410672975876","922792410672975876")</f>
        <v>922792410672975876</v>
      </c>
      <c r="F10176" s="23" t="s">
        <v>230</v>
      </c>
      <c r="G10176" s="24">
        <v>21.0</v>
      </c>
      <c r="H10176" s="24">
        <v>601.0</v>
      </c>
      <c r="I10176" s="24">
        <v>122.0</v>
      </c>
      <c r="J10176" s="24">
        <v>0.0</v>
      </c>
      <c r="K10176" s="23" t="s">
        <v>34</v>
      </c>
      <c r="L10176" s="25">
        <v>42947.314513888894</v>
      </c>
      <c r="M10176" s="28"/>
      <c r="N10176" s="26" t="s">
        <v>21784</v>
      </c>
      <c r="O10176" s="22" t="str">
        <f>HYPERLINK("https://pbs.twimg.com/profile_images/892031515600838656/wEdhiOt8_normal.jpg","View")</f>
        <v>View</v>
      </c>
      <c r="P10176" s="27"/>
    </row>
    <row r="10177">
      <c r="A10177" s="14">
        <v>43032.20173611111</v>
      </c>
      <c r="B10177" s="20" t="str">
        <f>HYPERLINK("https://twitter.com/203Nasir","@203Nasir")</f>
        <v>@203Nasir</v>
      </c>
      <c r="C10177" s="21" t="s">
        <v>16169</v>
      </c>
      <c r="D10177" s="21" t="s">
        <v>21625</v>
      </c>
      <c r="E10177" s="22" t="str">
        <f>HYPERLINK("https://twitter.com/203Nasir/status/922792410672979969","922792410672979969")</f>
        <v>922792410672979969</v>
      </c>
      <c r="F10177" s="23" t="s">
        <v>230</v>
      </c>
      <c r="G10177" s="24">
        <v>15.0</v>
      </c>
      <c r="H10177" s="24">
        <v>675.0</v>
      </c>
      <c r="I10177" s="24">
        <v>122.0</v>
      </c>
      <c r="J10177" s="24">
        <v>0.0</v>
      </c>
      <c r="K10177" s="23" t="s">
        <v>34</v>
      </c>
      <c r="L10177" s="25">
        <v>42958.07922453704</v>
      </c>
      <c r="M10177" s="26" t="s">
        <v>4920</v>
      </c>
      <c r="N10177" s="28"/>
      <c r="O10177" s="22" t="str">
        <f>HYPERLINK("https://pbs.twimg.com/profile_images/895931610163314689/vcoam8th_normal.jpg","View")</f>
        <v>View</v>
      </c>
      <c r="P10177" s="27"/>
    </row>
    <row r="10178">
      <c r="A10178" s="14">
        <v>43032.20173611111</v>
      </c>
      <c r="B10178" s="20" t="str">
        <f>HYPERLINK("https://twitter.com/604salh","@604salh")</f>
        <v>@604salh</v>
      </c>
      <c r="C10178" s="31" t="s">
        <v>21785</v>
      </c>
      <c r="D10178" s="21" t="s">
        <v>21625</v>
      </c>
      <c r="E10178" s="22" t="str">
        <f>HYPERLINK("https://twitter.com/604salh/status/922792410710724608","922792410710724608")</f>
        <v>922792410710724608</v>
      </c>
      <c r="F10178" s="23" t="s">
        <v>230</v>
      </c>
      <c r="G10178" s="24">
        <v>13.0</v>
      </c>
      <c r="H10178" s="24">
        <v>604.0</v>
      </c>
      <c r="I10178" s="24">
        <v>122.0</v>
      </c>
      <c r="J10178" s="24">
        <v>0.0</v>
      </c>
      <c r="K10178" s="23" t="s">
        <v>34</v>
      </c>
      <c r="L10178" s="25">
        <v>42964.84930555556</v>
      </c>
      <c r="M10178" s="32" t="s">
        <v>21779</v>
      </c>
      <c r="N10178" s="32" t="s">
        <v>21786</v>
      </c>
      <c r="O10178" s="22" t="str">
        <f>HYPERLINK("https://pbs.twimg.com/profile_images/898385310794600449/4AYP9UmE_normal.jpg","View")</f>
        <v>View</v>
      </c>
      <c r="P10178" s="27"/>
    </row>
    <row r="10179">
      <c r="A10179" s="14">
        <v>43032.20173611111</v>
      </c>
      <c r="B10179" s="20" t="str">
        <f>HYPERLINK("https://twitter.com/bbuuboi","@bbuuboi")</f>
        <v>@bbuuboi</v>
      </c>
      <c r="C10179" s="21" t="s">
        <v>21787</v>
      </c>
      <c r="D10179" s="21" t="s">
        <v>21625</v>
      </c>
      <c r="E10179" s="22" t="str">
        <f>HYPERLINK("https://twitter.com/bbuuboi/status/922792410714984453","922792410714984453")</f>
        <v>922792410714984453</v>
      </c>
      <c r="F10179" s="23" t="s">
        <v>230</v>
      </c>
      <c r="G10179" s="24">
        <v>25.0</v>
      </c>
      <c r="H10179" s="24">
        <v>622.0</v>
      </c>
      <c r="I10179" s="24">
        <v>122.0</v>
      </c>
      <c r="J10179" s="24">
        <v>0.0</v>
      </c>
      <c r="K10179" s="23" t="s">
        <v>34</v>
      </c>
      <c r="L10179" s="25">
        <v>42845.31760416667</v>
      </c>
      <c r="M10179" s="28"/>
      <c r="N10179" s="28"/>
      <c r="O10179" s="22" t="str">
        <f>HYPERLINK("https://pbs.twimg.com/profile_images/869281487593627652/9R98RMk4_normal.jpg","View")</f>
        <v>View</v>
      </c>
      <c r="P10179" s="27"/>
    </row>
    <row r="10180">
      <c r="A10180" s="14">
        <v>43032.20173611111</v>
      </c>
      <c r="B10180" s="20" t="str">
        <f>HYPERLINK("https://twitter.com/193Palma","@193Palma")</f>
        <v>@193Palma</v>
      </c>
      <c r="C10180" s="21" t="s">
        <v>21788</v>
      </c>
      <c r="D10180" s="21" t="s">
        <v>21625</v>
      </c>
      <c r="E10180" s="22" t="str">
        <f>HYPERLINK("https://twitter.com/193Palma/status/922792410802982913","922792410802982913")</f>
        <v>922792410802982913</v>
      </c>
      <c r="F10180" s="23" t="s">
        <v>230</v>
      </c>
      <c r="G10180" s="24">
        <v>15.0</v>
      </c>
      <c r="H10180" s="24">
        <v>600.0</v>
      </c>
      <c r="I10180" s="24">
        <v>122.0</v>
      </c>
      <c r="J10180" s="24">
        <v>0.0</v>
      </c>
      <c r="K10180" s="23" t="s">
        <v>34</v>
      </c>
      <c r="L10180" s="25">
        <v>42958.06958333333</v>
      </c>
      <c r="M10180" s="26" t="s">
        <v>21789</v>
      </c>
      <c r="N10180" s="28"/>
      <c r="O10180" s="22" t="str">
        <f>HYPERLINK("https://pbs.twimg.com/profile_images/895928149078396932/7ozT0BfB_normal.jpg","View")</f>
        <v>View</v>
      </c>
      <c r="P10180" s="27"/>
    </row>
    <row r="10181">
      <c r="A10181" s="14">
        <v>43032.20173611111</v>
      </c>
      <c r="B10181" s="20" t="str">
        <f>HYPERLINK("https://twitter.com/2030saemi","@2030saemi")</f>
        <v>@2030saemi</v>
      </c>
      <c r="C10181" s="31" t="s">
        <v>21790</v>
      </c>
      <c r="D10181" s="21" t="s">
        <v>21625</v>
      </c>
      <c r="E10181" s="22" t="str">
        <f>HYPERLINK("https://twitter.com/2030saemi/status/922792410836619264","922792410836619264")</f>
        <v>922792410836619264</v>
      </c>
      <c r="F10181" s="23" t="s">
        <v>230</v>
      </c>
      <c r="G10181" s="24">
        <v>20.0</v>
      </c>
      <c r="H10181" s="24">
        <v>828.0</v>
      </c>
      <c r="I10181" s="24">
        <v>122.0</v>
      </c>
      <c r="J10181" s="24">
        <v>0.0</v>
      </c>
      <c r="K10181" s="23" t="s">
        <v>34</v>
      </c>
      <c r="L10181" s="25">
        <v>42983.17319444445</v>
      </c>
      <c r="M10181" s="28"/>
      <c r="N10181" s="28"/>
      <c r="O10181" s="22" t="str">
        <f>HYPERLINK("https://pbs.twimg.com/profile_images/906089223664652290/s8Y9TQO6_normal.jpg","View")</f>
        <v>View</v>
      </c>
      <c r="P10181" s="27"/>
    </row>
    <row r="10182">
      <c r="A10182" s="14">
        <v>43032.20173611111</v>
      </c>
      <c r="B10182" s="20" t="str">
        <f>HYPERLINK("https://twitter.com/204khaled","@204khaled")</f>
        <v>@204khaled</v>
      </c>
      <c r="C10182" s="31" t="s">
        <v>21791</v>
      </c>
      <c r="D10182" s="21" t="s">
        <v>21625</v>
      </c>
      <c r="E10182" s="22" t="str">
        <f>HYPERLINK("https://twitter.com/204khaled/status/922792410844925953","922792410844925953")</f>
        <v>922792410844925953</v>
      </c>
      <c r="F10182" s="23" t="s">
        <v>230</v>
      </c>
      <c r="G10182" s="24">
        <v>15.0</v>
      </c>
      <c r="H10182" s="24">
        <v>666.0</v>
      </c>
      <c r="I10182" s="24">
        <v>122.0</v>
      </c>
      <c r="J10182" s="24">
        <v>0.0</v>
      </c>
      <c r="K10182" s="23" t="s">
        <v>34</v>
      </c>
      <c r="L10182" s="25">
        <v>42958.07672453704</v>
      </c>
      <c r="M10182" s="26" t="s">
        <v>1024</v>
      </c>
      <c r="N10182" s="28"/>
      <c r="O10182" s="22" t="str">
        <f>HYPERLINK("https://pbs.twimg.com/profile_images/895930917549559808/R_8XGci1_normal.jpg","View")</f>
        <v>View</v>
      </c>
      <c r="P10182" s="27"/>
    </row>
    <row r="10183">
      <c r="A10183" s="14">
        <v>43032.20173611111</v>
      </c>
      <c r="B10183" s="20" t="str">
        <f>HYPERLINK("https://twitter.com/jacobtaylir","@jacobtaylir")</f>
        <v>@jacobtaylir</v>
      </c>
      <c r="C10183" s="21" t="s">
        <v>21792</v>
      </c>
      <c r="D10183" s="21" t="s">
        <v>21625</v>
      </c>
      <c r="E10183" s="22" t="str">
        <f>HYPERLINK("https://twitter.com/jacobtaylir/status/922792412165967872","922792412165967872")</f>
        <v>922792412165967872</v>
      </c>
      <c r="F10183" s="23" t="s">
        <v>14456</v>
      </c>
      <c r="G10183" s="24">
        <v>135.0</v>
      </c>
      <c r="H10183" s="24">
        <v>5001.0</v>
      </c>
      <c r="I10183" s="24">
        <v>122.0</v>
      </c>
      <c r="J10183" s="24">
        <v>0.0</v>
      </c>
      <c r="K10183" s="23" t="s">
        <v>34</v>
      </c>
      <c r="L10183" s="25">
        <v>42744.58467592593</v>
      </c>
      <c r="M10183" s="28"/>
      <c r="N10183" s="28"/>
      <c r="O10183" s="22" t="str">
        <f>HYPERLINK("https://pbs.twimg.com/profile_images/880917165448151040/lhWc5wdB_normal.jpg","View")</f>
        <v>View</v>
      </c>
      <c r="P10183" s="27"/>
    </row>
    <row r="10184">
      <c r="A10184" s="14">
        <v>43032.20173611111</v>
      </c>
      <c r="B10184" s="20" t="str">
        <f>HYPERLINK("https://twitter.com/JohnCenaa141","@JohnCenaa141")</f>
        <v>@JohnCenaa141</v>
      </c>
      <c r="C10184" s="21" t="s">
        <v>21793</v>
      </c>
      <c r="D10184" s="21" t="s">
        <v>21625</v>
      </c>
      <c r="E10184" s="22" t="str">
        <f>HYPERLINK("https://twitter.com/JohnCenaa141/status/922792412333748226","922792412333748226")</f>
        <v>922792412333748226</v>
      </c>
      <c r="F10184" s="23" t="s">
        <v>14456</v>
      </c>
      <c r="G10184" s="24">
        <v>226.0</v>
      </c>
      <c r="H10184" s="24">
        <v>5000.0</v>
      </c>
      <c r="I10184" s="24">
        <v>122.0</v>
      </c>
      <c r="J10184" s="24">
        <v>0.0</v>
      </c>
      <c r="K10184" s="23" t="s">
        <v>34</v>
      </c>
      <c r="L10184" s="25">
        <v>42565.81097222222</v>
      </c>
      <c r="M10184" s="28"/>
      <c r="N10184" s="28"/>
      <c r="O10184" s="22" t="str">
        <f t="shared" ref="O10184:O10187" si="227">HYPERLINK("https://abs.twimg.com/sticky/default_profile_images/default_profile_normal.png","View")</f>
        <v>View</v>
      </c>
      <c r="P10184" s="27"/>
    </row>
    <row r="10185">
      <c r="A10185" s="14">
        <v>43032.20173611111</v>
      </c>
      <c r="B10185" s="20" t="str">
        <f>HYPERLINK("https://twitter.com/NCorraay","@NCorraay")</f>
        <v>@NCorraay</v>
      </c>
      <c r="C10185" s="21" t="s">
        <v>21794</v>
      </c>
      <c r="D10185" s="21" t="s">
        <v>21625</v>
      </c>
      <c r="E10185" s="22" t="str">
        <f>HYPERLINK("https://twitter.com/NCorraay/status/922792412862332929","922792412862332929")</f>
        <v>922792412862332929</v>
      </c>
      <c r="F10185" s="23" t="s">
        <v>14456</v>
      </c>
      <c r="G10185" s="24">
        <v>59.0</v>
      </c>
      <c r="H10185" s="24">
        <v>5000.0</v>
      </c>
      <c r="I10185" s="24">
        <v>122.0</v>
      </c>
      <c r="J10185" s="24">
        <v>0.0</v>
      </c>
      <c r="K10185" s="23" t="s">
        <v>34</v>
      </c>
      <c r="L10185" s="25">
        <v>43001.555138888885</v>
      </c>
      <c r="M10185" s="28"/>
      <c r="N10185" s="28"/>
      <c r="O10185" s="22" t="str">
        <f t="shared" si="227"/>
        <v>View</v>
      </c>
      <c r="P10185" s="27"/>
    </row>
    <row r="10186">
      <c r="A10186" s="14">
        <v>43032.20173611111</v>
      </c>
      <c r="B10186" s="20" t="str">
        <f>HYPERLINK("https://twitter.com/SBKorganization","@SBKorganization")</f>
        <v>@SBKorganization</v>
      </c>
      <c r="C10186" s="21" t="s">
        <v>21795</v>
      </c>
      <c r="D10186" s="21" t="s">
        <v>21625</v>
      </c>
      <c r="E10186" s="22" t="str">
        <f>HYPERLINK("https://twitter.com/SBKorganization/status/922792413063606272","922792413063606272")</f>
        <v>922792413063606272</v>
      </c>
      <c r="F10186" s="23" t="s">
        <v>14456</v>
      </c>
      <c r="G10186" s="24">
        <v>59.0</v>
      </c>
      <c r="H10186" s="24">
        <v>4999.0</v>
      </c>
      <c r="I10186" s="24">
        <v>122.0</v>
      </c>
      <c r="J10186" s="24">
        <v>0.0</v>
      </c>
      <c r="K10186" s="23" t="s">
        <v>34</v>
      </c>
      <c r="L10186" s="25">
        <v>42849.018587962964</v>
      </c>
      <c r="M10186" s="28"/>
      <c r="N10186" s="28"/>
      <c r="O10186" s="22" t="str">
        <f t="shared" si="227"/>
        <v>View</v>
      </c>
      <c r="P10186" s="27"/>
    </row>
    <row r="10187">
      <c r="A10187" s="14">
        <v>43032.20173611111</v>
      </c>
      <c r="B10187" s="20" t="str">
        <f>HYPERLINK("https://twitter.com/HSeinfeild","@HSeinfeild")</f>
        <v>@HSeinfeild</v>
      </c>
      <c r="C10187" s="21" t="s">
        <v>21796</v>
      </c>
      <c r="D10187" s="21" t="s">
        <v>21625</v>
      </c>
      <c r="E10187" s="22" t="str">
        <f>HYPERLINK("https://twitter.com/HSeinfeild/status/922792413139050496","922792413139050496")</f>
        <v>922792413139050496</v>
      </c>
      <c r="F10187" s="23" t="s">
        <v>14456</v>
      </c>
      <c r="G10187" s="24">
        <v>72.0</v>
      </c>
      <c r="H10187" s="24">
        <v>4999.0</v>
      </c>
      <c r="I10187" s="24">
        <v>122.0</v>
      </c>
      <c r="J10187" s="24">
        <v>0.0</v>
      </c>
      <c r="K10187" s="23" t="s">
        <v>34</v>
      </c>
      <c r="L10187" s="25">
        <v>43001.55318287037</v>
      </c>
      <c r="M10187" s="28"/>
      <c r="N10187" s="28"/>
      <c r="O10187" s="22" t="str">
        <f t="shared" si="227"/>
        <v>View</v>
      </c>
      <c r="P10187" s="27"/>
    </row>
    <row r="10188">
      <c r="A10188" s="14">
        <v>43032.20173611111</v>
      </c>
      <c r="B10188" s="20" t="str">
        <f>HYPERLINK("https://twitter.com/DixiePOKS","@DixiePOKS")</f>
        <v>@DixiePOKS</v>
      </c>
      <c r="C10188" s="21" t="s">
        <v>21797</v>
      </c>
      <c r="D10188" s="21" t="s">
        <v>21625</v>
      </c>
      <c r="E10188" s="22" t="str">
        <f>HYPERLINK("https://twitter.com/DixiePOKS/status/922792413420183553","922792413420183553")</f>
        <v>922792413420183553</v>
      </c>
      <c r="F10188" s="23" t="s">
        <v>14456</v>
      </c>
      <c r="G10188" s="24">
        <v>214.0</v>
      </c>
      <c r="H10188" s="24">
        <v>5001.0</v>
      </c>
      <c r="I10188" s="24">
        <v>122.0</v>
      </c>
      <c r="J10188" s="24">
        <v>0.0</v>
      </c>
      <c r="K10188" s="23" t="s">
        <v>34</v>
      </c>
      <c r="L10188" s="25">
        <v>42781.577881944446</v>
      </c>
      <c r="M10188" s="26" t="s">
        <v>21798</v>
      </c>
      <c r="N10188" s="28"/>
      <c r="O10188" s="22" t="str">
        <f>HYPERLINK("https://pbs.twimg.com/profile_images/880915023043772416/2FLvkAqD_normal.jpg","View")</f>
        <v>View</v>
      </c>
      <c r="P10188" s="27"/>
    </row>
    <row r="10189">
      <c r="A10189" s="14">
        <v>43032.20174768519</v>
      </c>
      <c r="B10189" s="20" t="str">
        <f>HYPERLINK("https://twitter.com/RanagkigaltiG","@RanagkigaltiG")</f>
        <v>@RanagkigaltiG</v>
      </c>
      <c r="C10189" s="21" t="s">
        <v>21799</v>
      </c>
      <c r="D10189" s="21" t="s">
        <v>21625</v>
      </c>
      <c r="E10189" s="22" t="str">
        <f>HYPERLINK("https://twitter.com/RanagkigaltiG/status/922792417799147522","922792417799147522")</f>
        <v>922792417799147522</v>
      </c>
      <c r="F10189" s="23" t="s">
        <v>14456</v>
      </c>
      <c r="G10189" s="24">
        <v>27.0</v>
      </c>
      <c r="H10189" s="24">
        <v>154.0</v>
      </c>
      <c r="I10189" s="24">
        <v>122.0</v>
      </c>
      <c r="J10189" s="24">
        <v>0.0</v>
      </c>
      <c r="K10189" s="23" t="s">
        <v>34</v>
      </c>
      <c r="L10189" s="25">
        <v>42615.400254629625</v>
      </c>
      <c r="M10189" s="26" t="s">
        <v>4111</v>
      </c>
      <c r="N10189" s="26" t="s">
        <v>21800</v>
      </c>
      <c r="O10189" s="22" t="str">
        <f>HYPERLINK("https://pbs.twimg.com/profile_images/771748939917828097/GZiv5Bcc_normal.jpg","View")</f>
        <v>View</v>
      </c>
      <c r="P10189" s="27"/>
    </row>
    <row r="10190">
      <c r="A10190" s="14">
        <v>43032.20174768519</v>
      </c>
      <c r="B10190" s="20" t="str">
        <f>HYPERLINK("https://twitter.com/GirlSinnergirl1","@GirlSinnergirl1")</f>
        <v>@GirlSinnergirl1</v>
      </c>
      <c r="C10190" s="21" t="s">
        <v>21801</v>
      </c>
      <c r="D10190" s="21" t="s">
        <v>21625</v>
      </c>
      <c r="E10190" s="22" t="str">
        <f>HYPERLINK("https://twitter.com/GirlSinnergirl1/status/922792418013077505","922792418013077505")</f>
        <v>922792418013077505</v>
      </c>
      <c r="F10190" s="23" t="s">
        <v>14456</v>
      </c>
      <c r="G10190" s="24">
        <v>25.0</v>
      </c>
      <c r="H10190" s="24">
        <v>152.0</v>
      </c>
      <c r="I10190" s="24">
        <v>122.0</v>
      </c>
      <c r="J10190" s="24">
        <v>0.0</v>
      </c>
      <c r="K10190" s="23" t="s">
        <v>34</v>
      </c>
      <c r="L10190" s="25">
        <v>42614.71555555555</v>
      </c>
      <c r="M10190" s="26" t="s">
        <v>21802</v>
      </c>
      <c r="N10190" s="26" t="s">
        <v>21803</v>
      </c>
      <c r="O10190" s="22" t="str">
        <f>HYPERLINK("https://pbs.twimg.com/profile_images/916086257171816448/SEHg88-3_normal.jpg","View")</f>
        <v>View</v>
      </c>
      <c r="P10190" s="27"/>
    </row>
    <row r="10191">
      <c r="A10191" s="14">
        <v>43032.20174768519</v>
      </c>
      <c r="B10191" s="20" t="str">
        <f>HYPERLINK("https://twitter.com/Sanam_bk","@Sanam_bk")</f>
        <v>@Sanam_bk</v>
      </c>
      <c r="C10191" s="21" t="s">
        <v>21804</v>
      </c>
      <c r="D10191" s="21" t="s">
        <v>21625</v>
      </c>
      <c r="E10191" s="22" t="str">
        <f>HYPERLINK("https://twitter.com/Sanam_bk/status/922792418491191297","922792418491191297")</f>
        <v>922792418491191297</v>
      </c>
      <c r="F10191" s="23" t="s">
        <v>14456</v>
      </c>
      <c r="G10191" s="24">
        <v>87.0</v>
      </c>
      <c r="H10191" s="24">
        <v>91.0</v>
      </c>
      <c r="I10191" s="24">
        <v>122.0</v>
      </c>
      <c r="J10191" s="24">
        <v>0.0</v>
      </c>
      <c r="K10191" s="23" t="s">
        <v>34</v>
      </c>
      <c r="L10191" s="25">
        <v>42780.285057870366</v>
      </c>
      <c r="M10191" s="26" t="s">
        <v>21805</v>
      </c>
      <c r="N10191" s="26" t="s">
        <v>21806</v>
      </c>
      <c r="O10191" s="22" t="str">
        <f>HYPERLINK("https://pbs.twimg.com/profile_images/913458309755269120/7rPWdcpO_normal.jpg","View")</f>
        <v>View</v>
      </c>
      <c r="P10191" s="27"/>
    </row>
    <row r="10192">
      <c r="A10192" s="14">
        <v>43032.20174768519</v>
      </c>
      <c r="B10192" s="20" t="str">
        <f>HYPERLINK("https://twitter.com/girldontlie69","@girldontlie69")</f>
        <v>@girldontlie69</v>
      </c>
      <c r="C10192" s="21" t="s">
        <v>21807</v>
      </c>
      <c r="D10192" s="21" t="s">
        <v>21625</v>
      </c>
      <c r="E10192" s="22" t="str">
        <f>HYPERLINK("https://twitter.com/girldontlie69/status/922792418612858882","922792418612858882")</f>
        <v>922792418612858882</v>
      </c>
      <c r="F10192" s="23" t="s">
        <v>14456</v>
      </c>
      <c r="G10192" s="24">
        <v>215.0</v>
      </c>
      <c r="H10192" s="24">
        <v>136.0</v>
      </c>
      <c r="I10192" s="24">
        <v>122.0</v>
      </c>
      <c r="J10192" s="24">
        <v>0.0</v>
      </c>
      <c r="K10192" s="23" t="s">
        <v>34</v>
      </c>
      <c r="L10192" s="25">
        <v>42896.64890046296</v>
      </c>
      <c r="M10192" s="26" t="s">
        <v>21808</v>
      </c>
      <c r="N10192" s="26" t="s">
        <v>21809</v>
      </c>
      <c r="O10192" s="22" t="str">
        <f>HYPERLINK("https://pbs.twimg.com/profile_images/873671165751029760/UyjAwjQu_normal.jpg","View")</f>
        <v>View</v>
      </c>
      <c r="P10192" s="27"/>
    </row>
    <row r="10193">
      <c r="A10193" s="14">
        <v>43032.20174768519</v>
      </c>
      <c r="B10193" s="20" t="str">
        <f>HYPERLINK("https://twitter.com/girldontlie97","@girldontlie97")</f>
        <v>@girldontlie97</v>
      </c>
      <c r="C10193" s="21" t="s">
        <v>21810</v>
      </c>
      <c r="D10193" s="21" t="s">
        <v>21625</v>
      </c>
      <c r="E10193" s="22" t="str">
        <f>HYPERLINK("https://twitter.com/girldontlie97/status/922792418617020416","922792418617020416")</f>
        <v>922792418617020416</v>
      </c>
      <c r="F10193" s="23" t="s">
        <v>14456</v>
      </c>
      <c r="G10193" s="24">
        <v>203.0</v>
      </c>
      <c r="H10193" s="24">
        <v>155.0</v>
      </c>
      <c r="I10193" s="24">
        <v>122.0</v>
      </c>
      <c r="J10193" s="24">
        <v>0.0</v>
      </c>
      <c r="K10193" s="23" t="s">
        <v>34</v>
      </c>
      <c r="L10193" s="25">
        <v>42896.7231712963</v>
      </c>
      <c r="M10193" s="26" t="s">
        <v>21811</v>
      </c>
      <c r="N10193" s="26" t="s">
        <v>21812</v>
      </c>
      <c r="O10193" s="22" t="str">
        <f>HYPERLINK("https://pbs.twimg.com/profile_images/873699129976868864/Rs1GgHBU_normal.jpg","View")</f>
        <v>View</v>
      </c>
      <c r="P10193" s="27"/>
    </row>
    <row r="10194">
      <c r="A10194" s="14">
        <v>43032.20174768519</v>
      </c>
      <c r="B10194" s="20" t="str">
        <f>HYPERLINK("https://twitter.com/khanzadi7860","@khanzadi7860")</f>
        <v>@khanzadi7860</v>
      </c>
      <c r="C10194" s="21" t="s">
        <v>21813</v>
      </c>
      <c r="D10194" s="21" t="s">
        <v>21625</v>
      </c>
      <c r="E10194" s="22" t="str">
        <f>HYPERLINK("https://twitter.com/khanzadi7860/status/922792418621165568","922792418621165568")</f>
        <v>922792418621165568</v>
      </c>
      <c r="F10194" s="23" t="s">
        <v>14456</v>
      </c>
      <c r="G10194" s="24">
        <v>837.0</v>
      </c>
      <c r="H10194" s="24">
        <v>451.0</v>
      </c>
      <c r="I10194" s="24">
        <v>122.0</v>
      </c>
      <c r="J10194" s="24">
        <v>0.0</v>
      </c>
      <c r="K10194" s="23" t="s">
        <v>34</v>
      </c>
      <c r="L10194" s="25">
        <v>42210.7782175926</v>
      </c>
      <c r="M10194" s="26" t="s">
        <v>21814</v>
      </c>
      <c r="N10194" s="26" t="s">
        <v>21815</v>
      </c>
      <c r="O10194" s="22" t="str">
        <f>HYPERLINK("https://pbs.twimg.com/profile_images/793865143436410880/bAenEgiK_normal.jpg","View")</f>
        <v>View</v>
      </c>
      <c r="P10194" s="27"/>
    </row>
    <row r="10195">
      <c r="A10195" s="14">
        <v>43032.20174768519</v>
      </c>
      <c r="B10195" s="20" t="str">
        <f>HYPERLINK("https://twitter.com/shamaesui","@shamaesui")</f>
        <v>@shamaesui</v>
      </c>
      <c r="C10195" s="21" t="s">
        <v>21816</v>
      </c>
      <c r="D10195" s="21" t="s">
        <v>21625</v>
      </c>
      <c r="E10195" s="22" t="str">
        <f>HYPERLINK("https://twitter.com/shamaesui/status/922792418633748480","922792418633748480")</f>
        <v>922792418633748480</v>
      </c>
      <c r="F10195" s="23" t="s">
        <v>14456</v>
      </c>
      <c r="G10195" s="24">
        <v>79.0</v>
      </c>
      <c r="H10195" s="24">
        <v>109.0</v>
      </c>
      <c r="I10195" s="24">
        <v>122.0</v>
      </c>
      <c r="J10195" s="24">
        <v>0.0</v>
      </c>
      <c r="K10195" s="23" t="s">
        <v>34</v>
      </c>
      <c r="L10195" s="25">
        <v>42340.16049768518</v>
      </c>
      <c r="M10195" s="26" t="s">
        <v>1255</v>
      </c>
      <c r="N10195" s="26" t="s">
        <v>21817</v>
      </c>
      <c r="O10195" s="22" t="str">
        <f>HYPERLINK("https://pbs.twimg.com/profile_images/672021258104651777/cxG3zCyv_normal.jpg","View")</f>
        <v>View</v>
      </c>
      <c r="P10195" s="27"/>
    </row>
    <row r="10196">
      <c r="A10196" s="14">
        <v>43032.20174768519</v>
      </c>
      <c r="B10196" s="20" t="str">
        <f>HYPERLINK("https://twitter.com/sheza_naaz","@sheza_naaz")</f>
        <v>@sheza_naaz</v>
      </c>
      <c r="C10196" s="21" t="s">
        <v>21818</v>
      </c>
      <c r="D10196" s="21" t="s">
        <v>21625</v>
      </c>
      <c r="E10196" s="22" t="str">
        <f>HYPERLINK("https://twitter.com/sheza_naaz/status/922792418654801920","922792418654801920")</f>
        <v>922792418654801920</v>
      </c>
      <c r="F10196" s="23" t="s">
        <v>14456</v>
      </c>
      <c r="G10196" s="24">
        <v>80.0</v>
      </c>
      <c r="H10196" s="24">
        <v>198.0</v>
      </c>
      <c r="I10196" s="24">
        <v>122.0</v>
      </c>
      <c r="J10196" s="24">
        <v>0.0</v>
      </c>
      <c r="K10196" s="23" t="s">
        <v>34</v>
      </c>
      <c r="L10196" s="25">
        <v>42404.578877314816</v>
      </c>
      <c r="M10196" s="26" t="s">
        <v>21819</v>
      </c>
      <c r="N10196" s="26" t="s">
        <v>21820</v>
      </c>
      <c r="O10196" s="22" t="str">
        <f>HYPERLINK("https://pbs.twimg.com/profile_images/695365557361618948/rueJH35p_normal.jpg","View")</f>
        <v>View</v>
      </c>
      <c r="P10196" s="27"/>
    </row>
    <row r="10197">
      <c r="A10197" s="14">
        <v>43032.20174768519</v>
      </c>
      <c r="B10197" s="20" t="str">
        <f>HYPERLINK("https://twitter.com/nanamama42069","@nanamama42069")</f>
        <v>@nanamama42069</v>
      </c>
      <c r="C10197" s="21" t="s">
        <v>21821</v>
      </c>
      <c r="D10197" s="21" t="s">
        <v>21625</v>
      </c>
      <c r="E10197" s="22" t="str">
        <f>HYPERLINK("https://twitter.com/nanamama42069/status/922792418667388929","922792418667388929")</f>
        <v>922792418667388929</v>
      </c>
      <c r="F10197" s="23" t="s">
        <v>14456</v>
      </c>
      <c r="G10197" s="24">
        <v>318.0</v>
      </c>
      <c r="H10197" s="24">
        <v>3006.0</v>
      </c>
      <c r="I10197" s="24">
        <v>122.0</v>
      </c>
      <c r="J10197" s="24">
        <v>0.0</v>
      </c>
      <c r="K10197" s="23" t="s">
        <v>34</v>
      </c>
      <c r="L10197" s="25">
        <v>42826.41752314815</v>
      </c>
      <c r="M10197" s="26" t="s">
        <v>21822</v>
      </c>
      <c r="N10197" s="26" t="s">
        <v>21823</v>
      </c>
      <c r="O10197" s="22" t="str">
        <f>HYPERLINK("https://pbs.twimg.com/profile_images/848220145214525443/765ChILo_normal.jpg","View")</f>
        <v>View</v>
      </c>
      <c r="P10197" s="27"/>
    </row>
    <row r="10198">
      <c r="A10198" s="14">
        <v>43032.20174768519</v>
      </c>
      <c r="B10198" s="20" t="str">
        <f>HYPERLINK("https://twitter.com/lw_pa","@lw_pa")</f>
        <v>@lw_pa</v>
      </c>
      <c r="C10198" s="31" t="s">
        <v>21824</v>
      </c>
      <c r="D10198" s="21" t="s">
        <v>21625</v>
      </c>
      <c r="E10198" s="22" t="str">
        <f>HYPERLINK("https://twitter.com/lw_pa/status/922792418684080129","922792418684080129")</f>
        <v>922792418684080129</v>
      </c>
      <c r="F10198" s="23" t="s">
        <v>14456</v>
      </c>
      <c r="G10198" s="24">
        <v>102.0</v>
      </c>
      <c r="H10198" s="24">
        <v>144.0</v>
      </c>
      <c r="I10198" s="24">
        <v>122.0</v>
      </c>
      <c r="J10198" s="24">
        <v>0.0</v>
      </c>
      <c r="K10198" s="23" t="s">
        <v>34</v>
      </c>
      <c r="L10198" s="25">
        <v>42333.468252314815</v>
      </c>
      <c r="M10198" s="28"/>
      <c r="N10198" s="28"/>
      <c r="O10198" s="22" t="str">
        <f>HYPERLINK("https://pbs.twimg.com/profile_images/669595267935682565/58ZcN70f_normal.jpg","View")</f>
        <v>View</v>
      </c>
      <c r="P10198" s="27"/>
    </row>
    <row r="10199">
      <c r="A10199" s="14">
        <v>43032.20174768519</v>
      </c>
      <c r="B10199" s="20" t="str">
        <f>HYPERLINK("https://twitter.com/khan_ssar","@khan_ssar")</f>
        <v>@khan_ssar</v>
      </c>
      <c r="C10199" s="21" t="s">
        <v>21825</v>
      </c>
      <c r="D10199" s="21" t="s">
        <v>21625</v>
      </c>
      <c r="E10199" s="22" t="str">
        <f>HYPERLINK("https://twitter.com/khan_ssar/status/922792418684137472","922792418684137472")</f>
        <v>922792418684137472</v>
      </c>
      <c r="F10199" s="23" t="s">
        <v>14456</v>
      </c>
      <c r="G10199" s="24">
        <v>22.0</v>
      </c>
      <c r="H10199" s="24">
        <v>152.0</v>
      </c>
      <c r="I10199" s="24">
        <v>122.0</v>
      </c>
      <c r="J10199" s="24">
        <v>0.0</v>
      </c>
      <c r="K10199" s="23" t="s">
        <v>34</v>
      </c>
      <c r="L10199" s="25">
        <v>42628.46078703704</v>
      </c>
      <c r="M10199" s="26" t="s">
        <v>21826</v>
      </c>
      <c r="N10199" s="26" t="s">
        <v>21827</v>
      </c>
      <c r="O10199" s="22" t="str">
        <f>HYPERLINK("https://pbs.twimg.com/profile_images/916086498172309505/XD2-8AC2_normal.jpg","View")</f>
        <v>View</v>
      </c>
      <c r="P10199" s="27"/>
    </row>
    <row r="10200">
      <c r="A10200" s="14">
        <v>43032.20174768519</v>
      </c>
      <c r="B10200" s="20" t="str">
        <f>HYPERLINK("https://twitter.com/tweetybirdss11","@tweetybirdss11")</f>
        <v>@tweetybirdss11</v>
      </c>
      <c r="C10200" s="21" t="s">
        <v>21828</v>
      </c>
      <c r="D10200" s="21" t="s">
        <v>21625</v>
      </c>
      <c r="E10200" s="22" t="str">
        <f>HYPERLINK("https://twitter.com/tweetybirdss11/status/922792418692526080","922792418692526080")</f>
        <v>922792418692526080</v>
      </c>
      <c r="F10200" s="23" t="s">
        <v>14456</v>
      </c>
      <c r="G10200" s="24">
        <v>144.0</v>
      </c>
      <c r="H10200" s="24">
        <v>191.0</v>
      </c>
      <c r="I10200" s="24">
        <v>122.0</v>
      </c>
      <c r="J10200" s="24">
        <v>0.0</v>
      </c>
      <c r="K10200" s="23" t="s">
        <v>34</v>
      </c>
      <c r="L10200" s="25">
        <v>42260.40221064815</v>
      </c>
      <c r="M10200" s="26" t="s">
        <v>4111</v>
      </c>
      <c r="N10200" s="28"/>
      <c r="O10200" s="22" t="str">
        <f>HYPERLINK("https://pbs.twimg.com/profile_images/643102339528691712/yYkUZlfT_normal.jpg","View")</f>
        <v>View</v>
      </c>
      <c r="P10200" s="27"/>
    </row>
    <row r="10201">
      <c r="A10201" s="14">
        <v>43032.20174768519</v>
      </c>
      <c r="B10201" s="20" t="str">
        <f>HYPERLINK("https://twitter.com/iceymelty","@iceymelty")</f>
        <v>@iceymelty</v>
      </c>
      <c r="C10201" s="21" t="s">
        <v>21829</v>
      </c>
      <c r="D10201" s="21" t="s">
        <v>21625</v>
      </c>
      <c r="E10201" s="22" t="str">
        <f>HYPERLINK("https://twitter.com/iceymelty/status/922792418822500353","922792418822500353")</f>
        <v>922792418822500353</v>
      </c>
      <c r="F10201" s="23" t="s">
        <v>14456</v>
      </c>
      <c r="G10201" s="24">
        <v>241.0</v>
      </c>
      <c r="H10201" s="24">
        <v>3011.0</v>
      </c>
      <c r="I10201" s="24">
        <v>122.0</v>
      </c>
      <c r="J10201" s="24">
        <v>0.0</v>
      </c>
      <c r="K10201" s="23" t="s">
        <v>34</v>
      </c>
      <c r="L10201" s="25">
        <v>42826.529710648145</v>
      </c>
      <c r="M10201" s="28"/>
      <c r="N10201" s="26" t="s">
        <v>21830</v>
      </c>
      <c r="O10201" s="22" t="str">
        <f>HYPERLINK("https://pbs.twimg.com/profile_images/848261860013072384/O2CLOooJ_normal.jpg","View")</f>
        <v>View</v>
      </c>
      <c r="P10201" s="27"/>
    </row>
    <row r="10202">
      <c r="A10202" s="14">
        <v>43032.20174768519</v>
      </c>
      <c r="B10202" s="20" t="str">
        <f>HYPERLINK("https://twitter.com/fidashahb","@fidashahb")</f>
        <v>@fidashahb</v>
      </c>
      <c r="C10202" s="21" t="s">
        <v>21831</v>
      </c>
      <c r="D10202" s="21" t="s">
        <v>21625</v>
      </c>
      <c r="E10202" s="22" t="str">
        <f>HYPERLINK("https://twitter.com/fidashahb/status/922792418835075072","922792418835075072")</f>
        <v>922792418835075072</v>
      </c>
      <c r="F10202" s="23" t="s">
        <v>14456</v>
      </c>
      <c r="G10202" s="24">
        <v>26.0</v>
      </c>
      <c r="H10202" s="24">
        <v>19.0</v>
      </c>
      <c r="I10202" s="24">
        <v>122.0</v>
      </c>
      <c r="J10202" s="24">
        <v>0.0</v>
      </c>
      <c r="K10202" s="23" t="s">
        <v>34</v>
      </c>
      <c r="L10202" s="25">
        <v>42404.584502314814</v>
      </c>
      <c r="M10202" s="26" t="s">
        <v>21832</v>
      </c>
      <c r="N10202" s="26" t="s">
        <v>21833</v>
      </c>
      <c r="O10202" s="22" t="str">
        <f>HYPERLINK("https://pbs.twimg.com/profile_images/695367266028769281/nnqxu3vi_normal.jpg","View")</f>
        <v>View</v>
      </c>
      <c r="P10202" s="27"/>
    </row>
    <row r="10203">
      <c r="A10203" s="14">
        <v>43032.20174768519</v>
      </c>
      <c r="B10203" s="20" t="str">
        <f>HYPERLINK("https://twitter.com/nicegirlooo","@nicegirlooo")</f>
        <v>@nicegirlooo</v>
      </c>
      <c r="C10203" s="21" t="s">
        <v>21834</v>
      </c>
      <c r="D10203" s="21" t="s">
        <v>21625</v>
      </c>
      <c r="E10203" s="22" t="str">
        <f>HYPERLINK("https://twitter.com/nicegirlooo/status/922792418855960576","922792418855960576")</f>
        <v>922792418855960576</v>
      </c>
      <c r="F10203" s="23" t="s">
        <v>14456</v>
      </c>
      <c r="G10203" s="24">
        <v>201.0</v>
      </c>
      <c r="H10203" s="24">
        <v>147.0</v>
      </c>
      <c r="I10203" s="24">
        <v>122.0</v>
      </c>
      <c r="J10203" s="24">
        <v>0.0</v>
      </c>
      <c r="K10203" s="23" t="s">
        <v>34</v>
      </c>
      <c r="L10203" s="25">
        <v>42314.3256712963</v>
      </c>
      <c r="M10203" s="26" t="s">
        <v>21835</v>
      </c>
      <c r="N10203" s="26" t="s">
        <v>21836</v>
      </c>
      <c r="O10203" s="22" t="str">
        <f>HYPERLINK("https://pbs.twimg.com/profile_images/662672642143555584/_bqnGva6_normal.jpg","View")</f>
        <v>View</v>
      </c>
      <c r="P10203" s="27"/>
    </row>
    <row r="10204">
      <c r="A10204" s="14">
        <v>43032.20174768519</v>
      </c>
      <c r="B10204" s="20" t="str">
        <f>HYPERLINK("https://twitter.com/lovelyass11","@lovelyass11")</f>
        <v>@lovelyass11</v>
      </c>
      <c r="C10204" s="21" t="s">
        <v>21837</v>
      </c>
      <c r="D10204" s="21" t="s">
        <v>21625</v>
      </c>
      <c r="E10204" s="22" t="str">
        <f>HYPERLINK("https://twitter.com/lovelyass11/status/922792418898006016","922792418898006016")</f>
        <v>922792418898006016</v>
      </c>
      <c r="F10204" s="23" t="s">
        <v>14456</v>
      </c>
      <c r="G10204" s="24">
        <v>285.0</v>
      </c>
      <c r="H10204" s="24">
        <v>183.0</v>
      </c>
      <c r="I10204" s="24">
        <v>122.0</v>
      </c>
      <c r="J10204" s="24">
        <v>0.0</v>
      </c>
      <c r="K10204" s="23" t="s">
        <v>34</v>
      </c>
      <c r="L10204" s="25">
        <v>42647.722557870366</v>
      </c>
      <c r="M10204" s="26" t="s">
        <v>21838</v>
      </c>
      <c r="N10204" s="26" t="s">
        <v>21839</v>
      </c>
      <c r="O10204" s="22" t="str">
        <f>HYPERLINK("https://pbs.twimg.com/profile_images/876572717339865088/NnSDuiMF_normal.jpg","View")</f>
        <v>View</v>
      </c>
      <c r="P10204" s="27"/>
    </row>
    <row r="10205">
      <c r="A10205" s="14">
        <v>43032.20174768519</v>
      </c>
      <c r="B10205" s="20" t="str">
        <f>HYPERLINK("https://twitter.com/Girldontlie01","@Girldontlie01")</f>
        <v>@Girldontlie01</v>
      </c>
      <c r="C10205" s="21" t="s">
        <v>21840</v>
      </c>
      <c r="D10205" s="21" t="s">
        <v>21625</v>
      </c>
      <c r="E10205" s="22" t="str">
        <f>HYPERLINK("https://twitter.com/Girldontlie01/status/922792418906443777","922792418906443777")</f>
        <v>922792418906443777</v>
      </c>
      <c r="F10205" s="23" t="s">
        <v>14456</v>
      </c>
      <c r="G10205" s="24">
        <v>256.0</v>
      </c>
      <c r="H10205" s="24">
        <v>160.0</v>
      </c>
      <c r="I10205" s="24">
        <v>122.0</v>
      </c>
      <c r="J10205" s="24">
        <v>0.0</v>
      </c>
      <c r="K10205" s="23" t="s">
        <v>34</v>
      </c>
      <c r="L10205" s="25">
        <v>42896.62594907408</v>
      </c>
      <c r="M10205" s="26" t="s">
        <v>6258</v>
      </c>
      <c r="N10205" s="26" t="s">
        <v>21841</v>
      </c>
      <c r="O10205" s="22" t="str">
        <f>HYPERLINK("https://pbs.twimg.com/profile_images/873662937596129280/ZPqq5FU-_normal.jpg","View")</f>
        <v>View</v>
      </c>
      <c r="P10205" s="27"/>
    </row>
    <row r="10206">
      <c r="A10206" s="14">
        <v>43032.20174768519</v>
      </c>
      <c r="B10206" s="20" t="str">
        <f>HYPERLINK("https://twitter.com/paki_real","@paki_real")</f>
        <v>@paki_real</v>
      </c>
      <c r="C10206" s="21" t="s">
        <v>21842</v>
      </c>
      <c r="D10206" s="21" t="s">
        <v>21625</v>
      </c>
      <c r="E10206" s="22" t="str">
        <f>HYPERLINK("https://twitter.com/paki_real/status/922792418914787330","922792418914787330")</f>
        <v>922792418914787330</v>
      </c>
      <c r="F10206" s="23" t="s">
        <v>14456</v>
      </c>
      <c r="G10206" s="24">
        <v>156.0</v>
      </c>
      <c r="H10206" s="24">
        <v>187.0</v>
      </c>
      <c r="I10206" s="24">
        <v>122.0</v>
      </c>
      <c r="J10206" s="24">
        <v>0.0</v>
      </c>
      <c r="K10206" s="23" t="s">
        <v>34</v>
      </c>
      <c r="L10206" s="25">
        <v>42260.40912037037</v>
      </c>
      <c r="M10206" s="26" t="s">
        <v>1255</v>
      </c>
      <c r="N10206" s="28"/>
      <c r="O10206" s="22" t="str">
        <f>HYPERLINK("https://pbs.twimg.com/profile_images/643104575105306624/kkTFtHyH_normal.jpg","View")</f>
        <v>View</v>
      </c>
      <c r="P10206" s="27"/>
    </row>
    <row r="10207">
      <c r="A10207" s="14">
        <v>43032.20174768519</v>
      </c>
      <c r="B10207" s="20" t="str">
        <f>HYPERLINK("https://twitter.com/amaan_zinat","@amaan_zinat")</f>
        <v>@amaan_zinat</v>
      </c>
      <c r="C10207" s="21" t="s">
        <v>21843</v>
      </c>
      <c r="D10207" s="21" t="s">
        <v>21625</v>
      </c>
      <c r="E10207" s="22" t="str">
        <f>HYPERLINK("https://twitter.com/amaan_zinat/status/922792418923175937","922792418923175937")</f>
        <v>922792418923175937</v>
      </c>
      <c r="F10207" s="23" t="s">
        <v>14456</v>
      </c>
      <c r="G10207" s="24">
        <v>30.0</v>
      </c>
      <c r="H10207" s="24">
        <v>19.0</v>
      </c>
      <c r="I10207" s="24">
        <v>122.0</v>
      </c>
      <c r="J10207" s="24">
        <v>0.0</v>
      </c>
      <c r="K10207" s="23" t="s">
        <v>34</v>
      </c>
      <c r="L10207" s="25">
        <v>42404.58803240741</v>
      </c>
      <c r="M10207" s="26" t="s">
        <v>14523</v>
      </c>
      <c r="N10207" s="26" t="s">
        <v>21844</v>
      </c>
      <c r="O10207" s="22" t="str">
        <f>HYPERLINK("https://pbs.twimg.com/profile_images/695368536512790528/gBLE0BXB_normal.jpg","View")</f>
        <v>View</v>
      </c>
      <c r="P10207" s="27"/>
    </row>
    <row r="10208">
      <c r="A10208" s="14">
        <v>43032.20175925926</v>
      </c>
      <c r="B10208" s="20" t="str">
        <f>HYPERLINK("https://twitter.com/nonamjustinform","@nonamjustinform")</f>
        <v>@nonamjustinform</v>
      </c>
      <c r="C10208" s="21" t="s">
        <v>21845</v>
      </c>
      <c r="D10208" s="21" t="s">
        <v>21625</v>
      </c>
      <c r="E10208" s="22" t="str">
        <f>HYPERLINK("https://twitter.com/nonamjustinform/status/922792419074113536","922792419074113536")</f>
        <v>922792419074113536</v>
      </c>
      <c r="F10208" s="23" t="s">
        <v>14456</v>
      </c>
      <c r="G10208" s="24">
        <v>561.0</v>
      </c>
      <c r="H10208" s="24">
        <v>852.0</v>
      </c>
      <c r="I10208" s="24">
        <v>122.0</v>
      </c>
      <c r="J10208" s="24">
        <v>0.0</v>
      </c>
      <c r="K10208" s="23" t="s">
        <v>34</v>
      </c>
      <c r="L10208" s="25">
        <v>42238.308854166666</v>
      </c>
      <c r="M10208" s="26" t="s">
        <v>4549</v>
      </c>
      <c r="N10208" s="28"/>
      <c r="O10208" s="22" t="str">
        <f>HYPERLINK("https://pbs.twimg.com/profile_images/682105111901003776/YYodBIDu_normal.jpg","View")</f>
        <v>View</v>
      </c>
      <c r="P10208" s="27"/>
    </row>
    <row r="10209">
      <c r="A10209" s="14">
        <v>43032.20175925926</v>
      </c>
      <c r="B10209" s="20" t="str">
        <f>HYPERLINK("https://twitter.com/SheikhZenat","@SheikhZenat")</f>
        <v>@SheikhZenat</v>
      </c>
      <c r="C10209" s="21" t="s">
        <v>21846</v>
      </c>
      <c r="D10209" s="21" t="s">
        <v>21625</v>
      </c>
      <c r="E10209" s="22" t="str">
        <f>HYPERLINK("https://twitter.com/SheikhZenat/status/922792419300487168","922792419300487168")</f>
        <v>922792419300487168</v>
      </c>
      <c r="F10209" s="23" t="s">
        <v>14456</v>
      </c>
      <c r="G10209" s="24">
        <v>64.0</v>
      </c>
      <c r="H10209" s="24">
        <v>91.0</v>
      </c>
      <c r="I10209" s="24">
        <v>122.0</v>
      </c>
      <c r="J10209" s="24">
        <v>0.0</v>
      </c>
      <c r="K10209" s="23" t="s">
        <v>34</v>
      </c>
      <c r="L10209" s="25">
        <v>42862.01560185185</v>
      </c>
      <c r="M10209" s="28"/>
      <c r="N10209" s="32" t="s">
        <v>21847</v>
      </c>
      <c r="O10209" s="22" t="str">
        <f>HYPERLINK("https://pbs.twimg.com/profile_images/913458714392301568/PtW1sKK-_normal.jpg","View")</f>
        <v>View</v>
      </c>
      <c r="P10209" s="27"/>
    </row>
    <row r="10210">
      <c r="A10210" s="14">
        <v>43032.20177083333</v>
      </c>
      <c r="B10210" s="20" t="str">
        <f>HYPERLINK("https://twitter.com/jeanfoe1","@jeanfoe1")</f>
        <v>@jeanfoe1</v>
      </c>
      <c r="C10210" s="21" t="s">
        <v>21848</v>
      </c>
      <c r="D10210" s="21" t="s">
        <v>21625</v>
      </c>
      <c r="E10210" s="22" t="str">
        <f>HYPERLINK("https://twitter.com/jeanfoe1/status/922792424933658624","922792424933658624")</f>
        <v>922792424933658624</v>
      </c>
      <c r="F10210" s="23" t="s">
        <v>230</v>
      </c>
      <c r="G10210" s="24">
        <v>14.0</v>
      </c>
      <c r="H10210" s="24">
        <v>1302.0</v>
      </c>
      <c r="I10210" s="24">
        <v>122.0</v>
      </c>
      <c r="J10210" s="24">
        <v>0.0</v>
      </c>
      <c r="K10210" s="23" t="s">
        <v>34</v>
      </c>
      <c r="L10210" s="25">
        <v>43030.152395833335</v>
      </c>
      <c r="M10210" s="28"/>
      <c r="N10210" s="28"/>
      <c r="O10210" s="22" t="str">
        <f>HYPERLINK("https://abs.twimg.com/sticky/default_profile_images/default_profile_normal.png","View")</f>
        <v>View</v>
      </c>
      <c r="P10210" s="27"/>
    </row>
    <row r="10211">
      <c r="A10211" s="14">
        <v>43032.20177083333</v>
      </c>
      <c r="B10211" s="20" t="str">
        <f>HYPERLINK("https://twitter.com/keelyxhoran","@keelyxhoran")</f>
        <v>@keelyxhoran</v>
      </c>
      <c r="C10211" s="21" t="s">
        <v>21849</v>
      </c>
      <c r="D10211" s="21" t="s">
        <v>21625</v>
      </c>
      <c r="E10211" s="22" t="str">
        <f>HYPERLINK("https://twitter.com/keelyxhoran/status/922792424942039040","922792424942039040")</f>
        <v>922792424942039040</v>
      </c>
      <c r="F10211" s="23" t="s">
        <v>230</v>
      </c>
      <c r="G10211" s="24">
        <v>16.0</v>
      </c>
      <c r="H10211" s="24">
        <v>917.0</v>
      </c>
      <c r="I10211" s="24">
        <v>122.0</v>
      </c>
      <c r="J10211" s="24">
        <v>0.0</v>
      </c>
      <c r="K10211" s="23" t="s">
        <v>34</v>
      </c>
      <c r="L10211" s="25">
        <v>42237.3422337963</v>
      </c>
      <c r="M10211" s="28"/>
      <c r="N10211" s="28"/>
      <c r="O10211" s="22" t="str">
        <f>HYPERLINK("https://pbs.twimg.com/profile_images/634747848773533696/QAR2Hct2_normal.jpg","View")</f>
        <v>View</v>
      </c>
      <c r="P10211" s="27"/>
    </row>
    <row r="10212">
      <c r="A10212" s="14">
        <v>43032.20177083333</v>
      </c>
      <c r="B10212" s="20" t="str">
        <f>HYPERLINK("https://twitter.com/JeanFor2","@JeanFor2")</f>
        <v>@JeanFor2</v>
      </c>
      <c r="C10212" s="21" t="s">
        <v>21850</v>
      </c>
      <c r="D10212" s="21" t="s">
        <v>21625</v>
      </c>
      <c r="E10212" s="22" t="str">
        <f>HYPERLINK("https://twitter.com/JeanFor2/status/922792424954585088","922792424954585088")</f>
        <v>922792424954585088</v>
      </c>
      <c r="F10212" s="23" t="s">
        <v>230</v>
      </c>
      <c r="G10212" s="24">
        <v>8.0</v>
      </c>
      <c r="H10212" s="24">
        <v>0.0</v>
      </c>
      <c r="I10212" s="24">
        <v>122.0</v>
      </c>
      <c r="J10212" s="24">
        <v>0.0</v>
      </c>
      <c r="K10212" s="23" t="s">
        <v>34</v>
      </c>
      <c r="L10212" s="25">
        <v>43031.29947916667</v>
      </c>
      <c r="M10212" s="28"/>
      <c r="N10212" s="28"/>
      <c r="O10212" s="22" t="str">
        <f>HYPERLINK("https://abs.twimg.com/sticky/default_profile_images/default_profile_normal.png","View")</f>
        <v>View</v>
      </c>
      <c r="P10212" s="27"/>
    </row>
    <row r="10213">
      <c r="A10213" s="14">
        <v>43032.20177083333</v>
      </c>
      <c r="B10213" s="20" t="str">
        <f>HYPERLINK("https://twitter.com/SoIntoHoran","@SoIntoHoran")</f>
        <v>@SoIntoHoran</v>
      </c>
      <c r="C10213" s="21" t="s">
        <v>21851</v>
      </c>
      <c r="D10213" s="21" t="s">
        <v>21625</v>
      </c>
      <c r="E10213" s="22" t="str">
        <f>HYPERLINK("https://twitter.com/SoIntoHoran/status/922792425080393728","922792425080393728")</f>
        <v>922792425080393728</v>
      </c>
      <c r="F10213" s="23" t="s">
        <v>230</v>
      </c>
      <c r="G10213" s="24">
        <v>17.0</v>
      </c>
      <c r="H10213" s="24">
        <v>913.0</v>
      </c>
      <c r="I10213" s="24">
        <v>122.0</v>
      </c>
      <c r="J10213" s="24">
        <v>0.0</v>
      </c>
      <c r="K10213" s="23" t="s">
        <v>34</v>
      </c>
      <c r="L10213" s="25">
        <v>42663.661990740744</v>
      </c>
      <c r="M10213" s="28"/>
      <c r="N10213" s="26" t="s">
        <v>21852</v>
      </c>
      <c r="O10213" s="22" t="str">
        <f>HYPERLINK("https://pbs.twimg.com/profile_images/789240828116004864/2tRmiNpt_normal.jpg","View")</f>
        <v>View</v>
      </c>
      <c r="P10213" s="27"/>
    </row>
    <row r="10214">
      <c r="A10214" s="14">
        <v>43032.20177083333</v>
      </c>
      <c r="B10214" s="20" t="str">
        <f>HYPERLINK("https://twitter.com/CharlottesTommo","@CharlottesTommo")</f>
        <v>@CharlottesTommo</v>
      </c>
      <c r="C10214" s="21" t="s">
        <v>21853</v>
      </c>
      <c r="D10214" s="21" t="s">
        <v>21625</v>
      </c>
      <c r="E10214" s="22" t="str">
        <f>HYPERLINK("https://twitter.com/CharlottesTommo/status/922792425101451264","922792425101451264")</f>
        <v>922792425101451264</v>
      </c>
      <c r="F10214" s="23" t="s">
        <v>230</v>
      </c>
      <c r="G10214" s="24">
        <v>808.0</v>
      </c>
      <c r="H10214" s="24">
        <v>1360.0</v>
      </c>
      <c r="I10214" s="24">
        <v>122.0</v>
      </c>
      <c r="J10214" s="24">
        <v>0.0</v>
      </c>
      <c r="K10214" s="23" t="s">
        <v>34</v>
      </c>
      <c r="L10214" s="25">
        <v>42479.646574074075</v>
      </c>
      <c r="M10214" s="26" t="s">
        <v>21854</v>
      </c>
      <c r="N10214" s="26" t="s">
        <v>21855</v>
      </c>
      <c r="O10214" s="22" t="str">
        <f>HYPERLINK("https://pbs.twimg.com/profile_images/852185135298613248/tIqKYGzF_normal.jpg","View")</f>
        <v>View</v>
      </c>
      <c r="P10214" s="27"/>
    </row>
    <row r="10215">
      <c r="A10215" s="14">
        <v>43032.20178240741</v>
      </c>
      <c r="B10215" s="20" t="str">
        <f>HYPERLINK("https://twitter.com/Photography1O1","@Photography1O1")</f>
        <v>@Photography1O1</v>
      </c>
      <c r="C10215" s="21" t="s">
        <v>21856</v>
      </c>
      <c r="D10215" s="21" t="s">
        <v>21625</v>
      </c>
      <c r="E10215" s="22" t="str">
        <f>HYPERLINK("https://twitter.com/Photography1O1/status/922792427878060032","922792427878060032")</f>
        <v>922792427878060032</v>
      </c>
      <c r="F10215" s="23" t="s">
        <v>14456</v>
      </c>
      <c r="G10215" s="24">
        <v>4618.0</v>
      </c>
      <c r="H10215" s="24">
        <v>4998.0</v>
      </c>
      <c r="I10215" s="24">
        <v>122.0</v>
      </c>
      <c r="J10215" s="24">
        <v>0.0</v>
      </c>
      <c r="K10215" s="23" t="s">
        <v>34</v>
      </c>
      <c r="L10215" s="25">
        <v>40780.83967592593</v>
      </c>
      <c r="M10215" s="28"/>
      <c r="N10215" s="26" t="s">
        <v>21857</v>
      </c>
      <c r="O10215" s="22" t="str">
        <f>HYPERLINK("https://pbs.twimg.com/profile_images/870386507177226240/hNiD0cXs_normal.jpg","View")</f>
        <v>View</v>
      </c>
      <c r="P10215" s="27"/>
    </row>
    <row r="10216">
      <c r="A10216" s="14">
        <v>43032.201944444445</v>
      </c>
      <c r="B10216" s="20" t="str">
        <f>HYPERLINK("https://twitter.com/Eddyy14","@Eddyy14")</f>
        <v>@Eddyy14</v>
      </c>
      <c r="C10216" s="21" t="s">
        <v>21858</v>
      </c>
      <c r="D10216" s="21" t="s">
        <v>21625</v>
      </c>
      <c r="E10216" s="22" t="str">
        <f>HYPERLINK("https://twitter.com/Eddyy14/status/922792486698999808","922792486698999808")</f>
        <v>922792486698999808</v>
      </c>
      <c r="F10216" s="23" t="s">
        <v>14456</v>
      </c>
      <c r="G10216" s="24">
        <v>89.0</v>
      </c>
      <c r="H10216" s="24">
        <v>2275.0</v>
      </c>
      <c r="I10216" s="24">
        <v>122.0</v>
      </c>
      <c r="J10216" s="24">
        <v>0.0</v>
      </c>
      <c r="K10216" s="23" t="s">
        <v>34</v>
      </c>
      <c r="L10216" s="25">
        <v>42960.46315972222</v>
      </c>
      <c r="M10216" s="28"/>
      <c r="N10216" s="28"/>
      <c r="O10216" s="22" t="str">
        <f>HYPERLINK("https://pbs.twimg.com/profile_images/913820253385363456/HMJmYmg5_normal.jpg","View")</f>
        <v>View</v>
      </c>
      <c r="P10216" s="27"/>
    </row>
    <row r="10217">
      <c r="A10217" s="14">
        <v>43032.201944444445</v>
      </c>
      <c r="B10217" s="20" t="str">
        <f>HYPERLINK("https://twitter.com/Rupesh193","@Rupesh193")</f>
        <v>@Rupesh193</v>
      </c>
      <c r="C10217" s="21" t="s">
        <v>21859</v>
      </c>
      <c r="D10217" s="21" t="s">
        <v>21625</v>
      </c>
      <c r="E10217" s="22" t="str">
        <f>HYPERLINK("https://twitter.com/Rupesh193/status/922792486740819968","922792486740819968")</f>
        <v>922792486740819968</v>
      </c>
      <c r="F10217" s="23" t="s">
        <v>14456</v>
      </c>
      <c r="G10217" s="24">
        <v>19.0</v>
      </c>
      <c r="H10217" s="24">
        <v>2267.0</v>
      </c>
      <c r="I10217" s="24">
        <v>122.0</v>
      </c>
      <c r="J10217" s="24">
        <v>0.0</v>
      </c>
      <c r="K10217" s="23" t="s">
        <v>34</v>
      </c>
      <c r="L10217" s="25">
        <v>42960.46540509259</v>
      </c>
      <c r="M10217" s="28"/>
      <c r="N10217" s="28"/>
      <c r="O10217" s="22" t="str">
        <f t="shared" ref="O10217:O10224" si="228">HYPERLINK("https://abs.twimg.com/sticky/default_profile_images/default_profile_normal.png","View")</f>
        <v>View</v>
      </c>
      <c r="P10217" s="27"/>
    </row>
    <row r="10218">
      <c r="A10218" s="14">
        <v>43032.201944444445</v>
      </c>
      <c r="B10218" s="20" t="str">
        <f>HYPERLINK("https://twitter.com/Suraj87055806","@Suraj87055806")</f>
        <v>@Suraj87055806</v>
      </c>
      <c r="C10218" s="21" t="s">
        <v>21860</v>
      </c>
      <c r="D10218" s="21" t="s">
        <v>21625</v>
      </c>
      <c r="E10218" s="22" t="str">
        <f>HYPERLINK("https://twitter.com/Suraj87055806/status/922792486766043137","922792486766043137")</f>
        <v>922792486766043137</v>
      </c>
      <c r="F10218" s="23" t="s">
        <v>14456</v>
      </c>
      <c r="G10218" s="24">
        <v>14.0</v>
      </c>
      <c r="H10218" s="24">
        <v>2267.0</v>
      </c>
      <c r="I10218" s="24">
        <v>122.0</v>
      </c>
      <c r="J10218" s="24">
        <v>0.0</v>
      </c>
      <c r="K10218" s="23" t="s">
        <v>34</v>
      </c>
      <c r="L10218" s="25">
        <v>42960.46921296296</v>
      </c>
      <c r="M10218" s="28"/>
      <c r="N10218" s="28"/>
      <c r="O10218" s="22" t="str">
        <f t="shared" si="228"/>
        <v>View</v>
      </c>
      <c r="P10218" s="27"/>
    </row>
    <row r="10219">
      <c r="A10219" s="14">
        <v>43032.201944444445</v>
      </c>
      <c r="B10219" s="20" t="str">
        <f>HYPERLINK("https://twitter.com/Dipesh833","@Dipesh833")</f>
        <v>@Dipesh833</v>
      </c>
      <c r="C10219" s="21" t="s">
        <v>21861</v>
      </c>
      <c r="D10219" s="21" t="s">
        <v>21625</v>
      </c>
      <c r="E10219" s="22" t="str">
        <f>HYPERLINK("https://twitter.com/Dipesh833/status/922792487063883777","922792487063883777")</f>
        <v>922792487063883777</v>
      </c>
      <c r="F10219" s="23" t="s">
        <v>14456</v>
      </c>
      <c r="G10219" s="24">
        <v>14.0</v>
      </c>
      <c r="H10219" s="24">
        <v>2230.0</v>
      </c>
      <c r="I10219" s="24">
        <v>122.0</v>
      </c>
      <c r="J10219" s="24">
        <v>0.0</v>
      </c>
      <c r="K10219" s="23" t="s">
        <v>34</v>
      </c>
      <c r="L10219" s="25">
        <v>42960.466956018514</v>
      </c>
      <c r="M10219" s="28"/>
      <c r="N10219" s="28"/>
      <c r="O10219" s="22" t="str">
        <f t="shared" si="228"/>
        <v>View</v>
      </c>
      <c r="P10219" s="27"/>
    </row>
    <row r="10220">
      <c r="A10220" s="14">
        <v>43032.201944444445</v>
      </c>
      <c r="B10220" s="20" t="str">
        <f>HYPERLINK("https://twitter.com/Dheeraj90009","@Dheeraj90009")</f>
        <v>@Dheeraj90009</v>
      </c>
      <c r="C10220" s="21" t="s">
        <v>21862</v>
      </c>
      <c r="D10220" s="21" t="s">
        <v>21625</v>
      </c>
      <c r="E10220" s="22" t="str">
        <f>HYPERLINK("https://twitter.com/Dheeraj90009/status/922792487072206848","922792487072206848")</f>
        <v>922792487072206848</v>
      </c>
      <c r="F10220" s="23" t="s">
        <v>14456</v>
      </c>
      <c r="G10220" s="24">
        <v>17.0</v>
      </c>
      <c r="H10220" s="24">
        <v>2195.0</v>
      </c>
      <c r="I10220" s="24">
        <v>122.0</v>
      </c>
      <c r="J10220" s="24">
        <v>0.0</v>
      </c>
      <c r="K10220" s="23" t="s">
        <v>34</v>
      </c>
      <c r="L10220" s="25">
        <v>42960.46815972222</v>
      </c>
      <c r="M10220" s="28"/>
      <c r="N10220" s="28"/>
      <c r="O10220" s="22" t="str">
        <f t="shared" si="228"/>
        <v>View</v>
      </c>
      <c r="P10220" s="27"/>
    </row>
    <row r="10221">
      <c r="A10221" s="14">
        <v>43032.20196759259</v>
      </c>
      <c r="B10221" s="20" t="str">
        <f>HYPERLINK("https://twitter.com/Retweet34355183","@Retweet34355183")</f>
        <v>@Retweet34355183</v>
      </c>
      <c r="C10221" s="21" t="s">
        <v>21863</v>
      </c>
      <c r="D10221" s="21" t="s">
        <v>21625</v>
      </c>
      <c r="E10221" s="22" t="str">
        <f>HYPERLINK("https://twitter.com/Retweet34355183/status/922792497264259072","922792497264259072")</f>
        <v>922792497264259072</v>
      </c>
      <c r="F10221" s="23" t="s">
        <v>230</v>
      </c>
      <c r="G10221" s="24">
        <v>17.0</v>
      </c>
      <c r="H10221" s="24">
        <v>1838.0</v>
      </c>
      <c r="I10221" s="24">
        <v>122.0</v>
      </c>
      <c r="J10221" s="24">
        <v>0.0</v>
      </c>
      <c r="K10221" s="23" t="s">
        <v>34</v>
      </c>
      <c r="L10221" s="25">
        <v>42998.49160879629</v>
      </c>
      <c r="M10221" s="28"/>
      <c r="N10221" s="28"/>
      <c r="O10221" s="22" t="str">
        <f t="shared" si="228"/>
        <v>View</v>
      </c>
      <c r="P10221" s="27"/>
    </row>
    <row r="10222">
      <c r="A10222" s="14">
        <v>43032.20196759259</v>
      </c>
      <c r="B10222" s="20" t="str">
        <f>HYPERLINK("https://twitter.com/Retweeters18","@Retweeters18")</f>
        <v>@Retweeters18</v>
      </c>
      <c r="C10222" s="21" t="s">
        <v>21864</v>
      </c>
      <c r="D10222" s="21" t="s">
        <v>21625</v>
      </c>
      <c r="E10222" s="22" t="str">
        <f>HYPERLINK("https://twitter.com/Retweeters18/status/922792497306222593","922792497306222593")</f>
        <v>922792497306222593</v>
      </c>
      <c r="F10222" s="23" t="s">
        <v>230</v>
      </c>
      <c r="G10222" s="24">
        <v>15.0</v>
      </c>
      <c r="H10222" s="24">
        <v>0.0</v>
      </c>
      <c r="I10222" s="24">
        <v>122.0</v>
      </c>
      <c r="J10222" s="24">
        <v>0.0</v>
      </c>
      <c r="K10222" s="23" t="s">
        <v>34</v>
      </c>
      <c r="L10222" s="25">
        <v>42998.49255787037</v>
      </c>
      <c r="M10222" s="28"/>
      <c r="N10222" s="28"/>
      <c r="O10222" s="22" t="str">
        <f t="shared" si="228"/>
        <v>View</v>
      </c>
      <c r="P10222" s="27"/>
    </row>
    <row r="10223">
      <c r="A10223" s="14">
        <v>43032.20196759259</v>
      </c>
      <c r="B10223" s="20" t="str">
        <f>HYPERLINK("https://twitter.com/Retwetet11","@Retwetet11")</f>
        <v>@Retwetet11</v>
      </c>
      <c r="C10223" s="21" t="s">
        <v>21865</v>
      </c>
      <c r="D10223" s="21" t="s">
        <v>21625</v>
      </c>
      <c r="E10223" s="22" t="str">
        <f>HYPERLINK("https://twitter.com/Retwetet11/status/922792497322930176","922792497322930176")</f>
        <v>922792497322930176</v>
      </c>
      <c r="F10223" s="23" t="s">
        <v>230</v>
      </c>
      <c r="G10223" s="24">
        <v>23.0</v>
      </c>
      <c r="H10223" s="24">
        <v>3291.0</v>
      </c>
      <c r="I10223" s="24">
        <v>122.0</v>
      </c>
      <c r="J10223" s="24">
        <v>0.0</v>
      </c>
      <c r="K10223" s="23" t="s">
        <v>34</v>
      </c>
      <c r="L10223" s="25">
        <v>42995.93692129629</v>
      </c>
      <c r="M10223" s="28"/>
      <c r="N10223" s="28"/>
      <c r="O10223" s="22" t="str">
        <f t="shared" si="228"/>
        <v>View</v>
      </c>
      <c r="P10223" s="27"/>
    </row>
    <row r="10224">
      <c r="A10224" s="14">
        <v>43032.20196759259</v>
      </c>
      <c r="B10224" s="20" t="str">
        <f>HYPERLINK("https://twitter.com/Retweet49823070","@Retweet49823070")</f>
        <v>@Retweet49823070</v>
      </c>
      <c r="C10224" s="21" t="s">
        <v>21866</v>
      </c>
      <c r="D10224" s="21" t="s">
        <v>21625</v>
      </c>
      <c r="E10224" s="22" t="str">
        <f>HYPERLINK("https://twitter.com/Retweet49823070/status/922792497339699200","922792497339699200")</f>
        <v>922792497339699200</v>
      </c>
      <c r="F10224" s="23" t="s">
        <v>230</v>
      </c>
      <c r="G10224" s="24">
        <v>15.0</v>
      </c>
      <c r="H10224" s="24">
        <v>1552.0</v>
      </c>
      <c r="I10224" s="24">
        <v>122.0</v>
      </c>
      <c r="J10224" s="24">
        <v>0.0</v>
      </c>
      <c r="K10224" s="23" t="s">
        <v>34</v>
      </c>
      <c r="L10224" s="25">
        <v>43016.88364583333</v>
      </c>
      <c r="M10224" s="28"/>
      <c r="N10224" s="28"/>
      <c r="O10224" s="22" t="str">
        <f t="shared" si="228"/>
        <v>View</v>
      </c>
      <c r="P10224" s="27"/>
    </row>
    <row r="10225">
      <c r="A10225" s="14">
        <v>43032.20196759259</v>
      </c>
      <c r="B10225" s="20" t="str">
        <f>HYPERLINK("https://twitter.com/Retweeter21","@Retweeter21")</f>
        <v>@Retweeter21</v>
      </c>
      <c r="C10225" s="21" t="s">
        <v>21867</v>
      </c>
      <c r="D10225" s="21" t="s">
        <v>21625</v>
      </c>
      <c r="E10225" s="22" t="str">
        <f>HYPERLINK("https://twitter.com/Retweeter21/status/922792497377505280","922792497377505280")</f>
        <v>922792497377505280</v>
      </c>
      <c r="F10225" s="23" t="s">
        <v>230</v>
      </c>
      <c r="G10225" s="24">
        <v>68.0</v>
      </c>
      <c r="H10225" s="24">
        <v>2733.0</v>
      </c>
      <c r="I10225" s="24">
        <v>122.0</v>
      </c>
      <c r="J10225" s="24">
        <v>0.0</v>
      </c>
      <c r="K10225" s="23" t="s">
        <v>34</v>
      </c>
      <c r="L10225" s="25">
        <v>42996.63055555556</v>
      </c>
      <c r="M10225" s="28"/>
      <c r="N10225" s="28"/>
      <c r="O10225" s="22" t="str">
        <f>HYPERLINK("https://pbs.twimg.com/profile_images/912401203698401280/xK_AsM_t_normal.jpg","View")</f>
        <v>View</v>
      </c>
      <c r="P10225" s="27"/>
    </row>
    <row r="10226">
      <c r="A10226" s="14">
        <v>43032.202418981484</v>
      </c>
      <c r="B10226" s="20" t="str">
        <f>HYPERLINK("https://twitter.com/rajnika97814635","@rajnika97814635")</f>
        <v>@rajnika97814635</v>
      </c>
      <c r="C10226" s="21" t="s">
        <v>21868</v>
      </c>
      <c r="D10226" s="21" t="s">
        <v>42</v>
      </c>
      <c r="E10226" s="22" t="str">
        <f>HYPERLINK("https://twitter.com/rajnika97814635/status/922792658094972928","922792658094972928")</f>
        <v>922792658094972928</v>
      </c>
      <c r="F10226" s="23" t="s">
        <v>33</v>
      </c>
      <c r="G10226" s="24">
        <v>217.0</v>
      </c>
      <c r="H10226" s="24">
        <v>403.0</v>
      </c>
      <c r="I10226" s="24">
        <v>8501.0</v>
      </c>
      <c r="J10226" s="24">
        <v>0.0</v>
      </c>
      <c r="K10226" s="23" t="s">
        <v>34</v>
      </c>
      <c r="L10226" s="25">
        <v>42912.69537037037</v>
      </c>
      <c r="M10226" s="26" t="s">
        <v>21869</v>
      </c>
      <c r="N10226" s="26" t="s">
        <v>21870</v>
      </c>
      <c r="O10226" s="22" t="str">
        <f>HYPERLINK("https://pbs.twimg.com/profile_images/881525780714463232/sXCoonzH_normal.jpg","View")</f>
        <v>View</v>
      </c>
      <c r="P10226" s="27"/>
    </row>
    <row r="10227">
      <c r="A10227" s="14">
        <v>43032.20248842593</v>
      </c>
      <c r="B10227" s="20" t="str">
        <f>HYPERLINK("https://twitter.com/EF51j1","@EF51j1")</f>
        <v>@EF51j1</v>
      </c>
      <c r="C10227" s="31" t="s">
        <v>21871</v>
      </c>
      <c r="D10227" s="21" t="s">
        <v>21625</v>
      </c>
      <c r="E10227" s="22" t="str">
        <f>HYPERLINK("https://twitter.com/EF51j1/status/922792686112923649","922792686112923649")</f>
        <v>922792686112923649</v>
      </c>
      <c r="F10227" s="23" t="s">
        <v>14456</v>
      </c>
      <c r="G10227" s="24">
        <v>37.0</v>
      </c>
      <c r="H10227" s="24">
        <v>1163.0</v>
      </c>
      <c r="I10227" s="24">
        <v>122.0</v>
      </c>
      <c r="J10227" s="24">
        <v>0.0</v>
      </c>
      <c r="K10227" s="23" t="s">
        <v>34</v>
      </c>
      <c r="L10227" s="25">
        <v>42634.462372685186</v>
      </c>
      <c r="M10227" s="32" t="s">
        <v>1889</v>
      </c>
      <c r="N10227" s="28"/>
      <c r="O10227" s="22" t="str">
        <f>HYPERLINK("https://pbs.twimg.com/profile_images/880250452394246144/FX7z7eez_normal.jpg","View")</f>
        <v>View</v>
      </c>
      <c r="P10227" s="27"/>
    </row>
    <row r="10228">
      <c r="A10228" s="14">
        <v>43032.20248842593</v>
      </c>
      <c r="B10228" s="20" t="str">
        <f>HYPERLINK("https://twitter.com/u_wjp","@u_wjp")</f>
        <v>@u_wjp</v>
      </c>
      <c r="C10228" s="31" t="s">
        <v>21872</v>
      </c>
      <c r="D10228" s="21" t="s">
        <v>21625</v>
      </c>
      <c r="E10228" s="22" t="str">
        <f>HYPERLINK("https://twitter.com/u_wjp/status/922792686293340162","922792686293340162")</f>
        <v>922792686293340162</v>
      </c>
      <c r="F10228" s="23" t="s">
        <v>14456</v>
      </c>
      <c r="G10228" s="24">
        <v>42.0</v>
      </c>
      <c r="H10228" s="24">
        <v>1212.0</v>
      </c>
      <c r="I10228" s="24">
        <v>122.0</v>
      </c>
      <c r="J10228" s="24">
        <v>0.0</v>
      </c>
      <c r="K10228" s="23" t="s">
        <v>34</v>
      </c>
      <c r="L10228" s="25">
        <v>42636.34045138889</v>
      </c>
      <c r="M10228" s="32" t="s">
        <v>21873</v>
      </c>
      <c r="N10228" s="28"/>
      <c r="O10228" s="22" t="str">
        <f>HYPERLINK("https://pbs.twimg.com/profile_images/779337673743953920/YN-zXa5o_normal.jpg","View")</f>
        <v>View</v>
      </c>
      <c r="P10228" s="27"/>
    </row>
    <row r="10229">
      <c r="A10229" s="14">
        <v>43032.20248842593</v>
      </c>
      <c r="B10229" s="20" t="str">
        <f>HYPERLINK("https://twitter.com/rdzh_n3f","@rdzh_n3f")</f>
        <v>@rdzh_n3f</v>
      </c>
      <c r="C10229" s="31" t="s">
        <v>21874</v>
      </c>
      <c r="D10229" s="21" t="s">
        <v>21625</v>
      </c>
      <c r="E10229" s="22" t="str">
        <f>HYPERLINK("https://twitter.com/rdzh_n3f/status/922792686398201857","922792686398201857")</f>
        <v>922792686398201857</v>
      </c>
      <c r="F10229" s="23" t="s">
        <v>14456</v>
      </c>
      <c r="G10229" s="24">
        <v>40.0</v>
      </c>
      <c r="H10229" s="24">
        <v>1057.0</v>
      </c>
      <c r="I10229" s="24">
        <v>122.0</v>
      </c>
      <c r="J10229" s="24">
        <v>0.0</v>
      </c>
      <c r="K10229" s="23" t="s">
        <v>34</v>
      </c>
      <c r="L10229" s="25">
        <v>42652.326840277776</v>
      </c>
      <c r="M10229" s="28"/>
      <c r="N10229" s="32" t="s">
        <v>21875</v>
      </c>
      <c r="O10229" s="22" t="str">
        <f>HYPERLINK("https://pbs.twimg.com/profile_images/785131005082468352/e-V_Izic_normal.jpg","View")</f>
        <v>View</v>
      </c>
      <c r="P10229" s="27"/>
    </row>
    <row r="10230">
      <c r="A10230" s="14">
        <v>43032.20248842593</v>
      </c>
      <c r="B10230" s="20" t="str">
        <f>HYPERLINK("https://twitter.com/QwcNs8","@QwcNs8")</f>
        <v>@QwcNs8</v>
      </c>
      <c r="C10230" s="31" t="s">
        <v>21876</v>
      </c>
      <c r="D10230" s="21" t="s">
        <v>21625</v>
      </c>
      <c r="E10230" s="22" t="str">
        <f>HYPERLINK("https://twitter.com/QwcNs8/status/922792686784073728","922792686784073728")</f>
        <v>922792686784073728</v>
      </c>
      <c r="F10230" s="23" t="s">
        <v>14456</v>
      </c>
      <c r="G10230" s="24">
        <v>42.0</v>
      </c>
      <c r="H10230" s="24">
        <v>1125.0</v>
      </c>
      <c r="I10230" s="24">
        <v>122.0</v>
      </c>
      <c r="J10230" s="24">
        <v>0.0</v>
      </c>
      <c r="K10230" s="23" t="s">
        <v>34</v>
      </c>
      <c r="L10230" s="25">
        <v>42648.39011574074</v>
      </c>
      <c r="M10230" s="32" t="s">
        <v>21877</v>
      </c>
      <c r="N10230" s="28"/>
      <c r="O10230" s="22" t="str">
        <f>HYPERLINK("https://pbs.twimg.com/profile_images/783704332311166980/wM2mXXfL_normal.jpg","View")</f>
        <v>View</v>
      </c>
      <c r="P10230" s="27"/>
    </row>
    <row r="10231">
      <c r="A10231" s="14">
        <v>43032.2025</v>
      </c>
      <c r="B10231" s="20" t="str">
        <f>HYPERLINK("https://twitter.com/pvuh_zr","@pvuh_zr")</f>
        <v>@pvuh_zr</v>
      </c>
      <c r="C10231" s="31" t="s">
        <v>21878</v>
      </c>
      <c r="D10231" s="21" t="s">
        <v>21625</v>
      </c>
      <c r="E10231" s="22" t="str">
        <f>HYPERLINK("https://twitter.com/pvuh_zr/status/922792687698370561","922792687698370561")</f>
        <v>922792687698370561</v>
      </c>
      <c r="F10231" s="23" t="s">
        <v>14456</v>
      </c>
      <c r="G10231" s="24">
        <v>62.0</v>
      </c>
      <c r="H10231" s="24">
        <v>1087.0</v>
      </c>
      <c r="I10231" s="24">
        <v>122.0</v>
      </c>
      <c r="J10231" s="24">
        <v>0.0</v>
      </c>
      <c r="K10231" s="23" t="s">
        <v>34</v>
      </c>
      <c r="L10231" s="25">
        <v>42759.641180555554</v>
      </c>
      <c r="M10231" s="32" t="s">
        <v>1889</v>
      </c>
      <c r="N10231" s="32" t="s">
        <v>21879</v>
      </c>
      <c r="O10231" s="22" t="str">
        <f>HYPERLINK("https://pbs.twimg.com/profile_images/911265720301948928/XyN6j9Lb_normal.jpg","View")</f>
        <v>View</v>
      </c>
      <c r="P10231" s="27"/>
    </row>
    <row r="10232">
      <c r="A10232" s="14">
        <v>43032.2025</v>
      </c>
      <c r="B10232" s="20" t="str">
        <f>HYPERLINK("https://twitter.com/mwb1_n","@mwb1_n")</f>
        <v>@mwb1_n</v>
      </c>
      <c r="C10232" s="31" t="s">
        <v>21880</v>
      </c>
      <c r="D10232" s="21" t="s">
        <v>21625</v>
      </c>
      <c r="E10232" s="22" t="str">
        <f>HYPERLINK("https://twitter.com/mwb1_n/status/922792687723597824","922792687723597824")</f>
        <v>922792687723597824</v>
      </c>
      <c r="F10232" s="23" t="s">
        <v>14456</v>
      </c>
      <c r="G10232" s="24">
        <v>59.0</v>
      </c>
      <c r="H10232" s="24">
        <v>1063.0</v>
      </c>
      <c r="I10232" s="24">
        <v>122.0</v>
      </c>
      <c r="J10232" s="24">
        <v>0.0</v>
      </c>
      <c r="K10232" s="23" t="s">
        <v>34</v>
      </c>
      <c r="L10232" s="25">
        <v>42638.44553240741</v>
      </c>
      <c r="M10232" s="32" t="s">
        <v>21779</v>
      </c>
      <c r="N10232" s="28"/>
      <c r="O10232" s="22" t="str">
        <f>HYPERLINK("https://pbs.twimg.com/profile_images/780100365857554432/Cqawa_dP_normal.jpg","View")</f>
        <v>View</v>
      </c>
      <c r="P10232" s="27"/>
    </row>
    <row r="10233">
      <c r="A10233" s="14">
        <v>43032.2025</v>
      </c>
      <c r="B10233" s="20" t="str">
        <f>HYPERLINK("https://twitter.com/dn_nbs","@dn_nbs")</f>
        <v>@dn_nbs</v>
      </c>
      <c r="C10233" s="31" t="s">
        <v>21881</v>
      </c>
      <c r="D10233" s="21" t="s">
        <v>21625</v>
      </c>
      <c r="E10233" s="22" t="str">
        <f>HYPERLINK("https://twitter.com/dn_nbs/status/922792688138838016","922792688138838016")</f>
        <v>922792688138838016</v>
      </c>
      <c r="F10233" s="23" t="s">
        <v>14456</v>
      </c>
      <c r="G10233" s="24">
        <v>32.0</v>
      </c>
      <c r="H10233" s="24">
        <v>1030.0</v>
      </c>
      <c r="I10233" s="24">
        <v>122.0</v>
      </c>
      <c r="J10233" s="24">
        <v>0.0</v>
      </c>
      <c r="K10233" s="23" t="s">
        <v>34</v>
      </c>
      <c r="L10233" s="25">
        <v>42656.17828703704</v>
      </c>
      <c r="M10233" s="32" t="s">
        <v>21882</v>
      </c>
      <c r="N10233" s="32" t="s">
        <v>21883</v>
      </c>
      <c r="O10233" s="22" t="str">
        <f>HYPERLINK("https://pbs.twimg.com/profile_images/786526386353741824/sNXdB5zx_normal.jpg","View")</f>
        <v>View</v>
      </c>
      <c r="P10233" s="27"/>
    </row>
    <row r="10234">
      <c r="A10234" s="14">
        <v>43032.2025</v>
      </c>
      <c r="B10234" s="20" t="str">
        <f>HYPERLINK("https://twitter.com/qc_pt","@qc_pt")</f>
        <v>@qc_pt</v>
      </c>
      <c r="C10234" s="31" t="s">
        <v>21884</v>
      </c>
      <c r="D10234" s="21" t="s">
        <v>21625</v>
      </c>
      <c r="E10234" s="22" t="str">
        <f>HYPERLINK("https://twitter.com/qc_pt/status/922792688226918400","922792688226918400")</f>
        <v>922792688226918400</v>
      </c>
      <c r="F10234" s="23" t="s">
        <v>14456</v>
      </c>
      <c r="G10234" s="24">
        <v>34.0</v>
      </c>
      <c r="H10234" s="24">
        <v>1130.0</v>
      </c>
      <c r="I10234" s="24">
        <v>122.0</v>
      </c>
      <c r="J10234" s="24">
        <v>0.0</v>
      </c>
      <c r="K10234" s="23" t="s">
        <v>34</v>
      </c>
      <c r="L10234" s="25">
        <v>42634.56097222222</v>
      </c>
      <c r="M10234" s="32" t="s">
        <v>21885</v>
      </c>
      <c r="N10234" s="32" t="s">
        <v>21886</v>
      </c>
      <c r="O10234" s="22" t="str">
        <f>HYPERLINK("https://pbs.twimg.com/profile_images/846580760085774336/3ubDMRQm_normal.jpg","View")</f>
        <v>View</v>
      </c>
      <c r="P10234" s="27"/>
    </row>
    <row r="10235">
      <c r="A10235" s="14">
        <v>43032.2025</v>
      </c>
      <c r="B10235" s="20" t="str">
        <f>HYPERLINK("https://twitter.com/UVobf","@UVobf")</f>
        <v>@UVobf</v>
      </c>
      <c r="C10235" s="31" t="s">
        <v>21887</v>
      </c>
      <c r="D10235" s="21" t="s">
        <v>21625</v>
      </c>
      <c r="E10235" s="22" t="str">
        <f>HYPERLINK("https://twitter.com/UVobf/status/922792688658862085","922792688658862085")</f>
        <v>922792688658862085</v>
      </c>
      <c r="F10235" s="23" t="s">
        <v>14456</v>
      </c>
      <c r="G10235" s="24">
        <v>53.0</v>
      </c>
      <c r="H10235" s="24">
        <v>1212.0</v>
      </c>
      <c r="I10235" s="24">
        <v>122.0</v>
      </c>
      <c r="J10235" s="24">
        <v>0.0</v>
      </c>
      <c r="K10235" s="23" t="s">
        <v>34</v>
      </c>
      <c r="L10235" s="25">
        <v>42636.35319444444</v>
      </c>
      <c r="M10235" s="32" t="s">
        <v>21888</v>
      </c>
      <c r="N10235" s="28"/>
      <c r="O10235" s="22" t="str">
        <f>HYPERLINK("https://pbs.twimg.com/profile_images/779342065587093505/a-d0wMfh_normal.jpg","View")</f>
        <v>View</v>
      </c>
      <c r="P10235" s="27"/>
    </row>
    <row r="10236">
      <c r="A10236" s="14">
        <v>43032.2025</v>
      </c>
      <c r="B10236" s="20" t="str">
        <f>HYPERLINK("https://twitter.com/x_8355","@x_8355")</f>
        <v>@x_8355</v>
      </c>
      <c r="C10236" s="31" t="s">
        <v>21889</v>
      </c>
      <c r="D10236" s="21" t="s">
        <v>21625</v>
      </c>
      <c r="E10236" s="22" t="str">
        <f>HYPERLINK("https://twitter.com/x_8355/status/922792689850114048","922792689850114048")</f>
        <v>922792689850114048</v>
      </c>
      <c r="F10236" s="23" t="s">
        <v>14456</v>
      </c>
      <c r="G10236" s="24">
        <v>72.0</v>
      </c>
      <c r="H10236" s="24">
        <v>1000.0</v>
      </c>
      <c r="I10236" s="24">
        <v>122.0</v>
      </c>
      <c r="J10236" s="24">
        <v>0.0</v>
      </c>
      <c r="K10236" s="23" t="s">
        <v>34</v>
      </c>
      <c r="L10236" s="25">
        <v>42786.80672453703</v>
      </c>
      <c r="M10236" s="32" t="s">
        <v>1889</v>
      </c>
      <c r="N10236" s="32" t="s">
        <v>21890</v>
      </c>
      <c r="O10236" s="22" t="str">
        <f>HYPERLINK("https://pbs.twimg.com/profile_images/833890461009973248/nZJcgn1-_normal.jpg","View")</f>
        <v>View</v>
      </c>
      <c r="P10236" s="27"/>
    </row>
    <row r="10237">
      <c r="A10237" s="14">
        <v>43032.2027662037</v>
      </c>
      <c r="B10237" s="20" t="str">
        <f>HYPERLINK("https://twitter.com/blackgodcb3","@blackgodcb3")</f>
        <v>@blackgodcb3</v>
      </c>
      <c r="C10237" s="21" t="s">
        <v>21891</v>
      </c>
      <c r="D10237" s="21" t="s">
        <v>21625</v>
      </c>
      <c r="E10237" s="22" t="str">
        <f>HYPERLINK("https://twitter.com/blackgodcb3/status/922792786155458561","922792786155458561")</f>
        <v>922792786155458561</v>
      </c>
      <c r="F10237" s="23" t="s">
        <v>230</v>
      </c>
      <c r="G10237" s="24">
        <v>20671.0</v>
      </c>
      <c r="H10237" s="24">
        <v>3351.0</v>
      </c>
      <c r="I10237" s="24">
        <v>122.0</v>
      </c>
      <c r="J10237" s="24">
        <v>0.0</v>
      </c>
      <c r="K10237" s="23" t="s">
        <v>34</v>
      </c>
      <c r="L10237" s="25">
        <v>42726.858125</v>
      </c>
      <c r="M10237" s="28"/>
      <c r="N10237" s="26" t="s">
        <v>21892</v>
      </c>
      <c r="O10237" s="22" t="str">
        <f>HYPERLINK("https://pbs.twimg.com/profile_images/815369356825821185/0jEoGY_7_normal.jpg","View")</f>
        <v>View</v>
      </c>
      <c r="P10237" s="27"/>
    </row>
    <row r="10238">
      <c r="A10238" s="14">
        <v>43032.203055555554</v>
      </c>
      <c r="B10238" s="20" t="str">
        <f>HYPERLINK("https://twitter.com/HareshMirchand6","@HareshMirchand6")</f>
        <v>@HareshMirchand6</v>
      </c>
      <c r="C10238" s="21" t="s">
        <v>1261</v>
      </c>
      <c r="D10238" s="21" t="s">
        <v>21625</v>
      </c>
      <c r="E10238" s="22" t="str">
        <f>HYPERLINK("https://twitter.com/HareshMirchand6/status/922792890341892096","922792890341892096")</f>
        <v>922792890341892096</v>
      </c>
      <c r="F10238" s="23" t="s">
        <v>33</v>
      </c>
      <c r="G10238" s="24">
        <v>1.0</v>
      </c>
      <c r="H10238" s="24">
        <v>31.0</v>
      </c>
      <c r="I10238" s="24">
        <v>122.0</v>
      </c>
      <c r="J10238" s="24">
        <v>0.0</v>
      </c>
      <c r="K10238" s="23" t="s">
        <v>34</v>
      </c>
      <c r="L10238" s="25">
        <v>43010.08868055556</v>
      </c>
      <c r="M10238" s="28"/>
      <c r="N10238" s="28"/>
      <c r="O10238" s="22" t="str">
        <f>HYPERLINK("https://abs.twimg.com/sticky/default_profile_images/default_profile_normal.png","View")</f>
        <v>View</v>
      </c>
      <c r="P10238" s="27"/>
    </row>
    <row r="10239">
      <c r="A10239" s="14">
        <v>43032.20307870371</v>
      </c>
      <c r="B10239" s="20" t="str">
        <f>HYPERLINK("https://twitter.com/avinashjgd","@avinashjgd")</f>
        <v>@avinashjgd</v>
      </c>
      <c r="C10239" s="21" t="s">
        <v>21893</v>
      </c>
      <c r="D10239" s="21" t="s">
        <v>42</v>
      </c>
      <c r="E10239" s="22" t="str">
        <f>HYPERLINK("https://twitter.com/avinashjgd/status/922792900034928640","922792900034928640")</f>
        <v>922792900034928640</v>
      </c>
      <c r="F10239" s="23" t="s">
        <v>39</v>
      </c>
      <c r="G10239" s="24">
        <v>321.0</v>
      </c>
      <c r="H10239" s="24">
        <v>306.0</v>
      </c>
      <c r="I10239" s="24">
        <v>8501.0</v>
      </c>
      <c r="J10239" s="24">
        <v>0.0</v>
      </c>
      <c r="K10239" s="23" t="s">
        <v>34</v>
      </c>
      <c r="L10239" s="25">
        <v>40002.920011574075</v>
      </c>
      <c r="M10239" s="28"/>
      <c r="N10239" s="26" t="s">
        <v>21894</v>
      </c>
      <c r="O10239" s="22" t="str">
        <f>HYPERLINK("https://pbs.twimg.com/profile_images/792277987743797249/wIaKG0lA_normal.jpg","View")</f>
        <v>View</v>
      </c>
      <c r="P10239" s="27"/>
    </row>
    <row r="10240">
      <c r="A10240" s="14">
        <v>43032.20314814815</v>
      </c>
      <c r="B10240" s="20" t="str">
        <f>HYPERLINK("https://twitter.com/Gishuvski","@Gishuvski")</f>
        <v>@Gishuvski</v>
      </c>
      <c r="C10240" s="21" t="s">
        <v>21895</v>
      </c>
      <c r="D10240" s="21" t="s">
        <v>32</v>
      </c>
      <c r="E10240" s="22" t="str">
        <f>HYPERLINK("https://twitter.com/Gishuvski/status/922792924563279873","922792924563279873")</f>
        <v>922792924563279873</v>
      </c>
      <c r="F10240" s="23" t="s">
        <v>33</v>
      </c>
      <c r="G10240" s="24">
        <v>13644.0</v>
      </c>
      <c r="H10240" s="24">
        <v>3389.0</v>
      </c>
      <c r="I10240" s="24">
        <v>471.0</v>
      </c>
      <c r="J10240" s="24">
        <v>0.0</v>
      </c>
      <c r="K10240" s="23" t="s">
        <v>34</v>
      </c>
      <c r="L10240" s="25">
        <v>40179.23899305556</v>
      </c>
      <c r="M10240" s="26" t="s">
        <v>21896</v>
      </c>
      <c r="N10240" s="26" t="s">
        <v>21897</v>
      </c>
      <c r="O10240" s="22" t="str">
        <f>HYPERLINK("https://pbs.twimg.com/profile_images/753840085943005185/CkcV3DBW_normal.jpg","View")</f>
        <v>View</v>
      </c>
      <c r="P10240" s="27"/>
    </row>
    <row r="10241">
      <c r="A10241" s="14">
        <v>43032.20364583333</v>
      </c>
      <c r="B10241" s="20" t="str">
        <f>HYPERLINK("https://twitter.com/cmgutierrezjr","@cmgutierrezjr")</f>
        <v>@cmgutierrezjr</v>
      </c>
      <c r="C10241" s="21" t="s">
        <v>21898</v>
      </c>
      <c r="D10241" s="21" t="s">
        <v>21417</v>
      </c>
      <c r="E10241" s="22" t="str">
        <f>HYPERLINK("https://twitter.com/cmgutierrezjr/status/922793105266561025","922793105266561025")</f>
        <v>922793105266561025</v>
      </c>
      <c r="F10241" s="23" t="s">
        <v>39</v>
      </c>
      <c r="G10241" s="24">
        <v>20202.0</v>
      </c>
      <c r="H10241" s="24">
        <v>6822.0</v>
      </c>
      <c r="I10241" s="24">
        <v>16.0</v>
      </c>
      <c r="J10241" s="24">
        <v>0.0</v>
      </c>
      <c r="K10241" s="23" t="s">
        <v>34</v>
      </c>
      <c r="L10241" s="25">
        <v>40246.572743055556</v>
      </c>
      <c r="M10241" s="28"/>
      <c r="N10241" s="26" t="s">
        <v>21899</v>
      </c>
      <c r="O10241" s="22" t="str">
        <f>HYPERLINK("https://pbs.twimg.com/profile_images/921050150080040960/6SCy-d-h_normal.jpg","View")</f>
        <v>View</v>
      </c>
      <c r="P10241" s="27"/>
    </row>
    <row r="10242">
      <c r="A10242" s="14">
        <v>43032.20385416667</v>
      </c>
      <c r="B10242" s="20" t="str">
        <f>HYPERLINK("https://twitter.com/Sadogashima123","@Sadogashima123")</f>
        <v>@Sadogashima123</v>
      </c>
      <c r="C10242" s="21" t="s">
        <v>21900</v>
      </c>
      <c r="D10242" s="21" t="s">
        <v>21261</v>
      </c>
      <c r="E10242" s="22" t="str">
        <f>HYPERLINK("https://twitter.com/Sadogashima123/status/922793178616311808","922793178616311808")</f>
        <v>922793178616311808</v>
      </c>
      <c r="F10242" s="23" t="s">
        <v>39</v>
      </c>
      <c r="G10242" s="24">
        <v>3901.0</v>
      </c>
      <c r="H10242" s="24">
        <v>3788.0</v>
      </c>
      <c r="I10242" s="24">
        <v>11.0</v>
      </c>
      <c r="J10242" s="24">
        <v>0.0</v>
      </c>
      <c r="K10242" s="23" t="s">
        <v>34</v>
      </c>
      <c r="L10242" s="25">
        <v>40539.35865740741</v>
      </c>
      <c r="M10242" s="26" t="s">
        <v>21901</v>
      </c>
      <c r="N10242" s="26" t="s">
        <v>21902</v>
      </c>
      <c r="O10242" s="22" t="str">
        <f>HYPERLINK("https://pbs.twimg.com/profile_images/1200081548/270606____________normal.jpg","View")</f>
        <v>View</v>
      </c>
      <c r="P10242" s="27"/>
    </row>
    <row r="10243">
      <c r="A10243" s="14">
        <v>43032.20482638889</v>
      </c>
      <c r="B10243" s="20" t="str">
        <f>HYPERLINK("https://twitter.com/YutMahn","@YutMahn")</f>
        <v>@YutMahn</v>
      </c>
      <c r="C10243" s="21" t="s">
        <v>21903</v>
      </c>
      <c r="D10243" s="21" t="s">
        <v>32</v>
      </c>
      <c r="E10243" s="22" t="str">
        <f>HYPERLINK("https://twitter.com/YutMahn/status/922793532921991169","922793532921991169")</f>
        <v>922793532921991169</v>
      </c>
      <c r="F10243" s="23" t="s">
        <v>86</v>
      </c>
      <c r="G10243" s="24">
        <v>5598.0</v>
      </c>
      <c r="H10243" s="24">
        <v>366.0</v>
      </c>
      <c r="I10243" s="24">
        <v>471.0</v>
      </c>
      <c r="J10243" s="24">
        <v>0.0</v>
      </c>
      <c r="K10243" s="23" t="s">
        <v>34</v>
      </c>
      <c r="L10243" s="25">
        <v>41425.3175</v>
      </c>
      <c r="M10243" s="26" t="s">
        <v>21904</v>
      </c>
      <c r="N10243" s="26" t="s">
        <v>21905</v>
      </c>
      <c r="O10243" s="22" t="str">
        <f>HYPERLINK("https://pbs.twimg.com/profile_images/922940485785841667/dBBhbpr9_normal.jpg","View")</f>
        <v>View</v>
      </c>
      <c r="P10243" s="27"/>
    </row>
    <row r="10244">
      <c r="A10244" s="14">
        <v>43032.20578703703</v>
      </c>
      <c r="B10244" s="20" t="str">
        <f>HYPERLINK("https://twitter.com/g_sugahara","@g_sugahara")</f>
        <v>@g_sugahara</v>
      </c>
      <c r="C10244" s="21" t="s">
        <v>21906</v>
      </c>
      <c r="D10244" s="21" t="s">
        <v>21907</v>
      </c>
      <c r="E10244" s="22" t="str">
        <f>HYPERLINK("https://twitter.com/g_sugahara/status/922793881380548608","922793881380548608")</f>
        <v>922793881380548608</v>
      </c>
      <c r="F10244" s="23" t="s">
        <v>55</v>
      </c>
      <c r="G10244" s="24">
        <v>830.0</v>
      </c>
      <c r="H10244" s="24">
        <v>2593.0</v>
      </c>
      <c r="I10244" s="24">
        <v>0.0</v>
      </c>
      <c r="J10244" s="24">
        <v>0.0</v>
      </c>
      <c r="K10244" s="23" t="s">
        <v>34</v>
      </c>
      <c r="L10244" s="25">
        <v>42093.01710648148</v>
      </c>
      <c r="M10244" s="26" t="s">
        <v>21908</v>
      </c>
      <c r="N10244" s="26" t="s">
        <v>21909</v>
      </c>
      <c r="O10244" s="22" t="str">
        <f>HYPERLINK("https://pbs.twimg.com/profile_images/786284479698599936/bRHX4EMd_normal.jpg","View")</f>
        <v>View</v>
      </c>
      <c r="P10244" s="27"/>
    </row>
    <row r="10245">
      <c r="A10245" s="14">
        <v>43032.20606481482</v>
      </c>
      <c r="B10245" s="20" t="str">
        <f>HYPERLINK("https://twitter.com/DrKudrigikar","@DrKudrigikar")</f>
        <v>@DrKudrigikar</v>
      </c>
      <c r="C10245" s="21" t="s">
        <v>21910</v>
      </c>
      <c r="D10245" s="21" t="s">
        <v>42</v>
      </c>
      <c r="E10245" s="22" t="str">
        <f>HYPERLINK("https://twitter.com/DrKudrigikar/status/922793980755976192","922793980755976192")</f>
        <v>922793980755976192</v>
      </c>
      <c r="F10245" s="23" t="s">
        <v>33</v>
      </c>
      <c r="G10245" s="24">
        <v>35.0</v>
      </c>
      <c r="H10245" s="24">
        <v>24.0</v>
      </c>
      <c r="I10245" s="24">
        <v>8501.0</v>
      </c>
      <c r="J10245" s="24">
        <v>0.0</v>
      </c>
      <c r="K10245" s="23" t="s">
        <v>34</v>
      </c>
      <c r="L10245" s="25">
        <v>42962.92409722222</v>
      </c>
      <c r="M10245" s="26" t="s">
        <v>207</v>
      </c>
      <c r="N10245" s="26" t="s">
        <v>21911</v>
      </c>
      <c r="O10245" s="22" t="str">
        <f>HYPERLINK("https://pbs.twimg.com/profile_images/897723972841820160/7VJoc2lQ_normal.jpg","View")</f>
        <v>View</v>
      </c>
      <c r="P10245" s="27"/>
    </row>
    <row r="10246">
      <c r="A10246" s="14">
        <v>43032.20688657407</v>
      </c>
      <c r="B10246" s="20" t="str">
        <f>HYPERLINK("https://twitter.com/AmwalAlGhad_EN","@AmwalAlGhad_EN")</f>
        <v>@AmwalAlGhad_EN</v>
      </c>
      <c r="C10246" s="21" t="s">
        <v>21912</v>
      </c>
      <c r="D10246" s="21" t="s">
        <v>21913</v>
      </c>
      <c r="E10246" s="22" t="str">
        <f>HYPERLINK("https://twitter.com/AmwalAlGhad_EN/status/922794278270701568","922794278270701568")</f>
        <v>922794278270701568</v>
      </c>
      <c r="F10246" s="23" t="s">
        <v>427</v>
      </c>
      <c r="G10246" s="24">
        <v>869.0</v>
      </c>
      <c r="H10246" s="24">
        <v>362.0</v>
      </c>
      <c r="I10246" s="24">
        <v>0.0</v>
      </c>
      <c r="J10246" s="24">
        <v>0.0</v>
      </c>
      <c r="K10246" s="23" t="s">
        <v>34</v>
      </c>
      <c r="L10246" s="25">
        <v>40973.19253472222</v>
      </c>
      <c r="M10246" s="26" t="s">
        <v>10743</v>
      </c>
      <c r="N10246" s="26" t="s">
        <v>21914</v>
      </c>
      <c r="O10246" s="22" t="str">
        <f>HYPERLINK("https://pbs.twimg.com/profile_images/1874504895/amwal1_normal.jpg","View")</f>
        <v>View</v>
      </c>
      <c r="P10246" s="27"/>
    </row>
    <row r="10247">
      <c r="A10247" s="14">
        <v>43032.20696759259</v>
      </c>
      <c r="B10247" s="20" t="str">
        <f>HYPERLINK("https://twitter.com/COMOLOVEOYO","@COMOLOVEOYO")</f>
        <v>@COMOLOVEOYO</v>
      </c>
      <c r="C10247" s="21" t="s">
        <v>21915</v>
      </c>
      <c r="D10247" s="21" t="s">
        <v>16537</v>
      </c>
      <c r="E10247" s="22" t="str">
        <f>HYPERLINK("https://twitter.com/COMOLOVEOYO/status/922794310277500928","922794310277500928")</f>
        <v>922794310277500928</v>
      </c>
      <c r="F10247" s="23" t="s">
        <v>33</v>
      </c>
      <c r="G10247" s="24">
        <v>2156.0</v>
      </c>
      <c r="H10247" s="24">
        <v>4011.0</v>
      </c>
      <c r="I10247" s="24">
        <v>242.0</v>
      </c>
      <c r="J10247" s="24">
        <v>0.0</v>
      </c>
      <c r="K10247" s="23" t="s">
        <v>34</v>
      </c>
      <c r="L10247" s="25">
        <v>40514.56853009259</v>
      </c>
      <c r="M10247" s="26" t="s">
        <v>21916</v>
      </c>
      <c r="N10247" s="26" t="s">
        <v>21917</v>
      </c>
      <c r="O10247" s="22" t="str">
        <f>HYPERLINK("https://pbs.twimg.com/profile_images/863156489338355712/I5qlOWVC_normal.jpg","View")</f>
        <v>View</v>
      </c>
      <c r="P10247" s="27"/>
    </row>
    <row r="10248">
      <c r="A10248" s="14">
        <v>43032.207280092596</v>
      </c>
      <c r="B10248" s="20" t="str">
        <f>HYPERLINK("https://twitter.com/quyou684098","@quyou684098")</f>
        <v>@quyou684098</v>
      </c>
      <c r="C10248" s="21" t="s">
        <v>21918</v>
      </c>
      <c r="D10248" s="21" t="s">
        <v>105</v>
      </c>
      <c r="E10248" s="22" t="str">
        <f>HYPERLINK("https://twitter.com/quyou684098/status/922794421422145536","922794421422145536")</f>
        <v>922794421422145536</v>
      </c>
      <c r="F10248" s="23" t="s">
        <v>55</v>
      </c>
      <c r="G10248" s="24">
        <v>21.0</v>
      </c>
      <c r="H10248" s="24">
        <v>2.0</v>
      </c>
      <c r="I10248" s="24">
        <v>69.0</v>
      </c>
      <c r="J10248" s="24">
        <v>0.0</v>
      </c>
      <c r="K10248" s="23" t="s">
        <v>34</v>
      </c>
      <c r="L10248" s="25">
        <v>42312.13829861111</v>
      </c>
      <c r="M10248" s="28"/>
      <c r="N10248" s="28"/>
      <c r="O10248" s="22" t="str">
        <f>HYPERLINK("https://pbs.twimg.com/profile_images/911587203347759104/ty-lDBR-_normal.jpg","View")</f>
        <v>View</v>
      </c>
      <c r="P10248" s="27"/>
    </row>
    <row r="10249">
      <c r="A10249" s="14">
        <v>43032.209143518514</v>
      </c>
      <c r="B10249" s="20" t="str">
        <f>HYPERLINK("https://twitter.com/Robs_News","@Robs_News")</f>
        <v>@Robs_News</v>
      </c>
      <c r="C10249" s="21" t="s">
        <v>17355</v>
      </c>
      <c r="D10249" s="21" t="s">
        <v>14748</v>
      </c>
      <c r="E10249" s="22" t="str">
        <f>HYPERLINK("https://twitter.com/Robs_News/status/922795096545820674","922795096545820674")</f>
        <v>922795096545820674</v>
      </c>
      <c r="F10249" s="23" t="s">
        <v>39</v>
      </c>
      <c r="G10249" s="24">
        <v>21.0</v>
      </c>
      <c r="H10249" s="24">
        <v>30.0</v>
      </c>
      <c r="I10249" s="24">
        <v>46.0</v>
      </c>
      <c r="J10249" s="24">
        <v>0.0</v>
      </c>
      <c r="K10249" s="23" t="s">
        <v>34</v>
      </c>
      <c r="L10249" s="25">
        <v>43000.271469907406</v>
      </c>
      <c r="M10249" s="28"/>
      <c r="N10249" s="26" t="s">
        <v>17356</v>
      </c>
      <c r="O10249" s="22" t="str">
        <f>HYPERLINK("https://pbs.twimg.com/profile_images/911223639386796032/xo79RmLw_normal.jpg","View")</f>
        <v>View</v>
      </c>
      <c r="P10249" s="27"/>
    </row>
    <row r="10250">
      <c r="A10250" s="14">
        <v>43032.20924768518</v>
      </c>
      <c r="B10250" s="20" t="str">
        <f>HYPERLINK("https://twitter.com/theknifemedia","@theknifemedia")</f>
        <v>@theknifemedia</v>
      </c>
      <c r="C10250" s="21" t="s">
        <v>8367</v>
      </c>
      <c r="D10250" s="21" t="s">
        <v>21919</v>
      </c>
      <c r="E10250" s="22" t="str">
        <f>HYPERLINK("https://twitter.com/theknifemedia/status/922795134076506112","922795134076506112")</f>
        <v>922795134076506112</v>
      </c>
      <c r="F10250" s="23" t="s">
        <v>4619</v>
      </c>
      <c r="G10250" s="24">
        <v>3088.0</v>
      </c>
      <c r="H10250" s="24">
        <v>1604.0</v>
      </c>
      <c r="I10250" s="24">
        <v>0.0</v>
      </c>
      <c r="J10250" s="24">
        <v>1.0</v>
      </c>
      <c r="K10250" s="23" t="s">
        <v>34</v>
      </c>
      <c r="L10250" s="25">
        <v>42275.53983796296</v>
      </c>
      <c r="M10250" s="28"/>
      <c r="N10250" s="26" t="s">
        <v>8369</v>
      </c>
      <c r="O10250" s="22" t="str">
        <f>HYPERLINK("https://pbs.twimg.com/profile_images/884501064657121280/_jMX1apl_normal.jpg","View")</f>
        <v>View</v>
      </c>
      <c r="P10250" s="27"/>
    </row>
    <row r="10251">
      <c r="A10251" s="14">
        <v>43032.20989583334</v>
      </c>
      <c r="B10251" s="20" t="str">
        <f>HYPERLINK("https://twitter.com/BooLee7","@BooLee7")</f>
        <v>@BooLee7</v>
      </c>
      <c r="C10251" s="21" t="s">
        <v>21920</v>
      </c>
      <c r="D10251" s="21" t="s">
        <v>42</v>
      </c>
      <c r="E10251" s="22" t="str">
        <f>HYPERLINK("https://twitter.com/BooLee7/status/922795371440390144","922795371440390144")</f>
        <v>922795371440390144</v>
      </c>
      <c r="F10251" s="23" t="s">
        <v>55</v>
      </c>
      <c r="G10251" s="24">
        <v>565.0</v>
      </c>
      <c r="H10251" s="24">
        <v>572.0</v>
      </c>
      <c r="I10251" s="24">
        <v>8501.0</v>
      </c>
      <c r="J10251" s="24">
        <v>0.0</v>
      </c>
      <c r="K10251" s="23" t="s">
        <v>34</v>
      </c>
      <c r="L10251" s="25">
        <v>40256.00256944445</v>
      </c>
      <c r="M10251" s="26" t="s">
        <v>21921</v>
      </c>
      <c r="N10251" s="26" t="s">
        <v>21922</v>
      </c>
      <c r="O10251" s="22" t="str">
        <f>HYPERLINK("https://pbs.twimg.com/profile_images/1158990241/DVC00032_505_normal.jpg","View")</f>
        <v>View</v>
      </c>
      <c r="P10251" s="27"/>
    </row>
    <row r="10252">
      <c r="A10252" s="14">
        <v>43032.21005787037</v>
      </c>
      <c r="B10252" s="20" t="str">
        <f>HYPERLINK("https://twitter.com/TheStephenRalph","@TheStephenRalph")</f>
        <v>@TheStephenRalph</v>
      </c>
      <c r="C10252" s="21" t="s">
        <v>21923</v>
      </c>
      <c r="D10252" s="21" t="s">
        <v>13295</v>
      </c>
      <c r="E10252" s="22" t="str">
        <f>HYPERLINK("https://twitter.com/TheStephenRalph/status/922795427153502208","922795427153502208")</f>
        <v>922795427153502208</v>
      </c>
      <c r="F10252" s="23" t="s">
        <v>55</v>
      </c>
      <c r="G10252" s="24">
        <v>2562.0</v>
      </c>
      <c r="H10252" s="24">
        <v>4068.0</v>
      </c>
      <c r="I10252" s="24">
        <v>19.0</v>
      </c>
      <c r="J10252" s="24">
        <v>0.0</v>
      </c>
      <c r="K10252" s="23" t="s">
        <v>34</v>
      </c>
      <c r="L10252" s="25">
        <v>40712.24153935185</v>
      </c>
      <c r="M10252" s="26" t="s">
        <v>21924</v>
      </c>
      <c r="N10252" s="26" t="s">
        <v>21925</v>
      </c>
      <c r="O10252" s="22" t="str">
        <f>HYPERLINK("https://pbs.twimg.com/profile_images/917204753376985090/hyDW78Bm_normal.jpg","View")</f>
        <v>View</v>
      </c>
      <c r="P10252" s="27"/>
    </row>
    <row r="10253">
      <c r="A10253" s="14">
        <v>43032.210277777776</v>
      </c>
      <c r="B10253" s="20" t="str">
        <f>HYPERLINK("https://twitter.com/PaulReveal1","@PaulReveal1")</f>
        <v>@PaulReveal1</v>
      </c>
      <c r="C10253" s="21" t="s">
        <v>21926</v>
      </c>
      <c r="D10253" s="21" t="s">
        <v>16537</v>
      </c>
      <c r="E10253" s="22" t="str">
        <f>HYPERLINK("https://twitter.com/PaulReveal1/status/922795506476167168","922795506476167168")</f>
        <v>922795506476167168</v>
      </c>
      <c r="F10253" s="23" t="s">
        <v>33</v>
      </c>
      <c r="G10253" s="24">
        <v>44.0</v>
      </c>
      <c r="H10253" s="24">
        <v>161.0</v>
      </c>
      <c r="I10253" s="24">
        <v>242.0</v>
      </c>
      <c r="J10253" s="24">
        <v>0.0</v>
      </c>
      <c r="K10253" s="23" t="s">
        <v>34</v>
      </c>
      <c r="L10253" s="25">
        <v>42842.73024305556</v>
      </c>
      <c r="M10253" s="28"/>
      <c r="N10253" s="28"/>
      <c r="O10253" s="22" t="str">
        <f>HYPERLINK("https://abs.twimg.com/sticky/default_profile_images/default_profile_normal.png","View")</f>
        <v>View</v>
      </c>
      <c r="P10253" s="27"/>
    </row>
    <row r="10254">
      <c r="A10254" s="14">
        <v>43032.21041666667</v>
      </c>
      <c r="B10254" s="20" t="str">
        <f>HYPERLINK("https://twitter.com/RUSSELLCALKINS","@RUSSELLCALKINS")</f>
        <v>@RUSSELLCALKINS</v>
      </c>
      <c r="C10254" s="21" t="s">
        <v>21927</v>
      </c>
      <c r="D10254" s="21" t="s">
        <v>21928</v>
      </c>
      <c r="E10254" s="22" t="str">
        <f>HYPERLINK("https://twitter.com/RUSSELLCALKINS/status/922795556690210817","922795556690210817")</f>
        <v>922795556690210817</v>
      </c>
      <c r="F10254" s="23" t="s">
        <v>48</v>
      </c>
      <c r="G10254" s="24">
        <v>89.0</v>
      </c>
      <c r="H10254" s="24">
        <v>375.0</v>
      </c>
      <c r="I10254" s="24">
        <v>0.0</v>
      </c>
      <c r="J10254" s="24">
        <v>0.0</v>
      </c>
      <c r="K10254" s="23" t="s">
        <v>34</v>
      </c>
      <c r="L10254" s="25">
        <v>39912.82297453703</v>
      </c>
      <c r="M10254" s="26" t="s">
        <v>17826</v>
      </c>
      <c r="N10254" s="26" t="s">
        <v>21929</v>
      </c>
      <c r="O10254" s="22" t="str">
        <f>HYPERLINK("https://pbs.twimg.com/profile_images/535566010732912640/3UoZ9kDS_normal.jpeg","View")</f>
        <v>View</v>
      </c>
      <c r="P10254" s="27"/>
    </row>
    <row r="10255">
      <c r="A10255" s="14">
        <v>43032.210868055554</v>
      </c>
      <c r="B10255" s="20" t="str">
        <f>HYPERLINK("https://twitter.com/EZRAwaCHELSKI","@EZRAwaCHELSKI")</f>
        <v>@EZRAwaCHELSKI</v>
      </c>
      <c r="C10255" s="21" t="s">
        <v>21930</v>
      </c>
      <c r="D10255" s="21" t="s">
        <v>32</v>
      </c>
      <c r="E10255" s="22" t="str">
        <f>HYPERLINK("https://twitter.com/EZRAwaCHELSKI/status/922795720947720194","922795720947720194")</f>
        <v>922795720947720194</v>
      </c>
      <c r="F10255" s="23" t="s">
        <v>3895</v>
      </c>
      <c r="G10255" s="24">
        <v>3552.0</v>
      </c>
      <c r="H10255" s="24">
        <v>811.0</v>
      </c>
      <c r="I10255" s="24">
        <v>471.0</v>
      </c>
      <c r="J10255" s="24">
        <v>0.0</v>
      </c>
      <c r="K10255" s="23" t="s">
        <v>34</v>
      </c>
      <c r="L10255" s="25">
        <v>40597.45688657407</v>
      </c>
      <c r="M10255" s="26" t="s">
        <v>21931</v>
      </c>
      <c r="N10255" s="26" t="s">
        <v>21932</v>
      </c>
      <c r="O10255" s="22" t="str">
        <f>HYPERLINK("https://pbs.twimg.com/profile_images/871775537076809728/2t6RpHAm_normal.jpg","View")</f>
        <v>View</v>
      </c>
      <c r="P10255" s="27"/>
    </row>
    <row r="10256">
      <c r="A10256" s="14">
        <v>43032.21089120371</v>
      </c>
      <c r="B10256" s="20" t="str">
        <f>HYPERLINK("https://twitter.com/devotion4state","@devotion4state")</f>
        <v>@devotion4state</v>
      </c>
      <c r="C10256" s="21" t="s">
        <v>21933</v>
      </c>
      <c r="D10256" s="21" t="s">
        <v>21202</v>
      </c>
      <c r="E10256" s="22" t="str">
        <f>HYPERLINK("https://twitter.com/devotion4state/status/922795731789819905","922795731789819905")</f>
        <v>922795731789819905</v>
      </c>
      <c r="F10256" s="23" t="s">
        <v>86</v>
      </c>
      <c r="G10256" s="24">
        <v>331.0</v>
      </c>
      <c r="H10256" s="24">
        <v>372.0</v>
      </c>
      <c r="I10256" s="24">
        <v>79.0</v>
      </c>
      <c r="J10256" s="24">
        <v>0.0</v>
      </c>
      <c r="K10256" s="23" t="s">
        <v>34</v>
      </c>
      <c r="L10256" s="25">
        <v>41577.094918981486</v>
      </c>
      <c r="M10256" s="26" t="s">
        <v>40</v>
      </c>
      <c r="N10256" s="26" t="s">
        <v>21192</v>
      </c>
      <c r="O10256" s="22" t="str">
        <f>HYPERLINK("https://pbs.twimg.com/profile_images/378800000668503555/49a98be6cc94bd4cb65b5eb705b18d3b_normal.jpeg","View")</f>
        <v>View</v>
      </c>
      <c r="P10256" s="27"/>
    </row>
    <row r="10257">
      <c r="A10257" s="14">
        <v>43032.21125</v>
      </c>
      <c r="B10257" s="20" t="str">
        <f>HYPERLINK("https://twitter.com/mrmadillnews","@mrmadillnews")</f>
        <v>@mrmadillnews</v>
      </c>
      <c r="C10257" s="21" t="s">
        <v>21934</v>
      </c>
      <c r="D10257" s="21" t="s">
        <v>17675</v>
      </c>
      <c r="E10257" s="22" t="str">
        <f>HYPERLINK("https://twitter.com/mrmadillnews/status/922795860282544128","922795860282544128")</f>
        <v>922795860282544128</v>
      </c>
      <c r="F10257" s="23" t="s">
        <v>39</v>
      </c>
      <c r="G10257" s="24">
        <v>145.0</v>
      </c>
      <c r="H10257" s="24">
        <v>30.0</v>
      </c>
      <c r="I10257" s="24">
        <v>18.0</v>
      </c>
      <c r="J10257" s="24">
        <v>0.0</v>
      </c>
      <c r="K10257" s="23" t="s">
        <v>34</v>
      </c>
      <c r="L10257" s="25">
        <v>42400.70586805556</v>
      </c>
      <c r="M10257" s="28"/>
      <c r="N10257" s="28"/>
      <c r="O10257" s="22" t="str">
        <f>HYPERLINK("https://pbs.twimg.com/profile_images/785916554277978116/8OgSgckT_normal.jpg","View")</f>
        <v>View</v>
      </c>
      <c r="P10257" s="27"/>
    </row>
    <row r="10258">
      <c r="A10258" s="14">
        <v>43032.21126157408</v>
      </c>
      <c r="B10258" s="20" t="str">
        <f>HYPERLINK("https://twitter.com/srBachchan15","@srBachchan15")</f>
        <v>@srBachchan15</v>
      </c>
      <c r="C10258" s="21" t="s">
        <v>21935</v>
      </c>
      <c r="D10258" s="21" t="s">
        <v>42</v>
      </c>
      <c r="E10258" s="22" t="str">
        <f>HYPERLINK("https://twitter.com/srBachchan15/status/922795866376818690","922795866376818690")</f>
        <v>922795866376818690</v>
      </c>
      <c r="F10258" s="23" t="s">
        <v>33</v>
      </c>
      <c r="G10258" s="24">
        <v>3735.0</v>
      </c>
      <c r="H10258" s="24">
        <v>248.0</v>
      </c>
      <c r="I10258" s="24">
        <v>8501.0</v>
      </c>
      <c r="J10258" s="24">
        <v>0.0</v>
      </c>
      <c r="K10258" s="23" t="s">
        <v>34</v>
      </c>
      <c r="L10258" s="25">
        <v>42661.30392361111</v>
      </c>
      <c r="M10258" s="26" t="s">
        <v>5488</v>
      </c>
      <c r="N10258" s="26" t="s">
        <v>21936</v>
      </c>
      <c r="O10258" s="22" t="str">
        <f>HYPERLINK("https://pbs.twimg.com/profile_images/921255354855559168/bVBrI_3y_normal.jpg","View")</f>
        <v>View</v>
      </c>
      <c r="P10258" s="27"/>
    </row>
    <row r="10259">
      <c r="A10259" s="14">
        <v>43032.21153935185</v>
      </c>
      <c r="B10259" s="20" t="str">
        <f>HYPERLINK("https://twitter.com/devotion4state","@devotion4state")</f>
        <v>@devotion4state</v>
      </c>
      <c r="C10259" s="21" t="s">
        <v>21933</v>
      </c>
      <c r="D10259" s="21" t="s">
        <v>21203</v>
      </c>
      <c r="E10259" s="22" t="str">
        <f>HYPERLINK("https://twitter.com/devotion4state/status/922795966507270149","922795966507270149")</f>
        <v>922795966507270149</v>
      </c>
      <c r="F10259" s="23" t="s">
        <v>86</v>
      </c>
      <c r="G10259" s="24">
        <v>331.0</v>
      </c>
      <c r="H10259" s="24">
        <v>372.0</v>
      </c>
      <c r="I10259" s="24">
        <v>75.0</v>
      </c>
      <c r="J10259" s="24">
        <v>0.0</v>
      </c>
      <c r="K10259" s="23" t="s">
        <v>34</v>
      </c>
      <c r="L10259" s="25">
        <v>41577.094918981486</v>
      </c>
      <c r="M10259" s="26" t="s">
        <v>40</v>
      </c>
      <c r="N10259" s="26" t="s">
        <v>21192</v>
      </c>
      <c r="O10259" s="22" t="str">
        <f>HYPERLINK("https://pbs.twimg.com/profile_images/378800000668503555/49a98be6cc94bd4cb65b5eb705b18d3b_normal.jpeg","View")</f>
        <v>View</v>
      </c>
      <c r="P10259" s="27"/>
    </row>
    <row r="10260">
      <c r="A10260" s="14">
        <v>43032.21158564815</v>
      </c>
      <c r="B10260" s="20" t="str">
        <f>HYPERLINK("https://twitter.com/quyou684098","@quyou684098")</f>
        <v>@quyou684098</v>
      </c>
      <c r="C10260" s="21" t="s">
        <v>21918</v>
      </c>
      <c r="D10260" s="21" t="s">
        <v>17123</v>
      </c>
      <c r="E10260" s="22" t="str">
        <f>HYPERLINK("https://twitter.com/quyou684098/status/922795982370234370","922795982370234370")</f>
        <v>922795982370234370</v>
      </c>
      <c r="F10260" s="23" t="s">
        <v>55</v>
      </c>
      <c r="G10260" s="24">
        <v>21.0</v>
      </c>
      <c r="H10260" s="24">
        <v>2.0</v>
      </c>
      <c r="I10260" s="24">
        <v>163.0</v>
      </c>
      <c r="J10260" s="24">
        <v>0.0</v>
      </c>
      <c r="K10260" s="23" t="s">
        <v>34</v>
      </c>
      <c r="L10260" s="25">
        <v>42312.13829861111</v>
      </c>
      <c r="M10260" s="28"/>
      <c r="N10260" s="28"/>
      <c r="O10260" s="22" t="str">
        <f>HYPERLINK("https://pbs.twimg.com/profile_images/911587203347759104/ty-lDBR-_normal.jpg","View")</f>
        <v>View</v>
      </c>
      <c r="P10260" s="27"/>
    </row>
    <row r="10261">
      <c r="A10261" s="14">
        <v>43032.21179398148</v>
      </c>
      <c r="B10261" s="20" t="str">
        <f>HYPERLINK("https://twitter.com/Saisrinath12","@Saisrinath12")</f>
        <v>@Saisrinath12</v>
      </c>
      <c r="C10261" s="21" t="s">
        <v>10249</v>
      </c>
      <c r="D10261" s="21" t="s">
        <v>21591</v>
      </c>
      <c r="E10261" s="22" t="str">
        <f>HYPERLINK("https://twitter.com/Saisrinath12/status/922796056177496064","922796056177496064")</f>
        <v>922796056177496064</v>
      </c>
      <c r="F10261" s="23" t="s">
        <v>3813</v>
      </c>
      <c r="G10261" s="24">
        <v>107.0</v>
      </c>
      <c r="H10261" s="24">
        <v>209.0</v>
      </c>
      <c r="I10261" s="24">
        <v>2.0</v>
      </c>
      <c r="J10261" s="24">
        <v>0.0</v>
      </c>
      <c r="K10261" s="23" t="s">
        <v>34</v>
      </c>
      <c r="L10261" s="25">
        <v>40255.17805555556</v>
      </c>
      <c r="M10261" s="26" t="s">
        <v>3144</v>
      </c>
      <c r="N10261" s="26" t="s">
        <v>10250</v>
      </c>
      <c r="O10261" s="22" t="str">
        <f>HYPERLINK("https://pbs.twimg.com/profile_images/843474466197782528/gs9nJMJR_normal.jpg","View")</f>
        <v>View</v>
      </c>
      <c r="P10261" s="27"/>
    </row>
    <row r="10262">
      <c r="A10262" s="14">
        <v>43032.212488425925</v>
      </c>
      <c r="B10262" s="20" t="str">
        <f>HYPERLINK("https://twitter.com/BooLee7","@BooLee7")</f>
        <v>@BooLee7</v>
      </c>
      <c r="C10262" s="21" t="s">
        <v>21920</v>
      </c>
      <c r="D10262" s="21" t="s">
        <v>12565</v>
      </c>
      <c r="E10262" s="22" t="str">
        <f>HYPERLINK("https://twitter.com/BooLee7/status/922796309655859200","922796309655859200")</f>
        <v>922796309655859200</v>
      </c>
      <c r="F10262" s="23" t="s">
        <v>55</v>
      </c>
      <c r="G10262" s="24">
        <v>565.0</v>
      </c>
      <c r="H10262" s="24">
        <v>572.0</v>
      </c>
      <c r="I10262" s="24">
        <v>32.0</v>
      </c>
      <c r="J10262" s="24">
        <v>0.0</v>
      </c>
      <c r="K10262" s="23" t="s">
        <v>34</v>
      </c>
      <c r="L10262" s="25">
        <v>40256.00256944445</v>
      </c>
      <c r="M10262" s="26" t="s">
        <v>21921</v>
      </c>
      <c r="N10262" s="26" t="s">
        <v>21922</v>
      </c>
      <c r="O10262" s="22" t="str">
        <f>HYPERLINK("https://pbs.twimg.com/profile_images/1158990241/DVC00032_505_normal.jpg","View")</f>
        <v>View</v>
      </c>
      <c r="P10262" s="27"/>
    </row>
    <row r="10263">
      <c r="A10263" s="14">
        <v>43032.2125</v>
      </c>
      <c r="B10263" s="20" t="str">
        <f>HYPERLINK("https://twitter.com/Edu_exe","@Edu_exe")</f>
        <v>@Edu_exe</v>
      </c>
      <c r="C10263" s="21" t="s">
        <v>21937</v>
      </c>
      <c r="D10263" s="21" t="s">
        <v>32</v>
      </c>
      <c r="E10263" s="22" t="str">
        <f>HYPERLINK("https://twitter.com/Edu_exe/status/922796314492096512","922796314492096512")</f>
        <v>922796314492096512</v>
      </c>
      <c r="F10263" s="23" t="s">
        <v>33</v>
      </c>
      <c r="G10263" s="24">
        <v>578.0</v>
      </c>
      <c r="H10263" s="24">
        <v>446.0</v>
      </c>
      <c r="I10263" s="24">
        <v>471.0</v>
      </c>
      <c r="J10263" s="24">
        <v>0.0</v>
      </c>
      <c r="K10263" s="23" t="s">
        <v>34</v>
      </c>
      <c r="L10263" s="25">
        <v>39975.38668981481</v>
      </c>
      <c r="M10263" s="26" t="s">
        <v>282</v>
      </c>
      <c r="N10263" s="26" t="s">
        <v>21938</v>
      </c>
      <c r="O10263" s="22" t="str">
        <f>HYPERLINK("https://pbs.twimg.com/profile_images/798116294516035584/28X-qhRb_normal.jpg","View")</f>
        <v>View</v>
      </c>
      <c r="P10263" s="27"/>
    </row>
    <row r="10264">
      <c r="A10264" s="14">
        <v>43032.21278935185</v>
      </c>
      <c r="B10264" s="20" t="str">
        <f>HYPERLINK("https://twitter.com/paulsen_chana","@paulsen_chana")</f>
        <v>@paulsen_chana</v>
      </c>
      <c r="C10264" s="21" t="s">
        <v>21375</v>
      </c>
      <c r="D10264" s="21" t="s">
        <v>21194</v>
      </c>
      <c r="E10264" s="22" t="str">
        <f>HYPERLINK("https://twitter.com/paulsen_chana/status/922796416296087552","922796416296087552")</f>
        <v>922796416296087552</v>
      </c>
      <c r="F10264" s="23" t="s">
        <v>86</v>
      </c>
      <c r="G10264" s="24">
        <v>96.0</v>
      </c>
      <c r="H10264" s="24">
        <v>83.0</v>
      </c>
      <c r="I10264" s="24">
        <v>35.0</v>
      </c>
      <c r="J10264" s="24">
        <v>0.0</v>
      </c>
      <c r="K10264" s="23" t="s">
        <v>34</v>
      </c>
      <c r="L10264" s="25">
        <v>41879.15655092592</v>
      </c>
      <c r="M10264" s="26" t="s">
        <v>40</v>
      </c>
      <c r="N10264" s="26" t="s">
        <v>21376</v>
      </c>
      <c r="O10264" s="22" t="str">
        <f>HYPERLINK("https://pbs.twimg.com/profile_images/504950401800491008/sNTusumV_normal.jpeg","View")</f>
        <v>View</v>
      </c>
      <c r="P10264" s="27"/>
    </row>
    <row r="10265">
      <c r="A10265" s="14">
        <v>43032.213055555556</v>
      </c>
      <c r="B10265" s="20" t="str">
        <f>HYPERLINK("https://twitter.com/pedecine","@pedecine")</f>
        <v>@pedecine</v>
      </c>
      <c r="C10265" s="21" t="s">
        <v>21939</v>
      </c>
      <c r="D10265" s="21" t="s">
        <v>21709</v>
      </c>
      <c r="E10265" s="22" t="str">
        <f>HYPERLINK("https://twitter.com/pedecine/status/922796515491422208","922796515491422208")</f>
        <v>922796515491422208</v>
      </c>
      <c r="F10265" s="23" t="s">
        <v>39</v>
      </c>
      <c r="G10265" s="24">
        <v>500.0</v>
      </c>
      <c r="H10265" s="24">
        <v>1329.0</v>
      </c>
      <c r="I10265" s="24">
        <v>4.0</v>
      </c>
      <c r="J10265" s="24">
        <v>0.0</v>
      </c>
      <c r="K10265" s="23" t="s">
        <v>34</v>
      </c>
      <c r="L10265" s="25">
        <v>40238.2419212963</v>
      </c>
      <c r="M10265" s="26" t="s">
        <v>271</v>
      </c>
      <c r="N10265" s="26" t="s">
        <v>21940</v>
      </c>
      <c r="O10265" s="22" t="str">
        <f>HYPERLINK("https://pbs.twimg.com/profile_images/731902428/06-12-18_gontablue_normal.jpg","View")</f>
        <v>View</v>
      </c>
      <c r="P10265" s="27"/>
    </row>
    <row r="10266">
      <c r="A10266" s="14">
        <v>43032.21346064815</v>
      </c>
      <c r="B10266" s="20" t="str">
        <f>HYPERLINK("https://twitter.com/kichuna_licious","@kichuna_licious")</f>
        <v>@kichuna_licious</v>
      </c>
      <c r="C10266" s="21" t="s">
        <v>21941</v>
      </c>
      <c r="D10266" s="21" t="s">
        <v>32</v>
      </c>
      <c r="E10266" s="22" t="str">
        <f>HYPERLINK("https://twitter.com/kichuna_licious/status/922796659993608192","922796659993608192")</f>
        <v>922796659993608192</v>
      </c>
      <c r="F10266" s="23" t="s">
        <v>55</v>
      </c>
      <c r="G10266" s="24">
        <v>630.0</v>
      </c>
      <c r="H10266" s="24">
        <v>809.0</v>
      </c>
      <c r="I10266" s="24">
        <v>471.0</v>
      </c>
      <c r="J10266" s="24">
        <v>0.0</v>
      </c>
      <c r="K10266" s="23" t="s">
        <v>34</v>
      </c>
      <c r="L10266" s="25">
        <v>40618.25848379629</v>
      </c>
      <c r="M10266" s="26" t="s">
        <v>1784</v>
      </c>
      <c r="N10266" s="26" t="s">
        <v>21942</v>
      </c>
      <c r="O10266" s="22" t="str">
        <f>HYPERLINK("https://pbs.twimg.com/profile_images/867781705087819777/RY49D38X_normal.jpg","View")</f>
        <v>View</v>
      </c>
      <c r="P10266" s="27"/>
    </row>
    <row r="10267">
      <c r="A10267" s="14">
        <v>43032.214374999996</v>
      </c>
      <c r="B10267" s="20" t="str">
        <f>HYPERLINK("https://twitter.com/Aolgaurav2","@Aolgaurav2")</f>
        <v>@Aolgaurav2</v>
      </c>
      <c r="C10267" s="21" t="s">
        <v>21943</v>
      </c>
      <c r="D10267" s="21" t="s">
        <v>42</v>
      </c>
      <c r="E10267" s="22" t="str">
        <f>HYPERLINK("https://twitter.com/Aolgaurav2/status/922796993289654272","922796993289654272")</f>
        <v>922796993289654272</v>
      </c>
      <c r="F10267" s="23" t="s">
        <v>33</v>
      </c>
      <c r="G10267" s="24">
        <v>17.0</v>
      </c>
      <c r="H10267" s="24">
        <v>52.0</v>
      </c>
      <c r="I10267" s="24">
        <v>8501.0</v>
      </c>
      <c r="J10267" s="24">
        <v>0.0</v>
      </c>
      <c r="K10267" s="23" t="s">
        <v>34</v>
      </c>
      <c r="L10267" s="25">
        <v>42978.493622685186</v>
      </c>
      <c r="M10267" s="26" t="s">
        <v>6488</v>
      </c>
      <c r="N10267" s="26" t="s">
        <v>21944</v>
      </c>
      <c r="O10267" s="22" t="str">
        <f>HYPERLINK("https://pbs.twimg.com/profile_images/903332946882445312/UvPIzJTn_normal.jpg","View")</f>
        <v>View</v>
      </c>
      <c r="P10267" s="27"/>
    </row>
    <row r="10268">
      <c r="A10268" s="14">
        <v>43032.2146875</v>
      </c>
      <c r="B10268" s="20" t="str">
        <f>HYPERLINK("https://twitter.com/FocusEconomics","@FocusEconomics")</f>
        <v>@FocusEconomics</v>
      </c>
      <c r="C10268" s="21" t="s">
        <v>21945</v>
      </c>
      <c r="D10268" s="21" t="s">
        <v>21946</v>
      </c>
      <c r="E10268" s="22" t="str">
        <f>HYPERLINK("https://twitter.com/FocusEconomics/status/922797105038659584","922797105038659584")</f>
        <v>922797105038659584</v>
      </c>
      <c r="F10268" s="23" t="s">
        <v>427</v>
      </c>
      <c r="G10268" s="24">
        <v>3869.0</v>
      </c>
      <c r="H10268" s="24">
        <v>1866.0</v>
      </c>
      <c r="I10268" s="24">
        <v>0.0</v>
      </c>
      <c r="J10268" s="24">
        <v>0.0</v>
      </c>
      <c r="K10268" s="23" t="s">
        <v>34</v>
      </c>
      <c r="L10268" s="25">
        <v>40303.610196759255</v>
      </c>
      <c r="M10268" s="28"/>
      <c r="N10268" s="26" t="s">
        <v>21947</v>
      </c>
      <c r="O10268" s="22" t="str">
        <f>HYPERLINK("https://pbs.twimg.com/profile_images/2498417352/i7obr239a6tf5w2oinrb_normal.png","View")</f>
        <v>View</v>
      </c>
      <c r="P10268" s="27"/>
    </row>
    <row r="10269">
      <c r="A10269" s="14">
        <v>43032.214849537035</v>
      </c>
      <c r="B10269" s="20" t="str">
        <f>HYPERLINK("https://twitter.com/anandvisen1","@anandvisen1")</f>
        <v>@anandvisen1</v>
      </c>
      <c r="C10269" s="21" t="s">
        <v>7262</v>
      </c>
      <c r="D10269" s="21" t="s">
        <v>42</v>
      </c>
      <c r="E10269" s="22" t="str">
        <f>HYPERLINK("https://twitter.com/anandvisen1/status/922797166711549952","922797166711549952")</f>
        <v>922797166711549952</v>
      </c>
      <c r="F10269" s="23" t="s">
        <v>33</v>
      </c>
      <c r="G10269" s="24">
        <v>1328.0</v>
      </c>
      <c r="H10269" s="24">
        <v>2665.0</v>
      </c>
      <c r="I10269" s="24">
        <v>8501.0</v>
      </c>
      <c r="J10269" s="24">
        <v>0.0</v>
      </c>
      <c r="K10269" s="23" t="s">
        <v>34</v>
      </c>
      <c r="L10269" s="25">
        <v>41367.27395833333</v>
      </c>
      <c r="M10269" s="26" t="s">
        <v>96</v>
      </c>
      <c r="N10269" s="26" t="s">
        <v>7263</v>
      </c>
      <c r="O10269" s="22" t="str">
        <f>HYPERLINK("https://pbs.twimg.com/profile_images/922736911596208128/ihGISPY__normal.jpg","View")</f>
        <v>View</v>
      </c>
      <c r="P10269" s="27"/>
    </row>
    <row r="10270">
      <c r="A10270" s="14">
        <v>43032.21592592592</v>
      </c>
      <c r="B10270" s="20" t="str">
        <f>HYPERLINK("https://twitter.com/josegoz","@josegoz")</f>
        <v>@josegoz</v>
      </c>
      <c r="C10270" s="21" t="s">
        <v>21948</v>
      </c>
      <c r="D10270" s="21" t="s">
        <v>21625</v>
      </c>
      <c r="E10270" s="22" t="str">
        <f>HYPERLINK("https://twitter.com/josegoz/status/922797554676445184","922797554676445184")</f>
        <v>922797554676445184</v>
      </c>
      <c r="F10270" s="23" t="s">
        <v>2119</v>
      </c>
      <c r="G10270" s="24">
        <v>928.0</v>
      </c>
      <c r="H10270" s="24">
        <v>803.0</v>
      </c>
      <c r="I10270" s="24">
        <v>122.0</v>
      </c>
      <c r="J10270" s="24">
        <v>0.0</v>
      </c>
      <c r="K10270" s="23" t="s">
        <v>34</v>
      </c>
      <c r="L10270" s="25">
        <v>40079.57863425926</v>
      </c>
      <c r="M10270" s="28"/>
      <c r="N10270" s="26" t="s">
        <v>21949</v>
      </c>
      <c r="O10270" s="22" t="str">
        <f>HYPERLINK("https://pbs.twimg.com/profile_images/917107229135986690/Q4AdRUah_normal.jpg","View")</f>
        <v>View</v>
      </c>
      <c r="P10270" s="27"/>
    </row>
    <row r="10271">
      <c r="A10271" s="14">
        <v>43032.216412037036</v>
      </c>
      <c r="B10271" s="20" t="str">
        <f>HYPERLINK("https://twitter.com/Planning203","@Planning203")</f>
        <v>@Planning203</v>
      </c>
      <c r="C10271" s="21" t="s">
        <v>4984</v>
      </c>
      <c r="D10271" s="21" t="s">
        <v>18761</v>
      </c>
      <c r="E10271" s="22" t="str">
        <f>HYPERLINK("https://twitter.com/Planning203/status/922797730631581698","922797730631581698")</f>
        <v>922797730631581698</v>
      </c>
      <c r="F10271" s="23" t="s">
        <v>33</v>
      </c>
      <c r="G10271" s="24">
        <v>92.0</v>
      </c>
      <c r="H10271" s="24">
        <v>654.0</v>
      </c>
      <c r="I10271" s="24">
        <v>11.0</v>
      </c>
      <c r="J10271" s="24">
        <v>0.0</v>
      </c>
      <c r="K10271" s="23" t="s">
        <v>34</v>
      </c>
      <c r="L10271" s="25">
        <v>40886.86152777778</v>
      </c>
      <c r="M10271" s="28"/>
      <c r="N10271" s="28"/>
      <c r="O10271" s="22" t="str">
        <f>HYPERLINK("https://pbs.twimg.com/profile_images/1684745456/photo_normal","View")</f>
        <v>View</v>
      </c>
      <c r="P10271" s="27"/>
    </row>
    <row r="10272">
      <c r="A10272" s="14">
        <v>43032.21805555555</v>
      </c>
      <c r="B10272" s="20" t="str">
        <f>HYPERLINK("https://twitter.com/mangi_beniwal","@mangi_beniwal")</f>
        <v>@mangi_beniwal</v>
      </c>
      <c r="C10272" s="21" t="s">
        <v>21950</v>
      </c>
      <c r="D10272" s="21" t="s">
        <v>42</v>
      </c>
      <c r="E10272" s="22" t="str">
        <f>HYPERLINK("https://twitter.com/mangi_beniwal/status/922798324893171712","922798324893171712")</f>
        <v>922798324893171712</v>
      </c>
      <c r="F10272" s="23" t="s">
        <v>33</v>
      </c>
      <c r="G10272" s="24">
        <v>57.0</v>
      </c>
      <c r="H10272" s="24">
        <v>34.0</v>
      </c>
      <c r="I10272" s="24">
        <v>8501.0</v>
      </c>
      <c r="J10272" s="24">
        <v>0.0</v>
      </c>
      <c r="K10272" s="23" t="s">
        <v>34</v>
      </c>
      <c r="L10272" s="25">
        <v>42687.03166666666</v>
      </c>
      <c r="M10272" s="26" t="s">
        <v>21951</v>
      </c>
      <c r="N10272" s="26" t="s">
        <v>21952</v>
      </c>
      <c r="O10272" s="22" t="str">
        <f>HYPERLINK("https://pbs.twimg.com/profile_images/797728726658285568/BTCigDxh_normal.jpg","View")</f>
        <v>View</v>
      </c>
      <c r="P10272" s="27"/>
    </row>
    <row r="10273">
      <c r="A10273" s="14">
        <v>43032.218206018515</v>
      </c>
      <c r="B10273" s="20" t="str">
        <f>HYPERLINK("https://twitter.com/rekhi_sameer","@rekhi_sameer")</f>
        <v>@rekhi_sameer</v>
      </c>
      <c r="C10273" s="21" t="s">
        <v>21953</v>
      </c>
      <c r="D10273" s="21" t="s">
        <v>42</v>
      </c>
      <c r="E10273" s="22" t="str">
        <f>HYPERLINK("https://twitter.com/rekhi_sameer/status/922798381956677632","922798381956677632")</f>
        <v>922798381956677632</v>
      </c>
      <c r="F10273" s="23" t="s">
        <v>39</v>
      </c>
      <c r="G10273" s="24">
        <v>336.0</v>
      </c>
      <c r="H10273" s="24">
        <v>309.0</v>
      </c>
      <c r="I10273" s="24">
        <v>8501.0</v>
      </c>
      <c r="J10273" s="24">
        <v>0.0</v>
      </c>
      <c r="K10273" s="23" t="s">
        <v>34</v>
      </c>
      <c r="L10273" s="25">
        <v>41546.281956018516</v>
      </c>
      <c r="M10273" s="28"/>
      <c r="N10273" s="26" t="s">
        <v>21954</v>
      </c>
      <c r="O10273" s="22" t="str">
        <f>HYPERLINK("https://pbs.twimg.com/profile_images/919560648668749824/NTtJeNUT_normal.jpg","View")</f>
        <v>View</v>
      </c>
      <c r="P10273" s="27"/>
    </row>
    <row r="10274">
      <c r="A10274" s="14">
        <v>43032.21821759259</v>
      </c>
      <c r="B10274" s="20" t="str">
        <f>HYPERLINK("https://twitter.com/acemnari","@acemnari")</f>
        <v>@acemnari</v>
      </c>
      <c r="C10274" s="21" t="s">
        <v>21955</v>
      </c>
      <c r="D10274" s="21" t="s">
        <v>16537</v>
      </c>
      <c r="E10274" s="22" t="str">
        <f>HYPERLINK("https://twitter.com/acemnari/status/922798383370264576","922798383370264576")</f>
        <v>922798383370264576</v>
      </c>
      <c r="F10274" s="23" t="s">
        <v>55</v>
      </c>
      <c r="G10274" s="24">
        <v>34.0</v>
      </c>
      <c r="H10274" s="24">
        <v>148.0</v>
      </c>
      <c r="I10274" s="24">
        <v>242.0</v>
      </c>
      <c r="J10274" s="24">
        <v>0.0</v>
      </c>
      <c r="K10274" s="23" t="s">
        <v>34</v>
      </c>
      <c r="L10274" s="25">
        <v>40542.56701388889</v>
      </c>
      <c r="M10274" s="26" t="s">
        <v>21956</v>
      </c>
      <c r="N10274" s="26" t="s">
        <v>21957</v>
      </c>
      <c r="O10274" s="22" t="str">
        <f>HYPERLINK("https://pbs.twimg.com/profile_images/916599880990281728/X-P21fpY_normal.jpg","View")</f>
        <v>View</v>
      </c>
      <c r="P10274" s="27"/>
    </row>
    <row r="10275">
      <c r="A10275" s="14">
        <v>43032.21880787037</v>
      </c>
      <c r="B10275" s="20" t="str">
        <f>HYPERLINK("https://twitter.com/BrookingsFP","@BrookingsFP")</f>
        <v>@BrookingsFP</v>
      </c>
      <c r="C10275" s="21" t="s">
        <v>21958</v>
      </c>
      <c r="D10275" s="21" t="s">
        <v>21959</v>
      </c>
      <c r="E10275" s="22" t="str">
        <f>HYPERLINK("https://twitter.com/BrookingsFP/status/922798598160617472","922798598160617472")</f>
        <v>922798598160617472</v>
      </c>
      <c r="F10275" s="23" t="s">
        <v>10415</v>
      </c>
      <c r="G10275" s="24">
        <v>135007.0</v>
      </c>
      <c r="H10275" s="24">
        <v>1018.0</v>
      </c>
      <c r="I10275" s="24">
        <v>2.0</v>
      </c>
      <c r="J10275" s="24">
        <v>1.0</v>
      </c>
      <c r="K10275" s="23" t="s">
        <v>34</v>
      </c>
      <c r="L10275" s="25">
        <v>40000.534780092596</v>
      </c>
      <c r="M10275" s="26" t="s">
        <v>21405</v>
      </c>
      <c r="N10275" s="26" t="s">
        <v>21960</v>
      </c>
      <c r="O10275" s="22" t="str">
        <f>HYPERLINK("https://pbs.twimg.com/profile_images/449922644800839680/Ld9Xcj1G_normal.png","View")</f>
        <v>View</v>
      </c>
      <c r="P10275" s="27"/>
    </row>
    <row r="10276">
      <c r="A10276" s="14">
        <v>43032.219201388885</v>
      </c>
      <c r="B10276" s="20" t="str">
        <f>HYPERLINK("https://twitter.com/PANKAJKUMARJH20","@PANKAJKUMARJH20")</f>
        <v>@PANKAJKUMARJH20</v>
      </c>
      <c r="C10276" s="21" t="s">
        <v>21961</v>
      </c>
      <c r="D10276" s="21" t="s">
        <v>42</v>
      </c>
      <c r="E10276" s="22" t="str">
        <f>HYPERLINK("https://twitter.com/PANKAJKUMARJH20/status/922798741714698240","922798741714698240")</f>
        <v>922798741714698240</v>
      </c>
      <c r="F10276" s="23" t="s">
        <v>33</v>
      </c>
      <c r="G10276" s="24">
        <v>12.0</v>
      </c>
      <c r="H10276" s="24">
        <v>41.0</v>
      </c>
      <c r="I10276" s="24">
        <v>8501.0</v>
      </c>
      <c r="J10276" s="24">
        <v>0.0</v>
      </c>
      <c r="K10276" s="23" t="s">
        <v>34</v>
      </c>
      <c r="L10276" s="25">
        <v>41273.987650462965</v>
      </c>
      <c r="M10276" s="26" t="s">
        <v>575</v>
      </c>
      <c r="N10276" s="28"/>
      <c r="O10276" s="22" t="str">
        <f>HYPERLINK("https://pbs.twimg.com/profile_images/874933610767425537/8jjRXuLe_normal.jpg","View")</f>
        <v>View</v>
      </c>
      <c r="P10276" s="27"/>
    </row>
    <row r="10277">
      <c r="A10277" s="14">
        <v>43032.219305555554</v>
      </c>
      <c r="B10277" s="20" t="str">
        <f>HYPERLINK("https://twitter.com/PublicSituation","@PublicSituation")</f>
        <v>@PublicSituation</v>
      </c>
      <c r="C10277" s="21" t="s">
        <v>12284</v>
      </c>
      <c r="D10277" s="21" t="s">
        <v>21962</v>
      </c>
      <c r="E10277" s="22" t="str">
        <f>HYPERLINK("https://twitter.com/PublicSituation/status/922798779140657153","922798779140657153")</f>
        <v>922798779140657153</v>
      </c>
      <c r="F10277" s="23" t="s">
        <v>12285</v>
      </c>
      <c r="G10277" s="24">
        <v>3421.0</v>
      </c>
      <c r="H10277" s="24">
        <v>3219.0</v>
      </c>
      <c r="I10277" s="24">
        <v>2.0</v>
      </c>
      <c r="J10277" s="24">
        <v>0.0</v>
      </c>
      <c r="K10277" s="23" t="s">
        <v>34</v>
      </c>
      <c r="L10277" s="25">
        <v>42488.26296296297</v>
      </c>
      <c r="M10277" s="26" t="s">
        <v>12286</v>
      </c>
      <c r="N10277" s="26" t="s">
        <v>12287</v>
      </c>
      <c r="O10277" s="22" t="str">
        <f>HYPERLINK("https://pbs.twimg.com/profile_images/859458512698650625/sRsalqLV_normal.jpg","View")</f>
        <v>View</v>
      </c>
      <c r="P10277" s="27"/>
    </row>
    <row r="10278">
      <c r="A10278" s="14">
        <v>43032.2205324074</v>
      </c>
      <c r="B10278" s="20" t="str">
        <f>HYPERLINK("https://twitter.com/AnkalDr","@AnkalDr")</f>
        <v>@AnkalDr</v>
      </c>
      <c r="C10278" s="21" t="s">
        <v>21963</v>
      </c>
      <c r="D10278" s="21" t="s">
        <v>42</v>
      </c>
      <c r="E10278" s="22" t="str">
        <f>HYPERLINK("https://twitter.com/AnkalDr/status/922799222847451137","922799222847451137")</f>
        <v>922799222847451137</v>
      </c>
      <c r="F10278" s="23" t="s">
        <v>33</v>
      </c>
      <c r="G10278" s="24">
        <v>13.0</v>
      </c>
      <c r="H10278" s="24">
        <v>156.0</v>
      </c>
      <c r="I10278" s="24">
        <v>8501.0</v>
      </c>
      <c r="J10278" s="24">
        <v>0.0</v>
      </c>
      <c r="K10278" s="23" t="s">
        <v>34</v>
      </c>
      <c r="L10278" s="25">
        <v>42696.0237037037</v>
      </c>
      <c r="M10278" s="28"/>
      <c r="N10278" s="28"/>
      <c r="O10278" s="22" t="str">
        <f>HYPERLINK("https://abs.twimg.com/sticky/default_profile_images/default_profile_normal.png","View")</f>
        <v>View</v>
      </c>
      <c r="P10278" s="27"/>
    </row>
    <row r="10279">
      <c r="A10279" s="14">
        <v>43032.22075231481</v>
      </c>
      <c r="B10279" s="20" t="str">
        <f>HYPERLINK("https://twitter.com/AnjaliV99272403","@AnjaliV99272403")</f>
        <v>@AnjaliV99272403</v>
      </c>
      <c r="C10279" s="21" t="s">
        <v>21964</v>
      </c>
      <c r="D10279" s="21" t="s">
        <v>42</v>
      </c>
      <c r="E10279" s="22" t="str">
        <f>HYPERLINK("https://twitter.com/AnjaliV99272403/status/922799302153420805","922799302153420805")</f>
        <v>922799302153420805</v>
      </c>
      <c r="F10279" s="23" t="s">
        <v>33</v>
      </c>
      <c r="G10279" s="24">
        <v>135.0</v>
      </c>
      <c r="H10279" s="24">
        <v>25.0</v>
      </c>
      <c r="I10279" s="24">
        <v>8501.0</v>
      </c>
      <c r="J10279" s="24">
        <v>0.0</v>
      </c>
      <c r="K10279" s="23" t="s">
        <v>34</v>
      </c>
      <c r="L10279" s="25">
        <v>42945.3612037037</v>
      </c>
      <c r="M10279" s="26" t="s">
        <v>617</v>
      </c>
      <c r="N10279" s="26" t="s">
        <v>21965</v>
      </c>
      <c r="O10279" s="22" t="str">
        <f>HYPERLINK("https://pbs.twimg.com/profile_images/895307889736155136/S3vmj62D_normal.jpg","View")</f>
        <v>View</v>
      </c>
      <c r="P10279" s="27"/>
    </row>
    <row r="10280">
      <c r="A10280" s="14">
        <v>43032.22094907408</v>
      </c>
      <c r="B10280" s="20" t="str">
        <f>HYPERLINK("https://twitter.com/Saisrinath12","@Saisrinath12")</f>
        <v>@Saisrinath12</v>
      </c>
      <c r="C10280" s="21" t="s">
        <v>10249</v>
      </c>
      <c r="D10280" s="21" t="s">
        <v>21966</v>
      </c>
      <c r="E10280" s="22" t="str">
        <f>HYPERLINK("https://twitter.com/Saisrinath12/status/922799376094978049","922799376094978049")</f>
        <v>922799376094978049</v>
      </c>
      <c r="F10280" s="23" t="s">
        <v>3813</v>
      </c>
      <c r="G10280" s="24">
        <v>107.0</v>
      </c>
      <c r="H10280" s="24">
        <v>209.0</v>
      </c>
      <c r="I10280" s="24">
        <v>2.0</v>
      </c>
      <c r="J10280" s="24">
        <v>0.0</v>
      </c>
      <c r="K10280" s="23" t="s">
        <v>34</v>
      </c>
      <c r="L10280" s="25">
        <v>40255.17805555556</v>
      </c>
      <c r="M10280" s="26" t="s">
        <v>3144</v>
      </c>
      <c r="N10280" s="26" t="s">
        <v>10250</v>
      </c>
      <c r="O10280" s="22" t="str">
        <f>HYPERLINK("https://pbs.twimg.com/profile_images/843474466197782528/gs9nJMJR_normal.jpg","View")</f>
        <v>View</v>
      </c>
      <c r="P10280" s="27"/>
    </row>
    <row r="10281">
      <c r="A10281" s="14">
        <v>43032.22099537037</v>
      </c>
      <c r="B10281" s="20" t="str">
        <f>HYPERLINK("https://twitter.com/asutoshbaba","@asutoshbaba")</f>
        <v>@asutoshbaba</v>
      </c>
      <c r="C10281" s="21" t="s">
        <v>21967</v>
      </c>
      <c r="D10281" s="21" t="s">
        <v>21968</v>
      </c>
      <c r="E10281" s="22" t="str">
        <f>HYPERLINK("https://twitter.com/asutoshbaba/status/922799393907937282","922799393907937282")</f>
        <v>922799393907937282</v>
      </c>
      <c r="F10281" s="23" t="s">
        <v>48</v>
      </c>
      <c r="G10281" s="24">
        <v>185.0</v>
      </c>
      <c r="H10281" s="24">
        <v>2249.0</v>
      </c>
      <c r="I10281" s="24">
        <v>0.0</v>
      </c>
      <c r="J10281" s="24">
        <v>0.0</v>
      </c>
      <c r="K10281" s="23" t="s">
        <v>34</v>
      </c>
      <c r="L10281" s="25">
        <v>40848.15015046296</v>
      </c>
      <c r="M10281" s="26" t="s">
        <v>21969</v>
      </c>
      <c r="N10281" s="26" t="s">
        <v>21970</v>
      </c>
      <c r="O10281" s="22" t="str">
        <f>HYPERLINK("https://pbs.twimg.com/profile_images/2995173501/6665c49202b292b02ba53d317a156d4d_normal.jpeg","View")</f>
        <v>View</v>
      </c>
      <c r="P10281" s="27"/>
    </row>
    <row r="10282">
      <c r="A10282" s="14">
        <v>43032.22146990741</v>
      </c>
      <c r="B10282" s="20" t="str">
        <f>HYPERLINK("https://twitter.com/angarajc1","@angarajc1")</f>
        <v>@angarajc1</v>
      </c>
      <c r="C10282" s="21" t="s">
        <v>21971</v>
      </c>
      <c r="D10282" s="21" t="s">
        <v>19279</v>
      </c>
      <c r="E10282" s="22" t="str">
        <f>HYPERLINK("https://twitter.com/angarajc1/status/922799562112212993","922799562112212993")</f>
        <v>922799562112212993</v>
      </c>
      <c r="F10282" s="23" t="s">
        <v>33</v>
      </c>
      <c r="G10282" s="24">
        <v>89.0</v>
      </c>
      <c r="H10282" s="24">
        <v>211.0</v>
      </c>
      <c r="I10282" s="24">
        <v>12.0</v>
      </c>
      <c r="J10282" s="24">
        <v>0.0</v>
      </c>
      <c r="K10282" s="23" t="s">
        <v>34</v>
      </c>
      <c r="L10282" s="25">
        <v>42269.92298611111</v>
      </c>
      <c r="M10282" s="28"/>
      <c r="N10282" s="28"/>
      <c r="O10282" s="22" t="str">
        <f>HYPERLINK("https://pbs.twimg.com/profile_images/710853390893318145/i_tCrs05_normal.jpg","View")</f>
        <v>View</v>
      </c>
      <c r="P10282" s="27"/>
    </row>
    <row r="10283">
      <c r="A10283" s="14">
        <v>43032.22209490741</v>
      </c>
      <c r="B10283" s="20" t="str">
        <f>HYPERLINK("https://twitter.com/Ravindr90865672","@Ravindr90865672")</f>
        <v>@Ravindr90865672</v>
      </c>
      <c r="C10283" s="21" t="s">
        <v>21972</v>
      </c>
      <c r="D10283" s="21" t="s">
        <v>42</v>
      </c>
      <c r="E10283" s="22" t="str">
        <f>HYPERLINK("https://twitter.com/Ravindr90865672/status/922799789183504384","922799789183504384")</f>
        <v>922799789183504384</v>
      </c>
      <c r="F10283" s="23" t="s">
        <v>43</v>
      </c>
      <c r="G10283" s="24">
        <v>176.0</v>
      </c>
      <c r="H10283" s="24">
        <v>585.0</v>
      </c>
      <c r="I10283" s="24">
        <v>8501.0</v>
      </c>
      <c r="J10283" s="24">
        <v>0.0</v>
      </c>
      <c r="K10283" s="23" t="s">
        <v>34</v>
      </c>
      <c r="L10283" s="25">
        <v>42675.14979166667</v>
      </c>
      <c r="M10283" s="28"/>
      <c r="N10283" s="28"/>
      <c r="O10283" s="22" t="str">
        <f>HYPERLINK("https://abs.twimg.com/sticky/default_profile_images/default_profile_normal.png","View")</f>
        <v>View</v>
      </c>
      <c r="P10283" s="27"/>
    </row>
    <row r="10284">
      <c r="A10284" s="14">
        <v>43032.22222222222</v>
      </c>
      <c r="B10284" s="20" t="str">
        <f>HYPERLINK("https://twitter.com/prospect_uk","@prospect_uk")</f>
        <v>@prospect_uk</v>
      </c>
      <c r="C10284" s="21" t="s">
        <v>21485</v>
      </c>
      <c r="D10284" s="21" t="s">
        <v>21973</v>
      </c>
      <c r="E10284" s="22" t="str">
        <f>HYPERLINK("https://twitter.com/prospect_uk/status/922799837430599685","922799837430599685")</f>
        <v>922799837430599685</v>
      </c>
      <c r="F10284" s="23" t="s">
        <v>769</v>
      </c>
      <c r="G10284" s="24">
        <v>41051.0</v>
      </c>
      <c r="H10284" s="24">
        <v>4681.0</v>
      </c>
      <c r="I10284" s="24">
        <v>2.0</v>
      </c>
      <c r="J10284" s="24">
        <v>0.0</v>
      </c>
      <c r="K10284" s="23" t="s">
        <v>34</v>
      </c>
      <c r="L10284" s="25">
        <v>39864.418125</v>
      </c>
      <c r="M10284" s="26" t="s">
        <v>334</v>
      </c>
      <c r="N10284" s="26" t="s">
        <v>21487</v>
      </c>
      <c r="O10284" s="22" t="str">
        <f>HYPERLINK("https://pbs.twimg.com/profile_images/866635745389367296/P04hHW2R_normal.jpg","View")</f>
        <v>View</v>
      </c>
      <c r="P10284" s="27"/>
    </row>
    <row r="10285">
      <c r="A10285" s="14">
        <v>43032.222280092596</v>
      </c>
      <c r="B10285" s="20" t="str">
        <f>HYPERLINK("https://twitter.com/kuiying","@kuiying")</f>
        <v>@kuiying</v>
      </c>
      <c r="C10285" s="21" t="s">
        <v>21974</v>
      </c>
      <c r="D10285" s="21" t="s">
        <v>21962</v>
      </c>
      <c r="E10285" s="22" t="str">
        <f>HYPERLINK("https://twitter.com/kuiying/status/922799858506809344","922799858506809344")</f>
        <v>922799858506809344</v>
      </c>
      <c r="F10285" s="23" t="s">
        <v>55</v>
      </c>
      <c r="G10285" s="24">
        <v>301.0</v>
      </c>
      <c r="H10285" s="24">
        <v>1161.0</v>
      </c>
      <c r="I10285" s="24">
        <v>2.0</v>
      </c>
      <c r="J10285" s="24">
        <v>0.0</v>
      </c>
      <c r="K10285" s="23" t="s">
        <v>34</v>
      </c>
      <c r="L10285" s="25">
        <v>40598.01509259259</v>
      </c>
      <c r="M10285" s="28"/>
      <c r="N10285" s="26" t="s">
        <v>21975</v>
      </c>
      <c r="O10285" s="22" t="str">
        <f>HYPERLINK("https://pbs.twimg.com/profile_images/378800000436324475/6c08f7d2e582387b47b20e0ad36ff9ed_normal.jpeg","View")</f>
        <v>View</v>
      </c>
      <c r="P10285" s="27"/>
    </row>
    <row r="10286">
      <c r="A10286" s="14">
        <v>43032.22230324074</v>
      </c>
      <c r="B10286" s="20" t="str">
        <f>HYPERLINK("https://twitter.com/HokkaidoOlaf","@HokkaidoOlaf")</f>
        <v>@HokkaidoOlaf</v>
      </c>
      <c r="C10286" s="21" t="s">
        <v>21976</v>
      </c>
      <c r="D10286" s="21" t="s">
        <v>21977</v>
      </c>
      <c r="E10286" s="22" t="str">
        <f>HYPERLINK("https://twitter.com/HokkaidoOlaf/status/922799866803232768","922799866803232768")</f>
        <v>922799866803232768</v>
      </c>
      <c r="F10286" s="23" t="s">
        <v>39</v>
      </c>
      <c r="G10286" s="24">
        <v>206.0</v>
      </c>
      <c r="H10286" s="24">
        <v>202.0</v>
      </c>
      <c r="I10286" s="24">
        <v>0.0</v>
      </c>
      <c r="J10286" s="24">
        <v>0.0</v>
      </c>
      <c r="K10286" s="23" t="s">
        <v>34</v>
      </c>
      <c r="L10286" s="25">
        <v>40654.21710648148</v>
      </c>
      <c r="M10286" s="26" t="s">
        <v>271</v>
      </c>
      <c r="N10286" s="26" t="s">
        <v>21978</v>
      </c>
      <c r="O10286" s="22" t="str">
        <f>HYPERLINK("https://pbs.twimg.com/profile_images/448084649500110848/K3z56tI7_normal.jpeg","View")</f>
        <v>View</v>
      </c>
      <c r="P10286" s="27"/>
    </row>
    <row r="10287">
      <c r="A10287" s="14">
        <v>43032.22231481482</v>
      </c>
      <c r="B10287" s="20" t="str">
        <f>HYPERLINK("https://twitter.com/dignity4communi","@dignity4communi")</f>
        <v>@dignity4communi</v>
      </c>
      <c r="C10287" s="21" t="s">
        <v>21979</v>
      </c>
      <c r="D10287" s="21" t="s">
        <v>21202</v>
      </c>
      <c r="E10287" s="22" t="str">
        <f>HYPERLINK("https://twitter.com/dignity4communi/status/922799872020852736","922799872020852736")</f>
        <v>922799872020852736</v>
      </c>
      <c r="F10287" s="23" t="s">
        <v>86</v>
      </c>
      <c r="G10287" s="24">
        <v>240.0</v>
      </c>
      <c r="H10287" s="24">
        <v>385.0</v>
      </c>
      <c r="I10287" s="24">
        <v>79.0</v>
      </c>
      <c r="J10287" s="24">
        <v>0.0</v>
      </c>
      <c r="K10287" s="23" t="s">
        <v>34</v>
      </c>
      <c r="L10287" s="25">
        <v>41575.3218287037</v>
      </c>
      <c r="M10287" s="26" t="s">
        <v>40</v>
      </c>
      <c r="N10287" s="26" t="s">
        <v>21141</v>
      </c>
      <c r="O10287" s="22" t="str">
        <f>HYPERLINK("https://pbs.twimg.com/profile_images/378800000660438349/38cf269e9ebfa727c5fc15b1d21f0889_normal.jpeg","View")</f>
        <v>View</v>
      </c>
      <c r="P10287" s="27"/>
    </row>
    <row r="10288">
      <c r="A10288" s="14">
        <v>43032.22244212963</v>
      </c>
      <c r="B10288" s="20" t="str">
        <f>HYPERLINK("https://twitter.com/CPA_Trendlines","@CPA_Trendlines")</f>
        <v>@CPA_Trendlines</v>
      </c>
      <c r="C10288" s="21" t="s">
        <v>21980</v>
      </c>
      <c r="D10288" s="21" t="s">
        <v>21981</v>
      </c>
      <c r="E10288" s="22" t="str">
        <f>HYPERLINK("https://twitter.com/CPA_Trendlines/status/922799915037704192","922799915037704192")</f>
        <v>922799915037704192</v>
      </c>
      <c r="F10288" s="30" t="s">
        <v>411</v>
      </c>
      <c r="G10288" s="24">
        <v>24569.0</v>
      </c>
      <c r="H10288" s="24">
        <v>1395.0</v>
      </c>
      <c r="I10288" s="24">
        <v>0.0</v>
      </c>
      <c r="J10288" s="24">
        <v>0.0</v>
      </c>
      <c r="K10288" s="23" t="s">
        <v>34</v>
      </c>
      <c r="L10288" s="25">
        <v>39828.368472222224</v>
      </c>
      <c r="M10288" s="28"/>
      <c r="N10288" s="26" t="s">
        <v>21982</v>
      </c>
      <c r="O10288" s="22" t="str">
        <f>HYPERLINK("https://pbs.twimg.com/profile_images/615546039089659905/aMxgFiTe_normal.jpg","View")</f>
        <v>View</v>
      </c>
      <c r="P10288" s="27"/>
    </row>
    <row r="10289">
      <c r="A10289" s="14">
        <v>43032.22296296296</v>
      </c>
      <c r="B10289" s="20" t="str">
        <f>HYPERLINK("https://twitter.com/dignity4communi","@dignity4communi")</f>
        <v>@dignity4communi</v>
      </c>
      <c r="C10289" s="21" t="s">
        <v>21979</v>
      </c>
      <c r="D10289" s="21" t="s">
        <v>21203</v>
      </c>
      <c r="E10289" s="22" t="str">
        <f>HYPERLINK("https://twitter.com/dignity4communi/status/922800106792927232","922800106792927232")</f>
        <v>922800106792927232</v>
      </c>
      <c r="F10289" s="23" t="s">
        <v>86</v>
      </c>
      <c r="G10289" s="24">
        <v>240.0</v>
      </c>
      <c r="H10289" s="24">
        <v>385.0</v>
      </c>
      <c r="I10289" s="24">
        <v>75.0</v>
      </c>
      <c r="J10289" s="24">
        <v>0.0</v>
      </c>
      <c r="K10289" s="23" t="s">
        <v>34</v>
      </c>
      <c r="L10289" s="25">
        <v>41575.3218287037</v>
      </c>
      <c r="M10289" s="26" t="s">
        <v>40</v>
      </c>
      <c r="N10289" s="26" t="s">
        <v>21141</v>
      </c>
      <c r="O10289" s="22" t="str">
        <f>HYPERLINK("https://pbs.twimg.com/profile_images/378800000660438349/38cf269e9ebfa727c5fc15b1d21f0889_normal.jpeg","View")</f>
        <v>View</v>
      </c>
      <c r="P10289" s="27"/>
    </row>
    <row r="10290">
      <c r="A10290" s="14">
        <v>43032.22319444444</v>
      </c>
      <c r="B10290" s="20" t="str">
        <f>HYPERLINK("https://twitter.com/IrpheuS","@IrpheuS")</f>
        <v>@IrpheuS</v>
      </c>
      <c r="C10290" s="21" t="s">
        <v>21983</v>
      </c>
      <c r="D10290" s="21" t="s">
        <v>32</v>
      </c>
      <c r="E10290" s="22" t="str">
        <f>HYPERLINK("https://twitter.com/IrpheuS/status/922800188749746176","922800188749746176")</f>
        <v>922800188749746176</v>
      </c>
      <c r="F10290" s="23" t="s">
        <v>33</v>
      </c>
      <c r="G10290" s="24">
        <v>946.0</v>
      </c>
      <c r="H10290" s="24">
        <v>657.0</v>
      </c>
      <c r="I10290" s="24">
        <v>471.0</v>
      </c>
      <c r="J10290" s="24">
        <v>0.0</v>
      </c>
      <c r="K10290" s="23" t="s">
        <v>34</v>
      </c>
      <c r="L10290" s="25">
        <v>40057.242210648146</v>
      </c>
      <c r="M10290" s="28"/>
      <c r="N10290" s="26" t="s">
        <v>21984</v>
      </c>
      <c r="O10290" s="22" t="str">
        <f>HYPERLINK("https://pbs.twimg.com/profile_images/843337897851916288/37D9ebpI_normal.jpg","View")</f>
        <v>View</v>
      </c>
      <c r="P10290" s="27"/>
    </row>
    <row r="10291">
      <c r="A10291" s="14">
        <v>43032.22362268518</v>
      </c>
      <c r="B10291" s="20" t="str">
        <f>HYPERLINK("https://twitter.com/dignity4communi","@dignity4communi")</f>
        <v>@dignity4communi</v>
      </c>
      <c r="C10291" s="21" t="s">
        <v>21979</v>
      </c>
      <c r="D10291" s="21" t="s">
        <v>21243</v>
      </c>
      <c r="E10291" s="22" t="str">
        <f>HYPERLINK("https://twitter.com/dignity4communi/status/922800342156288007","922800342156288007")</f>
        <v>922800342156288007</v>
      </c>
      <c r="F10291" s="23" t="s">
        <v>86</v>
      </c>
      <c r="G10291" s="24">
        <v>240.0</v>
      </c>
      <c r="H10291" s="24">
        <v>385.0</v>
      </c>
      <c r="I10291" s="24">
        <v>41.0</v>
      </c>
      <c r="J10291" s="24">
        <v>0.0</v>
      </c>
      <c r="K10291" s="23" t="s">
        <v>34</v>
      </c>
      <c r="L10291" s="25">
        <v>41575.3218287037</v>
      </c>
      <c r="M10291" s="26" t="s">
        <v>40</v>
      </c>
      <c r="N10291" s="26" t="s">
        <v>21141</v>
      </c>
      <c r="O10291" s="22" t="str">
        <f>HYPERLINK("https://pbs.twimg.com/profile_images/378800000660438349/38cf269e9ebfa727c5fc15b1d21f0889_normal.jpeg","View")</f>
        <v>View</v>
      </c>
      <c r="P10291" s="27"/>
    </row>
    <row r="10292">
      <c r="A10292" s="14">
        <v>43032.22368055556</v>
      </c>
      <c r="B10292" s="20" t="str">
        <f>HYPERLINK("https://twitter.com/Areopolis","@Areopolis")</f>
        <v>@Areopolis</v>
      </c>
      <c r="C10292" s="21" t="s">
        <v>21985</v>
      </c>
      <c r="D10292" s="21" t="s">
        <v>21986</v>
      </c>
      <c r="E10292" s="22" t="str">
        <f>HYPERLINK("https://twitter.com/Areopolis/status/922800366038773760","922800366038773760")</f>
        <v>922800366038773760</v>
      </c>
      <c r="F10292" s="23" t="s">
        <v>48</v>
      </c>
      <c r="G10292" s="24">
        <v>317.0</v>
      </c>
      <c r="H10292" s="24">
        <v>0.0</v>
      </c>
      <c r="I10292" s="24">
        <v>0.0</v>
      </c>
      <c r="J10292" s="24">
        <v>0.0</v>
      </c>
      <c r="K10292" s="23" t="s">
        <v>34</v>
      </c>
      <c r="L10292" s="25">
        <v>40824.10560185185</v>
      </c>
      <c r="M10292" s="26" t="s">
        <v>21987</v>
      </c>
      <c r="N10292" s="28"/>
      <c r="O10292" s="22" t="str">
        <f>HYPERLINK("https://pbs.twimg.com/profile_images/922017064264654848/xGFHPEqP_normal.jpg","View")</f>
        <v>View</v>
      </c>
      <c r="P10292" s="27"/>
    </row>
    <row r="10293">
      <c r="A10293" s="14">
        <v>43032.224027777775</v>
      </c>
      <c r="B10293" s="20" t="str">
        <f>HYPERLINK("https://twitter.com/victory2teacher","@victory2teacher")</f>
        <v>@victory2teacher</v>
      </c>
      <c r="C10293" s="21" t="s">
        <v>21988</v>
      </c>
      <c r="D10293" s="21" t="s">
        <v>21202</v>
      </c>
      <c r="E10293" s="22" t="str">
        <f>HYPERLINK("https://twitter.com/victory2teacher/status/922800492006297600","922800492006297600")</f>
        <v>922800492006297600</v>
      </c>
      <c r="F10293" s="23" t="s">
        <v>86</v>
      </c>
      <c r="G10293" s="24">
        <v>301.0</v>
      </c>
      <c r="H10293" s="24">
        <v>439.0</v>
      </c>
      <c r="I10293" s="24">
        <v>79.0</v>
      </c>
      <c r="J10293" s="24">
        <v>0.0</v>
      </c>
      <c r="K10293" s="23" t="s">
        <v>34</v>
      </c>
      <c r="L10293" s="25">
        <v>41578.25581018518</v>
      </c>
      <c r="M10293" s="26" t="s">
        <v>40</v>
      </c>
      <c r="N10293" s="26" t="s">
        <v>21156</v>
      </c>
      <c r="O10293" s="22" t="str">
        <f>HYPERLINK("https://pbs.twimg.com/profile_images/378800000673606361/67bcf024cb6cad6c6b921de28b2d655e_normal.jpeg","View")</f>
        <v>View</v>
      </c>
      <c r="P10293" s="27"/>
    </row>
    <row r="10294">
      <c r="A10294" s="14">
        <v>43032.224270833336</v>
      </c>
      <c r="B10294" s="20" t="str">
        <f>HYPERLINK("https://twitter.com/dignity4communi","@dignity4communi")</f>
        <v>@dignity4communi</v>
      </c>
      <c r="C10294" s="21" t="s">
        <v>21979</v>
      </c>
      <c r="D10294" s="21" t="s">
        <v>21191</v>
      </c>
      <c r="E10294" s="22" t="str">
        <f>HYPERLINK("https://twitter.com/dignity4communi/status/922800577465040896","922800577465040896")</f>
        <v>922800577465040896</v>
      </c>
      <c r="F10294" s="23" t="s">
        <v>86</v>
      </c>
      <c r="G10294" s="24">
        <v>240.0</v>
      </c>
      <c r="H10294" s="24">
        <v>385.0</v>
      </c>
      <c r="I10294" s="24">
        <v>42.0</v>
      </c>
      <c r="J10294" s="24">
        <v>0.0</v>
      </c>
      <c r="K10294" s="23" t="s">
        <v>34</v>
      </c>
      <c r="L10294" s="25">
        <v>41575.3218287037</v>
      </c>
      <c r="M10294" s="26" t="s">
        <v>40</v>
      </c>
      <c r="N10294" s="26" t="s">
        <v>21141</v>
      </c>
      <c r="O10294" s="22" t="str">
        <f>HYPERLINK("https://pbs.twimg.com/profile_images/378800000660438349/38cf269e9ebfa727c5fc15b1d21f0889_normal.jpeg","View")</f>
        <v>View</v>
      </c>
      <c r="P10294" s="27"/>
    </row>
    <row r="10295">
      <c r="A10295" s="14">
        <v>43032.2246875</v>
      </c>
      <c r="B10295" s="20" t="str">
        <f t="shared" ref="B10295:B10296" si="229">HYPERLINK("https://twitter.com/victory2teacher","@victory2teacher")</f>
        <v>@victory2teacher</v>
      </c>
      <c r="C10295" s="21" t="s">
        <v>21988</v>
      </c>
      <c r="D10295" s="21" t="s">
        <v>21203</v>
      </c>
      <c r="E10295" s="22" t="str">
        <f>HYPERLINK("https://twitter.com/victory2teacher/status/922800728669900800","922800728669900800")</f>
        <v>922800728669900800</v>
      </c>
      <c r="F10295" s="23" t="s">
        <v>86</v>
      </c>
      <c r="G10295" s="24">
        <v>301.0</v>
      </c>
      <c r="H10295" s="24">
        <v>439.0</v>
      </c>
      <c r="I10295" s="24">
        <v>75.0</v>
      </c>
      <c r="J10295" s="24">
        <v>0.0</v>
      </c>
      <c r="K10295" s="23" t="s">
        <v>34</v>
      </c>
      <c r="L10295" s="25">
        <v>41578.25581018518</v>
      </c>
      <c r="M10295" s="26" t="s">
        <v>40</v>
      </c>
      <c r="N10295" s="26" t="s">
        <v>21156</v>
      </c>
      <c r="O10295" s="22" t="str">
        <f t="shared" ref="O10295:O10296" si="230">HYPERLINK("https://pbs.twimg.com/profile_images/378800000673606361/67bcf024cb6cad6c6b921de28b2d655e_normal.jpeg","View")</f>
        <v>View</v>
      </c>
      <c r="P10295" s="27"/>
    </row>
    <row r="10296">
      <c r="A10296" s="14">
        <v>43032.22533564815</v>
      </c>
      <c r="B10296" s="20" t="str">
        <f t="shared" si="229"/>
        <v>@victory2teacher</v>
      </c>
      <c r="C10296" s="21" t="s">
        <v>21988</v>
      </c>
      <c r="D10296" s="21" t="s">
        <v>21243</v>
      </c>
      <c r="E10296" s="22" t="str">
        <f>HYPERLINK("https://twitter.com/victory2teacher/status/922800965698367488","922800965698367488")</f>
        <v>922800965698367488</v>
      </c>
      <c r="F10296" s="23" t="s">
        <v>86</v>
      </c>
      <c r="G10296" s="24">
        <v>301.0</v>
      </c>
      <c r="H10296" s="24">
        <v>439.0</v>
      </c>
      <c r="I10296" s="24">
        <v>41.0</v>
      </c>
      <c r="J10296" s="24">
        <v>0.0</v>
      </c>
      <c r="K10296" s="23" t="s">
        <v>34</v>
      </c>
      <c r="L10296" s="25">
        <v>41578.25581018518</v>
      </c>
      <c r="M10296" s="26" t="s">
        <v>40</v>
      </c>
      <c r="N10296" s="26" t="s">
        <v>21156</v>
      </c>
      <c r="O10296" s="22" t="str">
        <f t="shared" si="230"/>
        <v>View</v>
      </c>
      <c r="P10296" s="27"/>
    </row>
    <row r="10297">
      <c r="A10297" s="14">
        <v>43032.225590277776</v>
      </c>
      <c r="B10297" s="20" t="str">
        <f>HYPERLINK("https://twitter.com/rogerchinthala","@rogerchinthala")</f>
        <v>@rogerchinthala</v>
      </c>
      <c r="C10297" s="21" t="s">
        <v>21989</v>
      </c>
      <c r="D10297" s="21" t="s">
        <v>42</v>
      </c>
      <c r="E10297" s="22" t="str">
        <f>HYPERLINK("https://twitter.com/rogerchinthala/status/922801057364717568","922801057364717568")</f>
        <v>922801057364717568</v>
      </c>
      <c r="F10297" s="23" t="s">
        <v>33</v>
      </c>
      <c r="G10297" s="24">
        <v>24.0</v>
      </c>
      <c r="H10297" s="24">
        <v>69.0</v>
      </c>
      <c r="I10297" s="24">
        <v>8501.0</v>
      </c>
      <c r="J10297" s="24">
        <v>0.0</v>
      </c>
      <c r="K10297" s="23" t="s">
        <v>34</v>
      </c>
      <c r="L10297" s="25">
        <v>42693.34956018519</v>
      </c>
      <c r="M10297" s="26" t="s">
        <v>204</v>
      </c>
      <c r="N10297" s="26" t="s">
        <v>21990</v>
      </c>
      <c r="O10297" s="22" t="str">
        <f>HYPERLINK("https://pbs.twimg.com/profile_images/800330797119078400/uqsRqAdy_normal.jpg","View")</f>
        <v>View</v>
      </c>
      <c r="P10297" s="27"/>
    </row>
    <row r="10298">
      <c r="A10298" s="14">
        <v>43032.225763888884</v>
      </c>
      <c r="B10298" s="20" t="str">
        <f>HYPERLINK("https://twitter.com/PKVyas_46666","@PKVyas_46666")</f>
        <v>@PKVyas_46666</v>
      </c>
      <c r="C10298" s="21" t="s">
        <v>21991</v>
      </c>
      <c r="D10298" s="21" t="s">
        <v>42</v>
      </c>
      <c r="E10298" s="22" t="str">
        <f>HYPERLINK("https://twitter.com/PKVyas_46666/status/922801118643568641","922801118643568641")</f>
        <v>922801118643568641</v>
      </c>
      <c r="F10298" s="23" t="s">
        <v>33</v>
      </c>
      <c r="G10298" s="24">
        <v>507.0</v>
      </c>
      <c r="H10298" s="24">
        <v>460.0</v>
      </c>
      <c r="I10298" s="24">
        <v>8501.0</v>
      </c>
      <c r="J10298" s="24">
        <v>0.0</v>
      </c>
      <c r="K10298" s="23" t="s">
        <v>34</v>
      </c>
      <c r="L10298" s="25">
        <v>42206.94170138889</v>
      </c>
      <c r="M10298" s="26" t="s">
        <v>204</v>
      </c>
      <c r="N10298" s="26" t="s">
        <v>21992</v>
      </c>
      <c r="O10298" s="22" t="str">
        <f t="shared" ref="O10298:O10299" si="231">HYPERLINK("https://abs.twimg.com/sticky/default_profile_images/default_profile_normal.png","View")</f>
        <v>View</v>
      </c>
      <c r="P10298" s="27"/>
    </row>
    <row r="10299">
      <c r="A10299" s="14">
        <v>43032.22584490741</v>
      </c>
      <c r="B10299" s="20" t="str">
        <f>HYPERLINK("https://twitter.com/UmaRs65651854","@UmaRs65651854")</f>
        <v>@UmaRs65651854</v>
      </c>
      <c r="C10299" s="21" t="s">
        <v>21993</v>
      </c>
      <c r="D10299" s="21" t="s">
        <v>42</v>
      </c>
      <c r="E10299" s="22" t="str">
        <f>HYPERLINK("https://twitter.com/UmaRs65651854/status/922801149299720192","922801149299720192")</f>
        <v>922801149299720192</v>
      </c>
      <c r="F10299" s="23" t="s">
        <v>33</v>
      </c>
      <c r="G10299" s="24">
        <v>1.0</v>
      </c>
      <c r="H10299" s="24">
        <v>6.0</v>
      </c>
      <c r="I10299" s="24">
        <v>8501.0</v>
      </c>
      <c r="J10299" s="24">
        <v>0.0</v>
      </c>
      <c r="K10299" s="23" t="s">
        <v>34</v>
      </c>
      <c r="L10299" s="25">
        <v>43030.938043981485</v>
      </c>
      <c r="M10299" s="28"/>
      <c r="N10299" s="28"/>
      <c r="O10299" s="22" t="str">
        <f t="shared" si="231"/>
        <v>View</v>
      </c>
      <c r="P10299" s="27"/>
    </row>
    <row r="10300">
      <c r="A10300" s="14">
        <v>43032.22599537037</v>
      </c>
      <c r="B10300" s="20" t="str">
        <f>HYPERLINK("https://twitter.com/victory2teacher","@victory2teacher")</f>
        <v>@victory2teacher</v>
      </c>
      <c r="C10300" s="21" t="s">
        <v>21988</v>
      </c>
      <c r="D10300" s="21" t="s">
        <v>21191</v>
      </c>
      <c r="E10300" s="22" t="str">
        <f>HYPERLINK("https://twitter.com/victory2teacher/status/922801203628724224","922801203628724224")</f>
        <v>922801203628724224</v>
      </c>
      <c r="F10300" s="23" t="s">
        <v>86</v>
      </c>
      <c r="G10300" s="24">
        <v>301.0</v>
      </c>
      <c r="H10300" s="24">
        <v>439.0</v>
      </c>
      <c r="I10300" s="24">
        <v>42.0</v>
      </c>
      <c r="J10300" s="24">
        <v>0.0</v>
      </c>
      <c r="K10300" s="23" t="s">
        <v>34</v>
      </c>
      <c r="L10300" s="25">
        <v>41578.25581018518</v>
      </c>
      <c r="M10300" s="26" t="s">
        <v>40</v>
      </c>
      <c r="N10300" s="26" t="s">
        <v>21156</v>
      </c>
      <c r="O10300" s="22" t="str">
        <f>HYPERLINK("https://pbs.twimg.com/profile_images/378800000673606361/67bcf024cb6cad6c6b921de28b2d655e_normal.jpeg","View")</f>
        <v>View</v>
      </c>
      <c r="P10300" s="27"/>
    </row>
    <row r="10301">
      <c r="A10301" s="14">
        <v>43032.22613425926</v>
      </c>
      <c r="B10301" s="20" t="str">
        <f>HYPERLINK("https://twitter.com/_alex_santos","@_alex_santos")</f>
        <v>@_alex_santos</v>
      </c>
      <c r="C10301" s="21" t="s">
        <v>21994</v>
      </c>
      <c r="D10301" s="21" t="s">
        <v>19621</v>
      </c>
      <c r="E10301" s="22" t="str">
        <f>HYPERLINK("https://twitter.com/_alex_santos/status/922801252584579072","922801252584579072")</f>
        <v>922801252584579072</v>
      </c>
      <c r="F10301" s="23" t="s">
        <v>635</v>
      </c>
      <c r="G10301" s="24">
        <v>987.0</v>
      </c>
      <c r="H10301" s="24">
        <v>3749.0</v>
      </c>
      <c r="I10301" s="24">
        <v>18.0</v>
      </c>
      <c r="J10301" s="24">
        <v>0.0</v>
      </c>
      <c r="K10301" s="23" t="s">
        <v>34</v>
      </c>
      <c r="L10301" s="25">
        <v>39873.145474537036</v>
      </c>
      <c r="M10301" s="28"/>
      <c r="N10301" s="26" t="s">
        <v>21995</v>
      </c>
      <c r="O10301" s="22" t="str">
        <f>HYPERLINK("https://pbs.twimg.com/profile_images/773604637987467264/6o2s7vSO_normal.jpg","View")</f>
        <v>View</v>
      </c>
      <c r="P10301" s="27"/>
    </row>
    <row r="10302">
      <c r="A10302" s="14">
        <v>43032.226377314815</v>
      </c>
      <c r="B10302" s="20" t="str">
        <f>HYPERLINK("https://twitter.com/IWPR","@IWPR")</f>
        <v>@IWPR</v>
      </c>
      <c r="C10302" s="21" t="s">
        <v>21996</v>
      </c>
      <c r="D10302" s="21" t="s">
        <v>21997</v>
      </c>
      <c r="E10302" s="22" t="str">
        <f>HYPERLINK("https://twitter.com/IWPR/status/922801343852527616","922801343852527616")</f>
        <v>922801343852527616</v>
      </c>
      <c r="F10302" s="23" t="s">
        <v>769</v>
      </c>
      <c r="G10302" s="24">
        <v>11530.0</v>
      </c>
      <c r="H10302" s="24">
        <v>8175.0</v>
      </c>
      <c r="I10302" s="24">
        <v>2.0</v>
      </c>
      <c r="J10302" s="24">
        <v>0.0</v>
      </c>
      <c r="K10302" s="23" t="s">
        <v>34</v>
      </c>
      <c r="L10302" s="25">
        <v>39645.1531712963</v>
      </c>
      <c r="M10302" s="26" t="s">
        <v>40</v>
      </c>
      <c r="N10302" s="26" t="s">
        <v>21998</v>
      </c>
      <c r="O10302" s="22" t="str">
        <f>HYPERLINK("https://pbs.twimg.com/profile_images/882262313566429184/Nxf-aS9k_normal.jpg","View")</f>
        <v>View</v>
      </c>
      <c r="P10302" s="27"/>
    </row>
    <row r="10303">
      <c r="A10303" s="14">
        <v>43032.22658564815</v>
      </c>
      <c r="B10303" s="20" t="str">
        <f>HYPERLINK("https://twitter.com/berard_mike","@berard_mike")</f>
        <v>@berard_mike</v>
      </c>
      <c r="C10303" s="21" t="s">
        <v>21999</v>
      </c>
      <c r="D10303" s="21" t="s">
        <v>21997</v>
      </c>
      <c r="E10303" s="22" t="str">
        <f>HYPERLINK("https://twitter.com/berard_mike/status/922801419060686853","922801419060686853")</f>
        <v>922801419060686853</v>
      </c>
      <c r="F10303" s="23" t="s">
        <v>39</v>
      </c>
      <c r="G10303" s="24">
        <v>1477.0</v>
      </c>
      <c r="H10303" s="24">
        <v>2503.0</v>
      </c>
      <c r="I10303" s="24">
        <v>2.0</v>
      </c>
      <c r="J10303" s="24">
        <v>0.0</v>
      </c>
      <c r="K10303" s="23" t="s">
        <v>34</v>
      </c>
      <c r="L10303" s="25">
        <v>40727.264918981484</v>
      </c>
      <c r="M10303" s="26" t="s">
        <v>9802</v>
      </c>
      <c r="N10303" s="26" t="s">
        <v>22000</v>
      </c>
      <c r="O10303" s="22" t="str">
        <f>HYPERLINK("https://pbs.twimg.com/profile_images/842078561016131587/AN9pYiPO_normal.jpg","View")</f>
        <v>View</v>
      </c>
      <c r="P10303" s="27"/>
    </row>
    <row r="10304">
      <c r="A10304" s="14">
        <v>43032.22660879629</v>
      </c>
      <c r="B10304" s="20" t="str">
        <f>HYPERLINK("https://twitter.com/Gurusherikar","@Gurusherikar")</f>
        <v>@Gurusherikar</v>
      </c>
      <c r="C10304" s="21" t="s">
        <v>22001</v>
      </c>
      <c r="D10304" s="21" t="s">
        <v>42</v>
      </c>
      <c r="E10304" s="22" t="str">
        <f>HYPERLINK("https://twitter.com/Gurusherikar/status/922801428032311297","922801428032311297")</f>
        <v>922801428032311297</v>
      </c>
      <c r="F10304" s="23" t="s">
        <v>43</v>
      </c>
      <c r="G10304" s="24">
        <v>42.0</v>
      </c>
      <c r="H10304" s="24">
        <v>82.0</v>
      </c>
      <c r="I10304" s="24">
        <v>8501.0</v>
      </c>
      <c r="J10304" s="24">
        <v>0.0</v>
      </c>
      <c r="K10304" s="23" t="s">
        <v>34</v>
      </c>
      <c r="L10304" s="25">
        <v>42947.25947916666</v>
      </c>
      <c r="M10304" s="26" t="s">
        <v>603</v>
      </c>
      <c r="N10304" s="26" t="s">
        <v>22002</v>
      </c>
      <c r="O10304" s="22" t="str">
        <f>HYPERLINK("https://pbs.twimg.com/profile_images/909413959521910791/ZWcGwbnK_normal.jpg","View")</f>
        <v>View</v>
      </c>
      <c r="P10304" s="27"/>
    </row>
    <row r="10305">
      <c r="A10305" s="14">
        <v>43032.22707175926</v>
      </c>
      <c r="B10305" s="20" t="str">
        <f>HYPERLINK("https://twitter.com/tetsuo_yoshida","@tetsuo_yoshida")</f>
        <v>@tetsuo_yoshida</v>
      </c>
      <c r="C10305" s="21" t="s">
        <v>10055</v>
      </c>
      <c r="D10305" s="21" t="s">
        <v>22003</v>
      </c>
      <c r="E10305" s="22" t="str">
        <f>HYPERLINK("https://twitter.com/tetsuo_yoshida/status/922801594214711296","922801594214711296")</f>
        <v>922801594214711296</v>
      </c>
      <c r="F10305" s="23" t="s">
        <v>55</v>
      </c>
      <c r="G10305" s="24">
        <v>1576.0</v>
      </c>
      <c r="H10305" s="24">
        <v>4931.0</v>
      </c>
      <c r="I10305" s="24">
        <v>0.0</v>
      </c>
      <c r="J10305" s="24">
        <v>0.0</v>
      </c>
      <c r="K10305" s="23" t="s">
        <v>34</v>
      </c>
      <c r="L10305" s="25">
        <v>42062.237488425926</v>
      </c>
      <c r="M10305" s="26" t="s">
        <v>10057</v>
      </c>
      <c r="N10305" s="26" t="s">
        <v>10058</v>
      </c>
      <c r="O10305" s="22" t="str">
        <f>HYPERLINK("https://pbs.twimg.com/profile_images/571304569401901056/5lHrgzPa_normal.jpeg","View")</f>
        <v>View</v>
      </c>
      <c r="P10305" s="27"/>
    </row>
    <row r="10306">
      <c r="A10306" s="14">
        <v>43032.227384259255</v>
      </c>
      <c r="B10306" s="20" t="str">
        <f>HYPERLINK("https://twitter.com/LivingOnChi","@LivingOnChi")</f>
        <v>@LivingOnChi</v>
      </c>
      <c r="C10306" s="21" t="s">
        <v>9666</v>
      </c>
      <c r="D10306" s="21" t="s">
        <v>22004</v>
      </c>
      <c r="E10306" s="22" t="str">
        <f>HYPERLINK("https://twitter.com/LivingOnChi/status/922801707976986625","922801707976986625")</f>
        <v>922801707976986625</v>
      </c>
      <c r="F10306" s="23" t="s">
        <v>55</v>
      </c>
      <c r="G10306" s="24">
        <v>15314.0</v>
      </c>
      <c r="H10306" s="24">
        <v>2574.0</v>
      </c>
      <c r="I10306" s="24">
        <v>0.0</v>
      </c>
      <c r="J10306" s="24">
        <v>0.0</v>
      </c>
      <c r="K10306" s="23" t="s">
        <v>34</v>
      </c>
      <c r="L10306" s="25">
        <v>42094.67599537037</v>
      </c>
      <c r="M10306" s="26" t="s">
        <v>567</v>
      </c>
      <c r="N10306" s="26" t="s">
        <v>9668</v>
      </c>
      <c r="O10306" s="22" t="str">
        <f>HYPERLINK("https://pbs.twimg.com/profile_images/896112045204131840/AzzTG4oZ_normal.jpg","View")</f>
        <v>View</v>
      </c>
      <c r="P10306" s="27"/>
    </row>
    <row r="10307">
      <c r="A10307" s="14">
        <v>43032.22770833333</v>
      </c>
      <c r="B10307" s="20" t="str">
        <f>HYPERLINK("https://twitter.com/consnow","@consnow")</f>
        <v>@consnow</v>
      </c>
      <c r="C10307" s="21" t="s">
        <v>22005</v>
      </c>
      <c r="D10307" s="21" t="s">
        <v>17363</v>
      </c>
      <c r="E10307" s="22" t="str">
        <f>HYPERLINK("https://twitter.com/consnow/status/922801823856996352","922801823856996352")</f>
        <v>922801823856996352</v>
      </c>
      <c r="F10307" s="23" t="s">
        <v>33</v>
      </c>
      <c r="G10307" s="24">
        <v>774.0</v>
      </c>
      <c r="H10307" s="24">
        <v>1131.0</v>
      </c>
      <c r="I10307" s="24">
        <v>17.0</v>
      </c>
      <c r="J10307" s="24">
        <v>0.0</v>
      </c>
      <c r="K10307" s="23" t="s">
        <v>34</v>
      </c>
      <c r="L10307" s="25">
        <v>40411.22261574074</v>
      </c>
      <c r="M10307" s="26" t="s">
        <v>17061</v>
      </c>
      <c r="N10307" s="26" t="s">
        <v>22006</v>
      </c>
      <c r="O10307" s="22" t="str">
        <f>HYPERLINK("https://pbs.twimg.com/profile_images/672307712634413056/geDtvXRA_normal.jpg","View")</f>
        <v>View</v>
      </c>
      <c r="P10307" s="27"/>
    </row>
    <row r="10308">
      <c r="A10308" s="14">
        <v>43032.228101851855</v>
      </c>
      <c r="B10308" s="20" t="str">
        <f>HYPERLINK("https://twitter.com/NareshGamineni","@NareshGamineni")</f>
        <v>@NareshGamineni</v>
      </c>
      <c r="C10308" s="21" t="s">
        <v>22007</v>
      </c>
      <c r="D10308" s="21" t="s">
        <v>42</v>
      </c>
      <c r="E10308" s="22" t="str">
        <f>HYPERLINK("https://twitter.com/NareshGamineni/status/922801965997867008","922801965997867008")</f>
        <v>922801965997867008</v>
      </c>
      <c r="F10308" s="23" t="s">
        <v>33</v>
      </c>
      <c r="G10308" s="24">
        <v>7.0</v>
      </c>
      <c r="H10308" s="24">
        <v>7.0</v>
      </c>
      <c r="I10308" s="24">
        <v>8501.0</v>
      </c>
      <c r="J10308" s="24">
        <v>0.0</v>
      </c>
      <c r="K10308" s="23" t="s">
        <v>34</v>
      </c>
      <c r="L10308" s="25">
        <v>42969.30594907407</v>
      </c>
      <c r="M10308" s="28"/>
      <c r="N10308" s="28"/>
      <c r="O10308" s="22" t="str">
        <f>HYPERLINK("https://abs.twimg.com/sticky/default_profile_images/default_profile_normal.png","View")</f>
        <v>View</v>
      </c>
      <c r="P10308" s="27"/>
    </row>
    <row r="10309">
      <c r="A10309" s="14">
        <v>43032.22854166667</v>
      </c>
      <c r="B10309" s="20" t="str">
        <f>HYPERLINK("https://twitter.com/Diplomacy140","@Diplomacy140")</f>
        <v>@Diplomacy140</v>
      </c>
      <c r="C10309" s="21" t="s">
        <v>22008</v>
      </c>
      <c r="D10309" s="21" t="s">
        <v>22009</v>
      </c>
      <c r="E10309" s="22" t="str">
        <f>HYPERLINK("https://twitter.com/Diplomacy140/status/922802128690794496","922802128690794496")</f>
        <v>922802128690794496</v>
      </c>
      <c r="F10309" s="23" t="s">
        <v>230</v>
      </c>
      <c r="G10309" s="24">
        <v>4036.0</v>
      </c>
      <c r="H10309" s="24">
        <v>1844.0</v>
      </c>
      <c r="I10309" s="24">
        <v>0.0</v>
      </c>
      <c r="J10309" s="24">
        <v>0.0</v>
      </c>
      <c r="K10309" s="23" t="s">
        <v>34</v>
      </c>
      <c r="L10309" s="25">
        <v>41692.08996527777</v>
      </c>
      <c r="M10309" s="26" t="s">
        <v>40</v>
      </c>
      <c r="N10309" s="26" t="s">
        <v>22010</v>
      </c>
      <c r="O10309" s="22" t="str">
        <f>HYPERLINK("https://pbs.twimg.com/profile_images/437181017304989696/z5fJFkYs_normal.png","View")</f>
        <v>View</v>
      </c>
      <c r="P10309" s="27"/>
    </row>
    <row r="10310">
      <c r="A10310" s="14">
        <v>43032.2290625</v>
      </c>
      <c r="B10310" s="20" t="str">
        <f>HYPERLINK("https://twitter.com/IranianResisten","@IranianResisten")</f>
        <v>@IranianResisten</v>
      </c>
      <c r="C10310" s="21" t="s">
        <v>22011</v>
      </c>
      <c r="D10310" s="21" t="s">
        <v>21202</v>
      </c>
      <c r="E10310" s="22" t="str">
        <f>HYPERLINK("https://twitter.com/IranianResisten/status/922802317161742336","922802317161742336")</f>
        <v>922802317161742336</v>
      </c>
      <c r="F10310" s="23" t="s">
        <v>86</v>
      </c>
      <c r="G10310" s="24">
        <v>933.0</v>
      </c>
      <c r="H10310" s="24">
        <v>394.0</v>
      </c>
      <c r="I10310" s="24">
        <v>79.0</v>
      </c>
      <c r="J10310" s="24">
        <v>0.0</v>
      </c>
      <c r="K10310" s="23" t="s">
        <v>34</v>
      </c>
      <c r="L10310" s="25">
        <v>41487.515914351854</v>
      </c>
      <c r="M10310" s="26" t="s">
        <v>22012</v>
      </c>
      <c r="N10310" s="26" t="s">
        <v>21088</v>
      </c>
      <c r="O10310" s="22" t="str">
        <f>HYPERLINK("https://pbs.twimg.com/profile_images/378800000231417391/7b8521cc5658dd04c6fcb5512f6039d5_normal.jpeg","View")</f>
        <v>View</v>
      </c>
      <c r="P10310" s="27"/>
    </row>
    <row r="10311">
      <c r="A10311" s="14">
        <v>43032.22915509259</v>
      </c>
      <c r="B10311" s="20" t="str">
        <f>HYPERLINK("https://twitter.com/Dipendr67752890","@Dipendr67752890")</f>
        <v>@Dipendr67752890</v>
      </c>
      <c r="C10311" s="21" t="s">
        <v>22013</v>
      </c>
      <c r="D10311" s="21" t="s">
        <v>42</v>
      </c>
      <c r="E10311" s="22" t="str">
        <f>HYPERLINK("https://twitter.com/Dipendr67752890/status/922802347197288449","922802347197288449")</f>
        <v>922802347197288449</v>
      </c>
      <c r="F10311" s="23" t="s">
        <v>39</v>
      </c>
      <c r="G10311" s="24">
        <v>15.0</v>
      </c>
      <c r="H10311" s="24">
        <v>32.0</v>
      </c>
      <c r="I10311" s="24">
        <v>8501.0</v>
      </c>
      <c r="J10311" s="24">
        <v>0.0</v>
      </c>
      <c r="K10311" s="23" t="s">
        <v>34</v>
      </c>
      <c r="L10311" s="25">
        <v>42566.14621527778</v>
      </c>
      <c r="M10311" s="26" t="s">
        <v>22014</v>
      </c>
      <c r="N10311" s="28"/>
      <c r="O10311" s="22" t="str">
        <f>HYPERLINK("https://pbs.twimg.com/profile_images/857246963464421376/Wnqm665L_normal.jpg","View")</f>
        <v>View</v>
      </c>
      <c r="P10311" s="27"/>
    </row>
    <row r="10312">
      <c r="A10312" s="14">
        <v>43032.229733796295</v>
      </c>
      <c r="B10312" s="20" t="str">
        <f>HYPERLINK("https://twitter.com/IranianResisten","@IranianResisten")</f>
        <v>@IranianResisten</v>
      </c>
      <c r="C10312" s="21" t="s">
        <v>22011</v>
      </c>
      <c r="D10312" s="21" t="s">
        <v>21203</v>
      </c>
      <c r="E10312" s="22" t="str">
        <f>HYPERLINK("https://twitter.com/IranianResisten/status/922802558955012096","922802558955012096")</f>
        <v>922802558955012096</v>
      </c>
      <c r="F10312" s="23" t="s">
        <v>86</v>
      </c>
      <c r="G10312" s="24">
        <v>933.0</v>
      </c>
      <c r="H10312" s="24">
        <v>394.0</v>
      </c>
      <c r="I10312" s="24">
        <v>75.0</v>
      </c>
      <c r="J10312" s="24">
        <v>0.0</v>
      </c>
      <c r="K10312" s="23" t="s">
        <v>34</v>
      </c>
      <c r="L10312" s="25">
        <v>41487.515914351854</v>
      </c>
      <c r="M10312" s="26" t="s">
        <v>22012</v>
      </c>
      <c r="N10312" s="26" t="s">
        <v>21088</v>
      </c>
      <c r="O10312" s="22" t="str">
        <f>HYPERLINK("https://pbs.twimg.com/profile_images/378800000231417391/7b8521cc5658dd04c6fcb5512f6039d5_normal.jpeg","View")</f>
        <v>View</v>
      </c>
      <c r="P10312" s="27"/>
    </row>
    <row r="10313">
      <c r="A10313" s="14">
        <v>43032.230208333334</v>
      </c>
      <c r="B10313" s="20" t="str">
        <f t="shared" ref="B10313:B10314" si="232">HYPERLINK("https://twitter.com/foreignoffice","@foreignoffice")</f>
        <v>@foreignoffice</v>
      </c>
      <c r="C10313" s="21" t="s">
        <v>22015</v>
      </c>
      <c r="D10313" s="21" t="s">
        <v>6403</v>
      </c>
      <c r="E10313" s="22" t="str">
        <f>HYPERLINK("https://twitter.com/foreignoffice/status/922802730326003713","922802730326003713")</f>
        <v>922802730326003713</v>
      </c>
      <c r="F10313" s="23" t="s">
        <v>55</v>
      </c>
      <c r="G10313" s="24">
        <v>817520.0</v>
      </c>
      <c r="H10313" s="24">
        <v>29357.0</v>
      </c>
      <c r="I10313" s="24">
        <v>97.0</v>
      </c>
      <c r="J10313" s="24">
        <v>0.0</v>
      </c>
      <c r="K10313" s="23" t="s">
        <v>34</v>
      </c>
      <c r="L10313" s="25">
        <v>39548.431851851856</v>
      </c>
      <c r="M10313" s="26" t="s">
        <v>334</v>
      </c>
      <c r="N10313" s="26" t="s">
        <v>22016</v>
      </c>
      <c r="O10313" s="22" t="str">
        <f t="shared" ref="O10313:O10314" si="233">HYPERLINK("https://pbs.twimg.com/profile_images/798110682508066816/MfQbrc7Q_normal.jpg","View")</f>
        <v>View</v>
      </c>
      <c r="P10313" s="27"/>
    </row>
    <row r="10314">
      <c r="A10314" s="14">
        <v>43032.23028935185</v>
      </c>
      <c r="B10314" s="20" t="str">
        <f t="shared" si="232"/>
        <v>@foreignoffice</v>
      </c>
      <c r="C10314" s="21" t="s">
        <v>22015</v>
      </c>
      <c r="D10314" s="21" t="s">
        <v>12974</v>
      </c>
      <c r="E10314" s="22" t="str">
        <f>HYPERLINK("https://twitter.com/foreignoffice/status/922802761934221312","922802761934221312")</f>
        <v>922802761934221312</v>
      </c>
      <c r="F10314" s="23" t="s">
        <v>55</v>
      </c>
      <c r="G10314" s="24">
        <v>817520.0</v>
      </c>
      <c r="H10314" s="24">
        <v>29357.0</v>
      </c>
      <c r="I10314" s="24">
        <v>110.0</v>
      </c>
      <c r="J10314" s="24">
        <v>0.0</v>
      </c>
      <c r="K10314" s="23" t="s">
        <v>34</v>
      </c>
      <c r="L10314" s="25">
        <v>39548.431851851856</v>
      </c>
      <c r="M10314" s="26" t="s">
        <v>334</v>
      </c>
      <c r="N10314" s="26" t="s">
        <v>22016</v>
      </c>
      <c r="O10314" s="22" t="str">
        <f t="shared" si="233"/>
        <v>View</v>
      </c>
      <c r="P10314" s="27"/>
    </row>
    <row r="10315">
      <c r="A10315" s="14">
        <v>43032.23048611111</v>
      </c>
      <c r="B10315" s="20" t="str">
        <f>HYPERLINK("https://twitter.com/langleyesquire","@langleyesquire")</f>
        <v>@langleyesquire</v>
      </c>
      <c r="C10315" s="21" t="s">
        <v>22017</v>
      </c>
      <c r="D10315" s="21" t="s">
        <v>17677</v>
      </c>
      <c r="E10315" s="22" t="str">
        <f>HYPERLINK("https://twitter.com/langleyesquire/status/922802830703919104","922802830703919104")</f>
        <v>922802830703919104</v>
      </c>
      <c r="F10315" s="23" t="s">
        <v>39</v>
      </c>
      <c r="G10315" s="24">
        <v>867.0</v>
      </c>
      <c r="H10315" s="24">
        <v>564.0</v>
      </c>
      <c r="I10315" s="24">
        <v>13.0</v>
      </c>
      <c r="J10315" s="24">
        <v>0.0</v>
      </c>
      <c r="K10315" s="23" t="s">
        <v>34</v>
      </c>
      <c r="L10315" s="25">
        <v>39920.87012731482</v>
      </c>
      <c r="M10315" s="26" t="s">
        <v>853</v>
      </c>
      <c r="N10315" s="26" t="s">
        <v>22018</v>
      </c>
      <c r="O10315" s="22" t="str">
        <f>HYPERLINK("https://pbs.twimg.com/profile_images/755637914256769024/Jw7OTdke_normal.jpg","View")</f>
        <v>View</v>
      </c>
      <c r="P10315" s="27"/>
    </row>
    <row r="10316">
      <c r="A10316" s="14">
        <v>43032.23063657407</v>
      </c>
      <c r="B10316" s="20" t="str">
        <f>HYPERLINK("https://twitter.com/T_Miller_Harper","@T_Miller_Harper")</f>
        <v>@T_Miller_Harper</v>
      </c>
      <c r="C10316" s="21" t="s">
        <v>22019</v>
      </c>
      <c r="D10316" s="21" t="s">
        <v>6403</v>
      </c>
      <c r="E10316" s="22" t="str">
        <f>HYPERLINK("https://twitter.com/T_Miller_Harper/status/922802885255225349","922802885255225349")</f>
        <v>922802885255225349</v>
      </c>
      <c r="F10316" s="23" t="s">
        <v>33</v>
      </c>
      <c r="G10316" s="24">
        <v>1917.0</v>
      </c>
      <c r="H10316" s="24">
        <v>3020.0</v>
      </c>
      <c r="I10316" s="24">
        <v>97.0</v>
      </c>
      <c r="J10316" s="24">
        <v>0.0</v>
      </c>
      <c r="K10316" s="23" t="s">
        <v>34</v>
      </c>
      <c r="L10316" s="25">
        <v>41994.199594907404</v>
      </c>
      <c r="M10316" s="26" t="s">
        <v>22020</v>
      </c>
      <c r="N10316" s="26" t="s">
        <v>22021</v>
      </c>
      <c r="O10316" s="22" t="str">
        <f>HYPERLINK("https://pbs.twimg.com/profile_images/914950465858801664/xPfY6ASw_normal.jpg","View")</f>
        <v>View</v>
      </c>
      <c r="P10316" s="27"/>
    </row>
    <row r="10317">
      <c r="A10317" s="14">
        <v>43032.23079861111</v>
      </c>
      <c r="B10317" s="20" t="str">
        <f>HYPERLINK("https://twitter.com/snowwhite_4","@snowwhite_4")</f>
        <v>@snowwhite_4</v>
      </c>
      <c r="C10317" s="21" t="s">
        <v>22022</v>
      </c>
      <c r="D10317" s="21" t="s">
        <v>12974</v>
      </c>
      <c r="E10317" s="22" t="str">
        <f>HYPERLINK("https://twitter.com/snowwhite_4/status/922802945845891072","922802945845891072")</f>
        <v>922802945845891072</v>
      </c>
      <c r="F10317" s="23" t="s">
        <v>39</v>
      </c>
      <c r="G10317" s="24">
        <v>230.0</v>
      </c>
      <c r="H10317" s="24">
        <v>44.0</v>
      </c>
      <c r="I10317" s="24">
        <v>110.0</v>
      </c>
      <c r="J10317" s="24">
        <v>0.0</v>
      </c>
      <c r="K10317" s="23" t="s">
        <v>34</v>
      </c>
      <c r="L10317" s="25">
        <v>40609.245983796296</v>
      </c>
      <c r="M10317" s="26" t="s">
        <v>22023</v>
      </c>
      <c r="N10317" s="26" t="s">
        <v>22024</v>
      </c>
      <c r="O10317" s="22" t="str">
        <f>HYPERLINK("https://pbs.twimg.com/profile_images/796249724953051141/uaGczfHA_normal.jpg","View")</f>
        <v>View</v>
      </c>
      <c r="P10317" s="27"/>
    </row>
    <row r="10318">
      <c r="A10318" s="14">
        <v>43032.23085648148</v>
      </c>
      <c r="B10318" s="20" t="str">
        <f>HYPERLINK("https://twitter.com/albertmor","@albertmor")</f>
        <v>@albertmor</v>
      </c>
      <c r="C10318" s="21" t="s">
        <v>22025</v>
      </c>
      <c r="D10318" s="21" t="s">
        <v>12974</v>
      </c>
      <c r="E10318" s="22" t="str">
        <f>HYPERLINK("https://twitter.com/albertmor/status/922802965018226688","922802965018226688")</f>
        <v>922802965018226688</v>
      </c>
      <c r="F10318" s="23" t="s">
        <v>33</v>
      </c>
      <c r="G10318" s="24">
        <v>807.0</v>
      </c>
      <c r="H10318" s="24">
        <v>2657.0</v>
      </c>
      <c r="I10318" s="24">
        <v>110.0</v>
      </c>
      <c r="J10318" s="24">
        <v>0.0</v>
      </c>
      <c r="K10318" s="23" t="s">
        <v>34</v>
      </c>
      <c r="L10318" s="25">
        <v>40075.25984953703</v>
      </c>
      <c r="M10318" s="26" t="s">
        <v>22026</v>
      </c>
      <c r="N10318" s="26" t="s">
        <v>22027</v>
      </c>
      <c r="O10318" s="22" t="str">
        <f>HYPERLINK("https://pbs.twimg.com/profile_images/1132166161/Imagen_008_normal.jpg","View")</f>
        <v>View</v>
      </c>
      <c r="P10318" s="27"/>
    </row>
    <row r="10319">
      <c r="A10319" s="14">
        <v>43032.23094907407</v>
      </c>
      <c r="B10319" s="20" t="str">
        <f>HYPERLINK("https://twitter.com/cricketgeek2","@cricketgeek2")</f>
        <v>@cricketgeek2</v>
      </c>
      <c r="C10319" s="21" t="s">
        <v>22028</v>
      </c>
      <c r="D10319" s="21" t="s">
        <v>12974</v>
      </c>
      <c r="E10319" s="22" t="str">
        <f>HYPERLINK("https://twitter.com/cricketgeek2/status/922802999705112578","922802999705112578")</f>
        <v>922802999705112578</v>
      </c>
      <c r="F10319" s="23" t="s">
        <v>55</v>
      </c>
      <c r="G10319" s="24">
        <v>861.0</v>
      </c>
      <c r="H10319" s="24">
        <v>4801.0</v>
      </c>
      <c r="I10319" s="24">
        <v>110.0</v>
      </c>
      <c r="J10319" s="24">
        <v>0.0</v>
      </c>
      <c r="K10319" s="23" t="s">
        <v>34</v>
      </c>
      <c r="L10319" s="25">
        <v>41255.313796296294</v>
      </c>
      <c r="M10319" s="26" t="s">
        <v>22029</v>
      </c>
      <c r="N10319" s="26" t="s">
        <v>22030</v>
      </c>
      <c r="O10319" s="22" t="str">
        <f>HYPERLINK("https://pbs.twimg.com/profile_images/757471252265177088/i_MNmv7z_normal.jpg","View")</f>
        <v>View</v>
      </c>
      <c r="P10319" s="27"/>
    </row>
    <row r="10320">
      <c r="A10320" s="14">
        <v>43032.23142361111</v>
      </c>
      <c r="B10320" s="20" t="str">
        <f>HYPERLINK("https://twitter.com/Elizabe86318411","@Elizabe86318411")</f>
        <v>@Elizabe86318411</v>
      </c>
      <c r="C10320" s="21" t="s">
        <v>22031</v>
      </c>
      <c r="D10320" s="21" t="s">
        <v>17675</v>
      </c>
      <c r="E10320" s="22" t="str">
        <f>HYPERLINK("https://twitter.com/Elizabe86318411/status/922803172376064000","922803172376064000")</f>
        <v>922803172376064000</v>
      </c>
      <c r="F10320" s="23" t="s">
        <v>230</v>
      </c>
      <c r="G10320" s="24">
        <v>1027.0</v>
      </c>
      <c r="H10320" s="24">
        <v>622.0</v>
      </c>
      <c r="I10320" s="24">
        <v>18.0</v>
      </c>
      <c r="J10320" s="24">
        <v>0.0</v>
      </c>
      <c r="K10320" s="23" t="s">
        <v>34</v>
      </c>
      <c r="L10320" s="25">
        <v>41387.72255787037</v>
      </c>
      <c r="M10320" s="26" t="s">
        <v>6037</v>
      </c>
      <c r="N10320" s="26" t="s">
        <v>22032</v>
      </c>
      <c r="O10320" s="22" t="str">
        <f>HYPERLINK("https://pbs.twimg.com/profile_images/843703298297413635/Ws9LyII8_normal.jpg","View")</f>
        <v>View</v>
      </c>
      <c r="P10320" s="27"/>
    </row>
    <row r="10321">
      <c r="A10321" s="14">
        <v>43032.23162037037</v>
      </c>
      <c r="B10321" s="20" t="str">
        <f>HYPERLINK("https://twitter.com/ThisIsMfundo","@ThisIsMfundo")</f>
        <v>@ThisIsMfundo</v>
      </c>
      <c r="C10321" s="21" t="s">
        <v>22033</v>
      </c>
      <c r="D10321" s="21" t="s">
        <v>21463</v>
      </c>
      <c r="E10321" s="22" t="str">
        <f>HYPERLINK("https://twitter.com/ThisIsMfundo/status/922803243809468419","922803243809468419")</f>
        <v>922803243809468419</v>
      </c>
      <c r="F10321" s="23" t="s">
        <v>43</v>
      </c>
      <c r="G10321" s="24">
        <v>4589.0</v>
      </c>
      <c r="H10321" s="24">
        <v>5020.0</v>
      </c>
      <c r="I10321" s="24">
        <v>3.0</v>
      </c>
      <c r="J10321" s="24">
        <v>0.0</v>
      </c>
      <c r="K10321" s="23" t="s">
        <v>34</v>
      </c>
      <c r="L10321" s="25">
        <v>40970.361180555556</v>
      </c>
      <c r="M10321" s="26" t="s">
        <v>22034</v>
      </c>
      <c r="N10321" s="26" t="s">
        <v>22035</v>
      </c>
      <c r="O10321" s="22" t="str">
        <f>HYPERLINK("https://pbs.twimg.com/profile_images/919486558289453056/WvGLmDFC_normal.jpg","View")</f>
        <v>View</v>
      </c>
      <c r="P10321" s="27"/>
    </row>
    <row r="10322">
      <c r="A10322" s="14">
        <v>43032.23166666667</v>
      </c>
      <c r="B10322" s="20" t="str">
        <f>HYPERLINK("https://twitter.com/greta829","@greta829")</f>
        <v>@greta829</v>
      </c>
      <c r="C10322" s="21" t="s">
        <v>22036</v>
      </c>
      <c r="D10322" s="21" t="s">
        <v>21709</v>
      </c>
      <c r="E10322" s="22" t="str">
        <f>HYPERLINK("https://twitter.com/greta829/status/922803260888461312","922803260888461312")</f>
        <v>922803260888461312</v>
      </c>
      <c r="F10322" s="23" t="s">
        <v>55</v>
      </c>
      <c r="G10322" s="24">
        <v>137.0</v>
      </c>
      <c r="H10322" s="24">
        <v>204.0</v>
      </c>
      <c r="I10322" s="24">
        <v>4.0</v>
      </c>
      <c r="J10322" s="24">
        <v>0.0</v>
      </c>
      <c r="K10322" s="23" t="s">
        <v>34</v>
      </c>
      <c r="L10322" s="25">
        <v>40158.29105324074</v>
      </c>
      <c r="M10322" s="28"/>
      <c r="N10322" s="28"/>
      <c r="O10322" s="22" t="str">
        <f>HYPERLINK("https://pbs.twimg.com/profile_images/639548929/P1000008_normal.JPG","View")</f>
        <v>View</v>
      </c>
      <c r="P10322" s="27"/>
    </row>
    <row r="10323">
      <c r="A10323" s="14">
        <v>43032.23178240741</v>
      </c>
      <c r="B10323" s="20" t="str">
        <f>HYPERLINK("https://twitter.com/CescaAntonelli","@CescaAntonelli")</f>
        <v>@CescaAntonelli</v>
      </c>
      <c r="C10323" s="21" t="s">
        <v>22037</v>
      </c>
      <c r="D10323" s="21" t="s">
        <v>22038</v>
      </c>
      <c r="E10323" s="22" t="str">
        <f>HYPERLINK("https://twitter.com/CescaAntonelli/status/922803301867016192","922803301867016192")</f>
        <v>922803301867016192</v>
      </c>
      <c r="F10323" s="23" t="s">
        <v>55</v>
      </c>
      <c r="G10323" s="24">
        <v>3259.0</v>
      </c>
      <c r="H10323" s="24">
        <v>1768.0</v>
      </c>
      <c r="I10323" s="24">
        <v>1.0</v>
      </c>
      <c r="J10323" s="24">
        <v>6.0</v>
      </c>
      <c r="K10323" s="23" t="s">
        <v>34</v>
      </c>
      <c r="L10323" s="25">
        <v>41052.744421296295</v>
      </c>
      <c r="M10323" s="26" t="s">
        <v>389</v>
      </c>
      <c r="N10323" s="26" t="s">
        <v>22039</v>
      </c>
      <c r="O10323" s="22" t="str">
        <f>HYPERLINK("https://pbs.twimg.com/profile_images/2433454287/bcab04uymd9za9zhow07_normal.jpeg","View")</f>
        <v>View</v>
      </c>
      <c r="P10323" s="27"/>
    </row>
    <row r="10324">
      <c r="A10324" s="14">
        <v>43032.23179398148</v>
      </c>
      <c r="B10324" s="20" t="str">
        <f>HYPERLINK("https://twitter.com/Phillip_Bauer","@Phillip_Bauer")</f>
        <v>@Phillip_Bauer</v>
      </c>
      <c r="C10324" s="21" t="s">
        <v>22040</v>
      </c>
      <c r="D10324" s="21" t="s">
        <v>22041</v>
      </c>
      <c r="E10324" s="22" t="str">
        <f>HYPERLINK("https://twitter.com/Phillip_Bauer/status/922803305385885697","922803305385885697")</f>
        <v>922803305385885697</v>
      </c>
      <c r="F10324" s="23" t="s">
        <v>55</v>
      </c>
      <c r="G10324" s="24">
        <v>14.0</v>
      </c>
      <c r="H10324" s="24">
        <v>47.0</v>
      </c>
      <c r="I10324" s="24">
        <v>0.0</v>
      </c>
      <c r="J10324" s="24">
        <v>0.0</v>
      </c>
      <c r="K10324" s="23" t="s">
        <v>34</v>
      </c>
      <c r="L10324" s="25">
        <v>41714.83565972222</v>
      </c>
      <c r="M10324" s="28"/>
      <c r="N10324" s="26" t="s">
        <v>22042</v>
      </c>
      <c r="O10324" s="22" t="str">
        <f>HYPERLINK("https://pbs.twimg.com/profile_images/682794426150694912/pNPi9zc7_normal.jpg","View")</f>
        <v>View</v>
      </c>
      <c r="P10324" s="27"/>
    </row>
    <row r="10325">
      <c r="A10325" s="14">
        <v>43032.23185185185</v>
      </c>
      <c r="B10325" s="20" t="str">
        <f>HYPERLINK("https://twitter.com/HAZUMA_JPN","@HAZUMA_JPN")</f>
        <v>@HAZUMA_JPN</v>
      </c>
      <c r="C10325" s="21" t="s">
        <v>11656</v>
      </c>
      <c r="D10325" s="21" t="s">
        <v>12480</v>
      </c>
      <c r="E10325" s="22" t="str">
        <f>HYPERLINK("https://twitter.com/HAZUMA_JPN/status/922803324214300674","922803324214300674")</f>
        <v>922803324214300674</v>
      </c>
      <c r="F10325" s="23" t="s">
        <v>39</v>
      </c>
      <c r="G10325" s="24">
        <v>464.0</v>
      </c>
      <c r="H10325" s="24">
        <v>3160.0</v>
      </c>
      <c r="I10325" s="24">
        <v>8.0</v>
      </c>
      <c r="J10325" s="24">
        <v>0.0</v>
      </c>
      <c r="K10325" s="23" t="s">
        <v>34</v>
      </c>
      <c r="L10325" s="25">
        <v>41559.63921296296</v>
      </c>
      <c r="M10325" s="26" t="s">
        <v>4239</v>
      </c>
      <c r="N10325" s="26" t="s">
        <v>11658</v>
      </c>
      <c r="O10325" s="22" t="str">
        <f>HYPERLINK("https://pbs.twimg.com/profile_images/770376087977230336/zeh0Ktrm_normal.jpg","View")</f>
        <v>View</v>
      </c>
      <c r="P10325" s="27"/>
    </row>
    <row r="10326">
      <c r="A10326" s="14">
        <v>43032.231944444444</v>
      </c>
      <c r="B10326" s="20" t="str">
        <f>HYPERLINK("https://twitter.com/Diplomacy140","@Diplomacy140")</f>
        <v>@Diplomacy140</v>
      </c>
      <c r="C10326" s="21" t="s">
        <v>22008</v>
      </c>
      <c r="D10326" s="21" t="s">
        <v>22043</v>
      </c>
      <c r="E10326" s="22" t="str">
        <f>HYPERLINK("https://twitter.com/Diplomacy140/status/922803361753255936","922803361753255936")</f>
        <v>922803361753255936</v>
      </c>
      <c r="F10326" s="23" t="s">
        <v>230</v>
      </c>
      <c r="G10326" s="24">
        <v>4036.0</v>
      </c>
      <c r="H10326" s="24">
        <v>1844.0</v>
      </c>
      <c r="I10326" s="24">
        <v>0.0</v>
      </c>
      <c r="J10326" s="24">
        <v>0.0</v>
      </c>
      <c r="K10326" s="23" t="s">
        <v>34</v>
      </c>
      <c r="L10326" s="25">
        <v>41692.08996527777</v>
      </c>
      <c r="M10326" s="26" t="s">
        <v>40</v>
      </c>
      <c r="N10326" s="26" t="s">
        <v>22010</v>
      </c>
      <c r="O10326" s="22" t="str">
        <f>HYPERLINK("https://pbs.twimg.com/profile_images/437181017304989696/z5fJFkYs_normal.png","View")</f>
        <v>View</v>
      </c>
      <c r="P10326" s="27"/>
    </row>
    <row r="10327">
      <c r="A10327" s="14">
        <v>43032.23195601851</v>
      </c>
      <c r="B10327" s="20" t="str">
        <f>HYPERLINK("https://twitter.com/SvOstaayen","@SvOstaayen")</f>
        <v>@SvOstaayen</v>
      </c>
      <c r="C10327" s="21" t="s">
        <v>22044</v>
      </c>
      <c r="D10327" s="21" t="s">
        <v>22045</v>
      </c>
      <c r="E10327" s="22" t="str">
        <f>HYPERLINK("https://twitter.com/SvOstaayen/status/922803363099574272","922803363099574272")</f>
        <v>922803363099574272</v>
      </c>
      <c r="F10327" s="23" t="s">
        <v>769</v>
      </c>
      <c r="G10327" s="24">
        <v>766.0</v>
      </c>
      <c r="H10327" s="24">
        <v>924.0</v>
      </c>
      <c r="I10327" s="24">
        <v>0.0</v>
      </c>
      <c r="J10327" s="24">
        <v>1.0</v>
      </c>
      <c r="K10327" s="23" t="s">
        <v>34</v>
      </c>
      <c r="L10327" s="25">
        <v>41698.42626157407</v>
      </c>
      <c r="M10327" s="26" t="s">
        <v>1840</v>
      </c>
      <c r="N10327" s="26" t="s">
        <v>22046</v>
      </c>
      <c r="O10327" s="22" t="str">
        <f>HYPERLINK("https://pbs.twimg.com/profile_images/555156840560857088/VUQb6u0w_normal.jpeg","View")</f>
        <v>View</v>
      </c>
      <c r="P10327" s="27"/>
    </row>
    <row r="10328">
      <c r="A10328" s="14">
        <v>43032.23253472222</v>
      </c>
      <c r="B10328" s="20" t="str">
        <f>HYPERLINK("https://twitter.com/filippo898","@filippo898")</f>
        <v>@filippo898</v>
      </c>
      <c r="C10328" s="21" t="s">
        <v>22047</v>
      </c>
      <c r="D10328" s="21" t="s">
        <v>12974</v>
      </c>
      <c r="E10328" s="22" t="str">
        <f>HYPERLINK("https://twitter.com/filippo898/status/922803574370811904","922803574370811904")</f>
        <v>922803574370811904</v>
      </c>
      <c r="F10328" s="23" t="s">
        <v>55</v>
      </c>
      <c r="G10328" s="24">
        <v>924.0</v>
      </c>
      <c r="H10328" s="24">
        <v>5003.0</v>
      </c>
      <c r="I10328" s="24">
        <v>110.0</v>
      </c>
      <c r="J10328" s="24">
        <v>0.0</v>
      </c>
      <c r="K10328" s="23" t="s">
        <v>34</v>
      </c>
      <c r="L10328" s="25">
        <v>40903.675891203704</v>
      </c>
      <c r="M10328" s="26" t="s">
        <v>22048</v>
      </c>
      <c r="N10328" s="26" t="s">
        <v>22049</v>
      </c>
      <c r="O10328" s="22" t="str">
        <f>HYPERLINK("https://pbs.twimg.com/profile_images/878255400675667972/zi_jn1g4_normal.jpg","View")</f>
        <v>View</v>
      </c>
      <c r="P10328" s="27"/>
    </row>
    <row r="10329">
      <c r="A10329" s="14">
        <v>43032.233356481476</v>
      </c>
      <c r="B10329" s="20" t="str">
        <f>HYPERLINK("https://twitter.com/Steve37564930","@Steve37564930")</f>
        <v>@Steve37564930</v>
      </c>
      <c r="C10329" s="21" t="s">
        <v>22050</v>
      </c>
      <c r="D10329" s="21" t="s">
        <v>12974</v>
      </c>
      <c r="E10329" s="22" t="str">
        <f>HYPERLINK("https://twitter.com/Steve37564930/status/922803870031474690","922803870031474690")</f>
        <v>922803870031474690</v>
      </c>
      <c r="F10329" s="23" t="s">
        <v>39</v>
      </c>
      <c r="G10329" s="24">
        <v>15.0</v>
      </c>
      <c r="H10329" s="24">
        <v>194.0</v>
      </c>
      <c r="I10329" s="24">
        <v>110.0</v>
      </c>
      <c r="J10329" s="24">
        <v>0.0</v>
      </c>
      <c r="K10329" s="23" t="s">
        <v>34</v>
      </c>
      <c r="L10329" s="25">
        <v>42706.93604166667</v>
      </c>
      <c r="M10329" s="26" t="s">
        <v>22051</v>
      </c>
      <c r="N10329" s="26" t="s">
        <v>22052</v>
      </c>
      <c r="O10329" s="22" t="str">
        <f>HYPERLINK("https://pbs.twimg.com/profile_images/837899500081405952/fqYbmUoX_normal.jpg","View")</f>
        <v>View</v>
      </c>
      <c r="P10329" s="27"/>
    </row>
    <row r="10330">
      <c r="A10330" s="14">
        <v>43032.23354166667</v>
      </c>
      <c r="B10330" s="20" t="str">
        <f>HYPERLINK("https://twitter.com/hassan31377","@hassan31377")</f>
        <v>@hassan31377</v>
      </c>
      <c r="C10330" s="21" t="s">
        <v>22053</v>
      </c>
      <c r="D10330" s="21" t="s">
        <v>3039</v>
      </c>
      <c r="E10330" s="22" t="str">
        <f>HYPERLINK("https://twitter.com/hassan31377/status/922803937002115072","922803937002115072")</f>
        <v>922803937002115072</v>
      </c>
      <c r="F10330" s="23" t="s">
        <v>33</v>
      </c>
      <c r="G10330" s="24">
        <v>142.0</v>
      </c>
      <c r="H10330" s="24">
        <v>152.0</v>
      </c>
      <c r="I10330" s="24">
        <v>6.0</v>
      </c>
      <c r="J10330" s="24">
        <v>0.0</v>
      </c>
      <c r="K10330" s="23" t="s">
        <v>34</v>
      </c>
      <c r="L10330" s="25">
        <v>41587.225486111114</v>
      </c>
      <c r="M10330" s="26" t="s">
        <v>21832</v>
      </c>
      <c r="N10330" s="26" t="s">
        <v>22054</v>
      </c>
      <c r="O10330" s="22" t="str">
        <f>HYPERLINK("https://pbs.twimg.com/profile_images/677891351879503873/BTJPCa1k_normal.jpg","View")</f>
        <v>View</v>
      </c>
      <c r="P10330" s="27"/>
    </row>
    <row r="10331">
      <c r="A10331" s="14">
        <v>43032.2340625</v>
      </c>
      <c r="B10331" s="20" t="str">
        <f>HYPERLINK("https://twitter.com/FactoryadAd","@FactoryadAd")</f>
        <v>@FactoryadAd</v>
      </c>
      <c r="C10331" s="21" t="s">
        <v>22055</v>
      </c>
      <c r="D10331" s="21" t="s">
        <v>22056</v>
      </c>
      <c r="E10331" s="22" t="str">
        <f>HYPERLINK("https://twitter.com/FactoryadAd/status/922804129449340928","922804129449340928")</f>
        <v>922804129449340928</v>
      </c>
      <c r="F10331" s="23" t="s">
        <v>55</v>
      </c>
      <c r="G10331" s="24">
        <v>2245.0</v>
      </c>
      <c r="H10331" s="24">
        <v>56.0</v>
      </c>
      <c r="I10331" s="24">
        <v>0.0</v>
      </c>
      <c r="J10331" s="24">
        <v>0.0</v>
      </c>
      <c r="K10331" s="23" t="s">
        <v>34</v>
      </c>
      <c r="L10331" s="25">
        <v>43025.3374537037</v>
      </c>
      <c r="M10331" s="26" t="s">
        <v>22057</v>
      </c>
      <c r="N10331" s="26" t="s">
        <v>22058</v>
      </c>
      <c r="O10331" s="22" t="str">
        <f>HYPERLINK("https://pbs.twimg.com/profile_images/920305860110376960/h7Mr1xW5_normal.jpg","View")</f>
        <v>View</v>
      </c>
      <c r="P10331" s="27"/>
    </row>
    <row r="10332">
      <c r="A10332" s="14">
        <v>43032.234131944446</v>
      </c>
      <c r="B10332" s="20" t="str">
        <f>HYPERLINK("https://twitter.com/basilesimon","@basilesimon")</f>
        <v>@basilesimon</v>
      </c>
      <c r="C10332" s="21" t="s">
        <v>22059</v>
      </c>
      <c r="D10332" s="21" t="s">
        <v>22060</v>
      </c>
      <c r="E10332" s="22" t="str">
        <f>HYPERLINK("https://twitter.com/basilesimon/status/922804153688252416","922804153688252416")</f>
        <v>922804153688252416</v>
      </c>
      <c r="F10332" s="23" t="s">
        <v>769</v>
      </c>
      <c r="G10332" s="24">
        <v>1893.0</v>
      </c>
      <c r="H10332" s="24">
        <v>1489.0</v>
      </c>
      <c r="I10332" s="24">
        <v>1.0</v>
      </c>
      <c r="J10332" s="24">
        <v>0.0</v>
      </c>
      <c r="K10332" s="23" t="s">
        <v>34</v>
      </c>
      <c r="L10332" s="25">
        <v>39837.16270833333</v>
      </c>
      <c r="M10332" s="26" t="s">
        <v>590</v>
      </c>
      <c r="N10332" s="26" t="s">
        <v>22061</v>
      </c>
      <c r="O10332" s="22" t="str">
        <f>HYPERLINK("https://pbs.twimg.com/profile_images/775688094184009728/_dRVdsnq_normal.jpg","View")</f>
        <v>View</v>
      </c>
      <c r="P10332" s="27"/>
    </row>
    <row r="10333">
      <c r="A10333" s="14">
        <v>43032.235034722224</v>
      </c>
      <c r="B10333" s="20" t="str">
        <f>HYPERLINK("https://twitter.com/dignity4enginee","@dignity4enginee")</f>
        <v>@dignity4enginee</v>
      </c>
      <c r="C10333" s="21" t="s">
        <v>22062</v>
      </c>
      <c r="D10333" s="21" t="s">
        <v>21202</v>
      </c>
      <c r="E10333" s="22" t="str">
        <f>HYPERLINK("https://twitter.com/dignity4enginee/status/922804480977936384","922804480977936384")</f>
        <v>922804480977936384</v>
      </c>
      <c r="F10333" s="23" t="s">
        <v>86</v>
      </c>
      <c r="G10333" s="24">
        <v>227.0</v>
      </c>
      <c r="H10333" s="24">
        <v>378.0</v>
      </c>
      <c r="I10333" s="24">
        <v>79.0</v>
      </c>
      <c r="J10333" s="24">
        <v>0.0</v>
      </c>
      <c r="K10333" s="23" t="s">
        <v>34</v>
      </c>
      <c r="L10333" s="25">
        <v>41573.02990740741</v>
      </c>
      <c r="M10333" s="26" t="s">
        <v>11949</v>
      </c>
      <c r="N10333" s="26" t="s">
        <v>21141</v>
      </c>
      <c r="O10333" s="22" t="str">
        <f>HYPERLINK("https://pbs.twimg.com/profile_images/378800000649057169/9fcdc7e581790d557d18bcb1c3cd823d_normal.jpeg","View")</f>
        <v>View</v>
      </c>
      <c r="P10333" s="27"/>
    </row>
    <row r="10334">
      <c r="A10334" s="14">
        <v>43032.23538194444</v>
      </c>
      <c r="B10334" s="20" t="str">
        <f>HYPERLINK("https://twitter.com/farzadmani","@farzadmani")</f>
        <v>@farzadmani</v>
      </c>
      <c r="C10334" s="21" t="s">
        <v>22063</v>
      </c>
      <c r="D10334" s="21" t="s">
        <v>21202</v>
      </c>
      <c r="E10334" s="22" t="str">
        <f>HYPERLINK("https://twitter.com/farzadmani/status/922804607239311360","922804607239311360")</f>
        <v>922804607239311360</v>
      </c>
      <c r="F10334" s="23" t="s">
        <v>86</v>
      </c>
      <c r="G10334" s="24">
        <v>128.0</v>
      </c>
      <c r="H10334" s="24">
        <v>131.0</v>
      </c>
      <c r="I10334" s="24">
        <v>79.0</v>
      </c>
      <c r="J10334" s="24">
        <v>0.0</v>
      </c>
      <c r="K10334" s="23" t="s">
        <v>34</v>
      </c>
      <c r="L10334" s="25">
        <v>41780.985</v>
      </c>
      <c r="M10334" s="26" t="s">
        <v>40</v>
      </c>
      <c r="N10334" s="26" t="s">
        <v>21083</v>
      </c>
      <c r="O10334" s="22" t="str">
        <f>HYPERLINK("https://pbs.twimg.com/profile_images/469367659805421568/Rffndm0w_normal.jpeg","View")</f>
        <v>View</v>
      </c>
      <c r="P10334" s="27"/>
    </row>
    <row r="10335">
      <c r="A10335" s="14">
        <v>43032.23568287037</v>
      </c>
      <c r="B10335" s="20" t="str">
        <f>HYPERLINK("https://twitter.com/dignity4enginee","@dignity4enginee")</f>
        <v>@dignity4enginee</v>
      </c>
      <c r="C10335" s="21" t="s">
        <v>22062</v>
      </c>
      <c r="D10335" s="21" t="s">
        <v>21203</v>
      </c>
      <c r="E10335" s="22" t="str">
        <f>HYPERLINK("https://twitter.com/dignity4enginee/status/922804716349792261","922804716349792261")</f>
        <v>922804716349792261</v>
      </c>
      <c r="F10335" s="23" t="s">
        <v>86</v>
      </c>
      <c r="G10335" s="24">
        <v>227.0</v>
      </c>
      <c r="H10335" s="24">
        <v>378.0</v>
      </c>
      <c r="I10335" s="24">
        <v>75.0</v>
      </c>
      <c r="J10335" s="24">
        <v>0.0</v>
      </c>
      <c r="K10335" s="23" t="s">
        <v>34</v>
      </c>
      <c r="L10335" s="25">
        <v>41573.02990740741</v>
      </c>
      <c r="M10335" s="26" t="s">
        <v>11949</v>
      </c>
      <c r="N10335" s="26" t="s">
        <v>21141</v>
      </c>
      <c r="O10335" s="22" t="str">
        <f>HYPERLINK("https://pbs.twimg.com/profile_images/378800000649057169/9fcdc7e581790d557d18bcb1c3cd823d_normal.jpeg","View")</f>
        <v>View</v>
      </c>
      <c r="P10335" s="27"/>
    </row>
    <row r="10336">
      <c r="A10336" s="14">
        <v>43032.23604166666</v>
      </c>
      <c r="B10336" s="20" t="str">
        <f>HYPERLINK("https://twitter.com/farzadmani","@farzadmani")</f>
        <v>@farzadmani</v>
      </c>
      <c r="C10336" s="21" t="s">
        <v>22063</v>
      </c>
      <c r="D10336" s="21" t="s">
        <v>21203</v>
      </c>
      <c r="E10336" s="22" t="str">
        <f>HYPERLINK("https://twitter.com/farzadmani/status/922804844183851013","922804844183851013")</f>
        <v>922804844183851013</v>
      </c>
      <c r="F10336" s="23" t="s">
        <v>86</v>
      </c>
      <c r="G10336" s="24">
        <v>128.0</v>
      </c>
      <c r="H10336" s="24">
        <v>131.0</v>
      </c>
      <c r="I10336" s="24">
        <v>75.0</v>
      </c>
      <c r="J10336" s="24">
        <v>0.0</v>
      </c>
      <c r="K10336" s="23" t="s">
        <v>34</v>
      </c>
      <c r="L10336" s="25">
        <v>41780.985</v>
      </c>
      <c r="M10336" s="26" t="s">
        <v>40</v>
      </c>
      <c r="N10336" s="26" t="s">
        <v>21083</v>
      </c>
      <c r="O10336" s="22" t="str">
        <f>HYPERLINK("https://pbs.twimg.com/profile_images/469367659805421568/Rffndm0w_normal.jpeg","View")</f>
        <v>View</v>
      </c>
      <c r="P10336" s="27"/>
    </row>
    <row r="10337">
      <c r="A10337" s="14">
        <v>43032.23605324074</v>
      </c>
      <c r="B10337" s="20" t="str">
        <f>HYPERLINK("https://twitter.com/meccistimecca","@meccistimecca")</f>
        <v>@meccistimecca</v>
      </c>
      <c r="C10337" s="21" t="s">
        <v>22064</v>
      </c>
      <c r="D10337" s="21" t="s">
        <v>22065</v>
      </c>
      <c r="E10337" s="22" t="str">
        <f>HYPERLINK("https://twitter.com/meccistimecca/status/922804846771630080","922804846771630080")</f>
        <v>922804846771630080</v>
      </c>
      <c r="F10337" s="23" t="s">
        <v>33</v>
      </c>
      <c r="G10337" s="24">
        <v>1159.0</v>
      </c>
      <c r="H10337" s="24">
        <v>1350.0</v>
      </c>
      <c r="I10337" s="24">
        <v>0.0</v>
      </c>
      <c r="J10337" s="24">
        <v>0.0</v>
      </c>
      <c r="K10337" s="23" t="s">
        <v>34</v>
      </c>
      <c r="L10337" s="25">
        <v>40345.21449074074</v>
      </c>
      <c r="M10337" s="26" t="s">
        <v>3327</v>
      </c>
      <c r="N10337" s="26" t="s">
        <v>22066</v>
      </c>
      <c r="O10337" s="22" t="str">
        <f>HYPERLINK("https://pbs.twimg.com/profile_images/835868359438782468/aMqOZtBP_normal.jpg","View")</f>
        <v>View</v>
      </c>
      <c r="P10337" s="27"/>
    </row>
    <row r="10338">
      <c r="A10338" s="14">
        <v>43032.236122685186</v>
      </c>
      <c r="B10338" s="20" t="str">
        <f>HYPERLINK("https://twitter.com/stanyee","@stanyee")</f>
        <v>@stanyee</v>
      </c>
      <c r="C10338" s="21" t="s">
        <v>20107</v>
      </c>
      <c r="D10338" s="21" t="s">
        <v>22067</v>
      </c>
      <c r="E10338" s="22" t="str">
        <f>HYPERLINK("https://twitter.com/stanyee/status/922804872868712448","922804872868712448")</f>
        <v>922804872868712448</v>
      </c>
      <c r="F10338" s="23" t="s">
        <v>427</v>
      </c>
      <c r="G10338" s="24">
        <v>12422.0</v>
      </c>
      <c r="H10338" s="24">
        <v>11507.0</v>
      </c>
      <c r="I10338" s="24">
        <v>0.0</v>
      </c>
      <c r="J10338" s="24">
        <v>0.0</v>
      </c>
      <c r="K10338" s="23" t="s">
        <v>34</v>
      </c>
      <c r="L10338" s="25">
        <v>39502.04</v>
      </c>
      <c r="M10338" s="26" t="s">
        <v>20109</v>
      </c>
      <c r="N10338" s="26" t="s">
        <v>20110</v>
      </c>
      <c r="O10338" s="22" t="str">
        <f>HYPERLINK("https://pbs.twimg.com/profile_images/853832654134796288/zbF3bg4X_normal.jpg","View")</f>
        <v>View</v>
      </c>
      <c r="P10338" s="27"/>
    </row>
    <row r="10339">
      <c r="A10339" s="14">
        <v>43032.23633101852</v>
      </c>
      <c r="B10339" s="20" t="str">
        <f>HYPERLINK("https://twitter.com/dignity4enginee","@dignity4enginee")</f>
        <v>@dignity4enginee</v>
      </c>
      <c r="C10339" s="21" t="s">
        <v>22062</v>
      </c>
      <c r="D10339" s="21" t="s">
        <v>21243</v>
      </c>
      <c r="E10339" s="22" t="str">
        <f>HYPERLINK("https://twitter.com/dignity4enginee/status/922804951214014465","922804951214014465")</f>
        <v>922804951214014465</v>
      </c>
      <c r="F10339" s="23" t="s">
        <v>86</v>
      </c>
      <c r="G10339" s="24">
        <v>227.0</v>
      </c>
      <c r="H10339" s="24">
        <v>378.0</v>
      </c>
      <c r="I10339" s="24">
        <v>41.0</v>
      </c>
      <c r="J10339" s="24">
        <v>0.0</v>
      </c>
      <c r="K10339" s="23" t="s">
        <v>34</v>
      </c>
      <c r="L10339" s="25">
        <v>41573.02990740741</v>
      </c>
      <c r="M10339" s="26" t="s">
        <v>11949</v>
      </c>
      <c r="N10339" s="26" t="s">
        <v>21141</v>
      </c>
      <c r="O10339" s="22" t="str">
        <f>HYPERLINK("https://pbs.twimg.com/profile_images/378800000649057169/9fcdc7e581790d557d18bcb1c3cd823d_normal.jpeg","View")</f>
        <v>View</v>
      </c>
      <c r="P10339" s="27"/>
    </row>
    <row r="10340">
      <c r="A10340" s="14">
        <v>43032.23657407408</v>
      </c>
      <c r="B10340" s="20" t="str">
        <f>HYPERLINK("https://twitter.com/manzarbokharai","@manzarbokharai")</f>
        <v>@manzarbokharai</v>
      </c>
      <c r="C10340" s="21" t="s">
        <v>22068</v>
      </c>
      <c r="D10340" s="21" t="s">
        <v>22069</v>
      </c>
      <c r="E10340" s="22" t="str">
        <f>HYPERLINK("https://twitter.com/manzarbokharai/status/922805038589857792","922805038589857792")</f>
        <v>922805038589857792</v>
      </c>
      <c r="F10340" s="23" t="s">
        <v>39</v>
      </c>
      <c r="G10340" s="24">
        <v>178.0</v>
      </c>
      <c r="H10340" s="24">
        <v>130.0</v>
      </c>
      <c r="I10340" s="24">
        <v>1.0</v>
      </c>
      <c r="J10340" s="24">
        <v>0.0</v>
      </c>
      <c r="K10340" s="23" t="s">
        <v>34</v>
      </c>
      <c r="L10340" s="25">
        <v>41574.05587962963</v>
      </c>
      <c r="M10340" s="26" t="s">
        <v>22070</v>
      </c>
      <c r="N10340" s="26" t="s">
        <v>22071</v>
      </c>
      <c r="O10340" s="22" t="str">
        <f>HYPERLINK("https://pbs.twimg.com/profile_images/378800000673087745/d3dcbcf89a22f1c773deaa0b992c3732_normal.jpeg","View")</f>
        <v>View</v>
      </c>
      <c r="P10340" s="27"/>
    </row>
    <row r="10341">
      <c r="A10341" s="14">
        <v>43032.23670138889</v>
      </c>
      <c r="B10341" s="20" t="str">
        <f>HYPERLINK("https://twitter.com/farzadmani","@farzadmani")</f>
        <v>@farzadmani</v>
      </c>
      <c r="C10341" s="21" t="s">
        <v>22063</v>
      </c>
      <c r="D10341" s="21" t="s">
        <v>21243</v>
      </c>
      <c r="E10341" s="22" t="str">
        <f>HYPERLINK("https://twitter.com/farzadmani/status/922805081929605120","922805081929605120")</f>
        <v>922805081929605120</v>
      </c>
      <c r="F10341" s="23" t="s">
        <v>86</v>
      </c>
      <c r="G10341" s="24">
        <v>128.0</v>
      </c>
      <c r="H10341" s="24">
        <v>131.0</v>
      </c>
      <c r="I10341" s="24">
        <v>41.0</v>
      </c>
      <c r="J10341" s="24">
        <v>0.0</v>
      </c>
      <c r="K10341" s="23" t="s">
        <v>34</v>
      </c>
      <c r="L10341" s="25">
        <v>41780.985</v>
      </c>
      <c r="M10341" s="26" t="s">
        <v>40</v>
      </c>
      <c r="N10341" s="26" t="s">
        <v>21083</v>
      </c>
      <c r="O10341" s="22" t="str">
        <f>HYPERLINK("https://pbs.twimg.com/profile_images/469367659805421568/Rffndm0w_normal.jpeg","View")</f>
        <v>View</v>
      </c>
      <c r="P10341" s="27"/>
    </row>
    <row r="10342">
      <c r="A10342" s="14">
        <v>43032.23674768519</v>
      </c>
      <c r="B10342" s="20" t="str">
        <f>HYPERLINK("https://twitter.com/kumarpallawpm","@kumarpallawpm")</f>
        <v>@kumarpallawpm</v>
      </c>
      <c r="C10342" s="21" t="s">
        <v>22072</v>
      </c>
      <c r="D10342" s="21" t="s">
        <v>42</v>
      </c>
      <c r="E10342" s="22" t="str">
        <f>HYPERLINK("https://twitter.com/kumarpallawpm/status/922805100334039046","922805100334039046")</f>
        <v>922805100334039046</v>
      </c>
      <c r="F10342" s="23" t="s">
        <v>33</v>
      </c>
      <c r="G10342" s="24">
        <v>101.0</v>
      </c>
      <c r="H10342" s="24">
        <v>452.0</v>
      </c>
      <c r="I10342" s="24">
        <v>8501.0</v>
      </c>
      <c r="J10342" s="24">
        <v>0.0</v>
      </c>
      <c r="K10342" s="23" t="s">
        <v>34</v>
      </c>
      <c r="L10342" s="25">
        <v>41529.73746527778</v>
      </c>
      <c r="M10342" s="26" t="s">
        <v>22073</v>
      </c>
      <c r="N10342" s="26" t="s">
        <v>22074</v>
      </c>
      <c r="O10342" s="22" t="str">
        <f>HYPERLINK("https://pbs.twimg.com/profile_images/843852369012150272/6WykXwOx_normal.jpg","View")</f>
        <v>View</v>
      </c>
      <c r="P10342" s="27"/>
    </row>
    <row r="10343">
      <c r="A10343" s="14">
        <v>43032.23697916667</v>
      </c>
      <c r="B10343" s="20" t="str">
        <f>HYPERLINK("https://twitter.com/dignity4enginee","@dignity4enginee")</f>
        <v>@dignity4enginee</v>
      </c>
      <c r="C10343" s="21" t="s">
        <v>22062</v>
      </c>
      <c r="D10343" s="21" t="s">
        <v>21191</v>
      </c>
      <c r="E10343" s="22" t="str">
        <f>HYPERLINK("https://twitter.com/dignity4enginee/status/922805186296406018","922805186296406018")</f>
        <v>922805186296406018</v>
      </c>
      <c r="F10343" s="23" t="s">
        <v>86</v>
      </c>
      <c r="G10343" s="24">
        <v>227.0</v>
      </c>
      <c r="H10343" s="24">
        <v>378.0</v>
      </c>
      <c r="I10343" s="24">
        <v>42.0</v>
      </c>
      <c r="J10343" s="24">
        <v>0.0</v>
      </c>
      <c r="K10343" s="23" t="s">
        <v>34</v>
      </c>
      <c r="L10343" s="25">
        <v>41573.02990740741</v>
      </c>
      <c r="M10343" s="26" t="s">
        <v>11949</v>
      </c>
      <c r="N10343" s="26" t="s">
        <v>21141</v>
      </c>
      <c r="O10343" s="22" t="str">
        <f>HYPERLINK("https://pbs.twimg.com/profile_images/378800000649057169/9fcdc7e581790d557d18bcb1c3cd823d_normal.jpeg","View")</f>
        <v>View</v>
      </c>
      <c r="P10343" s="27"/>
    </row>
    <row r="10344">
      <c r="A10344" s="14">
        <v>43032.23732638889</v>
      </c>
      <c r="B10344" s="20" t="str">
        <f>HYPERLINK("https://twitter.com/JDBBC_","@JDBBC_")</f>
        <v>@JDBBC_</v>
      </c>
      <c r="C10344" s="21" t="s">
        <v>22075</v>
      </c>
      <c r="D10344" s="21" t="s">
        <v>9888</v>
      </c>
      <c r="E10344" s="22" t="str">
        <f>HYPERLINK("https://twitter.com/JDBBC_/status/922805308690501633","922805308690501633")</f>
        <v>922805308690501633</v>
      </c>
      <c r="F10344" s="23" t="s">
        <v>33</v>
      </c>
      <c r="G10344" s="24">
        <v>159.0</v>
      </c>
      <c r="H10344" s="24">
        <v>694.0</v>
      </c>
      <c r="I10344" s="24">
        <v>13.0</v>
      </c>
      <c r="J10344" s="24">
        <v>0.0</v>
      </c>
      <c r="K10344" s="23" t="s">
        <v>34</v>
      </c>
      <c r="L10344" s="25">
        <v>42740.704189814816</v>
      </c>
      <c r="M10344" s="26" t="s">
        <v>22076</v>
      </c>
      <c r="N10344" s="26" t="s">
        <v>22077</v>
      </c>
      <c r="O10344" s="22" t="str">
        <f>HYPERLINK("https://pbs.twimg.com/profile_images/907102486263103488/pAT5cr9Z_normal.jpg","View")</f>
        <v>View</v>
      </c>
      <c r="P10344" s="27"/>
    </row>
    <row r="10345">
      <c r="A10345" s="14">
        <v>43032.23734953704</v>
      </c>
      <c r="B10345" s="20" t="str">
        <f>HYPERLINK("https://twitter.com/farzadmani","@farzadmani")</f>
        <v>@farzadmani</v>
      </c>
      <c r="C10345" s="21" t="s">
        <v>22063</v>
      </c>
      <c r="D10345" s="21" t="s">
        <v>21191</v>
      </c>
      <c r="E10345" s="22" t="str">
        <f>HYPERLINK("https://twitter.com/farzadmani/status/922805317825638400","922805317825638400")</f>
        <v>922805317825638400</v>
      </c>
      <c r="F10345" s="23" t="s">
        <v>86</v>
      </c>
      <c r="G10345" s="24">
        <v>128.0</v>
      </c>
      <c r="H10345" s="24">
        <v>131.0</v>
      </c>
      <c r="I10345" s="24">
        <v>42.0</v>
      </c>
      <c r="J10345" s="24">
        <v>0.0</v>
      </c>
      <c r="K10345" s="23" t="s">
        <v>34</v>
      </c>
      <c r="L10345" s="25">
        <v>41780.985</v>
      </c>
      <c r="M10345" s="26" t="s">
        <v>40</v>
      </c>
      <c r="N10345" s="26" t="s">
        <v>21083</v>
      </c>
      <c r="O10345" s="22" t="str">
        <f>HYPERLINK("https://pbs.twimg.com/profile_images/469367659805421568/Rffndm0w_normal.jpeg","View")</f>
        <v>View</v>
      </c>
      <c r="P10345" s="27"/>
    </row>
    <row r="10346">
      <c r="A10346" s="14">
        <v>43032.23734953704</v>
      </c>
      <c r="B10346" s="20" t="str">
        <f>HYPERLINK("https://twitter.com/satkit","@satkit")</f>
        <v>@satkit</v>
      </c>
      <c r="C10346" s="21" t="s">
        <v>22078</v>
      </c>
      <c r="D10346" s="21" t="s">
        <v>18410</v>
      </c>
      <c r="E10346" s="22" t="str">
        <f>HYPERLINK("https://twitter.com/satkit/status/922805318484033536","922805318484033536")</f>
        <v>922805318484033536</v>
      </c>
      <c r="F10346" s="23" t="s">
        <v>39</v>
      </c>
      <c r="G10346" s="24">
        <v>1017.0</v>
      </c>
      <c r="H10346" s="24">
        <v>170.0</v>
      </c>
      <c r="I10346" s="24">
        <v>4.0</v>
      </c>
      <c r="J10346" s="24">
        <v>0.0</v>
      </c>
      <c r="K10346" s="23" t="s">
        <v>34</v>
      </c>
      <c r="L10346" s="25">
        <v>39195.86299768518</v>
      </c>
      <c r="M10346" s="26" t="s">
        <v>22079</v>
      </c>
      <c r="N10346" s="26" t="s">
        <v>22080</v>
      </c>
      <c r="O10346" s="22" t="str">
        <f>HYPERLINK("https://pbs.twimg.com/profile_images/1653970039/photo_normal.jpg","View")</f>
        <v>View</v>
      </c>
      <c r="P10346" s="27"/>
    </row>
    <row r="10347">
      <c r="A10347" s="14">
        <v>43032.23778935186</v>
      </c>
      <c r="B10347" s="20" t="str">
        <f>HYPERLINK("https://twitter.com/anandrajsingh82","@anandrajsingh82")</f>
        <v>@anandrajsingh82</v>
      </c>
      <c r="C10347" s="21" t="s">
        <v>22081</v>
      </c>
      <c r="D10347" s="21" t="s">
        <v>42</v>
      </c>
      <c r="E10347" s="22" t="str">
        <f>HYPERLINK("https://twitter.com/anandrajsingh82/status/922805477498503168","922805477498503168")</f>
        <v>922805477498503168</v>
      </c>
      <c r="F10347" s="23" t="s">
        <v>33</v>
      </c>
      <c r="G10347" s="24">
        <v>158.0</v>
      </c>
      <c r="H10347" s="24">
        <v>183.0</v>
      </c>
      <c r="I10347" s="24">
        <v>8501.0</v>
      </c>
      <c r="J10347" s="24">
        <v>0.0</v>
      </c>
      <c r="K10347" s="23" t="s">
        <v>34</v>
      </c>
      <c r="L10347" s="25">
        <v>42663.46063657408</v>
      </c>
      <c r="M10347" s="26" t="s">
        <v>1545</v>
      </c>
      <c r="N10347" s="26" t="s">
        <v>22082</v>
      </c>
      <c r="O10347" s="22" t="str">
        <f>HYPERLINK("https://pbs.twimg.com/profile_images/807244896033787904/twnyPxkE_normal.jpg","View")</f>
        <v>View</v>
      </c>
      <c r="P10347" s="27"/>
    </row>
    <row r="10348">
      <c r="A10348" s="14">
        <v>43032.237916666665</v>
      </c>
      <c r="B10348" s="20" t="str">
        <f>HYPERLINK("https://twitter.com/tom_nuttall","@tom_nuttall")</f>
        <v>@tom_nuttall</v>
      </c>
      <c r="C10348" s="21" t="s">
        <v>22083</v>
      </c>
      <c r="D10348" s="21" t="s">
        <v>22084</v>
      </c>
      <c r="E10348" s="22" t="str">
        <f>HYPERLINK("https://twitter.com/tom_nuttall/status/922805522012803072","922805522012803072")</f>
        <v>922805522012803072</v>
      </c>
      <c r="F10348" s="23" t="s">
        <v>55</v>
      </c>
      <c r="G10348" s="24">
        <v>18750.0</v>
      </c>
      <c r="H10348" s="24">
        <v>806.0</v>
      </c>
      <c r="I10348" s="24">
        <v>0.0</v>
      </c>
      <c r="J10348" s="24">
        <v>1.0</v>
      </c>
      <c r="K10348" s="23" t="s">
        <v>34</v>
      </c>
      <c r="L10348" s="25">
        <v>39686.640127314815</v>
      </c>
      <c r="M10348" s="26" t="s">
        <v>9231</v>
      </c>
      <c r="N10348" s="26" t="s">
        <v>22085</v>
      </c>
      <c r="O10348" s="22" t="str">
        <f>HYPERLINK("https://pbs.twimg.com/profile_images/847170374605426694/aVP8N80D_normal.jpg","View")</f>
        <v>View</v>
      </c>
      <c r="P10348" s="27"/>
    </row>
    <row r="10349">
      <c r="A10349" s="14">
        <v>43032.23792824074</v>
      </c>
      <c r="B10349" s="20" t="str">
        <f>HYPERLINK("https://twitter.com/81ILoveJapan","@81ILoveJapan")</f>
        <v>@81ILoveJapan</v>
      </c>
      <c r="C10349" s="21" t="s">
        <v>7180</v>
      </c>
      <c r="D10349" s="21" t="s">
        <v>21191</v>
      </c>
      <c r="E10349" s="22" t="str">
        <f>HYPERLINK("https://twitter.com/81ILoveJapan/status/922805526605516801","922805526605516801")</f>
        <v>922805526605516801</v>
      </c>
      <c r="F10349" s="23" t="s">
        <v>7182</v>
      </c>
      <c r="G10349" s="24">
        <v>73.0</v>
      </c>
      <c r="H10349" s="24">
        <v>325.0</v>
      </c>
      <c r="I10349" s="24">
        <v>42.0</v>
      </c>
      <c r="J10349" s="24">
        <v>0.0</v>
      </c>
      <c r="K10349" s="23" t="s">
        <v>34</v>
      </c>
      <c r="L10349" s="25">
        <v>43017.014756944445</v>
      </c>
      <c r="M10349" s="28"/>
      <c r="N10349" s="28"/>
      <c r="O10349" s="22" t="str">
        <f>HYPERLINK("https://pbs.twimg.com/profile_images/917294754252996614/2lWRChsz_normal.jpg","View")</f>
        <v>View</v>
      </c>
      <c r="P10349" s="27"/>
    </row>
    <row r="10350">
      <c r="A10350" s="14">
        <v>43032.238750000004</v>
      </c>
      <c r="B10350" s="20" t="str">
        <f>HYPERLINK("https://twitter.com/tonyp8886","@tonyp8886")</f>
        <v>@tonyp8886</v>
      </c>
      <c r="C10350" s="21" t="s">
        <v>22086</v>
      </c>
      <c r="D10350" s="21" t="s">
        <v>12974</v>
      </c>
      <c r="E10350" s="22" t="str">
        <f>HYPERLINK("https://twitter.com/tonyp8886/status/922805825252491264","922805825252491264")</f>
        <v>922805825252491264</v>
      </c>
      <c r="F10350" s="23" t="s">
        <v>33</v>
      </c>
      <c r="G10350" s="24">
        <v>149.0</v>
      </c>
      <c r="H10350" s="24">
        <v>460.0</v>
      </c>
      <c r="I10350" s="24">
        <v>110.0</v>
      </c>
      <c r="J10350" s="24">
        <v>0.0</v>
      </c>
      <c r="K10350" s="23" t="s">
        <v>34</v>
      </c>
      <c r="L10350" s="25">
        <v>41669.37699074074</v>
      </c>
      <c r="M10350" s="26" t="s">
        <v>22087</v>
      </c>
      <c r="N10350" s="28"/>
      <c r="O10350" s="22" t="str">
        <f>HYPERLINK("https://pbs.twimg.com/profile_images/495281204199845888/30XARsxr_normal.jpeg","View")</f>
        <v>View</v>
      </c>
      <c r="P10350" s="27"/>
    </row>
    <row r="10351">
      <c r="A10351" s="14">
        <v>43032.23877314814</v>
      </c>
      <c r="B10351" s="20" t="str">
        <f>HYPERLINK("https://twitter.com/DrErRafiaFZ","@DrErRafiaFZ")</f>
        <v>@DrErRafiaFZ</v>
      </c>
      <c r="C10351" s="21" t="s">
        <v>9420</v>
      </c>
      <c r="D10351" s="21" t="s">
        <v>15996</v>
      </c>
      <c r="E10351" s="22" t="str">
        <f>HYPERLINK("https://twitter.com/DrErRafiaFZ/status/922805835536977920","922805835536977920")</f>
        <v>922805835536977920</v>
      </c>
      <c r="F10351" s="23" t="s">
        <v>39</v>
      </c>
      <c r="G10351" s="24">
        <v>1018.0</v>
      </c>
      <c r="H10351" s="24">
        <v>1123.0</v>
      </c>
      <c r="I10351" s="24">
        <v>6.0</v>
      </c>
      <c r="J10351" s="24">
        <v>0.0</v>
      </c>
      <c r="K10351" s="23" t="s">
        <v>34</v>
      </c>
      <c r="L10351" s="25">
        <v>42688.52506944444</v>
      </c>
      <c r="M10351" s="26" t="s">
        <v>9422</v>
      </c>
      <c r="N10351" s="26" t="s">
        <v>9423</v>
      </c>
      <c r="O10351" s="22" t="str">
        <f>HYPERLINK("https://pbs.twimg.com/profile_images/883480162968502273/4ql8ZOLZ_normal.jpg","View")</f>
        <v>View</v>
      </c>
      <c r="P10351" s="27"/>
    </row>
    <row r="10352">
      <c r="A10352" s="14">
        <v>43032.23940972222</v>
      </c>
      <c r="B10352" s="20" t="str">
        <f>HYPERLINK("https://twitter.com/tetsuo_yoshida","@tetsuo_yoshida")</f>
        <v>@tetsuo_yoshida</v>
      </c>
      <c r="C10352" s="21" t="s">
        <v>10055</v>
      </c>
      <c r="D10352" s="21" t="s">
        <v>22088</v>
      </c>
      <c r="E10352" s="22" t="str">
        <f>HYPERLINK("https://twitter.com/tetsuo_yoshida/status/922806063316873216","922806063316873216")</f>
        <v>922806063316873216</v>
      </c>
      <c r="F10352" s="23" t="s">
        <v>55</v>
      </c>
      <c r="G10352" s="24">
        <v>1576.0</v>
      </c>
      <c r="H10352" s="24">
        <v>4931.0</v>
      </c>
      <c r="I10352" s="24">
        <v>0.0</v>
      </c>
      <c r="J10352" s="24">
        <v>0.0</v>
      </c>
      <c r="K10352" s="23" t="s">
        <v>34</v>
      </c>
      <c r="L10352" s="25">
        <v>42062.237488425926</v>
      </c>
      <c r="M10352" s="26" t="s">
        <v>10057</v>
      </c>
      <c r="N10352" s="26" t="s">
        <v>10058</v>
      </c>
      <c r="O10352" s="22" t="str">
        <f>HYPERLINK("https://pbs.twimg.com/profile_images/571304569401901056/5lHrgzPa_normal.jpeg","View")</f>
        <v>View</v>
      </c>
      <c r="P10352" s="27"/>
    </row>
    <row r="10353">
      <c r="A10353" s="14">
        <v>43032.24046296296</v>
      </c>
      <c r="B10353" s="20" t="str">
        <f>HYPERLINK("https://twitter.com/drvarunsawant","@drvarunsawant")</f>
        <v>@drvarunsawant</v>
      </c>
      <c r="C10353" s="21" t="s">
        <v>22089</v>
      </c>
      <c r="D10353" s="21" t="s">
        <v>42</v>
      </c>
      <c r="E10353" s="22" t="str">
        <f>HYPERLINK("https://twitter.com/drvarunsawant/status/922806448685494272","922806448685494272")</f>
        <v>922806448685494272</v>
      </c>
      <c r="F10353" s="23" t="s">
        <v>33</v>
      </c>
      <c r="G10353" s="24">
        <v>193.0</v>
      </c>
      <c r="H10353" s="24">
        <v>702.0</v>
      </c>
      <c r="I10353" s="24">
        <v>8501.0</v>
      </c>
      <c r="J10353" s="24">
        <v>0.0</v>
      </c>
      <c r="K10353" s="23" t="s">
        <v>34</v>
      </c>
      <c r="L10353" s="25">
        <v>42803.47918981481</v>
      </c>
      <c r="M10353" s="26" t="s">
        <v>2020</v>
      </c>
      <c r="N10353" s="26" t="s">
        <v>22090</v>
      </c>
      <c r="O10353" s="22" t="str">
        <f>HYPERLINK("https://pbs.twimg.com/profile_images/839924535889502208/TpEvWZOS_normal.jpg","View")</f>
        <v>View</v>
      </c>
      <c r="P10353" s="27"/>
    </row>
    <row r="10354">
      <c r="A10354" s="14">
        <v>43032.24202546296</v>
      </c>
      <c r="B10354" s="20" t="str">
        <f>HYPERLINK("https://twitter.com/ShrikantojhaBjp","@ShrikantojhaBjp")</f>
        <v>@ShrikantojhaBjp</v>
      </c>
      <c r="C10354" s="21" t="s">
        <v>22091</v>
      </c>
      <c r="D10354" s="21" t="s">
        <v>42</v>
      </c>
      <c r="E10354" s="22" t="str">
        <f>HYPERLINK("https://twitter.com/ShrikantojhaBjp/status/922807011204464640","922807011204464640")</f>
        <v>922807011204464640</v>
      </c>
      <c r="F10354" s="23" t="s">
        <v>33</v>
      </c>
      <c r="G10354" s="24">
        <v>290.0</v>
      </c>
      <c r="H10354" s="24">
        <v>692.0</v>
      </c>
      <c r="I10354" s="24">
        <v>8501.0</v>
      </c>
      <c r="J10354" s="24">
        <v>0.0</v>
      </c>
      <c r="K10354" s="23" t="s">
        <v>34</v>
      </c>
      <c r="L10354" s="25">
        <v>42635.02295138889</v>
      </c>
      <c r="M10354" s="26" t="s">
        <v>22092</v>
      </c>
      <c r="N10354" s="26" t="s">
        <v>22093</v>
      </c>
      <c r="O10354" s="22" t="str">
        <f>HYPERLINK("https://pbs.twimg.com/profile_images/778952421141651457/CK_r2tmo_normal.jpg","View")</f>
        <v>View</v>
      </c>
      <c r="P10354" s="27"/>
    </row>
    <row r="10355">
      <c r="A10355" s="14">
        <v>43032.242685185185</v>
      </c>
      <c r="B10355" s="20" t="str">
        <f>HYPERLINK("https://twitter.com/5gF1lM2QI1Vvbu9","@5gF1lM2QI1Vvbu9")</f>
        <v>@5gF1lM2QI1Vvbu9</v>
      </c>
      <c r="C10355" s="21" t="s">
        <v>22094</v>
      </c>
      <c r="D10355" s="21" t="s">
        <v>6403</v>
      </c>
      <c r="E10355" s="22" t="str">
        <f>HYPERLINK("https://twitter.com/5gF1lM2QI1Vvbu9/status/922807251680632837","922807251680632837")</f>
        <v>922807251680632837</v>
      </c>
      <c r="F10355" s="23" t="s">
        <v>33</v>
      </c>
      <c r="G10355" s="24">
        <v>385.0</v>
      </c>
      <c r="H10355" s="24">
        <v>476.0</v>
      </c>
      <c r="I10355" s="24">
        <v>97.0</v>
      </c>
      <c r="J10355" s="24">
        <v>0.0</v>
      </c>
      <c r="K10355" s="23" t="s">
        <v>34</v>
      </c>
      <c r="L10355" s="25">
        <v>42893.39200231481</v>
      </c>
      <c r="M10355" s="28"/>
      <c r="N10355" s="26" t="s">
        <v>22095</v>
      </c>
      <c r="O10355" s="22" t="str">
        <f>HYPERLINK("https://pbs.twimg.com/profile_images/902147955557187584/m0NAlrNb_normal.jpg","View")</f>
        <v>View</v>
      </c>
      <c r="P10355" s="27"/>
    </row>
    <row r="10356">
      <c r="A10356" s="14">
        <v>43032.24327546296</v>
      </c>
      <c r="B10356" s="20" t="str">
        <f>HYPERLINK("https://twitter.com/alphonselouis","@alphonselouis")</f>
        <v>@alphonselouis</v>
      </c>
      <c r="C10356" s="21" t="s">
        <v>22096</v>
      </c>
      <c r="D10356" s="21" t="s">
        <v>12974</v>
      </c>
      <c r="E10356" s="22" t="str">
        <f>HYPERLINK("https://twitter.com/alphonselouis/status/922807464139149312","922807464139149312")</f>
        <v>922807464139149312</v>
      </c>
      <c r="F10356" s="23" t="s">
        <v>39</v>
      </c>
      <c r="G10356" s="24">
        <v>1568.0</v>
      </c>
      <c r="H10356" s="24">
        <v>5000.0</v>
      </c>
      <c r="I10356" s="24">
        <v>110.0</v>
      </c>
      <c r="J10356" s="24">
        <v>0.0</v>
      </c>
      <c r="K10356" s="23" t="s">
        <v>34</v>
      </c>
      <c r="L10356" s="25">
        <v>39870.71212962963</v>
      </c>
      <c r="M10356" s="26" t="s">
        <v>21405</v>
      </c>
      <c r="N10356" s="26" t="s">
        <v>22097</v>
      </c>
      <c r="O10356" s="22" t="str">
        <f>HYPERLINK("https://pbs.twimg.com/profile_images/1151778677/yinshih5_normal.jpg","View")</f>
        <v>View</v>
      </c>
      <c r="P10356" s="27"/>
    </row>
    <row r="10357">
      <c r="A10357" s="14">
        <v>43032.2434375</v>
      </c>
      <c r="B10357" s="20" t="str">
        <f>HYPERLINK("https://twitter.com/BaadshahSufyan","@BaadshahSufyan")</f>
        <v>@BaadshahSufyan</v>
      </c>
      <c r="C10357" s="21" t="s">
        <v>22098</v>
      </c>
      <c r="D10357" s="21" t="s">
        <v>42</v>
      </c>
      <c r="E10357" s="22" t="str">
        <f>HYPERLINK("https://twitter.com/BaadshahSufyan/status/922807526877302784","922807526877302784")</f>
        <v>922807526877302784</v>
      </c>
      <c r="F10357" s="23" t="s">
        <v>33</v>
      </c>
      <c r="G10357" s="24">
        <v>863.0</v>
      </c>
      <c r="H10357" s="24">
        <v>3406.0</v>
      </c>
      <c r="I10357" s="24">
        <v>8501.0</v>
      </c>
      <c r="J10357" s="24">
        <v>0.0</v>
      </c>
      <c r="K10357" s="23" t="s">
        <v>34</v>
      </c>
      <c r="L10357" s="25">
        <v>41988.07451388889</v>
      </c>
      <c r="M10357" s="26" t="s">
        <v>4398</v>
      </c>
      <c r="N10357" s="26" t="s">
        <v>22099</v>
      </c>
      <c r="O10357" s="22" t="str">
        <f>HYPERLINK("https://pbs.twimg.com/profile_images/922735691758370816/00At2kIq_normal.jpg","View")</f>
        <v>View</v>
      </c>
      <c r="P10357" s="27"/>
    </row>
    <row r="10358">
      <c r="A10358" s="14">
        <v>43032.243981481486</v>
      </c>
      <c r="B10358" s="20" t="str">
        <f>HYPERLINK("https://twitter.com/Ankitaashu19","@Ankitaashu19")</f>
        <v>@Ankitaashu19</v>
      </c>
      <c r="C10358" s="21" t="s">
        <v>22100</v>
      </c>
      <c r="D10358" s="21" t="s">
        <v>21213</v>
      </c>
      <c r="E10358" s="22" t="str">
        <f>HYPERLINK("https://twitter.com/Ankitaashu19/status/922807721652494337","922807721652494337")</f>
        <v>922807721652494337</v>
      </c>
      <c r="F10358" s="23" t="s">
        <v>39</v>
      </c>
      <c r="G10358" s="24">
        <v>4.0</v>
      </c>
      <c r="H10358" s="24">
        <v>137.0</v>
      </c>
      <c r="I10358" s="24">
        <v>2.0</v>
      </c>
      <c r="J10358" s="24">
        <v>0.0</v>
      </c>
      <c r="K10358" s="23" t="s">
        <v>34</v>
      </c>
      <c r="L10358" s="25">
        <v>40941.31575231481</v>
      </c>
      <c r="M10358" s="28"/>
      <c r="N10358" s="28"/>
      <c r="O10358" s="22" t="str">
        <f>HYPERLINK("https://abs.twimg.com/sticky/default_profile_images/default_profile_normal.png","View")</f>
        <v>View</v>
      </c>
      <c r="P10358" s="27"/>
    </row>
    <row r="10359">
      <c r="A10359" s="14">
        <v>43032.24434027778</v>
      </c>
      <c r="B10359" s="20" t="str">
        <f>HYPERLINK("https://twitter.com/DemForce","@DemForce")</f>
        <v>@DemForce</v>
      </c>
      <c r="C10359" s="21" t="s">
        <v>22101</v>
      </c>
      <c r="D10359" s="21" t="s">
        <v>16537</v>
      </c>
      <c r="E10359" s="22" t="str">
        <f>HYPERLINK("https://twitter.com/DemForce/status/922807850300256257","922807850300256257")</f>
        <v>922807850300256257</v>
      </c>
      <c r="F10359" s="23" t="s">
        <v>39</v>
      </c>
      <c r="G10359" s="24">
        <v>1924.0</v>
      </c>
      <c r="H10359" s="24">
        <v>2470.0</v>
      </c>
      <c r="I10359" s="24">
        <v>242.0</v>
      </c>
      <c r="J10359" s="24">
        <v>0.0</v>
      </c>
      <c r="K10359" s="23" t="s">
        <v>34</v>
      </c>
      <c r="L10359" s="25">
        <v>42582.6784375</v>
      </c>
      <c r="M10359" s="26" t="s">
        <v>22102</v>
      </c>
      <c r="N10359" s="26" t="s">
        <v>22103</v>
      </c>
      <c r="O10359" s="22" t="str">
        <f>HYPERLINK("https://pbs.twimg.com/profile_images/922207488140865536/JltFeo6t_normal.jpg","View")</f>
        <v>View</v>
      </c>
      <c r="P10359" s="27"/>
    </row>
    <row r="10360">
      <c r="A10360" s="14">
        <v>43032.244618055556</v>
      </c>
      <c r="B10360" s="20" t="str">
        <f>HYPERLINK("https://twitter.com/daminenimad","@daminenimad")</f>
        <v>@daminenimad</v>
      </c>
      <c r="C10360" s="21" t="s">
        <v>22104</v>
      </c>
      <c r="D10360" s="21" t="s">
        <v>12974</v>
      </c>
      <c r="E10360" s="22" t="str">
        <f>HYPERLINK("https://twitter.com/daminenimad/status/922807952167153664","922807952167153664")</f>
        <v>922807952167153664</v>
      </c>
      <c r="F10360" s="23" t="s">
        <v>33</v>
      </c>
      <c r="G10360" s="24">
        <v>64.0</v>
      </c>
      <c r="H10360" s="24">
        <v>304.0</v>
      </c>
      <c r="I10360" s="24">
        <v>110.0</v>
      </c>
      <c r="J10360" s="24">
        <v>0.0</v>
      </c>
      <c r="K10360" s="23" t="s">
        <v>34</v>
      </c>
      <c r="L10360" s="25">
        <v>41746.44930555556</v>
      </c>
      <c r="M10360" s="26" t="s">
        <v>22105</v>
      </c>
      <c r="N10360" s="26" t="s">
        <v>22106</v>
      </c>
      <c r="O10360" s="22" t="str">
        <f>HYPERLINK("https://pbs.twimg.com/profile_images/918822542302777344/xs_Hp8jF_normal.jpg","View")</f>
        <v>View</v>
      </c>
      <c r="P10360" s="27"/>
    </row>
    <row r="10361">
      <c r="A10361" s="14">
        <v>43032.245150462964</v>
      </c>
      <c r="B10361" s="20" t="str">
        <f>HYPERLINK("https://twitter.com/serendipnana","@serendipnana")</f>
        <v>@serendipnana</v>
      </c>
      <c r="C10361" s="21" t="s">
        <v>8465</v>
      </c>
      <c r="D10361" s="21" t="s">
        <v>19882</v>
      </c>
      <c r="E10361" s="22" t="str">
        <f>HYPERLINK("https://twitter.com/serendipnana/status/922808147055607809","922808147055607809")</f>
        <v>922808147055607809</v>
      </c>
      <c r="F10361" s="23" t="s">
        <v>33</v>
      </c>
      <c r="G10361" s="24">
        <v>221.0</v>
      </c>
      <c r="H10361" s="24">
        <v>17.0</v>
      </c>
      <c r="I10361" s="24">
        <v>7.0</v>
      </c>
      <c r="J10361" s="24">
        <v>0.0</v>
      </c>
      <c r="K10361" s="23" t="s">
        <v>34</v>
      </c>
      <c r="L10361" s="25">
        <v>40656.264085648145</v>
      </c>
      <c r="M10361" s="26" t="s">
        <v>8466</v>
      </c>
      <c r="N10361" s="26" t="s">
        <v>8467</v>
      </c>
      <c r="O10361" s="22" t="str">
        <f>HYPERLINK("https://pbs.twimg.com/profile_images/1322392146/s58B6Ubk_normal","View")</f>
        <v>View</v>
      </c>
      <c r="P10361" s="27"/>
    </row>
    <row r="10362">
      <c r="A10362" s="14">
        <v>43032.24591435185</v>
      </c>
      <c r="B10362" s="20" t="str">
        <f>HYPERLINK("https://twitter.com/casausjosep","@casausjosep")</f>
        <v>@casausjosep</v>
      </c>
      <c r="C10362" s="21" t="s">
        <v>22107</v>
      </c>
      <c r="D10362" s="21" t="s">
        <v>16208</v>
      </c>
      <c r="E10362" s="22" t="str">
        <f>HYPERLINK("https://twitter.com/casausjosep/status/922808421962960898","922808421962960898")</f>
        <v>922808421962960898</v>
      </c>
      <c r="F10362" s="23" t="s">
        <v>33</v>
      </c>
      <c r="G10362" s="24">
        <v>602.0</v>
      </c>
      <c r="H10362" s="24">
        <v>494.0</v>
      </c>
      <c r="I10362" s="24">
        <v>41.0</v>
      </c>
      <c r="J10362" s="24">
        <v>0.0</v>
      </c>
      <c r="K10362" s="23" t="s">
        <v>34</v>
      </c>
      <c r="L10362" s="25">
        <v>40179.1862962963</v>
      </c>
      <c r="M10362" s="26" t="s">
        <v>2569</v>
      </c>
      <c r="N10362" s="26" t="s">
        <v>22108</v>
      </c>
      <c r="O10362" s="22" t="str">
        <f>HYPERLINK("https://pbs.twimg.com/profile_images/420161185061695488/MJcIkPLm_normal.jpeg","View")</f>
        <v>View</v>
      </c>
      <c r="P10362" s="27"/>
    </row>
    <row r="10363">
      <c r="A10363" s="14">
        <v>43032.24605324074</v>
      </c>
      <c r="B10363" s="20" t="str">
        <f>HYPERLINK("https://twitter.com/NLakshey","@NLakshey")</f>
        <v>@NLakshey</v>
      </c>
      <c r="C10363" s="21" t="s">
        <v>125</v>
      </c>
      <c r="D10363" s="21" t="s">
        <v>9342</v>
      </c>
      <c r="E10363" s="22" t="str">
        <f>HYPERLINK("https://twitter.com/NLakshey/status/922808471774359553","922808471774359553")</f>
        <v>922808471774359553</v>
      </c>
      <c r="F10363" s="23" t="s">
        <v>33</v>
      </c>
      <c r="G10363" s="24">
        <v>306.0</v>
      </c>
      <c r="H10363" s="24">
        <v>1025.0</v>
      </c>
      <c r="I10363" s="24">
        <v>6.0</v>
      </c>
      <c r="J10363" s="24">
        <v>0.0</v>
      </c>
      <c r="K10363" s="23" t="s">
        <v>34</v>
      </c>
      <c r="L10363" s="25">
        <v>41658.97289351852</v>
      </c>
      <c r="M10363" s="26" t="s">
        <v>127</v>
      </c>
      <c r="N10363" s="26" t="s">
        <v>128</v>
      </c>
      <c r="O10363" s="22" t="str">
        <f>HYPERLINK("https://pbs.twimg.com/profile_images/911173726997143552/5HzTBWrG_normal.jpg","View")</f>
        <v>View</v>
      </c>
      <c r="P10363" s="27"/>
    </row>
    <row r="10364">
      <c r="A10364" s="14">
        <v>43032.24618055555</v>
      </c>
      <c r="B10364" s="20" t="str">
        <f>HYPERLINK("https://twitter.com/vivek1purohitg1","@vivek1purohitg1")</f>
        <v>@vivek1purohitg1</v>
      </c>
      <c r="C10364" s="21" t="s">
        <v>22109</v>
      </c>
      <c r="D10364" s="21" t="s">
        <v>163</v>
      </c>
      <c r="E10364" s="22" t="str">
        <f>HYPERLINK("https://twitter.com/vivek1purohitg1/status/922808520679948288","922808520679948288")</f>
        <v>922808520679948288</v>
      </c>
      <c r="F10364" s="23" t="s">
        <v>33</v>
      </c>
      <c r="G10364" s="24">
        <v>959.0</v>
      </c>
      <c r="H10364" s="24">
        <v>4962.0</v>
      </c>
      <c r="I10364" s="24">
        <v>1005.0</v>
      </c>
      <c r="J10364" s="24">
        <v>0.0</v>
      </c>
      <c r="K10364" s="23" t="s">
        <v>34</v>
      </c>
      <c r="L10364" s="25">
        <v>41033.63631944444</v>
      </c>
      <c r="M10364" s="26" t="s">
        <v>6986</v>
      </c>
      <c r="N10364" s="26" t="s">
        <v>22110</v>
      </c>
      <c r="O10364" s="22" t="str">
        <f>HYPERLINK("https://pbs.twimg.com/profile_images/787573884778270720/uvVQocUJ_normal.jpg","View")</f>
        <v>View</v>
      </c>
      <c r="P10364" s="27"/>
    </row>
    <row r="10365">
      <c r="A10365" s="14">
        <v>43032.246562500004</v>
      </c>
      <c r="B10365" s="20" t="str">
        <f>HYPERLINK("https://twitter.com/k_inamasu","@k_inamasu")</f>
        <v>@k_inamasu</v>
      </c>
      <c r="C10365" s="21" t="s">
        <v>22111</v>
      </c>
      <c r="D10365" s="21" t="s">
        <v>18410</v>
      </c>
      <c r="E10365" s="22" t="str">
        <f>HYPERLINK("https://twitter.com/k_inamasu/status/922808656155918336","922808656155918336")</f>
        <v>922808656155918336</v>
      </c>
      <c r="F10365" s="23" t="s">
        <v>55</v>
      </c>
      <c r="G10365" s="24">
        <v>805.0</v>
      </c>
      <c r="H10365" s="24">
        <v>108.0</v>
      </c>
      <c r="I10365" s="24">
        <v>4.0</v>
      </c>
      <c r="J10365" s="24">
        <v>0.0</v>
      </c>
      <c r="K10365" s="23" t="s">
        <v>34</v>
      </c>
      <c r="L10365" s="25">
        <v>40711.88355324074</v>
      </c>
      <c r="M10365" s="28"/>
      <c r="N10365" s="26" t="s">
        <v>22112</v>
      </c>
      <c r="O10365" s="22" t="str">
        <f>HYPERLINK("https://pbs.twimg.com/profile_images/1401062553/eyes0295_normal.jpg","View")</f>
        <v>View</v>
      </c>
      <c r="P10365" s="27"/>
    </row>
    <row r="10366">
      <c r="A10366" s="14">
        <v>43032.24680555555</v>
      </c>
      <c r="B10366" s="20" t="str">
        <f>HYPERLINK("https://twitter.com/farzinbahmani","@farzinbahmani")</f>
        <v>@farzinbahmani</v>
      </c>
      <c r="C10366" s="21" t="s">
        <v>22113</v>
      </c>
      <c r="D10366" s="21" t="s">
        <v>21202</v>
      </c>
      <c r="E10366" s="22" t="str">
        <f>HYPERLINK("https://twitter.com/farzinbahmani/status/922808747172515840","922808747172515840")</f>
        <v>922808747172515840</v>
      </c>
      <c r="F10366" s="23" t="s">
        <v>86</v>
      </c>
      <c r="G10366" s="24">
        <v>117.0</v>
      </c>
      <c r="H10366" s="24">
        <v>156.0</v>
      </c>
      <c r="I10366" s="24">
        <v>79.0</v>
      </c>
      <c r="J10366" s="24">
        <v>0.0</v>
      </c>
      <c r="K10366" s="23" t="s">
        <v>34</v>
      </c>
      <c r="L10366" s="25">
        <v>41780.99837962963</v>
      </c>
      <c r="M10366" s="26" t="s">
        <v>22114</v>
      </c>
      <c r="N10366" s="26" t="s">
        <v>22115</v>
      </c>
      <c r="O10366" s="22" t="str">
        <f>HYPERLINK("https://pbs.twimg.com/profile_images/469373069417390080/7w94CioM_normal.jpeg","View")</f>
        <v>View</v>
      </c>
      <c r="P10366" s="27"/>
    </row>
    <row r="10367">
      <c r="A10367" s="14">
        <v>43032.24726851852</v>
      </c>
      <c r="B10367" s="20" t="str">
        <f>HYPERLINK("https://twitter.com/alidavood1","@alidavood1")</f>
        <v>@alidavood1</v>
      </c>
      <c r="C10367" s="21" t="s">
        <v>22116</v>
      </c>
      <c r="D10367" s="21" t="s">
        <v>21202</v>
      </c>
      <c r="E10367" s="22" t="str">
        <f>HYPERLINK("https://twitter.com/alidavood1/status/922808912289579008","922808912289579008")</f>
        <v>922808912289579008</v>
      </c>
      <c r="F10367" s="23" t="s">
        <v>86</v>
      </c>
      <c r="G10367" s="24">
        <v>149.0</v>
      </c>
      <c r="H10367" s="24">
        <v>133.0</v>
      </c>
      <c r="I10367" s="24">
        <v>79.0</v>
      </c>
      <c r="J10367" s="24">
        <v>0.0</v>
      </c>
      <c r="K10367" s="23" t="s">
        <v>34</v>
      </c>
      <c r="L10367" s="25">
        <v>41773.026979166665</v>
      </c>
      <c r="M10367" s="26" t="s">
        <v>11949</v>
      </c>
      <c r="N10367" s="26" t="s">
        <v>21141</v>
      </c>
      <c r="O10367" s="22" t="str">
        <f>HYPERLINK("https://pbs.twimg.com/profile_images/466483069973585920/aqLw_6D6_normal.png","View")</f>
        <v>View</v>
      </c>
      <c r="P10367" s="27"/>
    </row>
    <row r="10368">
      <c r="A10368" s="14">
        <v>43032.247465277775</v>
      </c>
      <c r="B10368" s="20" t="str">
        <f>HYPERLINK("https://twitter.com/farzinbahmani","@farzinbahmani")</f>
        <v>@farzinbahmani</v>
      </c>
      <c r="C10368" s="21" t="s">
        <v>22113</v>
      </c>
      <c r="D10368" s="21" t="s">
        <v>21203</v>
      </c>
      <c r="E10368" s="22" t="str">
        <f>HYPERLINK("https://twitter.com/farzinbahmani/status/922808983773237248","922808983773237248")</f>
        <v>922808983773237248</v>
      </c>
      <c r="F10368" s="23" t="s">
        <v>86</v>
      </c>
      <c r="G10368" s="24">
        <v>117.0</v>
      </c>
      <c r="H10368" s="24">
        <v>156.0</v>
      </c>
      <c r="I10368" s="24">
        <v>75.0</v>
      </c>
      <c r="J10368" s="24">
        <v>0.0</v>
      </c>
      <c r="K10368" s="23" t="s">
        <v>34</v>
      </c>
      <c r="L10368" s="25">
        <v>41780.99837962963</v>
      </c>
      <c r="M10368" s="26" t="s">
        <v>22114</v>
      </c>
      <c r="N10368" s="26" t="s">
        <v>22115</v>
      </c>
      <c r="O10368" s="22" t="str">
        <f>HYPERLINK("https://pbs.twimg.com/profile_images/469373069417390080/7w94CioM_normal.jpeg","View")</f>
        <v>View</v>
      </c>
      <c r="P10368" s="27"/>
    </row>
    <row r="10369">
      <c r="A10369" s="14">
        <v>43032.247719907406</v>
      </c>
      <c r="B10369" s="20" t="str">
        <f>HYPERLINK("https://twitter.com/abuTWra","@abuTWra")</f>
        <v>@abuTWra</v>
      </c>
      <c r="C10369" s="21" t="s">
        <v>22117</v>
      </c>
      <c r="D10369" s="21" t="s">
        <v>163</v>
      </c>
      <c r="E10369" s="22" t="str">
        <f>HYPERLINK("https://twitter.com/abuTWra/status/922809078191079424","922809078191079424")</f>
        <v>922809078191079424</v>
      </c>
      <c r="F10369" s="23" t="s">
        <v>39</v>
      </c>
      <c r="G10369" s="24">
        <v>1522.0</v>
      </c>
      <c r="H10369" s="24">
        <v>2138.0</v>
      </c>
      <c r="I10369" s="24">
        <v>1005.0</v>
      </c>
      <c r="J10369" s="24">
        <v>0.0</v>
      </c>
      <c r="K10369" s="23" t="s">
        <v>34</v>
      </c>
      <c r="L10369" s="25">
        <v>40579.043287037035</v>
      </c>
      <c r="M10369" s="26" t="s">
        <v>22118</v>
      </c>
      <c r="N10369" s="26" t="s">
        <v>22119</v>
      </c>
      <c r="O10369" s="22" t="str">
        <f>HYPERLINK("https://abs.twimg.com/sticky/default_profile_images/default_profile_normal.png","View")</f>
        <v>View</v>
      </c>
      <c r="P10369" s="27"/>
    </row>
    <row r="10370">
      <c r="A10370" s="14">
        <v>43032.24777777778</v>
      </c>
      <c r="B10370" s="20" t="str">
        <f>HYPERLINK("https://twitter.com/dignity4evry1","@dignity4evry1")</f>
        <v>@dignity4evry1</v>
      </c>
      <c r="C10370" s="21" t="s">
        <v>22120</v>
      </c>
      <c r="D10370" s="21" t="s">
        <v>21202</v>
      </c>
      <c r="E10370" s="22" t="str">
        <f>HYPERLINK("https://twitter.com/dignity4evry1/status/922809096427913216","922809096427913216")</f>
        <v>922809096427913216</v>
      </c>
      <c r="F10370" s="23" t="s">
        <v>86</v>
      </c>
      <c r="G10370" s="24">
        <v>524.0</v>
      </c>
      <c r="H10370" s="24">
        <v>420.0</v>
      </c>
      <c r="I10370" s="24">
        <v>79.0</v>
      </c>
      <c r="J10370" s="24">
        <v>0.0</v>
      </c>
      <c r="K10370" s="23" t="s">
        <v>34</v>
      </c>
      <c r="L10370" s="25">
        <v>41571.43877314815</v>
      </c>
      <c r="M10370" s="26" t="s">
        <v>40</v>
      </c>
      <c r="N10370" s="26" t="s">
        <v>21141</v>
      </c>
      <c r="O10370" s="22" t="str">
        <f>HYPERLINK("https://pbs.twimg.com/profile_images/378800000642177440/7a55abef84be826b93e0c650b4384589_normal.jpeg","View")</f>
        <v>View</v>
      </c>
      <c r="P10370" s="27"/>
    </row>
    <row r="10371">
      <c r="A10371" s="14">
        <v>43032.24795138889</v>
      </c>
      <c r="B10371" s="20" t="str">
        <f>HYPERLINK("https://twitter.com/alidavood1","@alidavood1")</f>
        <v>@alidavood1</v>
      </c>
      <c r="C10371" s="21" t="s">
        <v>22116</v>
      </c>
      <c r="D10371" s="21" t="s">
        <v>21203</v>
      </c>
      <c r="E10371" s="22" t="str">
        <f>HYPERLINK("https://twitter.com/alidavood1/status/922809158738395136","922809158738395136")</f>
        <v>922809158738395136</v>
      </c>
      <c r="F10371" s="23" t="s">
        <v>86</v>
      </c>
      <c r="G10371" s="24">
        <v>149.0</v>
      </c>
      <c r="H10371" s="24">
        <v>133.0</v>
      </c>
      <c r="I10371" s="24">
        <v>75.0</v>
      </c>
      <c r="J10371" s="24">
        <v>0.0</v>
      </c>
      <c r="K10371" s="23" t="s">
        <v>34</v>
      </c>
      <c r="L10371" s="25">
        <v>41773.026979166665</v>
      </c>
      <c r="M10371" s="26" t="s">
        <v>11949</v>
      </c>
      <c r="N10371" s="26" t="s">
        <v>21141</v>
      </c>
      <c r="O10371" s="22" t="str">
        <f>HYPERLINK("https://pbs.twimg.com/profile_images/466483069973585920/aqLw_6D6_normal.png","View")</f>
        <v>View</v>
      </c>
      <c r="P10371" s="27"/>
    </row>
    <row r="10372">
      <c r="A10372" s="14">
        <v>43032.24795138889</v>
      </c>
      <c r="B10372" s="20" t="str">
        <f>HYPERLINK("https://twitter.com/LKShukla16","@LKShukla16")</f>
        <v>@LKShukla16</v>
      </c>
      <c r="C10372" s="21" t="s">
        <v>22121</v>
      </c>
      <c r="D10372" s="21" t="s">
        <v>42</v>
      </c>
      <c r="E10372" s="22" t="str">
        <f>HYPERLINK("https://twitter.com/LKShukla16/status/922809161649348608","922809161649348608")</f>
        <v>922809161649348608</v>
      </c>
      <c r="F10372" s="23" t="s">
        <v>33</v>
      </c>
      <c r="G10372" s="24">
        <v>2.0</v>
      </c>
      <c r="H10372" s="24">
        <v>27.0</v>
      </c>
      <c r="I10372" s="24">
        <v>8501.0</v>
      </c>
      <c r="J10372" s="24">
        <v>0.0</v>
      </c>
      <c r="K10372" s="23" t="s">
        <v>34</v>
      </c>
      <c r="L10372" s="25">
        <v>43021.88375</v>
      </c>
      <c r="M10372" s="28"/>
      <c r="N10372" s="28"/>
      <c r="O10372" s="22" t="str">
        <f>HYPERLINK("https://abs.twimg.com/sticky/default_profile_images/default_profile_normal.png","View")</f>
        <v>View</v>
      </c>
      <c r="P10372" s="27"/>
    </row>
    <row r="10373">
      <c r="A10373" s="14">
        <v>43032.248125</v>
      </c>
      <c r="B10373" s="20" t="str">
        <f>HYPERLINK("https://twitter.com/farzinbahmani","@farzinbahmani")</f>
        <v>@farzinbahmani</v>
      </c>
      <c r="C10373" s="21" t="s">
        <v>22113</v>
      </c>
      <c r="D10373" s="21" t="s">
        <v>21243</v>
      </c>
      <c r="E10373" s="22" t="str">
        <f>HYPERLINK("https://twitter.com/farzinbahmani/status/922809221875425280","922809221875425280")</f>
        <v>922809221875425280</v>
      </c>
      <c r="F10373" s="23" t="s">
        <v>86</v>
      </c>
      <c r="G10373" s="24">
        <v>117.0</v>
      </c>
      <c r="H10373" s="24">
        <v>156.0</v>
      </c>
      <c r="I10373" s="24">
        <v>41.0</v>
      </c>
      <c r="J10373" s="24">
        <v>0.0</v>
      </c>
      <c r="K10373" s="23" t="s">
        <v>34</v>
      </c>
      <c r="L10373" s="25">
        <v>41780.99837962963</v>
      </c>
      <c r="M10373" s="26" t="s">
        <v>22114</v>
      </c>
      <c r="N10373" s="26" t="s">
        <v>22115</v>
      </c>
      <c r="O10373" s="22" t="str">
        <f>HYPERLINK("https://pbs.twimg.com/profile_images/469373069417390080/7w94CioM_normal.jpeg","View")</f>
        <v>View</v>
      </c>
      <c r="P10373" s="27"/>
    </row>
    <row r="10374">
      <c r="A10374" s="14">
        <v>43032.24842592592</v>
      </c>
      <c r="B10374" s="20" t="str">
        <f>HYPERLINK("https://twitter.com/dignity4evry1","@dignity4evry1")</f>
        <v>@dignity4evry1</v>
      </c>
      <c r="C10374" s="21" t="s">
        <v>22120</v>
      </c>
      <c r="D10374" s="21" t="s">
        <v>21203</v>
      </c>
      <c r="E10374" s="22" t="str">
        <f>HYPERLINK("https://twitter.com/dignity4evry1/status/922809331036200960","922809331036200960")</f>
        <v>922809331036200960</v>
      </c>
      <c r="F10374" s="23" t="s">
        <v>86</v>
      </c>
      <c r="G10374" s="24">
        <v>524.0</v>
      </c>
      <c r="H10374" s="24">
        <v>420.0</v>
      </c>
      <c r="I10374" s="24">
        <v>75.0</v>
      </c>
      <c r="J10374" s="24">
        <v>0.0</v>
      </c>
      <c r="K10374" s="23" t="s">
        <v>34</v>
      </c>
      <c r="L10374" s="25">
        <v>41571.43877314815</v>
      </c>
      <c r="M10374" s="26" t="s">
        <v>40</v>
      </c>
      <c r="N10374" s="26" t="s">
        <v>21141</v>
      </c>
      <c r="O10374" s="22" t="str">
        <f>HYPERLINK("https://pbs.twimg.com/profile_images/378800000642177440/7a55abef84be826b93e0c650b4384589_normal.jpeg","View")</f>
        <v>View</v>
      </c>
      <c r="P10374" s="27"/>
    </row>
    <row r="10375">
      <c r="A10375" s="14">
        <v>43032.24877314815</v>
      </c>
      <c r="B10375" s="20" t="str">
        <f>HYPERLINK("https://twitter.com/farzinbahmani","@farzinbahmani")</f>
        <v>@farzinbahmani</v>
      </c>
      <c r="C10375" s="21" t="s">
        <v>22113</v>
      </c>
      <c r="D10375" s="21" t="s">
        <v>21191</v>
      </c>
      <c r="E10375" s="22" t="str">
        <f>HYPERLINK("https://twitter.com/farzinbahmani/status/922809458081910784","922809458081910784")</f>
        <v>922809458081910784</v>
      </c>
      <c r="F10375" s="23" t="s">
        <v>86</v>
      </c>
      <c r="G10375" s="24">
        <v>117.0</v>
      </c>
      <c r="H10375" s="24">
        <v>156.0</v>
      </c>
      <c r="I10375" s="24">
        <v>42.0</v>
      </c>
      <c r="J10375" s="24">
        <v>0.0</v>
      </c>
      <c r="K10375" s="23" t="s">
        <v>34</v>
      </c>
      <c r="L10375" s="25">
        <v>41780.99837962963</v>
      </c>
      <c r="M10375" s="26" t="s">
        <v>22114</v>
      </c>
      <c r="N10375" s="26" t="s">
        <v>22115</v>
      </c>
      <c r="O10375" s="22" t="str">
        <f>HYPERLINK("https://pbs.twimg.com/profile_images/469373069417390080/7w94CioM_normal.jpeg","View")</f>
        <v>View</v>
      </c>
      <c r="P10375" s="27"/>
    </row>
    <row r="10376">
      <c r="A10376" s="14">
        <v>43032.249074074076</v>
      </c>
      <c r="B10376" s="20" t="str">
        <f>HYPERLINK("https://twitter.com/dignity4evry1","@dignity4evry1")</f>
        <v>@dignity4evry1</v>
      </c>
      <c r="C10376" s="21" t="s">
        <v>22120</v>
      </c>
      <c r="D10376" s="21" t="s">
        <v>21243</v>
      </c>
      <c r="E10376" s="22" t="str">
        <f>HYPERLINK("https://twitter.com/dignity4evry1/status/922809566189907968","922809566189907968")</f>
        <v>922809566189907968</v>
      </c>
      <c r="F10376" s="23" t="s">
        <v>86</v>
      </c>
      <c r="G10376" s="24">
        <v>524.0</v>
      </c>
      <c r="H10376" s="24">
        <v>420.0</v>
      </c>
      <c r="I10376" s="24">
        <v>41.0</v>
      </c>
      <c r="J10376" s="24">
        <v>0.0</v>
      </c>
      <c r="K10376" s="23" t="s">
        <v>34</v>
      </c>
      <c r="L10376" s="25">
        <v>41571.43877314815</v>
      </c>
      <c r="M10376" s="26" t="s">
        <v>40</v>
      </c>
      <c r="N10376" s="26" t="s">
        <v>21141</v>
      </c>
      <c r="O10376" s="22" t="str">
        <f>HYPERLINK("https://pbs.twimg.com/profile_images/378800000642177440/7a55abef84be826b93e0c650b4384589_normal.jpeg","View")</f>
        <v>View</v>
      </c>
      <c r="P10376" s="27"/>
    </row>
    <row r="10377">
      <c r="A10377" s="14">
        <v>43032.249247685184</v>
      </c>
      <c r="B10377" s="20" t="str">
        <f t="shared" ref="B10377:B10378" si="234">HYPERLINK("https://twitter.com/mehrijavan","@mehrijavan")</f>
        <v>@mehrijavan</v>
      </c>
      <c r="C10377" s="31" t="s">
        <v>22122</v>
      </c>
      <c r="D10377" s="21" t="s">
        <v>21215</v>
      </c>
      <c r="E10377" s="22" t="str">
        <f>HYPERLINK("https://twitter.com/mehrijavan/status/922809631432462336","922809631432462336")</f>
        <v>922809631432462336</v>
      </c>
      <c r="F10377" s="23" t="s">
        <v>33</v>
      </c>
      <c r="G10377" s="24">
        <v>375.0</v>
      </c>
      <c r="H10377" s="24">
        <v>76.0</v>
      </c>
      <c r="I10377" s="24">
        <v>39.0</v>
      </c>
      <c r="J10377" s="24">
        <v>0.0</v>
      </c>
      <c r="K10377" s="23" t="s">
        <v>34</v>
      </c>
      <c r="L10377" s="25">
        <v>42373.523506944446</v>
      </c>
      <c r="M10377" s="28"/>
      <c r="N10377" s="28"/>
      <c r="O10377" s="22" t="str">
        <f t="shared" ref="O10377:O10378" si="235">HYPERLINK("https://pbs.twimg.com/profile_images/846095670524170242/ys5aXtSR_normal.jpg","View")</f>
        <v>View</v>
      </c>
      <c r="P10377" s="27"/>
    </row>
    <row r="10378">
      <c r="A10378" s="14">
        <v>43032.249340277776</v>
      </c>
      <c r="B10378" s="20" t="str">
        <f t="shared" si="234"/>
        <v>@mehrijavan</v>
      </c>
      <c r="C10378" s="31" t="s">
        <v>22122</v>
      </c>
      <c r="D10378" s="21" t="s">
        <v>21194</v>
      </c>
      <c r="E10378" s="22" t="str">
        <f>HYPERLINK("https://twitter.com/mehrijavan/status/922809663049134080","922809663049134080")</f>
        <v>922809663049134080</v>
      </c>
      <c r="F10378" s="23" t="s">
        <v>33</v>
      </c>
      <c r="G10378" s="24">
        <v>375.0</v>
      </c>
      <c r="H10378" s="24">
        <v>76.0</v>
      </c>
      <c r="I10378" s="24">
        <v>35.0</v>
      </c>
      <c r="J10378" s="24">
        <v>0.0</v>
      </c>
      <c r="K10378" s="23" t="s">
        <v>34</v>
      </c>
      <c r="L10378" s="25">
        <v>42373.523506944446</v>
      </c>
      <c r="M10378" s="28"/>
      <c r="N10378" s="28"/>
      <c r="O10378" s="22" t="str">
        <f t="shared" si="235"/>
        <v>View</v>
      </c>
      <c r="P10378" s="27"/>
    </row>
    <row r="10379">
      <c r="A10379" s="14">
        <v>43032.24972222222</v>
      </c>
      <c r="B10379" s="20" t="str">
        <f>HYPERLINK("https://twitter.com/dignity4evry1","@dignity4evry1")</f>
        <v>@dignity4evry1</v>
      </c>
      <c r="C10379" s="21" t="s">
        <v>22120</v>
      </c>
      <c r="D10379" s="21" t="s">
        <v>21191</v>
      </c>
      <c r="E10379" s="22" t="str">
        <f>HYPERLINK("https://twitter.com/dignity4evry1/status/922809801108623362","922809801108623362")</f>
        <v>922809801108623362</v>
      </c>
      <c r="F10379" s="23" t="s">
        <v>86</v>
      </c>
      <c r="G10379" s="24">
        <v>524.0</v>
      </c>
      <c r="H10379" s="24">
        <v>420.0</v>
      </c>
      <c r="I10379" s="24">
        <v>42.0</v>
      </c>
      <c r="J10379" s="24">
        <v>0.0</v>
      </c>
      <c r="K10379" s="23" t="s">
        <v>34</v>
      </c>
      <c r="L10379" s="25">
        <v>41571.43877314815</v>
      </c>
      <c r="M10379" s="26" t="s">
        <v>40</v>
      </c>
      <c r="N10379" s="26" t="s">
        <v>21141</v>
      </c>
      <c r="O10379" s="22" t="str">
        <f>HYPERLINK("https://pbs.twimg.com/profile_images/378800000642177440/7a55abef84be826b93e0c650b4384589_normal.jpeg","View")</f>
        <v>View</v>
      </c>
      <c r="P10379" s="27"/>
    </row>
    <row r="10380">
      <c r="A10380" s="14">
        <v>43032.249756944446</v>
      </c>
      <c r="B10380" s="20" t="str">
        <f>HYPERLINK("https://twitter.com/kousama2016","@kousama2016")</f>
        <v>@kousama2016</v>
      </c>
      <c r="C10380" s="21" t="s">
        <v>22123</v>
      </c>
      <c r="D10380" s="21" t="s">
        <v>22124</v>
      </c>
      <c r="E10380" s="22" t="str">
        <f>HYPERLINK("https://twitter.com/kousama2016/status/922809814333374464","922809814333374464")</f>
        <v>922809814333374464</v>
      </c>
      <c r="F10380" s="23" t="s">
        <v>55</v>
      </c>
      <c r="G10380" s="24">
        <v>6257.0</v>
      </c>
      <c r="H10380" s="24">
        <v>6151.0</v>
      </c>
      <c r="I10380" s="24">
        <v>4.0</v>
      </c>
      <c r="J10380" s="24">
        <v>0.0</v>
      </c>
      <c r="K10380" s="23" t="s">
        <v>34</v>
      </c>
      <c r="L10380" s="25">
        <v>42560.689780092594</v>
      </c>
      <c r="M10380" s="26" t="s">
        <v>853</v>
      </c>
      <c r="N10380" s="26" t="s">
        <v>22125</v>
      </c>
      <c r="O10380" s="22" t="str">
        <f>HYPERLINK("https://pbs.twimg.com/profile_images/754302463394521090/I5-3MGlt_normal.jpg","View")</f>
        <v>View</v>
      </c>
      <c r="P10380" s="27"/>
    </row>
    <row r="10381">
      <c r="A10381" s="14">
        <v>43032.25002314815</v>
      </c>
      <c r="B10381" s="20" t="str">
        <f>HYPERLINK("https://twitter.com/ka_ashe","@ka_ashe")</f>
        <v>@ka_ashe</v>
      </c>
      <c r="C10381" s="21" t="s">
        <v>22126</v>
      </c>
      <c r="D10381" s="21" t="s">
        <v>22127</v>
      </c>
      <c r="E10381" s="22" t="str">
        <f>HYPERLINK("https://twitter.com/ka_ashe/status/922809913038065664","922809913038065664")</f>
        <v>922809913038065664</v>
      </c>
      <c r="F10381" s="23" t="s">
        <v>22128</v>
      </c>
      <c r="G10381" s="24">
        <v>2091.0</v>
      </c>
      <c r="H10381" s="24">
        <v>5000.0</v>
      </c>
      <c r="I10381" s="24">
        <v>0.0</v>
      </c>
      <c r="J10381" s="24">
        <v>0.0</v>
      </c>
      <c r="K10381" s="23" t="s">
        <v>34</v>
      </c>
      <c r="L10381" s="25">
        <v>41039.19421296296</v>
      </c>
      <c r="M10381" s="26" t="s">
        <v>4239</v>
      </c>
      <c r="N10381" s="26" t="s">
        <v>22129</v>
      </c>
      <c r="O10381" s="22" t="str">
        <f>HYPERLINK("https://pbs.twimg.com/profile_images/872524883716186112/ZwWUqqE5_normal.jpg","View")</f>
        <v>View</v>
      </c>
      <c r="P10381" s="27"/>
    </row>
    <row r="10382">
      <c r="A10382" s="14">
        <v>43032.2503125</v>
      </c>
      <c r="B10382" s="20" t="str">
        <f>HYPERLINK("https://twitter.com/MuliMarcos","@MuliMarcos")</f>
        <v>@MuliMarcos</v>
      </c>
      <c r="C10382" s="21" t="s">
        <v>22130</v>
      </c>
      <c r="D10382" s="21" t="s">
        <v>32</v>
      </c>
      <c r="E10382" s="22" t="str">
        <f>HYPERLINK("https://twitter.com/MuliMarcos/status/922810014280175617","922810014280175617")</f>
        <v>922810014280175617</v>
      </c>
      <c r="F10382" s="23" t="s">
        <v>33</v>
      </c>
      <c r="G10382" s="24">
        <v>127.0</v>
      </c>
      <c r="H10382" s="24">
        <v>86.0</v>
      </c>
      <c r="I10382" s="24">
        <v>471.0</v>
      </c>
      <c r="J10382" s="24">
        <v>0.0</v>
      </c>
      <c r="K10382" s="23" t="s">
        <v>34</v>
      </c>
      <c r="L10382" s="25">
        <v>42440.35122685185</v>
      </c>
      <c r="M10382" s="28"/>
      <c r="N10382" s="26" t="s">
        <v>22131</v>
      </c>
      <c r="O10382" s="22" t="str">
        <f>HYPERLINK("https://pbs.twimg.com/profile_images/891467715856171008/Mep0GKmJ_normal.jpg","View")</f>
        <v>View</v>
      </c>
      <c r="P10382" s="27"/>
    </row>
    <row r="10383">
      <c r="A10383" s="14">
        <v>43032.25057870371</v>
      </c>
      <c r="B10383" s="20" t="str">
        <f>HYPERLINK("https://twitter.com/hanyumeiji","@hanyumeiji")</f>
        <v>@hanyumeiji</v>
      </c>
      <c r="C10383" s="21" t="s">
        <v>8761</v>
      </c>
      <c r="D10383" s="21" t="s">
        <v>22132</v>
      </c>
      <c r="E10383" s="22" t="str">
        <f>HYPERLINK("https://twitter.com/hanyumeiji/status/922810110824476672","922810110824476672")</f>
        <v>922810110824476672</v>
      </c>
      <c r="F10383" s="23" t="s">
        <v>55</v>
      </c>
      <c r="G10383" s="24">
        <v>545.0</v>
      </c>
      <c r="H10383" s="24">
        <v>887.0</v>
      </c>
      <c r="I10383" s="24">
        <v>0.0</v>
      </c>
      <c r="J10383" s="24">
        <v>0.0</v>
      </c>
      <c r="K10383" s="23" t="s">
        <v>34</v>
      </c>
      <c r="L10383" s="25">
        <v>42885.73076388889</v>
      </c>
      <c r="M10383" s="28"/>
      <c r="N10383" s="26" t="s">
        <v>8763</v>
      </c>
      <c r="O10383" s="22" t="str">
        <f>HYPERLINK("https://abs.twimg.com/sticky/default_profile_images/default_profile_normal.png","View")</f>
        <v>View</v>
      </c>
      <c r="P10383" s="27"/>
    </row>
    <row r="10384">
      <c r="A10384" s="14">
        <v>43032.253067129626</v>
      </c>
      <c r="B10384" s="20" t="str">
        <f>HYPERLINK("https://twitter.com/politicallyrich","@politicallyrich")</f>
        <v>@politicallyrich</v>
      </c>
      <c r="C10384" s="21" t="s">
        <v>22133</v>
      </c>
      <c r="D10384" s="21" t="s">
        <v>760</v>
      </c>
      <c r="E10384" s="22" t="str">
        <f>HYPERLINK("https://twitter.com/politicallyrich/status/922811014047043584","922811014047043584")</f>
        <v>922811014047043584</v>
      </c>
      <c r="F10384" s="23" t="s">
        <v>33</v>
      </c>
      <c r="G10384" s="24">
        <v>421.0</v>
      </c>
      <c r="H10384" s="24">
        <v>413.0</v>
      </c>
      <c r="I10384" s="24">
        <v>62.0</v>
      </c>
      <c r="J10384" s="24">
        <v>0.0</v>
      </c>
      <c r="K10384" s="23" t="s">
        <v>34</v>
      </c>
      <c r="L10384" s="25">
        <v>40660.86226851852</v>
      </c>
      <c r="M10384" s="28"/>
      <c r="N10384" s="28"/>
      <c r="O10384" s="22" t="str">
        <f>HYPERLINK("https://pbs.twimg.com/profile_images/1403798797/twitter_normal.png","View")</f>
        <v>View</v>
      </c>
      <c r="P10384" s="27"/>
    </row>
    <row r="10385">
      <c r="A10385" s="14">
        <v>43032.25413194444</v>
      </c>
      <c r="B10385" s="20" t="str">
        <f>HYPERLINK("https://twitter.com/progenyzero","@progenyzero")</f>
        <v>@progenyzero</v>
      </c>
      <c r="C10385" s="21" t="s">
        <v>22134</v>
      </c>
      <c r="D10385" s="21" t="s">
        <v>22135</v>
      </c>
      <c r="E10385" s="22" t="str">
        <f>HYPERLINK("https://twitter.com/progenyzero/status/922811400992542720","922811400992542720")</f>
        <v>922811400992542720</v>
      </c>
      <c r="F10385" s="23" t="s">
        <v>55</v>
      </c>
      <c r="G10385" s="24">
        <v>10552.0</v>
      </c>
      <c r="H10385" s="24">
        <v>9078.0</v>
      </c>
      <c r="I10385" s="24">
        <v>3.0</v>
      </c>
      <c r="J10385" s="24">
        <v>0.0</v>
      </c>
      <c r="K10385" s="23" t="s">
        <v>34</v>
      </c>
      <c r="L10385" s="25">
        <v>42801.79267361111</v>
      </c>
      <c r="M10385" s="26" t="s">
        <v>5280</v>
      </c>
      <c r="N10385" s="26" t="s">
        <v>22136</v>
      </c>
      <c r="O10385" s="22" t="str">
        <f>HYPERLINK("https://pbs.twimg.com/profile_images/905991846467297280/XlOQjDZw_normal.jpg","View")</f>
        <v>View</v>
      </c>
      <c r="P10385" s="27"/>
    </row>
    <row r="10386">
      <c r="A10386" s="14">
        <v>43032.25430555556</v>
      </c>
      <c r="B10386" s="20" t="str">
        <f>HYPERLINK("https://twitter.com/RanjitKapur2","@RanjitKapur2")</f>
        <v>@RanjitKapur2</v>
      </c>
      <c r="C10386" s="21" t="s">
        <v>22137</v>
      </c>
      <c r="D10386" s="21" t="s">
        <v>42</v>
      </c>
      <c r="E10386" s="22" t="str">
        <f>HYPERLINK("https://twitter.com/RanjitKapur2/status/922811464049598464","922811464049598464")</f>
        <v>922811464049598464</v>
      </c>
      <c r="F10386" s="23" t="s">
        <v>33</v>
      </c>
      <c r="G10386" s="24">
        <v>3.0</v>
      </c>
      <c r="H10386" s="24">
        <v>38.0</v>
      </c>
      <c r="I10386" s="24">
        <v>8501.0</v>
      </c>
      <c r="J10386" s="24">
        <v>0.0</v>
      </c>
      <c r="K10386" s="23" t="s">
        <v>34</v>
      </c>
      <c r="L10386" s="25">
        <v>43032.02313657408</v>
      </c>
      <c r="M10386" s="28"/>
      <c r="N10386" s="28"/>
      <c r="O10386" s="22" t="str">
        <f>HYPERLINK("https://abs.twimg.com/sticky/default_profile_images/default_profile_normal.png","View")</f>
        <v>View</v>
      </c>
      <c r="P10386" s="27"/>
    </row>
    <row r="10387">
      <c r="A10387" s="14">
        <v>43032.25456018519</v>
      </c>
      <c r="B10387" s="20" t="str">
        <f>HYPERLINK("https://twitter.com/MaximinDolphin","@MaximinDolphin")</f>
        <v>@MaximinDolphin</v>
      </c>
      <c r="C10387" s="21" t="s">
        <v>22138</v>
      </c>
      <c r="D10387" s="21" t="s">
        <v>6403</v>
      </c>
      <c r="E10387" s="22" t="str">
        <f>HYPERLINK("https://twitter.com/MaximinDolphin/status/922811556596998144","922811556596998144")</f>
        <v>922811556596998144</v>
      </c>
      <c r="F10387" s="23" t="s">
        <v>39</v>
      </c>
      <c r="G10387" s="24">
        <v>69.0</v>
      </c>
      <c r="H10387" s="24">
        <v>2223.0</v>
      </c>
      <c r="I10387" s="24">
        <v>97.0</v>
      </c>
      <c r="J10387" s="24">
        <v>0.0</v>
      </c>
      <c r="K10387" s="23" t="s">
        <v>34</v>
      </c>
      <c r="L10387" s="25">
        <v>42926.09204861111</v>
      </c>
      <c r="M10387" s="26" t="s">
        <v>22139</v>
      </c>
      <c r="N10387" s="26" t="s">
        <v>22140</v>
      </c>
      <c r="O10387" s="22" t="str">
        <f>HYPERLINK("https://pbs.twimg.com/profile_images/902939918015528962/5zLKPob-_normal.jpg","View")</f>
        <v>View</v>
      </c>
      <c r="P10387" s="27"/>
    </row>
    <row r="10388">
      <c r="A10388" s="14">
        <v>43032.25459490741</v>
      </c>
      <c r="B10388" s="20" t="str">
        <f>HYPERLINK("https://twitter.com/BelegMetAndre","@BelegMetAndre")</f>
        <v>@BelegMetAndre</v>
      </c>
      <c r="C10388" s="21" t="s">
        <v>22141</v>
      </c>
      <c r="D10388" s="21" t="s">
        <v>22142</v>
      </c>
      <c r="E10388" s="22" t="str">
        <f>HYPERLINK("https://twitter.com/BelegMetAndre/status/922811568802459649","922811568802459649")</f>
        <v>922811568802459649</v>
      </c>
      <c r="F10388" s="23" t="s">
        <v>1570</v>
      </c>
      <c r="G10388" s="24">
        <v>56.0</v>
      </c>
      <c r="H10388" s="24">
        <v>257.0</v>
      </c>
      <c r="I10388" s="24">
        <v>0.0</v>
      </c>
      <c r="J10388" s="24">
        <v>0.0</v>
      </c>
      <c r="K10388" s="23" t="s">
        <v>34</v>
      </c>
      <c r="L10388" s="25">
        <v>41487.06402777778</v>
      </c>
      <c r="M10388" s="26" t="s">
        <v>22143</v>
      </c>
      <c r="N10388" s="26" t="s">
        <v>22144</v>
      </c>
      <c r="O10388" s="22" t="str">
        <f>HYPERLINK("https://pbs.twimg.com/profile_images/509296748011876352/UYGLDFfo_normal.jpeg","View")</f>
        <v>View</v>
      </c>
      <c r="P10388" s="27"/>
    </row>
    <row r="10389">
      <c r="A10389" s="14">
        <v>43032.25519675926</v>
      </c>
      <c r="B10389" s="20" t="str">
        <f>HYPERLINK("https://twitter.com/MaryMhc1988","@MaryMhc1988")</f>
        <v>@MaryMhc1988</v>
      </c>
      <c r="C10389" s="21" t="s">
        <v>22145</v>
      </c>
      <c r="D10389" s="21" t="s">
        <v>16537</v>
      </c>
      <c r="E10389" s="22" t="str">
        <f>HYPERLINK("https://twitter.com/MaryMhc1988/status/922811784658018305","922811784658018305")</f>
        <v>922811784658018305</v>
      </c>
      <c r="F10389" s="23" t="s">
        <v>39</v>
      </c>
      <c r="G10389" s="24">
        <v>617.0</v>
      </c>
      <c r="H10389" s="24">
        <v>1185.0</v>
      </c>
      <c r="I10389" s="24">
        <v>242.0</v>
      </c>
      <c r="J10389" s="24">
        <v>0.0</v>
      </c>
      <c r="K10389" s="23" t="s">
        <v>34</v>
      </c>
      <c r="L10389" s="25">
        <v>41993.93003472222</v>
      </c>
      <c r="M10389" s="26" t="s">
        <v>68</v>
      </c>
      <c r="N10389" s="26" t="s">
        <v>22146</v>
      </c>
      <c r="O10389" s="22" t="str">
        <f>HYPERLINK("https://pbs.twimg.com/profile_images/914250264902635520/xeFCa2mX_normal.jpg","View")</f>
        <v>View</v>
      </c>
      <c r="P10389" s="27"/>
    </row>
    <row r="10390">
      <c r="A10390" s="14">
        <v>43032.25543981481</v>
      </c>
      <c r="B10390" s="20" t="str">
        <f>HYPERLINK("https://twitter.com/DigantRai","@DigantRai")</f>
        <v>@DigantRai</v>
      </c>
      <c r="C10390" s="21" t="s">
        <v>22147</v>
      </c>
      <c r="D10390" s="21" t="s">
        <v>42</v>
      </c>
      <c r="E10390" s="22" t="str">
        <f>HYPERLINK("https://twitter.com/DigantRai/status/922811874764251141","922811874764251141")</f>
        <v>922811874764251141</v>
      </c>
      <c r="F10390" s="23" t="s">
        <v>39</v>
      </c>
      <c r="G10390" s="24">
        <v>170.0</v>
      </c>
      <c r="H10390" s="24">
        <v>1856.0</v>
      </c>
      <c r="I10390" s="24">
        <v>8501.0</v>
      </c>
      <c r="J10390" s="24">
        <v>0.0</v>
      </c>
      <c r="K10390" s="23" t="s">
        <v>34</v>
      </c>
      <c r="L10390" s="25">
        <v>40894.89125</v>
      </c>
      <c r="M10390" s="26" t="s">
        <v>3739</v>
      </c>
      <c r="N10390" s="26" t="s">
        <v>22148</v>
      </c>
      <c r="O10390" s="22" t="str">
        <f>HYPERLINK("https://pbs.twimg.com/profile_images/789905485637885953/yCsb7Tsu_normal.jpg","View")</f>
        <v>View</v>
      </c>
      <c r="P10390" s="27"/>
    </row>
    <row r="10391">
      <c r="A10391" s="14">
        <v>43032.25548611111</v>
      </c>
      <c r="B10391" s="20" t="str">
        <f t="shared" ref="B10391:B10392" si="236">HYPERLINK("https://twitter.com/nyagonyago1","@nyagonyago1")</f>
        <v>@nyagonyago1</v>
      </c>
      <c r="C10391" s="21" t="s">
        <v>22149</v>
      </c>
      <c r="D10391" s="21" t="s">
        <v>22150</v>
      </c>
      <c r="E10391" s="22" t="str">
        <f>HYPERLINK("https://twitter.com/nyagonyago1/status/922811892602626048","922811892602626048")</f>
        <v>922811892602626048</v>
      </c>
      <c r="F10391" s="23" t="s">
        <v>55</v>
      </c>
      <c r="G10391" s="24">
        <v>1085.0</v>
      </c>
      <c r="H10391" s="24">
        <v>648.0</v>
      </c>
      <c r="I10391" s="24">
        <v>0.0</v>
      </c>
      <c r="J10391" s="24">
        <v>0.0</v>
      </c>
      <c r="K10391" s="23" t="s">
        <v>34</v>
      </c>
      <c r="L10391" s="25">
        <v>40710.26269675926</v>
      </c>
      <c r="M10391" s="26" t="s">
        <v>22151</v>
      </c>
      <c r="N10391" s="26" t="s">
        <v>22152</v>
      </c>
      <c r="O10391" s="22" t="str">
        <f t="shared" ref="O10391:O10392" si="237">HYPERLINK("https://pbs.twimg.com/profile_images/474103732695621633/vO5YmZC5_normal.png","View")</f>
        <v>View</v>
      </c>
      <c r="P10391" s="27"/>
    </row>
    <row r="10392">
      <c r="A10392" s="14">
        <v>43032.25608796296</v>
      </c>
      <c r="B10392" s="20" t="str">
        <f t="shared" si="236"/>
        <v>@nyagonyago1</v>
      </c>
      <c r="C10392" s="21" t="s">
        <v>22149</v>
      </c>
      <c r="D10392" s="21" t="s">
        <v>16537</v>
      </c>
      <c r="E10392" s="22" t="str">
        <f>HYPERLINK("https://twitter.com/nyagonyago1/status/922812107585863680","922812107585863680")</f>
        <v>922812107585863680</v>
      </c>
      <c r="F10392" s="23" t="s">
        <v>55</v>
      </c>
      <c r="G10392" s="24">
        <v>1085.0</v>
      </c>
      <c r="H10392" s="24">
        <v>648.0</v>
      </c>
      <c r="I10392" s="24">
        <v>242.0</v>
      </c>
      <c r="J10392" s="24">
        <v>0.0</v>
      </c>
      <c r="K10392" s="23" t="s">
        <v>34</v>
      </c>
      <c r="L10392" s="25">
        <v>40710.26269675926</v>
      </c>
      <c r="M10392" s="26" t="s">
        <v>22151</v>
      </c>
      <c r="N10392" s="26" t="s">
        <v>22152</v>
      </c>
      <c r="O10392" s="22" t="str">
        <f t="shared" si="237"/>
        <v>View</v>
      </c>
      <c r="P10392" s="27"/>
    </row>
    <row r="10393">
      <c r="A10393" s="14">
        <v>43032.256157407406</v>
      </c>
      <c r="B10393" s="20" t="str">
        <f>HYPERLINK("https://twitter.com/mariustavi","@mariustavi")</f>
        <v>@mariustavi</v>
      </c>
      <c r="C10393" s="21" t="s">
        <v>18128</v>
      </c>
      <c r="D10393" s="21" t="s">
        <v>21563</v>
      </c>
      <c r="E10393" s="22" t="str">
        <f>HYPERLINK("https://twitter.com/mariustavi/status/922812134525997056","922812134525997056")</f>
        <v>922812134525997056</v>
      </c>
      <c r="F10393" s="23" t="s">
        <v>55</v>
      </c>
      <c r="G10393" s="24">
        <v>52.0</v>
      </c>
      <c r="H10393" s="24">
        <v>0.0</v>
      </c>
      <c r="I10393" s="24">
        <v>5.0</v>
      </c>
      <c r="J10393" s="24">
        <v>0.0</v>
      </c>
      <c r="K10393" s="23" t="s">
        <v>34</v>
      </c>
      <c r="L10393" s="25">
        <v>40973.00554398148</v>
      </c>
      <c r="M10393" s="26" t="s">
        <v>18129</v>
      </c>
      <c r="N10393" s="26" t="s">
        <v>18130</v>
      </c>
      <c r="O10393" s="22" t="str">
        <f>HYPERLINK("https://pbs.twimg.com/profile_images/423125567831945216/64ZQt7p1_normal.jpeg","View")</f>
        <v>View</v>
      </c>
      <c r="P10393" s="27"/>
    </row>
    <row r="10394">
      <c r="A10394" s="14">
        <v>43032.256516203706</v>
      </c>
      <c r="B10394" s="20" t="str">
        <f>HYPERLINK("https://twitter.com/BrltKhaos","@BrltKhaos")</f>
        <v>@BrltKhaos</v>
      </c>
      <c r="C10394" s="21" t="s">
        <v>22153</v>
      </c>
      <c r="D10394" s="21" t="s">
        <v>22154</v>
      </c>
      <c r="E10394" s="22" t="str">
        <f>HYPERLINK("https://twitter.com/BrltKhaos/status/922812262691278849","922812262691278849")</f>
        <v>922812262691278849</v>
      </c>
      <c r="F10394" s="23" t="s">
        <v>33</v>
      </c>
      <c r="G10394" s="24">
        <v>123.0</v>
      </c>
      <c r="H10394" s="24">
        <v>5002.0</v>
      </c>
      <c r="I10394" s="24">
        <v>3.0</v>
      </c>
      <c r="J10394" s="24">
        <v>0.0</v>
      </c>
      <c r="K10394" s="23" t="s">
        <v>34</v>
      </c>
      <c r="L10394" s="25">
        <v>40656.52585648148</v>
      </c>
      <c r="M10394" s="26" t="s">
        <v>7548</v>
      </c>
      <c r="N10394" s="26" t="s">
        <v>22155</v>
      </c>
      <c r="O10394" s="22" t="str">
        <f>HYPERLINK("https://pbs.twimg.com/profile_images/743335018789888000/v3_C5tJH_normal.jpg","View")</f>
        <v>View</v>
      </c>
      <c r="P10394" s="27"/>
    </row>
    <row r="10395">
      <c r="A10395" s="14">
        <v>43032.25672453704</v>
      </c>
      <c r="B10395" s="20" t="str">
        <f>HYPERLINK("https://twitter.com/rajeev270187","@rajeev270187")</f>
        <v>@rajeev270187</v>
      </c>
      <c r="C10395" s="21" t="s">
        <v>22156</v>
      </c>
      <c r="D10395" s="21" t="s">
        <v>42</v>
      </c>
      <c r="E10395" s="22" t="str">
        <f>HYPERLINK("https://twitter.com/rajeev270187/status/922812341787361280","922812341787361280")</f>
        <v>922812341787361280</v>
      </c>
      <c r="F10395" s="23" t="s">
        <v>33</v>
      </c>
      <c r="G10395" s="24">
        <v>347.0</v>
      </c>
      <c r="H10395" s="24">
        <v>512.0</v>
      </c>
      <c r="I10395" s="24">
        <v>8501.0</v>
      </c>
      <c r="J10395" s="24">
        <v>0.0</v>
      </c>
      <c r="K10395" s="23" t="s">
        <v>34</v>
      </c>
      <c r="L10395" s="25">
        <v>42126.06694444444</v>
      </c>
      <c r="M10395" s="26" t="s">
        <v>22157</v>
      </c>
      <c r="N10395" s="26" t="s">
        <v>22158</v>
      </c>
      <c r="O10395" s="22" t="str">
        <f>HYPERLINK("https://pbs.twimg.com/profile_images/910102272289398785/5HvoSxid_normal.jpg","View")</f>
        <v>View</v>
      </c>
      <c r="P10395" s="27"/>
    </row>
    <row r="10396">
      <c r="A10396" s="14">
        <v>43032.25686342592</v>
      </c>
      <c r="B10396" s="20" t="str">
        <f>HYPERLINK("https://twitter.com/cici_karasha","@cici_karasha")</f>
        <v>@cici_karasha</v>
      </c>
      <c r="C10396" s="21" t="s">
        <v>22159</v>
      </c>
      <c r="D10396" s="21" t="s">
        <v>32</v>
      </c>
      <c r="E10396" s="22" t="str">
        <f>HYPERLINK("https://twitter.com/cici_karasha/status/922812388184936453","922812388184936453")</f>
        <v>922812388184936453</v>
      </c>
      <c r="F10396" s="23" t="s">
        <v>33</v>
      </c>
      <c r="G10396" s="24">
        <v>960.0</v>
      </c>
      <c r="H10396" s="24">
        <v>804.0</v>
      </c>
      <c r="I10396" s="24">
        <v>471.0</v>
      </c>
      <c r="J10396" s="24">
        <v>0.0</v>
      </c>
      <c r="K10396" s="23" t="s">
        <v>34</v>
      </c>
      <c r="L10396" s="25">
        <v>40714.31041666667</v>
      </c>
      <c r="M10396" s="28"/>
      <c r="N10396" s="26" t="s">
        <v>22160</v>
      </c>
      <c r="O10396" s="22" t="str">
        <f>HYPERLINK("https://pbs.twimg.com/profile_images/922519435944054784/LgEKuVtW_normal.jpg","View")</f>
        <v>View</v>
      </c>
      <c r="P10396" s="27"/>
    </row>
    <row r="10397">
      <c r="A10397" s="14">
        <v>43032.25707175926</v>
      </c>
      <c r="B10397" s="20" t="str">
        <f>HYPERLINK("https://twitter.com/prospect_uk","@prospect_uk")</f>
        <v>@prospect_uk</v>
      </c>
      <c r="C10397" s="21" t="s">
        <v>21485</v>
      </c>
      <c r="D10397" s="21" t="s">
        <v>22161</v>
      </c>
      <c r="E10397" s="22" t="str">
        <f>HYPERLINK("https://twitter.com/prospect_uk/status/922812464500236288","922812464500236288")</f>
        <v>922812464500236288</v>
      </c>
      <c r="F10397" s="23" t="s">
        <v>769</v>
      </c>
      <c r="G10397" s="24">
        <v>41051.0</v>
      </c>
      <c r="H10397" s="24">
        <v>4681.0</v>
      </c>
      <c r="I10397" s="24">
        <v>2.0</v>
      </c>
      <c r="J10397" s="24">
        <v>0.0</v>
      </c>
      <c r="K10397" s="23" t="s">
        <v>34</v>
      </c>
      <c r="L10397" s="25">
        <v>39864.418125</v>
      </c>
      <c r="M10397" s="26" t="s">
        <v>334</v>
      </c>
      <c r="N10397" s="26" t="s">
        <v>21487</v>
      </c>
      <c r="O10397" s="22" t="str">
        <f>HYPERLINK("https://pbs.twimg.com/profile_images/866635745389367296/P04hHW2R_normal.jpg","View")</f>
        <v>View</v>
      </c>
      <c r="P10397" s="27"/>
    </row>
    <row r="10398">
      <c r="A10398" s="14">
        <v>43032.25721064815</v>
      </c>
      <c r="B10398" s="20" t="str">
        <f>HYPERLINK("https://twitter.com/amycatalinac","@amycatalinac")</f>
        <v>@amycatalinac</v>
      </c>
      <c r="C10398" s="21" t="s">
        <v>18438</v>
      </c>
      <c r="D10398" s="21" t="s">
        <v>22162</v>
      </c>
      <c r="E10398" s="22" t="str">
        <f>HYPERLINK("https://twitter.com/amycatalinac/status/922812516689960960","922812516689960960")</f>
        <v>922812516689960960</v>
      </c>
      <c r="F10398" s="23" t="s">
        <v>55</v>
      </c>
      <c r="G10398" s="24">
        <v>439.0</v>
      </c>
      <c r="H10398" s="24">
        <v>197.0</v>
      </c>
      <c r="I10398" s="24">
        <v>0.0</v>
      </c>
      <c r="J10398" s="24">
        <v>5.0</v>
      </c>
      <c r="K10398" s="23" t="s">
        <v>34</v>
      </c>
      <c r="L10398" s="25">
        <v>41398.15945601852</v>
      </c>
      <c r="M10398" s="26" t="s">
        <v>2534</v>
      </c>
      <c r="N10398" s="26" t="s">
        <v>18439</v>
      </c>
      <c r="O10398" s="22" t="str">
        <f>HYPERLINK("https://pbs.twimg.com/profile_images/884570374817685505/r41pzUrA_normal.jpg","View")</f>
        <v>View</v>
      </c>
      <c r="P10398" s="27"/>
    </row>
    <row r="10399">
      <c r="A10399" s="14">
        <v>43032.25738425926</v>
      </c>
      <c r="B10399" s="20" t="str">
        <f>HYPERLINK("https://twitter.com/LalitKu19904898","@LalitKu19904898")</f>
        <v>@LalitKu19904898</v>
      </c>
      <c r="C10399" s="21" t="s">
        <v>22163</v>
      </c>
      <c r="D10399" s="21" t="s">
        <v>42</v>
      </c>
      <c r="E10399" s="22" t="str">
        <f>HYPERLINK("https://twitter.com/LalitKu19904898/status/922812579151355906","922812579151355906")</f>
        <v>922812579151355906</v>
      </c>
      <c r="F10399" s="23" t="s">
        <v>33</v>
      </c>
      <c r="G10399" s="24">
        <v>56.0</v>
      </c>
      <c r="H10399" s="24">
        <v>219.0</v>
      </c>
      <c r="I10399" s="24">
        <v>8501.0</v>
      </c>
      <c r="J10399" s="24">
        <v>0.0</v>
      </c>
      <c r="K10399" s="23" t="s">
        <v>34</v>
      </c>
      <c r="L10399" s="25">
        <v>42653.25059027778</v>
      </c>
      <c r="M10399" s="26" t="s">
        <v>22164</v>
      </c>
      <c r="N10399" s="26" t="s">
        <v>22165</v>
      </c>
      <c r="O10399" s="22" t="str">
        <f>HYPERLINK("https://pbs.twimg.com/profile_images/860453976239730690/zd8Pn1tA_normal.jpg","View")</f>
        <v>View</v>
      </c>
      <c r="P10399" s="27"/>
    </row>
    <row r="10400">
      <c r="A10400" s="14">
        <v>43032.25785879629</v>
      </c>
      <c r="B10400" s="20" t="str">
        <f>HYPERLINK("https://twitter.com/hisangel4_93","@hisangel4_93")</f>
        <v>@hisangel4_93</v>
      </c>
      <c r="C10400" s="21" t="s">
        <v>22166</v>
      </c>
      <c r="D10400" s="21" t="s">
        <v>22154</v>
      </c>
      <c r="E10400" s="22" t="str">
        <f>HYPERLINK("https://twitter.com/hisangel4_93/status/922812751289962498","922812751289962498")</f>
        <v>922812751289962498</v>
      </c>
      <c r="F10400" s="23" t="s">
        <v>33</v>
      </c>
      <c r="G10400" s="24">
        <v>70.0</v>
      </c>
      <c r="H10400" s="24">
        <v>5001.0</v>
      </c>
      <c r="I10400" s="24">
        <v>3.0</v>
      </c>
      <c r="J10400" s="24">
        <v>0.0</v>
      </c>
      <c r="K10400" s="23" t="s">
        <v>34</v>
      </c>
      <c r="L10400" s="25">
        <v>40921.70253472222</v>
      </c>
      <c r="M10400" s="26" t="s">
        <v>22167</v>
      </c>
      <c r="N10400" s="26" t="s">
        <v>22168</v>
      </c>
      <c r="O10400" s="22" t="str">
        <f>HYPERLINK("https://pbs.twimg.com/profile_images/743377379607863296/G6kBP01k_normal.jpg","View")</f>
        <v>View</v>
      </c>
      <c r="P10400" s="27"/>
    </row>
    <row r="10401">
      <c r="A10401" s="14">
        <v>43032.257893518516</v>
      </c>
      <c r="B10401" s="20" t="str">
        <f>HYPERLINK("https://twitter.com/AlifakourJ","@AlifakourJ")</f>
        <v>@AlifakourJ</v>
      </c>
      <c r="C10401" s="21" t="s">
        <v>22169</v>
      </c>
      <c r="D10401" s="21" t="s">
        <v>21202</v>
      </c>
      <c r="E10401" s="22" t="str">
        <f>HYPERLINK("https://twitter.com/AlifakourJ/status/922812762106949632","922812762106949632")</f>
        <v>922812762106949632</v>
      </c>
      <c r="F10401" s="23" t="s">
        <v>86</v>
      </c>
      <c r="G10401" s="24">
        <v>201.0</v>
      </c>
      <c r="H10401" s="24">
        <v>123.0</v>
      </c>
      <c r="I10401" s="24">
        <v>79.0</v>
      </c>
      <c r="J10401" s="24">
        <v>0.0</v>
      </c>
      <c r="K10401" s="23" t="s">
        <v>34</v>
      </c>
      <c r="L10401" s="25">
        <v>41776.915555555555</v>
      </c>
      <c r="M10401" s="26" t="s">
        <v>8333</v>
      </c>
      <c r="N10401" s="26" t="s">
        <v>22170</v>
      </c>
      <c r="O10401" s="22" t="str">
        <f>HYPERLINK("https://pbs.twimg.com/profile_images/467892460291506176/3rc2U3DQ_normal.jpeg","View")</f>
        <v>View</v>
      </c>
      <c r="P10401" s="27"/>
    </row>
    <row r="10402">
      <c r="A10402" s="14">
        <v>43032.25803240741</v>
      </c>
      <c r="B10402" s="20" t="str">
        <f t="shared" ref="B10402:B10403" si="238">HYPERLINK("https://twitter.com/Madrid_exterior","@Madrid_exterior")</f>
        <v>@Madrid_exterior</v>
      </c>
      <c r="C10402" s="21" t="s">
        <v>12318</v>
      </c>
      <c r="D10402" s="21" t="s">
        <v>22171</v>
      </c>
      <c r="E10402" s="22" t="str">
        <f>HYPERLINK("https://twitter.com/Madrid_exterior/status/922812813256613894","922812813256613894")</f>
        <v>922812813256613894</v>
      </c>
      <c r="F10402" s="23" t="s">
        <v>187</v>
      </c>
      <c r="G10402" s="24">
        <v>2948.0</v>
      </c>
      <c r="H10402" s="24">
        <v>2874.0</v>
      </c>
      <c r="I10402" s="24">
        <v>0.0</v>
      </c>
      <c r="J10402" s="24">
        <v>0.0</v>
      </c>
      <c r="K10402" s="23" t="s">
        <v>34</v>
      </c>
      <c r="L10402" s="25">
        <v>42557.02306712963</v>
      </c>
      <c r="M10402" s="26" t="s">
        <v>2448</v>
      </c>
      <c r="N10402" s="26" t="s">
        <v>12320</v>
      </c>
      <c r="O10402" s="22" t="str">
        <f t="shared" ref="O10402:O10403" si="239">HYPERLINK("https://pbs.twimg.com/profile_images/750599999436840960/OnHOjWT0_normal.jpg","View")</f>
        <v>View</v>
      </c>
      <c r="P10402" s="27"/>
    </row>
    <row r="10403">
      <c r="A10403" s="14">
        <v>43032.25803240741</v>
      </c>
      <c r="B10403" s="20" t="str">
        <f t="shared" si="238"/>
        <v>@Madrid_exterior</v>
      </c>
      <c r="C10403" s="21" t="s">
        <v>12318</v>
      </c>
      <c r="D10403" s="21" t="s">
        <v>22172</v>
      </c>
      <c r="E10403" s="22" t="str">
        <f>HYPERLINK("https://twitter.com/Madrid_exterior/status/922812814934380544","922812814934380544")</f>
        <v>922812814934380544</v>
      </c>
      <c r="F10403" s="23" t="s">
        <v>187</v>
      </c>
      <c r="G10403" s="24">
        <v>2948.0</v>
      </c>
      <c r="H10403" s="24">
        <v>2874.0</v>
      </c>
      <c r="I10403" s="24">
        <v>0.0</v>
      </c>
      <c r="J10403" s="24">
        <v>0.0</v>
      </c>
      <c r="K10403" s="23" t="s">
        <v>34</v>
      </c>
      <c r="L10403" s="25">
        <v>42557.02306712963</v>
      </c>
      <c r="M10403" s="26" t="s">
        <v>2448</v>
      </c>
      <c r="N10403" s="26" t="s">
        <v>12320</v>
      </c>
      <c r="O10403" s="22" t="str">
        <f t="shared" si="239"/>
        <v>View</v>
      </c>
      <c r="P10403" s="27"/>
    </row>
    <row r="10404">
      <c r="A10404" s="14">
        <v>43032.25815972222</v>
      </c>
      <c r="B10404" s="20" t="str">
        <f>HYPERLINK("https://twitter.com/midori21km","@midori21km")</f>
        <v>@midori21km</v>
      </c>
      <c r="C10404" s="21" t="s">
        <v>22173</v>
      </c>
      <c r="D10404" s="21" t="s">
        <v>22174</v>
      </c>
      <c r="E10404" s="22" t="str">
        <f>HYPERLINK("https://twitter.com/midori21km/status/922812861348376578","922812861348376578")</f>
        <v>922812861348376578</v>
      </c>
      <c r="F10404" s="23" t="s">
        <v>230</v>
      </c>
      <c r="G10404" s="24">
        <v>1113.0</v>
      </c>
      <c r="H10404" s="24">
        <v>1036.0</v>
      </c>
      <c r="I10404" s="24">
        <v>12.0</v>
      </c>
      <c r="J10404" s="24">
        <v>0.0</v>
      </c>
      <c r="K10404" s="23" t="s">
        <v>34</v>
      </c>
      <c r="L10404" s="25">
        <v>40437.76357638889</v>
      </c>
      <c r="M10404" s="26" t="s">
        <v>22175</v>
      </c>
      <c r="N10404" s="26" t="s">
        <v>22176</v>
      </c>
      <c r="O10404" s="22" t="str">
        <f>HYPERLINK("https://pbs.twimg.com/profile_images/469060065006075904/6b8HxZ4v_normal.jpeg","View")</f>
        <v>View</v>
      </c>
      <c r="P10404" s="27"/>
    </row>
    <row r="10405">
      <c r="A10405" s="14">
        <v>43032.25822916666</v>
      </c>
      <c r="B10405" s="20" t="str">
        <f>HYPERLINK("https://twitter.com/fathollahmohama","@fathollahmohama")</f>
        <v>@fathollahmohama</v>
      </c>
      <c r="C10405" s="21" t="s">
        <v>22177</v>
      </c>
      <c r="D10405" s="21" t="s">
        <v>21202</v>
      </c>
      <c r="E10405" s="22" t="str">
        <f>HYPERLINK("https://twitter.com/fathollahmohama/status/922812885918724097","922812885918724097")</f>
        <v>922812885918724097</v>
      </c>
      <c r="F10405" s="23" t="s">
        <v>86</v>
      </c>
      <c r="G10405" s="24">
        <v>104.0</v>
      </c>
      <c r="H10405" s="24">
        <v>106.0</v>
      </c>
      <c r="I10405" s="24">
        <v>79.0</v>
      </c>
      <c r="J10405" s="24">
        <v>0.0</v>
      </c>
      <c r="K10405" s="23" t="s">
        <v>34</v>
      </c>
      <c r="L10405" s="25">
        <v>41777.29802083333</v>
      </c>
      <c r="M10405" s="26" t="s">
        <v>8333</v>
      </c>
      <c r="N10405" s="26" t="s">
        <v>22178</v>
      </c>
      <c r="O10405" s="22" t="str">
        <f>HYPERLINK("https://pbs.twimg.com/profile_images/471575366847315968/Ni1A7Xdm_normal.jpeg","View")</f>
        <v>View</v>
      </c>
      <c r="P10405" s="27"/>
    </row>
    <row r="10406">
      <c r="A10406" s="14">
        <v>43032.25824074074</v>
      </c>
      <c r="B10406" s="20" t="str">
        <f>HYPERLINK("https://twitter.com/schmitt_rosana","@schmitt_rosana")</f>
        <v>@schmitt_rosana</v>
      </c>
      <c r="C10406" s="21" t="s">
        <v>22179</v>
      </c>
      <c r="D10406" s="21" t="s">
        <v>17703</v>
      </c>
      <c r="E10406" s="22" t="str">
        <f>HYPERLINK("https://twitter.com/schmitt_rosana/status/922812887789338624","922812887789338624")</f>
        <v>922812887789338624</v>
      </c>
      <c r="F10406" s="23" t="s">
        <v>33</v>
      </c>
      <c r="G10406" s="24">
        <v>726.0</v>
      </c>
      <c r="H10406" s="24">
        <v>501.0</v>
      </c>
      <c r="I10406" s="24">
        <v>23.0</v>
      </c>
      <c r="J10406" s="24">
        <v>0.0</v>
      </c>
      <c r="K10406" s="23" t="s">
        <v>34</v>
      </c>
      <c r="L10406" s="25">
        <v>40911.46912037037</v>
      </c>
      <c r="M10406" s="26" t="s">
        <v>22180</v>
      </c>
      <c r="N10406" s="26" t="s">
        <v>22181</v>
      </c>
      <c r="O10406" s="22" t="str">
        <f>HYPERLINK("https://pbs.twimg.com/profile_images/914244453522661376/-sDvC-jA_normal.jpg","View")</f>
        <v>View</v>
      </c>
      <c r="P10406" s="27"/>
    </row>
    <row r="10407">
      <c r="A10407" s="14">
        <v>43032.25850694445</v>
      </c>
      <c r="B10407" s="20" t="str">
        <f>HYPERLINK("https://twitter.com/Asso1176","@Asso1176")</f>
        <v>@Asso1176</v>
      </c>
      <c r="C10407" s="21" t="s">
        <v>22182</v>
      </c>
      <c r="D10407" s="21" t="s">
        <v>22154</v>
      </c>
      <c r="E10407" s="22" t="str">
        <f>HYPERLINK("https://twitter.com/Asso1176/status/922812986045157377","922812986045157377")</f>
        <v>922812986045157377</v>
      </c>
      <c r="F10407" s="23" t="s">
        <v>33</v>
      </c>
      <c r="G10407" s="24">
        <v>89.0</v>
      </c>
      <c r="H10407" s="24">
        <v>4233.0</v>
      </c>
      <c r="I10407" s="24">
        <v>3.0</v>
      </c>
      <c r="J10407" s="24">
        <v>0.0</v>
      </c>
      <c r="K10407" s="23" t="s">
        <v>34</v>
      </c>
      <c r="L10407" s="25">
        <v>41740.08594907408</v>
      </c>
      <c r="M10407" s="28"/>
      <c r="N10407" s="26" t="s">
        <v>22183</v>
      </c>
      <c r="O10407" s="22" t="str">
        <f>HYPERLINK("https://pbs.twimg.com/profile_images/749331627415920641/NZgYd6_0_normal.jpg","View")</f>
        <v>View</v>
      </c>
      <c r="P10407" s="27"/>
    </row>
    <row r="10408">
      <c r="A10408" s="14">
        <v>43032.25855324074</v>
      </c>
      <c r="B10408" s="20" t="str">
        <f>HYPERLINK("https://twitter.com/AlifakourJ","@AlifakourJ")</f>
        <v>@AlifakourJ</v>
      </c>
      <c r="C10408" s="21" t="s">
        <v>22169</v>
      </c>
      <c r="D10408" s="21" t="s">
        <v>21203</v>
      </c>
      <c r="E10408" s="22" t="str">
        <f>HYPERLINK("https://twitter.com/AlifakourJ/status/922813002440519680","922813002440519680")</f>
        <v>922813002440519680</v>
      </c>
      <c r="F10408" s="23" t="s">
        <v>86</v>
      </c>
      <c r="G10408" s="24">
        <v>201.0</v>
      </c>
      <c r="H10408" s="24">
        <v>123.0</v>
      </c>
      <c r="I10408" s="24">
        <v>75.0</v>
      </c>
      <c r="J10408" s="24">
        <v>0.0</v>
      </c>
      <c r="K10408" s="23" t="s">
        <v>34</v>
      </c>
      <c r="L10408" s="25">
        <v>41776.915555555555</v>
      </c>
      <c r="M10408" s="26" t="s">
        <v>8333</v>
      </c>
      <c r="N10408" s="26" t="s">
        <v>22170</v>
      </c>
      <c r="O10408" s="22" t="str">
        <f>HYPERLINK("https://pbs.twimg.com/profile_images/467892460291506176/3rc2U3DQ_normal.jpeg","View")</f>
        <v>View</v>
      </c>
      <c r="P10408" s="27"/>
    </row>
    <row r="10409">
      <c r="A10409" s="14">
        <v>43032.25884259259</v>
      </c>
      <c r="B10409" s="20" t="str">
        <f>HYPERLINK("https://twitter.com/shah_ateet77","@shah_ateet77")</f>
        <v>@shah_ateet77</v>
      </c>
      <c r="C10409" s="21" t="s">
        <v>22184</v>
      </c>
      <c r="D10409" s="21" t="s">
        <v>42</v>
      </c>
      <c r="E10409" s="22" t="str">
        <f>HYPERLINK("https://twitter.com/shah_ateet77/status/922813107113623552","922813107113623552")</f>
        <v>922813107113623552</v>
      </c>
      <c r="F10409" s="23" t="s">
        <v>33</v>
      </c>
      <c r="G10409" s="24">
        <v>210.0</v>
      </c>
      <c r="H10409" s="24">
        <v>133.0</v>
      </c>
      <c r="I10409" s="24">
        <v>8501.0</v>
      </c>
      <c r="J10409" s="24">
        <v>0.0</v>
      </c>
      <c r="K10409" s="23" t="s">
        <v>34</v>
      </c>
      <c r="L10409" s="25">
        <v>42274.85579861111</v>
      </c>
      <c r="M10409" s="26" t="s">
        <v>1633</v>
      </c>
      <c r="N10409" s="26" t="s">
        <v>22185</v>
      </c>
      <c r="O10409" s="22" t="str">
        <f>HYPERLINK("https://pbs.twimg.com/profile_images/907972657727004672/k7ycrUjR_normal.jpg","View")</f>
        <v>View</v>
      </c>
      <c r="P10409" s="27"/>
    </row>
    <row r="10410">
      <c r="A10410" s="14">
        <v>43032.258888888886</v>
      </c>
      <c r="B10410" s="20" t="str">
        <f>HYPERLINK("https://twitter.com/fathollahmohama","@fathollahmohama")</f>
        <v>@fathollahmohama</v>
      </c>
      <c r="C10410" s="21" t="s">
        <v>22177</v>
      </c>
      <c r="D10410" s="21" t="s">
        <v>21203</v>
      </c>
      <c r="E10410" s="22" t="str">
        <f>HYPERLINK("https://twitter.com/fathollahmohama/status/922813122339065856","922813122339065856")</f>
        <v>922813122339065856</v>
      </c>
      <c r="F10410" s="23" t="s">
        <v>86</v>
      </c>
      <c r="G10410" s="24">
        <v>104.0</v>
      </c>
      <c r="H10410" s="24">
        <v>106.0</v>
      </c>
      <c r="I10410" s="24">
        <v>75.0</v>
      </c>
      <c r="J10410" s="24">
        <v>0.0</v>
      </c>
      <c r="K10410" s="23" t="s">
        <v>34</v>
      </c>
      <c r="L10410" s="25">
        <v>41777.29802083333</v>
      </c>
      <c r="M10410" s="26" t="s">
        <v>8333</v>
      </c>
      <c r="N10410" s="26" t="s">
        <v>22178</v>
      </c>
      <c r="O10410" s="22" t="str">
        <f>HYPERLINK("https://pbs.twimg.com/profile_images/471575366847315968/Ni1A7Xdm_normal.jpeg","View")</f>
        <v>View</v>
      </c>
      <c r="P10410" s="27"/>
    </row>
    <row r="10411">
      <c r="A10411" s="14">
        <v>43032.25902777778</v>
      </c>
      <c r="B10411" s="20" t="str">
        <f>HYPERLINK("https://twitter.com/HRM9090","@HRM9090")</f>
        <v>@HRM9090</v>
      </c>
      <c r="C10411" s="21" t="s">
        <v>22186</v>
      </c>
      <c r="D10411" s="21" t="s">
        <v>42</v>
      </c>
      <c r="E10411" s="22" t="str">
        <f>HYPERLINK("https://twitter.com/HRM9090/status/922813174298152960","922813174298152960")</f>
        <v>922813174298152960</v>
      </c>
      <c r="F10411" s="23" t="s">
        <v>39</v>
      </c>
      <c r="G10411" s="24">
        <v>36.0</v>
      </c>
      <c r="H10411" s="24">
        <v>501.0</v>
      </c>
      <c r="I10411" s="24">
        <v>8501.0</v>
      </c>
      <c r="J10411" s="24">
        <v>0.0</v>
      </c>
      <c r="K10411" s="23" t="s">
        <v>34</v>
      </c>
      <c r="L10411" s="25">
        <v>41467.17818287037</v>
      </c>
      <c r="M10411" s="26" t="s">
        <v>22187</v>
      </c>
      <c r="N10411" s="28"/>
      <c r="O10411" s="22" t="str">
        <f>HYPERLINK("https://pbs.twimg.com/profile_images/903499535103672320/HRpzuEUF_normal.jpg","View")</f>
        <v>View</v>
      </c>
      <c r="P10411" s="27"/>
    </row>
    <row r="10412">
      <c r="A10412" s="14">
        <v>43032.25953703704</v>
      </c>
      <c r="B10412" s="20" t="str">
        <f>HYPERLINK("https://twitter.com/fathollahmohama","@fathollahmohama")</f>
        <v>@fathollahmohama</v>
      </c>
      <c r="C10412" s="21" t="s">
        <v>22177</v>
      </c>
      <c r="D10412" s="21" t="s">
        <v>21243</v>
      </c>
      <c r="E10412" s="22" t="str">
        <f>HYPERLINK("https://twitter.com/fathollahmohama/status/922813359623495681","922813359623495681")</f>
        <v>922813359623495681</v>
      </c>
      <c r="F10412" s="23" t="s">
        <v>86</v>
      </c>
      <c r="G10412" s="24">
        <v>104.0</v>
      </c>
      <c r="H10412" s="24">
        <v>106.0</v>
      </c>
      <c r="I10412" s="24">
        <v>41.0</v>
      </c>
      <c r="J10412" s="24">
        <v>0.0</v>
      </c>
      <c r="K10412" s="23" t="s">
        <v>34</v>
      </c>
      <c r="L10412" s="25">
        <v>41777.29802083333</v>
      </c>
      <c r="M10412" s="26" t="s">
        <v>8333</v>
      </c>
      <c r="N10412" s="26" t="s">
        <v>22178</v>
      </c>
      <c r="O10412" s="22" t="str">
        <f>HYPERLINK("https://pbs.twimg.com/profile_images/471575366847315968/Ni1A7Xdm_normal.jpeg","View")</f>
        <v>View</v>
      </c>
      <c r="P10412" s="27"/>
    </row>
    <row r="10413">
      <c r="A10413" s="14">
        <v>43032.259930555556</v>
      </c>
      <c r="B10413" s="20" t="str">
        <f>HYPERLINK("https://twitter.com/johnmbithi13","@johnmbithi13")</f>
        <v>@johnmbithi13</v>
      </c>
      <c r="C10413" s="21" t="s">
        <v>22188</v>
      </c>
      <c r="D10413" s="21" t="s">
        <v>32</v>
      </c>
      <c r="E10413" s="22" t="str">
        <f>HYPERLINK("https://twitter.com/johnmbithi13/status/922813503584522240","922813503584522240")</f>
        <v>922813503584522240</v>
      </c>
      <c r="F10413" s="23" t="s">
        <v>86</v>
      </c>
      <c r="G10413" s="24">
        <v>7432.0</v>
      </c>
      <c r="H10413" s="24">
        <v>4807.0</v>
      </c>
      <c r="I10413" s="24">
        <v>471.0</v>
      </c>
      <c r="J10413" s="24">
        <v>0.0</v>
      </c>
      <c r="K10413" s="23" t="s">
        <v>34</v>
      </c>
      <c r="L10413" s="25">
        <v>40975.558599537035</v>
      </c>
      <c r="M10413" s="26" t="s">
        <v>17840</v>
      </c>
      <c r="N10413" s="26" t="s">
        <v>22189</v>
      </c>
      <c r="O10413" s="22" t="str">
        <f>HYPERLINK("https://pbs.twimg.com/profile_images/899504926572851200/C0zMwBtM_normal.jpg","View")</f>
        <v>View</v>
      </c>
      <c r="P10413" s="27"/>
    </row>
    <row r="10414">
      <c r="A10414" s="14">
        <v>43032.26020833333</v>
      </c>
      <c r="B10414" s="20" t="str">
        <f>HYPERLINK("https://twitter.com/fathollahmohama","@fathollahmohama")</f>
        <v>@fathollahmohama</v>
      </c>
      <c r="C10414" s="21" t="s">
        <v>22177</v>
      </c>
      <c r="D10414" s="21" t="s">
        <v>21191</v>
      </c>
      <c r="E10414" s="22" t="str">
        <f>HYPERLINK("https://twitter.com/fathollahmohama/status/922813600418484235","922813600418484235")</f>
        <v>922813600418484235</v>
      </c>
      <c r="F10414" s="23" t="s">
        <v>86</v>
      </c>
      <c r="G10414" s="24">
        <v>104.0</v>
      </c>
      <c r="H10414" s="24">
        <v>106.0</v>
      </c>
      <c r="I10414" s="24">
        <v>42.0</v>
      </c>
      <c r="J10414" s="24">
        <v>0.0</v>
      </c>
      <c r="K10414" s="23" t="s">
        <v>34</v>
      </c>
      <c r="L10414" s="25">
        <v>41777.29802083333</v>
      </c>
      <c r="M10414" s="26" t="s">
        <v>8333</v>
      </c>
      <c r="N10414" s="26" t="s">
        <v>22178</v>
      </c>
      <c r="O10414" s="22" t="str">
        <f>HYPERLINK("https://pbs.twimg.com/profile_images/471575366847315968/Ni1A7Xdm_normal.jpeg","View")</f>
        <v>View</v>
      </c>
      <c r="P10414" s="27"/>
    </row>
    <row r="10415">
      <c r="A10415" s="14">
        <v>43032.260462962964</v>
      </c>
      <c r="B10415" s="20" t="str">
        <f>HYPERLINK("https://twitter.com/BrookingsFP","@BrookingsFP")</f>
        <v>@BrookingsFP</v>
      </c>
      <c r="C10415" s="21" t="s">
        <v>21958</v>
      </c>
      <c r="D10415" s="21" t="s">
        <v>22190</v>
      </c>
      <c r="E10415" s="22" t="str">
        <f>HYPERLINK("https://twitter.com/BrookingsFP/status/922813694521769984","922813694521769984")</f>
        <v>922813694521769984</v>
      </c>
      <c r="F10415" s="23" t="s">
        <v>10415</v>
      </c>
      <c r="G10415" s="24">
        <v>135007.0</v>
      </c>
      <c r="H10415" s="24">
        <v>1018.0</v>
      </c>
      <c r="I10415" s="24">
        <v>1.0</v>
      </c>
      <c r="J10415" s="24">
        <v>1.0</v>
      </c>
      <c r="K10415" s="23" t="s">
        <v>34</v>
      </c>
      <c r="L10415" s="25">
        <v>40000.534780092596</v>
      </c>
      <c r="M10415" s="26" t="s">
        <v>21405</v>
      </c>
      <c r="N10415" s="26" t="s">
        <v>21960</v>
      </c>
      <c r="O10415" s="22" t="str">
        <f>HYPERLINK("https://pbs.twimg.com/profile_images/449922644800839680/Ld9Xcj1G_normal.png","View")</f>
        <v>View</v>
      </c>
      <c r="P10415" s="27"/>
    </row>
    <row r="10416">
      <c r="A10416" s="14">
        <v>43032.26056712963</v>
      </c>
      <c r="B10416" s="20" t="str">
        <f>HYPERLINK("https://twitter.com/FREEin92","@FREEin92")</f>
        <v>@FREEin92</v>
      </c>
      <c r="C10416" s="21" t="s">
        <v>22191</v>
      </c>
      <c r="D10416" s="21" t="s">
        <v>21202</v>
      </c>
      <c r="E10416" s="22" t="str">
        <f>HYPERLINK("https://twitter.com/FREEin92/status/922813734187233280","922813734187233280")</f>
        <v>922813734187233280</v>
      </c>
      <c r="F10416" s="23" t="s">
        <v>86</v>
      </c>
      <c r="G10416" s="24">
        <v>550.0</v>
      </c>
      <c r="H10416" s="24">
        <v>459.0</v>
      </c>
      <c r="I10416" s="24">
        <v>79.0</v>
      </c>
      <c r="J10416" s="24">
        <v>0.0</v>
      </c>
      <c r="K10416" s="23" t="s">
        <v>34</v>
      </c>
      <c r="L10416" s="25">
        <v>41546.01629629629</v>
      </c>
      <c r="M10416" s="26" t="s">
        <v>40</v>
      </c>
      <c r="N10416" s="26" t="s">
        <v>22192</v>
      </c>
      <c r="O10416" s="22" t="str">
        <f>HYPERLINK("https://pbs.twimg.com/profile_images/378800000542685902/d78bf77db3b84181cf5e51126c0c81ad_normal.jpeg","View")</f>
        <v>View</v>
      </c>
      <c r="P10416" s="27"/>
    </row>
    <row r="10417">
      <c r="A10417" s="14">
        <v>43032.26085648148</v>
      </c>
      <c r="B10417" s="20" t="str">
        <f>HYPERLINK("https://twitter.com/Dagixle","@Dagixle")</f>
        <v>@Dagixle</v>
      </c>
      <c r="C10417" s="21" t="s">
        <v>17279</v>
      </c>
      <c r="D10417" s="21" t="s">
        <v>21625</v>
      </c>
      <c r="E10417" s="22" t="str">
        <f>HYPERLINK("https://twitter.com/Dagixle/status/922813836008329216","922813836008329216")</f>
        <v>922813836008329216</v>
      </c>
      <c r="F10417" s="23" t="s">
        <v>33</v>
      </c>
      <c r="G10417" s="24">
        <v>183.0</v>
      </c>
      <c r="H10417" s="24">
        <v>160.0</v>
      </c>
      <c r="I10417" s="24">
        <v>122.0</v>
      </c>
      <c r="J10417" s="24">
        <v>0.0</v>
      </c>
      <c r="K10417" s="23" t="s">
        <v>34</v>
      </c>
      <c r="L10417" s="25">
        <v>40317.10984953704</v>
      </c>
      <c r="M10417" s="26" t="s">
        <v>17280</v>
      </c>
      <c r="N10417" s="28"/>
      <c r="O10417" s="22" t="str">
        <f>HYPERLINK("https://pbs.twimg.com/profile_images/378800000190235608/627092d09dceec8c7c82011a4e83720c_normal.png","View")</f>
        <v>View</v>
      </c>
      <c r="P10417" s="27"/>
    </row>
    <row r="10418">
      <c r="A10418" s="14">
        <v>43032.26105324074</v>
      </c>
      <c r="B10418" s="20" t="str">
        <f>HYPERLINK("https://twitter.com/PublicSituation","@PublicSituation")</f>
        <v>@PublicSituation</v>
      </c>
      <c r="C10418" s="21" t="s">
        <v>12284</v>
      </c>
      <c r="D10418" s="21" t="s">
        <v>22193</v>
      </c>
      <c r="E10418" s="22" t="str">
        <f>HYPERLINK("https://twitter.com/PublicSituation/status/922813910213971969","922813910213971969")</f>
        <v>922813910213971969</v>
      </c>
      <c r="F10418" s="23" t="s">
        <v>12285</v>
      </c>
      <c r="G10418" s="24">
        <v>3421.0</v>
      </c>
      <c r="H10418" s="24">
        <v>3219.0</v>
      </c>
      <c r="I10418" s="24">
        <v>1.0</v>
      </c>
      <c r="J10418" s="24">
        <v>0.0</v>
      </c>
      <c r="K10418" s="23" t="s">
        <v>34</v>
      </c>
      <c r="L10418" s="25">
        <v>42488.26296296297</v>
      </c>
      <c r="M10418" s="26" t="s">
        <v>12286</v>
      </c>
      <c r="N10418" s="26" t="s">
        <v>12287</v>
      </c>
      <c r="O10418" s="22" t="str">
        <f>HYPERLINK("https://pbs.twimg.com/profile_images/859458512698650625/sRsalqLV_normal.jpg","View")</f>
        <v>View</v>
      </c>
      <c r="P10418" s="27"/>
    </row>
    <row r="10419">
      <c r="A10419" s="14">
        <v>43032.26121527777</v>
      </c>
      <c r="B10419" s="20" t="str">
        <f>HYPERLINK("https://twitter.com/FREEin92","@FREEin92")</f>
        <v>@FREEin92</v>
      </c>
      <c r="C10419" s="21" t="s">
        <v>22191</v>
      </c>
      <c r="D10419" s="21" t="s">
        <v>21203</v>
      </c>
      <c r="E10419" s="22" t="str">
        <f>HYPERLINK("https://twitter.com/FREEin92/status/922813969261215744","922813969261215744")</f>
        <v>922813969261215744</v>
      </c>
      <c r="F10419" s="23" t="s">
        <v>86</v>
      </c>
      <c r="G10419" s="24">
        <v>550.0</v>
      </c>
      <c r="H10419" s="24">
        <v>459.0</v>
      </c>
      <c r="I10419" s="24">
        <v>75.0</v>
      </c>
      <c r="J10419" s="24">
        <v>0.0</v>
      </c>
      <c r="K10419" s="23" t="s">
        <v>34</v>
      </c>
      <c r="L10419" s="25">
        <v>41546.01629629629</v>
      </c>
      <c r="M10419" s="26" t="s">
        <v>40</v>
      </c>
      <c r="N10419" s="26" t="s">
        <v>22192</v>
      </c>
      <c r="O10419" s="22" t="str">
        <f>HYPERLINK("https://pbs.twimg.com/profile_images/378800000542685902/d78bf77db3b84181cf5e51126c0c81ad_normal.jpeg","View")</f>
        <v>View</v>
      </c>
      <c r="P10419" s="27"/>
    </row>
    <row r="10420">
      <c r="A10420" s="14">
        <v>43032.261354166665</v>
      </c>
      <c r="B10420" s="20" t="str">
        <f>HYPERLINK("https://twitter.com/MacNyanda","@MacNyanda")</f>
        <v>@MacNyanda</v>
      </c>
      <c r="C10420" s="21" t="s">
        <v>22194</v>
      </c>
      <c r="D10420" s="21" t="s">
        <v>32</v>
      </c>
      <c r="E10420" s="22" t="str">
        <f>HYPERLINK("https://twitter.com/MacNyanda/status/922814018766688256","922814018766688256")</f>
        <v>922814018766688256</v>
      </c>
      <c r="F10420" s="23" t="s">
        <v>33</v>
      </c>
      <c r="G10420" s="24">
        <v>818.0</v>
      </c>
      <c r="H10420" s="24">
        <v>662.0</v>
      </c>
      <c r="I10420" s="24">
        <v>471.0</v>
      </c>
      <c r="J10420" s="24">
        <v>0.0</v>
      </c>
      <c r="K10420" s="23" t="s">
        <v>34</v>
      </c>
      <c r="L10420" s="25">
        <v>40612.96890046296</v>
      </c>
      <c r="M10420" s="26" t="s">
        <v>9378</v>
      </c>
      <c r="N10420" s="26" t="s">
        <v>22195</v>
      </c>
      <c r="O10420" s="22" t="str">
        <f>HYPERLINK("https://pbs.twimg.com/profile_images/831980131057016832/4JKyeEo6_normal.jpg","View")</f>
        <v>View</v>
      </c>
      <c r="P10420" s="27"/>
    </row>
    <row r="10421">
      <c r="A10421" s="14">
        <v>43032.26144675926</v>
      </c>
      <c r="B10421" s="20" t="str">
        <f>HYPERLINK("https://twitter.com/Judekendi","@Judekendi")</f>
        <v>@Judekendi</v>
      </c>
      <c r="C10421" s="21" t="s">
        <v>22196</v>
      </c>
      <c r="D10421" s="21" t="s">
        <v>32</v>
      </c>
      <c r="E10421" s="22" t="str">
        <f>HYPERLINK("https://twitter.com/Judekendi/status/922814052124028928","922814052124028928")</f>
        <v>922814052124028928</v>
      </c>
      <c r="F10421" s="23" t="s">
        <v>33</v>
      </c>
      <c r="G10421" s="24">
        <v>6157.0</v>
      </c>
      <c r="H10421" s="24">
        <v>3806.0</v>
      </c>
      <c r="I10421" s="24">
        <v>471.0</v>
      </c>
      <c r="J10421" s="24">
        <v>0.0</v>
      </c>
      <c r="K10421" s="23" t="s">
        <v>34</v>
      </c>
      <c r="L10421" s="25">
        <v>41304.07363425926</v>
      </c>
      <c r="M10421" s="26" t="s">
        <v>22197</v>
      </c>
      <c r="N10421" s="26" t="s">
        <v>22198</v>
      </c>
      <c r="O10421" s="22" t="str">
        <f>HYPERLINK("https://pbs.twimg.com/profile_images/916720079827603457/rjV24ROI_normal.jpg","View")</f>
        <v>View</v>
      </c>
      <c r="P10421" s="27"/>
    </row>
    <row r="10422">
      <c r="A10422" s="14">
        <v>43032.2615625</v>
      </c>
      <c r="B10422" s="20" t="str">
        <f>HYPERLINK("https://twitter.com/akinisakura","@akinisakura")</f>
        <v>@akinisakura</v>
      </c>
      <c r="C10422" s="21" t="s">
        <v>22199</v>
      </c>
      <c r="D10422" s="21" t="s">
        <v>18941</v>
      </c>
      <c r="E10422" s="22" t="str">
        <f>HYPERLINK("https://twitter.com/akinisakura/status/922814091177074689","922814091177074689")</f>
        <v>922814091177074689</v>
      </c>
      <c r="F10422" s="23" t="s">
        <v>39</v>
      </c>
      <c r="G10422" s="24">
        <v>2148.0</v>
      </c>
      <c r="H10422" s="24">
        <v>3864.0</v>
      </c>
      <c r="I10422" s="24">
        <v>9.0</v>
      </c>
      <c r="J10422" s="24">
        <v>0.0</v>
      </c>
      <c r="K10422" s="23" t="s">
        <v>34</v>
      </c>
      <c r="L10422" s="25">
        <v>40209.291504629626</v>
      </c>
      <c r="M10422" s="26" t="s">
        <v>5401</v>
      </c>
      <c r="N10422" s="26" t="s">
        <v>22200</v>
      </c>
      <c r="O10422" s="22" t="str">
        <f>HYPERLINK("https://pbs.twimg.com/profile_images/827674207353860098/UKydyXs-_normal.jpg","View")</f>
        <v>View</v>
      </c>
      <c r="P10422" s="27"/>
    </row>
    <row r="10423">
      <c r="A10423" s="14">
        <v>43032.261875</v>
      </c>
      <c r="B10423" s="20" t="str">
        <f>HYPERLINK("https://twitter.com/FREEin92","@FREEin92")</f>
        <v>@FREEin92</v>
      </c>
      <c r="C10423" s="21" t="s">
        <v>22191</v>
      </c>
      <c r="D10423" s="21" t="s">
        <v>21243</v>
      </c>
      <c r="E10423" s="22" t="str">
        <f>HYPERLINK("https://twitter.com/FREEin92/status/922814204217671681","922814204217671681")</f>
        <v>922814204217671681</v>
      </c>
      <c r="F10423" s="23" t="s">
        <v>86</v>
      </c>
      <c r="G10423" s="24">
        <v>550.0</v>
      </c>
      <c r="H10423" s="24">
        <v>459.0</v>
      </c>
      <c r="I10423" s="24">
        <v>41.0</v>
      </c>
      <c r="J10423" s="24">
        <v>0.0</v>
      </c>
      <c r="K10423" s="23" t="s">
        <v>34</v>
      </c>
      <c r="L10423" s="25">
        <v>41546.01629629629</v>
      </c>
      <c r="M10423" s="26" t="s">
        <v>40</v>
      </c>
      <c r="N10423" s="26" t="s">
        <v>22192</v>
      </c>
      <c r="O10423" s="22" t="str">
        <f>HYPERLINK("https://pbs.twimg.com/profile_images/378800000542685902/d78bf77db3b84181cf5e51126c0c81ad_normal.jpeg","View")</f>
        <v>View</v>
      </c>
      <c r="P10423" s="27"/>
    </row>
    <row r="10424">
      <c r="A10424" s="14">
        <v>43032.261967592596</v>
      </c>
      <c r="B10424" s="20" t="str">
        <f>HYPERLINK("https://twitter.com/VishSathappan","@VishSathappan")</f>
        <v>@VishSathappan</v>
      </c>
      <c r="C10424" s="21" t="s">
        <v>22201</v>
      </c>
      <c r="D10424" s="21" t="s">
        <v>42</v>
      </c>
      <c r="E10424" s="22" t="str">
        <f>HYPERLINK("https://twitter.com/VishSathappan/status/922814241551269888","922814241551269888")</f>
        <v>922814241551269888</v>
      </c>
      <c r="F10424" s="23" t="s">
        <v>39</v>
      </c>
      <c r="G10424" s="24">
        <v>249.0</v>
      </c>
      <c r="H10424" s="24">
        <v>180.0</v>
      </c>
      <c r="I10424" s="24">
        <v>8501.0</v>
      </c>
      <c r="J10424" s="24">
        <v>0.0</v>
      </c>
      <c r="K10424" s="23" t="s">
        <v>34</v>
      </c>
      <c r="L10424" s="25">
        <v>40932.18662037037</v>
      </c>
      <c r="M10424" s="26" t="s">
        <v>207</v>
      </c>
      <c r="N10424" s="26" t="s">
        <v>22202</v>
      </c>
      <c r="O10424" s="22" t="str">
        <f>HYPERLINK("https://pbs.twimg.com/profile_images/715255876450263040/wfnaJ9UR_normal.jpg","View")</f>
        <v>View</v>
      </c>
      <c r="P10424" s="27"/>
    </row>
    <row r="10425">
      <c r="A10425" s="14">
        <v>43032.262511574074</v>
      </c>
      <c r="B10425" s="20" t="str">
        <f>HYPERLINK("https://twitter.com/FREEin92","@FREEin92")</f>
        <v>@FREEin92</v>
      </c>
      <c r="C10425" s="21" t="s">
        <v>22191</v>
      </c>
      <c r="D10425" s="21" t="s">
        <v>21191</v>
      </c>
      <c r="E10425" s="22" t="str">
        <f>HYPERLINK("https://twitter.com/FREEin92/status/922814439052607488","922814439052607488")</f>
        <v>922814439052607488</v>
      </c>
      <c r="F10425" s="23" t="s">
        <v>86</v>
      </c>
      <c r="G10425" s="24">
        <v>550.0</v>
      </c>
      <c r="H10425" s="24">
        <v>459.0</v>
      </c>
      <c r="I10425" s="24">
        <v>42.0</v>
      </c>
      <c r="J10425" s="24">
        <v>0.0</v>
      </c>
      <c r="K10425" s="23" t="s">
        <v>34</v>
      </c>
      <c r="L10425" s="25">
        <v>41546.01629629629</v>
      </c>
      <c r="M10425" s="26" t="s">
        <v>40</v>
      </c>
      <c r="N10425" s="26" t="s">
        <v>22192</v>
      </c>
      <c r="O10425" s="22" t="str">
        <f>HYPERLINK("https://pbs.twimg.com/profile_images/378800000542685902/d78bf77db3b84181cf5e51126c0c81ad_normal.jpeg","View")</f>
        <v>View</v>
      </c>
      <c r="P10425" s="27"/>
    </row>
    <row r="10426">
      <c r="A10426" s="14">
        <v>43032.26253472222</v>
      </c>
      <c r="B10426" s="20" t="str">
        <f>HYPERLINK("https://twitter.com/Eriqnyamweya","@Eriqnyamweya")</f>
        <v>@Eriqnyamweya</v>
      </c>
      <c r="C10426" s="21" t="s">
        <v>22203</v>
      </c>
      <c r="D10426" s="21" t="s">
        <v>32</v>
      </c>
      <c r="E10426" s="22" t="str">
        <f>HYPERLINK("https://twitter.com/Eriqnyamweya/status/922814444580802560","922814444580802560")</f>
        <v>922814444580802560</v>
      </c>
      <c r="F10426" s="23" t="s">
        <v>86</v>
      </c>
      <c r="G10426" s="24">
        <v>1850.0</v>
      </c>
      <c r="H10426" s="24">
        <v>1882.0</v>
      </c>
      <c r="I10426" s="24">
        <v>471.0</v>
      </c>
      <c r="J10426" s="24">
        <v>0.0</v>
      </c>
      <c r="K10426" s="23" t="s">
        <v>34</v>
      </c>
      <c r="L10426" s="25">
        <v>40823.472708333335</v>
      </c>
      <c r="M10426" s="26" t="s">
        <v>385</v>
      </c>
      <c r="N10426" s="26" t="s">
        <v>22204</v>
      </c>
      <c r="O10426" s="22" t="str">
        <f>HYPERLINK("https://pbs.twimg.com/profile_images/634636630540685312/5MiYnSuC_normal.jpg","View")</f>
        <v>View</v>
      </c>
      <c r="P10426" s="27"/>
    </row>
    <row r="10427">
      <c r="A10427" s="14">
        <v>43032.262974537036</v>
      </c>
      <c r="B10427" s="20" t="str">
        <f>HYPERLINK("https://twitter.com/BEHROUZZZZ","@BEHROUZZZZ")</f>
        <v>@BEHROUZZZZ</v>
      </c>
      <c r="C10427" s="21" t="s">
        <v>22205</v>
      </c>
      <c r="D10427" s="21" t="s">
        <v>22206</v>
      </c>
      <c r="E10427" s="22" t="str">
        <f>HYPERLINK("https://twitter.com/BEHROUZZZZ/status/922814603582566401","922814603582566401")</f>
        <v>922814603582566401</v>
      </c>
      <c r="F10427" s="23" t="s">
        <v>39</v>
      </c>
      <c r="G10427" s="24">
        <v>1007.0</v>
      </c>
      <c r="H10427" s="24">
        <v>591.0</v>
      </c>
      <c r="I10427" s="24">
        <v>0.0</v>
      </c>
      <c r="J10427" s="24">
        <v>8.0</v>
      </c>
      <c r="K10427" s="23" t="s">
        <v>34</v>
      </c>
      <c r="L10427" s="25">
        <v>39984.29880787037</v>
      </c>
      <c r="M10427" s="26" t="s">
        <v>271</v>
      </c>
      <c r="N10427" s="26" t="s">
        <v>22207</v>
      </c>
      <c r="O10427" s="22" t="str">
        <f>HYPERLINK("https://pbs.twimg.com/profile_images/1790617200/Behrouz_normal.jpg","View")</f>
        <v>View</v>
      </c>
      <c r="P10427" s="27"/>
    </row>
    <row r="10428">
      <c r="A10428" s="14">
        <v>43032.263460648144</v>
      </c>
      <c r="B10428" s="20" t="str">
        <f>HYPERLINK("https://twitter.com/RuffusMD","@RuffusMD")</f>
        <v>@RuffusMD</v>
      </c>
      <c r="C10428" s="21" t="s">
        <v>22208</v>
      </c>
      <c r="D10428" s="21" t="s">
        <v>19906</v>
      </c>
      <c r="E10428" s="22" t="str">
        <f>HYPERLINK("https://twitter.com/RuffusMD/status/922814780628439040","922814780628439040")</f>
        <v>922814780628439040</v>
      </c>
      <c r="F10428" s="23" t="s">
        <v>33</v>
      </c>
      <c r="G10428" s="24">
        <v>8684.0</v>
      </c>
      <c r="H10428" s="24">
        <v>7858.0</v>
      </c>
      <c r="I10428" s="24">
        <v>7.0</v>
      </c>
      <c r="J10428" s="24">
        <v>0.0</v>
      </c>
      <c r="K10428" s="23" t="s">
        <v>34</v>
      </c>
      <c r="L10428" s="25">
        <v>39981.6844212963</v>
      </c>
      <c r="M10428" s="26" t="s">
        <v>17186</v>
      </c>
      <c r="N10428" s="26" t="s">
        <v>22209</v>
      </c>
      <c r="O10428" s="22" t="str">
        <f>HYPERLINK("https://pbs.twimg.com/profile_images/268003887/RN_5000_0_normal.jpg","View")</f>
        <v>View</v>
      </c>
      <c r="P10428" s="27"/>
    </row>
    <row r="10429">
      <c r="A10429" s="14">
        <v>43032.26528935185</v>
      </c>
      <c r="B10429" s="20" t="str">
        <f>HYPERLINK("https://twitter.com/anmelos","@anmelos")</f>
        <v>@anmelos</v>
      </c>
      <c r="C10429" s="21" t="s">
        <v>22210</v>
      </c>
      <c r="D10429" s="21" t="s">
        <v>9229</v>
      </c>
      <c r="E10429" s="22" t="str">
        <f>HYPERLINK("https://twitter.com/anmelos/status/922815444104257536","922815444104257536")</f>
        <v>922815444104257536</v>
      </c>
      <c r="F10429" s="23" t="s">
        <v>39</v>
      </c>
      <c r="G10429" s="24">
        <v>29531.0</v>
      </c>
      <c r="H10429" s="24">
        <v>32547.0</v>
      </c>
      <c r="I10429" s="24">
        <v>38.0</v>
      </c>
      <c r="J10429" s="24">
        <v>0.0</v>
      </c>
      <c r="K10429" s="23" t="s">
        <v>34</v>
      </c>
      <c r="L10429" s="25">
        <v>40260.39953703704</v>
      </c>
      <c r="M10429" s="26" t="s">
        <v>22211</v>
      </c>
      <c r="N10429" s="26" t="s">
        <v>22212</v>
      </c>
      <c r="O10429" s="22" t="str">
        <f>HYPERLINK("https://pbs.twimg.com/profile_images/895938503187365888/p7PegHqN_normal.jpg","View")</f>
        <v>View</v>
      </c>
      <c r="P10429" s="27"/>
    </row>
    <row r="10430">
      <c r="A10430" s="14">
        <v>43032.26560185185</v>
      </c>
      <c r="B10430" s="20" t="str">
        <f>HYPERLINK("https://twitter.com/tulanxiaoxiao","@tulanxiaoxiao")</f>
        <v>@tulanxiaoxiao</v>
      </c>
      <c r="C10430" s="21" t="s">
        <v>22213</v>
      </c>
      <c r="D10430" s="21" t="s">
        <v>8072</v>
      </c>
      <c r="E10430" s="22" t="str">
        <f>HYPERLINK("https://twitter.com/tulanxiaoxiao/status/922815558470590465","922815558470590465")</f>
        <v>922815558470590465</v>
      </c>
      <c r="F10430" s="23" t="s">
        <v>55</v>
      </c>
      <c r="G10430" s="24">
        <v>0.0</v>
      </c>
      <c r="H10430" s="24">
        <v>0.0</v>
      </c>
      <c r="I10430" s="24">
        <v>28.0</v>
      </c>
      <c r="J10430" s="24">
        <v>0.0</v>
      </c>
      <c r="K10430" s="23" t="s">
        <v>34</v>
      </c>
      <c r="L10430" s="25">
        <v>40668.037465277775</v>
      </c>
      <c r="M10430" s="28"/>
      <c r="N10430" s="28"/>
      <c r="O10430" s="22" t="str">
        <f>HYPERLINK("https://abs.twimg.com/sticky/default_profile_images/default_profile_normal.png","View")</f>
        <v>View</v>
      </c>
      <c r="P10430" s="27"/>
    </row>
    <row r="10431">
      <c r="A10431" s="14">
        <v>43032.26564814815</v>
      </c>
      <c r="B10431" s="20" t="str">
        <f>HYPERLINK("https://twitter.com/meredeth","@meredeth")</f>
        <v>@meredeth</v>
      </c>
      <c r="C10431" s="21" t="s">
        <v>22214</v>
      </c>
      <c r="D10431" s="21" t="s">
        <v>19621</v>
      </c>
      <c r="E10431" s="22" t="str">
        <f>HYPERLINK("https://twitter.com/meredeth/status/922815574853541889","922815574853541889")</f>
        <v>922815574853541889</v>
      </c>
      <c r="F10431" s="23" t="s">
        <v>22215</v>
      </c>
      <c r="G10431" s="24">
        <v>357.0</v>
      </c>
      <c r="H10431" s="24">
        <v>175.0</v>
      </c>
      <c r="I10431" s="24">
        <v>18.0</v>
      </c>
      <c r="J10431" s="24">
        <v>0.0</v>
      </c>
      <c r="K10431" s="23" t="s">
        <v>34</v>
      </c>
      <c r="L10431" s="25">
        <v>39706.649351851855</v>
      </c>
      <c r="M10431" s="26" t="s">
        <v>22216</v>
      </c>
      <c r="N10431" s="26" t="s">
        <v>22217</v>
      </c>
      <c r="O10431" s="22" t="str">
        <f>HYPERLINK("https://pbs.twimg.com/profile_images/887339486845251584/5G5Uyw87_normal.jpg","View")</f>
        <v>View</v>
      </c>
      <c r="P10431" s="27"/>
    </row>
    <row r="10432">
      <c r="A10432" s="14">
        <v>43032.26587962963</v>
      </c>
      <c r="B10432" s="20" t="str">
        <f>HYPERLINK("https://twitter.com/d3pash__","@d3pash__")</f>
        <v>@d3pash__</v>
      </c>
      <c r="C10432" s="21" t="s">
        <v>22218</v>
      </c>
      <c r="D10432" s="21" t="s">
        <v>32</v>
      </c>
      <c r="E10432" s="22" t="str">
        <f>HYPERLINK("https://twitter.com/d3pash__/status/922815659607805952","922815659607805952")</f>
        <v>922815659607805952</v>
      </c>
      <c r="F10432" s="23" t="s">
        <v>33</v>
      </c>
      <c r="G10432" s="24">
        <v>2614.0</v>
      </c>
      <c r="H10432" s="24">
        <v>1621.0</v>
      </c>
      <c r="I10432" s="24">
        <v>471.0</v>
      </c>
      <c r="J10432" s="24">
        <v>0.0</v>
      </c>
      <c r="K10432" s="23" t="s">
        <v>34</v>
      </c>
      <c r="L10432" s="25">
        <v>40803.13627314815</v>
      </c>
      <c r="M10432" s="28"/>
      <c r="N10432" s="26" t="s">
        <v>22219</v>
      </c>
      <c r="O10432" s="22" t="str">
        <f>HYPERLINK("https://pbs.twimg.com/profile_images/922929683137728512/_FMQrkQV_normal.jpg","View")</f>
        <v>View</v>
      </c>
      <c r="P10432" s="27"/>
    </row>
    <row r="10433">
      <c r="A10433" s="14">
        <v>43032.26611111111</v>
      </c>
      <c r="B10433" s="20" t="str">
        <f>HYPERLINK("https://twitter.com/bleschunga","@bleschunga")</f>
        <v>@bleschunga</v>
      </c>
      <c r="C10433" s="21" t="s">
        <v>22220</v>
      </c>
      <c r="D10433" s="21" t="s">
        <v>32</v>
      </c>
      <c r="E10433" s="22" t="str">
        <f>HYPERLINK("https://twitter.com/bleschunga/status/922815740985491456","922815740985491456")</f>
        <v>922815740985491456</v>
      </c>
      <c r="F10433" s="23" t="s">
        <v>39</v>
      </c>
      <c r="G10433" s="24">
        <v>481.0</v>
      </c>
      <c r="H10433" s="24">
        <v>470.0</v>
      </c>
      <c r="I10433" s="24">
        <v>471.0</v>
      </c>
      <c r="J10433" s="24">
        <v>0.0</v>
      </c>
      <c r="K10433" s="23" t="s">
        <v>34</v>
      </c>
      <c r="L10433" s="25">
        <v>42470.49511574074</v>
      </c>
      <c r="M10433" s="28"/>
      <c r="N10433" s="26" t="s">
        <v>22221</v>
      </c>
      <c r="O10433" s="22" t="str">
        <f>HYPERLINK("https://pbs.twimg.com/profile_images/922129064172732416/BTyg0ZCo_normal.jpg","View")</f>
        <v>View</v>
      </c>
      <c r="P10433" s="27"/>
    </row>
    <row r="10434">
      <c r="A10434" s="14">
        <v>43032.266435185185</v>
      </c>
      <c r="B10434" s="20" t="str">
        <f>HYPERLINK("https://twitter.com/tanselerdem4242","@tanselerdem4242")</f>
        <v>@tanselerdem4242</v>
      </c>
      <c r="C10434" s="21" t="s">
        <v>9462</v>
      </c>
      <c r="D10434" s="21" t="s">
        <v>15996</v>
      </c>
      <c r="E10434" s="22" t="str">
        <f>HYPERLINK("https://twitter.com/tanselerdem4242/status/922815858468098049","922815858468098049")</f>
        <v>922815858468098049</v>
      </c>
      <c r="F10434" s="23" t="s">
        <v>55</v>
      </c>
      <c r="G10434" s="24">
        <v>2924.0</v>
      </c>
      <c r="H10434" s="24">
        <v>3815.0</v>
      </c>
      <c r="I10434" s="24">
        <v>6.0</v>
      </c>
      <c r="J10434" s="24">
        <v>0.0</v>
      </c>
      <c r="K10434" s="23" t="s">
        <v>34</v>
      </c>
      <c r="L10434" s="25">
        <v>42110.22134259259</v>
      </c>
      <c r="M10434" s="28"/>
      <c r="N10434" s="26" t="s">
        <v>9464</v>
      </c>
      <c r="O10434" s="22" t="str">
        <f>HYPERLINK("https://pbs.twimg.com/profile_images/860973584864464897/BB_mhxeV_normal.jpg","View")</f>
        <v>View</v>
      </c>
      <c r="P10434" s="27"/>
    </row>
    <row r="10435">
      <c r="A10435" s="14">
        <v>43032.26701388889</v>
      </c>
      <c r="B10435" s="20" t="str">
        <f>HYPERLINK("https://twitter.com/DavendraSharm14","@DavendraSharm14")</f>
        <v>@DavendraSharm14</v>
      </c>
      <c r="C10435" s="21" t="s">
        <v>22222</v>
      </c>
      <c r="D10435" s="21" t="s">
        <v>42</v>
      </c>
      <c r="E10435" s="22" t="str">
        <f>HYPERLINK("https://twitter.com/DavendraSharm14/status/922816070569811968","922816070569811968")</f>
        <v>922816070569811968</v>
      </c>
      <c r="F10435" s="23" t="s">
        <v>33</v>
      </c>
      <c r="G10435" s="24">
        <v>4.0</v>
      </c>
      <c r="H10435" s="24">
        <v>119.0</v>
      </c>
      <c r="I10435" s="24">
        <v>8501.0</v>
      </c>
      <c r="J10435" s="24">
        <v>0.0</v>
      </c>
      <c r="K10435" s="23" t="s">
        <v>34</v>
      </c>
      <c r="L10435" s="25">
        <v>42907.42648148148</v>
      </c>
      <c r="M10435" s="28"/>
      <c r="N10435" s="28"/>
      <c r="O10435" s="22" t="str">
        <f>HYPERLINK("https://abs.twimg.com/sticky/default_profile_images/default_profile_normal.png","View")</f>
        <v>View</v>
      </c>
      <c r="P10435" s="27"/>
    </row>
    <row r="10436">
      <c r="A10436" s="14">
        <v>43032.26751157407</v>
      </c>
      <c r="B10436" s="20" t="str">
        <f>HYPERLINK("https://twitter.com/imkevalshah10","@imkevalshah10")</f>
        <v>@imkevalshah10</v>
      </c>
      <c r="C10436" s="21" t="s">
        <v>22223</v>
      </c>
      <c r="D10436" s="21" t="s">
        <v>42</v>
      </c>
      <c r="E10436" s="22" t="str">
        <f>HYPERLINK("https://twitter.com/imkevalshah10/status/922816250052468736","922816250052468736")</f>
        <v>922816250052468736</v>
      </c>
      <c r="F10436" s="23" t="s">
        <v>33</v>
      </c>
      <c r="G10436" s="24">
        <v>41.0</v>
      </c>
      <c r="H10436" s="24">
        <v>133.0</v>
      </c>
      <c r="I10436" s="24">
        <v>8501.0</v>
      </c>
      <c r="J10436" s="24">
        <v>0.0</v>
      </c>
      <c r="K10436" s="23" t="s">
        <v>34</v>
      </c>
      <c r="L10436" s="25">
        <v>42845.98086805556</v>
      </c>
      <c r="M10436" s="26" t="s">
        <v>22224</v>
      </c>
      <c r="N10436" s="26" t="s">
        <v>22225</v>
      </c>
      <c r="O10436" s="22" t="str">
        <f>HYPERLINK("https://pbs.twimg.com/profile_images/920628843001479169/DcSK0_9-_normal.jpg","View")</f>
        <v>View</v>
      </c>
      <c r="P10436" s="27"/>
    </row>
    <row r="10437">
      <c r="A10437" s="14">
        <v>43032.26773148148</v>
      </c>
      <c r="B10437" s="20" t="str">
        <f>HYPERLINK("https://twitter.com/tulanxiaoxiao","@tulanxiaoxiao")</f>
        <v>@tulanxiaoxiao</v>
      </c>
      <c r="C10437" s="21" t="s">
        <v>22213</v>
      </c>
      <c r="D10437" s="21" t="s">
        <v>9700</v>
      </c>
      <c r="E10437" s="22" t="str">
        <f>HYPERLINK("https://twitter.com/tulanxiaoxiao/status/922816329631064064","922816329631064064")</f>
        <v>922816329631064064</v>
      </c>
      <c r="F10437" s="23" t="s">
        <v>55</v>
      </c>
      <c r="G10437" s="24">
        <v>0.0</v>
      </c>
      <c r="H10437" s="24">
        <v>0.0</v>
      </c>
      <c r="I10437" s="24">
        <v>46.0</v>
      </c>
      <c r="J10437" s="24">
        <v>0.0</v>
      </c>
      <c r="K10437" s="23" t="s">
        <v>34</v>
      </c>
      <c r="L10437" s="25">
        <v>40668.037465277775</v>
      </c>
      <c r="M10437" s="28"/>
      <c r="N10437" s="28"/>
      <c r="O10437" s="22" t="str">
        <f>HYPERLINK("https://abs.twimg.com/sticky/default_profile_images/default_profile_normal.png","View")</f>
        <v>View</v>
      </c>
      <c r="P10437" s="27"/>
    </row>
    <row r="10438">
      <c r="A10438" s="14">
        <v>43032.268483796295</v>
      </c>
      <c r="B10438" s="20" t="str">
        <f>HYPERLINK("https://twitter.com/AligholiShahnaz","@AligholiShahnaz")</f>
        <v>@AligholiShahnaz</v>
      </c>
      <c r="C10438" s="21" t="s">
        <v>22226</v>
      </c>
      <c r="D10438" s="21" t="s">
        <v>21202</v>
      </c>
      <c r="E10438" s="22" t="str">
        <f>HYPERLINK("https://twitter.com/AligholiShahnaz/status/922816599417012224","922816599417012224")</f>
        <v>922816599417012224</v>
      </c>
      <c r="F10438" s="23" t="s">
        <v>86</v>
      </c>
      <c r="G10438" s="24">
        <v>176.0</v>
      </c>
      <c r="H10438" s="24">
        <v>133.0</v>
      </c>
      <c r="I10438" s="24">
        <v>79.0</v>
      </c>
      <c r="J10438" s="24">
        <v>0.0</v>
      </c>
      <c r="K10438" s="23" t="s">
        <v>34</v>
      </c>
      <c r="L10438" s="25">
        <v>41773.3665625</v>
      </c>
      <c r="M10438" s="26" t="s">
        <v>334</v>
      </c>
      <c r="N10438" s="26" t="s">
        <v>22227</v>
      </c>
      <c r="O10438" s="22" t="str">
        <f>HYPERLINK("https://pbs.twimg.com/profile_images/466852999910801408/mdWCbFlh_normal.jpeg","View")</f>
        <v>View</v>
      </c>
      <c r="P10438" s="27"/>
    </row>
    <row r="10439">
      <c r="A10439" s="14">
        <v>43032.26849537037</v>
      </c>
      <c r="B10439" s="20" t="str">
        <f>HYPERLINK("https://twitter.com/fredr1234","@fredr1234")</f>
        <v>@fredr1234</v>
      </c>
      <c r="C10439" s="21" t="s">
        <v>22228</v>
      </c>
      <c r="D10439" s="21" t="s">
        <v>16537</v>
      </c>
      <c r="E10439" s="22" t="str">
        <f>HYPERLINK("https://twitter.com/fredr1234/status/922816605997985795","922816605997985795")</f>
        <v>922816605997985795</v>
      </c>
      <c r="F10439" s="23" t="s">
        <v>39</v>
      </c>
      <c r="G10439" s="24">
        <v>25.0</v>
      </c>
      <c r="H10439" s="24">
        <v>129.0</v>
      </c>
      <c r="I10439" s="24">
        <v>242.0</v>
      </c>
      <c r="J10439" s="24">
        <v>0.0</v>
      </c>
      <c r="K10439" s="23" t="s">
        <v>34</v>
      </c>
      <c r="L10439" s="25">
        <v>39919.40645833333</v>
      </c>
      <c r="M10439" s="28"/>
      <c r="N10439" s="28"/>
      <c r="O10439" s="22" t="str">
        <f t="shared" ref="O10439:O10440" si="240">HYPERLINK("https://abs.twimg.com/sticky/default_profile_images/default_profile_normal.png","View")</f>
        <v>View</v>
      </c>
      <c r="P10439" s="27"/>
    </row>
    <row r="10440">
      <c r="A10440" s="14">
        <v>43032.268796296295</v>
      </c>
      <c r="B10440" s="20" t="str">
        <f>HYPERLINK("https://twitter.com/RafeeqA87605137","@RafeeqA87605137")</f>
        <v>@RafeeqA87605137</v>
      </c>
      <c r="C10440" s="21" t="s">
        <v>22229</v>
      </c>
      <c r="D10440" s="21" t="s">
        <v>42</v>
      </c>
      <c r="E10440" s="22" t="str">
        <f>HYPERLINK("https://twitter.com/RafeeqA87605137/status/922816714949017601","922816714949017601")</f>
        <v>922816714949017601</v>
      </c>
      <c r="F10440" s="23" t="s">
        <v>33</v>
      </c>
      <c r="G10440" s="24">
        <v>1.0</v>
      </c>
      <c r="H10440" s="24">
        <v>70.0</v>
      </c>
      <c r="I10440" s="24">
        <v>8501.0</v>
      </c>
      <c r="J10440" s="24">
        <v>0.0</v>
      </c>
      <c r="K10440" s="23" t="s">
        <v>34</v>
      </c>
      <c r="L10440" s="25">
        <v>42963.32847222222</v>
      </c>
      <c r="M10440" s="28"/>
      <c r="N10440" s="28"/>
      <c r="O10440" s="22" t="str">
        <f t="shared" si="240"/>
        <v>View</v>
      </c>
      <c r="P10440" s="27"/>
    </row>
    <row r="10441">
      <c r="A10441" s="14">
        <v>43032.26913194444</v>
      </c>
      <c r="B10441" s="20" t="str">
        <f>HYPERLINK("https://twitter.com/AligholiShahnaz","@AligholiShahnaz")</f>
        <v>@AligholiShahnaz</v>
      </c>
      <c r="C10441" s="21" t="s">
        <v>22226</v>
      </c>
      <c r="D10441" s="21" t="s">
        <v>21203</v>
      </c>
      <c r="E10441" s="22" t="str">
        <f>HYPERLINK("https://twitter.com/AligholiShahnaz/status/922816834520301569","922816834520301569")</f>
        <v>922816834520301569</v>
      </c>
      <c r="F10441" s="23" t="s">
        <v>86</v>
      </c>
      <c r="G10441" s="24">
        <v>176.0</v>
      </c>
      <c r="H10441" s="24">
        <v>133.0</v>
      </c>
      <c r="I10441" s="24">
        <v>75.0</v>
      </c>
      <c r="J10441" s="24">
        <v>0.0</v>
      </c>
      <c r="K10441" s="23" t="s">
        <v>34</v>
      </c>
      <c r="L10441" s="25">
        <v>41773.3665625</v>
      </c>
      <c r="M10441" s="26" t="s">
        <v>334</v>
      </c>
      <c r="N10441" s="26" t="s">
        <v>22227</v>
      </c>
      <c r="O10441" s="22" t="str">
        <f>HYPERLINK("https://pbs.twimg.com/profile_images/466852999910801408/mdWCbFlh_normal.jpeg","View")</f>
        <v>View</v>
      </c>
      <c r="P10441" s="27"/>
    </row>
    <row r="10442">
      <c r="A10442" s="14">
        <v>43032.26960648148</v>
      </c>
      <c r="B10442" s="20" t="str">
        <f>HYPERLINK("https://twitter.com/theknifemedia","@theknifemedia")</f>
        <v>@theknifemedia</v>
      </c>
      <c r="C10442" s="21" t="s">
        <v>8367</v>
      </c>
      <c r="D10442" s="21" t="s">
        <v>22230</v>
      </c>
      <c r="E10442" s="22" t="str">
        <f>HYPERLINK("https://twitter.com/theknifemedia/status/922817008625946624","922817008625946624")</f>
        <v>922817008625946624</v>
      </c>
      <c r="F10442" s="23" t="s">
        <v>4619</v>
      </c>
      <c r="G10442" s="24">
        <v>3088.0</v>
      </c>
      <c r="H10442" s="24">
        <v>1604.0</v>
      </c>
      <c r="I10442" s="24">
        <v>1.0</v>
      </c>
      <c r="J10442" s="24">
        <v>1.0</v>
      </c>
      <c r="K10442" s="23" t="s">
        <v>34</v>
      </c>
      <c r="L10442" s="25">
        <v>42275.53983796296</v>
      </c>
      <c r="M10442" s="28"/>
      <c r="N10442" s="26" t="s">
        <v>8369</v>
      </c>
      <c r="O10442" s="22" t="str">
        <f>HYPERLINK("https://pbs.twimg.com/profile_images/884501064657121280/_jMX1apl_normal.jpg","View")</f>
        <v>View</v>
      </c>
      <c r="P10442" s="27"/>
    </row>
    <row r="10443">
      <c r="A10443" s="14">
        <v>43032.269641203704</v>
      </c>
      <c r="B10443" s="20" t="str">
        <f>HYPERLINK("https://twitter.com/tulanxiaoxiao","@tulanxiaoxiao")</f>
        <v>@tulanxiaoxiao</v>
      </c>
      <c r="C10443" s="21" t="s">
        <v>22213</v>
      </c>
      <c r="D10443" s="21" t="s">
        <v>10972</v>
      </c>
      <c r="E10443" s="22" t="str">
        <f>HYPERLINK("https://twitter.com/tulanxiaoxiao/status/922817020923645952","922817020923645952")</f>
        <v>922817020923645952</v>
      </c>
      <c r="F10443" s="23" t="s">
        <v>55</v>
      </c>
      <c r="G10443" s="24">
        <v>0.0</v>
      </c>
      <c r="H10443" s="24">
        <v>0.0</v>
      </c>
      <c r="I10443" s="24">
        <v>55.0</v>
      </c>
      <c r="J10443" s="24">
        <v>0.0</v>
      </c>
      <c r="K10443" s="23" t="s">
        <v>34</v>
      </c>
      <c r="L10443" s="25">
        <v>40668.037465277775</v>
      </c>
      <c r="M10443" s="28"/>
      <c r="N10443" s="28"/>
      <c r="O10443" s="22" t="str">
        <f>HYPERLINK("https://abs.twimg.com/sticky/default_profile_images/default_profile_normal.png","View")</f>
        <v>View</v>
      </c>
      <c r="P10443" s="27"/>
    </row>
    <row r="10444">
      <c r="A10444" s="14">
        <v>43032.26971064815</v>
      </c>
      <c r="B10444" s="20" t="str">
        <f>HYPERLINK("https://twitter.com/abdolgkderhashe","@abdolgkderhashe")</f>
        <v>@abdolgkderhashe</v>
      </c>
      <c r="C10444" s="21" t="s">
        <v>22231</v>
      </c>
      <c r="D10444" s="21" t="s">
        <v>21202</v>
      </c>
      <c r="E10444" s="22" t="str">
        <f>HYPERLINK("https://twitter.com/abdolgkderhashe/status/922817046303387649","922817046303387649")</f>
        <v>922817046303387649</v>
      </c>
      <c r="F10444" s="23" t="s">
        <v>86</v>
      </c>
      <c r="G10444" s="24">
        <v>239.0</v>
      </c>
      <c r="H10444" s="24">
        <v>144.0</v>
      </c>
      <c r="I10444" s="24">
        <v>79.0</v>
      </c>
      <c r="J10444" s="24">
        <v>0.0</v>
      </c>
      <c r="K10444" s="23" t="s">
        <v>34</v>
      </c>
      <c r="L10444" s="25">
        <v>41774.296747685185</v>
      </c>
      <c r="M10444" s="26" t="s">
        <v>8333</v>
      </c>
      <c r="N10444" s="26" t="s">
        <v>22232</v>
      </c>
      <c r="O10444" s="22" t="str">
        <f>HYPERLINK("https://pbs.twimg.com/profile_images/470201504222027777/eXxdBf6X_normal.jpeg","View")</f>
        <v>View</v>
      </c>
      <c r="P10444" s="27"/>
    </row>
    <row r="10445">
      <c r="A10445" s="14">
        <v>43032.269733796296</v>
      </c>
      <c r="B10445" s="20" t="str">
        <f>HYPERLINK("https://twitter.com/ETFDAILYNEWS","@ETFDAILYNEWS")</f>
        <v>@ETFDAILYNEWS</v>
      </c>
      <c r="C10445" s="21" t="s">
        <v>22233</v>
      </c>
      <c r="D10445" s="21" t="s">
        <v>22234</v>
      </c>
      <c r="E10445" s="22" t="str">
        <f>HYPERLINK("https://twitter.com/ETFDAILYNEWS/status/922817054511546368","922817054511546368")</f>
        <v>922817054511546368</v>
      </c>
      <c r="F10445" s="23" t="s">
        <v>22233</v>
      </c>
      <c r="G10445" s="24">
        <v>8732.0</v>
      </c>
      <c r="H10445" s="24">
        <v>106.0</v>
      </c>
      <c r="I10445" s="24">
        <v>0.0</v>
      </c>
      <c r="J10445" s="24">
        <v>0.0</v>
      </c>
      <c r="K10445" s="23" t="s">
        <v>34</v>
      </c>
      <c r="L10445" s="25">
        <v>39918.393275462964</v>
      </c>
      <c r="M10445" s="26" t="s">
        <v>10709</v>
      </c>
      <c r="N10445" s="26" t="s">
        <v>22235</v>
      </c>
      <c r="O10445" s="22" t="str">
        <f>HYPERLINK("https://pbs.twimg.com/profile_images/1144216540/yinyang_sihlouette_normal.png","View")</f>
        <v>View</v>
      </c>
      <c r="P10445" s="27"/>
    </row>
    <row r="10446">
      <c r="A10446" s="14">
        <v>43032.27033564815</v>
      </c>
      <c r="B10446" s="20" t="str">
        <f>HYPERLINK("https://twitter.com/CaseyBillX","@CaseyBillX")</f>
        <v>@CaseyBillX</v>
      </c>
      <c r="C10446" s="21" t="s">
        <v>3108</v>
      </c>
      <c r="D10446" s="21" t="s">
        <v>21202</v>
      </c>
      <c r="E10446" s="22" t="str">
        <f>HYPERLINK("https://twitter.com/CaseyBillX/status/922817271008858113","922817271008858113")</f>
        <v>922817271008858113</v>
      </c>
      <c r="F10446" s="23" t="s">
        <v>3109</v>
      </c>
      <c r="G10446" s="24">
        <v>2331.0</v>
      </c>
      <c r="H10446" s="24">
        <v>5001.0</v>
      </c>
      <c r="I10446" s="24">
        <v>79.0</v>
      </c>
      <c r="J10446" s="24">
        <v>0.0</v>
      </c>
      <c r="K10446" s="23" t="s">
        <v>34</v>
      </c>
      <c r="L10446" s="25">
        <v>42997.15302083333</v>
      </c>
      <c r="M10446" s="28"/>
      <c r="N10446" s="28"/>
      <c r="O10446" s="22" t="str">
        <f>HYPERLINK("https://pbs.twimg.com/profile_images/910103474003525633/_kzNa9NX_normal.jpg","View")</f>
        <v>View</v>
      </c>
      <c r="P10446" s="27"/>
    </row>
    <row r="10447">
      <c r="A10447" s="14">
        <v>43032.27034722222</v>
      </c>
      <c r="B10447" s="20" t="str">
        <f>HYPERLINK("https://twitter.com/abdolgkderhashe","@abdolgkderhashe")</f>
        <v>@abdolgkderhashe</v>
      </c>
      <c r="C10447" s="21" t="s">
        <v>22231</v>
      </c>
      <c r="D10447" s="21" t="s">
        <v>21203</v>
      </c>
      <c r="E10447" s="22" t="str">
        <f>HYPERLINK("https://twitter.com/abdolgkderhashe/status/922817278101647361","922817278101647361")</f>
        <v>922817278101647361</v>
      </c>
      <c r="F10447" s="23" t="s">
        <v>86</v>
      </c>
      <c r="G10447" s="24">
        <v>239.0</v>
      </c>
      <c r="H10447" s="24">
        <v>144.0</v>
      </c>
      <c r="I10447" s="24">
        <v>75.0</v>
      </c>
      <c r="J10447" s="24">
        <v>0.0</v>
      </c>
      <c r="K10447" s="23" t="s">
        <v>34</v>
      </c>
      <c r="L10447" s="25">
        <v>41774.296747685185</v>
      </c>
      <c r="M10447" s="26" t="s">
        <v>8333</v>
      </c>
      <c r="N10447" s="26" t="s">
        <v>22232</v>
      </c>
      <c r="O10447" s="22" t="str">
        <f>HYPERLINK("https://pbs.twimg.com/profile_images/470201504222027777/eXxdBf6X_normal.jpeg","View")</f>
        <v>View</v>
      </c>
      <c r="P10447" s="27"/>
    </row>
    <row r="10448">
      <c r="A10448" s="14">
        <v>43032.27059027778</v>
      </c>
      <c r="B10448" s="20" t="str">
        <f>HYPERLINK("https://twitter.com/jasonltradr","@jasonltradr")</f>
        <v>@jasonltradr</v>
      </c>
      <c r="C10448" s="21" t="s">
        <v>22236</v>
      </c>
      <c r="D10448" s="21" t="s">
        <v>22237</v>
      </c>
      <c r="E10448" s="22" t="str">
        <f>HYPERLINK("https://twitter.com/jasonltradr/status/922817366156894208","922817366156894208")</f>
        <v>922817366156894208</v>
      </c>
      <c r="F10448" s="23" t="s">
        <v>39</v>
      </c>
      <c r="G10448" s="24">
        <v>24199.0</v>
      </c>
      <c r="H10448" s="24">
        <v>5126.0</v>
      </c>
      <c r="I10448" s="24">
        <v>1.0</v>
      </c>
      <c r="J10448" s="24">
        <v>0.0</v>
      </c>
      <c r="K10448" s="23" t="s">
        <v>34</v>
      </c>
      <c r="L10448" s="25">
        <v>41553.468923611115</v>
      </c>
      <c r="M10448" s="28"/>
      <c r="N10448" s="26" t="s">
        <v>22238</v>
      </c>
      <c r="O10448" s="22" t="str">
        <f>HYPERLINK("https://pbs.twimg.com/profile_images/825412425864400898/7fTpSyoZ_normal.jpg","View")</f>
        <v>View</v>
      </c>
      <c r="P10448" s="27"/>
    </row>
    <row r="10449">
      <c r="A10449" s="14">
        <v>43032.27077546297</v>
      </c>
      <c r="B10449" s="20" t="str">
        <f>HYPERLINK("https://twitter.com/nfLyWOZEd8iK8Lp","@nfLyWOZEd8iK8Lp")</f>
        <v>@nfLyWOZEd8iK8Lp</v>
      </c>
      <c r="C10449" s="21" t="s">
        <v>22239</v>
      </c>
      <c r="D10449" s="21" t="s">
        <v>18248</v>
      </c>
      <c r="E10449" s="22" t="str">
        <f>HYPERLINK("https://twitter.com/nfLyWOZEd8iK8Lp/status/922817433399734272","922817433399734272")</f>
        <v>922817433399734272</v>
      </c>
      <c r="F10449" s="23" t="s">
        <v>55</v>
      </c>
      <c r="G10449" s="24">
        <v>0.0</v>
      </c>
      <c r="H10449" s="24">
        <v>30.0</v>
      </c>
      <c r="I10449" s="24">
        <v>117.0</v>
      </c>
      <c r="J10449" s="24">
        <v>0.0</v>
      </c>
      <c r="K10449" s="23" t="s">
        <v>34</v>
      </c>
      <c r="L10449" s="25">
        <v>42992.29064814815</v>
      </c>
      <c r="M10449" s="28"/>
      <c r="N10449" s="28"/>
      <c r="O10449" s="22" t="str">
        <f>HYPERLINK("https://abs.twimg.com/sticky/default_profile_images/default_profile_normal.png","View")</f>
        <v>View</v>
      </c>
      <c r="P10449" s="27"/>
    </row>
    <row r="10450">
      <c r="A10450" s="14">
        <v>43032.271006944444</v>
      </c>
      <c r="B10450" s="20" t="str">
        <f>HYPERLINK("https://twitter.com/abdolgkderhashe","@abdolgkderhashe")</f>
        <v>@abdolgkderhashe</v>
      </c>
      <c r="C10450" s="21" t="s">
        <v>22231</v>
      </c>
      <c r="D10450" s="21" t="s">
        <v>21243</v>
      </c>
      <c r="E10450" s="22" t="str">
        <f>HYPERLINK("https://twitter.com/abdolgkderhashe/status/922817516052901888","922817516052901888")</f>
        <v>922817516052901888</v>
      </c>
      <c r="F10450" s="23" t="s">
        <v>86</v>
      </c>
      <c r="G10450" s="24">
        <v>239.0</v>
      </c>
      <c r="H10450" s="24">
        <v>144.0</v>
      </c>
      <c r="I10450" s="24">
        <v>41.0</v>
      </c>
      <c r="J10450" s="24">
        <v>0.0</v>
      </c>
      <c r="K10450" s="23" t="s">
        <v>34</v>
      </c>
      <c r="L10450" s="25">
        <v>41774.296747685185</v>
      </c>
      <c r="M10450" s="26" t="s">
        <v>8333</v>
      </c>
      <c r="N10450" s="26" t="s">
        <v>22232</v>
      </c>
      <c r="O10450" s="22" t="str">
        <f>HYPERLINK("https://pbs.twimg.com/profile_images/470201504222027777/eXxdBf6X_normal.jpeg","View")</f>
        <v>View</v>
      </c>
      <c r="P10450" s="27"/>
    </row>
    <row r="10451">
      <c r="A10451" s="14">
        <v>43032.2710300926</v>
      </c>
      <c r="B10451" s="20" t="str">
        <f>HYPERLINK("https://twitter.com/WisdomTreeETFs","@WisdomTreeETFs")</f>
        <v>@WisdomTreeETFs</v>
      </c>
      <c r="C10451" s="21" t="s">
        <v>22240</v>
      </c>
      <c r="D10451" s="21" t="s">
        <v>22241</v>
      </c>
      <c r="E10451" s="22" t="str">
        <f>HYPERLINK("https://twitter.com/WisdomTreeETFs/status/922817523560603648","922817523560603648")</f>
        <v>922817523560603648</v>
      </c>
      <c r="F10451" s="23" t="s">
        <v>427</v>
      </c>
      <c r="G10451" s="24">
        <v>258010.0</v>
      </c>
      <c r="H10451" s="24">
        <v>383.0</v>
      </c>
      <c r="I10451" s="24">
        <v>0.0</v>
      </c>
      <c r="J10451" s="24">
        <v>1.0</v>
      </c>
      <c r="K10451" s="23" t="s">
        <v>34</v>
      </c>
      <c r="L10451" s="25">
        <v>40003.278599537036</v>
      </c>
      <c r="M10451" s="26" t="s">
        <v>120</v>
      </c>
      <c r="N10451" s="26" t="s">
        <v>22242</v>
      </c>
      <c r="O10451" s="22" t="str">
        <f>HYPERLINK("https://pbs.twimg.com/profile_images/832286570380079105/fZbav0Ly_normal.jpg","View")</f>
        <v>View</v>
      </c>
      <c r="P10451" s="27"/>
    </row>
    <row r="10452">
      <c r="A10452" s="14">
        <v>43032.27166666667</v>
      </c>
      <c r="B10452" s="20" t="str">
        <f>HYPERLINK("https://twitter.com/abdolgkderhashe","@abdolgkderhashe")</f>
        <v>@abdolgkderhashe</v>
      </c>
      <c r="C10452" s="21" t="s">
        <v>22231</v>
      </c>
      <c r="D10452" s="21" t="s">
        <v>21191</v>
      </c>
      <c r="E10452" s="22" t="str">
        <f>HYPERLINK("https://twitter.com/abdolgkderhashe/status/922817752678785031","922817752678785031")</f>
        <v>922817752678785031</v>
      </c>
      <c r="F10452" s="23" t="s">
        <v>86</v>
      </c>
      <c r="G10452" s="24">
        <v>239.0</v>
      </c>
      <c r="H10452" s="24">
        <v>144.0</v>
      </c>
      <c r="I10452" s="24">
        <v>42.0</v>
      </c>
      <c r="J10452" s="24">
        <v>0.0</v>
      </c>
      <c r="K10452" s="23" t="s">
        <v>34</v>
      </c>
      <c r="L10452" s="25">
        <v>41774.296747685185</v>
      </c>
      <c r="M10452" s="26" t="s">
        <v>8333</v>
      </c>
      <c r="N10452" s="26" t="s">
        <v>22232</v>
      </c>
      <c r="O10452" s="22" t="str">
        <f>HYPERLINK("https://pbs.twimg.com/profile_images/470201504222027777/eXxdBf6X_normal.jpeg","View")</f>
        <v>View</v>
      </c>
      <c r="P10452" s="27"/>
    </row>
    <row r="10453">
      <c r="A10453" s="14">
        <v>43032.27173611111</v>
      </c>
      <c r="B10453" s="20" t="str">
        <f>HYPERLINK("https://twitter.com/18dMedia","@18dMedia")</f>
        <v>@18dMedia</v>
      </c>
      <c r="C10453" s="21" t="s">
        <v>22243</v>
      </c>
      <c r="D10453" s="21" t="s">
        <v>22244</v>
      </c>
      <c r="E10453" s="22" t="str">
        <f>HYPERLINK("https://twitter.com/18dMedia/status/922817778293260288","922817778293260288")</f>
        <v>922817778293260288</v>
      </c>
      <c r="F10453" s="30" t="s">
        <v>411</v>
      </c>
      <c r="G10453" s="24">
        <v>25473.0</v>
      </c>
      <c r="H10453" s="24">
        <v>4139.0</v>
      </c>
      <c r="I10453" s="24">
        <v>4.0</v>
      </c>
      <c r="J10453" s="24">
        <v>2.0</v>
      </c>
      <c r="K10453" s="23" t="s">
        <v>34</v>
      </c>
      <c r="L10453" s="25">
        <v>40826.503171296295</v>
      </c>
      <c r="M10453" s="26" t="s">
        <v>6779</v>
      </c>
      <c r="N10453" s="26" t="s">
        <v>22245</v>
      </c>
      <c r="O10453" s="22" t="str">
        <f>HYPERLINK("https://pbs.twimg.com/profile_images/2744357128/b68d5855744ee19a324ffad2e86ebef3_normal.png","View")</f>
        <v>View</v>
      </c>
      <c r="P10453" s="27"/>
    </row>
    <row r="10454">
      <c r="A10454" s="14">
        <v>43032.27333333333</v>
      </c>
      <c r="B10454" s="20" t="str">
        <f t="shared" ref="B10454:B10455" si="241">HYPERLINK("https://twitter.com/FreeIran_92","@FreeIran_92")</f>
        <v>@FreeIran_92</v>
      </c>
      <c r="C10454" s="21" t="s">
        <v>22246</v>
      </c>
      <c r="D10454" s="21" t="s">
        <v>21202</v>
      </c>
      <c r="E10454" s="22" t="str">
        <f>HYPERLINK("https://twitter.com/FreeIran_92/status/922818360680759296","922818360680759296")</f>
        <v>922818360680759296</v>
      </c>
      <c r="F10454" s="23" t="s">
        <v>86</v>
      </c>
      <c r="G10454" s="24">
        <v>548.0</v>
      </c>
      <c r="H10454" s="24">
        <v>454.0</v>
      </c>
      <c r="I10454" s="24">
        <v>79.0</v>
      </c>
      <c r="J10454" s="24">
        <v>0.0</v>
      </c>
      <c r="K10454" s="23" t="s">
        <v>34</v>
      </c>
      <c r="L10454" s="25">
        <v>41471.46438657407</v>
      </c>
      <c r="M10454" s="26" t="s">
        <v>40</v>
      </c>
      <c r="N10454" s="26" t="s">
        <v>21141</v>
      </c>
      <c r="O10454" s="22" t="str">
        <f t="shared" ref="O10454:O10455" si="242">HYPERLINK("https://pbs.twimg.com/profile_images/378800000170508781/00100e951a331f278f462b3d5d761e62_normal.jpeg","View")</f>
        <v>View</v>
      </c>
      <c r="P10454" s="27"/>
    </row>
    <row r="10455">
      <c r="A10455" s="14">
        <v>43032.273981481485</v>
      </c>
      <c r="B10455" s="20" t="str">
        <f t="shared" si="241"/>
        <v>@FreeIran_92</v>
      </c>
      <c r="C10455" s="21" t="s">
        <v>22246</v>
      </c>
      <c r="D10455" s="21" t="s">
        <v>21203</v>
      </c>
      <c r="E10455" s="22" t="str">
        <f>HYPERLINK("https://twitter.com/FreeIran_92/status/922818595029106688","922818595029106688")</f>
        <v>922818595029106688</v>
      </c>
      <c r="F10455" s="23" t="s">
        <v>86</v>
      </c>
      <c r="G10455" s="24">
        <v>548.0</v>
      </c>
      <c r="H10455" s="24">
        <v>454.0</v>
      </c>
      <c r="I10455" s="24">
        <v>75.0</v>
      </c>
      <c r="J10455" s="24">
        <v>0.0</v>
      </c>
      <c r="K10455" s="23" t="s">
        <v>34</v>
      </c>
      <c r="L10455" s="25">
        <v>41471.46438657407</v>
      </c>
      <c r="M10455" s="26" t="s">
        <v>40</v>
      </c>
      <c r="N10455" s="26" t="s">
        <v>21141</v>
      </c>
      <c r="O10455" s="22" t="str">
        <f t="shared" si="242"/>
        <v>View</v>
      </c>
      <c r="P10455" s="27"/>
    </row>
    <row r="10456">
      <c r="A10456" s="14">
        <v>43032.27449074074</v>
      </c>
      <c r="B10456" s="20" t="str">
        <f>HYPERLINK("https://twitter.com/RawDawgBuffalo","@RawDawgBuffalo")</f>
        <v>@RawDawgBuffalo</v>
      </c>
      <c r="C10456" s="21" t="s">
        <v>22247</v>
      </c>
      <c r="D10456" s="21" t="s">
        <v>22248</v>
      </c>
      <c r="E10456" s="22" t="str">
        <f>HYPERLINK("https://twitter.com/RawDawgBuffalo/status/922818777070424064","922818777070424064")</f>
        <v>922818777070424064</v>
      </c>
      <c r="F10456" s="23" t="s">
        <v>55</v>
      </c>
      <c r="G10456" s="24">
        <v>8263.0</v>
      </c>
      <c r="H10456" s="24">
        <v>163.0</v>
      </c>
      <c r="I10456" s="24">
        <v>0.0</v>
      </c>
      <c r="J10456" s="24">
        <v>0.0</v>
      </c>
      <c r="K10456" s="23" t="s">
        <v>34</v>
      </c>
      <c r="L10456" s="25">
        <v>39663.797268518516</v>
      </c>
      <c r="M10456" s="26" t="s">
        <v>22249</v>
      </c>
      <c r="N10456" s="26" t="s">
        <v>22250</v>
      </c>
      <c r="O10456" s="22" t="str">
        <f>HYPERLINK("https://pbs.twimg.com/profile_images/922817035423195142/Y-7eevqz_normal.jpg","View")</f>
        <v>View</v>
      </c>
      <c r="P10456" s="27"/>
    </row>
    <row r="10457">
      <c r="A10457" s="14">
        <v>43032.274629629625</v>
      </c>
      <c r="B10457" s="20" t="str">
        <f>HYPERLINK("https://twitter.com/FreeIran_92","@FreeIran_92")</f>
        <v>@FreeIran_92</v>
      </c>
      <c r="C10457" s="21" t="s">
        <v>22246</v>
      </c>
      <c r="D10457" s="21" t="s">
        <v>21243</v>
      </c>
      <c r="E10457" s="22" t="str">
        <f>HYPERLINK("https://twitter.com/FreeIran_92/status/922818830157602822","922818830157602822")</f>
        <v>922818830157602822</v>
      </c>
      <c r="F10457" s="23" t="s">
        <v>86</v>
      </c>
      <c r="G10457" s="24">
        <v>548.0</v>
      </c>
      <c r="H10457" s="24">
        <v>454.0</v>
      </c>
      <c r="I10457" s="24">
        <v>41.0</v>
      </c>
      <c r="J10457" s="24">
        <v>0.0</v>
      </c>
      <c r="K10457" s="23" t="s">
        <v>34</v>
      </c>
      <c r="L10457" s="25">
        <v>41471.46438657407</v>
      </c>
      <c r="M10457" s="26" t="s">
        <v>40</v>
      </c>
      <c r="N10457" s="26" t="s">
        <v>21141</v>
      </c>
      <c r="O10457" s="22" t="str">
        <f>HYPERLINK("https://pbs.twimg.com/profile_images/378800000170508781/00100e951a331f278f462b3d5d761e62_normal.jpeg","View")</f>
        <v>View</v>
      </c>
      <c r="P10457" s="27"/>
    </row>
    <row r="10458">
      <c r="A10458" s="14">
        <v>43032.27527777778</v>
      </c>
      <c r="B10458" s="20" t="str">
        <f>HYPERLINK("https://twitter.com/Rajkuma60032708","@Rajkuma60032708")</f>
        <v>@Rajkuma60032708</v>
      </c>
      <c r="C10458" s="21" t="s">
        <v>22251</v>
      </c>
      <c r="D10458" s="21" t="s">
        <v>42</v>
      </c>
      <c r="E10458" s="22" t="str">
        <f>HYPERLINK("https://twitter.com/Rajkuma60032708/status/922819063625084928","922819063625084928")</f>
        <v>922819063625084928</v>
      </c>
      <c r="F10458" s="23" t="s">
        <v>33</v>
      </c>
      <c r="G10458" s="24">
        <v>35.0</v>
      </c>
      <c r="H10458" s="24">
        <v>254.0</v>
      </c>
      <c r="I10458" s="24">
        <v>8501.0</v>
      </c>
      <c r="J10458" s="24">
        <v>0.0</v>
      </c>
      <c r="K10458" s="23" t="s">
        <v>34</v>
      </c>
      <c r="L10458" s="25">
        <v>42839.054560185185</v>
      </c>
      <c r="M10458" s="26" t="s">
        <v>7423</v>
      </c>
      <c r="N10458" s="26" t="s">
        <v>22252</v>
      </c>
      <c r="O10458" s="22" t="str">
        <f>HYPERLINK("https://pbs.twimg.com/profile_images/899929868908937216/xEiBWVCm_normal.jpg","View")</f>
        <v>View</v>
      </c>
      <c r="P10458" s="27"/>
    </row>
    <row r="10459">
      <c r="A10459" s="14">
        <v>43032.27527777778</v>
      </c>
      <c r="B10459" s="20" t="str">
        <f>HYPERLINK("https://twitter.com/FreeIran_92","@FreeIran_92")</f>
        <v>@FreeIran_92</v>
      </c>
      <c r="C10459" s="21" t="s">
        <v>22246</v>
      </c>
      <c r="D10459" s="21" t="s">
        <v>21191</v>
      </c>
      <c r="E10459" s="22" t="str">
        <f>HYPERLINK("https://twitter.com/FreeIran_92/status/922819064719740928","922819064719740928")</f>
        <v>922819064719740928</v>
      </c>
      <c r="F10459" s="23" t="s">
        <v>86</v>
      </c>
      <c r="G10459" s="24">
        <v>548.0</v>
      </c>
      <c r="H10459" s="24">
        <v>454.0</v>
      </c>
      <c r="I10459" s="24">
        <v>42.0</v>
      </c>
      <c r="J10459" s="24">
        <v>0.0</v>
      </c>
      <c r="K10459" s="23" t="s">
        <v>34</v>
      </c>
      <c r="L10459" s="25">
        <v>41471.46438657407</v>
      </c>
      <c r="M10459" s="26" t="s">
        <v>40</v>
      </c>
      <c r="N10459" s="26" t="s">
        <v>21141</v>
      </c>
      <c r="O10459" s="22" t="str">
        <f>HYPERLINK("https://pbs.twimg.com/profile_images/378800000170508781/00100e951a331f278f462b3d5d761e62_normal.jpeg","View")</f>
        <v>View</v>
      </c>
      <c r="P10459" s="27"/>
    </row>
    <row r="10460">
      <c r="A10460" s="14">
        <v>43032.27601851852</v>
      </c>
      <c r="B10460" s="20" t="str">
        <f>HYPERLINK("https://twitter.com/starrFACED413","@starrFACED413")</f>
        <v>@starrFACED413</v>
      </c>
      <c r="C10460" s="21" t="s">
        <v>22253</v>
      </c>
      <c r="D10460" s="21" t="s">
        <v>22254</v>
      </c>
      <c r="E10460" s="22" t="str">
        <f>HYPERLINK("https://twitter.com/starrFACED413/status/922819333679697920","922819333679697920")</f>
        <v>922819333679697920</v>
      </c>
      <c r="F10460" s="23" t="s">
        <v>33</v>
      </c>
      <c r="G10460" s="24">
        <v>72.0</v>
      </c>
      <c r="H10460" s="24">
        <v>2293.0</v>
      </c>
      <c r="I10460" s="24">
        <v>4.0</v>
      </c>
      <c r="J10460" s="24">
        <v>0.0</v>
      </c>
      <c r="K10460" s="23" t="s">
        <v>34</v>
      </c>
      <c r="L10460" s="25">
        <v>40684.27924768518</v>
      </c>
      <c r="M10460" s="26" t="s">
        <v>22255</v>
      </c>
      <c r="N10460" s="26" t="s">
        <v>22256</v>
      </c>
      <c r="O10460" s="22" t="str">
        <f>HYPERLINK("https://pbs.twimg.com/profile_images/770336340013617152/YWflK7Ou_normal.jpg","View")</f>
        <v>View</v>
      </c>
      <c r="P10460" s="27"/>
    </row>
    <row r="10461">
      <c r="A10461" s="14">
        <v>43032.27613425926</v>
      </c>
      <c r="B10461" s="20" t="str">
        <f>HYPERLINK("https://twitter.com/BjpKurnool","@BjpKurnool")</f>
        <v>@BjpKurnool</v>
      </c>
      <c r="C10461" s="21" t="s">
        <v>22257</v>
      </c>
      <c r="D10461" s="21" t="s">
        <v>42</v>
      </c>
      <c r="E10461" s="22" t="str">
        <f>HYPERLINK("https://twitter.com/BjpKurnool/status/922819375446441984","922819375446441984")</f>
        <v>922819375446441984</v>
      </c>
      <c r="F10461" s="23" t="s">
        <v>33</v>
      </c>
      <c r="G10461" s="24">
        <v>5.0</v>
      </c>
      <c r="H10461" s="24">
        <v>57.0</v>
      </c>
      <c r="I10461" s="24">
        <v>8501.0</v>
      </c>
      <c r="J10461" s="24">
        <v>0.0</v>
      </c>
      <c r="K10461" s="23" t="s">
        <v>34</v>
      </c>
      <c r="L10461" s="25">
        <v>43014.41591435185</v>
      </c>
      <c r="M10461" s="26" t="s">
        <v>204</v>
      </c>
      <c r="N10461" s="26" t="s">
        <v>22258</v>
      </c>
      <c r="O10461" s="22" t="str">
        <f>HYPERLINK("https://pbs.twimg.com/profile_images/916350816683835392/ima0i77g_normal.jpg","View")</f>
        <v>View</v>
      </c>
      <c r="P10461" s="27"/>
    </row>
    <row r="10462">
      <c r="A10462" s="14">
        <v>43032.27619212963</v>
      </c>
      <c r="B10462" s="20" t="str">
        <f>HYPERLINK("https://twitter.com/IAMKEVINCARTER","@IAMKEVINCARTER")</f>
        <v>@IAMKEVINCARTER</v>
      </c>
      <c r="C10462" s="21" t="s">
        <v>22259</v>
      </c>
      <c r="D10462" s="21" t="s">
        <v>32</v>
      </c>
      <c r="E10462" s="22" t="str">
        <f>HYPERLINK("https://twitter.com/IAMKEVINCARTER/status/922819395113668608","922819395113668608")</f>
        <v>922819395113668608</v>
      </c>
      <c r="F10462" s="23" t="s">
        <v>33</v>
      </c>
      <c r="G10462" s="24">
        <v>5242.0</v>
      </c>
      <c r="H10462" s="24">
        <v>2625.0</v>
      </c>
      <c r="I10462" s="24">
        <v>471.0</v>
      </c>
      <c r="J10462" s="24">
        <v>0.0</v>
      </c>
      <c r="K10462" s="23" t="s">
        <v>34</v>
      </c>
      <c r="L10462" s="25">
        <v>41062.258726851855</v>
      </c>
      <c r="M10462" s="26" t="s">
        <v>114</v>
      </c>
      <c r="N10462" s="26" t="s">
        <v>22260</v>
      </c>
      <c r="O10462" s="22" t="str">
        <f>HYPERLINK("https://pbs.twimg.com/profile_images/893402452690599938/iIYZgacR_normal.jpg","View")</f>
        <v>View</v>
      </c>
      <c r="P10462" s="27"/>
    </row>
    <row r="10463">
      <c r="A10463" s="14">
        <v>43032.27630787037</v>
      </c>
      <c r="B10463" s="20" t="str">
        <f>HYPERLINK("https://twitter.com/MacRaeJoan","@MacRaeJoan")</f>
        <v>@MacRaeJoan</v>
      </c>
      <c r="C10463" s="21" t="s">
        <v>22261</v>
      </c>
      <c r="D10463" s="21" t="s">
        <v>17675</v>
      </c>
      <c r="E10463" s="22" t="str">
        <f>HYPERLINK("https://twitter.com/MacRaeJoan/status/922819438386274305","922819438386274305")</f>
        <v>922819438386274305</v>
      </c>
      <c r="F10463" s="23" t="s">
        <v>55</v>
      </c>
      <c r="G10463" s="24">
        <v>59.0</v>
      </c>
      <c r="H10463" s="24">
        <v>102.0</v>
      </c>
      <c r="I10463" s="24">
        <v>18.0</v>
      </c>
      <c r="J10463" s="24">
        <v>0.0</v>
      </c>
      <c r="K10463" s="23" t="s">
        <v>34</v>
      </c>
      <c r="L10463" s="25">
        <v>40814.56916666667</v>
      </c>
      <c r="M10463" s="28"/>
      <c r="N10463" s="26" t="s">
        <v>22262</v>
      </c>
      <c r="O10463" s="22" t="str">
        <f>HYPERLINK("https://pbs.twimg.com/profile_images/683066015643635713/MmXk1Uax_normal.jpg","View")</f>
        <v>View</v>
      </c>
      <c r="P10463" s="27"/>
    </row>
    <row r="10464">
      <c r="A10464" s="14">
        <v>43032.277245370366</v>
      </c>
      <c r="B10464" s="20" t="str">
        <f>HYPERLINK("https://twitter.com/jenserik1","@jenserik1")</f>
        <v>@jenserik1</v>
      </c>
      <c r="C10464" s="21" t="s">
        <v>22263</v>
      </c>
      <c r="D10464" s="21" t="s">
        <v>22264</v>
      </c>
      <c r="E10464" s="22" t="str">
        <f>HYPERLINK("https://twitter.com/jenserik1/status/922819774643671041","922819774643671041")</f>
        <v>922819774643671041</v>
      </c>
      <c r="F10464" s="23" t="s">
        <v>39</v>
      </c>
      <c r="G10464" s="24">
        <v>3382.0</v>
      </c>
      <c r="H10464" s="24">
        <v>1209.0</v>
      </c>
      <c r="I10464" s="24">
        <v>1.0</v>
      </c>
      <c r="J10464" s="24">
        <v>0.0</v>
      </c>
      <c r="K10464" s="23" t="s">
        <v>34</v>
      </c>
      <c r="L10464" s="25">
        <v>40761.759050925924</v>
      </c>
      <c r="M10464" s="28"/>
      <c r="N10464" s="26" t="s">
        <v>22265</v>
      </c>
      <c r="O10464" s="22" t="str">
        <f>HYPERLINK("https://pbs.twimg.com/profile_images/734003537298984961/N7jB8KIg_normal.jpg","View")</f>
        <v>View</v>
      </c>
      <c r="P10464" s="27"/>
    </row>
    <row r="10465">
      <c r="A10465" s="14">
        <v>43032.27728009259</v>
      </c>
      <c r="B10465" s="20" t="str">
        <f>HYPERLINK("https://twitter.com/grammieo","@grammieo")</f>
        <v>@grammieo</v>
      </c>
      <c r="C10465" s="21" t="s">
        <v>22266</v>
      </c>
      <c r="D10465" s="21" t="s">
        <v>9888</v>
      </c>
      <c r="E10465" s="22" t="str">
        <f>HYPERLINK("https://twitter.com/grammieo/status/922819789185277953","922819789185277953")</f>
        <v>922819789185277953</v>
      </c>
      <c r="F10465" s="23" t="s">
        <v>39</v>
      </c>
      <c r="G10465" s="24">
        <v>2684.0</v>
      </c>
      <c r="H10465" s="24">
        <v>3327.0</v>
      </c>
      <c r="I10465" s="24">
        <v>7.0</v>
      </c>
      <c r="J10465" s="24">
        <v>0.0</v>
      </c>
      <c r="K10465" s="23" t="s">
        <v>34</v>
      </c>
      <c r="L10465" s="25">
        <v>39998.37609953704</v>
      </c>
      <c r="M10465" s="28"/>
      <c r="N10465" s="26" t="s">
        <v>22267</v>
      </c>
      <c r="O10465" s="22" t="str">
        <f>HYPERLINK("https://pbs.twimg.com/profile_images/463719695309209600/jvtQacIM_normal.jpeg","View")</f>
        <v>View</v>
      </c>
      <c r="P10465" s="27"/>
    </row>
    <row r="10466">
      <c r="A10466" s="14">
        <v>43032.27780092593</v>
      </c>
      <c r="B10466" s="20" t="str">
        <f>HYPERLINK("https://twitter.com/VLokhade","@VLokhade")</f>
        <v>@VLokhade</v>
      </c>
      <c r="C10466" s="21" t="s">
        <v>22268</v>
      </c>
      <c r="D10466" s="21" t="s">
        <v>42</v>
      </c>
      <c r="E10466" s="22" t="str">
        <f>HYPERLINK("https://twitter.com/VLokhade/status/922819979078070273","922819979078070273")</f>
        <v>922819979078070273</v>
      </c>
      <c r="F10466" s="23" t="s">
        <v>33</v>
      </c>
      <c r="G10466" s="24">
        <v>12.0</v>
      </c>
      <c r="H10466" s="24">
        <v>127.0</v>
      </c>
      <c r="I10466" s="24">
        <v>8501.0</v>
      </c>
      <c r="J10466" s="24">
        <v>0.0</v>
      </c>
      <c r="K10466" s="23" t="s">
        <v>34</v>
      </c>
      <c r="L10466" s="25">
        <v>42952.35387731482</v>
      </c>
      <c r="M10466" s="28"/>
      <c r="N10466" s="28"/>
      <c r="O10466" s="22" t="str">
        <f>HYPERLINK("https://abs.twimg.com/sticky/default_profile_images/default_profile_normal.png","View")</f>
        <v>View</v>
      </c>
      <c r="P10466" s="27"/>
    </row>
    <row r="10467">
      <c r="A10467" s="14">
        <v>43032.27857638889</v>
      </c>
      <c r="B10467" s="20" t="str">
        <f>HYPERLINK("https://twitter.com/ShitySuryanl","@ShitySuryanl")</f>
        <v>@ShitySuryanl</v>
      </c>
      <c r="C10467" s="21" t="s">
        <v>22269</v>
      </c>
      <c r="D10467" s="21" t="s">
        <v>22254</v>
      </c>
      <c r="E10467" s="22" t="str">
        <f>HYPERLINK("https://twitter.com/ShitySuryanl/status/922820260163710976","922820260163710976")</f>
        <v>922820260163710976</v>
      </c>
      <c r="F10467" s="23" t="s">
        <v>33</v>
      </c>
      <c r="G10467" s="24">
        <v>76.0</v>
      </c>
      <c r="H10467" s="24">
        <v>2283.0</v>
      </c>
      <c r="I10467" s="24">
        <v>4.0</v>
      </c>
      <c r="J10467" s="24">
        <v>0.0</v>
      </c>
      <c r="K10467" s="23" t="s">
        <v>34</v>
      </c>
      <c r="L10467" s="25">
        <v>40684.26909722222</v>
      </c>
      <c r="M10467" s="26" t="s">
        <v>22270</v>
      </c>
      <c r="N10467" s="26" t="s">
        <v>22271</v>
      </c>
      <c r="O10467" s="22" t="str">
        <f>HYPERLINK("https://pbs.twimg.com/profile_images/770372163429888001/wrouUWhh_normal.jpg","View")</f>
        <v>View</v>
      </c>
      <c r="P10467" s="27"/>
    </row>
    <row r="10468">
      <c r="A10468" s="14">
        <v>43032.27872685185</v>
      </c>
      <c r="B10468" s="20" t="str">
        <f>HYPERLINK("https://twitter.com/Manivas39695154","@Manivas39695154")</f>
        <v>@Manivas39695154</v>
      </c>
      <c r="C10468" s="21" t="s">
        <v>22272</v>
      </c>
      <c r="D10468" s="21" t="s">
        <v>42</v>
      </c>
      <c r="E10468" s="22" t="str">
        <f>HYPERLINK("https://twitter.com/Manivas39695154/status/922820312231682048","922820312231682048")</f>
        <v>922820312231682048</v>
      </c>
      <c r="F10468" s="23" t="s">
        <v>33</v>
      </c>
      <c r="G10468" s="24">
        <v>6.0</v>
      </c>
      <c r="H10468" s="24">
        <v>59.0</v>
      </c>
      <c r="I10468" s="24">
        <v>8501.0</v>
      </c>
      <c r="J10468" s="24">
        <v>0.0</v>
      </c>
      <c r="K10468" s="23" t="s">
        <v>34</v>
      </c>
      <c r="L10468" s="25">
        <v>42655.21465277778</v>
      </c>
      <c r="M10468" s="26" t="s">
        <v>22273</v>
      </c>
      <c r="N10468" s="28"/>
      <c r="O10468" s="22" t="str">
        <f>HYPERLINK("https://pbs.twimg.com/profile_images/918740613985583104/HP2kzh1N_normal.jpg","View")</f>
        <v>View</v>
      </c>
      <c r="P10468" s="27"/>
    </row>
    <row r="10469">
      <c r="A10469" s="14">
        <v>43032.27903935185</v>
      </c>
      <c r="B10469" s="20" t="str">
        <f>HYPERLINK("https://twitter.com/AliMahmody","@AliMahmody")</f>
        <v>@AliMahmody</v>
      </c>
      <c r="C10469" s="21" t="s">
        <v>22274</v>
      </c>
      <c r="D10469" s="21" t="s">
        <v>21202</v>
      </c>
      <c r="E10469" s="22" t="str">
        <f>HYPERLINK("https://twitter.com/AliMahmody/status/922820426522181634","922820426522181634")</f>
        <v>922820426522181634</v>
      </c>
      <c r="F10469" s="23" t="s">
        <v>86</v>
      </c>
      <c r="G10469" s="24">
        <v>168.0</v>
      </c>
      <c r="H10469" s="24">
        <v>97.0</v>
      </c>
      <c r="I10469" s="24">
        <v>79.0</v>
      </c>
      <c r="J10469" s="24">
        <v>0.0</v>
      </c>
      <c r="K10469" s="23" t="s">
        <v>34</v>
      </c>
      <c r="L10469" s="25">
        <v>41770.016018518516</v>
      </c>
      <c r="M10469" s="26" t="s">
        <v>8333</v>
      </c>
      <c r="N10469" s="26" t="s">
        <v>22275</v>
      </c>
      <c r="O10469" s="22" t="str">
        <f>HYPERLINK("https://pbs.twimg.com/profile_images/470462776800845825/CZxaKLNb_normal.jpeg","View")</f>
        <v>View</v>
      </c>
      <c r="P10469" s="27"/>
    </row>
    <row r="10470">
      <c r="A10470" s="14">
        <v>43032.27918981481</v>
      </c>
      <c r="B10470" s="20" t="str">
        <f>HYPERLINK("https://twitter.com/Swamp_Voice","@Swamp_Voice")</f>
        <v>@Swamp_Voice</v>
      </c>
      <c r="C10470" s="21" t="s">
        <v>22276</v>
      </c>
      <c r="D10470" s="21" t="s">
        <v>9874</v>
      </c>
      <c r="E10470" s="22" t="str">
        <f>HYPERLINK("https://twitter.com/Swamp_Voice/status/922820482801512448","922820482801512448")</f>
        <v>922820482801512448</v>
      </c>
      <c r="F10470" s="23" t="s">
        <v>39</v>
      </c>
      <c r="G10470" s="24">
        <v>6674.0</v>
      </c>
      <c r="H10470" s="24">
        <v>7062.0</v>
      </c>
      <c r="I10470" s="24">
        <v>20.0</v>
      </c>
      <c r="J10470" s="24">
        <v>0.0</v>
      </c>
      <c r="K10470" s="23" t="s">
        <v>34</v>
      </c>
      <c r="L10470" s="25">
        <v>41246.76572916667</v>
      </c>
      <c r="M10470" s="26" t="s">
        <v>22277</v>
      </c>
      <c r="N10470" s="26" t="s">
        <v>22278</v>
      </c>
      <c r="O10470" s="22" t="str">
        <f>HYPERLINK("https://pbs.twimg.com/profile_images/664518979197669376/rgN0_4a3_normal.jpg","View")</f>
        <v>View</v>
      </c>
      <c r="P10470" s="27"/>
    </row>
    <row r="10471">
      <c r="A10471" s="14">
        <v>43032.279340277775</v>
      </c>
      <c r="B10471" s="20" t="str">
        <f>HYPERLINK("https://twitter.com/lenana_","@lenana_")</f>
        <v>@lenana_</v>
      </c>
      <c r="C10471" s="21" t="s">
        <v>22279</v>
      </c>
      <c r="D10471" s="21" t="s">
        <v>32</v>
      </c>
      <c r="E10471" s="22" t="str">
        <f>HYPERLINK("https://twitter.com/lenana_/status/922820536090157061","922820536090157061")</f>
        <v>922820536090157061</v>
      </c>
      <c r="F10471" s="23" t="s">
        <v>86</v>
      </c>
      <c r="G10471" s="24">
        <v>3031.0</v>
      </c>
      <c r="H10471" s="24">
        <v>2995.0</v>
      </c>
      <c r="I10471" s="24">
        <v>471.0</v>
      </c>
      <c r="J10471" s="24">
        <v>0.0</v>
      </c>
      <c r="K10471" s="23" t="s">
        <v>34</v>
      </c>
      <c r="L10471" s="25">
        <v>41100.91543981482</v>
      </c>
      <c r="M10471" s="26" t="s">
        <v>1005</v>
      </c>
      <c r="N10471" s="26" t="s">
        <v>22280</v>
      </c>
      <c r="O10471" s="22" t="str">
        <f>HYPERLINK("https://pbs.twimg.com/profile_images/900649511147720708/HacpihUQ_normal.jpg","View")</f>
        <v>View</v>
      </c>
      <c r="P10471" s="27"/>
    </row>
    <row r="10472">
      <c r="A10472" s="14">
        <v>43032.2794212963</v>
      </c>
      <c r="B10472" s="20" t="str">
        <f>HYPERLINK("https://twitter.com/carrollpm","@carrollpm")</f>
        <v>@carrollpm</v>
      </c>
      <c r="C10472" s="21" t="s">
        <v>22281</v>
      </c>
      <c r="D10472" s="21" t="s">
        <v>22282</v>
      </c>
      <c r="E10472" s="22" t="str">
        <f>HYPERLINK("https://twitter.com/carrollpm/status/922820563751464960","922820563751464960")</f>
        <v>922820563751464960</v>
      </c>
      <c r="F10472" s="23" t="s">
        <v>39</v>
      </c>
      <c r="G10472" s="24">
        <v>1290.0</v>
      </c>
      <c r="H10472" s="24">
        <v>758.0</v>
      </c>
      <c r="I10472" s="24">
        <v>0.0</v>
      </c>
      <c r="J10472" s="24">
        <v>3.0</v>
      </c>
      <c r="K10472" s="23" t="s">
        <v>34</v>
      </c>
      <c r="L10472" s="25">
        <v>40585.52625</v>
      </c>
      <c r="M10472" s="26" t="s">
        <v>7414</v>
      </c>
      <c r="N10472" s="26" t="s">
        <v>22283</v>
      </c>
      <c r="O10472" s="22" t="str">
        <f>HYPERLINK("https://pbs.twimg.com/profile_images/896171324283813889/GHPYH7gG_normal.jpg","View")</f>
        <v>View</v>
      </c>
      <c r="P10472" s="27"/>
    </row>
    <row r="10473">
      <c r="A10473" s="14">
        <v>43032.27960648148</v>
      </c>
      <c r="B10473" s="20" t="str">
        <f>HYPERLINK("https://twitter.com/ShingetsuNews","@ShingetsuNews")</f>
        <v>@ShingetsuNews</v>
      </c>
      <c r="C10473" s="21" t="s">
        <v>18813</v>
      </c>
      <c r="D10473" s="21" t="s">
        <v>22284</v>
      </c>
      <c r="E10473" s="22" t="str">
        <f>HYPERLINK("https://twitter.com/ShingetsuNews/status/922820632399593472","922820632399593472")</f>
        <v>922820632399593472</v>
      </c>
      <c r="F10473" s="23" t="s">
        <v>55</v>
      </c>
      <c r="G10473" s="24">
        <v>6327.0</v>
      </c>
      <c r="H10473" s="24">
        <v>277.0</v>
      </c>
      <c r="I10473" s="24">
        <v>3.0</v>
      </c>
      <c r="J10473" s="24">
        <v>0.0</v>
      </c>
      <c r="K10473" s="23" t="s">
        <v>34</v>
      </c>
      <c r="L10473" s="25">
        <v>40593.06306712963</v>
      </c>
      <c r="M10473" s="26" t="s">
        <v>923</v>
      </c>
      <c r="N10473" s="26" t="s">
        <v>18815</v>
      </c>
      <c r="O10473" s="22" t="str">
        <f>HYPERLINK("https://pbs.twimg.com/profile_images/711533259646054403/1ZDyWxWY_normal.jpg","View")</f>
        <v>View</v>
      </c>
      <c r="P10473" s="27"/>
    </row>
    <row r="10474">
      <c r="A10474" s="14">
        <v>43032.279699074075</v>
      </c>
      <c r="B10474" s="20" t="str">
        <f>HYPERLINK("https://twitter.com/AliMahmody","@AliMahmody")</f>
        <v>@AliMahmody</v>
      </c>
      <c r="C10474" s="21" t="s">
        <v>22274</v>
      </c>
      <c r="D10474" s="21" t="s">
        <v>21203</v>
      </c>
      <c r="E10474" s="22" t="str">
        <f>HYPERLINK("https://twitter.com/AliMahmody/status/922820664209182721","922820664209182721")</f>
        <v>922820664209182721</v>
      </c>
      <c r="F10474" s="23" t="s">
        <v>86</v>
      </c>
      <c r="G10474" s="24">
        <v>168.0</v>
      </c>
      <c r="H10474" s="24">
        <v>97.0</v>
      </c>
      <c r="I10474" s="24">
        <v>75.0</v>
      </c>
      <c r="J10474" s="24">
        <v>0.0</v>
      </c>
      <c r="K10474" s="23" t="s">
        <v>34</v>
      </c>
      <c r="L10474" s="25">
        <v>41770.016018518516</v>
      </c>
      <c r="M10474" s="26" t="s">
        <v>8333</v>
      </c>
      <c r="N10474" s="26" t="s">
        <v>22275</v>
      </c>
      <c r="O10474" s="22" t="str">
        <f>HYPERLINK("https://pbs.twimg.com/profile_images/470462776800845825/CZxaKLNb_normal.jpeg","View")</f>
        <v>View</v>
      </c>
      <c r="P10474" s="27"/>
    </row>
    <row r="10475">
      <c r="A10475" s="14">
        <v>43032.281006944446</v>
      </c>
      <c r="B10475" s="20" t="str">
        <f>HYPERLINK("https://twitter.com/frugalsahm","@frugalsahm")</f>
        <v>@frugalsahm</v>
      </c>
      <c r="C10475" s="21" t="s">
        <v>22285</v>
      </c>
      <c r="D10475" s="21" t="s">
        <v>22286</v>
      </c>
      <c r="E10475" s="22" t="str">
        <f>HYPERLINK("https://twitter.com/frugalsahm/status/922821141009383425","922821141009383425")</f>
        <v>922821141009383425</v>
      </c>
      <c r="F10475" s="23" t="s">
        <v>33</v>
      </c>
      <c r="G10475" s="24">
        <v>599.0</v>
      </c>
      <c r="H10475" s="24">
        <v>1055.0</v>
      </c>
      <c r="I10475" s="24">
        <v>3.0</v>
      </c>
      <c r="J10475" s="24">
        <v>0.0</v>
      </c>
      <c r="K10475" s="23" t="s">
        <v>34</v>
      </c>
      <c r="L10475" s="25">
        <v>40138.97517361111</v>
      </c>
      <c r="M10475" s="26" t="s">
        <v>22287</v>
      </c>
      <c r="N10475" s="26" t="s">
        <v>22288</v>
      </c>
      <c r="O10475" s="22" t="str">
        <f>HYPERLINK("https://pbs.twimg.com/profile_images/920216171877605376/zR409y7C_normal.jpg","View")</f>
        <v>View</v>
      </c>
      <c r="P10475" s="27"/>
    </row>
    <row r="10476">
      <c r="A10476" s="14">
        <v>43032.28125</v>
      </c>
      <c r="B10476" s="20" t="str">
        <f>HYPERLINK("https://twitter.com/gaganjp","@gaganjp")</f>
        <v>@gaganjp</v>
      </c>
      <c r="C10476" s="21" t="s">
        <v>14421</v>
      </c>
      <c r="D10476" s="21" t="s">
        <v>22289</v>
      </c>
      <c r="E10476" s="22" t="str">
        <f>HYPERLINK("https://twitter.com/gaganjp/status/922821226522853376","922821226522853376")</f>
        <v>922821226522853376</v>
      </c>
      <c r="F10476" s="23" t="s">
        <v>55</v>
      </c>
      <c r="G10476" s="24">
        <v>2661.0</v>
      </c>
      <c r="H10476" s="24">
        <v>3009.0</v>
      </c>
      <c r="I10476" s="24">
        <v>0.0</v>
      </c>
      <c r="J10476" s="24">
        <v>0.0</v>
      </c>
      <c r="K10476" s="23" t="s">
        <v>34</v>
      </c>
      <c r="L10476" s="25">
        <v>40950.442662037036</v>
      </c>
      <c r="M10476" s="26" t="s">
        <v>2353</v>
      </c>
      <c r="N10476" s="26" t="s">
        <v>14422</v>
      </c>
      <c r="O10476" s="22" t="str">
        <f>HYPERLINK("https://pbs.twimg.com/profile_images/880590651330633728/xH7TgEVa_normal.jpg","View")</f>
        <v>View</v>
      </c>
      <c r="P10476" s="27"/>
    </row>
    <row r="10477">
      <c r="A10477" s="14">
        <v>43032.28157407408</v>
      </c>
      <c r="B10477" s="20" t="str">
        <f>HYPERLINK("https://twitter.com/gajendra4455","@gajendra4455")</f>
        <v>@gajendra4455</v>
      </c>
      <c r="C10477" s="21" t="s">
        <v>135</v>
      </c>
      <c r="D10477" s="21" t="s">
        <v>5262</v>
      </c>
      <c r="E10477" s="22" t="str">
        <f>HYPERLINK("https://twitter.com/gajendra4455/status/922821345011843072","922821345011843072")</f>
        <v>922821345011843072</v>
      </c>
      <c r="F10477" s="23" t="s">
        <v>33</v>
      </c>
      <c r="G10477" s="24">
        <v>13.0</v>
      </c>
      <c r="H10477" s="24">
        <v>111.0</v>
      </c>
      <c r="I10477" s="24">
        <v>22.0</v>
      </c>
      <c r="J10477" s="24">
        <v>0.0</v>
      </c>
      <c r="K10477" s="23" t="s">
        <v>34</v>
      </c>
      <c r="L10477" s="25">
        <v>42294.05164351852</v>
      </c>
      <c r="M10477" s="26" t="s">
        <v>136</v>
      </c>
      <c r="N10477" s="26" t="s">
        <v>137</v>
      </c>
      <c r="O10477" s="22" t="str">
        <f>HYPERLINK("https://abs.twimg.com/sticky/default_profile_images/default_profile_normal.png","View")</f>
        <v>View</v>
      </c>
      <c r="P10477" s="27"/>
    </row>
    <row r="10478">
      <c r="A10478" s="14">
        <v>43032.28181712963</v>
      </c>
      <c r="B10478" s="20" t="str">
        <f>HYPERLINK("https://twitter.com/UBCgeog481","@UBCgeog481")</f>
        <v>@UBCgeog481</v>
      </c>
      <c r="C10478" s="21" t="s">
        <v>22290</v>
      </c>
      <c r="D10478" s="21" t="s">
        <v>22291</v>
      </c>
      <c r="E10478" s="22" t="str">
        <f>HYPERLINK("https://twitter.com/UBCgeog481/status/922821432190439429","922821432190439429")</f>
        <v>922821432190439429</v>
      </c>
      <c r="F10478" s="23" t="s">
        <v>635</v>
      </c>
      <c r="G10478" s="24">
        <v>27.0</v>
      </c>
      <c r="H10478" s="24">
        <v>28.0</v>
      </c>
      <c r="I10478" s="24">
        <v>0.0</v>
      </c>
      <c r="J10478" s="24">
        <v>0.0</v>
      </c>
      <c r="K10478" s="23" t="s">
        <v>34</v>
      </c>
      <c r="L10478" s="25">
        <v>42983.59321759259</v>
      </c>
      <c r="M10478" s="26" t="s">
        <v>11701</v>
      </c>
      <c r="N10478" s="26" t="s">
        <v>22292</v>
      </c>
      <c r="O10478" s="22" t="str">
        <f>HYPERLINK("https://pbs.twimg.com/profile_images/905230567146381314/TUKAtq7R_normal.jpg","View")</f>
        <v>View</v>
      </c>
      <c r="P10478" s="27"/>
    </row>
    <row r="10479">
      <c r="A10479" s="14">
        <v>43032.28202546296</v>
      </c>
      <c r="B10479" s="20" t="str">
        <f>HYPERLINK("https://twitter.com/hannahstanley48","@hannahstanley48")</f>
        <v>@hannahstanley48</v>
      </c>
      <c r="C10479" s="21" t="s">
        <v>22293</v>
      </c>
      <c r="D10479" s="21" t="s">
        <v>22254</v>
      </c>
      <c r="E10479" s="22" t="str">
        <f>HYPERLINK("https://twitter.com/hannahstanley48/status/922821507356774400","922821507356774400")</f>
        <v>922821507356774400</v>
      </c>
      <c r="F10479" s="23" t="s">
        <v>33</v>
      </c>
      <c r="G10479" s="24">
        <v>109.0</v>
      </c>
      <c r="H10479" s="24">
        <v>2277.0</v>
      </c>
      <c r="I10479" s="24">
        <v>4.0</v>
      </c>
      <c r="J10479" s="24">
        <v>0.0</v>
      </c>
      <c r="K10479" s="23" t="s">
        <v>34</v>
      </c>
      <c r="L10479" s="25">
        <v>40647.09284722222</v>
      </c>
      <c r="M10479" s="28"/>
      <c r="N10479" s="26" t="s">
        <v>22294</v>
      </c>
      <c r="O10479" s="22" t="str">
        <f>HYPERLINK("https://pbs.twimg.com/profile_images/764948294070067200/EzFttn_q_normal.jpg","View")</f>
        <v>View</v>
      </c>
      <c r="P10479" s="27"/>
    </row>
    <row r="10480">
      <c r="A10480" s="14">
        <v>43032.282268518524</v>
      </c>
      <c r="B10480" s="20" t="str">
        <f>HYPERLINK("https://twitter.com/Abhinav14496743","@Abhinav14496743")</f>
        <v>@Abhinav14496743</v>
      </c>
      <c r="C10480" s="21" t="s">
        <v>22295</v>
      </c>
      <c r="D10480" s="21" t="s">
        <v>42</v>
      </c>
      <c r="E10480" s="22" t="str">
        <f>HYPERLINK("https://twitter.com/Abhinav14496743/status/922821596208709632","922821596208709632")</f>
        <v>922821596208709632</v>
      </c>
      <c r="F10480" s="23" t="s">
        <v>33</v>
      </c>
      <c r="G10480" s="24">
        <v>1.0</v>
      </c>
      <c r="H10480" s="24">
        <v>21.0</v>
      </c>
      <c r="I10480" s="24">
        <v>8501.0</v>
      </c>
      <c r="J10480" s="24">
        <v>0.0</v>
      </c>
      <c r="K10480" s="23" t="s">
        <v>34</v>
      </c>
      <c r="L10480" s="25">
        <v>43012.28945601852</v>
      </c>
      <c r="M10480" s="28"/>
      <c r="N10480" s="28"/>
      <c r="O10480" s="22" t="str">
        <f t="shared" ref="O10480:O10481" si="243">HYPERLINK("https://abs.twimg.com/sticky/default_profile_images/default_profile_normal.png","View")</f>
        <v>View</v>
      </c>
      <c r="P10480" s="27"/>
    </row>
    <row r="10481">
      <c r="A10481" s="14">
        <v>43032.28258101852</v>
      </c>
      <c r="B10481" s="20" t="str">
        <f>HYPERLINK("https://twitter.com/Kuamr17","@Kuamr17")</f>
        <v>@Kuamr17</v>
      </c>
      <c r="C10481" s="21" t="s">
        <v>22296</v>
      </c>
      <c r="D10481" s="21" t="s">
        <v>42</v>
      </c>
      <c r="E10481" s="22" t="str">
        <f>HYPERLINK("https://twitter.com/Kuamr17/status/922821709543235584","922821709543235584")</f>
        <v>922821709543235584</v>
      </c>
      <c r="F10481" s="23" t="s">
        <v>39</v>
      </c>
      <c r="G10481" s="24">
        <v>4.0</v>
      </c>
      <c r="H10481" s="24">
        <v>260.0</v>
      </c>
      <c r="I10481" s="24">
        <v>8501.0</v>
      </c>
      <c r="J10481" s="24">
        <v>0.0</v>
      </c>
      <c r="K10481" s="23" t="s">
        <v>34</v>
      </c>
      <c r="L10481" s="25">
        <v>43032.254907407405</v>
      </c>
      <c r="M10481" s="28"/>
      <c r="N10481" s="28"/>
      <c r="O10481" s="22" t="str">
        <f t="shared" si="243"/>
        <v>View</v>
      </c>
      <c r="P10481" s="27"/>
    </row>
    <row r="10482">
      <c r="A10482" s="14">
        <v>43032.28275462963</v>
      </c>
      <c r="B10482" s="20" t="str">
        <f>HYPERLINK("https://twitter.com/Black_Afroul","@Black_Afroul")</f>
        <v>@Black_Afroul</v>
      </c>
      <c r="C10482" s="21" t="s">
        <v>22297</v>
      </c>
      <c r="D10482" s="21" t="s">
        <v>32</v>
      </c>
      <c r="E10482" s="22" t="str">
        <f>HYPERLINK("https://twitter.com/Black_Afroul/status/922821774362009600","922821774362009600")</f>
        <v>922821774362009600</v>
      </c>
      <c r="F10482" s="23" t="s">
        <v>33</v>
      </c>
      <c r="G10482" s="24">
        <v>718.0</v>
      </c>
      <c r="H10482" s="24">
        <v>646.0</v>
      </c>
      <c r="I10482" s="24">
        <v>471.0</v>
      </c>
      <c r="J10482" s="24">
        <v>0.0</v>
      </c>
      <c r="K10482" s="23" t="s">
        <v>34</v>
      </c>
      <c r="L10482" s="25">
        <v>42379.2612037037</v>
      </c>
      <c r="M10482" s="26" t="s">
        <v>22298</v>
      </c>
      <c r="N10482" s="26" t="s">
        <v>22299</v>
      </c>
      <c r="O10482" s="22" t="str">
        <f>HYPERLINK("https://pbs.twimg.com/profile_images/914849650779320321/H1i_xtDQ_normal.jpg","View")</f>
        <v>View</v>
      </c>
      <c r="P10482" s="27"/>
    </row>
    <row r="10483">
      <c r="A10483" s="14">
        <v>43032.282789351855</v>
      </c>
      <c r="B10483" s="20" t="str">
        <f>HYPERLINK("https://twitter.com/AttackOnLunatic","@AttackOnLunatic")</f>
        <v>@AttackOnLunatic</v>
      </c>
      <c r="C10483" s="21" t="s">
        <v>22300</v>
      </c>
      <c r="D10483" s="21" t="s">
        <v>9342</v>
      </c>
      <c r="E10483" s="22" t="str">
        <f>HYPERLINK("https://twitter.com/AttackOnLunatic/status/922821784214241280","922821784214241280")</f>
        <v>922821784214241280</v>
      </c>
      <c r="F10483" s="23" t="s">
        <v>55</v>
      </c>
      <c r="G10483" s="24">
        <v>465.0</v>
      </c>
      <c r="H10483" s="24">
        <v>477.0</v>
      </c>
      <c r="I10483" s="24">
        <v>6.0</v>
      </c>
      <c r="J10483" s="24">
        <v>0.0</v>
      </c>
      <c r="K10483" s="23" t="s">
        <v>34</v>
      </c>
      <c r="L10483" s="25">
        <v>41888.26393518518</v>
      </c>
      <c r="M10483" s="26" t="s">
        <v>271</v>
      </c>
      <c r="N10483" s="26" t="s">
        <v>22301</v>
      </c>
      <c r="O10483" s="22" t="str">
        <f>HYPERLINK("https://pbs.twimg.com/profile_images/561757510885838849/igwGieeC_normal.jpeg","View")</f>
        <v>View</v>
      </c>
      <c r="P10483" s="27"/>
    </row>
    <row r="10484">
      <c r="A10484" s="14">
        <v>43032.283217592594</v>
      </c>
      <c r="B10484" s="20" t="str">
        <f>HYPERLINK("https://twitter.com/Great_Modi","@Great_Modi")</f>
        <v>@Great_Modi</v>
      </c>
      <c r="C10484" s="21" t="s">
        <v>22302</v>
      </c>
      <c r="D10484" s="21" t="s">
        <v>42</v>
      </c>
      <c r="E10484" s="22" t="str">
        <f>HYPERLINK("https://twitter.com/Great_Modi/status/922821941198589952","922821941198589952")</f>
        <v>922821941198589952</v>
      </c>
      <c r="F10484" s="23" t="s">
        <v>33</v>
      </c>
      <c r="G10484" s="24">
        <v>1.0</v>
      </c>
      <c r="H10484" s="24">
        <v>10.0</v>
      </c>
      <c r="I10484" s="24">
        <v>8501.0</v>
      </c>
      <c r="J10484" s="24">
        <v>0.0</v>
      </c>
      <c r="K10484" s="23" t="s">
        <v>34</v>
      </c>
      <c r="L10484" s="25">
        <v>43032.26165509259</v>
      </c>
      <c r="M10484" s="28"/>
      <c r="N10484" s="28"/>
      <c r="O10484" s="22" t="str">
        <f>HYPERLINK("https://abs.twimg.com/sticky/default_profile_images/default_profile_normal.png","View")</f>
        <v>View</v>
      </c>
      <c r="P10484" s="27"/>
    </row>
    <row r="10485">
      <c r="A10485" s="14">
        <v>43032.28329861111</v>
      </c>
      <c r="B10485" s="20" t="str">
        <f>HYPERLINK("https://twitter.com/lowkeyphil_","@lowkeyphil_")</f>
        <v>@lowkeyphil_</v>
      </c>
      <c r="C10485" s="21" t="s">
        <v>22303</v>
      </c>
      <c r="D10485" s="21" t="s">
        <v>32</v>
      </c>
      <c r="E10485" s="22" t="str">
        <f>HYPERLINK("https://twitter.com/lowkeyphil_/status/922821967887007744","922821967887007744")</f>
        <v>922821967887007744</v>
      </c>
      <c r="F10485" s="23" t="s">
        <v>33</v>
      </c>
      <c r="G10485" s="24">
        <v>207.0</v>
      </c>
      <c r="H10485" s="24">
        <v>250.0</v>
      </c>
      <c r="I10485" s="24">
        <v>471.0</v>
      </c>
      <c r="J10485" s="24">
        <v>0.0</v>
      </c>
      <c r="K10485" s="23" t="s">
        <v>34</v>
      </c>
      <c r="L10485" s="25">
        <v>42162.99297453703</v>
      </c>
      <c r="M10485" s="26" t="s">
        <v>114</v>
      </c>
      <c r="N10485" s="26" t="s">
        <v>22304</v>
      </c>
      <c r="O10485" s="22" t="str">
        <f>HYPERLINK("https://pbs.twimg.com/profile_images/889796241315516416/_b8_ML4j_normal.jpg","View")</f>
        <v>View</v>
      </c>
      <c r="P10485" s="27"/>
    </row>
    <row r="10486">
      <c r="A10486" s="14">
        <v>43032.283414351856</v>
      </c>
      <c r="B10486" s="20" t="str">
        <f>HYPERLINK("https://twitter.com/peacefulworld99","@peacefulworld99")</f>
        <v>@peacefulworld99</v>
      </c>
      <c r="C10486" s="21" t="s">
        <v>22305</v>
      </c>
      <c r="D10486" s="21" t="s">
        <v>21608</v>
      </c>
      <c r="E10486" s="22" t="str">
        <f>HYPERLINK("https://twitter.com/peacefulworld99/status/922822011583315969","922822011583315969")</f>
        <v>922822011583315969</v>
      </c>
      <c r="F10486" s="23" t="s">
        <v>39</v>
      </c>
      <c r="G10486" s="24">
        <v>189.0</v>
      </c>
      <c r="H10486" s="24">
        <v>367.0</v>
      </c>
      <c r="I10486" s="24">
        <v>4.0</v>
      </c>
      <c r="J10486" s="24">
        <v>0.0</v>
      </c>
      <c r="K10486" s="23" t="s">
        <v>34</v>
      </c>
      <c r="L10486" s="25">
        <v>42844.730567129634</v>
      </c>
      <c r="M10486" s="26" t="s">
        <v>22306</v>
      </c>
      <c r="N10486" s="26" t="s">
        <v>22307</v>
      </c>
      <c r="O10486" s="22" t="str">
        <f>HYPERLINK("https://pbs.twimg.com/profile_images/915075872029253632/JtbWZLIa_normal.jpg","View")</f>
        <v>View</v>
      </c>
      <c r="P10486" s="27"/>
    </row>
    <row r="10487">
      <c r="A10487" s="14">
        <v>43032.283784722225</v>
      </c>
      <c r="B10487" s="20" t="str">
        <f>HYPERLINK("https://twitter.com/Foreverr_GG","@Foreverr_GG")</f>
        <v>@Foreverr_GG</v>
      </c>
      <c r="C10487" s="21" t="s">
        <v>22308</v>
      </c>
      <c r="D10487" s="21" t="s">
        <v>32</v>
      </c>
      <c r="E10487" s="22" t="str">
        <f>HYPERLINK("https://twitter.com/Foreverr_GG/status/922822145935155206","922822145935155206")</f>
        <v>922822145935155206</v>
      </c>
      <c r="F10487" s="23" t="s">
        <v>2119</v>
      </c>
      <c r="G10487" s="24">
        <v>292.0</v>
      </c>
      <c r="H10487" s="24">
        <v>184.0</v>
      </c>
      <c r="I10487" s="24">
        <v>471.0</v>
      </c>
      <c r="J10487" s="24">
        <v>0.0</v>
      </c>
      <c r="K10487" s="23" t="s">
        <v>34</v>
      </c>
      <c r="L10487" s="25">
        <v>40762.20291666667</v>
      </c>
      <c r="M10487" s="28"/>
      <c r="N10487" s="26" t="s">
        <v>22309</v>
      </c>
      <c r="O10487" s="22" t="str">
        <f>HYPERLINK("https://pbs.twimg.com/profile_images/915242911738077186/Z5PK_cyz_normal.jpg","View")</f>
        <v>View</v>
      </c>
      <c r="P10487" s="27"/>
    </row>
    <row r="10488">
      <c r="A10488" s="14">
        <v>43032.28434027778</v>
      </c>
      <c r="B10488" s="20" t="str">
        <f>HYPERLINK("https://twitter.com/hindu85","@hindu85")</f>
        <v>@hindu85</v>
      </c>
      <c r="C10488" s="21" t="s">
        <v>423</v>
      </c>
      <c r="D10488" s="21" t="s">
        <v>42</v>
      </c>
      <c r="E10488" s="22" t="str">
        <f>HYPERLINK("https://twitter.com/hindu85/status/922822347341684737","922822347341684737")</f>
        <v>922822347341684737</v>
      </c>
      <c r="F10488" s="23" t="s">
        <v>33</v>
      </c>
      <c r="G10488" s="24">
        <v>149.0</v>
      </c>
      <c r="H10488" s="24">
        <v>359.0</v>
      </c>
      <c r="I10488" s="24">
        <v>8501.0</v>
      </c>
      <c r="J10488" s="24">
        <v>0.0</v>
      </c>
      <c r="K10488" s="23" t="s">
        <v>34</v>
      </c>
      <c r="L10488" s="25">
        <v>41489.44184027778</v>
      </c>
      <c r="M10488" s="28"/>
      <c r="N10488" s="26" t="s">
        <v>22310</v>
      </c>
      <c r="O10488" s="22" t="str">
        <f>HYPERLINK("https://pbs.twimg.com/profile_images/378800000236017535/094ee7df86d9d1b68f084c48ea249164_normal.jpeg","View")</f>
        <v>View</v>
      </c>
      <c r="P10488" s="27"/>
    </row>
    <row r="10489">
      <c r="A10489" s="14">
        <v>43032.28444444445</v>
      </c>
      <c r="B10489" s="20" t="str">
        <f>HYPERLINK("https://twitter.com/VERBAL_AMBUSH","@VERBAL_AMBUSH")</f>
        <v>@VERBAL_AMBUSH</v>
      </c>
      <c r="C10489" s="21" t="s">
        <v>22311</v>
      </c>
      <c r="D10489" s="21" t="s">
        <v>1474</v>
      </c>
      <c r="E10489" s="22" t="str">
        <f>HYPERLINK("https://twitter.com/VERBAL_AMBUSH/status/922822385794932741","922822385794932741")</f>
        <v>922822385794932741</v>
      </c>
      <c r="F10489" s="23" t="s">
        <v>39</v>
      </c>
      <c r="G10489" s="24">
        <v>303513.0</v>
      </c>
      <c r="H10489" s="24">
        <v>162.0</v>
      </c>
      <c r="I10489" s="24">
        <v>29.0</v>
      </c>
      <c r="J10489" s="24">
        <v>0.0</v>
      </c>
      <c r="K10489" s="23" t="s">
        <v>34</v>
      </c>
      <c r="L10489" s="25">
        <v>41080.85758101852</v>
      </c>
      <c r="M10489" s="26" t="s">
        <v>1518</v>
      </c>
      <c r="N10489" s="26" t="s">
        <v>22312</v>
      </c>
      <c r="O10489" s="22" t="str">
        <f>HYPERLINK("https://pbs.twimg.com/profile_images/907183971997442048/auy2x7ZF_normal.jpg","View")</f>
        <v>View</v>
      </c>
      <c r="P10489" s="27"/>
    </row>
    <row r="10490">
      <c r="A10490" s="14">
        <v>43032.28450231481</v>
      </c>
      <c r="B10490" s="20" t="str">
        <f>HYPERLINK("https://twitter.com/LDH99446417","@LDH99446417")</f>
        <v>@LDH99446417</v>
      </c>
      <c r="C10490" s="21" t="s">
        <v>22313</v>
      </c>
      <c r="D10490" s="21" t="s">
        <v>1474</v>
      </c>
      <c r="E10490" s="22" t="str">
        <f>HYPERLINK("https://twitter.com/LDH99446417/status/922822405440946176","922822405440946176")</f>
        <v>922822405440946176</v>
      </c>
      <c r="F10490" s="23" t="s">
        <v>39</v>
      </c>
      <c r="G10490" s="24">
        <v>569.0</v>
      </c>
      <c r="H10490" s="24">
        <v>481.0</v>
      </c>
      <c r="I10490" s="24">
        <v>29.0</v>
      </c>
      <c r="J10490" s="24">
        <v>0.0</v>
      </c>
      <c r="K10490" s="23" t="s">
        <v>34</v>
      </c>
      <c r="L10490" s="25">
        <v>42407.21622685185</v>
      </c>
      <c r="M10490" s="26" t="s">
        <v>22314</v>
      </c>
      <c r="N10490" s="26" t="s">
        <v>22315</v>
      </c>
      <c r="O10490" s="22" t="str">
        <f>HYPERLINK("https://pbs.twimg.com/profile_images/895884208534503424/xLvxY8a3_normal.jpg","View")</f>
        <v>View</v>
      </c>
      <c r="P10490" s="27"/>
    </row>
    <row r="10491">
      <c r="A10491" s="14">
        <v>43032.284537037034</v>
      </c>
      <c r="B10491" s="20" t="str">
        <f>HYPERLINK("https://twitter.com/noa1206_312901","@noa1206_312901")</f>
        <v>@noa1206_312901</v>
      </c>
      <c r="C10491" s="21" t="s">
        <v>22316</v>
      </c>
      <c r="D10491" s="21" t="s">
        <v>1474</v>
      </c>
      <c r="E10491" s="22" t="str">
        <f>HYPERLINK("https://twitter.com/noa1206_312901/status/922822416946012160","922822416946012160")</f>
        <v>922822416946012160</v>
      </c>
      <c r="F10491" s="23" t="s">
        <v>39</v>
      </c>
      <c r="G10491" s="24">
        <v>522.0</v>
      </c>
      <c r="H10491" s="24">
        <v>1107.0</v>
      </c>
      <c r="I10491" s="24">
        <v>29.0</v>
      </c>
      <c r="J10491" s="24">
        <v>0.0</v>
      </c>
      <c r="K10491" s="23" t="s">
        <v>34</v>
      </c>
      <c r="L10491" s="25">
        <v>43003.18099537037</v>
      </c>
      <c r="M10491" s="26" t="s">
        <v>271</v>
      </c>
      <c r="N10491" s="26" t="s">
        <v>22317</v>
      </c>
      <c r="O10491" s="22" t="str">
        <f>HYPERLINK("https://pbs.twimg.com/profile_images/915517472215752704/y8kaQnN0_normal.jpg","View")</f>
        <v>View</v>
      </c>
      <c r="P10491" s="27"/>
    </row>
    <row r="10492">
      <c r="A10492" s="14">
        <v>43032.28482638889</v>
      </c>
      <c r="B10492" s="20" t="str">
        <f>HYPERLINK("https://twitter.com/Xqhuuj1","@Xqhuuj1")</f>
        <v>@Xqhuuj1</v>
      </c>
      <c r="C10492" s="21" t="s">
        <v>22318</v>
      </c>
      <c r="D10492" s="21" t="s">
        <v>18162</v>
      </c>
      <c r="E10492" s="22" t="str">
        <f>HYPERLINK("https://twitter.com/Xqhuuj1/status/922822524412375040","922822524412375040")</f>
        <v>922822524412375040</v>
      </c>
      <c r="F10492" s="23" t="s">
        <v>55</v>
      </c>
      <c r="G10492" s="24">
        <v>23.0</v>
      </c>
      <c r="H10492" s="24">
        <v>1.0</v>
      </c>
      <c r="I10492" s="24">
        <v>59.0</v>
      </c>
      <c r="J10492" s="24">
        <v>0.0</v>
      </c>
      <c r="K10492" s="23" t="s">
        <v>34</v>
      </c>
      <c r="L10492" s="25">
        <v>42992.228425925925</v>
      </c>
      <c r="M10492" s="28"/>
      <c r="N10492" s="28"/>
      <c r="O10492" s="22" t="str">
        <f>HYPERLINK("https://pbs.twimg.com/profile_images/918459302351740929/haQV3-BJ_normal.jpg","View")</f>
        <v>View</v>
      </c>
      <c r="P10492" s="27"/>
    </row>
    <row r="10493">
      <c r="A10493" s="14">
        <v>43032.28506944445</v>
      </c>
      <c r="B10493" s="20" t="str">
        <f>HYPERLINK("https://twitter.com/lllmizzpoet","@lllmizzpoet")</f>
        <v>@lllmizzpoet</v>
      </c>
      <c r="C10493" s="21" t="s">
        <v>22319</v>
      </c>
      <c r="D10493" s="21" t="s">
        <v>22254</v>
      </c>
      <c r="E10493" s="22" t="str">
        <f>HYPERLINK("https://twitter.com/lllmizzpoet/status/922822610911555584","922822610911555584")</f>
        <v>922822610911555584</v>
      </c>
      <c r="F10493" s="23" t="s">
        <v>33</v>
      </c>
      <c r="G10493" s="24">
        <v>57.0</v>
      </c>
      <c r="H10493" s="24">
        <v>2262.0</v>
      </c>
      <c r="I10493" s="24">
        <v>4.0</v>
      </c>
      <c r="J10493" s="24">
        <v>0.0</v>
      </c>
      <c r="K10493" s="23" t="s">
        <v>34</v>
      </c>
      <c r="L10493" s="25">
        <v>40860.339479166665</v>
      </c>
      <c r="M10493" s="26" t="s">
        <v>22320</v>
      </c>
      <c r="N10493" s="26" t="s">
        <v>22321</v>
      </c>
      <c r="O10493" s="22" t="str">
        <f>HYPERLINK("https://pbs.twimg.com/profile_images/764274027330494469/wGYroH1v_normal.jpg","View")</f>
        <v>View</v>
      </c>
      <c r="P10493" s="27"/>
    </row>
    <row r="10494">
      <c r="A10494" s="14">
        <v>43032.28506944445</v>
      </c>
      <c r="B10494" s="20" t="str">
        <f>HYPERLINK("https://twitter.com/amitagn007","@amitagn007")</f>
        <v>@amitagn007</v>
      </c>
      <c r="C10494" s="21" t="s">
        <v>22322</v>
      </c>
      <c r="D10494" s="21" t="s">
        <v>42</v>
      </c>
      <c r="E10494" s="22" t="str">
        <f>HYPERLINK("https://twitter.com/amitagn007/status/922822611226079232","922822611226079232")</f>
        <v>922822611226079232</v>
      </c>
      <c r="F10494" s="23" t="s">
        <v>86</v>
      </c>
      <c r="G10494" s="24">
        <v>91.0</v>
      </c>
      <c r="H10494" s="24">
        <v>354.0</v>
      </c>
      <c r="I10494" s="24">
        <v>8501.0</v>
      </c>
      <c r="J10494" s="24">
        <v>0.0</v>
      </c>
      <c r="K10494" s="23" t="s">
        <v>34</v>
      </c>
      <c r="L10494" s="25">
        <v>42575.56872685185</v>
      </c>
      <c r="M10494" s="26" t="s">
        <v>22323</v>
      </c>
      <c r="N10494" s="26" t="s">
        <v>22324</v>
      </c>
      <c r="O10494" s="22" t="str">
        <f>HYPERLINK("https://pbs.twimg.com/profile_images/828519905863561217/2t23VZmm_normal.jpg","View")</f>
        <v>View</v>
      </c>
      <c r="P10494" s="27"/>
    </row>
    <row r="10495">
      <c r="A10495" s="14">
        <v>43032.28512731481</v>
      </c>
      <c r="B10495" s="20" t="str">
        <f>HYPERLINK("https://twitter.com/AnnadaPrasadPa1","@AnnadaPrasadPa1")</f>
        <v>@AnnadaPrasadPa1</v>
      </c>
      <c r="C10495" s="21" t="s">
        <v>22325</v>
      </c>
      <c r="D10495" s="21" t="s">
        <v>42</v>
      </c>
      <c r="E10495" s="22" t="str">
        <f>HYPERLINK("https://twitter.com/AnnadaPrasadPa1/status/922822631648198657","922822631648198657")</f>
        <v>922822631648198657</v>
      </c>
      <c r="F10495" s="23" t="s">
        <v>33</v>
      </c>
      <c r="G10495" s="24">
        <v>22.0</v>
      </c>
      <c r="H10495" s="24">
        <v>184.0</v>
      </c>
      <c r="I10495" s="24">
        <v>8501.0</v>
      </c>
      <c r="J10495" s="24">
        <v>0.0</v>
      </c>
      <c r="K10495" s="23" t="s">
        <v>34</v>
      </c>
      <c r="L10495" s="25">
        <v>42920.75980324074</v>
      </c>
      <c r="M10495" s="28"/>
      <c r="N10495" s="28"/>
      <c r="O10495" s="22" t="str">
        <f>HYPERLINK("https://abs.twimg.com/sticky/default_profile_images/default_profile_normal.png","View")</f>
        <v>View</v>
      </c>
      <c r="P10495" s="27"/>
    </row>
    <row r="10496">
      <c r="A10496" s="14">
        <v>43032.285682870366</v>
      </c>
      <c r="B10496" s="20" t="str">
        <f>HYPERLINK("https://twitter.com/jigarceo","@jigarceo")</f>
        <v>@jigarceo</v>
      </c>
      <c r="C10496" s="21" t="s">
        <v>22326</v>
      </c>
      <c r="D10496" s="21" t="s">
        <v>42</v>
      </c>
      <c r="E10496" s="22" t="str">
        <f>HYPERLINK("https://twitter.com/jigarceo/status/922822832039399425","922822832039399425")</f>
        <v>922822832039399425</v>
      </c>
      <c r="F10496" s="23" t="s">
        <v>33</v>
      </c>
      <c r="G10496" s="24">
        <v>1768.0</v>
      </c>
      <c r="H10496" s="24">
        <v>812.0</v>
      </c>
      <c r="I10496" s="24">
        <v>8501.0</v>
      </c>
      <c r="J10496" s="24">
        <v>0.0</v>
      </c>
      <c r="K10496" s="23" t="s">
        <v>34</v>
      </c>
      <c r="L10496" s="25">
        <v>40325.83962962963</v>
      </c>
      <c r="M10496" s="26" t="s">
        <v>22327</v>
      </c>
      <c r="N10496" s="26" t="s">
        <v>22328</v>
      </c>
      <c r="O10496" s="22" t="str">
        <f>HYPERLINK("https://pbs.twimg.com/profile_images/725699629904461824/_xX5Anmm_normal.jpg","View")</f>
        <v>View</v>
      </c>
      <c r="P10496" s="27"/>
    </row>
    <row r="10497">
      <c r="A10497" s="14">
        <v>43032.28570601852</v>
      </c>
      <c r="B10497" s="20" t="str">
        <f>HYPERLINK("https://twitter.com/vivekumar0176","@vivekumar0176")</f>
        <v>@vivekumar0176</v>
      </c>
      <c r="C10497" s="21" t="s">
        <v>22329</v>
      </c>
      <c r="D10497" s="21" t="s">
        <v>7602</v>
      </c>
      <c r="E10497" s="22" t="str">
        <f>HYPERLINK("https://twitter.com/vivekumar0176/status/922822844379152384","922822844379152384")</f>
        <v>922822844379152384</v>
      </c>
      <c r="F10497" s="23" t="s">
        <v>33</v>
      </c>
      <c r="G10497" s="24">
        <v>28.0</v>
      </c>
      <c r="H10497" s="24">
        <v>90.0</v>
      </c>
      <c r="I10497" s="24">
        <v>7.0</v>
      </c>
      <c r="J10497" s="24">
        <v>0.0</v>
      </c>
      <c r="K10497" s="23" t="s">
        <v>34</v>
      </c>
      <c r="L10497" s="25">
        <v>42592.132731481484</v>
      </c>
      <c r="M10497" s="26" t="s">
        <v>603</v>
      </c>
      <c r="N10497" s="26" t="s">
        <v>22330</v>
      </c>
      <c r="O10497" s="22" t="str">
        <f>HYPERLINK("https://pbs.twimg.com/profile_images/763321064986337280/ZB6k4BsF_normal.jpg","View")</f>
        <v>View</v>
      </c>
      <c r="P10497" s="27"/>
    </row>
    <row r="10498">
      <c r="A10498" s="14">
        <v>43032.28600694444</v>
      </c>
      <c r="B10498" s="20" t="str">
        <f>HYPERLINK("https://twitter.com/turatsinze_p","@turatsinze_p")</f>
        <v>@turatsinze_p</v>
      </c>
      <c r="C10498" s="21" t="s">
        <v>22331</v>
      </c>
      <c r="D10498" s="21" t="s">
        <v>21261</v>
      </c>
      <c r="E10498" s="22" t="str">
        <f>HYPERLINK("https://twitter.com/turatsinze_p/status/922822951342292994","922822951342292994")</f>
        <v>922822951342292994</v>
      </c>
      <c r="F10498" s="23" t="s">
        <v>39</v>
      </c>
      <c r="G10498" s="24">
        <v>271.0</v>
      </c>
      <c r="H10498" s="24">
        <v>986.0</v>
      </c>
      <c r="I10498" s="24">
        <v>11.0</v>
      </c>
      <c r="J10498" s="24">
        <v>0.0</v>
      </c>
      <c r="K10498" s="23" t="s">
        <v>34</v>
      </c>
      <c r="L10498" s="25">
        <v>40618.13832175926</v>
      </c>
      <c r="M10498" s="26" t="s">
        <v>22332</v>
      </c>
      <c r="N10498" s="26" t="s">
        <v>22333</v>
      </c>
      <c r="O10498" s="22" t="str">
        <f>HYPERLINK("https://pbs.twimg.com/profile_images/865168738437406720/kwJxcwhM_normal.jpg","View")</f>
        <v>View</v>
      </c>
      <c r="P10498" s="27"/>
    </row>
    <row r="10499">
      <c r="A10499" s="14">
        <v>43032.2860300926</v>
      </c>
      <c r="B10499" s="20" t="str">
        <f>HYPERLINK("https://twitter.com/bhaji_n","@bhaji_n")</f>
        <v>@bhaji_n</v>
      </c>
      <c r="C10499" s="21" t="s">
        <v>22334</v>
      </c>
      <c r="D10499" s="21" t="s">
        <v>42</v>
      </c>
      <c r="E10499" s="22" t="str">
        <f>HYPERLINK("https://twitter.com/bhaji_n/status/922822961442185216","922822961442185216")</f>
        <v>922822961442185216</v>
      </c>
      <c r="F10499" s="23" t="s">
        <v>33</v>
      </c>
      <c r="G10499" s="24">
        <v>146.0</v>
      </c>
      <c r="H10499" s="24">
        <v>1510.0</v>
      </c>
      <c r="I10499" s="24">
        <v>8501.0</v>
      </c>
      <c r="J10499" s="24">
        <v>0.0</v>
      </c>
      <c r="K10499" s="23" t="s">
        <v>34</v>
      </c>
      <c r="L10499" s="25">
        <v>42872.00454861111</v>
      </c>
      <c r="M10499" s="28"/>
      <c r="N10499" s="28"/>
      <c r="O10499" s="22" t="str">
        <f>HYPERLINK("https://abs.twimg.com/sticky/default_profile_images/default_profile_normal.png","View")</f>
        <v>View</v>
      </c>
      <c r="P10499" s="27"/>
    </row>
    <row r="10500">
      <c r="A10500" s="14">
        <v>43032.28611111111</v>
      </c>
      <c r="B10500" s="20" t="str">
        <f>HYPERLINK("https://twitter.com/Gila_Toulou","@Gila_Toulou")</f>
        <v>@Gila_Toulou</v>
      </c>
      <c r="C10500" s="21" t="s">
        <v>22335</v>
      </c>
      <c r="D10500" s="21" t="s">
        <v>21202</v>
      </c>
      <c r="E10500" s="22" t="str">
        <f>HYPERLINK("https://twitter.com/Gila_Toulou/status/922822989476794368","922822989476794368")</f>
        <v>922822989476794368</v>
      </c>
      <c r="F10500" s="23" t="s">
        <v>86</v>
      </c>
      <c r="G10500" s="24">
        <v>788.0</v>
      </c>
      <c r="H10500" s="24">
        <v>387.0</v>
      </c>
      <c r="I10500" s="24">
        <v>79.0</v>
      </c>
      <c r="J10500" s="24">
        <v>0.0</v>
      </c>
      <c r="K10500" s="23" t="s">
        <v>34</v>
      </c>
      <c r="L10500" s="25">
        <v>41541.549525462964</v>
      </c>
      <c r="M10500" s="26" t="s">
        <v>40</v>
      </c>
      <c r="N10500" s="26" t="s">
        <v>21141</v>
      </c>
      <c r="O10500" s="22" t="str">
        <f>HYPERLINK("https://pbs.twimg.com/profile_images/378800000694178222/0cd6d54cc49a72f8cb5879319675fdc9_normal.jpeg","View")</f>
        <v>View</v>
      </c>
      <c r="P10500" s="27"/>
    </row>
    <row r="10501">
      <c r="A10501" s="14">
        <v>43032.28616898148</v>
      </c>
      <c r="B10501" s="20" t="str">
        <f>HYPERLINK("https://twitter.com/Xqhuuj1","@Xqhuuj1")</f>
        <v>@Xqhuuj1</v>
      </c>
      <c r="C10501" s="21" t="s">
        <v>22318</v>
      </c>
      <c r="D10501" s="21" t="s">
        <v>213</v>
      </c>
      <c r="E10501" s="22" t="str">
        <f>HYPERLINK("https://twitter.com/Xqhuuj1/status/922823011803131904","922823011803131904")</f>
        <v>922823011803131904</v>
      </c>
      <c r="F10501" s="23" t="s">
        <v>55</v>
      </c>
      <c r="G10501" s="24">
        <v>23.0</v>
      </c>
      <c r="H10501" s="24">
        <v>1.0</v>
      </c>
      <c r="I10501" s="24">
        <v>94.0</v>
      </c>
      <c r="J10501" s="24">
        <v>0.0</v>
      </c>
      <c r="K10501" s="23" t="s">
        <v>34</v>
      </c>
      <c r="L10501" s="25">
        <v>42992.228425925925</v>
      </c>
      <c r="M10501" s="28"/>
      <c r="N10501" s="28"/>
      <c r="O10501" s="22" t="str">
        <f>HYPERLINK("https://pbs.twimg.com/profile_images/918459302351740929/haQV3-BJ_normal.jpg","View")</f>
        <v>View</v>
      </c>
      <c r="P10501" s="27"/>
    </row>
    <row r="10502">
      <c r="A10502" s="14">
        <v>43032.286261574074</v>
      </c>
      <c r="B10502" s="20" t="str">
        <f>HYPERLINK("https://twitter.com/weissjarden22","@weissjarden22")</f>
        <v>@weissjarden22</v>
      </c>
      <c r="C10502" s="21" t="s">
        <v>22336</v>
      </c>
      <c r="D10502" s="21" t="s">
        <v>22286</v>
      </c>
      <c r="E10502" s="22" t="str">
        <f>HYPERLINK("https://twitter.com/weissjarden22/status/922823044833431553","922823044833431553")</f>
        <v>922823044833431553</v>
      </c>
      <c r="F10502" s="23" t="s">
        <v>43</v>
      </c>
      <c r="G10502" s="24">
        <v>116.0</v>
      </c>
      <c r="H10502" s="24">
        <v>604.0</v>
      </c>
      <c r="I10502" s="24">
        <v>3.0</v>
      </c>
      <c r="J10502" s="24">
        <v>0.0</v>
      </c>
      <c r="K10502" s="23" t="s">
        <v>34</v>
      </c>
      <c r="L10502" s="25">
        <v>41880.61766203704</v>
      </c>
      <c r="M10502" s="26" t="s">
        <v>22337</v>
      </c>
      <c r="N10502" s="26" t="s">
        <v>22338</v>
      </c>
      <c r="O10502" s="22" t="str">
        <f>HYPERLINK("https://pbs.twimg.com/profile_images/921443184709795840/oaQfbwIF_normal.jpg","View")</f>
        <v>View</v>
      </c>
      <c r="P10502" s="27"/>
    </row>
    <row r="10503">
      <c r="A10503" s="14">
        <v>43032.28645833333</v>
      </c>
      <c r="B10503" s="20" t="str">
        <f>HYPERLINK("https://twitter.com/54QnMIXYFaG70y0","@54QnMIXYFaG70y0")</f>
        <v>@54QnMIXYFaG70y0</v>
      </c>
      <c r="C10503" s="21" t="s">
        <v>22339</v>
      </c>
      <c r="D10503" s="21" t="s">
        <v>1474</v>
      </c>
      <c r="E10503" s="22" t="str">
        <f>HYPERLINK("https://twitter.com/54QnMIXYFaG70y0/status/922823113619812353","922823113619812353")</f>
        <v>922823113619812353</v>
      </c>
      <c r="F10503" s="23" t="s">
        <v>33</v>
      </c>
      <c r="G10503" s="24">
        <v>77.0</v>
      </c>
      <c r="H10503" s="24">
        <v>154.0</v>
      </c>
      <c r="I10503" s="24">
        <v>29.0</v>
      </c>
      <c r="J10503" s="24">
        <v>0.0</v>
      </c>
      <c r="K10503" s="23" t="s">
        <v>34</v>
      </c>
      <c r="L10503" s="25">
        <v>42990.170057870375</v>
      </c>
      <c r="M10503" s="26" t="s">
        <v>71</v>
      </c>
      <c r="N10503" s="26" t="s">
        <v>22340</v>
      </c>
      <c r="O10503" s="22" t="str">
        <f>HYPERLINK("https://pbs.twimg.com/profile_images/921613242283188224/ttOXhIGd_normal.jpg","View")</f>
        <v>View</v>
      </c>
      <c r="P10503" s="27"/>
    </row>
    <row r="10504">
      <c r="A10504" s="14">
        <v>43032.28653935185</v>
      </c>
      <c r="B10504" s="20" t="str">
        <f>HYPERLINK("https://twitter.com/behnamabasi2","@behnamabasi2")</f>
        <v>@behnamabasi2</v>
      </c>
      <c r="C10504" s="21" t="s">
        <v>22341</v>
      </c>
      <c r="D10504" s="21" t="s">
        <v>21202</v>
      </c>
      <c r="E10504" s="22" t="str">
        <f>HYPERLINK("https://twitter.com/behnamabasi2/status/922823143366057984","922823143366057984")</f>
        <v>922823143366057984</v>
      </c>
      <c r="F10504" s="23" t="s">
        <v>86</v>
      </c>
      <c r="G10504" s="24">
        <v>153.0</v>
      </c>
      <c r="H10504" s="24">
        <v>168.0</v>
      </c>
      <c r="I10504" s="24">
        <v>79.0</v>
      </c>
      <c r="J10504" s="24">
        <v>0.0</v>
      </c>
      <c r="K10504" s="23" t="s">
        <v>34</v>
      </c>
      <c r="L10504" s="25">
        <v>41779.2103125</v>
      </c>
      <c r="M10504" s="26" t="s">
        <v>22342</v>
      </c>
      <c r="N10504" s="26" t="s">
        <v>22343</v>
      </c>
      <c r="O10504" s="22" t="str">
        <f>HYPERLINK("https://pbs.twimg.com/profile_images/468726640822870016/wd-mf55o_normal.png","View")</f>
        <v>View</v>
      </c>
      <c r="P10504" s="27"/>
    </row>
    <row r="10505">
      <c r="A10505" s="14">
        <v>43032.286631944444</v>
      </c>
      <c r="B10505" s="20" t="str">
        <f>HYPERLINK("https://twitter.com/DrMarkPBarry","@DrMarkPBarry")</f>
        <v>@DrMarkPBarry</v>
      </c>
      <c r="C10505" s="21" t="s">
        <v>22344</v>
      </c>
      <c r="D10505" s="21" t="s">
        <v>22345</v>
      </c>
      <c r="E10505" s="22" t="str">
        <f>HYPERLINK("https://twitter.com/DrMarkPBarry/status/922823175934824448","922823175934824448")</f>
        <v>922823175934824448</v>
      </c>
      <c r="F10505" s="23" t="s">
        <v>4595</v>
      </c>
      <c r="G10505" s="24">
        <v>1296.0</v>
      </c>
      <c r="H10505" s="24">
        <v>90.0</v>
      </c>
      <c r="I10505" s="24">
        <v>1.0</v>
      </c>
      <c r="J10505" s="24">
        <v>1.0</v>
      </c>
      <c r="K10505" s="23" t="s">
        <v>34</v>
      </c>
      <c r="L10505" s="25">
        <v>40123.562256944446</v>
      </c>
      <c r="M10505" s="26" t="s">
        <v>22346</v>
      </c>
      <c r="N10505" s="26" t="s">
        <v>22347</v>
      </c>
      <c r="O10505" s="22" t="str">
        <f>HYPERLINK("https://pbs.twimg.com/profile_images/870119932348030976/hfZcyeqs_normal.jpg","View")</f>
        <v>View</v>
      </c>
      <c r="P10505" s="27"/>
    </row>
    <row r="10506">
      <c r="A10506" s="14">
        <v>43032.28673611111</v>
      </c>
      <c r="B10506" s="20" t="str">
        <f>HYPERLINK("https://twitter.com/psya1","@psya1")</f>
        <v>@psya1</v>
      </c>
      <c r="C10506" s="21" t="s">
        <v>22348</v>
      </c>
      <c r="D10506" s="21" t="s">
        <v>1474</v>
      </c>
      <c r="E10506" s="22" t="str">
        <f>HYPERLINK("https://twitter.com/psya1/status/922823215860166660","922823215860166660")</f>
        <v>922823215860166660</v>
      </c>
      <c r="F10506" s="23" t="s">
        <v>39</v>
      </c>
      <c r="G10506" s="24">
        <v>44.0</v>
      </c>
      <c r="H10506" s="24">
        <v>60.0</v>
      </c>
      <c r="I10506" s="24">
        <v>29.0</v>
      </c>
      <c r="J10506" s="24">
        <v>0.0</v>
      </c>
      <c r="K10506" s="23" t="s">
        <v>34</v>
      </c>
      <c r="L10506" s="25">
        <v>41554.433217592596</v>
      </c>
      <c r="M10506" s="28"/>
      <c r="N10506" s="26" t="s">
        <v>22349</v>
      </c>
      <c r="O10506" s="22" t="str">
        <f>HYPERLINK("https://pbs.twimg.com/profile_images/513209552058064898/Gzhbje6M_normal.jpeg","View")</f>
        <v>View</v>
      </c>
      <c r="P10506" s="27"/>
    </row>
    <row r="10507">
      <c r="A10507" s="14">
        <v>43032.28675925926</v>
      </c>
      <c r="B10507" s="20" t="str">
        <f>HYPERLINK("https://twitter.com/Gila_Toulou","@Gila_Toulou")</f>
        <v>@Gila_Toulou</v>
      </c>
      <c r="C10507" s="21" t="s">
        <v>22335</v>
      </c>
      <c r="D10507" s="21" t="s">
        <v>21203</v>
      </c>
      <c r="E10507" s="22" t="str">
        <f>HYPERLINK("https://twitter.com/Gila_Toulou/status/922823224236244999","922823224236244999")</f>
        <v>922823224236244999</v>
      </c>
      <c r="F10507" s="23" t="s">
        <v>86</v>
      </c>
      <c r="G10507" s="24">
        <v>788.0</v>
      </c>
      <c r="H10507" s="24">
        <v>387.0</v>
      </c>
      <c r="I10507" s="24">
        <v>75.0</v>
      </c>
      <c r="J10507" s="24">
        <v>0.0</v>
      </c>
      <c r="K10507" s="23" t="s">
        <v>34</v>
      </c>
      <c r="L10507" s="25">
        <v>41541.549525462964</v>
      </c>
      <c r="M10507" s="26" t="s">
        <v>40</v>
      </c>
      <c r="N10507" s="26" t="s">
        <v>21141</v>
      </c>
      <c r="O10507" s="22" t="str">
        <f>HYPERLINK("https://pbs.twimg.com/profile_images/378800000694178222/0cd6d54cc49a72f8cb5879319675fdc9_normal.jpeg","View")</f>
        <v>View</v>
      </c>
      <c r="P10507" s="27"/>
    </row>
    <row r="10508">
      <c r="A10508" s="14">
        <v>43032.286944444444</v>
      </c>
      <c r="B10508" s="20" t="str">
        <f>HYPERLINK("https://twitter.com/Hariom_Rawat19","@Hariom_Rawat19")</f>
        <v>@Hariom_Rawat19</v>
      </c>
      <c r="C10508" s="21" t="s">
        <v>22350</v>
      </c>
      <c r="D10508" s="21" t="s">
        <v>42</v>
      </c>
      <c r="E10508" s="22" t="str">
        <f>HYPERLINK("https://twitter.com/Hariom_Rawat19/status/922823290598465536","922823290598465536")</f>
        <v>922823290598465536</v>
      </c>
      <c r="F10508" s="23" t="s">
        <v>33</v>
      </c>
      <c r="G10508" s="24">
        <v>204.0</v>
      </c>
      <c r="H10508" s="24">
        <v>426.0</v>
      </c>
      <c r="I10508" s="24">
        <v>8501.0</v>
      </c>
      <c r="J10508" s="24">
        <v>0.0</v>
      </c>
      <c r="K10508" s="23" t="s">
        <v>34</v>
      </c>
      <c r="L10508" s="25">
        <v>42786.291608796295</v>
      </c>
      <c r="M10508" s="26" t="s">
        <v>204</v>
      </c>
      <c r="N10508" s="28"/>
      <c r="O10508" s="22" t="str">
        <f>HYPERLINK("https://pbs.twimg.com/profile_images/922868531187802112/Eneluulj_normal.jpg","View")</f>
        <v>View</v>
      </c>
      <c r="P10508" s="27"/>
    </row>
    <row r="10509">
      <c r="A10509" s="14">
        <v>43032.287141203706</v>
      </c>
      <c r="B10509" s="20" t="str">
        <f>HYPERLINK("https://twitter.com/behnamabasi2","@behnamabasi2")</f>
        <v>@behnamabasi2</v>
      </c>
      <c r="C10509" s="21" t="s">
        <v>22341</v>
      </c>
      <c r="D10509" s="21" t="s">
        <v>21203</v>
      </c>
      <c r="E10509" s="22" t="str">
        <f>HYPERLINK("https://twitter.com/behnamabasi2/status/922823361612451846","922823361612451846")</f>
        <v>922823361612451846</v>
      </c>
      <c r="F10509" s="23" t="s">
        <v>86</v>
      </c>
      <c r="G10509" s="24">
        <v>153.0</v>
      </c>
      <c r="H10509" s="24">
        <v>168.0</v>
      </c>
      <c r="I10509" s="24">
        <v>75.0</v>
      </c>
      <c r="J10509" s="24">
        <v>0.0</v>
      </c>
      <c r="K10509" s="23" t="s">
        <v>34</v>
      </c>
      <c r="L10509" s="25">
        <v>41779.2103125</v>
      </c>
      <c r="M10509" s="26" t="s">
        <v>22342</v>
      </c>
      <c r="N10509" s="26" t="s">
        <v>22343</v>
      </c>
      <c r="O10509" s="22" t="str">
        <f>HYPERLINK("https://pbs.twimg.com/profile_images/468726640822870016/wd-mf55o_normal.png","View")</f>
        <v>View</v>
      </c>
      <c r="P10509" s="27"/>
    </row>
    <row r="10510">
      <c r="A10510" s="14">
        <v>43032.28733796296</v>
      </c>
      <c r="B10510" s="20" t="str">
        <f>HYPERLINK("https://twitter.com/Socialistdawn","@Socialistdawn")</f>
        <v>@Socialistdawn</v>
      </c>
      <c r="C10510" s="21" t="s">
        <v>22351</v>
      </c>
      <c r="D10510" s="21" t="s">
        <v>13295</v>
      </c>
      <c r="E10510" s="22" t="str">
        <f>HYPERLINK("https://twitter.com/Socialistdawn/status/922823432424828929","922823432424828929")</f>
        <v>922823432424828929</v>
      </c>
      <c r="F10510" s="23" t="s">
        <v>230</v>
      </c>
      <c r="G10510" s="24">
        <v>5756.0</v>
      </c>
      <c r="H10510" s="24">
        <v>6119.0</v>
      </c>
      <c r="I10510" s="24">
        <v>19.0</v>
      </c>
      <c r="J10510" s="24">
        <v>0.0</v>
      </c>
      <c r="K10510" s="23" t="s">
        <v>34</v>
      </c>
      <c r="L10510" s="25">
        <v>40512.055613425924</v>
      </c>
      <c r="M10510" s="26" t="s">
        <v>22352</v>
      </c>
      <c r="N10510" s="26" t="s">
        <v>22353</v>
      </c>
      <c r="O10510" s="22" t="str">
        <f>HYPERLINK("https://pbs.twimg.com/profile_images/798075015405125632/FHjNUyUd_normal.jpg","View")</f>
        <v>View</v>
      </c>
      <c r="P10510" s="27"/>
    </row>
    <row r="10511">
      <c r="A10511" s="14">
        <v>43032.287407407406</v>
      </c>
      <c r="B10511" s="20" t="str">
        <f>HYPERLINK("https://twitter.com/Gila_Toulou","@Gila_Toulou")</f>
        <v>@Gila_Toulou</v>
      </c>
      <c r="C10511" s="21" t="s">
        <v>22335</v>
      </c>
      <c r="D10511" s="21" t="s">
        <v>21243</v>
      </c>
      <c r="E10511" s="22" t="str">
        <f>HYPERLINK("https://twitter.com/Gila_Toulou/status/922823459444482055","922823459444482055")</f>
        <v>922823459444482055</v>
      </c>
      <c r="F10511" s="23" t="s">
        <v>86</v>
      </c>
      <c r="G10511" s="24">
        <v>788.0</v>
      </c>
      <c r="H10511" s="24">
        <v>387.0</v>
      </c>
      <c r="I10511" s="24">
        <v>41.0</v>
      </c>
      <c r="J10511" s="24">
        <v>0.0</v>
      </c>
      <c r="K10511" s="23" t="s">
        <v>34</v>
      </c>
      <c r="L10511" s="25">
        <v>41541.549525462964</v>
      </c>
      <c r="M10511" s="26" t="s">
        <v>40</v>
      </c>
      <c r="N10511" s="26" t="s">
        <v>21141</v>
      </c>
      <c r="O10511" s="22" t="str">
        <f>HYPERLINK("https://pbs.twimg.com/profile_images/378800000694178222/0cd6d54cc49a72f8cb5879319675fdc9_normal.jpeg","View")</f>
        <v>View</v>
      </c>
      <c r="P10511" s="27"/>
    </row>
    <row r="10512">
      <c r="A10512" s="14">
        <v>43032.28774305555</v>
      </c>
      <c r="B10512" s="20" t="str">
        <f>HYPERLINK("https://twitter.com/behnamabasi2","@behnamabasi2")</f>
        <v>@behnamabasi2</v>
      </c>
      <c r="C10512" s="21" t="s">
        <v>22341</v>
      </c>
      <c r="D10512" s="21" t="s">
        <v>21243</v>
      </c>
      <c r="E10512" s="22" t="str">
        <f>HYPERLINK("https://twitter.com/behnamabasi2/status/922823578789253120","922823578789253120")</f>
        <v>922823578789253120</v>
      </c>
      <c r="F10512" s="23" t="s">
        <v>86</v>
      </c>
      <c r="G10512" s="24">
        <v>153.0</v>
      </c>
      <c r="H10512" s="24">
        <v>168.0</v>
      </c>
      <c r="I10512" s="24">
        <v>41.0</v>
      </c>
      <c r="J10512" s="24">
        <v>0.0</v>
      </c>
      <c r="K10512" s="23" t="s">
        <v>34</v>
      </c>
      <c r="L10512" s="25">
        <v>41779.2103125</v>
      </c>
      <c r="M10512" s="26" t="s">
        <v>22342</v>
      </c>
      <c r="N10512" s="26" t="s">
        <v>22343</v>
      </c>
      <c r="O10512" s="22" t="str">
        <f>HYPERLINK("https://pbs.twimg.com/profile_images/468726640822870016/wd-mf55o_normal.png","View")</f>
        <v>View</v>
      </c>
      <c r="P10512" s="27"/>
    </row>
    <row r="10513">
      <c r="A10513" s="14">
        <v>43032.28805555556</v>
      </c>
      <c r="B10513" s="20" t="str">
        <f>HYPERLINK("https://twitter.com/Gila_Toulou","@Gila_Toulou")</f>
        <v>@Gila_Toulou</v>
      </c>
      <c r="C10513" s="21" t="s">
        <v>22335</v>
      </c>
      <c r="D10513" s="21" t="s">
        <v>21191</v>
      </c>
      <c r="E10513" s="22" t="str">
        <f>HYPERLINK("https://twitter.com/Gila_Toulou/status/922823694438735872","922823694438735872")</f>
        <v>922823694438735872</v>
      </c>
      <c r="F10513" s="23" t="s">
        <v>86</v>
      </c>
      <c r="G10513" s="24">
        <v>788.0</v>
      </c>
      <c r="H10513" s="24">
        <v>387.0</v>
      </c>
      <c r="I10513" s="24">
        <v>42.0</v>
      </c>
      <c r="J10513" s="24">
        <v>0.0</v>
      </c>
      <c r="K10513" s="23" t="s">
        <v>34</v>
      </c>
      <c r="L10513" s="25">
        <v>41541.549525462964</v>
      </c>
      <c r="M10513" s="26" t="s">
        <v>40</v>
      </c>
      <c r="N10513" s="26" t="s">
        <v>21141</v>
      </c>
      <c r="O10513" s="22" t="str">
        <f>HYPERLINK("https://pbs.twimg.com/profile_images/378800000694178222/0cd6d54cc49a72f8cb5879319675fdc9_normal.jpeg","View")</f>
        <v>View</v>
      </c>
      <c r="P10513" s="27"/>
    </row>
    <row r="10514">
      <c r="A10514" s="14">
        <v>43032.28833333333</v>
      </c>
      <c r="B10514" s="20" t="str">
        <f>HYPERLINK("https://twitter.com/Google_MyStyle","@Google_MyStyle")</f>
        <v>@Google_MyStyle</v>
      </c>
      <c r="C10514" s="29" t="s">
        <v>22354</v>
      </c>
      <c r="D10514" s="21" t="s">
        <v>108</v>
      </c>
      <c r="E10514" s="22" t="str">
        <f>HYPERLINK("https://twitter.com/Google_MyStyle/status/922823792442748928","922823792442748928")</f>
        <v>922823792442748928</v>
      </c>
      <c r="F10514" s="23" t="s">
        <v>55</v>
      </c>
      <c r="G10514" s="24">
        <v>3380.0</v>
      </c>
      <c r="H10514" s="24">
        <v>4994.0</v>
      </c>
      <c r="I10514" s="24">
        <v>88.0</v>
      </c>
      <c r="J10514" s="24">
        <v>0.0</v>
      </c>
      <c r="K10514" s="23" t="s">
        <v>34</v>
      </c>
      <c r="L10514" s="25">
        <v>39884.803090277775</v>
      </c>
      <c r="M10514" s="26" t="s">
        <v>22355</v>
      </c>
      <c r="N10514" s="26" t="s">
        <v>22356</v>
      </c>
      <c r="O10514" s="22" t="str">
        <f>HYPERLINK("https://pbs.twimg.com/profile_images/918564992672083968/1TCWEPNd_normal.jpg","View")</f>
        <v>View</v>
      </c>
      <c r="P10514" s="27"/>
    </row>
    <row r="10515">
      <c r="A10515" s="14">
        <v>43032.28834490741</v>
      </c>
      <c r="B10515" s="20" t="str">
        <f>HYPERLINK("https://twitter.com/behnamabasi2","@behnamabasi2")</f>
        <v>@behnamabasi2</v>
      </c>
      <c r="C10515" s="21" t="s">
        <v>22341</v>
      </c>
      <c r="D10515" s="21" t="s">
        <v>21191</v>
      </c>
      <c r="E10515" s="22" t="str">
        <f>HYPERLINK("https://twitter.com/behnamabasi2/status/922823797148753920","922823797148753920")</f>
        <v>922823797148753920</v>
      </c>
      <c r="F10515" s="23" t="s">
        <v>86</v>
      </c>
      <c r="G10515" s="24">
        <v>153.0</v>
      </c>
      <c r="H10515" s="24">
        <v>168.0</v>
      </c>
      <c r="I10515" s="24">
        <v>42.0</v>
      </c>
      <c r="J10515" s="24">
        <v>0.0</v>
      </c>
      <c r="K10515" s="23" t="s">
        <v>34</v>
      </c>
      <c r="L10515" s="25">
        <v>41779.2103125</v>
      </c>
      <c r="M10515" s="26" t="s">
        <v>22342</v>
      </c>
      <c r="N10515" s="26" t="s">
        <v>22343</v>
      </c>
      <c r="O10515" s="22" t="str">
        <f>HYPERLINK("https://pbs.twimg.com/profile_images/468726640822870016/wd-mf55o_normal.png","View")</f>
        <v>View</v>
      </c>
      <c r="P10515" s="27"/>
    </row>
    <row r="10516">
      <c r="A10516" s="14">
        <v>43032.28836805555</v>
      </c>
      <c r="B10516" s="20" t="str">
        <f>HYPERLINK("https://twitter.com/Google_MyStyle","@Google_MyStyle")</f>
        <v>@Google_MyStyle</v>
      </c>
      <c r="C10516" s="29" t="s">
        <v>22354</v>
      </c>
      <c r="D10516" s="21" t="s">
        <v>760</v>
      </c>
      <c r="E10516" s="22" t="str">
        <f>HYPERLINK("https://twitter.com/Google_MyStyle/status/922823807311761409","922823807311761409")</f>
        <v>922823807311761409</v>
      </c>
      <c r="F10516" s="23" t="s">
        <v>55</v>
      </c>
      <c r="G10516" s="24">
        <v>3380.0</v>
      </c>
      <c r="H10516" s="24">
        <v>4994.0</v>
      </c>
      <c r="I10516" s="24">
        <v>62.0</v>
      </c>
      <c r="J10516" s="24">
        <v>0.0</v>
      </c>
      <c r="K10516" s="23" t="s">
        <v>34</v>
      </c>
      <c r="L10516" s="25">
        <v>39884.803090277775</v>
      </c>
      <c r="M10516" s="26" t="s">
        <v>22355</v>
      </c>
      <c r="N10516" s="26" t="s">
        <v>22356</v>
      </c>
      <c r="O10516" s="22" t="str">
        <f>HYPERLINK("https://pbs.twimg.com/profile_images/918564992672083968/1TCWEPNd_normal.jpg","View")</f>
        <v>View</v>
      </c>
      <c r="P10516" s="27"/>
    </row>
    <row r="10517">
      <c r="A10517" s="14">
        <v>43032.28858796296</v>
      </c>
      <c r="B10517" s="20" t="str">
        <f>HYPERLINK("https://twitter.com/Liotfire114","@Liotfire114")</f>
        <v>@Liotfire114</v>
      </c>
      <c r="C10517" s="21" t="s">
        <v>22357</v>
      </c>
      <c r="D10517" s="21" t="s">
        <v>12974</v>
      </c>
      <c r="E10517" s="22" t="str">
        <f>HYPERLINK("https://twitter.com/Liotfire114/status/922823884822388737","922823884822388737")</f>
        <v>922823884822388737</v>
      </c>
      <c r="F10517" s="23" t="s">
        <v>39</v>
      </c>
      <c r="G10517" s="24">
        <v>83.0</v>
      </c>
      <c r="H10517" s="24">
        <v>62.0</v>
      </c>
      <c r="I10517" s="24">
        <v>110.0</v>
      </c>
      <c r="J10517" s="24">
        <v>0.0</v>
      </c>
      <c r="K10517" s="23" t="s">
        <v>34</v>
      </c>
      <c r="L10517" s="25">
        <v>42856.39755787037</v>
      </c>
      <c r="M10517" s="28"/>
      <c r="N10517" s="26" t="s">
        <v>22358</v>
      </c>
      <c r="O10517" s="22" t="str">
        <f>HYPERLINK("https://pbs.twimg.com/profile_images/922096352116350977/jgHZkUAF_normal.jpg","View")</f>
        <v>View</v>
      </c>
      <c r="P10517" s="27"/>
    </row>
    <row r="10518">
      <c r="A10518" s="14">
        <v>43032.28875</v>
      </c>
      <c r="B10518" s="20" t="str">
        <f>HYPERLINK("https://twitter.com/SunsysStudio","@SunsysStudio")</f>
        <v>@SunsysStudio</v>
      </c>
      <c r="C10518" s="21" t="s">
        <v>22359</v>
      </c>
      <c r="D10518" s="21" t="s">
        <v>42</v>
      </c>
      <c r="E10518" s="22" t="str">
        <f>HYPERLINK("https://twitter.com/SunsysStudio/status/922823943987240961","922823943987240961")</f>
        <v>922823943987240961</v>
      </c>
      <c r="F10518" s="23" t="s">
        <v>33</v>
      </c>
      <c r="G10518" s="24">
        <v>231.0</v>
      </c>
      <c r="H10518" s="24">
        <v>552.0</v>
      </c>
      <c r="I10518" s="24">
        <v>8501.0</v>
      </c>
      <c r="J10518" s="24">
        <v>0.0</v>
      </c>
      <c r="K10518" s="23" t="s">
        <v>34</v>
      </c>
      <c r="L10518" s="25">
        <v>40343.966886574075</v>
      </c>
      <c r="M10518" s="26" t="s">
        <v>5241</v>
      </c>
      <c r="N10518" s="26" t="s">
        <v>22360</v>
      </c>
      <c r="O10518" s="22" t="str">
        <f>HYPERLINK("https://pbs.twimg.com/profile_images/891485291839721472/sABR_U1F_normal.jpg","View")</f>
        <v>View</v>
      </c>
      <c r="P10518" s="27"/>
    </row>
    <row r="10519">
      <c r="A10519" s="14">
        <v>43032.289143518516</v>
      </c>
      <c r="B10519" s="20" t="str">
        <f>HYPERLINK("https://twitter.com/Viatcheslavsos3","@Viatcheslavsos3")</f>
        <v>@Viatcheslavsos3</v>
      </c>
      <c r="C10519" s="21" t="s">
        <v>10356</v>
      </c>
      <c r="D10519" s="21" t="s">
        <v>22361</v>
      </c>
      <c r="E10519" s="22" t="str">
        <f>HYPERLINK("https://twitter.com/Viatcheslavsos3/status/922824088107622400","922824088107622400")</f>
        <v>922824088107622400</v>
      </c>
      <c r="F10519" s="23" t="s">
        <v>39</v>
      </c>
      <c r="G10519" s="24">
        <v>1482.0</v>
      </c>
      <c r="H10519" s="24">
        <v>1170.0</v>
      </c>
      <c r="I10519" s="24">
        <v>1.0</v>
      </c>
      <c r="J10519" s="24">
        <v>0.0</v>
      </c>
      <c r="K10519" s="23" t="s">
        <v>34</v>
      </c>
      <c r="L10519" s="25">
        <v>42455.308483796296</v>
      </c>
      <c r="M10519" s="26" t="s">
        <v>10358</v>
      </c>
      <c r="N10519" s="26" t="s">
        <v>10359</v>
      </c>
      <c r="O10519" s="22" t="str">
        <f>HYPERLINK("https://pbs.twimg.com/profile_images/767114057715515392/Oyj2TTGL_normal.jpg","View")</f>
        <v>View</v>
      </c>
      <c r="P10519" s="27"/>
    </row>
    <row r="10520">
      <c r="A10520" s="14">
        <v>43032.289502314816</v>
      </c>
      <c r="B10520" s="20" t="str">
        <f>HYPERLINK("https://twitter.com/mammeri14828362","@mammeri14828362")</f>
        <v>@mammeri14828362</v>
      </c>
      <c r="C10520" s="21" t="s">
        <v>22362</v>
      </c>
      <c r="D10520" s="21" t="s">
        <v>42</v>
      </c>
      <c r="E10520" s="22" t="str">
        <f>HYPERLINK("https://twitter.com/mammeri14828362/status/922824218588471296","922824218588471296")</f>
        <v>922824218588471296</v>
      </c>
      <c r="F10520" s="23" t="s">
        <v>33</v>
      </c>
      <c r="G10520" s="24">
        <v>1837.0</v>
      </c>
      <c r="H10520" s="24">
        <v>5005.0</v>
      </c>
      <c r="I10520" s="24">
        <v>8501.0</v>
      </c>
      <c r="J10520" s="24">
        <v>0.0</v>
      </c>
      <c r="K10520" s="23" t="s">
        <v>34</v>
      </c>
      <c r="L10520" s="25">
        <v>42792.43884259259</v>
      </c>
      <c r="M10520" s="28"/>
      <c r="N10520" s="28"/>
      <c r="O10520" s="22" t="str">
        <f>HYPERLINK("https://pbs.twimg.com/profile_images/835971152182927362/KoDgkXxy_normal.jpg","View")</f>
        <v>View</v>
      </c>
      <c r="P10520" s="27"/>
    </row>
    <row r="10521">
      <c r="A10521" s="14">
        <v>43032.290358796294</v>
      </c>
      <c r="B10521" s="20" t="str">
        <f>HYPERLINK("https://twitter.com/gauravcs21","@gauravcs21")</f>
        <v>@gauravcs21</v>
      </c>
      <c r="C10521" s="21" t="s">
        <v>22363</v>
      </c>
      <c r="D10521" s="21" t="s">
        <v>42</v>
      </c>
      <c r="E10521" s="22" t="str">
        <f>HYPERLINK("https://twitter.com/gauravcs21/status/922824526919905281","922824526919905281")</f>
        <v>922824526919905281</v>
      </c>
      <c r="F10521" s="23" t="s">
        <v>33</v>
      </c>
      <c r="G10521" s="24">
        <v>13.0</v>
      </c>
      <c r="H10521" s="24">
        <v>100.0</v>
      </c>
      <c r="I10521" s="24">
        <v>8501.0</v>
      </c>
      <c r="J10521" s="24">
        <v>0.0</v>
      </c>
      <c r="K10521" s="23" t="s">
        <v>34</v>
      </c>
      <c r="L10521" s="25">
        <v>40288.150358796294</v>
      </c>
      <c r="M10521" s="26" t="s">
        <v>575</v>
      </c>
      <c r="N10521" s="28"/>
      <c r="O10521" s="22" t="str">
        <f>HYPERLINK("https://pbs.twimg.com/profile_images/822288761228840960/B_qcg7a8_normal.jpg","View")</f>
        <v>View</v>
      </c>
      <c r="P10521" s="27"/>
    </row>
    <row r="10522">
      <c r="A10522" s="14">
        <v>43032.2912037037</v>
      </c>
      <c r="B10522" s="20" t="str">
        <f>HYPERLINK("https://twitter.com/ChiefCheiCheef","@ChiefCheiCheef")</f>
        <v>@ChiefCheiCheef</v>
      </c>
      <c r="C10522" s="21" t="s">
        <v>22364</v>
      </c>
      <c r="D10522" s="21" t="s">
        <v>32</v>
      </c>
      <c r="E10522" s="22" t="str">
        <f>HYPERLINK("https://twitter.com/ChiefCheiCheef/status/922824832701607936","922824832701607936")</f>
        <v>922824832701607936</v>
      </c>
      <c r="F10522" s="23" t="s">
        <v>43</v>
      </c>
      <c r="G10522" s="24">
        <v>83.0</v>
      </c>
      <c r="H10522" s="24">
        <v>146.0</v>
      </c>
      <c r="I10522" s="24">
        <v>471.0</v>
      </c>
      <c r="J10522" s="24">
        <v>0.0</v>
      </c>
      <c r="K10522" s="23" t="s">
        <v>34</v>
      </c>
      <c r="L10522" s="25">
        <v>40694.56260416667</v>
      </c>
      <c r="M10522" s="26" t="s">
        <v>282</v>
      </c>
      <c r="N10522" s="26" t="s">
        <v>22365</v>
      </c>
      <c r="O10522" s="22" t="str">
        <f>HYPERLINK("https://pbs.twimg.com/profile_images/910269224299491331/8Er9mklo_normal.jpg","View")</f>
        <v>View</v>
      </c>
      <c r="P10522" s="27"/>
    </row>
    <row r="10523">
      <c r="A10523" s="14">
        <v>43032.29127314815</v>
      </c>
      <c r="B10523" s="20" t="str">
        <f>HYPERLINK("https://twitter.com/westbase","@westbase")</f>
        <v>@westbase</v>
      </c>
      <c r="C10523" s="29" t="s">
        <v>6528</v>
      </c>
      <c r="D10523" s="21" t="s">
        <v>22366</v>
      </c>
      <c r="E10523" s="22" t="str">
        <f>HYPERLINK("https://twitter.com/westbase/status/922824861625520128","922824861625520128")</f>
        <v>922824861625520128</v>
      </c>
      <c r="F10523" s="23" t="s">
        <v>6530</v>
      </c>
      <c r="G10523" s="24">
        <v>977.0</v>
      </c>
      <c r="H10523" s="24">
        <v>3583.0</v>
      </c>
      <c r="I10523" s="24">
        <v>0.0</v>
      </c>
      <c r="J10523" s="24">
        <v>0.0</v>
      </c>
      <c r="K10523" s="23" t="s">
        <v>34</v>
      </c>
      <c r="L10523" s="25">
        <v>39899.42667824074</v>
      </c>
      <c r="M10523" s="26" t="s">
        <v>6531</v>
      </c>
      <c r="N10523" s="26" t="s">
        <v>6532</v>
      </c>
      <c r="O10523" s="22" t="str">
        <f>HYPERLINK("https://pbs.twimg.com/profile_images/1174777281/jpegWlogo_normal.jpg","View")</f>
        <v>View</v>
      </c>
      <c r="P10523" s="27"/>
    </row>
    <row r="10524">
      <c r="A10524" s="14">
        <v>43032.291597222225</v>
      </c>
      <c r="B10524" s="20" t="str">
        <f>HYPERLINK("https://twitter.com/america_active","@america_active")</f>
        <v>@america_active</v>
      </c>
      <c r="C10524" s="21" t="s">
        <v>22367</v>
      </c>
      <c r="D10524" s="21" t="s">
        <v>21203</v>
      </c>
      <c r="E10524" s="22" t="str">
        <f>HYPERLINK("https://twitter.com/america_active/status/922824975228293122","922824975228293122")</f>
        <v>922824975228293122</v>
      </c>
      <c r="F10524" s="23" t="s">
        <v>22368</v>
      </c>
      <c r="G10524" s="24">
        <v>125.0</v>
      </c>
      <c r="H10524" s="24">
        <v>81.0</v>
      </c>
      <c r="I10524" s="24">
        <v>75.0</v>
      </c>
      <c r="J10524" s="24">
        <v>0.0</v>
      </c>
      <c r="K10524" s="23" t="s">
        <v>34</v>
      </c>
      <c r="L10524" s="25">
        <v>42987.94002314815</v>
      </c>
      <c r="M10524" s="26" t="s">
        <v>2068</v>
      </c>
      <c r="N10524" s="26" t="s">
        <v>22369</v>
      </c>
      <c r="O10524" s="22" t="str">
        <f>HYPERLINK("https://pbs.twimg.com/profile_images/908194424039067648/MlZphTVk_normal.jpg","View")</f>
        <v>View</v>
      </c>
      <c r="P10524" s="27"/>
    </row>
    <row r="10525">
      <c r="A10525" s="14">
        <v>43032.29168981481</v>
      </c>
      <c r="B10525" s="20" t="str">
        <f>HYPERLINK("https://twitter.com/naser_salami","@naser_salami")</f>
        <v>@naser_salami</v>
      </c>
      <c r="C10525" s="21" t="s">
        <v>22370</v>
      </c>
      <c r="D10525" s="21" t="s">
        <v>21202</v>
      </c>
      <c r="E10525" s="22" t="str">
        <f>HYPERLINK("https://twitter.com/naser_salami/status/922825012351926272","922825012351926272")</f>
        <v>922825012351926272</v>
      </c>
      <c r="F10525" s="23" t="s">
        <v>86</v>
      </c>
      <c r="G10525" s="24">
        <v>87.0</v>
      </c>
      <c r="H10525" s="24">
        <v>104.0</v>
      </c>
      <c r="I10525" s="24">
        <v>79.0</v>
      </c>
      <c r="J10525" s="24">
        <v>0.0</v>
      </c>
      <c r="K10525" s="23" t="s">
        <v>34</v>
      </c>
      <c r="L10525" s="25">
        <v>41784.59539351852</v>
      </c>
      <c r="M10525" s="26" t="s">
        <v>8333</v>
      </c>
      <c r="N10525" s="26" t="s">
        <v>22371</v>
      </c>
      <c r="O10525" s="22" t="str">
        <f>HYPERLINK("https://pbs.twimg.com/profile_images/470676491500408832/DmHMwRuk_normal.jpeg","View")</f>
        <v>View</v>
      </c>
      <c r="P10525" s="27"/>
    </row>
    <row r="10526">
      <c r="A10526" s="14">
        <v>43032.29184027778</v>
      </c>
      <c r="B10526" s="20" t="str">
        <f>HYPERLINK("https://twitter.com/ldhky92","@ldhky92")</f>
        <v>@ldhky92</v>
      </c>
      <c r="C10526" s="21" t="s">
        <v>22372</v>
      </c>
      <c r="D10526" s="21" t="s">
        <v>1474</v>
      </c>
      <c r="E10526" s="22" t="str">
        <f>HYPERLINK("https://twitter.com/ldhky92/status/922825066877878273","922825066877878273")</f>
        <v>922825066877878273</v>
      </c>
      <c r="F10526" s="23" t="s">
        <v>39</v>
      </c>
      <c r="G10526" s="24">
        <v>329.0</v>
      </c>
      <c r="H10526" s="24">
        <v>684.0</v>
      </c>
      <c r="I10526" s="24">
        <v>29.0</v>
      </c>
      <c r="J10526" s="24">
        <v>0.0</v>
      </c>
      <c r="K10526" s="23" t="s">
        <v>34</v>
      </c>
      <c r="L10526" s="25">
        <v>42458.120474537034</v>
      </c>
      <c r="M10526" s="26" t="s">
        <v>22373</v>
      </c>
      <c r="N10526" s="26" t="s">
        <v>22374</v>
      </c>
      <c r="O10526" s="22" t="str">
        <f>HYPERLINK("https://pbs.twimg.com/profile_images/714794135467720704/LTXT3S2Y_normal.jpg","View")</f>
        <v>View</v>
      </c>
      <c r="P10526" s="27"/>
    </row>
    <row r="10527">
      <c r="A10527" s="14">
        <v>43032.29188657408</v>
      </c>
      <c r="B10527" s="20" t="str">
        <f>HYPERLINK("https://twitter.com/thejakartaglobe","@thejakartaglobe")</f>
        <v>@thejakartaglobe</v>
      </c>
      <c r="C10527" s="21" t="s">
        <v>22375</v>
      </c>
      <c r="D10527" s="21" t="s">
        <v>22376</v>
      </c>
      <c r="E10527" s="22" t="str">
        <f>HYPERLINK("https://twitter.com/thejakartaglobe/status/922825081692106752","922825081692106752")</f>
        <v>922825081692106752</v>
      </c>
      <c r="F10527" s="23" t="s">
        <v>22377</v>
      </c>
      <c r="G10527" s="24">
        <v>516166.0</v>
      </c>
      <c r="H10527" s="24">
        <v>439.0</v>
      </c>
      <c r="I10527" s="24">
        <v>1.0</v>
      </c>
      <c r="J10527" s="24">
        <v>0.0</v>
      </c>
      <c r="K10527" s="23" t="s">
        <v>34</v>
      </c>
      <c r="L10527" s="25">
        <v>39707.08268518519</v>
      </c>
      <c r="M10527" s="26" t="s">
        <v>22378</v>
      </c>
      <c r="N10527" s="26" t="s">
        <v>22379</v>
      </c>
      <c r="O10527" s="22" t="str">
        <f>HYPERLINK("https://pbs.twimg.com/profile_images/676546661410148352/fHipP9or_normal.jpg","View")</f>
        <v>View</v>
      </c>
      <c r="P10527" s="27"/>
    </row>
    <row r="10528">
      <c r="A10528" s="14">
        <v>43032.29225694445</v>
      </c>
      <c r="B10528" s="20" t="str">
        <f>HYPERLINK("https://twitter.com/shishi0918","@shishi0918")</f>
        <v>@shishi0918</v>
      </c>
      <c r="C10528" s="21" t="s">
        <v>22380</v>
      </c>
      <c r="D10528" s="21" t="s">
        <v>12974</v>
      </c>
      <c r="E10528" s="22" t="str">
        <f>HYPERLINK("https://twitter.com/shishi0918/status/922825216421609472","922825216421609472")</f>
        <v>922825216421609472</v>
      </c>
      <c r="F10528" s="23" t="s">
        <v>39</v>
      </c>
      <c r="G10528" s="24">
        <v>737.0</v>
      </c>
      <c r="H10528" s="24">
        <v>281.0</v>
      </c>
      <c r="I10528" s="24">
        <v>110.0</v>
      </c>
      <c r="J10528" s="24">
        <v>0.0</v>
      </c>
      <c r="K10528" s="23" t="s">
        <v>34</v>
      </c>
      <c r="L10528" s="25">
        <v>42669.69480324074</v>
      </c>
      <c r="M10528" s="28"/>
      <c r="N10528" s="26" t="s">
        <v>22381</v>
      </c>
      <c r="O10528" s="22" t="str">
        <f>HYPERLINK("https://pbs.twimg.com/profile_images/833832858892455938/i2E7ElwW_normal.jpg","View")</f>
        <v>View</v>
      </c>
      <c r="P10528" s="27"/>
    </row>
    <row r="10529">
      <c r="A10529" s="14">
        <v>43032.29228009259</v>
      </c>
      <c r="B10529" s="20" t="str">
        <f>HYPERLINK("https://twitter.com/dimasagustini","@dimasagustini")</f>
        <v>@dimasagustini</v>
      </c>
      <c r="C10529" s="21" t="s">
        <v>22382</v>
      </c>
      <c r="D10529" s="21" t="s">
        <v>22383</v>
      </c>
      <c r="E10529" s="22" t="str">
        <f>HYPERLINK("https://twitter.com/dimasagustini/status/922825224013225984","922825224013225984")</f>
        <v>922825224013225984</v>
      </c>
      <c r="F10529" s="23" t="s">
        <v>33</v>
      </c>
      <c r="G10529" s="24">
        <v>363.0</v>
      </c>
      <c r="H10529" s="24">
        <v>534.0</v>
      </c>
      <c r="I10529" s="24">
        <v>1.0</v>
      </c>
      <c r="J10529" s="24">
        <v>0.0</v>
      </c>
      <c r="K10529" s="23" t="s">
        <v>34</v>
      </c>
      <c r="L10529" s="25">
        <v>40856.03003472222</v>
      </c>
      <c r="M10529" s="26" t="s">
        <v>22384</v>
      </c>
      <c r="N10529" s="26" t="s">
        <v>22385</v>
      </c>
      <c r="O10529" s="22" t="str">
        <f>HYPERLINK("https://pbs.twimg.com/profile_images/921561686078668800/G-4ohSRZ_normal.jpg","View")</f>
        <v>View</v>
      </c>
      <c r="P10529" s="27"/>
    </row>
    <row r="10530">
      <c r="A10530" s="14">
        <v>43032.29237268519</v>
      </c>
      <c r="B10530" s="20" t="str">
        <f>HYPERLINK("https://twitter.com/naser_salami","@naser_salami")</f>
        <v>@naser_salami</v>
      </c>
      <c r="C10530" s="21" t="s">
        <v>22370</v>
      </c>
      <c r="D10530" s="21" t="s">
        <v>21203</v>
      </c>
      <c r="E10530" s="22" t="str">
        <f>HYPERLINK("https://twitter.com/naser_salami/status/922825259966914561","922825259966914561")</f>
        <v>922825259966914561</v>
      </c>
      <c r="F10530" s="23" t="s">
        <v>86</v>
      </c>
      <c r="G10530" s="24">
        <v>87.0</v>
      </c>
      <c r="H10530" s="24">
        <v>104.0</v>
      </c>
      <c r="I10530" s="24">
        <v>75.0</v>
      </c>
      <c r="J10530" s="24">
        <v>0.0</v>
      </c>
      <c r="K10530" s="23" t="s">
        <v>34</v>
      </c>
      <c r="L10530" s="25">
        <v>41784.59539351852</v>
      </c>
      <c r="M10530" s="26" t="s">
        <v>8333</v>
      </c>
      <c r="N10530" s="26" t="s">
        <v>22371</v>
      </c>
      <c r="O10530" s="22" t="str">
        <f>HYPERLINK("https://pbs.twimg.com/profile_images/470676491500408832/DmHMwRuk_normal.jpeg","View")</f>
        <v>View</v>
      </c>
      <c r="P10530" s="27"/>
    </row>
    <row r="10531">
      <c r="A10531" s="14">
        <v>43032.29292824074</v>
      </c>
      <c r="B10531" s="20" t="str">
        <f>HYPERLINK("https://twitter.com/fragranthill78","@fragranthill78")</f>
        <v>@fragranthill78</v>
      </c>
      <c r="C10531" s="21" t="s">
        <v>22386</v>
      </c>
      <c r="D10531" s="21" t="s">
        <v>12974</v>
      </c>
      <c r="E10531" s="22" t="str">
        <f>HYPERLINK("https://twitter.com/fragranthill78/status/922825458894323712","922825458894323712")</f>
        <v>922825458894323712</v>
      </c>
      <c r="F10531" s="23" t="s">
        <v>55</v>
      </c>
      <c r="G10531" s="24">
        <v>854.0</v>
      </c>
      <c r="H10531" s="24">
        <v>484.0</v>
      </c>
      <c r="I10531" s="24">
        <v>110.0</v>
      </c>
      <c r="J10531" s="24">
        <v>0.0</v>
      </c>
      <c r="K10531" s="23" t="s">
        <v>34</v>
      </c>
      <c r="L10531" s="25">
        <v>42753.99108796296</v>
      </c>
      <c r="M10531" s="28"/>
      <c r="N10531" s="26" t="s">
        <v>22387</v>
      </c>
      <c r="O10531" s="22" t="str">
        <f>HYPERLINK("https://pbs.twimg.com/profile_images/823402307484205056/p61e3hKi_normal.jpg","View")</f>
        <v>View</v>
      </c>
      <c r="P10531" s="27"/>
    </row>
    <row r="10532">
      <c r="A10532" s="14">
        <v>43032.293067129634</v>
      </c>
      <c r="B10532" s="20" t="str">
        <f>HYPERLINK("https://twitter.com/mabooali","@mabooali")</f>
        <v>@mabooali</v>
      </c>
      <c r="C10532" s="21" t="s">
        <v>22388</v>
      </c>
      <c r="D10532" s="21" t="s">
        <v>16537</v>
      </c>
      <c r="E10532" s="22" t="str">
        <f>HYPERLINK("https://twitter.com/mabooali/status/922825509003780096","922825509003780096")</f>
        <v>922825509003780096</v>
      </c>
      <c r="F10532" s="23" t="s">
        <v>55</v>
      </c>
      <c r="G10532" s="24">
        <v>108.0</v>
      </c>
      <c r="H10532" s="24">
        <v>291.0</v>
      </c>
      <c r="I10532" s="24">
        <v>242.0</v>
      </c>
      <c r="J10532" s="24">
        <v>0.0</v>
      </c>
      <c r="K10532" s="23" t="s">
        <v>34</v>
      </c>
      <c r="L10532" s="25">
        <v>39980.49420138889</v>
      </c>
      <c r="M10532" s="26" t="s">
        <v>21312</v>
      </c>
      <c r="N10532" s="26" t="s">
        <v>22389</v>
      </c>
      <c r="O10532" s="22" t="str">
        <f>HYPERLINK("https://pbs.twimg.com/profile_images/427646716494364672/W5VeeC7U_normal.jpeg","View")</f>
        <v>View</v>
      </c>
      <c r="P10532" s="27"/>
    </row>
    <row r="10533">
      <c r="A10533" s="14">
        <v>43032.293703703705</v>
      </c>
      <c r="B10533" s="20" t="str">
        <f>HYPERLINK("https://twitter.com/iranian_voice","@iranian_voice")</f>
        <v>@iranian_voice</v>
      </c>
      <c r="C10533" s="21" t="s">
        <v>22390</v>
      </c>
      <c r="D10533" s="21" t="s">
        <v>22391</v>
      </c>
      <c r="E10533" s="22" t="str">
        <f>HYPERLINK("https://twitter.com/iranian_voice/status/922825739681939456","922825739681939456")</f>
        <v>922825739681939456</v>
      </c>
      <c r="F10533" s="23" t="s">
        <v>55</v>
      </c>
      <c r="G10533" s="24">
        <v>2351.0</v>
      </c>
      <c r="H10533" s="24">
        <v>2220.0</v>
      </c>
      <c r="I10533" s="24">
        <v>0.0</v>
      </c>
      <c r="J10533" s="24">
        <v>0.0</v>
      </c>
      <c r="K10533" s="23" t="s">
        <v>34</v>
      </c>
      <c r="L10533" s="25">
        <v>42806.17386574074</v>
      </c>
      <c r="M10533" s="28"/>
      <c r="N10533" s="26" t="s">
        <v>22392</v>
      </c>
      <c r="O10533" s="22" t="str">
        <f>HYPERLINK("https://pbs.twimg.com/profile_images/912340751736066048/9Vxur39a_normal.jpg","View")</f>
        <v>View</v>
      </c>
      <c r="P10533" s="27"/>
    </row>
    <row r="10534">
      <c r="A10534" s="14">
        <v>43032.29435185185</v>
      </c>
      <c r="B10534" s="20" t="str">
        <f>HYPERLINK("https://twitter.com/GlobalAgendaKB","@GlobalAgendaKB")</f>
        <v>@GlobalAgendaKB</v>
      </c>
      <c r="C10534" s="21" t="s">
        <v>22393</v>
      </c>
      <c r="D10534" s="21" t="s">
        <v>20569</v>
      </c>
      <c r="E10534" s="22" t="str">
        <f>HYPERLINK("https://twitter.com/GlobalAgendaKB/status/922825975288668161","922825975288668161")</f>
        <v>922825975288668161</v>
      </c>
      <c r="F10534" s="23" t="s">
        <v>39</v>
      </c>
      <c r="G10534" s="24">
        <v>70.0</v>
      </c>
      <c r="H10534" s="24">
        <v>271.0</v>
      </c>
      <c r="I10534" s="24">
        <v>11.0</v>
      </c>
      <c r="J10534" s="24">
        <v>0.0</v>
      </c>
      <c r="K10534" s="23" t="s">
        <v>34</v>
      </c>
      <c r="L10534" s="25">
        <v>42849.34181712963</v>
      </c>
      <c r="M10534" s="26" t="s">
        <v>22394</v>
      </c>
      <c r="N10534" s="26" t="s">
        <v>22395</v>
      </c>
      <c r="O10534" s="22" t="str">
        <f>HYPERLINK("https://pbs.twimg.com/profile_images/856528038531432449/1u6Fy7bY_normal.jpg","View")</f>
        <v>View</v>
      </c>
      <c r="P10534" s="27"/>
    </row>
    <row r="10535">
      <c r="A10535" s="14">
        <v>43032.294641203705</v>
      </c>
      <c r="B10535" s="20" t="str">
        <f>HYPERLINK("https://twitter.com/WeLuvYouMcCain","@WeLuvYouMcCain")</f>
        <v>@WeLuvYouMcCain</v>
      </c>
      <c r="C10535" s="21" t="s">
        <v>16532</v>
      </c>
      <c r="D10535" s="21" t="s">
        <v>16537</v>
      </c>
      <c r="E10535" s="22" t="str">
        <f>HYPERLINK("https://twitter.com/WeLuvYouMcCain/status/922826081492758528","922826081492758528")</f>
        <v>922826081492758528</v>
      </c>
      <c r="F10535" s="23" t="s">
        <v>55</v>
      </c>
      <c r="G10535" s="24">
        <v>20.0</v>
      </c>
      <c r="H10535" s="24">
        <v>146.0</v>
      </c>
      <c r="I10535" s="24">
        <v>242.0</v>
      </c>
      <c r="J10535" s="24">
        <v>0.0</v>
      </c>
      <c r="K10535" s="23" t="s">
        <v>34</v>
      </c>
      <c r="L10535" s="25">
        <v>42939.683483796296</v>
      </c>
      <c r="M10535" s="28"/>
      <c r="N10535" s="26" t="s">
        <v>22396</v>
      </c>
      <c r="O10535" s="22" t="str">
        <f>HYPERLINK("https://pbs.twimg.com/profile_images/894651615411666948/jFkVM2Sc_normal.jpg","View")</f>
        <v>View</v>
      </c>
      <c r="P10535" s="27"/>
    </row>
    <row r="10536">
      <c r="A10536" s="14">
        <v>43032.29472222222</v>
      </c>
      <c r="B10536" s="20" t="str">
        <f>HYPERLINK("https://twitter.com/holly_hodkinson","@holly_hodkinson")</f>
        <v>@holly_hodkinson</v>
      </c>
      <c r="C10536" s="21" t="s">
        <v>22397</v>
      </c>
      <c r="D10536" s="21" t="s">
        <v>16537</v>
      </c>
      <c r="E10536" s="22" t="str">
        <f>HYPERLINK("https://twitter.com/holly_hodkinson/status/922826109682700288","922826109682700288")</f>
        <v>922826109682700288</v>
      </c>
      <c r="F10536" s="23" t="s">
        <v>39</v>
      </c>
      <c r="G10536" s="24">
        <v>90.0</v>
      </c>
      <c r="H10536" s="24">
        <v>365.0</v>
      </c>
      <c r="I10536" s="24">
        <v>242.0</v>
      </c>
      <c r="J10536" s="24">
        <v>0.0</v>
      </c>
      <c r="K10536" s="23" t="s">
        <v>34</v>
      </c>
      <c r="L10536" s="25">
        <v>42918.592581018514</v>
      </c>
      <c r="M10536" s="26" t="s">
        <v>7551</v>
      </c>
      <c r="N10536" s="26" t="s">
        <v>22398</v>
      </c>
      <c r="O10536" s="22" t="str">
        <f>HYPERLINK("https://pbs.twimg.com/profile_images/922651538040016898/g053NFaG_normal.jpg","View")</f>
        <v>View</v>
      </c>
      <c r="P10536" s="27"/>
    </row>
    <row r="10537">
      <c r="A10537" s="14">
        <v>43032.29520833334</v>
      </c>
      <c r="B10537" s="20" t="str">
        <f>HYPERLINK("https://twitter.com/perfect_potion5","@perfect_potion5")</f>
        <v>@perfect_potion5</v>
      </c>
      <c r="C10537" s="21" t="s">
        <v>8521</v>
      </c>
      <c r="D10537" s="21" t="s">
        <v>22399</v>
      </c>
      <c r="E10537" s="22" t="str">
        <f>HYPERLINK("https://twitter.com/perfect_potion5/status/922826284035534848","922826284035534848")</f>
        <v>922826284035534848</v>
      </c>
      <c r="F10537" s="23" t="s">
        <v>55</v>
      </c>
      <c r="G10537" s="24">
        <v>28.0</v>
      </c>
      <c r="H10537" s="24">
        <v>31.0</v>
      </c>
      <c r="I10537" s="24">
        <v>0.0</v>
      </c>
      <c r="J10537" s="24">
        <v>0.0</v>
      </c>
      <c r="K10537" s="23" t="s">
        <v>34</v>
      </c>
      <c r="L10537" s="25">
        <v>42780.97462962963</v>
      </c>
      <c r="M10537" s="26" t="s">
        <v>8522</v>
      </c>
      <c r="N10537" s="26" t="s">
        <v>8523</v>
      </c>
      <c r="O10537" s="22" t="str">
        <f>HYPERLINK("https://pbs.twimg.com/profile_images/915208026914643970/29XVkkK8_normal.jpg","View")</f>
        <v>View</v>
      </c>
      <c r="P10537" s="27"/>
    </row>
    <row r="10538">
      <c r="A10538" s="14">
        <v>43032.295324074075</v>
      </c>
      <c r="B10538" s="20" t="str">
        <f>HYPERLINK("https://twitter.com/ForeignPolicy","@ForeignPolicy")</f>
        <v>@ForeignPolicy</v>
      </c>
      <c r="C10538" s="21" t="s">
        <v>15583</v>
      </c>
      <c r="D10538" s="21" t="s">
        <v>22400</v>
      </c>
      <c r="E10538" s="22" t="str">
        <f>HYPERLINK("https://twitter.com/ForeignPolicy/status/922826327295713280","922826327295713280")</f>
        <v>922826327295713280</v>
      </c>
      <c r="F10538" s="23" t="s">
        <v>4619</v>
      </c>
      <c r="G10538" s="24">
        <v>970981.0</v>
      </c>
      <c r="H10538" s="24">
        <v>495.0</v>
      </c>
      <c r="I10538" s="24">
        <v>14.0</v>
      </c>
      <c r="J10538" s="24">
        <v>18.0</v>
      </c>
      <c r="K10538" s="23" t="s">
        <v>34</v>
      </c>
      <c r="L10538" s="25">
        <v>39898.41459490741</v>
      </c>
      <c r="M10538" s="28"/>
      <c r="N10538" s="26" t="s">
        <v>15585</v>
      </c>
      <c r="O10538" s="22" t="str">
        <f>HYPERLINK("https://pbs.twimg.com/profile_images/560557786350637057/GXv25iue_normal.png","View")</f>
        <v>View</v>
      </c>
      <c r="P10538" s="27"/>
    </row>
    <row r="10539">
      <c r="A10539" s="14">
        <v>43032.2953587963</v>
      </c>
      <c r="B10539" s="20" t="str">
        <f>HYPERLINK("https://twitter.com/caoyang00011","@caoyang00011")</f>
        <v>@caoyang00011</v>
      </c>
      <c r="C10539" s="21" t="s">
        <v>22401</v>
      </c>
      <c r="D10539" s="21" t="s">
        <v>18162</v>
      </c>
      <c r="E10539" s="22" t="str">
        <f>HYPERLINK("https://twitter.com/caoyang00011/status/922826339953999873","922826339953999873")</f>
        <v>922826339953999873</v>
      </c>
      <c r="F10539" s="23" t="s">
        <v>55</v>
      </c>
      <c r="G10539" s="24">
        <v>2.0</v>
      </c>
      <c r="H10539" s="24">
        <v>8.0</v>
      </c>
      <c r="I10539" s="24">
        <v>59.0</v>
      </c>
      <c r="J10539" s="24">
        <v>0.0</v>
      </c>
      <c r="K10539" s="23" t="s">
        <v>34</v>
      </c>
      <c r="L10539" s="25">
        <v>43005.58883101852</v>
      </c>
      <c r="M10539" s="28"/>
      <c r="N10539" s="28"/>
      <c r="O10539" s="22" t="str">
        <f>HYPERLINK("https://pbs.twimg.com/profile_images/922769807216230400/LxlCpQEv_normal.jpg","View")</f>
        <v>View</v>
      </c>
      <c r="P10539" s="27"/>
    </row>
    <row r="10540">
      <c r="A10540" s="14">
        <v>43032.29541666667</v>
      </c>
      <c r="B10540" s="20" t="str">
        <f>HYPERLINK("https://twitter.com/andreascseh","@andreascseh")</f>
        <v>@andreascseh</v>
      </c>
      <c r="C10540" s="21" t="s">
        <v>20957</v>
      </c>
      <c r="D10540" s="21" t="s">
        <v>22402</v>
      </c>
      <c r="E10540" s="22" t="str">
        <f>HYPERLINK("https://twitter.com/andreascseh/status/922826363488296960","922826363488296960")</f>
        <v>922826363488296960</v>
      </c>
      <c r="F10540" s="23" t="s">
        <v>55</v>
      </c>
      <c r="G10540" s="24">
        <v>2371.0</v>
      </c>
      <c r="H10540" s="24">
        <v>1991.0</v>
      </c>
      <c r="I10540" s="24">
        <v>1.0</v>
      </c>
      <c r="J10540" s="24">
        <v>2.0</v>
      </c>
      <c r="K10540" s="23" t="s">
        <v>34</v>
      </c>
      <c r="L10540" s="25">
        <v>41599.9924537037</v>
      </c>
      <c r="M10540" s="26" t="s">
        <v>2185</v>
      </c>
      <c r="N10540" s="26" t="s">
        <v>20959</v>
      </c>
      <c r="O10540" s="22" t="str">
        <f>HYPERLINK("https://pbs.twimg.com/profile_images/837362110510190593/9ceXUljb_normal.jpg","View")</f>
        <v>View</v>
      </c>
      <c r="P10540" s="27"/>
    </row>
    <row r="10541">
      <c r="A10541" s="14">
        <v>43032.29564814815</v>
      </c>
      <c r="B10541" s="20" t="str">
        <f>HYPERLINK("https://twitter.com/kenjisato1966","@kenjisato1966")</f>
        <v>@kenjisato1966</v>
      </c>
      <c r="C10541" s="21" t="s">
        <v>22403</v>
      </c>
      <c r="D10541" s="21" t="s">
        <v>22404</v>
      </c>
      <c r="E10541" s="22" t="str">
        <f>HYPERLINK("https://twitter.com/kenjisato1966/status/922826443851051008","922826443851051008")</f>
        <v>922826443851051008</v>
      </c>
      <c r="F10541" s="23" t="s">
        <v>55</v>
      </c>
      <c r="G10541" s="24">
        <v>1981.0</v>
      </c>
      <c r="H10541" s="24">
        <v>772.0</v>
      </c>
      <c r="I10541" s="24">
        <v>14.0</v>
      </c>
      <c r="J10541" s="24">
        <v>0.0</v>
      </c>
      <c r="K10541" s="23" t="s">
        <v>34</v>
      </c>
      <c r="L10541" s="25">
        <v>41891.84138888889</v>
      </c>
      <c r="M10541" s="28"/>
      <c r="N10541" s="26" t="s">
        <v>22405</v>
      </c>
      <c r="O10541" s="22" t="str">
        <f>HYPERLINK("https://pbs.twimg.com/profile_images/509541228602331136/rotnp12M_normal.jpeg","View")</f>
        <v>View</v>
      </c>
      <c r="P10541" s="27"/>
    </row>
    <row r="10542">
      <c r="A10542" s="14">
        <v>43032.296076388884</v>
      </c>
      <c r="B10542" s="20" t="str">
        <f>HYPERLINK("https://twitter.com/JakWit","@JakWit")</f>
        <v>@JakWit</v>
      </c>
      <c r="C10542" s="21" t="s">
        <v>3988</v>
      </c>
      <c r="D10542" s="21" t="s">
        <v>22404</v>
      </c>
      <c r="E10542" s="22" t="str">
        <f>HYPERLINK("https://twitter.com/JakWit/status/922826600659472384","922826600659472384")</f>
        <v>922826600659472384</v>
      </c>
      <c r="F10542" s="23" t="s">
        <v>55</v>
      </c>
      <c r="G10542" s="24">
        <v>1792.0</v>
      </c>
      <c r="H10542" s="24">
        <v>1926.0</v>
      </c>
      <c r="I10542" s="24">
        <v>14.0</v>
      </c>
      <c r="J10542" s="24">
        <v>0.0</v>
      </c>
      <c r="K10542" s="23" t="s">
        <v>34</v>
      </c>
      <c r="L10542" s="25">
        <v>41260.881064814814</v>
      </c>
      <c r="M10542" s="28"/>
      <c r="N10542" s="26" t="s">
        <v>3989</v>
      </c>
      <c r="O10542" s="22" t="str">
        <f>HYPERLINK("https://pbs.twimg.com/profile_images/520615756808327169/4vhwCbH7_normal.jpeg","View")</f>
        <v>View</v>
      </c>
      <c r="P10542" s="27"/>
    </row>
    <row r="10543">
      <c r="A10543" s="14">
        <v>43032.29618055555</v>
      </c>
      <c r="B10543" s="20" t="str">
        <f>HYPERLINK("https://twitter.com/espiritu_eadric","@espiritu_eadric")</f>
        <v>@espiritu_eadric</v>
      </c>
      <c r="C10543" s="21" t="s">
        <v>22406</v>
      </c>
      <c r="D10543" s="21" t="s">
        <v>22404</v>
      </c>
      <c r="E10543" s="22" t="str">
        <f>HYPERLINK("https://twitter.com/espiritu_eadric/status/922826636751396865","922826636751396865")</f>
        <v>922826636751396865</v>
      </c>
      <c r="F10543" s="23" t="s">
        <v>230</v>
      </c>
      <c r="G10543" s="24">
        <v>636.0</v>
      </c>
      <c r="H10543" s="24">
        <v>1053.0</v>
      </c>
      <c r="I10543" s="24">
        <v>14.0</v>
      </c>
      <c r="J10543" s="24">
        <v>0.0</v>
      </c>
      <c r="K10543" s="23" t="s">
        <v>34</v>
      </c>
      <c r="L10543" s="25">
        <v>42357.2908912037</v>
      </c>
      <c r="M10543" s="26" t="s">
        <v>22407</v>
      </c>
      <c r="N10543" s="26" t="s">
        <v>22408</v>
      </c>
      <c r="O10543" s="22" t="str">
        <f>HYPERLINK("https://pbs.twimg.com/profile_images/922130478118744064/YkYobAgh_normal.jpg","View")</f>
        <v>View</v>
      </c>
      <c r="P10543" s="27"/>
    </row>
    <row r="10544">
      <c r="A10544" s="14">
        <v>43032.29638888889</v>
      </c>
      <c r="B10544" s="20" t="str">
        <f>HYPERLINK("https://twitter.com/zhuofeng025","@zhuofeng025")</f>
        <v>@zhuofeng025</v>
      </c>
      <c r="C10544" s="21" t="s">
        <v>22409</v>
      </c>
      <c r="D10544" s="21" t="s">
        <v>18162</v>
      </c>
      <c r="E10544" s="22" t="str">
        <f>HYPERLINK("https://twitter.com/zhuofeng025/status/922826713188278273","922826713188278273")</f>
        <v>922826713188278273</v>
      </c>
      <c r="F10544" s="23" t="s">
        <v>55</v>
      </c>
      <c r="G10544" s="24">
        <v>32.0</v>
      </c>
      <c r="H10544" s="24">
        <v>2.0</v>
      </c>
      <c r="I10544" s="24">
        <v>59.0</v>
      </c>
      <c r="J10544" s="24">
        <v>0.0</v>
      </c>
      <c r="K10544" s="23" t="s">
        <v>34</v>
      </c>
      <c r="L10544" s="25">
        <v>42991.26295138889</v>
      </c>
      <c r="M10544" s="28"/>
      <c r="N10544" s="28"/>
      <c r="O10544" s="22" t="str">
        <f>HYPERLINK("https://abs.twimg.com/sticky/default_profile_images/default_profile_normal.png","View")</f>
        <v>View</v>
      </c>
      <c r="P10544" s="27"/>
    </row>
    <row r="10545">
      <c r="A10545" s="14">
        <v>43032.29685185185</v>
      </c>
      <c r="B10545" s="20" t="str">
        <f>HYPERLINK("https://twitter.com/YourAnonRevolt","@YourAnonRevolt")</f>
        <v>@YourAnonRevolt</v>
      </c>
      <c r="C10545" s="21" t="s">
        <v>7005</v>
      </c>
      <c r="D10545" s="21" t="s">
        <v>20700</v>
      </c>
      <c r="E10545" s="22" t="str">
        <f>HYPERLINK("https://twitter.com/YourAnonRevolt/status/922826879945412609","922826879945412609")</f>
        <v>922826879945412609</v>
      </c>
      <c r="F10545" s="23" t="s">
        <v>55</v>
      </c>
      <c r="G10545" s="24">
        <v>11008.0</v>
      </c>
      <c r="H10545" s="24">
        <v>4104.0</v>
      </c>
      <c r="I10545" s="24">
        <v>27.0</v>
      </c>
      <c r="J10545" s="24">
        <v>0.0</v>
      </c>
      <c r="K10545" s="23" t="s">
        <v>34</v>
      </c>
      <c r="L10545" s="25">
        <v>42478.10021990741</v>
      </c>
      <c r="M10545" s="26" t="s">
        <v>7007</v>
      </c>
      <c r="N10545" s="26" t="s">
        <v>7008</v>
      </c>
      <c r="O10545" s="22" t="str">
        <f>HYPERLINK("https://pbs.twimg.com/profile_images/881398153030713344/FN9uhI_M_normal.jpg","View")</f>
        <v>View</v>
      </c>
      <c r="P10545" s="27"/>
    </row>
    <row r="10546">
      <c r="A10546" s="14">
        <v>43032.29689814815</v>
      </c>
      <c r="B10546" s="20" t="str">
        <f>HYPERLINK("https://twitter.com/JRaidash","@JRaidash")</f>
        <v>@JRaidash</v>
      </c>
      <c r="C10546" s="21" t="s">
        <v>22410</v>
      </c>
      <c r="D10546" s="21" t="s">
        <v>42</v>
      </c>
      <c r="E10546" s="22" t="str">
        <f>HYPERLINK("https://twitter.com/JRaidash/status/922826899432157184","922826899432157184")</f>
        <v>922826899432157184</v>
      </c>
      <c r="F10546" s="23" t="s">
        <v>33</v>
      </c>
      <c r="G10546" s="24">
        <v>3.0</v>
      </c>
      <c r="H10546" s="24">
        <v>89.0</v>
      </c>
      <c r="I10546" s="24">
        <v>8501.0</v>
      </c>
      <c r="J10546" s="24">
        <v>0.0</v>
      </c>
      <c r="K10546" s="23" t="s">
        <v>34</v>
      </c>
      <c r="L10546" s="25">
        <v>43027.360625</v>
      </c>
      <c r="M10546" s="26" t="s">
        <v>12857</v>
      </c>
      <c r="N10546" s="26" t="s">
        <v>22411</v>
      </c>
      <c r="O10546" s="22" t="str">
        <f>HYPERLINK("https://pbs.twimg.com/profile_images/921816524037304320/ew-Zvxgk_normal.jpg","View")</f>
        <v>View</v>
      </c>
      <c r="P10546" s="27"/>
    </row>
    <row r="10547">
      <c r="A10547" s="14">
        <v>43032.29703703704</v>
      </c>
      <c r="B10547" s="20" t="str">
        <f>HYPERLINK("https://twitter.com/Rajkumar17025","@Rajkumar17025")</f>
        <v>@Rajkumar17025</v>
      </c>
      <c r="C10547" s="21" t="s">
        <v>22412</v>
      </c>
      <c r="D10547" s="21" t="s">
        <v>42</v>
      </c>
      <c r="E10547" s="22" t="str">
        <f>HYPERLINK("https://twitter.com/Rajkumar17025/status/922826948216098816","922826948216098816")</f>
        <v>922826948216098816</v>
      </c>
      <c r="F10547" s="23" t="s">
        <v>33</v>
      </c>
      <c r="G10547" s="24">
        <v>95.0</v>
      </c>
      <c r="H10547" s="24">
        <v>422.0</v>
      </c>
      <c r="I10547" s="24">
        <v>8501.0</v>
      </c>
      <c r="J10547" s="24">
        <v>0.0</v>
      </c>
      <c r="K10547" s="23" t="s">
        <v>34</v>
      </c>
      <c r="L10547" s="25">
        <v>42986.14127314815</v>
      </c>
      <c r="M10547" s="28"/>
      <c r="N10547" s="28"/>
      <c r="O10547" s="22" t="str">
        <f>HYPERLINK("https://pbs.twimg.com/profile_images/916623760584667141/6wWWZTG1_normal.jpg","View")</f>
        <v>View</v>
      </c>
      <c r="P10547" s="27"/>
    </row>
    <row r="10548">
      <c r="A10548" s="14">
        <v>43032.297430555554</v>
      </c>
      <c r="B10548" s="20" t="str">
        <f>HYPERLINK("https://twitter.com/KashimaKen0","@KashimaKen0")</f>
        <v>@KashimaKen0</v>
      </c>
      <c r="C10548" s="21" t="s">
        <v>22413</v>
      </c>
      <c r="D10548" s="21" t="s">
        <v>22414</v>
      </c>
      <c r="E10548" s="22" t="str">
        <f>HYPERLINK("https://twitter.com/KashimaKen0/status/922827090575073283","922827090575073283")</f>
        <v>922827090575073283</v>
      </c>
      <c r="F10548" s="23" t="s">
        <v>33</v>
      </c>
      <c r="G10548" s="24">
        <v>64.0</v>
      </c>
      <c r="H10548" s="24">
        <v>122.0</v>
      </c>
      <c r="I10548" s="24">
        <v>0.0</v>
      </c>
      <c r="J10548" s="24">
        <v>0.0</v>
      </c>
      <c r="K10548" s="23" t="s">
        <v>34</v>
      </c>
      <c r="L10548" s="25">
        <v>40215.37650462963</v>
      </c>
      <c r="M10548" s="26" t="s">
        <v>22415</v>
      </c>
      <c r="N10548" s="26" t="s">
        <v>22416</v>
      </c>
      <c r="O10548" s="22" t="str">
        <f>HYPERLINK("https://pbs.twimg.com/profile_images/3533733367/3008149f99db9627a47bfa0b3cf8c44b_normal.jpeg","View")</f>
        <v>View</v>
      </c>
      <c r="P10548" s="27"/>
    </row>
    <row r="10549">
      <c r="A10549" s="14">
        <v>43032.29770833333</v>
      </c>
      <c r="B10549" s="20" t="str">
        <f>HYPERLINK("https://twitter.com/behroozsalam","@behroozsalam")</f>
        <v>@behroozsalam</v>
      </c>
      <c r="C10549" s="21" t="s">
        <v>22417</v>
      </c>
      <c r="D10549" s="21" t="s">
        <v>21202</v>
      </c>
      <c r="E10549" s="22" t="str">
        <f>HYPERLINK("https://twitter.com/behroozsalam/status/922827191699890176","922827191699890176")</f>
        <v>922827191699890176</v>
      </c>
      <c r="F10549" s="23" t="s">
        <v>86</v>
      </c>
      <c r="G10549" s="24">
        <v>79.0</v>
      </c>
      <c r="H10549" s="24">
        <v>131.0</v>
      </c>
      <c r="I10549" s="24">
        <v>79.0</v>
      </c>
      <c r="J10549" s="24">
        <v>0.0</v>
      </c>
      <c r="K10549" s="23" t="s">
        <v>34</v>
      </c>
      <c r="L10549" s="25">
        <v>41779.27726851852</v>
      </c>
      <c r="M10549" s="26" t="s">
        <v>8333</v>
      </c>
      <c r="N10549" s="26" t="s">
        <v>22418</v>
      </c>
      <c r="O10549" s="22" t="str">
        <f>HYPERLINK("https://pbs.twimg.com/profile_images/468748866221649920/r9pqHEmG_normal.jpeg","View")</f>
        <v>View</v>
      </c>
      <c r="P10549" s="27"/>
    </row>
    <row r="10550">
      <c r="A10550" s="14">
        <v>43032.29807870371</v>
      </c>
      <c r="B10550" s="20" t="str">
        <f>HYPERLINK("https://twitter.com/Yatapost89","@Yatapost89")</f>
        <v>@Yatapost89</v>
      </c>
      <c r="C10550" s="21" t="s">
        <v>22419</v>
      </c>
      <c r="D10550" s="21" t="s">
        <v>22404</v>
      </c>
      <c r="E10550" s="22" t="str">
        <f>HYPERLINK("https://twitter.com/Yatapost89/status/922827324508254208","922827324508254208")</f>
        <v>922827324508254208</v>
      </c>
      <c r="F10550" s="23" t="s">
        <v>55</v>
      </c>
      <c r="G10550" s="24">
        <v>98.0</v>
      </c>
      <c r="H10550" s="24">
        <v>92.0</v>
      </c>
      <c r="I10550" s="24">
        <v>14.0</v>
      </c>
      <c r="J10550" s="24">
        <v>0.0</v>
      </c>
      <c r="K10550" s="23" t="s">
        <v>34</v>
      </c>
      <c r="L10550" s="25">
        <v>42230.6884837963</v>
      </c>
      <c r="M10550" s="28"/>
      <c r="N10550" s="26" t="s">
        <v>22420</v>
      </c>
      <c r="O10550" s="22" t="str">
        <f>HYPERLINK("https://pbs.twimg.com/profile_images/919986630869639168/jnRbviiU_normal.jpg","View")</f>
        <v>View</v>
      </c>
      <c r="P10550" s="27"/>
    </row>
    <row r="10551">
      <c r="A10551" s="14">
        <v>43032.29810185185</v>
      </c>
      <c r="B10551" s="20" t="str">
        <f>HYPERLINK("https://twitter.com/zhuofeng025","@zhuofeng025")</f>
        <v>@zhuofeng025</v>
      </c>
      <c r="C10551" s="21" t="s">
        <v>22409</v>
      </c>
      <c r="D10551" s="21" t="s">
        <v>213</v>
      </c>
      <c r="E10551" s="22" t="str">
        <f>HYPERLINK("https://twitter.com/zhuofeng025/status/922827335765704705","922827335765704705")</f>
        <v>922827335765704705</v>
      </c>
      <c r="F10551" s="23" t="s">
        <v>55</v>
      </c>
      <c r="G10551" s="24">
        <v>32.0</v>
      </c>
      <c r="H10551" s="24">
        <v>2.0</v>
      </c>
      <c r="I10551" s="24">
        <v>94.0</v>
      </c>
      <c r="J10551" s="24">
        <v>0.0</v>
      </c>
      <c r="K10551" s="23" t="s">
        <v>34</v>
      </c>
      <c r="L10551" s="25">
        <v>42991.26295138889</v>
      </c>
      <c r="M10551" s="28"/>
      <c r="N10551" s="28"/>
      <c r="O10551" s="22" t="str">
        <f>HYPERLINK("https://abs.twimg.com/sticky/default_profile_images/default_profile_normal.png","View")</f>
        <v>View</v>
      </c>
      <c r="P10551" s="27"/>
    </row>
    <row r="10552">
      <c r="A10552" s="14">
        <v>43032.29820601852</v>
      </c>
      <c r="B10552" s="20" t="str">
        <f>HYPERLINK("https://twitter.com/FLCertified","@FLCertified")</f>
        <v>@FLCertified</v>
      </c>
      <c r="C10552" s="21" t="s">
        <v>22421</v>
      </c>
      <c r="D10552" s="21" t="s">
        <v>32</v>
      </c>
      <c r="E10552" s="22" t="str">
        <f>HYPERLINK("https://twitter.com/FLCertified/status/922827372168085505","922827372168085505")</f>
        <v>922827372168085505</v>
      </c>
      <c r="F10552" s="23" t="s">
        <v>33</v>
      </c>
      <c r="G10552" s="24">
        <v>1565.0</v>
      </c>
      <c r="H10552" s="24">
        <v>98.0</v>
      </c>
      <c r="I10552" s="24">
        <v>471.0</v>
      </c>
      <c r="J10552" s="24">
        <v>0.0</v>
      </c>
      <c r="K10552" s="23" t="s">
        <v>34</v>
      </c>
      <c r="L10552" s="25">
        <v>40054.24587962963</v>
      </c>
      <c r="M10552" s="26" t="s">
        <v>22422</v>
      </c>
      <c r="N10552" s="26" t="s">
        <v>22423</v>
      </c>
      <c r="O10552" s="22" t="str">
        <f>HYPERLINK("https://pbs.twimg.com/profile_images/920973226708295680/azXwgha1_normal.jpg","View")</f>
        <v>View</v>
      </c>
      <c r="P10552" s="27"/>
    </row>
    <row r="10553">
      <c r="A10553" s="14">
        <v>43032.298310185186</v>
      </c>
      <c r="B10553" s="20" t="str">
        <f>HYPERLINK("https://twitter.com/behroozsalam","@behroozsalam")</f>
        <v>@behroozsalam</v>
      </c>
      <c r="C10553" s="21" t="s">
        <v>22417</v>
      </c>
      <c r="D10553" s="21" t="s">
        <v>21203</v>
      </c>
      <c r="E10553" s="22" t="str">
        <f>HYPERLINK("https://twitter.com/behroozsalam/status/922827409438793733","922827409438793733")</f>
        <v>922827409438793733</v>
      </c>
      <c r="F10553" s="23" t="s">
        <v>86</v>
      </c>
      <c r="G10553" s="24">
        <v>79.0</v>
      </c>
      <c r="H10553" s="24">
        <v>131.0</v>
      </c>
      <c r="I10553" s="24">
        <v>75.0</v>
      </c>
      <c r="J10553" s="24">
        <v>0.0</v>
      </c>
      <c r="K10553" s="23" t="s">
        <v>34</v>
      </c>
      <c r="L10553" s="25">
        <v>41779.27726851852</v>
      </c>
      <c r="M10553" s="26" t="s">
        <v>8333</v>
      </c>
      <c r="N10553" s="26" t="s">
        <v>22418</v>
      </c>
      <c r="O10553" s="22" t="str">
        <f>HYPERLINK("https://pbs.twimg.com/profile_images/468748866221649920/r9pqHEmG_normal.jpeg","View")</f>
        <v>View</v>
      </c>
      <c r="P10553" s="27"/>
    </row>
    <row r="10554">
      <c r="A10554" s="14">
        <v>43032.29847222222</v>
      </c>
      <c r="B10554" s="20" t="str">
        <f>HYPERLINK("https://twitter.com/YashKVerm","@YashKVerm")</f>
        <v>@YashKVerm</v>
      </c>
      <c r="C10554" s="21" t="s">
        <v>20469</v>
      </c>
      <c r="D10554" s="21" t="s">
        <v>22404</v>
      </c>
      <c r="E10554" s="22" t="str">
        <f>HYPERLINK("https://twitter.com/YashKVerm/status/922827468204941312","922827468204941312")</f>
        <v>922827468204941312</v>
      </c>
      <c r="F10554" s="23" t="s">
        <v>43</v>
      </c>
      <c r="G10554" s="24">
        <v>1875.0</v>
      </c>
      <c r="H10554" s="24">
        <v>4286.0</v>
      </c>
      <c r="I10554" s="24">
        <v>14.0</v>
      </c>
      <c r="J10554" s="24">
        <v>0.0</v>
      </c>
      <c r="K10554" s="23" t="s">
        <v>34</v>
      </c>
      <c r="L10554" s="25">
        <v>41244.38667824074</v>
      </c>
      <c r="M10554" s="28"/>
      <c r="N10554" s="28"/>
      <c r="O10554" s="22" t="str">
        <f>HYPERLINK("https://pbs.twimg.com/profile_images/461229918366339072/pa6jfXz9_normal.jpeg","View")</f>
        <v>View</v>
      </c>
      <c r="P10554" s="27"/>
    </row>
    <row r="10555">
      <c r="A10555" s="14">
        <v>43032.29880787037</v>
      </c>
      <c r="B10555" s="20" t="str">
        <f>HYPERLINK("https://twitter.com/CehBeachActual","@CehBeachActual")</f>
        <v>@CehBeachActual</v>
      </c>
      <c r="C10555" s="21" t="s">
        <v>22424</v>
      </c>
      <c r="D10555" s="21" t="s">
        <v>22404</v>
      </c>
      <c r="E10555" s="22" t="str">
        <f>HYPERLINK("https://twitter.com/CehBeachActual/status/922827591177916416","922827591177916416")</f>
        <v>922827591177916416</v>
      </c>
      <c r="F10555" s="23" t="s">
        <v>33</v>
      </c>
      <c r="G10555" s="24">
        <v>658.0</v>
      </c>
      <c r="H10555" s="24">
        <v>354.0</v>
      </c>
      <c r="I10555" s="24">
        <v>14.0</v>
      </c>
      <c r="J10555" s="24">
        <v>0.0</v>
      </c>
      <c r="K10555" s="23" t="s">
        <v>34</v>
      </c>
      <c r="L10555" s="25">
        <v>41924.54381944444</v>
      </c>
      <c r="M10555" s="26" t="s">
        <v>68</v>
      </c>
      <c r="N10555" s="26" t="s">
        <v>22425</v>
      </c>
      <c r="O10555" s="22" t="str">
        <f>HYPERLINK("https://pbs.twimg.com/profile_images/856722297687814145/R1yFz8nl_normal.jpg","View")</f>
        <v>View</v>
      </c>
      <c r="P10555" s="27"/>
    </row>
    <row r="10556">
      <c r="A10556" s="14">
        <v>43032.29891203703</v>
      </c>
      <c r="B10556" s="20" t="str">
        <f>HYPERLINK("https://twitter.com/behroozsalam","@behroozsalam")</f>
        <v>@behroozsalam</v>
      </c>
      <c r="C10556" s="21" t="s">
        <v>22417</v>
      </c>
      <c r="D10556" s="21" t="s">
        <v>21243</v>
      </c>
      <c r="E10556" s="22" t="str">
        <f>HYPERLINK("https://twitter.com/behroozsalam/status/922827626443673600","922827626443673600")</f>
        <v>922827626443673600</v>
      </c>
      <c r="F10556" s="23" t="s">
        <v>86</v>
      </c>
      <c r="G10556" s="24">
        <v>79.0</v>
      </c>
      <c r="H10556" s="24">
        <v>131.0</v>
      </c>
      <c r="I10556" s="24">
        <v>41.0</v>
      </c>
      <c r="J10556" s="24">
        <v>0.0</v>
      </c>
      <c r="K10556" s="23" t="s">
        <v>34</v>
      </c>
      <c r="L10556" s="25">
        <v>41779.27726851852</v>
      </c>
      <c r="M10556" s="26" t="s">
        <v>8333</v>
      </c>
      <c r="N10556" s="26" t="s">
        <v>22418</v>
      </c>
      <c r="O10556" s="22" t="str">
        <f>HYPERLINK("https://pbs.twimg.com/profile_images/468748866221649920/r9pqHEmG_normal.jpeg","View")</f>
        <v>View</v>
      </c>
      <c r="P10556" s="27"/>
    </row>
    <row r="10557">
      <c r="A10557" s="14">
        <v>43032.29895833333</v>
      </c>
      <c r="B10557" s="20" t="str">
        <f>HYPERLINK("https://twitter.com/miyuJSB","@miyuJSB")</f>
        <v>@miyuJSB</v>
      </c>
      <c r="C10557" s="21" t="s">
        <v>22426</v>
      </c>
      <c r="D10557" s="21" t="s">
        <v>1474</v>
      </c>
      <c r="E10557" s="22" t="str">
        <f>HYPERLINK("https://twitter.com/miyuJSB/status/922827645347184641","922827645347184641")</f>
        <v>922827645347184641</v>
      </c>
      <c r="F10557" s="23" t="s">
        <v>39</v>
      </c>
      <c r="G10557" s="24">
        <v>35.0</v>
      </c>
      <c r="H10557" s="24">
        <v>112.0</v>
      </c>
      <c r="I10557" s="24">
        <v>29.0</v>
      </c>
      <c r="J10557" s="24">
        <v>0.0</v>
      </c>
      <c r="K10557" s="23" t="s">
        <v>34</v>
      </c>
      <c r="L10557" s="25">
        <v>42926.87712962963</v>
      </c>
      <c r="M10557" s="26" t="s">
        <v>22427</v>
      </c>
      <c r="N10557" s="26" t="s">
        <v>22428</v>
      </c>
      <c r="O10557" s="22" t="str">
        <f>HYPERLINK("https://pbs.twimg.com/profile_images/884739691907432448/sKwvzZns_normal.jpg","View")</f>
        <v>View</v>
      </c>
      <c r="P10557" s="27"/>
    </row>
    <row r="10558">
      <c r="A10558" s="14">
        <v>43032.29935185185</v>
      </c>
      <c r="B10558" s="20" t="str">
        <f>HYPERLINK("https://twitter.com/2601Manish","@2601Manish")</f>
        <v>@2601Manish</v>
      </c>
      <c r="C10558" s="21" t="s">
        <v>22429</v>
      </c>
      <c r="D10558" s="21" t="s">
        <v>22404</v>
      </c>
      <c r="E10558" s="22" t="str">
        <f>HYPERLINK("https://twitter.com/2601Manish/status/922827788633042944","922827788633042944")</f>
        <v>922827788633042944</v>
      </c>
      <c r="F10558" s="23" t="s">
        <v>33</v>
      </c>
      <c r="G10558" s="24">
        <v>1424.0</v>
      </c>
      <c r="H10558" s="24">
        <v>1272.0</v>
      </c>
      <c r="I10558" s="24">
        <v>14.0</v>
      </c>
      <c r="J10558" s="24">
        <v>0.0</v>
      </c>
      <c r="K10558" s="23" t="s">
        <v>34</v>
      </c>
      <c r="L10558" s="25">
        <v>41071.284780092596</v>
      </c>
      <c r="M10558" s="26" t="s">
        <v>204</v>
      </c>
      <c r="N10558" s="26" t="s">
        <v>22430</v>
      </c>
      <c r="O10558" s="22" t="str">
        <f>HYPERLINK("https://pbs.twimg.com/profile_images/820339510294810628/R8N9OWoX_normal.jpg","View")</f>
        <v>View</v>
      </c>
      <c r="P10558" s="27"/>
    </row>
    <row r="10559">
      <c r="A10559" s="14">
        <v>43032.29951388889</v>
      </c>
      <c r="B10559" s="20" t="str">
        <f>HYPERLINK("https://twitter.com/behroozsalam","@behroozsalam")</f>
        <v>@behroozsalam</v>
      </c>
      <c r="C10559" s="21" t="s">
        <v>22417</v>
      </c>
      <c r="D10559" s="21" t="s">
        <v>21191</v>
      </c>
      <c r="E10559" s="22" t="str">
        <f>HYPERLINK("https://twitter.com/behroozsalam/status/922827844639756294","922827844639756294")</f>
        <v>922827844639756294</v>
      </c>
      <c r="F10559" s="23" t="s">
        <v>86</v>
      </c>
      <c r="G10559" s="24">
        <v>79.0</v>
      </c>
      <c r="H10559" s="24">
        <v>131.0</v>
      </c>
      <c r="I10559" s="24">
        <v>42.0</v>
      </c>
      <c r="J10559" s="24">
        <v>0.0</v>
      </c>
      <c r="K10559" s="23" t="s">
        <v>34</v>
      </c>
      <c r="L10559" s="25">
        <v>41779.27726851852</v>
      </c>
      <c r="M10559" s="26" t="s">
        <v>8333</v>
      </c>
      <c r="N10559" s="26" t="s">
        <v>22418</v>
      </c>
      <c r="O10559" s="22" t="str">
        <f>HYPERLINK("https://pbs.twimg.com/profile_images/468748866221649920/r9pqHEmG_normal.jpeg","View")</f>
        <v>View</v>
      </c>
      <c r="P10559" s="27"/>
    </row>
    <row r="10560">
      <c r="A10560" s="14">
        <v>43032.30009259259</v>
      </c>
      <c r="B10560" s="20" t="str">
        <f>HYPERLINK("https://twitter.com/anshumanjianshu","@anshumanjianshu")</f>
        <v>@anshumanjianshu</v>
      </c>
      <c r="C10560" s="21" t="s">
        <v>22431</v>
      </c>
      <c r="D10560" s="21" t="s">
        <v>42</v>
      </c>
      <c r="E10560" s="22" t="str">
        <f>HYPERLINK("https://twitter.com/anshumanjianshu/status/922828056619753472","922828056619753472")</f>
        <v>922828056619753472</v>
      </c>
      <c r="F10560" s="23" t="s">
        <v>33</v>
      </c>
      <c r="G10560" s="24">
        <v>62.0</v>
      </c>
      <c r="H10560" s="24">
        <v>183.0</v>
      </c>
      <c r="I10560" s="24">
        <v>8501.0</v>
      </c>
      <c r="J10560" s="24">
        <v>0.0</v>
      </c>
      <c r="K10560" s="23" t="s">
        <v>34</v>
      </c>
      <c r="L10560" s="25">
        <v>42733.436331018514</v>
      </c>
      <c r="M10560" s="26" t="s">
        <v>2335</v>
      </c>
      <c r="N10560" s="26" t="s">
        <v>22432</v>
      </c>
      <c r="O10560" s="22" t="str">
        <f>HYPERLINK("https://pbs.twimg.com/profile_images/832952887378636800/lAlhpwJ6_normal.jpg","View")</f>
        <v>View</v>
      </c>
      <c r="P10560" s="27"/>
    </row>
    <row r="10561">
      <c r="A10561" s="14">
        <v>43032.30017361111</v>
      </c>
      <c r="B10561" s="20" t="str">
        <f t="shared" ref="B10561:B10562" si="244">HYPERLINK("https://twitter.com/niigatamama","@niigatamama")</f>
        <v>@niigatamama</v>
      </c>
      <c r="C10561" s="21" t="s">
        <v>22433</v>
      </c>
      <c r="D10561" s="21" t="s">
        <v>20905</v>
      </c>
      <c r="E10561" s="22" t="str">
        <f>HYPERLINK("https://twitter.com/niigatamama/status/922828086659264513","922828086659264513")</f>
        <v>922828086659264513</v>
      </c>
      <c r="F10561" s="23" t="s">
        <v>33</v>
      </c>
      <c r="G10561" s="24">
        <v>3245.0</v>
      </c>
      <c r="H10561" s="24">
        <v>1154.0</v>
      </c>
      <c r="I10561" s="24">
        <v>4.0</v>
      </c>
      <c r="J10561" s="24">
        <v>0.0</v>
      </c>
      <c r="K10561" s="23" t="s">
        <v>34</v>
      </c>
      <c r="L10561" s="25">
        <v>40615.68934027778</v>
      </c>
      <c r="M10561" s="26" t="s">
        <v>22434</v>
      </c>
      <c r="N10561" s="26" t="s">
        <v>22435</v>
      </c>
      <c r="O10561" s="22" t="str">
        <f t="shared" ref="O10561:O10562" si="245">HYPERLINK("https://pbs.twimg.com/profile_images/680530423865163776/Y5qAR9Ky_normal.jpg","View")</f>
        <v>View</v>
      </c>
      <c r="P10561" s="27"/>
    </row>
    <row r="10562">
      <c r="A10562" s="14">
        <v>43032.300312499996</v>
      </c>
      <c r="B10562" s="20" t="str">
        <f t="shared" si="244"/>
        <v>@niigatamama</v>
      </c>
      <c r="C10562" s="21" t="s">
        <v>22433</v>
      </c>
      <c r="D10562" s="21" t="s">
        <v>20569</v>
      </c>
      <c r="E10562" s="22" t="str">
        <f>HYPERLINK("https://twitter.com/niigatamama/status/922828136554754048","922828136554754048")</f>
        <v>922828136554754048</v>
      </c>
      <c r="F10562" s="23" t="s">
        <v>33</v>
      </c>
      <c r="G10562" s="24">
        <v>3245.0</v>
      </c>
      <c r="H10562" s="24">
        <v>1154.0</v>
      </c>
      <c r="I10562" s="24">
        <v>11.0</v>
      </c>
      <c r="J10562" s="24">
        <v>0.0</v>
      </c>
      <c r="K10562" s="23" t="s">
        <v>34</v>
      </c>
      <c r="L10562" s="25">
        <v>40615.68934027778</v>
      </c>
      <c r="M10562" s="26" t="s">
        <v>22434</v>
      </c>
      <c r="N10562" s="26" t="s">
        <v>22435</v>
      </c>
      <c r="O10562" s="22" t="str">
        <f t="shared" si="245"/>
        <v>View</v>
      </c>
      <c r="P10562" s="27"/>
    </row>
    <row r="10563">
      <c r="A10563" s="14">
        <v>43032.30065972223</v>
      </c>
      <c r="B10563" s="20" t="str">
        <f>HYPERLINK("https://twitter.com/kuronyun0107","@kuronyun0107")</f>
        <v>@kuronyun0107</v>
      </c>
      <c r="C10563" s="21" t="s">
        <v>3931</v>
      </c>
      <c r="D10563" s="21" t="s">
        <v>12974</v>
      </c>
      <c r="E10563" s="22" t="str">
        <f>HYPERLINK("https://twitter.com/kuronyun0107/status/922828263419813888","922828263419813888")</f>
        <v>922828263419813888</v>
      </c>
      <c r="F10563" s="23" t="s">
        <v>39</v>
      </c>
      <c r="G10563" s="24">
        <v>263.0</v>
      </c>
      <c r="H10563" s="24">
        <v>465.0</v>
      </c>
      <c r="I10563" s="24">
        <v>110.0</v>
      </c>
      <c r="J10563" s="24">
        <v>0.0</v>
      </c>
      <c r="K10563" s="23" t="s">
        <v>34</v>
      </c>
      <c r="L10563" s="25">
        <v>42570.907905092594</v>
      </c>
      <c r="M10563" s="26" t="s">
        <v>3932</v>
      </c>
      <c r="N10563" s="26" t="s">
        <v>3933</v>
      </c>
      <c r="O10563" s="22" t="str">
        <f>HYPERLINK("https://pbs.twimg.com/profile_images/922481367190880257/wjhzA1dR_normal.jpg","View")</f>
        <v>View</v>
      </c>
      <c r="P10563" s="27"/>
    </row>
    <row r="10564">
      <c r="A10564" s="14">
        <v>43032.300729166665</v>
      </c>
      <c r="B10564" s="20" t="str">
        <f>HYPERLINK("https://twitter.com/ARORAShubham628","@ARORAShubham628")</f>
        <v>@ARORAShubham628</v>
      </c>
      <c r="C10564" s="21" t="s">
        <v>22436</v>
      </c>
      <c r="D10564" s="21" t="s">
        <v>42</v>
      </c>
      <c r="E10564" s="22" t="str">
        <f>HYPERLINK("https://twitter.com/ARORAShubham628/status/922828287969071104","922828287969071104")</f>
        <v>922828287969071104</v>
      </c>
      <c r="F10564" s="23" t="s">
        <v>33</v>
      </c>
      <c r="G10564" s="24">
        <v>333.0</v>
      </c>
      <c r="H10564" s="24">
        <v>1297.0</v>
      </c>
      <c r="I10564" s="24">
        <v>8501.0</v>
      </c>
      <c r="J10564" s="24">
        <v>0.0</v>
      </c>
      <c r="K10564" s="23" t="s">
        <v>34</v>
      </c>
      <c r="L10564" s="25">
        <v>41270.204050925924</v>
      </c>
      <c r="M10564" s="28"/>
      <c r="N10564" s="26" t="s">
        <v>1217</v>
      </c>
      <c r="O10564" s="22" t="str">
        <f>HYPERLINK("https://pbs.twimg.com/profile_images/866202079551004672/kpKDVe7I_normal.jpg","View")</f>
        <v>View</v>
      </c>
      <c r="P10564" s="27"/>
    </row>
    <row r="10565">
      <c r="A10565" s="14">
        <v>43032.30082175926</v>
      </c>
      <c r="B10565" s="20" t="str">
        <f>HYPERLINK("https://twitter.com/hedgedhungarian","@hedgedhungarian")</f>
        <v>@hedgedhungarian</v>
      </c>
      <c r="C10565" s="21" t="s">
        <v>21018</v>
      </c>
      <c r="D10565" s="21" t="s">
        <v>22437</v>
      </c>
      <c r="E10565" s="22" t="str">
        <f>HYPERLINK("https://twitter.com/hedgedhungarian/status/922828321536196610","922828321536196610")</f>
        <v>922828321536196610</v>
      </c>
      <c r="F10565" s="23" t="s">
        <v>33</v>
      </c>
      <c r="G10565" s="24">
        <v>122.0</v>
      </c>
      <c r="H10565" s="24">
        <v>530.0</v>
      </c>
      <c r="I10565" s="24">
        <v>1.0</v>
      </c>
      <c r="J10565" s="24">
        <v>0.0</v>
      </c>
      <c r="K10565" s="23" t="s">
        <v>34</v>
      </c>
      <c r="L10565" s="25">
        <v>43007.53509259259</v>
      </c>
      <c r="M10565" s="26" t="s">
        <v>2305</v>
      </c>
      <c r="N10565" s="26" t="s">
        <v>21019</v>
      </c>
      <c r="O10565" s="22" t="str">
        <f>HYPERLINK("https://pbs.twimg.com/profile_images/913861642609344512/jv152iWN_normal.jpg","View")</f>
        <v>View</v>
      </c>
      <c r="P10565" s="27"/>
    </row>
    <row r="10566">
      <c r="A10566" s="14">
        <v>43032.302141203705</v>
      </c>
      <c r="B10566" s="20" t="str">
        <f>HYPERLINK("https://twitter.com/ROCHERRY","@ROCHERRY")</f>
        <v>@ROCHERRY</v>
      </c>
      <c r="C10566" s="21" t="s">
        <v>11677</v>
      </c>
      <c r="D10566" s="21" t="s">
        <v>22404</v>
      </c>
      <c r="E10566" s="22" t="str">
        <f>HYPERLINK("https://twitter.com/ROCHERRY/status/922828799682793473","922828799682793473")</f>
        <v>922828799682793473</v>
      </c>
      <c r="F10566" s="23" t="s">
        <v>33</v>
      </c>
      <c r="G10566" s="24">
        <v>888.0</v>
      </c>
      <c r="H10566" s="24">
        <v>1659.0</v>
      </c>
      <c r="I10566" s="24">
        <v>14.0</v>
      </c>
      <c r="J10566" s="24">
        <v>0.0</v>
      </c>
      <c r="K10566" s="23" t="s">
        <v>34</v>
      </c>
      <c r="L10566" s="25">
        <v>40194.54761574074</v>
      </c>
      <c r="M10566" s="26" t="s">
        <v>590</v>
      </c>
      <c r="N10566" s="26" t="s">
        <v>11678</v>
      </c>
      <c r="O10566" s="22" t="str">
        <f>HYPERLINK("https://pbs.twimg.com/profile_images/2738057689/7f12378fddd7cd1f6ab790d525a4b76f_normal.jpeg","View")</f>
        <v>View</v>
      </c>
      <c r="P10566" s="27"/>
    </row>
    <row r="10567">
      <c r="A10567" s="14">
        <v>43032.30233796296</v>
      </c>
      <c r="B10567" s="20" t="str">
        <f>HYPERLINK("https://twitter.com/AlirzaSohrabi","@AlirzaSohrabi")</f>
        <v>@AlirzaSohrabi</v>
      </c>
      <c r="C10567" s="21" t="s">
        <v>21081</v>
      </c>
      <c r="D10567" s="21" t="s">
        <v>21202</v>
      </c>
      <c r="E10567" s="22" t="str">
        <f>HYPERLINK("https://twitter.com/AlirzaSohrabi/status/922828871447093248","922828871447093248")</f>
        <v>922828871447093248</v>
      </c>
      <c r="F10567" s="23" t="s">
        <v>86</v>
      </c>
      <c r="G10567" s="24">
        <v>146.0</v>
      </c>
      <c r="H10567" s="24">
        <v>107.0</v>
      </c>
      <c r="I10567" s="24">
        <v>79.0</v>
      </c>
      <c r="J10567" s="24">
        <v>0.0</v>
      </c>
      <c r="K10567" s="23" t="s">
        <v>34</v>
      </c>
      <c r="L10567" s="25">
        <v>41784.37640046296</v>
      </c>
      <c r="M10567" s="26" t="s">
        <v>6118</v>
      </c>
      <c r="N10567" s="26" t="s">
        <v>21083</v>
      </c>
      <c r="O10567" s="22" t="str">
        <f>HYPERLINK("https://pbs.twimg.com/profile_images/470596644354813952/JUl11kwp_normal.png","View")</f>
        <v>View</v>
      </c>
      <c r="P10567" s="27"/>
    </row>
    <row r="10568">
      <c r="A10568" s="14">
        <v>43032.302673611106</v>
      </c>
      <c r="B10568" s="20" t="str">
        <f>HYPERLINK("https://twitter.com/DasXbd","@DasXbd")</f>
        <v>@DasXbd</v>
      </c>
      <c r="C10568" s="21" t="s">
        <v>22438</v>
      </c>
      <c r="D10568" s="21" t="s">
        <v>8072</v>
      </c>
      <c r="E10568" s="22" t="str">
        <f>HYPERLINK("https://twitter.com/DasXbd/status/922828991467102209","922828991467102209")</f>
        <v>922828991467102209</v>
      </c>
      <c r="F10568" s="23" t="s">
        <v>33</v>
      </c>
      <c r="G10568" s="24">
        <v>9.0</v>
      </c>
      <c r="H10568" s="24">
        <v>105.0</v>
      </c>
      <c r="I10568" s="24">
        <v>28.0</v>
      </c>
      <c r="J10568" s="24">
        <v>0.0</v>
      </c>
      <c r="K10568" s="23" t="s">
        <v>34</v>
      </c>
      <c r="L10568" s="25">
        <v>42038.312789351854</v>
      </c>
      <c r="M10568" s="28"/>
      <c r="N10568" s="28"/>
      <c r="O10568" s="22" t="str">
        <f>HYPERLINK("https://pbs.twimg.com/profile_images/918527663995625472/etg_f7RE_normal.jpg","View")</f>
        <v>View</v>
      </c>
      <c r="P10568" s="27"/>
    </row>
    <row r="10569">
      <c r="A10569" s="14">
        <v>43032.30299768518</v>
      </c>
      <c r="B10569" s="20" t="str">
        <f>HYPERLINK("https://twitter.com/AlirzaSohrabi","@AlirzaSohrabi")</f>
        <v>@AlirzaSohrabi</v>
      </c>
      <c r="C10569" s="21" t="s">
        <v>21081</v>
      </c>
      <c r="D10569" s="21" t="s">
        <v>21203</v>
      </c>
      <c r="E10569" s="22" t="str">
        <f>HYPERLINK("https://twitter.com/AlirzaSohrabi/status/922829107380961280","922829107380961280")</f>
        <v>922829107380961280</v>
      </c>
      <c r="F10569" s="23" t="s">
        <v>86</v>
      </c>
      <c r="G10569" s="24">
        <v>146.0</v>
      </c>
      <c r="H10569" s="24">
        <v>107.0</v>
      </c>
      <c r="I10569" s="24">
        <v>75.0</v>
      </c>
      <c r="J10569" s="24">
        <v>0.0</v>
      </c>
      <c r="K10569" s="23" t="s">
        <v>34</v>
      </c>
      <c r="L10569" s="25">
        <v>41784.37640046296</v>
      </c>
      <c r="M10569" s="26" t="s">
        <v>6118</v>
      </c>
      <c r="N10569" s="26" t="s">
        <v>21083</v>
      </c>
      <c r="O10569" s="22" t="str">
        <f>HYPERLINK("https://pbs.twimg.com/profile_images/470596644354813952/JUl11kwp_normal.png","View")</f>
        <v>View</v>
      </c>
      <c r="P10569" s="27"/>
    </row>
    <row r="10570">
      <c r="A10570" s="14">
        <v>43032.303252314814</v>
      </c>
      <c r="B10570" s="20" t="str">
        <f>HYPERLINK("https://twitter.com/phadindra7","@phadindra7")</f>
        <v>@phadindra7</v>
      </c>
      <c r="C10570" s="21" t="s">
        <v>22439</v>
      </c>
      <c r="D10570" s="21" t="s">
        <v>19279</v>
      </c>
      <c r="E10570" s="22" t="str">
        <f>HYPERLINK("https://twitter.com/phadindra7/status/922829201446785025","922829201446785025")</f>
        <v>922829201446785025</v>
      </c>
      <c r="F10570" s="23" t="s">
        <v>33</v>
      </c>
      <c r="G10570" s="24">
        <v>40.0</v>
      </c>
      <c r="H10570" s="24">
        <v>37.0</v>
      </c>
      <c r="I10570" s="24">
        <v>12.0</v>
      </c>
      <c r="J10570" s="24">
        <v>0.0</v>
      </c>
      <c r="K10570" s="23" t="s">
        <v>34</v>
      </c>
      <c r="L10570" s="25">
        <v>42757.284409722226</v>
      </c>
      <c r="M10570" s="26" t="s">
        <v>22440</v>
      </c>
      <c r="N10570" s="26" t="s">
        <v>22441</v>
      </c>
      <c r="O10570" s="22" t="str">
        <f>HYPERLINK("https://pbs.twimg.com/profile_images/912854053834694658/O0mye85e_normal.jpg","View")</f>
        <v>View</v>
      </c>
      <c r="P10570" s="27"/>
    </row>
    <row r="10571">
      <c r="A10571" s="14">
        <v>43032.30326388888</v>
      </c>
      <c r="B10571" s="20" t="str">
        <f>HYPERLINK("https://twitter.com/maganrober","@maganrober")</f>
        <v>@maganrober</v>
      </c>
      <c r="C10571" s="21" t="s">
        <v>22442</v>
      </c>
      <c r="D10571" s="21" t="s">
        <v>32</v>
      </c>
      <c r="E10571" s="22" t="str">
        <f>HYPERLINK("https://twitter.com/maganrober/status/922829204282015746","922829204282015746")</f>
        <v>922829204282015746</v>
      </c>
      <c r="F10571" s="23" t="s">
        <v>39</v>
      </c>
      <c r="G10571" s="24">
        <v>46.0</v>
      </c>
      <c r="H10571" s="24">
        <v>183.0</v>
      </c>
      <c r="I10571" s="24">
        <v>471.0</v>
      </c>
      <c r="J10571" s="24">
        <v>0.0</v>
      </c>
      <c r="K10571" s="23" t="s">
        <v>34</v>
      </c>
      <c r="L10571" s="25">
        <v>41328.58133101852</v>
      </c>
      <c r="M10571" s="26" t="s">
        <v>238</v>
      </c>
      <c r="N10571" s="28"/>
      <c r="O10571" s="22" t="str">
        <f>HYPERLINK("https://pbs.twimg.com/profile_images/920402960798179329/JnwcRWsl_normal.jpg","View")</f>
        <v>View</v>
      </c>
      <c r="P10571" s="27"/>
    </row>
    <row r="10572">
      <c r="A10572" s="14">
        <v>43032.30327546297</v>
      </c>
      <c r="B10572" s="20" t="str">
        <f>HYPERLINK("https://twitter.com/kenbridge1","@kenbridge1")</f>
        <v>@kenbridge1</v>
      </c>
      <c r="C10572" s="21" t="s">
        <v>22443</v>
      </c>
      <c r="D10572" s="21" t="s">
        <v>22404</v>
      </c>
      <c r="E10572" s="22" t="str">
        <f>HYPERLINK("https://twitter.com/kenbridge1/status/922829207662559233","922829207662559233")</f>
        <v>922829207662559233</v>
      </c>
      <c r="F10572" s="23" t="s">
        <v>39</v>
      </c>
      <c r="G10572" s="24">
        <v>672.0</v>
      </c>
      <c r="H10572" s="24">
        <v>1254.0</v>
      </c>
      <c r="I10572" s="24">
        <v>14.0</v>
      </c>
      <c r="J10572" s="24">
        <v>0.0</v>
      </c>
      <c r="K10572" s="23" t="s">
        <v>34</v>
      </c>
      <c r="L10572" s="25">
        <v>40598.00304398148</v>
      </c>
      <c r="M10572" s="26" t="s">
        <v>22444</v>
      </c>
      <c r="N10572" s="26" t="s">
        <v>22445</v>
      </c>
      <c r="O10572" s="22" t="str">
        <f>HYPERLINK("https://pbs.twimg.com/profile_images/843569930578538496/KBlE-qoV_normal.jpg","View")</f>
        <v>View</v>
      </c>
      <c r="P10572" s="27"/>
    </row>
    <row r="10573">
      <c r="A10573" s="14">
        <v>43032.3040625</v>
      </c>
      <c r="B10573" s="20" t="str">
        <f>HYPERLINK("https://twitter.com/kinonkkop","@kinonkkop")</f>
        <v>@kinonkkop</v>
      </c>
      <c r="C10573" s="21" t="s">
        <v>22446</v>
      </c>
      <c r="D10573" s="21" t="s">
        <v>20569</v>
      </c>
      <c r="E10573" s="22" t="str">
        <f>HYPERLINK("https://twitter.com/kinonkkop/status/922829492581580800","922829492581580800")</f>
        <v>922829492581580800</v>
      </c>
      <c r="F10573" s="23" t="s">
        <v>33</v>
      </c>
      <c r="G10573" s="24">
        <v>928.0</v>
      </c>
      <c r="H10573" s="24">
        <v>492.0</v>
      </c>
      <c r="I10573" s="24">
        <v>11.0</v>
      </c>
      <c r="J10573" s="24">
        <v>0.0</v>
      </c>
      <c r="K10573" s="23" t="s">
        <v>34</v>
      </c>
      <c r="L10573" s="25">
        <v>40398.014328703706</v>
      </c>
      <c r="M10573" s="28"/>
      <c r="N10573" s="26" t="s">
        <v>22447</v>
      </c>
      <c r="O10573" s="22" t="str">
        <f>HYPERLINK("https://pbs.twimg.com/profile_images/812162537001103360/qOr3NGk4_normal.jpg","View")</f>
        <v>View</v>
      </c>
      <c r="P10573" s="27"/>
    </row>
    <row r="10574">
      <c r="A10574" s="14">
        <v>43032.30412037037</v>
      </c>
      <c r="B10574" s="20" t="str">
        <f>HYPERLINK("https://twitter.com/teshayi","@teshayi")</f>
        <v>@teshayi</v>
      </c>
      <c r="C10574" s="21" t="s">
        <v>22448</v>
      </c>
      <c r="D10574" s="21" t="s">
        <v>32</v>
      </c>
      <c r="E10574" s="22" t="str">
        <f>HYPERLINK("https://twitter.com/teshayi/status/922829517177094149","922829517177094149")</f>
        <v>922829517177094149</v>
      </c>
      <c r="F10574" s="23" t="s">
        <v>33</v>
      </c>
      <c r="G10574" s="24">
        <v>2978.0</v>
      </c>
      <c r="H10574" s="24">
        <v>504.0</v>
      </c>
      <c r="I10574" s="24">
        <v>471.0</v>
      </c>
      <c r="J10574" s="24">
        <v>0.0</v>
      </c>
      <c r="K10574" s="23" t="s">
        <v>34</v>
      </c>
      <c r="L10574" s="25">
        <v>40674.63775462963</v>
      </c>
      <c r="M10574" s="26" t="s">
        <v>19645</v>
      </c>
      <c r="N10574" s="26" t="s">
        <v>22449</v>
      </c>
      <c r="O10574" s="22" t="str">
        <f>HYPERLINK("https://pbs.twimg.com/profile_images/920587506520920064/N1W_Sr6u_normal.jpg","View")</f>
        <v>View</v>
      </c>
      <c r="P10574" s="27"/>
    </row>
    <row r="10575">
      <c r="A10575" s="14">
        <v>43032.30427083334</v>
      </c>
      <c r="B10575" s="20" t="str">
        <f>HYPERLINK("https://twitter.com/phn0e","@phn0e")</f>
        <v>@phn0e</v>
      </c>
      <c r="C10575" s="21" t="s">
        <v>22450</v>
      </c>
      <c r="D10575" s="21" t="s">
        <v>22404</v>
      </c>
      <c r="E10575" s="22" t="str">
        <f>HYPERLINK("https://twitter.com/phn0e/status/922829571891789829","922829571891789829")</f>
        <v>922829571891789829</v>
      </c>
      <c r="F10575" s="23" t="s">
        <v>780</v>
      </c>
      <c r="G10575" s="24">
        <v>152.0</v>
      </c>
      <c r="H10575" s="24">
        <v>236.0</v>
      </c>
      <c r="I10575" s="24">
        <v>14.0</v>
      </c>
      <c r="J10575" s="24">
        <v>0.0</v>
      </c>
      <c r="K10575" s="23" t="s">
        <v>34</v>
      </c>
      <c r="L10575" s="25">
        <v>41694.055983796294</v>
      </c>
      <c r="M10575" s="28"/>
      <c r="N10575" s="26" t="s">
        <v>22451</v>
      </c>
      <c r="O10575" s="22" t="str">
        <f>HYPERLINK("https://pbs.twimg.com/profile_images/917061025559728129/s305f4S3_normal.jpg","View")</f>
        <v>View</v>
      </c>
      <c r="P10575" s="27"/>
    </row>
    <row r="10576">
      <c r="A10576" s="14">
        <v>43032.3044212963</v>
      </c>
      <c r="B10576" s="20" t="str">
        <f>HYPERLINK("https://twitter.com/dhrushal","@dhrushal")</f>
        <v>@dhrushal</v>
      </c>
      <c r="C10576" s="21" t="s">
        <v>22452</v>
      </c>
      <c r="D10576" s="21" t="s">
        <v>42</v>
      </c>
      <c r="E10576" s="22" t="str">
        <f>HYPERLINK("https://twitter.com/dhrushal/status/922829626270916609","922829626270916609")</f>
        <v>922829626270916609</v>
      </c>
      <c r="F10576" s="23" t="s">
        <v>33</v>
      </c>
      <c r="G10576" s="24">
        <v>51.0</v>
      </c>
      <c r="H10576" s="24">
        <v>276.0</v>
      </c>
      <c r="I10576" s="24">
        <v>8501.0</v>
      </c>
      <c r="J10576" s="24">
        <v>0.0</v>
      </c>
      <c r="K10576" s="23" t="s">
        <v>34</v>
      </c>
      <c r="L10576" s="25">
        <v>40254.178402777776</v>
      </c>
      <c r="M10576" s="26" t="s">
        <v>22453</v>
      </c>
      <c r="N10576" s="28"/>
      <c r="O10576" s="22" t="str">
        <f>HYPERLINK("https://pbs.twimg.com/profile_images/797503003657957376/xDPTl77m_normal.jpg","View")</f>
        <v>View</v>
      </c>
      <c r="P10576" s="27"/>
    </row>
    <row r="10577">
      <c r="A10577" s="14">
        <v>43032.30503472222</v>
      </c>
      <c r="B10577" s="20" t="str">
        <f>HYPERLINK("https://twitter.com/Murali35144948","@Murali35144948")</f>
        <v>@Murali35144948</v>
      </c>
      <c r="C10577" s="21" t="s">
        <v>22454</v>
      </c>
      <c r="D10577" s="21" t="s">
        <v>42</v>
      </c>
      <c r="E10577" s="22" t="str">
        <f>HYPERLINK("https://twitter.com/Murali35144948/status/922829847512064002","922829847512064002")</f>
        <v>922829847512064002</v>
      </c>
      <c r="F10577" s="23" t="s">
        <v>33</v>
      </c>
      <c r="G10577" s="24">
        <v>39.0</v>
      </c>
      <c r="H10577" s="24">
        <v>378.0</v>
      </c>
      <c r="I10577" s="24">
        <v>8501.0</v>
      </c>
      <c r="J10577" s="24">
        <v>0.0</v>
      </c>
      <c r="K10577" s="23" t="s">
        <v>34</v>
      </c>
      <c r="L10577" s="25">
        <v>42889.87040509259</v>
      </c>
      <c r="M10577" s="26" t="s">
        <v>22455</v>
      </c>
      <c r="N10577" s="28"/>
      <c r="O10577" s="22" t="str">
        <f>HYPERLINK("https://pbs.twimg.com/profile_images/923014968261230592/RsY9Do9Y_normal.jpg","View")</f>
        <v>View</v>
      </c>
      <c r="P10577" s="27"/>
    </row>
    <row r="10578">
      <c r="A10578" s="14">
        <v>43032.305972222224</v>
      </c>
      <c r="B10578" s="20" t="str">
        <f>HYPERLINK("https://twitter.com/The_Oilholic","@The_Oilholic")</f>
        <v>@The_Oilholic</v>
      </c>
      <c r="C10578" s="21" t="s">
        <v>22456</v>
      </c>
      <c r="D10578" s="21" t="s">
        <v>22457</v>
      </c>
      <c r="E10578" s="22" t="str">
        <f>HYPERLINK("https://twitter.com/The_Oilholic/status/922830186659192832","922830186659192832")</f>
        <v>922830186659192832</v>
      </c>
      <c r="F10578" s="23" t="s">
        <v>55</v>
      </c>
      <c r="G10578" s="24">
        <v>1441.0</v>
      </c>
      <c r="H10578" s="24">
        <v>397.0</v>
      </c>
      <c r="I10578" s="24">
        <v>1.0</v>
      </c>
      <c r="J10578" s="24">
        <v>1.0</v>
      </c>
      <c r="K10578" s="23" t="s">
        <v>34</v>
      </c>
      <c r="L10578" s="25">
        <v>41294.27869212963</v>
      </c>
      <c r="M10578" s="26" t="s">
        <v>590</v>
      </c>
      <c r="N10578" s="26" t="s">
        <v>22458</v>
      </c>
      <c r="O10578" s="22" t="str">
        <f>HYPERLINK("https://pbs.twimg.com/profile_images/3134162476/fb23f37c3859e1adc0e8bd5b8961908e_normal.jpeg","View")</f>
        <v>View</v>
      </c>
      <c r="P10578" s="27"/>
    </row>
    <row r="10579">
      <c r="A10579" s="14">
        <v>43032.30644675926</v>
      </c>
      <c r="B10579" s="20" t="str">
        <f>HYPERLINK("https://twitter.com/cBATVbybce1O8tF","@cBATVbybce1O8tF")</f>
        <v>@cBATVbybce1O8tF</v>
      </c>
      <c r="C10579" s="21" t="s">
        <v>22459</v>
      </c>
      <c r="D10579" s="21" t="s">
        <v>42</v>
      </c>
      <c r="E10579" s="22" t="str">
        <f>HYPERLINK("https://twitter.com/cBATVbybce1O8tF/status/922830360295043072","922830360295043072")</f>
        <v>922830360295043072</v>
      </c>
      <c r="F10579" s="23" t="s">
        <v>39</v>
      </c>
      <c r="G10579" s="24">
        <v>431.0</v>
      </c>
      <c r="H10579" s="24">
        <v>423.0</v>
      </c>
      <c r="I10579" s="24">
        <v>8501.0</v>
      </c>
      <c r="J10579" s="24">
        <v>0.0</v>
      </c>
      <c r="K10579" s="23" t="s">
        <v>34</v>
      </c>
      <c r="L10579" s="25">
        <v>42935.99070601852</v>
      </c>
      <c r="M10579" s="26" t="s">
        <v>22460</v>
      </c>
      <c r="N10579" s="26" t="s">
        <v>22461</v>
      </c>
      <c r="O10579" s="22" t="str">
        <f>HYPERLINK("https://pbs.twimg.com/profile_images/891273838654136321/YqPhkXkx_normal.jpg","View")</f>
        <v>View</v>
      </c>
      <c r="P10579" s="27"/>
    </row>
    <row r="10580">
      <c r="A10580" s="14">
        <v>43032.30679398148</v>
      </c>
      <c r="B10580" s="20" t="str">
        <f>HYPERLINK("https://twitter.com/prasannaj8","@prasannaj8")</f>
        <v>@prasannaj8</v>
      </c>
      <c r="C10580" s="21" t="s">
        <v>22462</v>
      </c>
      <c r="D10580" s="21" t="s">
        <v>42</v>
      </c>
      <c r="E10580" s="22" t="str">
        <f>HYPERLINK("https://twitter.com/prasannaj8/status/922830484652007424","922830484652007424")</f>
        <v>922830484652007424</v>
      </c>
      <c r="F10580" s="23" t="s">
        <v>39</v>
      </c>
      <c r="G10580" s="24">
        <v>700.0</v>
      </c>
      <c r="H10580" s="24">
        <v>404.0</v>
      </c>
      <c r="I10580" s="24">
        <v>8501.0</v>
      </c>
      <c r="J10580" s="24">
        <v>0.0</v>
      </c>
      <c r="K10580" s="23" t="s">
        <v>34</v>
      </c>
      <c r="L10580" s="25">
        <v>42110.417858796296</v>
      </c>
      <c r="M10580" s="26" t="s">
        <v>575</v>
      </c>
      <c r="N10580" s="26" t="s">
        <v>22463</v>
      </c>
      <c r="O10580" s="22" t="str">
        <f>HYPERLINK("https://pbs.twimg.com/profile_images/919513454574166016/jN7dZqPx_normal.jpg","View")</f>
        <v>View</v>
      </c>
      <c r="P10580" s="27"/>
    </row>
    <row r="10581">
      <c r="A10581" s="14">
        <v>43032.30684027778</v>
      </c>
      <c r="B10581" s="20" t="str">
        <f>HYPERLINK("https://twitter.com/ineha_mecwan","@ineha_mecwan")</f>
        <v>@ineha_mecwan</v>
      </c>
      <c r="C10581" s="21" t="s">
        <v>22464</v>
      </c>
      <c r="D10581" s="21" t="s">
        <v>42</v>
      </c>
      <c r="E10581" s="22" t="str">
        <f>HYPERLINK("https://twitter.com/ineha_mecwan/status/922830502901379073","922830502901379073")</f>
        <v>922830502901379073</v>
      </c>
      <c r="F10581" s="23" t="s">
        <v>33</v>
      </c>
      <c r="G10581" s="24">
        <v>21.0</v>
      </c>
      <c r="H10581" s="24">
        <v>50.0</v>
      </c>
      <c r="I10581" s="24">
        <v>8501.0</v>
      </c>
      <c r="J10581" s="24">
        <v>0.0</v>
      </c>
      <c r="K10581" s="23" t="s">
        <v>34</v>
      </c>
      <c r="L10581" s="25">
        <v>43032.114756944444</v>
      </c>
      <c r="M10581" s="26" t="s">
        <v>1633</v>
      </c>
      <c r="N10581" s="28"/>
      <c r="O10581" s="22" t="str">
        <f>HYPERLINK("https://pbs.twimg.com/profile_images/922761991617253378/gjkXipyG_normal.jpg","View")</f>
        <v>View</v>
      </c>
      <c r="P10581" s="27"/>
    </row>
    <row r="10582">
      <c r="A10582" s="14">
        <v>43032.30726851852</v>
      </c>
      <c r="B10582" s="20" t="str">
        <f>HYPERLINK("https://twitter.com/bjpkanpursouth","@bjpkanpursouth")</f>
        <v>@bjpkanpursouth</v>
      </c>
      <c r="C10582" s="21" t="s">
        <v>22465</v>
      </c>
      <c r="D10582" s="21" t="s">
        <v>42</v>
      </c>
      <c r="E10582" s="22" t="str">
        <f>HYPERLINK("https://twitter.com/bjpkanpursouth/status/922830654697480197","922830654697480197")</f>
        <v>922830654697480197</v>
      </c>
      <c r="F10582" s="23" t="s">
        <v>33</v>
      </c>
      <c r="G10582" s="24">
        <v>111.0</v>
      </c>
      <c r="H10582" s="24">
        <v>74.0</v>
      </c>
      <c r="I10582" s="24">
        <v>8501.0</v>
      </c>
      <c r="J10582" s="24">
        <v>0.0</v>
      </c>
      <c r="K10582" s="23" t="s">
        <v>34</v>
      </c>
      <c r="L10582" s="25">
        <v>42715.34474537037</v>
      </c>
      <c r="M10582" s="28"/>
      <c r="N10582" s="28"/>
      <c r="O10582" s="22" t="str">
        <f>HYPERLINK("https://pbs.twimg.com/profile_images/807984149525102592/aujrDwXg_normal.jpg","View")</f>
        <v>View</v>
      </c>
      <c r="P10582" s="27"/>
    </row>
    <row r="10583">
      <c r="A10583" s="14">
        <v>43032.307696759264</v>
      </c>
      <c r="B10583" s="20" t="str">
        <f>HYPERLINK("https://twitter.com/GobadeSaaidpour","@GobadeSaaidpour")</f>
        <v>@GobadeSaaidpour</v>
      </c>
      <c r="C10583" s="21" t="s">
        <v>22466</v>
      </c>
      <c r="D10583" s="21" t="s">
        <v>21202</v>
      </c>
      <c r="E10583" s="22" t="str">
        <f>HYPERLINK("https://twitter.com/GobadeSaaidpour/status/922830810759151616","922830810759151616")</f>
        <v>922830810759151616</v>
      </c>
      <c r="F10583" s="23" t="s">
        <v>86</v>
      </c>
      <c r="G10583" s="24">
        <v>883.0</v>
      </c>
      <c r="H10583" s="24">
        <v>397.0</v>
      </c>
      <c r="I10583" s="24">
        <v>79.0</v>
      </c>
      <c r="J10583" s="24">
        <v>0.0</v>
      </c>
      <c r="K10583" s="23" t="s">
        <v>34</v>
      </c>
      <c r="L10583" s="25">
        <v>41523.463483796295</v>
      </c>
      <c r="M10583" s="26" t="s">
        <v>40</v>
      </c>
      <c r="N10583" s="26" t="s">
        <v>21141</v>
      </c>
      <c r="O10583" s="22" t="str">
        <f>HYPERLINK("https://pbs.twimg.com/profile_images/378800000420360487/0f67ad38880169caefbac9bc8c2e07cd_normal.jpeg","View")</f>
        <v>View</v>
      </c>
      <c r="P10583" s="27"/>
    </row>
    <row r="10584">
      <c r="A10584" s="14">
        <v>43032.307974537034</v>
      </c>
      <c r="B10584" s="20" t="str">
        <f>HYPERLINK("https://twitter.com/IBTimesUKBiz","@IBTimesUKBiz")</f>
        <v>@IBTimesUKBiz</v>
      </c>
      <c r="C10584" s="21" t="s">
        <v>22467</v>
      </c>
      <c r="D10584" s="21" t="s">
        <v>22468</v>
      </c>
      <c r="E10584" s="22" t="str">
        <f>HYPERLINK("https://twitter.com/IBTimesUKBiz/status/922830910843580416","922830910843580416")</f>
        <v>922830910843580416</v>
      </c>
      <c r="F10584" s="23" t="s">
        <v>55</v>
      </c>
      <c r="G10584" s="24">
        <v>1660.0</v>
      </c>
      <c r="H10584" s="24">
        <v>228.0</v>
      </c>
      <c r="I10584" s="24">
        <v>1.0</v>
      </c>
      <c r="J10584" s="24">
        <v>0.0</v>
      </c>
      <c r="K10584" s="23" t="s">
        <v>34</v>
      </c>
      <c r="L10584" s="25">
        <v>41032.230046296296</v>
      </c>
      <c r="M10584" s="26" t="s">
        <v>334</v>
      </c>
      <c r="N10584" s="26" t="s">
        <v>22469</v>
      </c>
      <c r="O10584" s="22" t="str">
        <f>HYPERLINK("https://pbs.twimg.com/profile_images/696672865291259904/fRobKsFo_normal.jpg","View")</f>
        <v>View</v>
      </c>
      <c r="P10584" s="27"/>
    </row>
    <row r="10585">
      <c r="A10585" s="14">
        <v>43032.308344907404</v>
      </c>
      <c r="B10585" s="20" t="str">
        <f t="shared" ref="B10585:B10586" si="246">HYPERLINK("https://twitter.com/GobadeSaaidpour","@GobadeSaaidpour")</f>
        <v>@GobadeSaaidpour</v>
      </c>
      <c r="C10585" s="21" t="s">
        <v>22466</v>
      </c>
      <c r="D10585" s="21" t="s">
        <v>21203</v>
      </c>
      <c r="E10585" s="22" t="str">
        <f>HYPERLINK("https://twitter.com/GobadeSaaidpour/status/922831045505855489","922831045505855489")</f>
        <v>922831045505855489</v>
      </c>
      <c r="F10585" s="23" t="s">
        <v>86</v>
      </c>
      <c r="G10585" s="24">
        <v>883.0</v>
      </c>
      <c r="H10585" s="24">
        <v>397.0</v>
      </c>
      <c r="I10585" s="24">
        <v>75.0</v>
      </c>
      <c r="J10585" s="24">
        <v>0.0</v>
      </c>
      <c r="K10585" s="23" t="s">
        <v>34</v>
      </c>
      <c r="L10585" s="25">
        <v>41523.463483796295</v>
      </c>
      <c r="M10585" s="26" t="s">
        <v>40</v>
      </c>
      <c r="N10585" s="26" t="s">
        <v>21141</v>
      </c>
      <c r="O10585" s="22" t="str">
        <f t="shared" ref="O10585:O10586" si="247">HYPERLINK("https://pbs.twimg.com/profile_images/378800000420360487/0f67ad38880169caefbac9bc8c2e07cd_normal.jpeg","View")</f>
        <v>View</v>
      </c>
      <c r="P10585" s="27"/>
    </row>
    <row r="10586">
      <c r="A10586" s="14">
        <v>43032.30899305556</v>
      </c>
      <c r="B10586" s="20" t="str">
        <f t="shared" si="246"/>
        <v>@GobadeSaaidpour</v>
      </c>
      <c r="C10586" s="21" t="s">
        <v>22466</v>
      </c>
      <c r="D10586" s="21" t="s">
        <v>21243</v>
      </c>
      <c r="E10586" s="22" t="str">
        <f>HYPERLINK("https://twitter.com/GobadeSaaidpour/status/922831280428892160","922831280428892160")</f>
        <v>922831280428892160</v>
      </c>
      <c r="F10586" s="23" t="s">
        <v>86</v>
      </c>
      <c r="G10586" s="24">
        <v>883.0</v>
      </c>
      <c r="H10586" s="24">
        <v>397.0</v>
      </c>
      <c r="I10586" s="24">
        <v>41.0</v>
      </c>
      <c r="J10586" s="24">
        <v>0.0</v>
      </c>
      <c r="K10586" s="23" t="s">
        <v>34</v>
      </c>
      <c r="L10586" s="25">
        <v>41523.463483796295</v>
      </c>
      <c r="M10586" s="26" t="s">
        <v>40</v>
      </c>
      <c r="N10586" s="26" t="s">
        <v>21141</v>
      </c>
      <c r="O10586" s="22" t="str">
        <f t="shared" si="247"/>
        <v>View</v>
      </c>
      <c r="P10586" s="27"/>
    </row>
    <row r="10587">
      <c r="A10587" s="14">
        <v>43032.3091087963</v>
      </c>
      <c r="B10587" s="20" t="str">
        <f>HYPERLINK("https://twitter.com/pankajdubey4341","@pankajdubey4341")</f>
        <v>@pankajdubey4341</v>
      </c>
      <c r="C10587" s="21" t="s">
        <v>22470</v>
      </c>
      <c r="D10587" s="21" t="s">
        <v>42</v>
      </c>
      <c r="E10587" s="22" t="str">
        <f>HYPERLINK("https://twitter.com/pankajdubey4341/status/922831323760271360","922831323760271360")</f>
        <v>922831323760271360</v>
      </c>
      <c r="F10587" s="23" t="s">
        <v>33</v>
      </c>
      <c r="G10587" s="24">
        <v>86.0</v>
      </c>
      <c r="H10587" s="24">
        <v>133.0</v>
      </c>
      <c r="I10587" s="24">
        <v>8501.0</v>
      </c>
      <c r="J10587" s="24">
        <v>0.0</v>
      </c>
      <c r="K10587" s="23" t="s">
        <v>34</v>
      </c>
      <c r="L10587" s="25">
        <v>42755.27001157407</v>
      </c>
      <c r="M10587" s="26" t="s">
        <v>16277</v>
      </c>
      <c r="N10587" s="26" t="s">
        <v>22471</v>
      </c>
      <c r="O10587" s="22" t="str">
        <f>HYPERLINK("https://pbs.twimg.com/profile_images/832987298291646465/SzTc4zxn_normal.jpg","View")</f>
        <v>View</v>
      </c>
      <c r="P10587" s="27"/>
    </row>
    <row r="10588">
      <c r="A10588" s="14">
        <v>43032.309641203705</v>
      </c>
      <c r="B10588" s="20" t="str">
        <f>HYPERLINK("https://twitter.com/GobadeSaaidpour","@GobadeSaaidpour")</f>
        <v>@GobadeSaaidpour</v>
      </c>
      <c r="C10588" s="21" t="s">
        <v>22466</v>
      </c>
      <c r="D10588" s="21" t="s">
        <v>21191</v>
      </c>
      <c r="E10588" s="22" t="str">
        <f>HYPERLINK("https://twitter.com/GobadeSaaidpour/status/922831515909734401","922831515909734401")</f>
        <v>922831515909734401</v>
      </c>
      <c r="F10588" s="23" t="s">
        <v>86</v>
      </c>
      <c r="G10588" s="24">
        <v>883.0</v>
      </c>
      <c r="H10588" s="24">
        <v>397.0</v>
      </c>
      <c r="I10588" s="24">
        <v>42.0</v>
      </c>
      <c r="J10588" s="24">
        <v>0.0</v>
      </c>
      <c r="K10588" s="23" t="s">
        <v>34</v>
      </c>
      <c r="L10588" s="25">
        <v>41523.463483796295</v>
      </c>
      <c r="M10588" s="26" t="s">
        <v>40</v>
      </c>
      <c r="N10588" s="26" t="s">
        <v>21141</v>
      </c>
      <c r="O10588" s="22" t="str">
        <f>HYPERLINK("https://pbs.twimg.com/profile_images/378800000420360487/0f67ad38880169caefbac9bc8c2e07cd_normal.jpeg","View")</f>
        <v>View</v>
      </c>
      <c r="P10588" s="27"/>
    </row>
    <row r="10589">
      <c r="A10589" s="14">
        <v>43032.309699074074</v>
      </c>
      <c r="B10589" s="20" t="str">
        <f>HYPERLINK("https://twitter.com/IBTimesUKBiz","@IBTimesUKBiz")</f>
        <v>@IBTimesUKBiz</v>
      </c>
      <c r="C10589" s="21" t="s">
        <v>22467</v>
      </c>
      <c r="D10589" s="21" t="s">
        <v>22472</v>
      </c>
      <c r="E10589" s="22" t="str">
        <f>HYPERLINK("https://twitter.com/IBTimesUKBiz/status/922831535228665857","922831535228665857")</f>
        <v>922831535228665857</v>
      </c>
      <c r="F10589" s="23" t="s">
        <v>55</v>
      </c>
      <c r="G10589" s="24">
        <v>1660.0</v>
      </c>
      <c r="H10589" s="24">
        <v>228.0</v>
      </c>
      <c r="I10589" s="24">
        <v>0.0</v>
      </c>
      <c r="J10589" s="24">
        <v>0.0</v>
      </c>
      <c r="K10589" s="23" t="s">
        <v>34</v>
      </c>
      <c r="L10589" s="25">
        <v>41032.230046296296</v>
      </c>
      <c r="M10589" s="26" t="s">
        <v>334</v>
      </c>
      <c r="N10589" s="26" t="s">
        <v>22469</v>
      </c>
      <c r="O10589" s="22" t="str">
        <f>HYPERLINK("https://pbs.twimg.com/profile_images/696672865291259904/fRobKsFo_normal.jpg","View")</f>
        <v>View</v>
      </c>
      <c r="P10589" s="27"/>
    </row>
    <row r="10590">
      <c r="A10590" s="14">
        <v>43032.31049768519</v>
      </c>
      <c r="B10590" s="20" t="str">
        <f>HYPERLINK("https://twitter.com/ShivaKshiv0930","@ShivaKshiv0930")</f>
        <v>@ShivaKshiv0930</v>
      </c>
      <c r="C10590" s="21" t="s">
        <v>22473</v>
      </c>
      <c r="D10590" s="21" t="s">
        <v>42</v>
      </c>
      <c r="E10590" s="22" t="str">
        <f>HYPERLINK("https://twitter.com/ShivaKshiv0930/status/922831824690167808","922831824690167808")</f>
        <v>922831824690167808</v>
      </c>
      <c r="F10590" s="23" t="s">
        <v>33</v>
      </c>
      <c r="G10590" s="24">
        <v>190.0</v>
      </c>
      <c r="H10590" s="24">
        <v>312.0</v>
      </c>
      <c r="I10590" s="24">
        <v>8501.0</v>
      </c>
      <c r="J10590" s="24">
        <v>0.0</v>
      </c>
      <c r="K10590" s="23" t="s">
        <v>34</v>
      </c>
      <c r="L10590" s="25">
        <v>41650.76179398148</v>
      </c>
      <c r="M10590" s="26" t="s">
        <v>4623</v>
      </c>
      <c r="N10590" s="26" t="s">
        <v>22474</v>
      </c>
      <c r="O10590" s="22" t="str">
        <f>HYPERLINK("https://pbs.twimg.com/profile_images/903285770676453376/JKx_lwzk_normal.jpg","View")</f>
        <v>View</v>
      </c>
      <c r="P10590" s="27"/>
    </row>
    <row r="10591">
      <c r="A10591" s="14">
        <v>43032.31118055555</v>
      </c>
      <c r="B10591" s="20" t="str">
        <f>HYPERLINK("https://twitter.com/leena0006_leena","@leena0006_leena")</f>
        <v>@leena0006_leena</v>
      </c>
      <c r="C10591" s="21" t="s">
        <v>22475</v>
      </c>
      <c r="D10591" s="21" t="s">
        <v>42</v>
      </c>
      <c r="E10591" s="22" t="str">
        <f>HYPERLINK("https://twitter.com/leena0006_leena/status/922832075496890374","922832075496890374")</f>
        <v>922832075496890374</v>
      </c>
      <c r="F10591" s="23" t="s">
        <v>33</v>
      </c>
      <c r="G10591" s="24">
        <v>80.0</v>
      </c>
      <c r="H10591" s="24">
        <v>109.0</v>
      </c>
      <c r="I10591" s="24">
        <v>8501.0</v>
      </c>
      <c r="J10591" s="24">
        <v>0.0</v>
      </c>
      <c r="K10591" s="23" t="s">
        <v>34</v>
      </c>
      <c r="L10591" s="25">
        <v>42034.39634259259</v>
      </c>
      <c r="M10591" s="28"/>
      <c r="N10591" s="26" t="s">
        <v>22476</v>
      </c>
      <c r="O10591" s="22" t="str">
        <f>HYPERLINK("https://pbs.twimg.com/profile_images/901095647029338112/0N1Wan1y_normal.jpg","View")</f>
        <v>View</v>
      </c>
      <c r="P10591" s="27"/>
    </row>
    <row r="10592">
      <c r="A10592" s="14">
        <v>43032.3127662037</v>
      </c>
      <c r="B10592" s="20" t="str">
        <f>HYPERLINK("https://twitter.com/jaimehta","@jaimehta")</f>
        <v>@jaimehta</v>
      </c>
      <c r="C10592" s="21" t="s">
        <v>22477</v>
      </c>
      <c r="D10592" s="21" t="s">
        <v>42</v>
      </c>
      <c r="E10592" s="22" t="str">
        <f>HYPERLINK("https://twitter.com/jaimehta/status/922832646941609984","922832646941609984")</f>
        <v>922832646941609984</v>
      </c>
      <c r="F10592" s="23" t="s">
        <v>39</v>
      </c>
      <c r="G10592" s="24">
        <v>934.0</v>
      </c>
      <c r="H10592" s="24">
        <v>1232.0</v>
      </c>
      <c r="I10592" s="24">
        <v>8501.0</v>
      </c>
      <c r="J10592" s="24">
        <v>0.0</v>
      </c>
      <c r="K10592" s="23" t="s">
        <v>34</v>
      </c>
      <c r="L10592" s="25">
        <v>39907.50021990741</v>
      </c>
      <c r="M10592" s="26" t="s">
        <v>3187</v>
      </c>
      <c r="N10592" s="26" t="s">
        <v>22478</v>
      </c>
      <c r="O10592" s="22" t="str">
        <f>HYPERLINK("https://pbs.twimg.com/profile_images/136534772/IMG_2371_normal.JPG","View")</f>
        <v>View</v>
      </c>
      <c r="P10592" s="27"/>
    </row>
    <row r="10593">
      <c r="A10593" s="14">
        <v>43032.3128125</v>
      </c>
      <c r="B10593" s="20" t="str">
        <f>HYPERLINK("https://twitter.com/iHarikishanabvp","@iHarikishanabvp")</f>
        <v>@iHarikishanabvp</v>
      </c>
      <c r="C10593" s="21" t="s">
        <v>22479</v>
      </c>
      <c r="D10593" s="21" t="s">
        <v>42</v>
      </c>
      <c r="E10593" s="22" t="str">
        <f>HYPERLINK("https://twitter.com/iHarikishanabvp/status/922832664565968896","922832664565968896")</f>
        <v>922832664565968896</v>
      </c>
      <c r="F10593" s="23" t="s">
        <v>33</v>
      </c>
      <c r="G10593" s="24">
        <v>1900.0</v>
      </c>
      <c r="H10593" s="24">
        <v>349.0</v>
      </c>
      <c r="I10593" s="24">
        <v>8501.0</v>
      </c>
      <c r="J10593" s="24">
        <v>0.0</v>
      </c>
      <c r="K10593" s="23" t="s">
        <v>34</v>
      </c>
      <c r="L10593" s="25">
        <v>41193.08625</v>
      </c>
      <c r="M10593" s="26" t="s">
        <v>22480</v>
      </c>
      <c r="N10593" s="26" t="s">
        <v>22481</v>
      </c>
      <c r="O10593" s="22" t="str">
        <f>HYPERLINK("https://pbs.twimg.com/profile_images/915164023145951232/9XT2AUbW_normal.jpg","View")</f>
        <v>View</v>
      </c>
      <c r="P10593" s="27"/>
    </row>
    <row r="10594">
      <c r="A10594" s="14">
        <v>43032.312939814816</v>
      </c>
      <c r="B10594" s="20" t="str">
        <f>HYPERLINK("https://twitter.com/Akbar_Eskandar","@Akbar_Eskandar")</f>
        <v>@Akbar_Eskandar</v>
      </c>
      <c r="C10594" s="21" t="s">
        <v>22482</v>
      </c>
      <c r="D10594" s="21" t="s">
        <v>21202</v>
      </c>
      <c r="E10594" s="22" t="str">
        <f>HYPERLINK("https://twitter.com/Akbar_Eskandar/status/922832709629513728","922832709629513728")</f>
        <v>922832709629513728</v>
      </c>
      <c r="F10594" s="23" t="s">
        <v>86</v>
      </c>
      <c r="G10594" s="24">
        <v>886.0</v>
      </c>
      <c r="H10594" s="24">
        <v>398.0</v>
      </c>
      <c r="I10594" s="24">
        <v>79.0</v>
      </c>
      <c r="J10594" s="24">
        <v>0.0</v>
      </c>
      <c r="K10594" s="23" t="s">
        <v>34</v>
      </c>
      <c r="L10594" s="25">
        <v>41702.962743055556</v>
      </c>
      <c r="M10594" s="26" t="s">
        <v>11949</v>
      </c>
      <c r="N10594" s="26" t="s">
        <v>22483</v>
      </c>
      <c r="O10594" s="22" t="str">
        <f>HYPERLINK("https://pbs.twimg.com/profile_images/441107664089542657/sT-9MDs2_normal.jpeg","View")</f>
        <v>View</v>
      </c>
      <c r="P10594" s="27"/>
    </row>
    <row r="10595">
      <c r="A10595" s="14">
        <v>43032.31349537037</v>
      </c>
      <c r="B10595" s="20" t="str">
        <f>HYPERLINK("https://twitter.com/business","@business")</f>
        <v>@business</v>
      </c>
      <c r="C10595" s="21" t="s">
        <v>3937</v>
      </c>
      <c r="D10595" s="21" t="s">
        <v>21559</v>
      </c>
      <c r="E10595" s="22" t="str">
        <f>HYPERLINK("https://twitter.com/business/status/922832914836017154","922832914836017154")</f>
        <v>922832914836017154</v>
      </c>
      <c r="F10595" s="23" t="s">
        <v>55</v>
      </c>
      <c r="G10595" s="24">
        <v>4337400.0</v>
      </c>
      <c r="H10595" s="24">
        <v>1088.0</v>
      </c>
      <c r="I10595" s="24">
        <v>9.0</v>
      </c>
      <c r="J10595" s="24">
        <v>0.0</v>
      </c>
      <c r="K10595" s="23" t="s">
        <v>34</v>
      </c>
      <c r="L10595" s="25">
        <v>39926.545335648145</v>
      </c>
      <c r="M10595" s="26" t="s">
        <v>3939</v>
      </c>
      <c r="N10595" s="26" t="s">
        <v>3940</v>
      </c>
      <c r="O10595" s="22" t="str">
        <f>HYPERLINK("https://pbs.twimg.com/profile_images/714946924105883648/4fgNVF4H_normal.jpg","View")</f>
        <v>View</v>
      </c>
      <c r="P10595" s="27"/>
    </row>
    <row r="10596">
      <c r="A10596" s="14">
        <v>43032.31358796296</v>
      </c>
      <c r="B10596" s="20" t="str">
        <f>HYPERLINK("https://twitter.com/Akbar_Eskandar","@Akbar_Eskandar")</f>
        <v>@Akbar_Eskandar</v>
      </c>
      <c r="C10596" s="21" t="s">
        <v>22482</v>
      </c>
      <c r="D10596" s="21" t="s">
        <v>21203</v>
      </c>
      <c r="E10596" s="22" t="str">
        <f>HYPERLINK("https://twitter.com/Akbar_Eskandar/status/922832948193214464","922832948193214464")</f>
        <v>922832948193214464</v>
      </c>
      <c r="F10596" s="23" t="s">
        <v>86</v>
      </c>
      <c r="G10596" s="24">
        <v>886.0</v>
      </c>
      <c r="H10596" s="24">
        <v>398.0</v>
      </c>
      <c r="I10596" s="24">
        <v>75.0</v>
      </c>
      <c r="J10596" s="24">
        <v>0.0</v>
      </c>
      <c r="K10596" s="23" t="s">
        <v>34</v>
      </c>
      <c r="L10596" s="25">
        <v>41702.962743055556</v>
      </c>
      <c r="M10596" s="26" t="s">
        <v>11949</v>
      </c>
      <c r="N10596" s="26" t="s">
        <v>22483</v>
      </c>
      <c r="O10596" s="22" t="str">
        <f>HYPERLINK("https://pbs.twimg.com/profile_images/441107664089542657/sT-9MDs2_normal.jpeg","View")</f>
        <v>View</v>
      </c>
      <c r="P10596" s="27"/>
    </row>
    <row r="10597">
      <c r="A10597" s="14">
        <v>43032.313784722224</v>
      </c>
      <c r="B10597" s="20" t="str">
        <f>HYPERLINK("https://twitter.com/BSAFunds","@BSAFunds")</f>
        <v>@BSAFunds</v>
      </c>
      <c r="C10597" s="21" t="s">
        <v>1248</v>
      </c>
      <c r="D10597" s="21" t="s">
        <v>22484</v>
      </c>
      <c r="E10597" s="22" t="str">
        <f>HYPERLINK("https://twitter.com/BSAFunds/status/922833015960727552","922833015960727552")</f>
        <v>922833015960727552</v>
      </c>
      <c r="F10597" s="23" t="s">
        <v>187</v>
      </c>
      <c r="G10597" s="24">
        <v>20910.0</v>
      </c>
      <c r="H10597" s="24">
        <v>8929.0</v>
      </c>
      <c r="I10597" s="24">
        <v>0.0</v>
      </c>
      <c r="J10597" s="24">
        <v>0.0</v>
      </c>
      <c r="K10597" s="23" t="s">
        <v>34</v>
      </c>
      <c r="L10597" s="25">
        <v>42601.94818287037</v>
      </c>
      <c r="M10597" s="26" t="s">
        <v>1250</v>
      </c>
      <c r="N10597" s="26" t="s">
        <v>1251</v>
      </c>
      <c r="O10597" s="22" t="str">
        <f>HYPERLINK("https://pbs.twimg.com/profile_images/912769166960033792/N4LAmrTs_normal.jpg","View")</f>
        <v>View</v>
      </c>
      <c r="P10597" s="27"/>
    </row>
    <row r="10598">
      <c r="A10598" s="14">
        <v>43032.31435185185</v>
      </c>
      <c r="B10598" s="20" t="str">
        <f>HYPERLINK("https://twitter.com/Adona_Vstaxx","@Adona_Vstaxx")</f>
        <v>@Adona_Vstaxx</v>
      </c>
      <c r="C10598" s="21" t="s">
        <v>22485</v>
      </c>
      <c r="D10598" s="21" t="s">
        <v>32</v>
      </c>
      <c r="E10598" s="22" t="str">
        <f>HYPERLINK("https://twitter.com/Adona_Vstaxx/status/922833224673517570","922833224673517570")</f>
        <v>922833224673517570</v>
      </c>
      <c r="F10598" s="23" t="s">
        <v>33</v>
      </c>
      <c r="G10598" s="24">
        <v>2811.0</v>
      </c>
      <c r="H10598" s="24">
        <v>704.0</v>
      </c>
      <c r="I10598" s="24">
        <v>471.0</v>
      </c>
      <c r="J10598" s="24">
        <v>0.0</v>
      </c>
      <c r="K10598" s="23" t="s">
        <v>34</v>
      </c>
      <c r="L10598" s="25">
        <v>41050.991793981484</v>
      </c>
      <c r="M10598" s="26" t="s">
        <v>22486</v>
      </c>
      <c r="N10598" s="26" t="s">
        <v>22487</v>
      </c>
      <c r="O10598" s="22" t="str">
        <f>HYPERLINK("https://pbs.twimg.com/profile_images/921670665845002240/waGHBKvj_normal.jpg","View")</f>
        <v>View</v>
      </c>
      <c r="P10598" s="27"/>
    </row>
    <row r="10599">
      <c r="A10599" s="14">
        <v>43032.314618055556</v>
      </c>
      <c r="B10599" s="20" t="str">
        <f>HYPERLINK("https://twitter.com/FinTechHorizon","@FinTechHorizon")</f>
        <v>@FinTechHorizon</v>
      </c>
      <c r="C10599" s="21" t="s">
        <v>22488</v>
      </c>
      <c r="D10599" s="21" t="s">
        <v>22489</v>
      </c>
      <c r="E10599" s="22" t="str">
        <f>HYPERLINK("https://twitter.com/FinTechHorizon/status/922833320358088704","922833320358088704")</f>
        <v>922833320358088704</v>
      </c>
      <c r="F10599" s="23" t="s">
        <v>22490</v>
      </c>
      <c r="G10599" s="24">
        <v>789.0</v>
      </c>
      <c r="H10599" s="24">
        <v>1028.0</v>
      </c>
      <c r="I10599" s="24">
        <v>0.0</v>
      </c>
      <c r="J10599" s="24">
        <v>0.0</v>
      </c>
      <c r="K10599" s="23" t="s">
        <v>34</v>
      </c>
      <c r="L10599" s="25">
        <v>42085.352638888886</v>
      </c>
      <c r="M10599" s="26" t="s">
        <v>3507</v>
      </c>
      <c r="N10599" s="26" t="s">
        <v>22491</v>
      </c>
      <c r="O10599" s="22" t="str">
        <f>HYPERLINK("https://pbs.twimg.com/profile_images/909314828304568320/8pFM1gD1_normal.jpg","View")</f>
        <v>View</v>
      </c>
      <c r="P10599" s="27"/>
    </row>
    <row r="10600">
      <c r="A10600" s="14">
        <v>43032.31488425926</v>
      </c>
      <c r="B10600" s="20" t="str">
        <f>HYPERLINK("https://twitter.com/ompranav108","@ompranav108")</f>
        <v>@ompranav108</v>
      </c>
      <c r="C10600" s="21" t="s">
        <v>22492</v>
      </c>
      <c r="D10600" s="21" t="s">
        <v>42</v>
      </c>
      <c r="E10600" s="22" t="str">
        <f>HYPERLINK("https://twitter.com/ompranav108/status/922833415375699968","922833415375699968")</f>
        <v>922833415375699968</v>
      </c>
      <c r="F10600" s="23" t="s">
        <v>33</v>
      </c>
      <c r="G10600" s="24">
        <v>7.0</v>
      </c>
      <c r="H10600" s="24">
        <v>43.0</v>
      </c>
      <c r="I10600" s="24">
        <v>8501.0</v>
      </c>
      <c r="J10600" s="24">
        <v>0.0</v>
      </c>
      <c r="K10600" s="23" t="s">
        <v>34</v>
      </c>
      <c r="L10600" s="25">
        <v>42822.94256944444</v>
      </c>
      <c r="M10600" s="26" t="s">
        <v>227</v>
      </c>
      <c r="N10600" s="28"/>
      <c r="O10600" s="22" t="str">
        <f>HYPERLINK("https://pbs.twimg.com/profile_images/866173400783495168/qjuS290T_normal.jpg","View")</f>
        <v>View</v>
      </c>
      <c r="P10600" s="27"/>
    </row>
    <row r="10601">
      <c r="A10601" s="14">
        <v>43032.3149074074</v>
      </c>
      <c r="B10601" s="20" t="str">
        <f>HYPERLINK("https://twitter.com/AndVill11","@AndVill11")</f>
        <v>@AndVill11</v>
      </c>
      <c r="C10601" s="21" t="s">
        <v>22493</v>
      </c>
      <c r="D10601" s="21" t="s">
        <v>21559</v>
      </c>
      <c r="E10601" s="22" t="str">
        <f>HYPERLINK("https://twitter.com/AndVill11/status/922833424959922178","922833424959922178")</f>
        <v>922833424959922178</v>
      </c>
      <c r="F10601" s="23" t="s">
        <v>55</v>
      </c>
      <c r="G10601" s="24">
        <v>72.0</v>
      </c>
      <c r="H10601" s="24">
        <v>197.0</v>
      </c>
      <c r="I10601" s="24">
        <v>9.0</v>
      </c>
      <c r="J10601" s="24">
        <v>0.0</v>
      </c>
      <c r="K10601" s="23" t="s">
        <v>34</v>
      </c>
      <c r="L10601" s="25">
        <v>40841.36140046296</v>
      </c>
      <c r="M10601" s="26" t="s">
        <v>22494</v>
      </c>
      <c r="N10601" s="26" t="s">
        <v>22495</v>
      </c>
      <c r="O10601" s="22" t="str">
        <f>HYPERLINK("https://pbs.twimg.com/profile_images/885551842947715072/IUKFyvEK_normal.jpg","View")</f>
        <v>View</v>
      </c>
      <c r="P10601" s="27"/>
    </row>
    <row r="10602">
      <c r="A10602" s="14">
        <v>43032.31519675926</v>
      </c>
      <c r="B10602" s="20" t="str">
        <f>HYPERLINK("https://twitter.com/SanjayK84585017","@SanjayK84585017")</f>
        <v>@SanjayK84585017</v>
      </c>
      <c r="C10602" s="21" t="s">
        <v>3272</v>
      </c>
      <c r="D10602" s="21" t="s">
        <v>42</v>
      </c>
      <c r="E10602" s="22" t="str">
        <f>HYPERLINK("https://twitter.com/SanjayK84585017/status/922833528739340288","922833528739340288")</f>
        <v>922833528739340288</v>
      </c>
      <c r="F10602" s="23" t="s">
        <v>33</v>
      </c>
      <c r="G10602" s="24">
        <v>2.0</v>
      </c>
      <c r="H10602" s="24">
        <v>122.0</v>
      </c>
      <c r="I10602" s="24">
        <v>8501.0</v>
      </c>
      <c r="J10602" s="24">
        <v>0.0</v>
      </c>
      <c r="K10602" s="23" t="s">
        <v>34</v>
      </c>
      <c r="L10602" s="25">
        <v>42959.29829861112</v>
      </c>
      <c r="M10602" s="28"/>
      <c r="N10602" s="28"/>
      <c r="O10602" s="22" t="str">
        <f>HYPERLINK("https://abs.twimg.com/sticky/default_profile_images/default_profile_normal.png","View")</f>
        <v>View</v>
      </c>
      <c r="P10602" s="27"/>
    </row>
    <row r="10603">
      <c r="A10603" s="14">
        <v>43032.315833333334</v>
      </c>
      <c r="B10603" s="20" t="str">
        <f>HYPERLINK("https://twitter.com/ashu6atul","@ashu6atul")</f>
        <v>@ashu6atul</v>
      </c>
      <c r="C10603" s="21" t="s">
        <v>22496</v>
      </c>
      <c r="D10603" s="21" t="s">
        <v>42</v>
      </c>
      <c r="E10603" s="22" t="str">
        <f>HYPERLINK("https://twitter.com/ashu6atul/status/922833759522627584","922833759522627584")</f>
        <v>922833759522627584</v>
      </c>
      <c r="F10603" s="23" t="s">
        <v>33</v>
      </c>
      <c r="G10603" s="24">
        <v>462.0</v>
      </c>
      <c r="H10603" s="24">
        <v>555.0</v>
      </c>
      <c r="I10603" s="24">
        <v>8501.0</v>
      </c>
      <c r="J10603" s="24">
        <v>0.0</v>
      </c>
      <c r="K10603" s="23" t="s">
        <v>34</v>
      </c>
      <c r="L10603" s="25">
        <v>42540.29996527778</v>
      </c>
      <c r="M10603" s="26" t="s">
        <v>204</v>
      </c>
      <c r="N10603" s="26" t="s">
        <v>22497</v>
      </c>
      <c r="O10603" s="22" t="str">
        <f>HYPERLINK("https://pbs.twimg.com/profile_images/889685579625091072/9VJ5NGkj_normal.jpg","View")</f>
        <v>View</v>
      </c>
      <c r="P10603" s="27"/>
    </row>
    <row r="10604">
      <c r="A10604" s="14">
        <v>43032.31625</v>
      </c>
      <c r="B10604" s="20" t="str">
        <f>HYPERLINK("https://twitter.com/vikas28feb","@vikas28feb")</f>
        <v>@vikas28feb</v>
      </c>
      <c r="C10604" s="21" t="s">
        <v>22498</v>
      </c>
      <c r="D10604" s="21" t="s">
        <v>163</v>
      </c>
      <c r="E10604" s="22" t="str">
        <f>HYPERLINK("https://twitter.com/vikas28feb/status/922833911922741250","922833911922741250")</f>
        <v>922833911922741250</v>
      </c>
      <c r="F10604" s="23" t="s">
        <v>33</v>
      </c>
      <c r="G10604" s="24">
        <v>42.0</v>
      </c>
      <c r="H10604" s="24">
        <v>61.0</v>
      </c>
      <c r="I10604" s="24">
        <v>1005.0</v>
      </c>
      <c r="J10604" s="24">
        <v>0.0</v>
      </c>
      <c r="K10604" s="23" t="s">
        <v>34</v>
      </c>
      <c r="L10604" s="25">
        <v>41436.3368287037</v>
      </c>
      <c r="M10604" s="28"/>
      <c r="N10604" s="26" t="s">
        <v>22499</v>
      </c>
      <c r="O10604" s="22" t="str">
        <f>HYPERLINK("https://pbs.twimg.com/profile_images/378800000045249063/58faa9f538713110e4d8c68cb30a49d1_normal.jpeg","View")</f>
        <v>View</v>
      </c>
      <c r="P10604" s="27"/>
    </row>
    <row r="10605">
      <c r="A10605" s="14">
        <v>43032.31637731481</v>
      </c>
      <c r="B10605" s="20" t="str">
        <f>HYPERLINK("https://twitter.com/BhramHbiby","@BhramHbiby")</f>
        <v>@BhramHbiby</v>
      </c>
      <c r="C10605" s="21" t="s">
        <v>21190</v>
      </c>
      <c r="D10605" s="21" t="s">
        <v>21202</v>
      </c>
      <c r="E10605" s="22" t="str">
        <f>HYPERLINK("https://twitter.com/BhramHbiby/status/922833959293140993","922833959293140993")</f>
        <v>922833959293140993</v>
      </c>
      <c r="F10605" s="23" t="s">
        <v>86</v>
      </c>
      <c r="G10605" s="24">
        <v>135.0</v>
      </c>
      <c r="H10605" s="24">
        <v>162.0</v>
      </c>
      <c r="I10605" s="24">
        <v>79.0</v>
      </c>
      <c r="J10605" s="24">
        <v>0.0</v>
      </c>
      <c r="K10605" s="23" t="s">
        <v>34</v>
      </c>
      <c r="L10605" s="25">
        <v>41770.280011574076</v>
      </c>
      <c r="M10605" s="26" t="s">
        <v>8333</v>
      </c>
      <c r="N10605" s="26" t="s">
        <v>21192</v>
      </c>
      <c r="O10605" s="22" t="str">
        <f>HYPERLINK("https://pbs.twimg.com/profile_images/465488387424518145/KpAxHK4t_normal.png","View")</f>
        <v>View</v>
      </c>
      <c r="P10605" s="27"/>
    </row>
    <row r="10606">
      <c r="A10606" s="14">
        <v>43032.316666666666</v>
      </c>
      <c r="B10606" s="20" t="str">
        <f>HYPERLINK("https://twitter.com/HRS_Chirashi","@HRS_Chirashi")</f>
        <v>@HRS_Chirashi</v>
      </c>
      <c r="C10606" s="21" t="s">
        <v>10369</v>
      </c>
      <c r="D10606" s="21" t="s">
        <v>11750</v>
      </c>
      <c r="E10606" s="22" t="str">
        <f>HYPERLINK("https://twitter.com/HRS_Chirashi/status/922834062531731456","922834062531731456")</f>
        <v>922834062531731456</v>
      </c>
      <c r="F10606" s="23" t="s">
        <v>33</v>
      </c>
      <c r="G10606" s="24">
        <v>1224.0</v>
      </c>
      <c r="H10606" s="24">
        <v>1244.0</v>
      </c>
      <c r="I10606" s="24">
        <v>35.0</v>
      </c>
      <c r="J10606" s="24">
        <v>0.0</v>
      </c>
      <c r="K10606" s="23" t="s">
        <v>34</v>
      </c>
      <c r="L10606" s="25">
        <v>40029.34204861111</v>
      </c>
      <c r="M10606" s="26" t="s">
        <v>10371</v>
      </c>
      <c r="N10606" s="26" t="s">
        <v>10372</v>
      </c>
      <c r="O10606" s="22" t="str">
        <f>HYPERLINK("https://pbs.twimg.com/profile_images/378800000272187364/67bb2b8fd54e743b3f0f5a1d0ff03ea6_normal.jpeg","View")</f>
        <v>View</v>
      </c>
      <c r="P10606" s="27"/>
    </row>
    <row r="10607">
      <c r="A10607" s="14">
        <v>43032.316979166666</v>
      </c>
      <c r="B10607" s="20" t="str">
        <f>HYPERLINK("https://twitter.com/BhramHbiby","@BhramHbiby")</f>
        <v>@BhramHbiby</v>
      </c>
      <c r="C10607" s="21" t="s">
        <v>21190</v>
      </c>
      <c r="D10607" s="21" t="s">
        <v>21203</v>
      </c>
      <c r="E10607" s="22" t="str">
        <f>HYPERLINK("https://twitter.com/BhramHbiby/status/922834177111810048","922834177111810048")</f>
        <v>922834177111810048</v>
      </c>
      <c r="F10607" s="23" t="s">
        <v>86</v>
      </c>
      <c r="G10607" s="24">
        <v>135.0</v>
      </c>
      <c r="H10607" s="24">
        <v>162.0</v>
      </c>
      <c r="I10607" s="24">
        <v>75.0</v>
      </c>
      <c r="J10607" s="24">
        <v>0.0</v>
      </c>
      <c r="K10607" s="23" t="s">
        <v>34</v>
      </c>
      <c r="L10607" s="25">
        <v>41770.280011574076</v>
      </c>
      <c r="M10607" s="26" t="s">
        <v>8333</v>
      </c>
      <c r="N10607" s="26" t="s">
        <v>21192</v>
      </c>
      <c r="O10607" s="22" t="str">
        <f>HYPERLINK("https://pbs.twimg.com/profile_images/465488387424518145/KpAxHK4t_normal.png","View")</f>
        <v>View</v>
      </c>
      <c r="P10607" s="27"/>
    </row>
    <row r="10608">
      <c r="A10608" s="14">
        <v>43032.317407407405</v>
      </c>
      <c r="B10608" s="20" t="str">
        <f>HYPERLINK("https://twitter.com/wongszekin","@wongszekin")</f>
        <v>@wongszekin</v>
      </c>
      <c r="C10608" s="21" t="s">
        <v>22500</v>
      </c>
      <c r="D10608" s="21" t="s">
        <v>12974</v>
      </c>
      <c r="E10608" s="22" t="str">
        <f>HYPERLINK("https://twitter.com/wongszekin/status/922834329096536064","922834329096536064")</f>
        <v>922834329096536064</v>
      </c>
      <c r="F10608" s="23" t="s">
        <v>39</v>
      </c>
      <c r="G10608" s="24">
        <v>28.0</v>
      </c>
      <c r="H10608" s="24">
        <v>38.0</v>
      </c>
      <c r="I10608" s="24">
        <v>110.0</v>
      </c>
      <c r="J10608" s="24">
        <v>0.0</v>
      </c>
      <c r="K10608" s="23" t="s">
        <v>34</v>
      </c>
      <c r="L10608" s="25">
        <v>41080.482511574075</v>
      </c>
      <c r="M10608" s="26" t="s">
        <v>3187</v>
      </c>
      <c r="N10608" s="26" t="s">
        <v>22501</v>
      </c>
      <c r="O10608" s="22" t="str">
        <f>HYPERLINK("https://pbs.twimg.com/profile_images/730033685924331520/yhTnC065_normal.jpg","View")</f>
        <v>View</v>
      </c>
      <c r="P10608" s="27"/>
    </row>
    <row r="10609">
      <c r="A10609" s="14">
        <v>43032.31743055556</v>
      </c>
      <c r="B10609" s="20" t="str">
        <f>HYPERLINK("https://twitter.com/PratikMehrotra","@PratikMehrotra")</f>
        <v>@PratikMehrotra</v>
      </c>
      <c r="C10609" s="21" t="s">
        <v>22502</v>
      </c>
      <c r="D10609" s="21" t="s">
        <v>42</v>
      </c>
      <c r="E10609" s="22" t="str">
        <f>HYPERLINK("https://twitter.com/PratikMehrotra/status/922834340223991808","922834340223991808")</f>
        <v>922834340223991808</v>
      </c>
      <c r="F10609" s="23" t="s">
        <v>33</v>
      </c>
      <c r="G10609" s="24">
        <v>14.0</v>
      </c>
      <c r="H10609" s="24">
        <v>128.0</v>
      </c>
      <c r="I10609" s="24">
        <v>8501.0</v>
      </c>
      <c r="J10609" s="24">
        <v>0.0</v>
      </c>
      <c r="K10609" s="23" t="s">
        <v>34</v>
      </c>
      <c r="L10609" s="25">
        <v>40716.32472222222</v>
      </c>
      <c r="M10609" s="26" t="s">
        <v>2290</v>
      </c>
      <c r="N10609" s="28"/>
      <c r="O10609" s="22" t="str">
        <f>HYPERLINK("https://pbs.twimg.com/profile_images/726670507605630977/fkjH-Wz3_normal.jpg","View")</f>
        <v>View</v>
      </c>
      <c r="P10609" s="27"/>
    </row>
    <row r="10610">
      <c r="A10610" s="14">
        <v>43032.317511574074</v>
      </c>
      <c r="B10610" s="20" t="str">
        <f>HYPERLINK("https://twitter.com/koshiro38","@koshiro38")</f>
        <v>@koshiro38</v>
      </c>
      <c r="C10610" s="21" t="s">
        <v>22503</v>
      </c>
      <c r="D10610" s="21" t="s">
        <v>12974</v>
      </c>
      <c r="E10610" s="22" t="str">
        <f>HYPERLINK("https://twitter.com/koshiro38/status/922834369173057538","922834369173057538")</f>
        <v>922834369173057538</v>
      </c>
      <c r="F10610" s="23" t="s">
        <v>39</v>
      </c>
      <c r="G10610" s="24">
        <v>89.0</v>
      </c>
      <c r="H10610" s="24">
        <v>213.0</v>
      </c>
      <c r="I10610" s="24">
        <v>110.0</v>
      </c>
      <c r="J10610" s="24">
        <v>0.0</v>
      </c>
      <c r="K10610" s="23" t="s">
        <v>34</v>
      </c>
      <c r="L10610" s="25">
        <v>42378.648263888885</v>
      </c>
      <c r="M10610" s="28"/>
      <c r="N10610" s="26" t="s">
        <v>22504</v>
      </c>
      <c r="O10610" s="22" t="str">
        <f>HYPERLINK("https://pbs.twimg.com/profile_images/881400864446922752/lF9a6BvL_normal.jpg","View")</f>
        <v>View</v>
      </c>
      <c r="P10610" s="27"/>
    </row>
    <row r="10611">
      <c r="A10611" s="14">
        <v>43032.31758101852</v>
      </c>
      <c r="B10611" s="20" t="str">
        <f>HYPERLINK("https://twitter.com/BhramHbiby","@BhramHbiby")</f>
        <v>@BhramHbiby</v>
      </c>
      <c r="C10611" s="21" t="s">
        <v>21190</v>
      </c>
      <c r="D10611" s="21" t="s">
        <v>21243</v>
      </c>
      <c r="E10611" s="22" t="str">
        <f>HYPERLINK("https://twitter.com/BhramHbiby/status/922834395450564608","922834395450564608")</f>
        <v>922834395450564608</v>
      </c>
      <c r="F10611" s="23" t="s">
        <v>86</v>
      </c>
      <c r="G10611" s="24">
        <v>135.0</v>
      </c>
      <c r="H10611" s="24">
        <v>162.0</v>
      </c>
      <c r="I10611" s="24">
        <v>41.0</v>
      </c>
      <c r="J10611" s="24">
        <v>0.0</v>
      </c>
      <c r="K10611" s="23" t="s">
        <v>34</v>
      </c>
      <c r="L10611" s="25">
        <v>41770.280011574076</v>
      </c>
      <c r="M10611" s="26" t="s">
        <v>8333</v>
      </c>
      <c r="N10611" s="26" t="s">
        <v>21192</v>
      </c>
      <c r="O10611" s="22" t="str">
        <f>HYPERLINK("https://pbs.twimg.com/profile_images/465488387424518145/KpAxHK4t_normal.png","View")</f>
        <v>View</v>
      </c>
      <c r="P10611" s="27"/>
    </row>
    <row r="10612">
      <c r="A10612" s="14">
        <v>43032.31827546297</v>
      </c>
      <c r="B10612" s="20" t="str">
        <f>HYPERLINK("https://twitter.com/s_opicho","@s_opicho")</f>
        <v>@s_opicho</v>
      </c>
      <c r="C10612" s="21" t="s">
        <v>22505</v>
      </c>
      <c r="D10612" s="21" t="s">
        <v>32</v>
      </c>
      <c r="E10612" s="22" t="str">
        <f>HYPERLINK("https://twitter.com/s_opicho/status/922834645376528384","922834645376528384")</f>
        <v>922834645376528384</v>
      </c>
      <c r="F10612" s="23" t="s">
        <v>33</v>
      </c>
      <c r="G10612" s="24">
        <v>967.0</v>
      </c>
      <c r="H10612" s="24">
        <v>1347.0</v>
      </c>
      <c r="I10612" s="24">
        <v>471.0</v>
      </c>
      <c r="J10612" s="24">
        <v>0.0</v>
      </c>
      <c r="K10612" s="23" t="s">
        <v>34</v>
      </c>
      <c r="L10612" s="25">
        <v>41501.14414351852</v>
      </c>
      <c r="M10612" s="26" t="s">
        <v>1005</v>
      </c>
      <c r="N10612" s="26" t="s">
        <v>22506</v>
      </c>
      <c r="O10612" s="22" t="str">
        <f>HYPERLINK("https://pbs.twimg.com/profile_images/922100061332492291/4Xy4vKFb_normal.jpg","View")</f>
        <v>View</v>
      </c>
      <c r="P10612" s="27"/>
    </row>
    <row r="10613">
      <c r="A10613" s="14">
        <v>43032.31847222222</v>
      </c>
      <c r="B10613" s="20" t="str">
        <f>HYPERLINK("https://twitter.com/iGhanshyamG","@iGhanshyamG")</f>
        <v>@iGhanshyamG</v>
      </c>
      <c r="C10613" s="21" t="s">
        <v>22507</v>
      </c>
      <c r="D10613" s="21" t="s">
        <v>42</v>
      </c>
      <c r="E10613" s="22" t="str">
        <f>HYPERLINK("https://twitter.com/iGhanshyamG/status/922834715320639488","922834715320639488")</f>
        <v>922834715320639488</v>
      </c>
      <c r="F10613" s="23" t="s">
        <v>33</v>
      </c>
      <c r="G10613" s="24">
        <v>1281.0</v>
      </c>
      <c r="H10613" s="24">
        <v>157.0</v>
      </c>
      <c r="I10613" s="24">
        <v>8501.0</v>
      </c>
      <c r="J10613" s="24">
        <v>0.0</v>
      </c>
      <c r="K10613" s="23" t="s">
        <v>34</v>
      </c>
      <c r="L10613" s="25">
        <v>41671.1134375</v>
      </c>
      <c r="M10613" s="26" t="s">
        <v>22508</v>
      </c>
      <c r="N10613" s="26" t="s">
        <v>22509</v>
      </c>
      <c r="O10613" s="22" t="str">
        <f>HYPERLINK("https://pbs.twimg.com/profile_images/894076513254907904/UeuQkV02_normal.jpg","View")</f>
        <v>View</v>
      </c>
      <c r="P10613" s="27"/>
    </row>
    <row r="10614">
      <c r="A10614" s="14">
        <v>43032.31854166667</v>
      </c>
      <c r="B10614" s="20" t="str">
        <f>HYPERLINK("https://twitter.com/vidya_05","@vidya_05")</f>
        <v>@vidya_05</v>
      </c>
      <c r="C10614" s="21" t="s">
        <v>22510</v>
      </c>
      <c r="D10614" s="21" t="s">
        <v>42</v>
      </c>
      <c r="E10614" s="22" t="str">
        <f>HYPERLINK("https://twitter.com/vidya_05/status/922834743162421250","922834743162421250")</f>
        <v>922834743162421250</v>
      </c>
      <c r="F10614" s="23" t="s">
        <v>33</v>
      </c>
      <c r="G10614" s="24">
        <v>23434.0</v>
      </c>
      <c r="H10614" s="24">
        <v>2138.0</v>
      </c>
      <c r="I10614" s="24">
        <v>8501.0</v>
      </c>
      <c r="J10614" s="24">
        <v>0.0</v>
      </c>
      <c r="K10614" s="23" t="s">
        <v>34</v>
      </c>
      <c r="L10614" s="25">
        <v>41411.97788194445</v>
      </c>
      <c r="M10614" s="26" t="s">
        <v>22511</v>
      </c>
      <c r="N10614" s="26" t="s">
        <v>22512</v>
      </c>
      <c r="O10614" s="22" t="str">
        <f>HYPERLINK("https://pbs.twimg.com/profile_images/859125901619081216/Y_X5HJi5_normal.jpg","View")</f>
        <v>View</v>
      </c>
      <c r="P10614" s="27"/>
    </row>
    <row r="10615">
      <c r="A10615" s="14">
        <v>43032.319386574076</v>
      </c>
      <c r="B10615" s="20" t="str">
        <f>HYPERLINK("https://twitter.com/NewswithRachel","@NewswithRachel")</f>
        <v>@NewswithRachel</v>
      </c>
      <c r="C10615" s="21" t="s">
        <v>22513</v>
      </c>
      <c r="D10615" s="21" t="s">
        <v>22514</v>
      </c>
      <c r="E10615" s="22" t="str">
        <f>HYPERLINK("https://twitter.com/NewswithRachel/status/922835049107648512","922835049107648512")</f>
        <v>922835049107648512</v>
      </c>
      <c r="F10615" s="23" t="s">
        <v>55</v>
      </c>
      <c r="G10615" s="24">
        <v>456.0</v>
      </c>
      <c r="H10615" s="24">
        <v>590.0</v>
      </c>
      <c r="I10615" s="24">
        <v>0.0</v>
      </c>
      <c r="J10615" s="24">
        <v>0.0</v>
      </c>
      <c r="K10615" s="23" t="s">
        <v>34</v>
      </c>
      <c r="L10615" s="25">
        <v>42227.75864583333</v>
      </c>
      <c r="M10615" s="26" t="s">
        <v>22515</v>
      </c>
      <c r="N10615" s="26" t="s">
        <v>22516</v>
      </c>
      <c r="O10615" s="22" t="str">
        <f>HYPERLINK("https://pbs.twimg.com/profile_images/727693302301077504/3C-r_XGm_normal.jpg","View")</f>
        <v>View</v>
      </c>
      <c r="P10615" s="27"/>
    </row>
    <row r="10616">
      <c r="A10616" s="14">
        <v>43032.319560185184</v>
      </c>
      <c r="B10616" s="20" t="str">
        <f>HYPERLINK("https://twitter.com/prasannavishy","@prasannavishy")</f>
        <v>@prasannavishy</v>
      </c>
      <c r="C10616" s="21" t="s">
        <v>10515</v>
      </c>
      <c r="D10616" s="21" t="s">
        <v>163</v>
      </c>
      <c r="E10616" s="22" t="str">
        <f>HYPERLINK("https://twitter.com/prasannavishy/status/922835110717677568","922835110717677568")</f>
        <v>922835110717677568</v>
      </c>
      <c r="F10616" s="23" t="s">
        <v>39</v>
      </c>
      <c r="G10616" s="24">
        <v>67801.0</v>
      </c>
      <c r="H10616" s="24">
        <v>3565.0</v>
      </c>
      <c r="I10616" s="24">
        <v>1005.0</v>
      </c>
      <c r="J10616" s="24">
        <v>0.0</v>
      </c>
      <c r="K10616" s="23" t="s">
        <v>34</v>
      </c>
      <c r="L10616" s="25">
        <v>39909.97555555555</v>
      </c>
      <c r="M10616" s="26" t="s">
        <v>10516</v>
      </c>
      <c r="N10616" s="26" t="s">
        <v>10517</v>
      </c>
      <c r="O10616" s="22" t="str">
        <f>HYPERLINK("https://pbs.twimg.com/profile_images/693270265623506944/rl_ql9-7_normal.jpg","View")</f>
        <v>View</v>
      </c>
      <c r="P10616" s="27"/>
    </row>
    <row r="10617">
      <c r="A10617" s="14">
        <v>43032.32001157408</v>
      </c>
      <c r="B10617" s="20" t="str">
        <f>HYPERLINK("https://twitter.com/ChweeneyTodd","@ChweeneyTodd")</f>
        <v>@ChweeneyTodd</v>
      </c>
      <c r="C10617" s="21" t="s">
        <v>22517</v>
      </c>
      <c r="D10617" s="21" t="s">
        <v>163</v>
      </c>
      <c r="E10617" s="22" t="str">
        <f>HYPERLINK("https://twitter.com/ChweeneyTodd/status/922835274031284225","922835274031284225")</f>
        <v>922835274031284225</v>
      </c>
      <c r="F10617" s="23" t="s">
        <v>2119</v>
      </c>
      <c r="G10617" s="24">
        <v>306.0</v>
      </c>
      <c r="H10617" s="24">
        <v>55.0</v>
      </c>
      <c r="I10617" s="24">
        <v>1005.0</v>
      </c>
      <c r="J10617" s="24">
        <v>0.0</v>
      </c>
      <c r="K10617" s="23" t="s">
        <v>34</v>
      </c>
      <c r="L10617" s="25">
        <v>41910.968206018515</v>
      </c>
      <c r="M10617" s="26" t="s">
        <v>204</v>
      </c>
      <c r="N10617" s="26" t="s">
        <v>22518</v>
      </c>
      <c r="O10617" s="22" t="str">
        <f>HYPERLINK("https://pbs.twimg.com/profile_images/857184496453550080/jD0-MW2T_normal.jpg","View")</f>
        <v>View</v>
      </c>
      <c r="P10617" s="27"/>
    </row>
    <row r="10618">
      <c r="A10618" s="14">
        <v>43032.32008101852</v>
      </c>
      <c r="B10618" s="20" t="str">
        <f>HYPERLINK("https://twitter.com/vidya_05","@vidya_05")</f>
        <v>@vidya_05</v>
      </c>
      <c r="C10618" s="21" t="s">
        <v>22510</v>
      </c>
      <c r="D10618" s="21" t="s">
        <v>163</v>
      </c>
      <c r="E10618" s="22" t="str">
        <f>HYPERLINK("https://twitter.com/vidya_05/status/922835298110676992","922835298110676992")</f>
        <v>922835298110676992</v>
      </c>
      <c r="F10618" s="23" t="s">
        <v>33</v>
      </c>
      <c r="G10618" s="24">
        <v>23434.0</v>
      </c>
      <c r="H10618" s="24">
        <v>2138.0</v>
      </c>
      <c r="I10618" s="24">
        <v>1005.0</v>
      </c>
      <c r="J10618" s="24">
        <v>0.0</v>
      </c>
      <c r="K10618" s="23" t="s">
        <v>34</v>
      </c>
      <c r="L10618" s="25">
        <v>41411.97788194445</v>
      </c>
      <c r="M10618" s="26" t="s">
        <v>22511</v>
      </c>
      <c r="N10618" s="26" t="s">
        <v>22512</v>
      </c>
      <c r="O10618" s="22" t="str">
        <f>HYPERLINK("https://pbs.twimg.com/profile_images/859125901619081216/Y_X5HJi5_normal.jpg","View")</f>
        <v>View</v>
      </c>
      <c r="P10618" s="27"/>
    </row>
    <row r="10619">
      <c r="A10619" s="14">
        <v>43032.32037037037</v>
      </c>
      <c r="B10619" s="20" t="str">
        <f>HYPERLINK("https://twitter.com/cedricsam","@cedricsam")</f>
        <v>@cedricsam</v>
      </c>
      <c r="C10619" s="21" t="s">
        <v>3726</v>
      </c>
      <c r="D10619" s="21" t="s">
        <v>21559</v>
      </c>
      <c r="E10619" s="22" t="str">
        <f>HYPERLINK("https://twitter.com/cedricsam/status/922835403601833985","922835403601833985")</f>
        <v>922835403601833985</v>
      </c>
      <c r="F10619" s="23" t="s">
        <v>39</v>
      </c>
      <c r="G10619" s="24">
        <v>2365.0</v>
      </c>
      <c r="H10619" s="24">
        <v>3224.0</v>
      </c>
      <c r="I10619" s="24">
        <v>9.0</v>
      </c>
      <c r="J10619" s="24">
        <v>0.0</v>
      </c>
      <c r="K10619" s="23" t="s">
        <v>34</v>
      </c>
      <c r="L10619" s="25">
        <v>39718.96487268519</v>
      </c>
      <c r="M10619" s="26" t="s">
        <v>2534</v>
      </c>
      <c r="N10619" s="26" t="s">
        <v>3728</v>
      </c>
      <c r="O10619" s="22" t="str">
        <f>HYPERLINK("https://pbs.twimg.com/profile_images/664113503016325121/DWYNAQF__normal.jpg","View")</f>
        <v>View</v>
      </c>
      <c r="P10619" s="27"/>
    </row>
    <row r="10620">
      <c r="A10620" s="14">
        <v>43032.32054398148</v>
      </c>
      <c r="B10620" s="20" t="str">
        <f>HYPERLINK("https://twitter.com/neu_erde","@neu_erde")</f>
        <v>@neu_erde</v>
      </c>
      <c r="C10620" s="21" t="s">
        <v>22519</v>
      </c>
      <c r="D10620" s="21" t="s">
        <v>18788</v>
      </c>
      <c r="E10620" s="22" t="str">
        <f>HYPERLINK("https://twitter.com/neu_erde/status/922835466751275015","922835466751275015")</f>
        <v>922835466751275015</v>
      </c>
      <c r="F10620" s="23" t="s">
        <v>39</v>
      </c>
      <c r="G10620" s="24">
        <v>91.0</v>
      </c>
      <c r="H10620" s="24">
        <v>204.0</v>
      </c>
      <c r="I10620" s="24">
        <v>28.0</v>
      </c>
      <c r="J10620" s="24">
        <v>0.0</v>
      </c>
      <c r="K10620" s="23" t="s">
        <v>34</v>
      </c>
      <c r="L10620" s="25">
        <v>42492.09496527778</v>
      </c>
      <c r="M10620" s="28"/>
      <c r="N10620" s="26" t="s">
        <v>22520</v>
      </c>
      <c r="O10620" s="22" t="str">
        <f>HYPERLINK("https://pbs.twimg.com/profile_images/727229176529444864/mOkbZkUu_normal.jpg","View")</f>
        <v>View</v>
      </c>
      <c r="P10620" s="27"/>
    </row>
    <row r="10621">
      <c r="A10621" s="14">
        <v>43032.32065972222</v>
      </c>
      <c r="B10621" s="20" t="str">
        <f>HYPERLINK("https://twitter.com/ndubi_emmanuel","@ndubi_emmanuel")</f>
        <v>@ndubi_emmanuel</v>
      </c>
      <c r="C10621" s="21" t="s">
        <v>22521</v>
      </c>
      <c r="D10621" s="21" t="s">
        <v>32</v>
      </c>
      <c r="E10621" s="22" t="str">
        <f>HYPERLINK("https://twitter.com/ndubi_emmanuel/status/922835507826053121","922835507826053121")</f>
        <v>922835507826053121</v>
      </c>
      <c r="F10621" s="23" t="s">
        <v>33</v>
      </c>
      <c r="G10621" s="24">
        <v>205.0</v>
      </c>
      <c r="H10621" s="24">
        <v>527.0</v>
      </c>
      <c r="I10621" s="24">
        <v>471.0</v>
      </c>
      <c r="J10621" s="24">
        <v>0.0</v>
      </c>
      <c r="K10621" s="23" t="s">
        <v>34</v>
      </c>
      <c r="L10621" s="25">
        <v>42653.35479166667</v>
      </c>
      <c r="M10621" s="26" t="s">
        <v>114</v>
      </c>
      <c r="N10621" s="26" t="s">
        <v>22522</v>
      </c>
      <c r="O10621" s="22" t="str">
        <f>HYPERLINK("https://pbs.twimg.com/profile_images/918756628064858112/j5IgHSyt_normal.jpg","View")</f>
        <v>View</v>
      </c>
      <c r="P10621" s="27"/>
    </row>
    <row r="10622">
      <c r="A10622" s="14">
        <v>43032.32094907407</v>
      </c>
      <c r="B10622" s="20" t="str">
        <f>HYPERLINK("https://twitter.com/prasannavsn92","@prasannavsn92")</f>
        <v>@prasannavsn92</v>
      </c>
      <c r="C10622" s="21" t="s">
        <v>22523</v>
      </c>
      <c r="D10622" s="21" t="s">
        <v>163</v>
      </c>
      <c r="E10622" s="22" t="str">
        <f>HYPERLINK("https://twitter.com/prasannavsn92/status/922835615367954433","922835615367954433")</f>
        <v>922835615367954433</v>
      </c>
      <c r="F10622" s="23" t="s">
        <v>33</v>
      </c>
      <c r="G10622" s="24">
        <v>1655.0</v>
      </c>
      <c r="H10622" s="24">
        <v>5003.0</v>
      </c>
      <c r="I10622" s="24">
        <v>1005.0</v>
      </c>
      <c r="J10622" s="24">
        <v>0.0</v>
      </c>
      <c r="K10622" s="23" t="s">
        <v>34</v>
      </c>
      <c r="L10622" s="25">
        <v>41216.30353009259</v>
      </c>
      <c r="M10622" s="26" t="s">
        <v>1545</v>
      </c>
      <c r="N10622" s="26" t="s">
        <v>22524</v>
      </c>
      <c r="O10622" s="22" t="str">
        <f>HYPERLINK("https://pbs.twimg.com/profile_images/906820101097250816/Tg2Tzgld_normal.jpg","View")</f>
        <v>View</v>
      </c>
      <c r="P10622" s="27"/>
    </row>
    <row r="10623">
      <c r="A10623" s="14">
        <v>43032.32096064815</v>
      </c>
      <c r="B10623" s="20" t="str">
        <f>HYPERLINK("https://twitter.com/thee_Headmaster","@thee_Headmaster")</f>
        <v>@thee_Headmaster</v>
      </c>
      <c r="C10623" s="21" t="s">
        <v>22525</v>
      </c>
      <c r="D10623" s="21" t="s">
        <v>32</v>
      </c>
      <c r="E10623" s="22" t="str">
        <f>HYPERLINK("https://twitter.com/thee_Headmaster/status/922835619642036225","922835619642036225")</f>
        <v>922835619642036225</v>
      </c>
      <c r="F10623" s="23" t="s">
        <v>33</v>
      </c>
      <c r="G10623" s="24">
        <v>21151.0</v>
      </c>
      <c r="H10623" s="24">
        <v>18415.0</v>
      </c>
      <c r="I10623" s="24">
        <v>471.0</v>
      </c>
      <c r="J10623" s="24">
        <v>0.0</v>
      </c>
      <c r="K10623" s="23" t="s">
        <v>34</v>
      </c>
      <c r="L10623" s="25">
        <v>42781.06135416667</v>
      </c>
      <c r="M10623" s="26" t="s">
        <v>843</v>
      </c>
      <c r="N10623" s="26" t="s">
        <v>22526</v>
      </c>
      <c r="O10623" s="22" t="str">
        <f>HYPERLINK("https://pbs.twimg.com/profile_images/916810781534105600/e4K9uvlr_normal.jpg","View")</f>
        <v>View</v>
      </c>
      <c r="P10623" s="27"/>
    </row>
    <row r="10624">
      <c r="A10624" s="14">
        <v>43032.32130787037</v>
      </c>
      <c r="B10624" s="20" t="str">
        <f>HYPERLINK("https://twitter.com/_Namrataa","@_Namrataa")</f>
        <v>@_Namrataa</v>
      </c>
      <c r="C10624" s="21" t="s">
        <v>22527</v>
      </c>
      <c r="D10624" s="21" t="s">
        <v>163</v>
      </c>
      <c r="E10624" s="22" t="str">
        <f>HYPERLINK("https://twitter.com/_Namrataa/status/922835744707706881","922835744707706881")</f>
        <v>922835744707706881</v>
      </c>
      <c r="F10624" s="23" t="s">
        <v>39</v>
      </c>
      <c r="G10624" s="24">
        <v>8277.0</v>
      </c>
      <c r="H10624" s="24">
        <v>158.0</v>
      </c>
      <c r="I10624" s="24">
        <v>1005.0</v>
      </c>
      <c r="J10624" s="24">
        <v>0.0</v>
      </c>
      <c r="K10624" s="23" t="s">
        <v>34</v>
      </c>
      <c r="L10624" s="25">
        <v>40234.40961805556</v>
      </c>
      <c r="M10624" s="26" t="s">
        <v>22528</v>
      </c>
      <c r="N10624" s="26" t="s">
        <v>22529</v>
      </c>
      <c r="O10624" s="22" t="str">
        <f>HYPERLINK("https://pbs.twimg.com/profile_images/827538430947115014/irQgdb5__normal.jpg","View")</f>
        <v>View</v>
      </c>
      <c r="P10624" s="27"/>
    </row>
    <row r="10625">
      <c r="A10625" s="14">
        <v>43032.321597222224</v>
      </c>
      <c r="B10625" s="20" t="str">
        <f>HYPERLINK("https://twitter.com/lousybug","@lousybug")</f>
        <v>@lousybug</v>
      </c>
      <c r="C10625" s="21" t="s">
        <v>22530</v>
      </c>
      <c r="D10625" s="21" t="s">
        <v>163</v>
      </c>
      <c r="E10625" s="22" t="str">
        <f>HYPERLINK("https://twitter.com/lousybug/status/922835848915075072","922835848915075072")</f>
        <v>922835848915075072</v>
      </c>
      <c r="F10625" s="23" t="s">
        <v>33</v>
      </c>
      <c r="G10625" s="24">
        <v>96.0</v>
      </c>
      <c r="H10625" s="24">
        <v>557.0</v>
      </c>
      <c r="I10625" s="24">
        <v>1005.0</v>
      </c>
      <c r="J10625" s="24">
        <v>0.0</v>
      </c>
      <c r="K10625" s="23" t="s">
        <v>34</v>
      </c>
      <c r="L10625" s="25">
        <v>40213.30502314815</v>
      </c>
      <c r="M10625" s="28"/>
      <c r="N10625" s="28"/>
      <c r="O10625" s="22" t="str">
        <f>HYPERLINK("https://pbs.twimg.com/profile_images/795660760072339456/VpZvhMgB_normal.jpg","View")</f>
        <v>View</v>
      </c>
      <c r="P10625" s="27"/>
    </row>
    <row r="10626">
      <c r="A10626" s="14">
        <v>43032.32189814815</v>
      </c>
      <c r="B10626" s="20" t="str">
        <f>HYPERLINK("https://twitter.com/933bb9f891d4417","@933bb9f891d4417")</f>
        <v>@933bb9f891d4417</v>
      </c>
      <c r="C10626" s="21" t="s">
        <v>22531</v>
      </c>
      <c r="D10626" s="21" t="s">
        <v>42</v>
      </c>
      <c r="E10626" s="22" t="str">
        <f>HYPERLINK("https://twitter.com/933bb9f891d4417/status/922835956171804672","922835956171804672")</f>
        <v>922835956171804672</v>
      </c>
      <c r="F10626" s="23" t="s">
        <v>33</v>
      </c>
      <c r="G10626" s="24">
        <v>51.0</v>
      </c>
      <c r="H10626" s="24">
        <v>177.0</v>
      </c>
      <c r="I10626" s="24">
        <v>8501.0</v>
      </c>
      <c r="J10626" s="24">
        <v>0.0</v>
      </c>
      <c r="K10626" s="23" t="s">
        <v>34</v>
      </c>
      <c r="L10626" s="25">
        <v>42157.29252314815</v>
      </c>
      <c r="M10626" s="26" t="s">
        <v>22532</v>
      </c>
      <c r="N10626" s="26" t="s">
        <v>22533</v>
      </c>
      <c r="O10626" s="22" t="str">
        <f>HYPERLINK("https://pbs.twimg.com/profile_images/796569578222456832/T1Du6bdp_normal.jpg","View")</f>
        <v>View</v>
      </c>
      <c r="P10626" s="27"/>
    </row>
    <row r="10627">
      <c r="A10627" s="14">
        <v>43032.3221875</v>
      </c>
      <c r="B10627" s="20" t="str">
        <f>HYPERLINK("https://twitter.com/samadsoltani4","@samadsoltani4")</f>
        <v>@samadsoltani4</v>
      </c>
      <c r="C10627" s="21" t="s">
        <v>22534</v>
      </c>
      <c r="D10627" s="21" t="s">
        <v>22535</v>
      </c>
      <c r="E10627" s="22" t="str">
        <f>HYPERLINK("https://twitter.com/samadsoltani4/status/922836062623404032","922836062623404032")</f>
        <v>922836062623404032</v>
      </c>
      <c r="F10627" s="23" t="s">
        <v>55</v>
      </c>
      <c r="G10627" s="24">
        <v>113.0</v>
      </c>
      <c r="H10627" s="24">
        <v>147.0</v>
      </c>
      <c r="I10627" s="24">
        <v>0.0</v>
      </c>
      <c r="J10627" s="24">
        <v>0.0</v>
      </c>
      <c r="K10627" s="23" t="s">
        <v>34</v>
      </c>
      <c r="L10627" s="25">
        <v>42852.23202546296</v>
      </c>
      <c r="M10627" s="28"/>
      <c r="N10627" s="26" t="s">
        <v>22536</v>
      </c>
      <c r="O10627" s="22" t="str">
        <f>HYPERLINK("https://pbs.twimg.com/profile_images/882841323530625024/qSSKq9Gp_normal.jpg","View")</f>
        <v>View</v>
      </c>
      <c r="P10627" s="27"/>
    </row>
    <row r="10628">
      <c r="A10628" s="14">
        <v>43032.32256944444</v>
      </c>
      <c r="B10628" s="20" t="str">
        <f>HYPERLINK("https://twitter.com/TRavindran4","@TRavindran4")</f>
        <v>@TRavindran4</v>
      </c>
      <c r="C10628" s="21" t="s">
        <v>22537</v>
      </c>
      <c r="D10628" s="21" t="s">
        <v>42</v>
      </c>
      <c r="E10628" s="22" t="str">
        <f>HYPERLINK("https://twitter.com/TRavindran4/status/922836201614086144","922836201614086144")</f>
        <v>922836201614086144</v>
      </c>
      <c r="F10628" s="23" t="s">
        <v>33</v>
      </c>
      <c r="G10628" s="24">
        <v>220.0</v>
      </c>
      <c r="H10628" s="24">
        <v>334.0</v>
      </c>
      <c r="I10628" s="24">
        <v>8501.0</v>
      </c>
      <c r="J10628" s="24">
        <v>0.0</v>
      </c>
      <c r="K10628" s="23" t="s">
        <v>34</v>
      </c>
      <c r="L10628" s="25">
        <v>42973.78547453704</v>
      </c>
      <c r="M10628" s="26" t="s">
        <v>11397</v>
      </c>
      <c r="N10628" s="26" t="s">
        <v>22538</v>
      </c>
      <c r="O10628" s="22" t="str">
        <f>HYPERLINK("https://pbs.twimg.com/profile_images/907641711731417088/zuEK1JBI_normal.jpg","View")</f>
        <v>View</v>
      </c>
      <c r="P10628" s="27"/>
    </row>
    <row r="10629">
      <c r="A10629" s="14">
        <v>43032.32309027778</v>
      </c>
      <c r="B10629" s="20" t="str">
        <f>HYPERLINK("https://twitter.com/runjitkrantikar","@runjitkrantikar")</f>
        <v>@runjitkrantikar</v>
      </c>
      <c r="C10629" s="21" t="s">
        <v>22539</v>
      </c>
      <c r="D10629" s="21" t="s">
        <v>42</v>
      </c>
      <c r="E10629" s="22" t="str">
        <f>HYPERLINK("https://twitter.com/runjitkrantikar/status/922836388466253825","922836388466253825")</f>
        <v>922836388466253825</v>
      </c>
      <c r="F10629" s="23" t="s">
        <v>33</v>
      </c>
      <c r="G10629" s="24">
        <v>73.0</v>
      </c>
      <c r="H10629" s="24">
        <v>54.0</v>
      </c>
      <c r="I10629" s="24">
        <v>8501.0</v>
      </c>
      <c r="J10629" s="24">
        <v>0.0</v>
      </c>
      <c r="K10629" s="23" t="s">
        <v>34</v>
      </c>
      <c r="L10629" s="25">
        <v>42120.04744212963</v>
      </c>
      <c r="M10629" s="26" t="s">
        <v>22540</v>
      </c>
      <c r="N10629" s="26" t="s">
        <v>22541</v>
      </c>
      <c r="O10629" s="22" t="str">
        <f>HYPERLINK("https://pbs.twimg.com/profile_images/922853049244119041/MCnrd6Mf_normal.jpg","View")</f>
        <v>View</v>
      </c>
      <c r="P10629" s="27"/>
    </row>
    <row r="10630">
      <c r="A10630" s="14">
        <v>43032.323495370365</v>
      </c>
      <c r="B10630" s="20" t="str">
        <f>HYPERLINK("https://twitter.com/AmaniRasol","@AmaniRasol")</f>
        <v>@AmaniRasol</v>
      </c>
      <c r="C10630" s="21" t="s">
        <v>22542</v>
      </c>
      <c r="D10630" s="21" t="s">
        <v>21202</v>
      </c>
      <c r="E10630" s="22" t="str">
        <f>HYPERLINK("https://twitter.com/AmaniRasol/status/922836537376514048","922836537376514048")</f>
        <v>922836537376514048</v>
      </c>
      <c r="F10630" s="23" t="s">
        <v>86</v>
      </c>
      <c r="G10630" s="24">
        <v>150.0</v>
      </c>
      <c r="H10630" s="24">
        <v>151.0</v>
      </c>
      <c r="I10630" s="24">
        <v>79.0</v>
      </c>
      <c r="J10630" s="24">
        <v>0.0</v>
      </c>
      <c r="K10630" s="23" t="s">
        <v>34</v>
      </c>
      <c r="L10630" s="25">
        <v>41773.02125</v>
      </c>
      <c r="M10630" s="26" t="s">
        <v>22543</v>
      </c>
      <c r="N10630" s="26" t="s">
        <v>22544</v>
      </c>
      <c r="O10630" s="22" t="str">
        <f>HYPERLINK("https://pbs.twimg.com/profile_images/466484009514463232/C7JI7kFC_normal.png","View")</f>
        <v>View</v>
      </c>
      <c r="P10630" s="27"/>
    </row>
    <row r="10631">
      <c r="A10631" s="14">
        <v>43032.32391203704</v>
      </c>
      <c r="B10631" s="20" t="str">
        <f>HYPERLINK("https://twitter.com/Neera_26","@Neera_26")</f>
        <v>@Neera_26</v>
      </c>
      <c r="C10631" s="21" t="s">
        <v>22545</v>
      </c>
      <c r="D10631" s="21" t="s">
        <v>163</v>
      </c>
      <c r="E10631" s="22" t="str">
        <f>HYPERLINK("https://twitter.com/Neera_26/status/922836687859859456","922836687859859456")</f>
        <v>922836687859859456</v>
      </c>
      <c r="F10631" s="23" t="s">
        <v>39</v>
      </c>
      <c r="G10631" s="24">
        <v>9950.0</v>
      </c>
      <c r="H10631" s="24">
        <v>1222.0</v>
      </c>
      <c r="I10631" s="24">
        <v>1005.0</v>
      </c>
      <c r="J10631" s="24">
        <v>0.0</v>
      </c>
      <c r="K10631" s="23" t="s">
        <v>34</v>
      </c>
      <c r="L10631" s="25">
        <v>40162.28633101852</v>
      </c>
      <c r="M10631" s="26" t="s">
        <v>1545</v>
      </c>
      <c r="N10631" s="26" t="s">
        <v>22546</v>
      </c>
      <c r="O10631" s="22" t="str">
        <f>HYPERLINK("https://pbs.twimg.com/profile_images/908215463649329152/qdXrXLa9_normal.jpg","View")</f>
        <v>View</v>
      </c>
      <c r="P10631" s="27"/>
    </row>
    <row r="10632">
      <c r="A10632" s="14">
        <v>43032.32405092593</v>
      </c>
      <c r="B10632" s="20" t="str">
        <f>HYPERLINK("https://twitter.com/vglitter","@vglitter")</f>
        <v>@vglitter</v>
      </c>
      <c r="C10632" s="21" t="s">
        <v>22547</v>
      </c>
      <c r="D10632" s="21" t="s">
        <v>163</v>
      </c>
      <c r="E10632" s="22" t="str">
        <f>HYPERLINK("https://twitter.com/vglitter/status/922836737084203008","922836737084203008")</f>
        <v>922836737084203008</v>
      </c>
      <c r="F10632" s="23" t="s">
        <v>33</v>
      </c>
      <c r="G10632" s="24">
        <v>444.0</v>
      </c>
      <c r="H10632" s="24">
        <v>426.0</v>
      </c>
      <c r="I10632" s="24">
        <v>1005.0</v>
      </c>
      <c r="J10632" s="24">
        <v>0.0</v>
      </c>
      <c r="K10632" s="23" t="s">
        <v>34</v>
      </c>
      <c r="L10632" s="25">
        <v>40070.43635416667</v>
      </c>
      <c r="M10632" s="28"/>
      <c r="N10632" s="28"/>
      <c r="O10632" s="22" t="str">
        <f>HYPERLINK("https://pbs.twimg.com/profile_images/703648453029564416/ux9Ds1nf_normal.jpg","View")</f>
        <v>View</v>
      </c>
      <c r="P10632" s="27"/>
    </row>
    <row r="10633">
      <c r="A10633" s="14">
        <v>43032.32409722223</v>
      </c>
      <c r="B10633" s="20" t="str">
        <f>HYPERLINK("https://twitter.com/BrahaspatiSutra","@BrahaspatiSutra")</f>
        <v>@BrahaspatiSutra</v>
      </c>
      <c r="C10633" s="21" t="s">
        <v>2558</v>
      </c>
      <c r="D10633" s="21" t="s">
        <v>163</v>
      </c>
      <c r="E10633" s="22" t="str">
        <f>HYPERLINK("https://twitter.com/BrahaspatiSutra/status/922836756000522240","922836756000522240")</f>
        <v>922836756000522240</v>
      </c>
      <c r="F10633" s="23" t="s">
        <v>55</v>
      </c>
      <c r="G10633" s="24">
        <v>103.0</v>
      </c>
      <c r="H10633" s="24">
        <v>441.0</v>
      </c>
      <c r="I10633" s="24">
        <v>1005.0</v>
      </c>
      <c r="J10633" s="24">
        <v>0.0</v>
      </c>
      <c r="K10633" s="23" t="s">
        <v>34</v>
      </c>
      <c r="L10633" s="25">
        <v>41038.10853009259</v>
      </c>
      <c r="M10633" s="28"/>
      <c r="N10633" s="28"/>
      <c r="O10633" s="22" t="str">
        <f>HYPERLINK("https://pbs.twimg.com/profile_images/786971496551813123/8pSAEoM3_normal.jpg","View")</f>
        <v>View</v>
      </c>
      <c r="P10633" s="27"/>
    </row>
    <row r="10634">
      <c r="A10634" s="14">
        <v>43032.324108796296</v>
      </c>
      <c r="B10634" s="20" t="str">
        <f>HYPERLINK("https://twitter.com/pipi0940","@pipi0940")</f>
        <v>@pipi0940</v>
      </c>
      <c r="C10634" s="21" t="s">
        <v>22548</v>
      </c>
      <c r="D10634" s="21" t="s">
        <v>42</v>
      </c>
      <c r="E10634" s="22" t="str">
        <f>HYPERLINK("https://twitter.com/pipi0940/status/922836759930486785","922836759930486785")</f>
        <v>922836759930486785</v>
      </c>
      <c r="F10634" s="23" t="s">
        <v>39</v>
      </c>
      <c r="G10634" s="24">
        <v>5.0</v>
      </c>
      <c r="H10634" s="24">
        <v>42.0</v>
      </c>
      <c r="I10634" s="24">
        <v>8501.0</v>
      </c>
      <c r="J10634" s="24">
        <v>0.0</v>
      </c>
      <c r="K10634" s="23" t="s">
        <v>34</v>
      </c>
      <c r="L10634" s="25">
        <v>42862.73667824074</v>
      </c>
      <c r="M10634" s="28"/>
      <c r="N10634" s="28"/>
      <c r="O10634" s="22" t="str">
        <f>HYPERLINK("https://abs.twimg.com/sticky/default_profile_images/default_profile_normal.png","View")</f>
        <v>View</v>
      </c>
      <c r="P10634" s="27"/>
    </row>
    <row r="10635">
      <c r="A10635" s="14">
        <v>43032.32415509259</v>
      </c>
      <c r="B10635" s="20" t="str">
        <f>HYPERLINK("https://twitter.com/AmaniRasol","@AmaniRasol")</f>
        <v>@AmaniRasol</v>
      </c>
      <c r="C10635" s="21" t="s">
        <v>22542</v>
      </c>
      <c r="D10635" s="21" t="s">
        <v>21203</v>
      </c>
      <c r="E10635" s="22" t="str">
        <f>HYPERLINK("https://twitter.com/AmaniRasol/status/922836776921661440","922836776921661440")</f>
        <v>922836776921661440</v>
      </c>
      <c r="F10635" s="23" t="s">
        <v>86</v>
      </c>
      <c r="G10635" s="24">
        <v>150.0</v>
      </c>
      <c r="H10635" s="24">
        <v>151.0</v>
      </c>
      <c r="I10635" s="24">
        <v>75.0</v>
      </c>
      <c r="J10635" s="24">
        <v>0.0</v>
      </c>
      <c r="K10635" s="23" t="s">
        <v>34</v>
      </c>
      <c r="L10635" s="25">
        <v>41773.02125</v>
      </c>
      <c r="M10635" s="26" t="s">
        <v>22543</v>
      </c>
      <c r="N10635" s="26" t="s">
        <v>22544</v>
      </c>
      <c r="O10635" s="22" t="str">
        <f>HYPERLINK("https://pbs.twimg.com/profile_images/466484009514463232/C7JI7kFC_normal.png","View")</f>
        <v>View</v>
      </c>
      <c r="P10635" s="27"/>
    </row>
    <row r="10636">
      <c r="A10636" s="14">
        <v>43032.324328703704</v>
      </c>
      <c r="B10636" s="20" t="str">
        <f>HYPERLINK("https://twitter.com/AIndia247","@AIndia247")</f>
        <v>@AIndia247</v>
      </c>
      <c r="C10636" s="21" t="s">
        <v>22549</v>
      </c>
      <c r="D10636" s="21" t="s">
        <v>42</v>
      </c>
      <c r="E10636" s="22" t="str">
        <f>HYPERLINK("https://twitter.com/AIndia247/status/922836839488040960","922836839488040960")</f>
        <v>922836839488040960</v>
      </c>
      <c r="F10636" s="23" t="s">
        <v>55</v>
      </c>
      <c r="G10636" s="24">
        <v>176.0</v>
      </c>
      <c r="H10636" s="24">
        <v>1612.0</v>
      </c>
      <c r="I10636" s="24">
        <v>8501.0</v>
      </c>
      <c r="J10636" s="24">
        <v>0.0</v>
      </c>
      <c r="K10636" s="23" t="s">
        <v>34</v>
      </c>
      <c r="L10636" s="25">
        <v>41817.9125</v>
      </c>
      <c r="M10636" s="28"/>
      <c r="N10636" s="28"/>
      <c r="O10636" s="22" t="str">
        <f t="shared" ref="O10636:O10637" si="248">HYPERLINK("https://abs.twimg.com/sticky/default_profile_images/default_profile_normal.png","View")</f>
        <v>View</v>
      </c>
      <c r="P10636" s="27"/>
    </row>
    <row r="10637">
      <c r="A10637" s="14">
        <v>43032.32444444444</v>
      </c>
      <c r="B10637" s="20" t="str">
        <f>HYPERLINK("https://twitter.com/ravipatil15167","@ravipatil15167")</f>
        <v>@ravipatil15167</v>
      </c>
      <c r="C10637" s="21" t="s">
        <v>22550</v>
      </c>
      <c r="D10637" s="21" t="s">
        <v>163</v>
      </c>
      <c r="E10637" s="22" t="str">
        <f>HYPERLINK("https://twitter.com/ravipatil15167/status/922836882349703168","922836882349703168")</f>
        <v>922836882349703168</v>
      </c>
      <c r="F10637" s="23" t="s">
        <v>230</v>
      </c>
      <c r="G10637" s="24">
        <v>110.0</v>
      </c>
      <c r="H10637" s="24">
        <v>194.0</v>
      </c>
      <c r="I10637" s="24">
        <v>1005.0</v>
      </c>
      <c r="J10637" s="24">
        <v>0.0</v>
      </c>
      <c r="K10637" s="23" t="s">
        <v>34</v>
      </c>
      <c r="L10637" s="25">
        <v>41926.682858796295</v>
      </c>
      <c r="M10637" s="28"/>
      <c r="N10637" s="28"/>
      <c r="O10637" s="22" t="str">
        <f t="shared" si="248"/>
        <v>View</v>
      </c>
      <c r="P10637" s="27"/>
    </row>
    <row r="10638">
      <c r="A10638" s="14">
        <v>43032.324479166666</v>
      </c>
      <c r="B10638" s="20" t="str">
        <f>HYPERLINK("https://twitter.com/indiaexplain","@indiaexplain")</f>
        <v>@indiaexplain</v>
      </c>
      <c r="C10638" s="21" t="s">
        <v>22551</v>
      </c>
      <c r="D10638" s="21" t="s">
        <v>22552</v>
      </c>
      <c r="E10638" s="22" t="str">
        <f>HYPERLINK("https://twitter.com/indiaexplain/status/922836893368311808","922836893368311808")</f>
        <v>922836893368311808</v>
      </c>
      <c r="F10638" s="23" t="s">
        <v>91</v>
      </c>
      <c r="G10638" s="24">
        <v>153.0</v>
      </c>
      <c r="H10638" s="24">
        <v>103.0</v>
      </c>
      <c r="I10638" s="24">
        <v>0.0</v>
      </c>
      <c r="J10638" s="24">
        <v>0.0</v>
      </c>
      <c r="K10638" s="23" t="s">
        <v>34</v>
      </c>
      <c r="L10638" s="25">
        <v>42780.01671296296</v>
      </c>
      <c r="M10638" s="26" t="s">
        <v>204</v>
      </c>
      <c r="N10638" s="26" t="s">
        <v>22553</v>
      </c>
      <c r="O10638" s="22" t="str">
        <f>HYPERLINK("https://pbs.twimg.com/profile_images/898075769171136512/9vt3W4rh_normal.jpg","View")</f>
        <v>View</v>
      </c>
      <c r="P10638" s="27"/>
    </row>
    <row r="10639">
      <c r="A10639" s="14">
        <v>43032.32613425926</v>
      </c>
      <c r="B10639" s="20" t="str">
        <f>HYPERLINK("https://twitter.com/RodDavis","@RodDavis")</f>
        <v>@RodDavis</v>
      </c>
      <c r="C10639" s="21" t="s">
        <v>22554</v>
      </c>
      <c r="D10639" s="21" t="s">
        <v>16537</v>
      </c>
      <c r="E10639" s="22" t="str">
        <f>HYPERLINK("https://twitter.com/RodDavis/status/922837492738478080","922837492738478080")</f>
        <v>922837492738478080</v>
      </c>
      <c r="F10639" s="23" t="s">
        <v>33</v>
      </c>
      <c r="G10639" s="24">
        <v>7369.0</v>
      </c>
      <c r="H10639" s="24">
        <v>7652.0</v>
      </c>
      <c r="I10639" s="24">
        <v>242.0</v>
      </c>
      <c r="J10639" s="24">
        <v>0.0</v>
      </c>
      <c r="K10639" s="23" t="s">
        <v>34</v>
      </c>
      <c r="L10639" s="25">
        <v>39707.50052083333</v>
      </c>
      <c r="M10639" s="26" t="s">
        <v>22555</v>
      </c>
      <c r="N10639" s="26" t="s">
        <v>22556</v>
      </c>
      <c r="O10639" s="22" t="str">
        <f>HYPERLINK("https://pbs.twimg.com/profile_images/577400744367628289/anpdpw7Q_normal.jpeg","View")</f>
        <v>View</v>
      </c>
      <c r="P10639" s="27"/>
    </row>
    <row r="10640">
      <c r="A10640" s="14">
        <v>43032.326331018514</v>
      </c>
      <c r="B10640" s="20" t="str">
        <f>HYPERLINK("https://twitter.com/dignity4mothers","@dignity4mothers")</f>
        <v>@dignity4mothers</v>
      </c>
      <c r="C10640" s="21" t="s">
        <v>22557</v>
      </c>
      <c r="D10640" s="21" t="s">
        <v>21202</v>
      </c>
      <c r="E10640" s="22" t="str">
        <f>HYPERLINK("https://twitter.com/dignity4mothers/status/922837565824122881","922837565824122881")</f>
        <v>922837565824122881</v>
      </c>
      <c r="F10640" s="23" t="s">
        <v>86</v>
      </c>
      <c r="G10640" s="24">
        <v>527.0</v>
      </c>
      <c r="H10640" s="24">
        <v>403.0</v>
      </c>
      <c r="I10640" s="24">
        <v>79.0</v>
      </c>
      <c r="J10640" s="24">
        <v>0.0</v>
      </c>
      <c r="K10640" s="23" t="s">
        <v>34</v>
      </c>
      <c r="L10640" s="25">
        <v>41572.20197916667</v>
      </c>
      <c r="M10640" s="26" t="s">
        <v>40</v>
      </c>
      <c r="N10640" s="26" t="s">
        <v>21141</v>
      </c>
      <c r="O10640" s="22" t="str">
        <f>HYPERLINK("https://pbs.twimg.com/profile_images/378800000645292240/342cf8573b5d646ba256bb8cec6ade94_normal.jpeg","View")</f>
        <v>View</v>
      </c>
      <c r="P10640" s="27"/>
    </row>
    <row r="10641">
      <c r="A10641" s="14">
        <v>43032.32635416667</v>
      </c>
      <c r="B10641" s="20" t="str">
        <f>HYPERLINK("https://twitter.com/mrnlkr786","@mrnlkr786")</f>
        <v>@mrnlkr786</v>
      </c>
      <c r="C10641" s="21" t="s">
        <v>22558</v>
      </c>
      <c r="D10641" s="21" t="s">
        <v>42</v>
      </c>
      <c r="E10641" s="22" t="str">
        <f>HYPERLINK("https://twitter.com/mrnlkr786/status/922837572166045696","922837572166045696")</f>
        <v>922837572166045696</v>
      </c>
      <c r="F10641" s="23" t="s">
        <v>33</v>
      </c>
      <c r="G10641" s="24">
        <v>154.0</v>
      </c>
      <c r="H10641" s="24">
        <v>1121.0</v>
      </c>
      <c r="I10641" s="24">
        <v>8501.0</v>
      </c>
      <c r="J10641" s="24">
        <v>0.0</v>
      </c>
      <c r="K10641" s="23" t="s">
        <v>34</v>
      </c>
      <c r="L10641" s="25">
        <v>42186.94943287037</v>
      </c>
      <c r="M10641" s="28"/>
      <c r="N10641" s="26" t="s">
        <v>22559</v>
      </c>
      <c r="O10641" s="22" t="str">
        <f>HYPERLINK("https://pbs.twimg.com/profile_images/835423501758640128/3x28T0-n_normal.jpg","View")</f>
        <v>View</v>
      </c>
      <c r="P10641" s="27"/>
    </row>
    <row r="10642">
      <c r="A10642" s="14">
        <v>43032.326875</v>
      </c>
      <c r="B10642" s="20" t="str">
        <f>HYPERLINK("https://twitter.com/rajkumarshaw","@rajkumarshaw")</f>
        <v>@rajkumarshaw</v>
      </c>
      <c r="C10642" s="21" t="s">
        <v>9782</v>
      </c>
      <c r="D10642" s="21" t="s">
        <v>163</v>
      </c>
      <c r="E10642" s="22" t="str">
        <f>HYPERLINK("https://twitter.com/rajkumarshaw/status/922837762851536898","922837762851536898")</f>
        <v>922837762851536898</v>
      </c>
      <c r="F10642" s="23" t="s">
        <v>33</v>
      </c>
      <c r="G10642" s="24">
        <v>340.0</v>
      </c>
      <c r="H10642" s="24">
        <v>1386.0</v>
      </c>
      <c r="I10642" s="24">
        <v>1005.0</v>
      </c>
      <c r="J10642" s="24">
        <v>0.0</v>
      </c>
      <c r="K10642" s="23" t="s">
        <v>34</v>
      </c>
      <c r="L10642" s="25">
        <v>39841.381840277776</v>
      </c>
      <c r="M10642" s="26" t="s">
        <v>207</v>
      </c>
      <c r="N10642" s="26" t="s">
        <v>22560</v>
      </c>
      <c r="O10642" s="22" t="str">
        <f>HYPERLINK("https://abs.twimg.com/sticky/default_profile_images/default_profile_normal.png","View")</f>
        <v>View</v>
      </c>
      <c r="P10642" s="27"/>
    </row>
    <row r="10643">
      <c r="A10643" s="14">
        <v>43032.32697916667</v>
      </c>
      <c r="B10643" s="20" t="str">
        <f t="shared" ref="B10643:B10644" si="249">HYPERLINK("https://twitter.com/dignity4mothers","@dignity4mothers")</f>
        <v>@dignity4mothers</v>
      </c>
      <c r="C10643" s="21" t="s">
        <v>22557</v>
      </c>
      <c r="D10643" s="21" t="s">
        <v>21203</v>
      </c>
      <c r="E10643" s="22" t="str">
        <f>HYPERLINK("https://twitter.com/dignity4mothers/status/922837800738742272","922837800738742272")</f>
        <v>922837800738742272</v>
      </c>
      <c r="F10643" s="23" t="s">
        <v>86</v>
      </c>
      <c r="G10643" s="24">
        <v>527.0</v>
      </c>
      <c r="H10643" s="24">
        <v>403.0</v>
      </c>
      <c r="I10643" s="24">
        <v>75.0</v>
      </c>
      <c r="J10643" s="24">
        <v>0.0</v>
      </c>
      <c r="K10643" s="23" t="s">
        <v>34</v>
      </c>
      <c r="L10643" s="25">
        <v>41572.20197916667</v>
      </c>
      <c r="M10643" s="26" t="s">
        <v>40</v>
      </c>
      <c r="N10643" s="26" t="s">
        <v>21141</v>
      </c>
      <c r="O10643" s="22" t="str">
        <f t="shared" ref="O10643:O10644" si="250">HYPERLINK("https://pbs.twimg.com/profile_images/378800000645292240/342cf8573b5d646ba256bb8cec6ade94_normal.jpeg","View")</f>
        <v>View</v>
      </c>
      <c r="P10643" s="27"/>
    </row>
    <row r="10644">
      <c r="A10644" s="14">
        <v>43032.327627314815</v>
      </c>
      <c r="B10644" s="20" t="str">
        <f t="shared" si="249"/>
        <v>@dignity4mothers</v>
      </c>
      <c r="C10644" s="21" t="s">
        <v>22557</v>
      </c>
      <c r="D10644" s="21" t="s">
        <v>21243</v>
      </c>
      <c r="E10644" s="22" t="str">
        <f>HYPERLINK("https://twitter.com/dignity4mothers/status/922838036072710144","922838036072710144")</f>
        <v>922838036072710144</v>
      </c>
      <c r="F10644" s="23" t="s">
        <v>86</v>
      </c>
      <c r="G10644" s="24">
        <v>527.0</v>
      </c>
      <c r="H10644" s="24">
        <v>403.0</v>
      </c>
      <c r="I10644" s="24">
        <v>41.0</v>
      </c>
      <c r="J10644" s="24">
        <v>0.0</v>
      </c>
      <c r="K10644" s="23" t="s">
        <v>34</v>
      </c>
      <c r="L10644" s="25">
        <v>41572.20197916667</v>
      </c>
      <c r="M10644" s="26" t="s">
        <v>40</v>
      </c>
      <c r="N10644" s="26" t="s">
        <v>21141</v>
      </c>
      <c r="O10644" s="22" t="str">
        <f t="shared" si="250"/>
        <v>View</v>
      </c>
      <c r="P10644" s="27"/>
    </row>
    <row r="10645">
      <c r="A10645" s="14">
        <v>43032.32778935185</v>
      </c>
      <c r="B10645" s="20" t="str">
        <f>HYPERLINK("https://twitter.com/Bhikshuu","@Bhikshuu")</f>
        <v>@Bhikshuu</v>
      </c>
      <c r="C10645" s="21" t="s">
        <v>22561</v>
      </c>
      <c r="D10645" s="21" t="s">
        <v>163</v>
      </c>
      <c r="E10645" s="22" t="str">
        <f>HYPERLINK("https://twitter.com/Bhikshuu/status/922838092603641856","922838092603641856")</f>
        <v>922838092603641856</v>
      </c>
      <c r="F10645" s="23" t="s">
        <v>33</v>
      </c>
      <c r="G10645" s="24">
        <v>111.0</v>
      </c>
      <c r="H10645" s="24">
        <v>232.0</v>
      </c>
      <c r="I10645" s="24">
        <v>1005.0</v>
      </c>
      <c r="J10645" s="24">
        <v>0.0</v>
      </c>
      <c r="K10645" s="23" t="s">
        <v>34</v>
      </c>
      <c r="L10645" s="25">
        <v>40069.05121527778</v>
      </c>
      <c r="M10645" s="26" t="s">
        <v>22562</v>
      </c>
      <c r="N10645" s="26" t="s">
        <v>22563</v>
      </c>
      <c r="O10645" s="22" t="str">
        <f>HYPERLINK("https://pbs.twimg.com/profile_images/918876025118969856/Sfn75QT4_normal.jpg","View")</f>
        <v>View</v>
      </c>
      <c r="P10645" s="27"/>
    </row>
    <row r="10646">
      <c r="A10646" s="14">
        <v>43032.32806712963</v>
      </c>
      <c r="B10646" s="20" t="str">
        <f>HYPERLINK("https://twitter.com/Masa64bits","@Masa64bits")</f>
        <v>@Masa64bits</v>
      </c>
      <c r="C10646" s="21" t="s">
        <v>22564</v>
      </c>
      <c r="D10646" s="21" t="s">
        <v>11750</v>
      </c>
      <c r="E10646" s="22" t="str">
        <f>HYPERLINK("https://twitter.com/Masa64bits/status/922838192637620224","922838192637620224")</f>
        <v>922838192637620224</v>
      </c>
      <c r="F10646" s="23" t="s">
        <v>5275</v>
      </c>
      <c r="G10646" s="24">
        <v>898.0</v>
      </c>
      <c r="H10646" s="24">
        <v>258.0</v>
      </c>
      <c r="I10646" s="24">
        <v>35.0</v>
      </c>
      <c r="J10646" s="24">
        <v>0.0</v>
      </c>
      <c r="K10646" s="23" t="s">
        <v>34</v>
      </c>
      <c r="L10646" s="25">
        <v>40925.273125</v>
      </c>
      <c r="M10646" s="26" t="s">
        <v>22565</v>
      </c>
      <c r="N10646" s="26" t="s">
        <v>22566</v>
      </c>
      <c r="O10646" s="22" t="str">
        <f>HYPERLINK("https://pbs.twimg.com/profile_images/462979464872218624/usTIiK34_normal.jpeg","View")</f>
        <v>View</v>
      </c>
      <c r="P10646" s="27"/>
    </row>
    <row r="10647">
      <c r="A10647" s="14">
        <v>43032.32828703704</v>
      </c>
      <c r="B10647" s="20" t="str">
        <f>HYPERLINK("https://twitter.com/dignity4mothers","@dignity4mothers")</f>
        <v>@dignity4mothers</v>
      </c>
      <c r="C10647" s="21" t="s">
        <v>22557</v>
      </c>
      <c r="D10647" s="21" t="s">
        <v>21191</v>
      </c>
      <c r="E10647" s="22" t="str">
        <f>HYPERLINK("https://twitter.com/dignity4mothers/status/922838271134011392","922838271134011392")</f>
        <v>922838271134011392</v>
      </c>
      <c r="F10647" s="23" t="s">
        <v>86</v>
      </c>
      <c r="G10647" s="24">
        <v>527.0</v>
      </c>
      <c r="H10647" s="24">
        <v>403.0</v>
      </c>
      <c r="I10647" s="24">
        <v>42.0</v>
      </c>
      <c r="J10647" s="24">
        <v>0.0</v>
      </c>
      <c r="K10647" s="23" t="s">
        <v>34</v>
      </c>
      <c r="L10647" s="25">
        <v>41572.20197916667</v>
      </c>
      <c r="M10647" s="26" t="s">
        <v>40</v>
      </c>
      <c r="N10647" s="26" t="s">
        <v>21141</v>
      </c>
      <c r="O10647" s="22" t="str">
        <f>HYPERLINK("https://pbs.twimg.com/profile_images/378800000645292240/342cf8573b5d646ba256bb8cec6ade94_normal.jpeg","View")</f>
        <v>View</v>
      </c>
      <c r="P10647" s="27"/>
    </row>
    <row r="10648">
      <c r="A10648" s="14">
        <v>43032.32952546296</v>
      </c>
      <c r="B10648" s="20" t="str">
        <f>HYPERLINK("https://twitter.com/gathukimundu","@gathukimundu")</f>
        <v>@gathukimundu</v>
      </c>
      <c r="C10648" s="21" t="s">
        <v>22567</v>
      </c>
      <c r="D10648" s="21" t="s">
        <v>32</v>
      </c>
      <c r="E10648" s="22" t="str">
        <f>HYPERLINK("https://twitter.com/gathukimundu/status/922838723003371525","922838723003371525")</f>
        <v>922838723003371525</v>
      </c>
      <c r="F10648" s="23" t="s">
        <v>33</v>
      </c>
      <c r="G10648" s="24">
        <v>2749.0</v>
      </c>
      <c r="H10648" s="24">
        <v>2386.0</v>
      </c>
      <c r="I10648" s="24">
        <v>471.0</v>
      </c>
      <c r="J10648" s="24">
        <v>0.0</v>
      </c>
      <c r="K10648" s="23" t="s">
        <v>34</v>
      </c>
      <c r="L10648" s="25">
        <v>39989.129016203704</v>
      </c>
      <c r="M10648" s="26" t="s">
        <v>22568</v>
      </c>
      <c r="N10648" s="26" t="s">
        <v>22569</v>
      </c>
      <c r="O10648" s="22" t="str">
        <f>HYPERLINK("https://pbs.twimg.com/profile_images/878345754426978304/5cGrqHDj_normal.jpg","View")</f>
        <v>View</v>
      </c>
      <c r="P10648" s="27"/>
    </row>
    <row r="10649">
      <c r="A10649" s="14">
        <v>43032.33018518519</v>
      </c>
      <c r="B10649" s="20" t="str">
        <f>HYPERLINK("https://twitter.com/MahadevPharma","@MahadevPharma")</f>
        <v>@MahadevPharma</v>
      </c>
      <c r="C10649" s="21" t="s">
        <v>22570</v>
      </c>
      <c r="D10649" s="21" t="s">
        <v>42</v>
      </c>
      <c r="E10649" s="22" t="str">
        <f>HYPERLINK("https://twitter.com/MahadevPharma/status/922838961302642689","922838961302642689")</f>
        <v>922838961302642689</v>
      </c>
      <c r="F10649" s="23" t="s">
        <v>33</v>
      </c>
      <c r="G10649" s="24">
        <v>8.0</v>
      </c>
      <c r="H10649" s="24">
        <v>167.0</v>
      </c>
      <c r="I10649" s="24">
        <v>8501.0</v>
      </c>
      <c r="J10649" s="24">
        <v>0.0</v>
      </c>
      <c r="K10649" s="23" t="s">
        <v>34</v>
      </c>
      <c r="L10649" s="25">
        <v>43002.071111111116</v>
      </c>
      <c r="M10649" s="28"/>
      <c r="N10649" s="26" t="s">
        <v>22571</v>
      </c>
      <c r="O10649" s="22" t="str">
        <f>HYPERLINK("https://pbs.twimg.com/profile_images/918124722071658497/8rO5-Uze_normal.jpg","View")</f>
        <v>View</v>
      </c>
      <c r="P10649" s="27"/>
    </row>
    <row r="10650">
      <c r="A10650" s="14">
        <v>43032.330567129626</v>
      </c>
      <c r="B10650" s="20" t="str">
        <f>HYPERLINK("https://twitter.com/chef_pushpendra","@chef_pushpendra")</f>
        <v>@chef_pushpendra</v>
      </c>
      <c r="C10650" s="21" t="s">
        <v>22572</v>
      </c>
      <c r="D10650" s="21" t="s">
        <v>42</v>
      </c>
      <c r="E10650" s="22" t="str">
        <f>HYPERLINK("https://twitter.com/chef_pushpendra/status/922839098422829057","922839098422829057")</f>
        <v>922839098422829057</v>
      </c>
      <c r="F10650" s="23" t="s">
        <v>33</v>
      </c>
      <c r="G10650" s="24">
        <v>12.0</v>
      </c>
      <c r="H10650" s="24">
        <v>94.0</v>
      </c>
      <c r="I10650" s="24">
        <v>8501.0</v>
      </c>
      <c r="J10650" s="24">
        <v>0.0</v>
      </c>
      <c r="K10650" s="23" t="s">
        <v>34</v>
      </c>
      <c r="L10650" s="25">
        <v>43022.36644675926</v>
      </c>
      <c r="M10650" s="26" t="s">
        <v>6488</v>
      </c>
      <c r="N10650" s="26" t="s">
        <v>22573</v>
      </c>
      <c r="O10650" s="22" t="str">
        <f>HYPERLINK("https://pbs.twimg.com/profile_images/919231009270276096/6g8FSggw_normal.jpg","View")</f>
        <v>View</v>
      </c>
      <c r="P10650" s="27"/>
    </row>
    <row r="10651">
      <c r="A10651" s="14">
        <v>43032.33068287037</v>
      </c>
      <c r="B10651" s="20" t="str">
        <f>HYPERLINK("https://twitter.com/BharatjayJay","@BharatjayJay")</f>
        <v>@BharatjayJay</v>
      </c>
      <c r="C10651" s="21" t="s">
        <v>22574</v>
      </c>
      <c r="D10651" s="21" t="s">
        <v>42</v>
      </c>
      <c r="E10651" s="22" t="str">
        <f>HYPERLINK("https://twitter.com/BharatjayJay/status/922839140634304512","922839140634304512")</f>
        <v>922839140634304512</v>
      </c>
      <c r="F10651" s="23" t="s">
        <v>33</v>
      </c>
      <c r="G10651" s="24">
        <v>71.0</v>
      </c>
      <c r="H10651" s="24">
        <v>15.0</v>
      </c>
      <c r="I10651" s="24">
        <v>8501.0</v>
      </c>
      <c r="J10651" s="24">
        <v>0.0</v>
      </c>
      <c r="K10651" s="23" t="s">
        <v>34</v>
      </c>
      <c r="L10651" s="25">
        <v>41778.37059027778</v>
      </c>
      <c r="M10651" s="28"/>
      <c r="N10651" s="26" t="s">
        <v>22575</v>
      </c>
      <c r="O10651" s="22" t="str">
        <f>HYPERLINK("https://pbs.twimg.com/profile_images/818100986837274625/WZ7QLK0G_normal.jpg","View")</f>
        <v>View</v>
      </c>
      <c r="P10651" s="27"/>
    </row>
    <row r="10652">
      <c r="A10652" s="14">
        <v>43032.33075231481</v>
      </c>
      <c r="B10652" s="20" t="str">
        <f>HYPERLINK("https://twitter.com/pradeepmandal13","@pradeepmandal13")</f>
        <v>@pradeepmandal13</v>
      </c>
      <c r="C10652" s="21" t="s">
        <v>22576</v>
      </c>
      <c r="D10652" s="21" t="s">
        <v>21559</v>
      </c>
      <c r="E10652" s="22" t="str">
        <f>HYPERLINK("https://twitter.com/pradeepmandal13/status/922839167733850112","922839167733850112")</f>
        <v>922839167733850112</v>
      </c>
      <c r="F10652" s="23" t="s">
        <v>33</v>
      </c>
      <c r="G10652" s="24">
        <v>12.0</v>
      </c>
      <c r="H10652" s="24">
        <v>61.0</v>
      </c>
      <c r="I10652" s="24">
        <v>9.0</v>
      </c>
      <c r="J10652" s="24">
        <v>0.0</v>
      </c>
      <c r="K10652" s="23" t="s">
        <v>34</v>
      </c>
      <c r="L10652" s="25">
        <v>41384.162627314814</v>
      </c>
      <c r="M10652" s="26" t="s">
        <v>204</v>
      </c>
      <c r="N10652" s="28"/>
      <c r="O10652" s="22" t="str">
        <f>HYPERLINK("https://pbs.twimg.com/profile_images/774710724312596480/P5ZDHa8i_normal.jpg","View")</f>
        <v>View</v>
      </c>
      <c r="P10652" s="27"/>
    </row>
    <row r="10653">
      <c r="A10653" s="14">
        <v>43032.33295138889</v>
      </c>
      <c r="B10653" s="20" t="str">
        <f>HYPERLINK("https://twitter.com/anandlunia","@anandlunia")</f>
        <v>@anandlunia</v>
      </c>
      <c r="C10653" s="21" t="s">
        <v>22577</v>
      </c>
      <c r="D10653" s="21" t="s">
        <v>163</v>
      </c>
      <c r="E10653" s="22" t="str">
        <f>HYPERLINK("https://twitter.com/anandlunia/status/922839961514098688","922839961514098688")</f>
        <v>922839961514098688</v>
      </c>
      <c r="F10653" s="23" t="s">
        <v>33</v>
      </c>
      <c r="G10653" s="24">
        <v>16219.0</v>
      </c>
      <c r="H10653" s="24">
        <v>497.0</v>
      </c>
      <c r="I10653" s="24">
        <v>1005.0</v>
      </c>
      <c r="J10653" s="24">
        <v>0.0</v>
      </c>
      <c r="K10653" s="23" t="s">
        <v>34</v>
      </c>
      <c r="L10653" s="25">
        <v>40027.90619212963</v>
      </c>
      <c r="M10653" s="26" t="s">
        <v>22578</v>
      </c>
      <c r="N10653" s="26" t="s">
        <v>22579</v>
      </c>
      <c r="O10653" s="22" t="str">
        <f>HYPERLINK("https://pbs.twimg.com/profile_images/3271662514/076287e7788d629eefb913940c5b2307_normal.jpeg","View")</f>
        <v>View</v>
      </c>
      <c r="P10653" s="27"/>
    </row>
    <row r="10654">
      <c r="A10654" s="14">
        <v>43032.33354166667</v>
      </c>
      <c r="B10654" s="20" t="str">
        <f>HYPERLINK("https://twitter.com/CPA_Trendlines","@CPA_Trendlines")</f>
        <v>@CPA_Trendlines</v>
      </c>
      <c r="C10654" s="21" t="s">
        <v>21980</v>
      </c>
      <c r="D10654" s="21" t="s">
        <v>22580</v>
      </c>
      <c r="E10654" s="22" t="str">
        <f>HYPERLINK("https://twitter.com/CPA_Trendlines/status/922840177982054402","922840177982054402")</f>
        <v>922840177982054402</v>
      </c>
      <c r="F10654" s="30" t="s">
        <v>411</v>
      </c>
      <c r="G10654" s="24">
        <v>24569.0</v>
      </c>
      <c r="H10654" s="24">
        <v>1395.0</v>
      </c>
      <c r="I10654" s="24">
        <v>0.0</v>
      </c>
      <c r="J10654" s="24">
        <v>0.0</v>
      </c>
      <c r="K10654" s="23" t="s">
        <v>34</v>
      </c>
      <c r="L10654" s="25">
        <v>39828.368472222224</v>
      </c>
      <c r="M10654" s="28"/>
      <c r="N10654" s="26" t="s">
        <v>21982</v>
      </c>
      <c r="O10654" s="22" t="str">
        <f>HYPERLINK("https://pbs.twimg.com/profile_images/615546039089659905/aMxgFiTe_normal.jpg","View")</f>
        <v>View</v>
      </c>
      <c r="P10654" s="27"/>
    </row>
    <row r="10655">
      <c r="A10655" s="14">
        <v>43032.334131944444</v>
      </c>
      <c r="B10655" s="20" t="str">
        <f>HYPERLINK("https://twitter.com/AmirAmir2015","@AmirAmir2015")</f>
        <v>@AmirAmir2015</v>
      </c>
      <c r="C10655" s="21" t="s">
        <v>22581</v>
      </c>
      <c r="D10655" s="21" t="s">
        <v>21202</v>
      </c>
      <c r="E10655" s="22" t="str">
        <f>HYPERLINK("https://twitter.com/AmirAmir2015/status/922840389907660801","922840389907660801")</f>
        <v>922840389907660801</v>
      </c>
      <c r="F10655" s="23" t="s">
        <v>86</v>
      </c>
      <c r="G10655" s="24">
        <v>141.0</v>
      </c>
      <c r="H10655" s="24">
        <v>127.0</v>
      </c>
      <c r="I10655" s="24">
        <v>79.0</v>
      </c>
      <c r="J10655" s="24">
        <v>0.0</v>
      </c>
      <c r="K10655" s="23" t="s">
        <v>34</v>
      </c>
      <c r="L10655" s="25">
        <v>41782.372824074075</v>
      </c>
      <c r="M10655" s="26" t="s">
        <v>22582</v>
      </c>
      <c r="N10655" s="26" t="s">
        <v>22583</v>
      </c>
      <c r="O10655" s="22" t="str">
        <f>HYPERLINK("https://pbs.twimg.com/profile_images/469870437954899968/d2uANUc3_normal.jpeg","View")</f>
        <v>View</v>
      </c>
      <c r="P10655" s="27"/>
    </row>
    <row r="10656">
      <c r="A10656" s="14">
        <v>43032.33436342592</v>
      </c>
      <c r="B10656" s="20" t="str">
        <f>HYPERLINK("https://twitter.com/golamrezalageyd","@golamrezalageyd")</f>
        <v>@golamrezalageyd</v>
      </c>
      <c r="C10656" s="21" t="s">
        <v>22584</v>
      </c>
      <c r="D10656" s="21" t="s">
        <v>22585</v>
      </c>
      <c r="E10656" s="22" t="str">
        <f>HYPERLINK("https://twitter.com/golamrezalageyd/status/922840473529491461","922840473529491461")</f>
        <v>922840473529491461</v>
      </c>
      <c r="F10656" s="23" t="s">
        <v>55</v>
      </c>
      <c r="G10656" s="24">
        <v>311.0</v>
      </c>
      <c r="H10656" s="24">
        <v>26.0</v>
      </c>
      <c r="I10656" s="24">
        <v>0.0</v>
      </c>
      <c r="J10656" s="24">
        <v>0.0</v>
      </c>
      <c r="K10656" s="23" t="s">
        <v>34</v>
      </c>
      <c r="L10656" s="25">
        <v>42882.0180324074</v>
      </c>
      <c r="M10656" s="28"/>
      <c r="N10656" s="28"/>
      <c r="O10656" s="22" t="str">
        <f>HYPERLINK("https://pbs.twimg.com/profile_images/883253976094826496/rycBrzVc_normal.jpg","View")</f>
        <v>View</v>
      </c>
      <c r="P10656" s="27"/>
    </row>
    <row r="10657">
      <c r="A10657" s="14">
        <v>43032.33478009259</v>
      </c>
      <c r="B10657" s="20" t="str">
        <f>HYPERLINK("https://twitter.com/AmirAmir2015","@AmirAmir2015")</f>
        <v>@AmirAmir2015</v>
      </c>
      <c r="C10657" s="21" t="s">
        <v>22581</v>
      </c>
      <c r="D10657" s="21" t="s">
        <v>21203</v>
      </c>
      <c r="E10657" s="22" t="str">
        <f>HYPERLINK("https://twitter.com/AmirAmir2015/status/922840625845739520","922840625845739520")</f>
        <v>922840625845739520</v>
      </c>
      <c r="F10657" s="23" t="s">
        <v>86</v>
      </c>
      <c r="G10657" s="24">
        <v>141.0</v>
      </c>
      <c r="H10657" s="24">
        <v>127.0</v>
      </c>
      <c r="I10657" s="24">
        <v>75.0</v>
      </c>
      <c r="J10657" s="24">
        <v>0.0</v>
      </c>
      <c r="K10657" s="23" t="s">
        <v>34</v>
      </c>
      <c r="L10657" s="25">
        <v>41782.372824074075</v>
      </c>
      <c r="M10657" s="26" t="s">
        <v>22582</v>
      </c>
      <c r="N10657" s="26" t="s">
        <v>22583</v>
      </c>
      <c r="O10657" s="22" t="str">
        <f>HYPERLINK("https://pbs.twimg.com/profile_images/469870437954899968/d2uANUc3_normal.jpeg","View")</f>
        <v>View</v>
      </c>
      <c r="P10657" s="27"/>
    </row>
    <row r="10658">
      <c r="A10658" s="14">
        <v>43032.334965277776</v>
      </c>
      <c r="B10658" s="20" t="str">
        <f>HYPERLINK("https://twitter.com/StruggleNewsBot","@StruggleNewsBot")</f>
        <v>@StruggleNewsBot</v>
      </c>
      <c r="C10658" s="21" t="s">
        <v>22586</v>
      </c>
      <c r="D10658" s="21" t="s">
        <v>22587</v>
      </c>
      <c r="E10658" s="22" t="str">
        <f>HYPERLINK("https://twitter.com/StruggleNewsBot/status/922840695022473216","922840695022473216")</f>
        <v>922840695022473216</v>
      </c>
      <c r="F10658" s="30" t="s">
        <v>3839</v>
      </c>
      <c r="G10658" s="24">
        <v>1127.0</v>
      </c>
      <c r="H10658" s="24">
        <v>614.0</v>
      </c>
      <c r="I10658" s="24">
        <v>0.0</v>
      </c>
      <c r="J10658" s="24">
        <v>0.0</v>
      </c>
      <c r="K10658" s="23" t="s">
        <v>34</v>
      </c>
      <c r="L10658" s="25">
        <v>41162.232199074075</v>
      </c>
      <c r="M10658" s="26" t="s">
        <v>6022</v>
      </c>
      <c r="N10658" s="26" t="s">
        <v>22588</v>
      </c>
      <c r="O10658" s="22" t="str">
        <f>HYPERLINK("https://pbs.twimg.com/profile_images/625388380445110272/_JnWJwq1_normal.jpg","View")</f>
        <v>View</v>
      </c>
      <c r="P10658" s="27"/>
    </row>
    <row r="10659">
      <c r="A10659" s="14">
        <v>43032.335</v>
      </c>
      <c r="B10659" s="20" t="str">
        <f>HYPERLINK("https://twitter.com/benborges_","@benborges_")</f>
        <v>@benborges_</v>
      </c>
      <c r="C10659" s="21" t="s">
        <v>22589</v>
      </c>
      <c r="D10659" s="21" t="s">
        <v>22590</v>
      </c>
      <c r="E10659" s="22" t="str">
        <f>HYPERLINK("https://twitter.com/benborges_/status/922840704946143232","922840704946143232")</f>
        <v>922840704946143232</v>
      </c>
      <c r="F10659" s="30" t="s">
        <v>3839</v>
      </c>
      <c r="G10659" s="24">
        <v>3434.0</v>
      </c>
      <c r="H10659" s="24">
        <v>3847.0</v>
      </c>
      <c r="I10659" s="24">
        <v>0.0</v>
      </c>
      <c r="J10659" s="24">
        <v>0.0</v>
      </c>
      <c r="K10659" s="23" t="s">
        <v>34</v>
      </c>
      <c r="L10659" s="25">
        <v>38981.477627314816</v>
      </c>
      <c r="M10659" s="26" t="s">
        <v>22591</v>
      </c>
      <c r="N10659" s="26" t="s">
        <v>22592</v>
      </c>
      <c r="O10659" s="22" t="str">
        <f>HYPERLINK("https://pbs.twimg.com/profile_images/790929077737820160/Th_OgLbt_normal.jpg","View")</f>
        <v>View</v>
      </c>
      <c r="P10659" s="27"/>
    </row>
    <row r="10660">
      <c r="A10660" s="14">
        <v>43032.335497685184</v>
      </c>
      <c r="B10660" s="20" t="str">
        <f>HYPERLINK("https://twitter.com/nytimesworld","@nytimesworld")</f>
        <v>@nytimesworld</v>
      </c>
      <c r="C10660" s="21" t="s">
        <v>9003</v>
      </c>
      <c r="D10660" s="21" t="s">
        <v>22593</v>
      </c>
      <c r="E10660" s="22" t="str">
        <f>HYPERLINK("https://twitter.com/nytimesworld/status/922840887838814209","922840887838814209")</f>
        <v>922840887838814209</v>
      </c>
      <c r="F10660" s="23" t="s">
        <v>1103</v>
      </c>
      <c r="G10660" s="24">
        <v>1872036.0</v>
      </c>
      <c r="H10660" s="24">
        <v>465.0</v>
      </c>
      <c r="I10660" s="24">
        <v>5.0</v>
      </c>
      <c r="J10660" s="24">
        <v>8.0</v>
      </c>
      <c r="K10660" s="23" t="s">
        <v>34</v>
      </c>
      <c r="L10660" s="25">
        <v>39163.29153935185</v>
      </c>
      <c r="M10660" s="26" t="s">
        <v>2534</v>
      </c>
      <c r="N10660" s="26" t="s">
        <v>9005</v>
      </c>
      <c r="O10660" s="22" t="str">
        <f>HYPERLINK("https://pbs.twimg.com/profile_images/2045337639/NYT_Twitter_world_normal.png","View")</f>
        <v>View</v>
      </c>
      <c r="P10660" s="27"/>
    </row>
    <row r="10661">
      <c r="A10661" s="14">
        <v>43032.3356712963</v>
      </c>
      <c r="B10661" s="20" t="str">
        <f>HYPERLINK("https://twitter.com/asia_active","@asia_active")</f>
        <v>@asia_active</v>
      </c>
      <c r="C10661" s="21" t="s">
        <v>19346</v>
      </c>
      <c r="D10661" s="21" t="s">
        <v>21203</v>
      </c>
      <c r="E10661" s="22" t="str">
        <f>HYPERLINK("https://twitter.com/asia_active/status/922840949717381122","922840949717381122")</f>
        <v>922840949717381122</v>
      </c>
      <c r="F10661" s="23" t="s">
        <v>19347</v>
      </c>
      <c r="G10661" s="24">
        <v>176.0</v>
      </c>
      <c r="H10661" s="24">
        <v>87.0</v>
      </c>
      <c r="I10661" s="24">
        <v>75.0</v>
      </c>
      <c r="J10661" s="24">
        <v>0.0</v>
      </c>
      <c r="K10661" s="23" t="s">
        <v>34</v>
      </c>
      <c r="L10661" s="25">
        <v>42987.96071759259</v>
      </c>
      <c r="M10661" s="26" t="s">
        <v>2068</v>
      </c>
      <c r="N10661" s="26" t="s">
        <v>19348</v>
      </c>
      <c r="O10661" s="22" t="str">
        <f>HYPERLINK("https://pbs.twimg.com/profile_images/906761632788779009/b5vfZXE0_normal.jpg","View")</f>
        <v>View</v>
      </c>
      <c r="P10661" s="27"/>
    </row>
    <row r="10662">
      <c r="A10662" s="14">
        <v>43032.335856481484</v>
      </c>
      <c r="B10662" s="20" t="str">
        <f>HYPERLINK("https://twitter.com/BDaddyUS","@BDaddyUS")</f>
        <v>@BDaddyUS</v>
      </c>
      <c r="C10662" s="21" t="s">
        <v>22594</v>
      </c>
      <c r="D10662" s="21" t="s">
        <v>22595</v>
      </c>
      <c r="E10662" s="22" t="str">
        <f>HYPERLINK("https://twitter.com/BDaddyUS/status/922841017908432897","922841017908432897")</f>
        <v>922841017908432897</v>
      </c>
      <c r="F10662" s="23" t="s">
        <v>187</v>
      </c>
      <c r="G10662" s="24">
        <v>497.0</v>
      </c>
      <c r="H10662" s="24">
        <v>186.0</v>
      </c>
      <c r="I10662" s="24">
        <v>0.0</v>
      </c>
      <c r="J10662" s="24">
        <v>0.0</v>
      </c>
      <c r="K10662" s="23" t="s">
        <v>34</v>
      </c>
      <c r="L10662" s="25">
        <v>41917.19957175926</v>
      </c>
      <c r="M10662" s="26" t="s">
        <v>22596</v>
      </c>
      <c r="N10662" s="26" t="s">
        <v>22597</v>
      </c>
      <c r="O10662" s="22" t="str">
        <f>HYPERLINK("https://pbs.twimg.com/profile_images/561861908186152962/kmE97OtG_normal.png","View")</f>
        <v>View</v>
      </c>
      <c r="P10662" s="27"/>
    </row>
    <row r="10663">
      <c r="A10663" s="14">
        <v>43032.3359375</v>
      </c>
      <c r="B10663" s="20" t="str">
        <f>HYPERLINK("https://twitter.com/KaushikiChatte1","@KaushikiChatte1")</f>
        <v>@KaushikiChatte1</v>
      </c>
      <c r="C10663" s="21" t="s">
        <v>11412</v>
      </c>
      <c r="D10663" s="21" t="s">
        <v>22598</v>
      </c>
      <c r="E10663" s="22" t="str">
        <f>HYPERLINK("https://twitter.com/KaushikiChatte1/status/922841047201222657","922841047201222657")</f>
        <v>922841047201222657</v>
      </c>
      <c r="F10663" s="23" t="s">
        <v>33</v>
      </c>
      <c r="G10663" s="24">
        <v>465.0</v>
      </c>
      <c r="H10663" s="24">
        <v>1266.0</v>
      </c>
      <c r="I10663" s="24">
        <v>5.0</v>
      </c>
      <c r="J10663" s="24">
        <v>0.0</v>
      </c>
      <c r="K10663" s="23" t="s">
        <v>34</v>
      </c>
      <c r="L10663" s="25">
        <v>42607.06247685185</v>
      </c>
      <c r="M10663" s="26" t="s">
        <v>3295</v>
      </c>
      <c r="N10663" s="26" t="s">
        <v>11413</v>
      </c>
      <c r="O10663" s="22" t="str">
        <f>HYPERLINK("https://pbs.twimg.com/profile_images/920262117948768256/WYuTLmN5_normal.jpg","View")</f>
        <v>View</v>
      </c>
      <c r="P10663" s="27"/>
    </row>
    <row r="10664">
      <c r="A10664" s="14">
        <v>43032.33652777778</v>
      </c>
      <c r="B10664" s="20" t="str">
        <f>HYPERLINK("https://twitter.com/Sage07086808","@Sage07086808")</f>
        <v>@Sage07086808</v>
      </c>
      <c r="C10664" s="21" t="s">
        <v>22599</v>
      </c>
      <c r="D10664" s="21" t="s">
        <v>16537</v>
      </c>
      <c r="E10664" s="22" t="str">
        <f>HYPERLINK("https://twitter.com/Sage07086808/status/922841261161160704","922841261161160704")</f>
        <v>922841261161160704</v>
      </c>
      <c r="F10664" s="23" t="s">
        <v>39</v>
      </c>
      <c r="G10664" s="24">
        <v>112.0</v>
      </c>
      <c r="H10664" s="24">
        <v>81.0</v>
      </c>
      <c r="I10664" s="24">
        <v>242.0</v>
      </c>
      <c r="J10664" s="24">
        <v>0.0</v>
      </c>
      <c r="K10664" s="23" t="s">
        <v>34</v>
      </c>
      <c r="L10664" s="25">
        <v>42875.493842592594</v>
      </c>
      <c r="M10664" s="26" t="s">
        <v>68</v>
      </c>
      <c r="N10664" s="26" t="s">
        <v>22600</v>
      </c>
      <c r="O10664" s="22" t="str">
        <f>HYPERLINK("https://pbs.twimg.com/profile_images/866006967055036421/Uu9cCSs5_normal.jpg","View")</f>
        <v>View</v>
      </c>
      <c r="P10664" s="27"/>
    </row>
    <row r="10665">
      <c r="A10665" s="14">
        <v>43032.337002314816</v>
      </c>
      <c r="B10665" s="20" t="str">
        <f>HYPERLINK("https://twitter.com/Realty4","@Realty4")</f>
        <v>@Realty4</v>
      </c>
      <c r="C10665" s="21" t="s">
        <v>22601</v>
      </c>
      <c r="D10665" s="21" t="s">
        <v>22602</v>
      </c>
      <c r="E10665" s="22" t="str">
        <f>HYPERLINK("https://twitter.com/Realty4/status/922841430795653120","922841430795653120")</f>
        <v>922841430795653120</v>
      </c>
      <c r="F10665" s="23" t="s">
        <v>427</v>
      </c>
      <c r="G10665" s="24">
        <v>1505.0</v>
      </c>
      <c r="H10665" s="24">
        <v>1937.0</v>
      </c>
      <c r="I10665" s="24">
        <v>0.0</v>
      </c>
      <c r="J10665" s="24">
        <v>0.0</v>
      </c>
      <c r="K10665" s="23" t="s">
        <v>34</v>
      </c>
      <c r="L10665" s="25">
        <v>40001.99524305556</v>
      </c>
      <c r="M10665" s="26" t="s">
        <v>22603</v>
      </c>
      <c r="N10665" s="26" t="s">
        <v>22604</v>
      </c>
      <c r="O10665" s="22" t="str">
        <f>HYPERLINK("https://pbs.twimg.com/profile_images/920720146284421121/O0vMbuuJ_normal.jpg","View")</f>
        <v>View</v>
      </c>
      <c r="P10665" s="27"/>
    </row>
    <row r="10666">
      <c r="A10666" s="14">
        <v>43032.33739583333</v>
      </c>
      <c r="B10666" s="20" t="str">
        <f>HYPERLINK("https://twitter.com/Pratapmakwana87","@Pratapmakwana87")</f>
        <v>@Pratapmakwana87</v>
      </c>
      <c r="C10666" s="21" t="s">
        <v>22605</v>
      </c>
      <c r="D10666" s="21" t="s">
        <v>42</v>
      </c>
      <c r="E10666" s="22" t="str">
        <f>HYPERLINK("https://twitter.com/Pratapmakwana87/status/922841573720711170","922841573720711170")</f>
        <v>922841573720711170</v>
      </c>
      <c r="F10666" s="23" t="s">
        <v>33</v>
      </c>
      <c r="G10666" s="24">
        <v>53.0</v>
      </c>
      <c r="H10666" s="24">
        <v>97.0</v>
      </c>
      <c r="I10666" s="24">
        <v>8501.0</v>
      </c>
      <c r="J10666" s="24">
        <v>0.0</v>
      </c>
      <c r="K10666" s="23" t="s">
        <v>34</v>
      </c>
      <c r="L10666" s="25">
        <v>42894.16201388889</v>
      </c>
      <c r="M10666" s="26" t="s">
        <v>22606</v>
      </c>
      <c r="N10666" s="26" t="s">
        <v>22607</v>
      </c>
      <c r="O10666" s="22" t="str">
        <f>HYPERLINK("https://pbs.twimg.com/profile_images/882990309533073408/pkWV9nln_normal.jpg","View")</f>
        <v>View</v>
      </c>
      <c r="P10666" s="27"/>
    </row>
    <row r="10667">
      <c r="A10667" s="14">
        <v>43032.337592592594</v>
      </c>
      <c r="B10667" s="20" t="str">
        <f>HYPERLINK("https://twitter.com/shokri_khademi","@shokri_khademi")</f>
        <v>@shokri_khademi</v>
      </c>
      <c r="C10667" s="21" t="s">
        <v>22608</v>
      </c>
      <c r="D10667" s="21" t="s">
        <v>21202</v>
      </c>
      <c r="E10667" s="22" t="str">
        <f>HYPERLINK("https://twitter.com/shokri_khademi/status/922841644705206277","922841644705206277")</f>
        <v>922841644705206277</v>
      </c>
      <c r="F10667" s="23" t="s">
        <v>86</v>
      </c>
      <c r="G10667" s="24">
        <v>972.0</v>
      </c>
      <c r="H10667" s="24">
        <v>218.0</v>
      </c>
      <c r="I10667" s="24">
        <v>79.0</v>
      </c>
      <c r="J10667" s="24">
        <v>0.0</v>
      </c>
      <c r="K10667" s="23" t="s">
        <v>34</v>
      </c>
      <c r="L10667" s="25">
        <v>41695.47447916667</v>
      </c>
      <c r="M10667" s="28"/>
      <c r="N10667" s="28"/>
      <c r="O10667" s="22" t="str">
        <f>HYPERLINK("https://pbs.twimg.com/profile_images/438395647968813056/qpCbPXK0_normal.jpeg","View")</f>
        <v>View</v>
      </c>
      <c r="P10667" s="27"/>
    </row>
    <row r="10668">
      <c r="A10668" s="14">
        <v>43032.33802083333</v>
      </c>
      <c r="B10668" s="20" t="str">
        <f>HYPERLINK("https://twitter.com/WatchFrogsBoil","@WatchFrogsBoil")</f>
        <v>@WatchFrogsBoil</v>
      </c>
      <c r="C10668" s="21" t="s">
        <v>22609</v>
      </c>
      <c r="D10668" s="21" t="s">
        <v>22610</v>
      </c>
      <c r="E10668" s="22" t="str">
        <f>HYPERLINK("https://twitter.com/WatchFrogsBoil/status/922841801207287808","922841801207287808")</f>
        <v>922841801207287808</v>
      </c>
      <c r="F10668" s="23" t="s">
        <v>187</v>
      </c>
      <c r="G10668" s="24">
        <v>233.0</v>
      </c>
      <c r="H10668" s="24">
        <v>1.0</v>
      </c>
      <c r="I10668" s="24">
        <v>0.0</v>
      </c>
      <c r="J10668" s="24">
        <v>0.0</v>
      </c>
      <c r="K10668" s="23" t="s">
        <v>34</v>
      </c>
      <c r="L10668" s="25">
        <v>40564.503229166665</v>
      </c>
      <c r="M10668" s="26" t="s">
        <v>22611</v>
      </c>
      <c r="N10668" s="26" t="s">
        <v>22612</v>
      </c>
      <c r="O10668" s="22" t="str">
        <f>HYPERLINK("https://pbs.twimg.com/profile_images/462512490761297920/i7V3sGFl_normal.png","View")</f>
        <v>View</v>
      </c>
      <c r="P10668" s="27"/>
    </row>
    <row r="10669">
      <c r="A10669" s="14">
        <v>43032.33813657408</v>
      </c>
      <c r="B10669" s="20" t="str">
        <f>HYPERLINK("https://twitter.com/guts_ya","@guts_ya")</f>
        <v>@guts_ya</v>
      </c>
      <c r="C10669" s="21" t="s">
        <v>22613</v>
      </c>
      <c r="D10669" s="21" t="s">
        <v>126</v>
      </c>
      <c r="E10669" s="22" t="str">
        <f>HYPERLINK("https://twitter.com/guts_ya/status/922841844546859008","922841844546859008")</f>
        <v>922841844546859008</v>
      </c>
      <c r="F10669" s="23" t="s">
        <v>55</v>
      </c>
      <c r="G10669" s="24">
        <v>273.0</v>
      </c>
      <c r="H10669" s="24">
        <v>559.0</v>
      </c>
      <c r="I10669" s="24">
        <v>62.0</v>
      </c>
      <c r="J10669" s="24">
        <v>0.0</v>
      </c>
      <c r="K10669" s="23" t="s">
        <v>34</v>
      </c>
      <c r="L10669" s="25">
        <v>40302.189097222225</v>
      </c>
      <c r="M10669" s="28"/>
      <c r="N10669" s="28"/>
      <c r="O10669" s="22" t="str">
        <f>HYPERLINK("https://pbs.twimg.com/profile_images/1153561783/P1050056_normal.JPG","View")</f>
        <v>View</v>
      </c>
      <c r="P10669" s="27"/>
    </row>
    <row r="10670">
      <c r="A10670" s="14">
        <v>43032.33824074074</v>
      </c>
      <c r="B10670" s="20" t="str">
        <f>HYPERLINK("https://twitter.com/shokri_khademi","@shokri_khademi")</f>
        <v>@shokri_khademi</v>
      </c>
      <c r="C10670" s="21" t="s">
        <v>22608</v>
      </c>
      <c r="D10670" s="21" t="s">
        <v>21203</v>
      </c>
      <c r="E10670" s="22" t="str">
        <f>HYPERLINK("https://twitter.com/shokri_khademi/status/922841881737867264","922841881737867264")</f>
        <v>922841881737867264</v>
      </c>
      <c r="F10670" s="23" t="s">
        <v>86</v>
      </c>
      <c r="G10670" s="24">
        <v>972.0</v>
      </c>
      <c r="H10670" s="24">
        <v>218.0</v>
      </c>
      <c r="I10670" s="24">
        <v>75.0</v>
      </c>
      <c r="J10670" s="24">
        <v>0.0</v>
      </c>
      <c r="K10670" s="23" t="s">
        <v>34</v>
      </c>
      <c r="L10670" s="25">
        <v>41695.47447916667</v>
      </c>
      <c r="M10670" s="28"/>
      <c r="N10670" s="28"/>
      <c r="O10670" s="22" t="str">
        <f>HYPERLINK("https://pbs.twimg.com/profile_images/438395647968813056/qpCbPXK0_normal.jpeg","View")</f>
        <v>View</v>
      </c>
      <c r="P10670" s="27"/>
    </row>
    <row r="10671">
      <c r="A10671" s="14">
        <v>43032.338368055556</v>
      </c>
      <c r="B10671" s="20" t="str">
        <f>HYPERLINK("https://twitter.com/arrobin0077","@arrobin0077")</f>
        <v>@arrobin0077</v>
      </c>
      <c r="C10671" s="21" t="s">
        <v>22614</v>
      </c>
      <c r="D10671" s="21" t="s">
        <v>22615</v>
      </c>
      <c r="E10671" s="22" t="str">
        <f>HYPERLINK("https://twitter.com/arrobin0077/status/922841928122667008","922841928122667008")</f>
        <v>922841928122667008</v>
      </c>
      <c r="F10671" s="23" t="s">
        <v>187</v>
      </c>
      <c r="G10671" s="24">
        <v>7503.0</v>
      </c>
      <c r="H10671" s="24">
        <v>7449.0</v>
      </c>
      <c r="I10671" s="24">
        <v>0.0</v>
      </c>
      <c r="J10671" s="24">
        <v>0.0</v>
      </c>
      <c r="K10671" s="23" t="s">
        <v>34</v>
      </c>
      <c r="L10671" s="25">
        <v>42218.47806712963</v>
      </c>
      <c r="M10671" s="26" t="s">
        <v>68</v>
      </c>
      <c r="N10671" s="26" t="s">
        <v>22616</v>
      </c>
      <c r="O10671" s="22" t="str">
        <f>HYPERLINK("https://pbs.twimg.com/profile_images/627909948698050560/Lz1QBK8N_normal.jpg","View")</f>
        <v>View</v>
      </c>
      <c r="P10671" s="27"/>
    </row>
    <row r="10672">
      <c r="A10672" s="14">
        <v>43032.33854166667</v>
      </c>
      <c r="B10672" s="20" t="str">
        <f>HYPERLINK("https://twitter.com/TerlinguaRE2","@TerlinguaRE2")</f>
        <v>@TerlinguaRE2</v>
      </c>
      <c r="C10672" s="21" t="s">
        <v>22617</v>
      </c>
      <c r="D10672" s="21" t="s">
        <v>22618</v>
      </c>
      <c r="E10672" s="22" t="str">
        <f>HYPERLINK("https://twitter.com/TerlinguaRE2/status/922841987488927751","922841987488927751")</f>
        <v>922841987488927751</v>
      </c>
      <c r="F10672" s="23" t="s">
        <v>187</v>
      </c>
      <c r="G10672" s="24">
        <v>1954.0</v>
      </c>
      <c r="H10672" s="24">
        <v>172.0</v>
      </c>
      <c r="I10672" s="24">
        <v>0.0</v>
      </c>
      <c r="J10672" s="24">
        <v>0.0</v>
      </c>
      <c r="K10672" s="23" t="s">
        <v>34</v>
      </c>
      <c r="L10672" s="25">
        <v>40907.339050925926</v>
      </c>
      <c r="M10672" s="26" t="s">
        <v>22619</v>
      </c>
      <c r="N10672" s="26" t="s">
        <v>22620</v>
      </c>
      <c r="O10672" s="22" t="str">
        <f>HYPERLINK("https://pbs.twimg.com/profile_images/655343982923255808/OKF-fUtF_normal.png","View")</f>
        <v>View</v>
      </c>
      <c r="P10672" s="27"/>
    </row>
    <row r="10673">
      <c r="A10673" s="14">
        <v>43032.338900462964</v>
      </c>
      <c r="B10673" s="20" t="str">
        <f>HYPERLINK("https://twitter.com/shokri_khademi","@shokri_khademi")</f>
        <v>@shokri_khademi</v>
      </c>
      <c r="C10673" s="21" t="s">
        <v>22608</v>
      </c>
      <c r="D10673" s="21" t="s">
        <v>21243</v>
      </c>
      <c r="E10673" s="22" t="str">
        <f>HYPERLINK("https://twitter.com/shokri_khademi/status/922842118019862530","922842118019862530")</f>
        <v>922842118019862530</v>
      </c>
      <c r="F10673" s="23" t="s">
        <v>86</v>
      </c>
      <c r="G10673" s="24">
        <v>972.0</v>
      </c>
      <c r="H10673" s="24">
        <v>218.0</v>
      </c>
      <c r="I10673" s="24">
        <v>41.0</v>
      </c>
      <c r="J10673" s="24">
        <v>0.0</v>
      </c>
      <c r="K10673" s="23" t="s">
        <v>34</v>
      </c>
      <c r="L10673" s="25">
        <v>41695.47447916667</v>
      </c>
      <c r="M10673" s="28"/>
      <c r="N10673" s="28"/>
      <c r="O10673" s="22" t="str">
        <f>HYPERLINK("https://pbs.twimg.com/profile_images/438395647968813056/qpCbPXK0_normal.jpeg","View")</f>
        <v>View</v>
      </c>
      <c r="P10673" s="27"/>
    </row>
    <row r="10674">
      <c r="A10674" s="14">
        <v>43032.338958333334</v>
      </c>
      <c r="B10674" s="20" t="str">
        <f>HYPERLINK("https://twitter.com/defense_news","@defense_news")</f>
        <v>@defense_news</v>
      </c>
      <c r="C10674" s="21" t="s">
        <v>22621</v>
      </c>
      <c r="D10674" s="21" t="s">
        <v>22622</v>
      </c>
      <c r="E10674" s="22" t="str">
        <f>HYPERLINK("https://twitter.com/defense_news/status/922842139108761600","922842139108761600")</f>
        <v>922842139108761600</v>
      </c>
      <c r="F10674" s="23" t="s">
        <v>1103</v>
      </c>
      <c r="G10674" s="24">
        <v>111717.0</v>
      </c>
      <c r="H10674" s="24">
        <v>381.0</v>
      </c>
      <c r="I10674" s="24">
        <v>14.0</v>
      </c>
      <c r="J10674" s="24">
        <v>12.0</v>
      </c>
      <c r="K10674" s="23" t="s">
        <v>34</v>
      </c>
      <c r="L10674" s="25">
        <v>39863.35178240741</v>
      </c>
      <c r="M10674" s="26" t="s">
        <v>4239</v>
      </c>
      <c r="N10674" s="26" t="s">
        <v>22623</v>
      </c>
      <c r="O10674" s="22" t="str">
        <f>HYPERLINK("https://pbs.twimg.com/profile_images/880861330839928836/hDMmGic0_normal.jpg","View")</f>
        <v>View</v>
      </c>
      <c r="P10674" s="27"/>
    </row>
    <row r="10675">
      <c r="A10675" s="14">
        <v>43032.33914351852</v>
      </c>
      <c r="B10675" s="20" t="str">
        <f>HYPERLINK("https://twitter.com/dignity4student","@dignity4student")</f>
        <v>@dignity4student</v>
      </c>
      <c r="C10675" s="21" t="s">
        <v>22624</v>
      </c>
      <c r="D10675" s="21" t="s">
        <v>21202</v>
      </c>
      <c r="E10675" s="22" t="str">
        <f>HYPERLINK("https://twitter.com/dignity4student/status/922842205487734784","922842205487734784")</f>
        <v>922842205487734784</v>
      </c>
      <c r="F10675" s="23" t="s">
        <v>86</v>
      </c>
      <c r="G10675" s="24">
        <v>230.0</v>
      </c>
      <c r="H10675" s="24">
        <v>361.0</v>
      </c>
      <c r="I10675" s="24">
        <v>79.0</v>
      </c>
      <c r="J10675" s="24">
        <v>0.0</v>
      </c>
      <c r="K10675" s="23" t="s">
        <v>34</v>
      </c>
      <c r="L10675" s="25">
        <v>41572.20644675926</v>
      </c>
      <c r="M10675" s="26" t="s">
        <v>40</v>
      </c>
      <c r="N10675" s="26" t="s">
        <v>21141</v>
      </c>
      <c r="O10675" s="22" t="str">
        <f>HYPERLINK("https://pbs.twimg.com/profile_images/378800000645341958/b7c3713fbfb5b8cc008254f7541dd088_normal.jpeg","View")</f>
        <v>View</v>
      </c>
      <c r="P10675" s="27"/>
    </row>
    <row r="10676">
      <c r="A10676" s="14">
        <v>43032.339270833334</v>
      </c>
      <c r="B10676" s="20" t="str">
        <f>HYPERLINK("https://twitter.com/Kailash15381941","@Kailash15381941")</f>
        <v>@Kailash15381941</v>
      </c>
      <c r="C10676" s="21" t="s">
        <v>22625</v>
      </c>
      <c r="D10676" s="21" t="s">
        <v>42</v>
      </c>
      <c r="E10676" s="22" t="str">
        <f>HYPERLINK("https://twitter.com/Kailash15381941/status/922842254955331584","922842254955331584")</f>
        <v>922842254955331584</v>
      </c>
      <c r="F10676" s="23" t="s">
        <v>33</v>
      </c>
      <c r="G10676" s="24">
        <v>1417.0</v>
      </c>
      <c r="H10676" s="24">
        <v>4599.0</v>
      </c>
      <c r="I10676" s="24">
        <v>8501.0</v>
      </c>
      <c r="J10676" s="24">
        <v>0.0</v>
      </c>
      <c r="K10676" s="23" t="s">
        <v>34</v>
      </c>
      <c r="L10676" s="25">
        <v>42834.928194444445</v>
      </c>
      <c r="M10676" s="26" t="s">
        <v>22626</v>
      </c>
      <c r="N10676" s="26" t="s">
        <v>22627</v>
      </c>
      <c r="O10676" s="22" t="str">
        <f>HYPERLINK("https://pbs.twimg.com/profile_images/898568024365514752/6fNACq3Y_normal.jpg","View")</f>
        <v>View</v>
      </c>
      <c r="P10676" s="27"/>
    </row>
    <row r="10677">
      <c r="A10677" s="14">
        <v>43032.33954861111</v>
      </c>
      <c r="B10677" s="20" t="str">
        <f>HYPERLINK("https://twitter.com/shokri_khademi","@shokri_khademi")</f>
        <v>@shokri_khademi</v>
      </c>
      <c r="C10677" s="21" t="s">
        <v>22608</v>
      </c>
      <c r="D10677" s="21" t="s">
        <v>21191</v>
      </c>
      <c r="E10677" s="22" t="str">
        <f>HYPERLINK("https://twitter.com/shokri_khademi/status/922842355585122308","922842355585122308")</f>
        <v>922842355585122308</v>
      </c>
      <c r="F10677" s="23" t="s">
        <v>86</v>
      </c>
      <c r="G10677" s="24">
        <v>972.0</v>
      </c>
      <c r="H10677" s="24">
        <v>218.0</v>
      </c>
      <c r="I10677" s="24">
        <v>42.0</v>
      </c>
      <c r="J10677" s="24">
        <v>0.0</v>
      </c>
      <c r="K10677" s="23" t="s">
        <v>34</v>
      </c>
      <c r="L10677" s="25">
        <v>41695.47447916667</v>
      </c>
      <c r="M10677" s="28"/>
      <c r="N10677" s="28"/>
      <c r="O10677" s="22" t="str">
        <f>HYPERLINK("https://pbs.twimg.com/profile_images/438395647968813056/qpCbPXK0_normal.jpeg","View")</f>
        <v>View</v>
      </c>
      <c r="P10677" s="27"/>
    </row>
    <row r="10678">
      <c r="A10678" s="14">
        <v>43032.339641203704</v>
      </c>
      <c r="B10678" s="20" t="str">
        <f>HYPERLINK("https://twitter.com/swas0","@swas0")</f>
        <v>@swas0</v>
      </c>
      <c r="C10678" s="21" t="s">
        <v>13851</v>
      </c>
      <c r="D10678" s="21" t="s">
        <v>10614</v>
      </c>
      <c r="E10678" s="22" t="str">
        <f>HYPERLINK("https://twitter.com/swas0/status/922842387507847168","922842387507847168")</f>
        <v>922842387507847168</v>
      </c>
      <c r="F10678" s="23" t="s">
        <v>55</v>
      </c>
      <c r="G10678" s="24">
        <v>70.0</v>
      </c>
      <c r="H10678" s="24">
        <v>246.0</v>
      </c>
      <c r="I10678" s="24">
        <v>159.0</v>
      </c>
      <c r="J10678" s="24">
        <v>0.0</v>
      </c>
      <c r="K10678" s="23" t="s">
        <v>34</v>
      </c>
      <c r="L10678" s="25">
        <v>40688.343622685185</v>
      </c>
      <c r="M10678" s="26" t="s">
        <v>5401</v>
      </c>
      <c r="N10678" s="28"/>
      <c r="O10678" s="22" t="str">
        <f>HYPERLINK("https://pbs.twimg.com/profile_images/1643492201/image_normal.jpg","View")</f>
        <v>View</v>
      </c>
      <c r="P10678" s="27"/>
    </row>
    <row r="10679">
      <c r="A10679" s="14">
        <v>43032.339791666665</v>
      </c>
      <c r="B10679" s="20" t="str">
        <f>HYPERLINK("https://twitter.com/dignity4student","@dignity4student")</f>
        <v>@dignity4student</v>
      </c>
      <c r="C10679" s="21" t="s">
        <v>22624</v>
      </c>
      <c r="D10679" s="21" t="s">
        <v>21203</v>
      </c>
      <c r="E10679" s="22" t="str">
        <f>HYPERLINK("https://twitter.com/dignity4student/status/922842440557518848","922842440557518848")</f>
        <v>922842440557518848</v>
      </c>
      <c r="F10679" s="23" t="s">
        <v>86</v>
      </c>
      <c r="G10679" s="24">
        <v>230.0</v>
      </c>
      <c r="H10679" s="24">
        <v>361.0</v>
      </c>
      <c r="I10679" s="24">
        <v>75.0</v>
      </c>
      <c r="J10679" s="24">
        <v>0.0</v>
      </c>
      <c r="K10679" s="23" t="s">
        <v>34</v>
      </c>
      <c r="L10679" s="25">
        <v>41572.20644675926</v>
      </c>
      <c r="M10679" s="26" t="s">
        <v>40</v>
      </c>
      <c r="N10679" s="26" t="s">
        <v>21141</v>
      </c>
      <c r="O10679" s="22" t="str">
        <f>HYPERLINK("https://pbs.twimg.com/profile_images/378800000645341958/b7c3713fbfb5b8cc008254f7541dd088_normal.jpeg","View")</f>
        <v>View</v>
      </c>
      <c r="P10679" s="27"/>
    </row>
    <row r="10680">
      <c r="A10680" s="14">
        <v>43032.34025462963</v>
      </c>
      <c r="B10680" s="20" t="str">
        <f>HYPERLINK("https://twitter.com/TheBaseLeg","@TheBaseLeg")</f>
        <v>@TheBaseLeg</v>
      </c>
      <c r="C10680" s="21" t="s">
        <v>22628</v>
      </c>
      <c r="D10680" s="21" t="s">
        <v>22629</v>
      </c>
      <c r="E10680" s="22" t="str">
        <f>HYPERLINK("https://twitter.com/TheBaseLeg/status/922842609483112448","922842609483112448")</f>
        <v>922842609483112448</v>
      </c>
      <c r="F10680" s="23" t="s">
        <v>39</v>
      </c>
      <c r="G10680" s="24">
        <v>4118.0</v>
      </c>
      <c r="H10680" s="24">
        <v>511.0</v>
      </c>
      <c r="I10680" s="24">
        <v>14.0</v>
      </c>
      <c r="J10680" s="24">
        <v>0.0</v>
      </c>
      <c r="K10680" s="23" t="s">
        <v>34</v>
      </c>
      <c r="L10680" s="25">
        <v>40540.126875</v>
      </c>
      <c r="M10680" s="26" t="s">
        <v>3214</v>
      </c>
      <c r="N10680" s="26" t="s">
        <v>22630</v>
      </c>
      <c r="O10680" s="22" t="str">
        <f>HYPERLINK("https://pbs.twimg.com/profile_images/1688802649/profile_normal.jpg","View")</f>
        <v>View</v>
      </c>
      <c r="P10680" s="27"/>
    </row>
    <row r="10681">
      <c r="A10681" s="14">
        <v>43032.34043981481</v>
      </c>
      <c r="B10681" s="20" t="str">
        <f>HYPERLINK("https://twitter.com/dignity4student","@dignity4student")</f>
        <v>@dignity4student</v>
      </c>
      <c r="C10681" s="21" t="s">
        <v>22624</v>
      </c>
      <c r="D10681" s="21" t="s">
        <v>21243</v>
      </c>
      <c r="E10681" s="22" t="str">
        <f>HYPERLINK("https://twitter.com/dignity4student/status/922842676373811206","922842676373811206")</f>
        <v>922842676373811206</v>
      </c>
      <c r="F10681" s="23" t="s">
        <v>86</v>
      </c>
      <c r="G10681" s="24">
        <v>230.0</v>
      </c>
      <c r="H10681" s="24">
        <v>361.0</v>
      </c>
      <c r="I10681" s="24">
        <v>41.0</v>
      </c>
      <c r="J10681" s="24">
        <v>0.0</v>
      </c>
      <c r="K10681" s="23" t="s">
        <v>34</v>
      </c>
      <c r="L10681" s="25">
        <v>41572.20644675926</v>
      </c>
      <c r="M10681" s="26" t="s">
        <v>40</v>
      </c>
      <c r="N10681" s="26" t="s">
        <v>21141</v>
      </c>
      <c r="O10681" s="22" t="str">
        <f>HYPERLINK("https://pbs.twimg.com/profile_images/378800000645341958/b7c3713fbfb5b8cc008254f7541dd088_normal.jpeg","View")</f>
        <v>View</v>
      </c>
      <c r="P10681" s="27"/>
    </row>
    <row r="10682">
      <c r="A10682" s="14">
        <v>43032.340787037036</v>
      </c>
      <c r="B10682" s="20" t="str">
        <f>HYPERLINK("https://twitter.com/isaozturk1976","@isaozturk1976")</f>
        <v>@isaozturk1976</v>
      </c>
      <c r="C10682" s="21" t="s">
        <v>22631</v>
      </c>
      <c r="D10682" s="21" t="s">
        <v>22629</v>
      </c>
      <c r="E10682" s="22" t="str">
        <f>HYPERLINK("https://twitter.com/isaozturk1976/status/922842803742429185","922842803742429185")</f>
        <v>922842803742429185</v>
      </c>
      <c r="F10682" s="23" t="s">
        <v>39</v>
      </c>
      <c r="G10682" s="24">
        <v>562.0</v>
      </c>
      <c r="H10682" s="24">
        <v>3630.0</v>
      </c>
      <c r="I10682" s="24">
        <v>14.0</v>
      </c>
      <c r="J10682" s="24">
        <v>0.0</v>
      </c>
      <c r="K10682" s="23" t="s">
        <v>34</v>
      </c>
      <c r="L10682" s="25">
        <v>41454.126539351855</v>
      </c>
      <c r="M10682" s="28"/>
      <c r="N10682" s="28"/>
      <c r="O10682" s="22" t="str">
        <f>HYPERLINK("https://pbs.twimg.com/profile_images/760848010247036928/2E-31w-r_normal.jpg","View")</f>
        <v>View</v>
      </c>
      <c r="P10682" s="27"/>
    </row>
    <row r="10683">
      <c r="A10683" s="14">
        <v>43032.340833333335</v>
      </c>
      <c r="B10683" s="20" t="str">
        <f>HYPERLINK("https://twitter.com/BloombergAsia","@BloombergAsia")</f>
        <v>@BloombergAsia</v>
      </c>
      <c r="C10683" s="21" t="s">
        <v>1726</v>
      </c>
      <c r="D10683" s="21" t="s">
        <v>22632</v>
      </c>
      <c r="E10683" s="22" t="str">
        <f>HYPERLINK("https://twitter.com/BloombergAsia/status/922842821085794304","922842821085794304")</f>
        <v>922842821085794304</v>
      </c>
      <c r="F10683" s="23" t="s">
        <v>1103</v>
      </c>
      <c r="G10683" s="24">
        <v>28807.0</v>
      </c>
      <c r="H10683" s="24">
        <v>97.0</v>
      </c>
      <c r="I10683" s="24">
        <v>1.0</v>
      </c>
      <c r="J10683" s="24">
        <v>50.0</v>
      </c>
      <c r="K10683" s="23" t="s">
        <v>34</v>
      </c>
      <c r="L10683" s="25">
        <v>41052.238483796296</v>
      </c>
      <c r="M10683" s="28"/>
      <c r="N10683" s="26" t="s">
        <v>1728</v>
      </c>
      <c r="O10683" s="22" t="str">
        <f>HYPERLINK("https://pbs.twimg.com/profile_images/778129630284902401/gXjFkqGM_normal.jpg","View")</f>
        <v>View</v>
      </c>
      <c r="P10683" s="27"/>
    </row>
    <row r="10684">
      <c r="A10684" s="14">
        <v>43032.34108796297</v>
      </c>
      <c r="B10684" s="20" t="str">
        <f>HYPERLINK("https://twitter.com/dignity4student","@dignity4student")</f>
        <v>@dignity4student</v>
      </c>
      <c r="C10684" s="21" t="s">
        <v>22624</v>
      </c>
      <c r="D10684" s="21" t="s">
        <v>21191</v>
      </c>
      <c r="E10684" s="22" t="str">
        <f>HYPERLINK("https://twitter.com/dignity4student/status/922842911481348096","922842911481348096")</f>
        <v>922842911481348096</v>
      </c>
      <c r="F10684" s="23" t="s">
        <v>86</v>
      </c>
      <c r="G10684" s="24">
        <v>230.0</v>
      </c>
      <c r="H10684" s="24">
        <v>361.0</v>
      </c>
      <c r="I10684" s="24">
        <v>42.0</v>
      </c>
      <c r="J10684" s="24">
        <v>0.0</v>
      </c>
      <c r="K10684" s="23" t="s">
        <v>34</v>
      </c>
      <c r="L10684" s="25">
        <v>41572.20644675926</v>
      </c>
      <c r="M10684" s="26" t="s">
        <v>40</v>
      </c>
      <c r="N10684" s="26" t="s">
        <v>21141</v>
      </c>
      <c r="O10684" s="22" t="str">
        <f>HYPERLINK("https://pbs.twimg.com/profile_images/378800000645341958/b7c3713fbfb5b8cc008254f7541dd088_normal.jpeg","View")</f>
        <v>View</v>
      </c>
      <c r="P10684" s="27"/>
    </row>
    <row r="10685">
      <c r="A10685" s="14">
        <v>43032.341261574074</v>
      </c>
      <c r="B10685" s="20" t="str">
        <f>HYPERLINK("https://twitter.com/canadamptweets","@canadamptweets")</f>
        <v>@canadamptweets</v>
      </c>
      <c r="C10685" s="21" t="s">
        <v>22633</v>
      </c>
      <c r="D10685" s="21" t="s">
        <v>10614</v>
      </c>
      <c r="E10685" s="22" t="str">
        <f>HYPERLINK("https://twitter.com/canadamptweets/status/922842976866279424","922842976866279424")</f>
        <v>922842976866279424</v>
      </c>
      <c r="F10685" s="23" t="s">
        <v>55</v>
      </c>
      <c r="G10685" s="24">
        <v>3614.0</v>
      </c>
      <c r="H10685" s="24">
        <v>3839.0</v>
      </c>
      <c r="I10685" s="24">
        <v>159.0</v>
      </c>
      <c r="J10685" s="24">
        <v>0.0</v>
      </c>
      <c r="K10685" s="23" t="s">
        <v>34</v>
      </c>
      <c r="L10685" s="25">
        <v>40214.608831018515</v>
      </c>
      <c r="M10685" s="26" t="s">
        <v>11738</v>
      </c>
      <c r="N10685" s="26" t="s">
        <v>22634</v>
      </c>
      <c r="O10685" s="22" t="str">
        <f>HYPERLINK("https://pbs.twimg.com/profile_images/668847093126066177/f8UfT2Pq_normal.jpg","View")</f>
        <v>View</v>
      </c>
      <c r="P10685" s="27"/>
    </row>
    <row r="10686">
      <c r="A10686" s="14">
        <v>43032.341412037036</v>
      </c>
      <c r="B10686" s="20" t="str">
        <f>HYPERLINK("https://twitter.com/KnucklDraginSam","@KnucklDraginSam")</f>
        <v>@KnucklDraginSam</v>
      </c>
      <c r="C10686" s="21" t="s">
        <v>11659</v>
      </c>
      <c r="D10686" s="21" t="s">
        <v>22629</v>
      </c>
      <c r="E10686" s="22" t="str">
        <f>HYPERLINK("https://twitter.com/KnucklDraginSam/status/922843029261701120","922843029261701120")</f>
        <v>922843029261701120</v>
      </c>
      <c r="F10686" s="23" t="s">
        <v>39</v>
      </c>
      <c r="G10686" s="24">
        <v>7221.0</v>
      </c>
      <c r="H10686" s="24">
        <v>5471.0</v>
      </c>
      <c r="I10686" s="24">
        <v>14.0</v>
      </c>
      <c r="J10686" s="24">
        <v>0.0</v>
      </c>
      <c r="K10686" s="23" t="s">
        <v>34</v>
      </c>
      <c r="L10686" s="25">
        <v>40575.40175925926</v>
      </c>
      <c r="M10686" s="26" t="s">
        <v>11660</v>
      </c>
      <c r="N10686" s="26" t="s">
        <v>11661</v>
      </c>
      <c r="O10686" s="22" t="str">
        <f>HYPERLINK("https://pbs.twimg.com/profile_images/920317429502312449/tO9M7yRy_normal.jpg","View")</f>
        <v>View</v>
      </c>
      <c r="P10686" s="27"/>
    </row>
    <row r="10687">
      <c r="A10687" s="14">
        <v>43032.342627314814</v>
      </c>
      <c r="B10687" s="20" t="str">
        <f>HYPERLINK("https://twitter.com/b1e56df9ce6549f","@b1e56df9ce6549f")</f>
        <v>@b1e56df9ce6549f</v>
      </c>
      <c r="C10687" s="21" t="s">
        <v>22635</v>
      </c>
      <c r="D10687" s="21" t="s">
        <v>22598</v>
      </c>
      <c r="E10687" s="22" t="str">
        <f>HYPERLINK("https://twitter.com/b1e56df9ce6549f/status/922843470125027330","922843470125027330")</f>
        <v>922843470125027330</v>
      </c>
      <c r="F10687" s="23" t="s">
        <v>33</v>
      </c>
      <c r="G10687" s="24">
        <v>2403.0</v>
      </c>
      <c r="H10687" s="24">
        <v>2799.0</v>
      </c>
      <c r="I10687" s="24">
        <v>5.0</v>
      </c>
      <c r="J10687" s="24">
        <v>0.0</v>
      </c>
      <c r="K10687" s="23" t="s">
        <v>34</v>
      </c>
      <c r="L10687" s="25">
        <v>42188.54439814815</v>
      </c>
      <c r="M10687" s="28"/>
      <c r="N10687" s="26" t="s">
        <v>22636</v>
      </c>
      <c r="O10687" s="22" t="str">
        <f>HYPERLINK("https://pbs.twimg.com/profile_images/661404634246987776/gpMI4thm_normal.jpg","View")</f>
        <v>View</v>
      </c>
      <c r="P10687" s="27"/>
    </row>
    <row r="10688">
      <c r="A10688" s="14">
        <v>43032.34266203704</v>
      </c>
      <c r="B10688" s="20" t="str">
        <f>HYPERLINK("https://twitter.com/tomofsnj","@tomofsnj")</f>
        <v>@tomofsnj</v>
      </c>
      <c r="C10688" s="21" t="s">
        <v>22637</v>
      </c>
      <c r="D10688" s="21" t="s">
        <v>22638</v>
      </c>
      <c r="E10688" s="22" t="str">
        <f>HYPERLINK("https://twitter.com/tomofsnj/status/922843483374792705","922843483374792705")</f>
        <v>922843483374792705</v>
      </c>
      <c r="F10688" s="23" t="s">
        <v>55</v>
      </c>
      <c r="G10688" s="24">
        <v>18463.0</v>
      </c>
      <c r="H10688" s="24">
        <v>12862.0</v>
      </c>
      <c r="I10688" s="24">
        <v>0.0</v>
      </c>
      <c r="J10688" s="24">
        <v>0.0</v>
      </c>
      <c r="K10688" s="23" t="s">
        <v>34</v>
      </c>
      <c r="L10688" s="25">
        <v>39980.74613425926</v>
      </c>
      <c r="M10688" s="26" t="s">
        <v>905</v>
      </c>
      <c r="N10688" s="28"/>
      <c r="O10688" s="22" t="str">
        <f>HYPERLINK("https://pbs.twimg.com/profile_images/909144572332257281/WHiyV0w2_normal.jpg","View")</f>
        <v>View</v>
      </c>
      <c r="P10688" s="27"/>
    </row>
    <row r="10689">
      <c r="A10689" s="14">
        <v>43032.34332175926</v>
      </c>
      <c r="B10689" s="20" t="str">
        <f>HYPERLINK("https://twitter.com/JapanWorldCam","@JapanWorldCam")</f>
        <v>@JapanWorldCam</v>
      </c>
      <c r="C10689" s="21" t="s">
        <v>22639</v>
      </c>
      <c r="D10689" s="21" t="s">
        <v>22161</v>
      </c>
      <c r="E10689" s="22" t="str">
        <f>HYPERLINK("https://twitter.com/JapanWorldCam/status/922843720986308608","922843720986308608")</f>
        <v>922843720986308608</v>
      </c>
      <c r="F10689" s="23" t="s">
        <v>55</v>
      </c>
      <c r="G10689" s="24">
        <v>102.0</v>
      </c>
      <c r="H10689" s="24">
        <v>23.0</v>
      </c>
      <c r="I10689" s="24">
        <v>2.0</v>
      </c>
      <c r="J10689" s="24">
        <v>0.0</v>
      </c>
      <c r="K10689" s="23" t="s">
        <v>34</v>
      </c>
      <c r="L10689" s="25">
        <v>42025.402291666665</v>
      </c>
      <c r="M10689" s="26" t="s">
        <v>22640</v>
      </c>
      <c r="N10689" s="26" t="s">
        <v>22641</v>
      </c>
      <c r="O10689" s="22" t="str">
        <f>HYPERLINK("https://pbs.twimg.com/profile_images/806985894699876356/HJIix53e_normal.jpg","View")</f>
        <v>View</v>
      </c>
      <c r="P10689" s="27"/>
    </row>
    <row r="10690">
      <c r="A10690" s="14">
        <v>43032.34337962963</v>
      </c>
      <c r="B10690" s="20" t="str">
        <f>HYPERLINK("https://twitter.com/rekuza2014mp","@rekuza2014mp")</f>
        <v>@rekuza2014mp</v>
      </c>
      <c r="C10690" s="21" t="s">
        <v>22642</v>
      </c>
      <c r="D10690" s="21" t="s">
        <v>22629</v>
      </c>
      <c r="E10690" s="22" t="str">
        <f>HYPERLINK("https://twitter.com/rekuza2014mp/status/922843741726973952","922843741726973952")</f>
        <v>922843741726973952</v>
      </c>
      <c r="F10690" s="23" t="s">
        <v>55</v>
      </c>
      <c r="G10690" s="24">
        <v>1049.0</v>
      </c>
      <c r="H10690" s="24">
        <v>4114.0</v>
      </c>
      <c r="I10690" s="24">
        <v>14.0</v>
      </c>
      <c r="J10690" s="24">
        <v>0.0</v>
      </c>
      <c r="K10690" s="23" t="s">
        <v>34</v>
      </c>
      <c r="L10690" s="25">
        <v>41720.72888888889</v>
      </c>
      <c r="M10690" s="28"/>
      <c r="N10690" s="26" t="s">
        <v>22643</v>
      </c>
      <c r="O10690" s="22" t="str">
        <f>HYPERLINK("https://pbs.twimg.com/profile_images/455728477895806976/Luq8uT2t_normal.jpeg","View")</f>
        <v>View</v>
      </c>
      <c r="P10690" s="27"/>
    </row>
    <row r="10691">
      <c r="A10691" s="14">
        <v>43032.34341435185</v>
      </c>
      <c r="B10691" s="20" t="str">
        <f>HYPERLINK("https://twitter.com/totaalvoet","@totaalvoet")</f>
        <v>@totaalvoet</v>
      </c>
      <c r="C10691" s="21" t="s">
        <v>21372</v>
      </c>
      <c r="D10691" s="21" t="s">
        <v>22404</v>
      </c>
      <c r="E10691" s="22" t="str">
        <f>HYPERLINK("https://twitter.com/totaalvoet/status/922843756260245504","922843756260245504")</f>
        <v>922843756260245504</v>
      </c>
      <c r="F10691" s="23" t="s">
        <v>39</v>
      </c>
      <c r="G10691" s="24">
        <v>227.0</v>
      </c>
      <c r="H10691" s="24">
        <v>347.0</v>
      </c>
      <c r="I10691" s="24">
        <v>14.0</v>
      </c>
      <c r="J10691" s="24">
        <v>0.0</v>
      </c>
      <c r="K10691" s="23" t="s">
        <v>34</v>
      </c>
      <c r="L10691" s="25">
        <v>41895.67962962963</v>
      </c>
      <c r="M10691" s="26" t="s">
        <v>21373</v>
      </c>
      <c r="N10691" s="26" t="s">
        <v>21374</v>
      </c>
      <c r="O10691" s="22" t="str">
        <f>HYPERLINK("https://pbs.twimg.com/profile_images/728157950875836417/XHsm2ggT_normal.jpg","View")</f>
        <v>View</v>
      </c>
      <c r="P10691" s="27"/>
    </row>
    <row r="10692">
      <c r="A10692" s="14">
        <v>43032.343553240746</v>
      </c>
      <c r="B10692" s="20" t="str">
        <f>HYPERLINK("https://twitter.com/abbottmedia","@abbottmedia")</f>
        <v>@abbottmedia</v>
      </c>
      <c r="C10692" s="21" t="s">
        <v>22644</v>
      </c>
      <c r="D10692" s="21" t="s">
        <v>22645</v>
      </c>
      <c r="E10692" s="22" t="str">
        <f>HYPERLINK("https://twitter.com/abbottmedia/status/922843806617276416","922843806617276416")</f>
        <v>922843806617276416</v>
      </c>
      <c r="F10692" s="23" t="s">
        <v>55</v>
      </c>
      <c r="G10692" s="24">
        <v>2265.0</v>
      </c>
      <c r="H10692" s="24">
        <v>2235.0</v>
      </c>
      <c r="I10692" s="24">
        <v>1.0</v>
      </c>
      <c r="J10692" s="24">
        <v>0.0</v>
      </c>
      <c r="K10692" s="23" t="s">
        <v>34</v>
      </c>
      <c r="L10692" s="25">
        <v>39811.338171296295</v>
      </c>
      <c r="M10692" s="28"/>
      <c r="N10692" s="26" t="s">
        <v>22646</v>
      </c>
      <c r="O10692" s="22" t="str">
        <f>HYPERLINK("https://pbs.twimg.com/profile_images/875847245555302401/xHabUwoR_normal.jpg","View")</f>
        <v>View</v>
      </c>
      <c r="P10692" s="27"/>
    </row>
    <row r="10693">
      <c r="A10693" s="14">
        <v>43032.34386574074</v>
      </c>
      <c r="B10693" s="20" t="str">
        <f>HYPERLINK("https://twitter.com/sitifatimahnet","@sitifatimahnet")</f>
        <v>@sitifatimahnet</v>
      </c>
      <c r="C10693" s="21" t="s">
        <v>1762</v>
      </c>
      <c r="D10693" s="21" t="s">
        <v>22647</v>
      </c>
      <c r="E10693" s="22" t="str">
        <f>HYPERLINK("https://twitter.com/sitifatimahnet/status/922843919012040704","922843919012040704")</f>
        <v>922843919012040704</v>
      </c>
      <c r="F10693" s="23" t="s">
        <v>187</v>
      </c>
      <c r="G10693" s="24">
        <v>309.0</v>
      </c>
      <c r="H10693" s="24">
        <v>27.0</v>
      </c>
      <c r="I10693" s="24">
        <v>0.0</v>
      </c>
      <c r="J10693" s="24">
        <v>0.0</v>
      </c>
      <c r="K10693" s="23" t="s">
        <v>34</v>
      </c>
      <c r="L10693" s="25">
        <v>42698.43719907408</v>
      </c>
      <c r="M10693" s="26" t="s">
        <v>1764</v>
      </c>
      <c r="N10693" s="26" t="s">
        <v>1765</v>
      </c>
      <c r="O10693" s="22" t="str">
        <f>HYPERLINK("https://pbs.twimg.com/profile_images/897683241594912769/-rSDzg9T_normal.jpg","View")</f>
        <v>View</v>
      </c>
      <c r="P10693" s="27"/>
    </row>
    <row r="10694">
      <c r="A10694" s="14">
        <v>43032.343877314815</v>
      </c>
      <c r="B10694" s="20" t="str">
        <f>HYPERLINK("https://twitter.com/shivnath32053","@shivnath32053")</f>
        <v>@shivnath32053</v>
      </c>
      <c r="C10694" s="21" t="s">
        <v>22648</v>
      </c>
      <c r="D10694" s="21" t="s">
        <v>42</v>
      </c>
      <c r="E10694" s="22" t="str">
        <f>HYPERLINK("https://twitter.com/shivnath32053/status/922843922874769409","922843922874769409")</f>
        <v>922843922874769409</v>
      </c>
      <c r="F10694" s="23" t="s">
        <v>33</v>
      </c>
      <c r="G10694" s="24">
        <v>355.0</v>
      </c>
      <c r="H10694" s="24">
        <v>418.0</v>
      </c>
      <c r="I10694" s="24">
        <v>8501.0</v>
      </c>
      <c r="J10694" s="24">
        <v>0.0</v>
      </c>
      <c r="K10694" s="23" t="s">
        <v>34</v>
      </c>
      <c r="L10694" s="25">
        <v>42985.80148148148</v>
      </c>
      <c r="M10694" s="26" t="s">
        <v>22649</v>
      </c>
      <c r="N10694" s="26" t="s">
        <v>22650</v>
      </c>
      <c r="O10694" s="22" t="str">
        <f>HYPERLINK("https://pbs.twimg.com/profile_images/919072034268766209/IigpRwqA_normal.jpg","View")</f>
        <v>View</v>
      </c>
      <c r="P10694" s="27"/>
    </row>
    <row r="10695">
      <c r="A10695" s="14">
        <v>43032.343993055554</v>
      </c>
      <c r="B10695" s="20" t="str">
        <f>HYPERLINK("https://twitter.com/asianstudiesgu","@asianstudiesgu")</f>
        <v>@asianstudiesgu</v>
      </c>
      <c r="C10695" s="21" t="s">
        <v>11971</v>
      </c>
      <c r="D10695" s="21" t="s">
        <v>22651</v>
      </c>
      <c r="E10695" s="22" t="str">
        <f>HYPERLINK("https://twitter.com/asianstudiesgu/status/922843963417092096","922843963417092096")</f>
        <v>922843963417092096</v>
      </c>
      <c r="F10695" s="23" t="s">
        <v>427</v>
      </c>
      <c r="G10695" s="24">
        <v>2806.0</v>
      </c>
      <c r="H10695" s="24">
        <v>388.0</v>
      </c>
      <c r="I10695" s="24">
        <v>0.0</v>
      </c>
      <c r="J10695" s="24">
        <v>0.0</v>
      </c>
      <c r="K10695" s="23" t="s">
        <v>34</v>
      </c>
      <c r="L10695" s="25">
        <v>40127.553078703706</v>
      </c>
      <c r="M10695" s="26" t="s">
        <v>4239</v>
      </c>
      <c r="N10695" s="26" t="s">
        <v>11973</v>
      </c>
      <c r="O10695" s="22" t="str">
        <f>HYPERLINK("https://pbs.twimg.com/profile_images/493810600196063233/b-0WMGka_normal.jpeg","View")</f>
        <v>View</v>
      </c>
      <c r="P10695" s="27"/>
    </row>
    <row r="10696">
      <c r="A10696" s="14">
        <v>43032.34400462963</v>
      </c>
      <c r="B10696" s="20" t="str">
        <f>HYPERLINK("https://twitter.com/nhprman","@nhprman")</f>
        <v>@nhprman</v>
      </c>
      <c r="C10696" s="21" t="s">
        <v>22652</v>
      </c>
      <c r="D10696" s="21" t="s">
        <v>22653</v>
      </c>
      <c r="E10696" s="22" t="str">
        <f>HYPERLINK("https://twitter.com/nhprman/status/922843967963717633","922843967963717633")</f>
        <v>922843967963717633</v>
      </c>
      <c r="F10696" s="23" t="s">
        <v>55</v>
      </c>
      <c r="G10696" s="24">
        <v>4212.0</v>
      </c>
      <c r="H10696" s="24">
        <v>3976.0</v>
      </c>
      <c r="I10696" s="24">
        <v>1.0</v>
      </c>
      <c r="J10696" s="24">
        <v>0.0</v>
      </c>
      <c r="K10696" s="23" t="s">
        <v>34</v>
      </c>
      <c r="L10696" s="25">
        <v>39675.64015046296</v>
      </c>
      <c r="M10696" s="26" t="s">
        <v>15263</v>
      </c>
      <c r="N10696" s="26" t="s">
        <v>22654</v>
      </c>
      <c r="O10696" s="22" t="str">
        <f>HYPERLINK("https://pbs.twimg.com/profile_images/875846448511832064/s-2tN2JX_normal.jpg","View")</f>
        <v>View</v>
      </c>
      <c r="P10696" s="27"/>
    </row>
    <row r="10697">
      <c r="A10697" s="14">
        <v>43032.34438657407</v>
      </c>
      <c r="B10697" s="20" t="str">
        <f>HYPERLINK("https://twitter.com/TheAmbassadoruk","@TheAmbassadoruk")</f>
        <v>@TheAmbassadoruk</v>
      </c>
      <c r="C10697" s="21" t="s">
        <v>22655</v>
      </c>
      <c r="D10697" s="21" t="s">
        <v>22629</v>
      </c>
      <c r="E10697" s="22" t="str">
        <f>HYPERLINK("https://twitter.com/TheAmbassadoruk/status/922844107717963777","922844107717963777")</f>
        <v>922844107717963777</v>
      </c>
      <c r="F10697" s="23" t="s">
        <v>55</v>
      </c>
      <c r="G10697" s="24">
        <v>165.0</v>
      </c>
      <c r="H10697" s="24">
        <v>468.0</v>
      </c>
      <c r="I10697" s="24">
        <v>14.0</v>
      </c>
      <c r="J10697" s="24">
        <v>0.0</v>
      </c>
      <c r="K10697" s="23" t="s">
        <v>34</v>
      </c>
      <c r="L10697" s="25">
        <v>42817.54430555555</v>
      </c>
      <c r="M10697" s="26" t="s">
        <v>708</v>
      </c>
      <c r="N10697" s="33" t="s">
        <v>22656</v>
      </c>
      <c r="O10697" s="22" t="str">
        <f>HYPERLINK("https://pbs.twimg.com/profile_images/845365355388289025/B677JdgE_normal.jpg","View")</f>
        <v>View</v>
      </c>
      <c r="P10697" s="27"/>
    </row>
    <row r="10698">
      <c r="A10698" s="14">
        <v>43032.344571759255</v>
      </c>
      <c r="B10698" s="20" t="str">
        <f>HYPERLINK("https://twitter.com/notiven","@notiven")</f>
        <v>@notiven</v>
      </c>
      <c r="C10698" s="21" t="s">
        <v>1012</v>
      </c>
      <c r="D10698" s="21" t="s">
        <v>22657</v>
      </c>
      <c r="E10698" s="22" t="str">
        <f>HYPERLINK("https://twitter.com/notiven/status/922844173228756992","922844173228756992")</f>
        <v>922844173228756992</v>
      </c>
      <c r="F10698" s="23" t="s">
        <v>1014</v>
      </c>
      <c r="G10698" s="24">
        <v>51323.0</v>
      </c>
      <c r="H10698" s="24">
        <v>194.0</v>
      </c>
      <c r="I10698" s="24">
        <v>0.0</v>
      </c>
      <c r="J10698" s="24">
        <v>0.0</v>
      </c>
      <c r="K10698" s="23" t="s">
        <v>34</v>
      </c>
      <c r="L10698" s="25">
        <v>39235.5805787037</v>
      </c>
      <c r="M10698" s="26" t="s">
        <v>1015</v>
      </c>
      <c r="N10698" s="26" t="s">
        <v>1016</v>
      </c>
      <c r="O10698" s="22" t="str">
        <f>HYPERLINK("https://pbs.twimg.com/profile_images/799317731648606208/vbXQCdts_normal.jpg","View")</f>
        <v>View</v>
      </c>
      <c r="P10698" s="27"/>
    </row>
    <row r="10699">
      <c r="A10699" s="14">
        <v>43032.3446412037</v>
      </c>
      <c r="B10699" s="20" t="str">
        <f>HYPERLINK("https://twitter.com/freaksuryaa","@freaksuryaa")</f>
        <v>@freaksuryaa</v>
      </c>
      <c r="C10699" s="21" t="s">
        <v>22658</v>
      </c>
      <c r="D10699" s="21" t="s">
        <v>42</v>
      </c>
      <c r="E10699" s="22" t="str">
        <f>HYPERLINK("https://twitter.com/freaksuryaa/status/922844201737379840","922844201737379840")</f>
        <v>922844201737379840</v>
      </c>
      <c r="F10699" s="23" t="s">
        <v>33</v>
      </c>
      <c r="G10699" s="24">
        <v>172.0</v>
      </c>
      <c r="H10699" s="24">
        <v>319.0</v>
      </c>
      <c r="I10699" s="24">
        <v>8501.0</v>
      </c>
      <c r="J10699" s="24">
        <v>0.0</v>
      </c>
      <c r="K10699" s="23" t="s">
        <v>34</v>
      </c>
      <c r="L10699" s="25">
        <v>42492.23395833334</v>
      </c>
      <c r="M10699" s="26" t="s">
        <v>22659</v>
      </c>
      <c r="N10699" s="26" t="s">
        <v>22660</v>
      </c>
      <c r="O10699" s="22" t="str">
        <f>HYPERLINK("https://pbs.twimg.com/profile_images/920145619670351872/lnJPizYS_normal.jpg","View")</f>
        <v>View</v>
      </c>
      <c r="P10699" s="27"/>
    </row>
    <row r="10700">
      <c r="A10700" s="14">
        <v>43032.34465277778</v>
      </c>
      <c r="B10700" s="20" t="str">
        <f>HYPERLINK("https://twitter.com/amirnazari20","@amirnazari20")</f>
        <v>@amirnazari20</v>
      </c>
      <c r="C10700" s="21" t="s">
        <v>22661</v>
      </c>
      <c r="D10700" s="21" t="s">
        <v>21202</v>
      </c>
      <c r="E10700" s="22" t="str">
        <f>HYPERLINK("https://twitter.com/amirnazari20/status/922844202592976896","922844202592976896")</f>
        <v>922844202592976896</v>
      </c>
      <c r="F10700" s="23" t="s">
        <v>86</v>
      </c>
      <c r="G10700" s="24">
        <v>166.0</v>
      </c>
      <c r="H10700" s="24">
        <v>121.0</v>
      </c>
      <c r="I10700" s="24">
        <v>79.0</v>
      </c>
      <c r="J10700" s="24">
        <v>0.0</v>
      </c>
      <c r="K10700" s="23" t="s">
        <v>34</v>
      </c>
      <c r="L10700" s="25">
        <v>41775.26424768518</v>
      </c>
      <c r="M10700" s="26" t="s">
        <v>40</v>
      </c>
      <c r="N10700" s="26" t="s">
        <v>14692</v>
      </c>
      <c r="O10700" s="22" t="str">
        <f>HYPERLINK("https://pbs.twimg.com/profile_images/471886806644834304/pdLPxPMs_normal.jpeg","View")</f>
        <v>View</v>
      </c>
      <c r="P10700" s="27"/>
    </row>
    <row r="10701">
      <c r="A10701" s="14">
        <v>43032.344664351855</v>
      </c>
      <c r="B10701" s="20" t="str">
        <f>HYPERLINK("https://twitter.com/Predata","@Predata")</f>
        <v>@Predata</v>
      </c>
      <c r="C10701" s="21" t="s">
        <v>22662</v>
      </c>
      <c r="D10701" s="21" t="s">
        <v>22663</v>
      </c>
      <c r="E10701" s="22" t="str">
        <f>HYPERLINK("https://twitter.com/Predata/status/922844206485385216","922844206485385216")</f>
        <v>922844206485385216</v>
      </c>
      <c r="F10701" s="23" t="s">
        <v>55</v>
      </c>
      <c r="G10701" s="24">
        <v>552.0</v>
      </c>
      <c r="H10701" s="24">
        <v>196.0</v>
      </c>
      <c r="I10701" s="24">
        <v>0.0</v>
      </c>
      <c r="J10701" s="24">
        <v>0.0</v>
      </c>
      <c r="K10701" s="23" t="s">
        <v>34</v>
      </c>
      <c r="L10701" s="25">
        <v>42314.55521990741</v>
      </c>
      <c r="M10701" s="28"/>
      <c r="N10701" s="26" t="s">
        <v>22664</v>
      </c>
      <c r="O10701" s="22" t="str">
        <f>HYPERLINK("https://pbs.twimg.com/profile_images/668872484909948928/4KCqbkYq_normal.png","View")</f>
        <v>View</v>
      </c>
      <c r="P10701" s="27"/>
    </row>
    <row r="10702">
      <c r="A10702" s="14">
        <v>43032.34525462963</v>
      </c>
      <c r="B10702" s="20" t="str">
        <f>HYPERLINK("https://twitter.com/mequemequeJ","@mequemequeJ")</f>
        <v>@mequemequeJ</v>
      </c>
      <c r="C10702" s="21" t="s">
        <v>3025</v>
      </c>
      <c r="D10702" s="21" t="s">
        <v>22598</v>
      </c>
      <c r="E10702" s="22" t="str">
        <f>HYPERLINK("https://twitter.com/mequemequeJ/status/922844423729369088","922844423729369088")</f>
        <v>922844423729369088</v>
      </c>
      <c r="F10702" s="23" t="s">
        <v>33</v>
      </c>
      <c r="G10702" s="24">
        <v>949.0</v>
      </c>
      <c r="H10702" s="24">
        <v>1165.0</v>
      </c>
      <c r="I10702" s="24">
        <v>5.0</v>
      </c>
      <c r="J10702" s="24">
        <v>0.0</v>
      </c>
      <c r="K10702" s="23" t="s">
        <v>34</v>
      </c>
      <c r="L10702" s="25">
        <v>40233.11966435185</v>
      </c>
      <c r="M10702" s="26" t="s">
        <v>3026</v>
      </c>
      <c r="N10702" s="26" t="s">
        <v>3027</v>
      </c>
      <c r="O10702" s="22" t="str">
        <f>HYPERLINK("https://pbs.twimg.com/profile_images/1203036850/IMG_3637_normal.JPG","View")</f>
        <v>View</v>
      </c>
      <c r="P10702" s="27"/>
    </row>
    <row r="10703">
      <c r="A10703" s="14">
        <v>43032.345300925925</v>
      </c>
      <c r="B10703" s="20" t="str">
        <f>HYPERLINK("https://twitter.com/amirnazari20","@amirnazari20")</f>
        <v>@amirnazari20</v>
      </c>
      <c r="C10703" s="21" t="s">
        <v>22661</v>
      </c>
      <c r="D10703" s="21" t="s">
        <v>21203</v>
      </c>
      <c r="E10703" s="22" t="str">
        <f>HYPERLINK("https://twitter.com/amirnazari20/status/922844440795922432","922844440795922432")</f>
        <v>922844440795922432</v>
      </c>
      <c r="F10703" s="23" t="s">
        <v>86</v>
      </c>
      <c r="G10703" s="24">
        <v>166.0</v>
      </c>
      <c r="H10703" s="24">
        <v>121.0</v>
      </c>
      <c r="I10703" s="24">
        <v>75.0</v>
      </c>
      <c r="J10703" s="24">
        <v>0.0</v>
      </c>
      <c r="K10703" s="23" t="s">
        <v>34</v>
      </c>
      <c r="L10703" s="25">
        <v>41775.26424768518</v>
      </c>
      <c r="M10703" s="26" t="s">
        <v>40</v>
      </c>
      <c r="N10703" s="26" t="s">
        <v>14692</v>
      </c>
      <c r="O10703" s="22" t="str">
        <f>HYPERLINK("https://pbs.twimg.com/profile_images/471886806644834304/pdLPxPMs_normal.jpeg","View")</f>
        <v>View</v>
      </c>
      <c r="P10703" s="27"/>
    </row>
    <row r="10704">
      <c r="A10704" s="14">
        <v>43032.34585648148</v>
      </c>
      <c r="B10704" s="20" t="str">
        <f>HYPERLINK("https://twitter.com/ArrheniGH1","@ArrheniGH1")</f>
        <v>@ArrheniGH1</v>
      </c>
      <c r="C10704" s="21" t="s">
        <v>22665</v>
      </c>
      <c r="D10704" s="21" t="s">
        <v>21625</v>
      </c>
      <c r="E10704" s="22" t="str">
        <f>HYPERLINK("https://twitter.com/ArrheniGH1/status/922844641803816960","922844641803816960")</f>
        <v>922844641803816960</v>
      </c>
      <c r="F10704" s="23" t="s">
        <v>33</v>
      </c>
      <c r="G10704" s="24">
        <v>2214.0</v>
      </c>
      <c r="H10704" s="24">
        <v>93.0</v>
      </c>
      <c r="I10704" s="24">
        <v>122.0</v>
      </c>
      <c r="J10704" s="24">
        <v>0.0</v>
      </c>
      <c r="K10704" s="23" t="s">
        <v>34</v>
      </c>
      <c r="L10704" s="25">
        <v>41841.11755787037</v>
      </c>
      <c r="M10704" s="28"/>
      <c r="N10704" s="26" t="s">
        <v>22666</v>
      </c>
      <c r="O10704" s="22" t="str">
        <f>HYPERLINK("https://pbs.twimg.com/profile_images/908822023039832065/SCOSjzUL_normal.jpg","View")</f>
        <v>View</v>
      </c>
      <c r="P10704" s="27"/>
    </row>
    <row r="10705">
      <c r="A10705" s="14">
        <v>43032.34612268519</v>
      </c>
      <c r="B10705" s="20" t="str">
        <f>HYPERLINK("https://twitter.com/11Jaysharma","@11Jaysharma")</f>
        <v>@11Jaysharma</v>
      </c>
      <c r="C10705" s="21" t="s">
        <v>22667</v>
      </c>
      <c r="D10705" s="21" t="s">
        <v>42</v>
      </c>
      <c r="E10705" s="22" t="str">
        <f>HYPERLINK("https://twitter.com/11Jaysharma/status/922844735118524417","922844735118524417")</f>
        <v>922844735118524417</v>
      </c>
      <c r="F10705" s="23" t="s">
        <v>33</v>
      </c>
      <c r="G10705" s="24">
        <v>683.0</v>
      </c>
      <c r="H10705" s="24">
        <v>397.0</v>
      </c>
      <c r="I10705" s="24">
        <v>8501.0</v>
      </c>
      <c r="J10705" s="24">
        <v>0.0</v>
      </c>
      <c r="K10705" s="23" t="s">
        <v>34</v>
      </c>
      <c r="L10705" s="25">
        <v>42112.13109953704</v>
      </c>
      <c r="M10705" s="26" t="s">
        <v>5225</v>
      </c>
      <c r="N10705" s="26" t="s">
        <v>22668</v>
      </c>
      <c r="O10705" s="22" t="str">
        <f>HYPERLINK("https://pbs.twimg.com/profile_images/885477227005177856/WubInxJd_normal.jpg","View")</f>
        <v>View</v>
      </c>
      <c r="P10705" s="27"/>
    </row>
    <row r="10706">
      <c r="A10706" s="14">
        <v>43032.346296296295</v>
      </c>
      <c r="B10706" s="20" t="str">
        <f>HYPERLINK("https://twitter.com/andretartar","@andretartar")</f>
        <v>@andretartar</v>
      </c>
      <c r="C10706" s="21" t="s">
        <v>22669</v>
      </c>
      <c r="D10706" s="21" t="s">
        <v>21559</v>
      </c>
      <c r="E10706" s="22" t="str">
        <f>HYPERLINK("https://twitter.com/andretartar/status/922844798498889729","922844798498889729")</f>
        <v>922844798498889729</v>
      </c>
      <c r="F10706" s="23" t="s">
        <v>55</v>
      </c>
      <c r="G10706" s="24">
        <v>851.0</v>
      </c>
      <c r="H10706" s="24">
        <v>904.0</v>
      </c>
      <c r="I10706" s="24">
        <v>9.0</v>
      </c>
      <c r="J10706" s="24">
        <v>0.0</v>
      </c>
      <c r="K10706" s="23" t="s">
        <v>34</v>
      </c>
      <c r="L10706" s="25">
        <v>40001.66825231482</v>
      </c>
      <c r="M10706" s="26" t="s">
        <v>2534</v>
      </c>
      <c r="N10706" s="26" t="s">
        <v>22670</v>
      </c>
      <c r="O10706" s="22" t="str">
        <f>HYPERLINK("https://pbs.twimg.com/profile_images/3284131197/4a068d941ea3da7cc2ad42824ddcb0ea_normal.jpeg","View")</f>
        <v>View</v>
      </c>
      <c r="P10706" s="27"/>
    </row>
    <row r="10707">
      <c r="A10707" s="14">
        <v>43032.34638888889</v>
      </c>
      <c r="B10707" s="20" t="str">
        <f>HYPERLINK("https://twitter.com/guts_ya","@guts_ya")</f>
        <v>@guts_ya</v>
      </c>
      <c r="C10707" s="21" t="s">
        <v>22613</v>
      </c>
      <c r="D10707" s="21" t="s">
        <v>740</v>
      </c>
      <c r="E10707" s="22" t="str">
        <f>HYPERLINK("https://twitter.com/guts_ya/status/922844834762604545","922844834762604545")</f>
        <v>922844834762604545</v>
      </c>
      <c r="F10707" s="23" t="s">
        <v>55</v>
      </c>
      <c r="G10707" s="24">
        <v>273.0</v>
      </c>
      <c r="H10707" s="24">
        <v>559.0</v>
      </c>
      <c r="I10707" s="24">
        <v>87.0</v>
      </c>
      <c r="J10707" s="24">
        <v>0.0</v>
      </c>
      <c r="K10707" s="23" t="s">
        <v>34</v>
      </c>
      <c r="L10707" s="25">
        <v>40302.189097222225</v>
      </c>
      <c r="M10707" s="28"/>
      <c r="N10707" s="28"/>
      <c r="O10707" s="22" t="str">
        <f>HYPERLINK("https://pbs.twimg.com/profile_images/1153561783/P1050056_normal.JPG","View")</f>
        <v>View</v>
      </c>
      <c r="P10707" s="27"/>
    </row>
    <row r="10708">
      <c r="A10708" s="14">
        <v>43032.346550925926</v>
      </c>
      <c r="B10708" s="20" t="str">
        <f>HYPERLINK("https://twitter.com/YUUU_0910","@YUUU_0910")</f>
        <v>@YUUU_0910</v>
      </c>
      <c r="C10708" s="21" t="s">
        <v>22671</v>
      </c>
      <c r="D10708" s="21" t="s">
        <v>21559</v>
      </c>
      <c r="E10708" s="22" t="str">
        <f>HYPERLINK("https://twitter.com/YUUU_0910/status/922844892925005831","922844892925005831")</f>
        <v>922844892925005831</v>
      </c>
      <c r="F10708" s="23" t="s">
        <v>33</v>
      </c>
      <c r="G10708" s="24">
        <v>992.0</v>
      </c>
      <c r="H10708" s="24">
        <v>3514.0</v>
      </c>
      <c r="I10708" s="24">
        <v>9.0</v>
      </c>
      <c r="J10708" s="24">
        <v>0.0</v>
      </c>
      <c r="K10708" s="23" t="s">
        <v>34</v>
      </c>
      <c r="L10708" s="25">
        <v>41011.15447916667</v>
      </c>
      <c r="M10708" s="26" t="s">
        <v>22672</v>
      </c>
      <c r="N10708" s="26" t="s">
        <v>22673</v>
      </c>
      <c r="O10708" s="22" t="str">
        <f>HYPERLINK("https://pbs.twimg.com/profile_images/726397800917782528/d4XvbRJp_normal.jpg","View")</f>
        <v>View</v>
      </c>
      <c r="P10708" s="27"/>
    </row>
    <row r="10709">
      <c r="A10709" s="14">
        <v>43032.34659722222</v>
      </c>
      <c r="B10709" s="20" t="str">
        <f>HYPERLINK("https://twitter.com/guts_ya","@guts_ya")</f>
        <v>@guts_ya</v>
      </c>
      <c r="C10709" s="21" t="s">
        <v>22613</v>
      </c>
      <c r="D10709" s="21" t="s">
        <v>7022</v>
      </c>
      <c r="E10709" s="22" t="str">
        <f>HYPERLINK("https://twitter.com/guts_ya/status/922844909811277824","922844909811277824")</f>
        <v>922844909811277824</v>
      </c>
      <c r="F10709" s="23" t="s">
        <v>55</v>
      </c>
      <c r="G10709" s="24">
        <v>273.0</v>
      </c>
      <c r="H10709" s="24">
        <v>559.0</v>
      </c>
      <c r="I10709" s="24">
        <v>37.0</v>
      </c>
      <c r="J10709" s="24">
        <v>0.0</v>
      </c>
      <c r="K10709" s="23" t="s">
        <v>34</v>
      </c>
      <c r="L10709" s="25">
        <v>40302.189097222225</v>
      </c>
      <c r="M10709" s="28"/>
      <c r="N10709" s="28"/>
      <c r="O10709" s="22" t="str">
        <f>HYPERLINK("https://pbs.twimg.com/profile_images/1153561783/P1050056_normal.JPG","View")</f>
        <v>View</v>
      </c>
      <c r="P10709" s="27"/>
    </row>
    <row r="10710">
      <c r="A10710" s="14">
        <v>43032.34706018519</v>
      </c>
      <c r="B10710" s="20" t="str">
        <f>HYPERLINK("https://twitter.com/szan2016","@szan2016")</f>
        <v>@szan2016</v>
      </c>
      <c r="C10710" s="21" t="s">
        <v>22674</v>
      </c>
      <c r="D10710" s="21" t="s">
        <v>22675</v>
      </c>
      <c r="E10710" s="22" t="str">
        <f>HYPERLINK("https://twitter.com/szan2016/status/922845075134132224","922845075134132224")</f>
        <v>922845075134132224</v>
      </c>
      <c r="F10710" s="23" t="s">
        <v>39</v>
      </c>
      <c r="G10710" s="24">
        <v>57.0</v>
      </c>
      <c r="H10710" s="24">
        <v>95.0</v>
      </c>
      <c r="I10710" s="24">
        <v>0.0</v>
      </c>
      <c r="J10710" s="24">
        <v>0.0</v>
      </c>
      <c r="K10710" s="23" t="s">
        <v>34</v>
      </c>
      <c r="L10710" s="25">
        <v>42643.29898148148</v>
      </c>
      <c r="M10710" s="28"/>
      <c r="N10710" s="28"/>
      <c r="O10710" s="22" t="str">
        <f>HYPERLINK("https://pbs.twimg.com/profile_images/844341404167921664/-ilztMlL_normal.jpg","View")</f>
        <v>View</v>
      </c>
      <c r="P10710" s="27"/>
    </row>
    <row r="10711">
      <c r="A10711" s="14">
        <v>43032.34782407407</v>
      </c>
      <c r="B10711" s="20" t="str">
        <f>HYPERLINK("https://twitter.com/louisa_faux","@louisa_faux")</f>
        <v>@louisa_faux</v>
      </c>
      <c r="C10711" s="21" t="s">
        <v>22676</v>
      </c>
      <c r="D10711" s="21" t="s">
        <v>10614</v>
      </c>
      <c r="E10711" s="22" t="str">
        <f>HYPERLINK("https://twitter.com/louisa_faux/status/922845351203061760","922845351203061760")</f>
        <v>922845351203061760</v>
      </c>
      <c r="F10711" s="23" t="s">
        <v>33</v>
      </c>
      <c r="G10711" s="24">
        <v>1177.0</v>
      </c>
      <c r="H10711" s="24">
        <v>1190.0</v>
      </c>
      <c r="I10711" s="24">
        <v>159.0</v>
      </c>
      <c r="J10711" s="24">
        <v>0.0</v>
      </c>
      <c r="K10711" s="23" t="s">
        <v>34</v>
      </c>
      <c r="L10711" s="25">
        <v>40095.94362268518</v>
      </c>
      <c r="M10711" s="26" t="s">
        <v>22677</v>
      </c>
      <c r="N10711" s="26" t="s">
        <v>22678</v>
      </c>
      <c r="O10711" s="22" t="str">
        <f>HYPERLINK("https://pbs.twimg.com/profile_images/830246627990331392/Oz54poQe_normal.jpg","View")</f>
        <v>View</v>
      </c>
      <c r="P10711" s="27"/>
    </row>
    <row r="10712">
      <c r="A10712" s="14">
        <v>43032.34797453704</v>
      </c>
      <c r="B10712" s="20" t="str">
        <f>HYPERLINK("https://twitter.com/CamArtsHums","@CamArtsHums")</f>
        <v>@CamArtsHums</v>
      </c>
      <c r="C10712" s="21" t="s">
        <v>22679</v>
      </c>
      <c r="D10712" s="21" t="s">
        <v>22680</v>
      </c>
      <c r="E10712" s="22" t="str">
        <f>HYPERLINK("https://twitter.com/CamArtsHums/status/922845408640094208","922845408640094208")</f>
        <v>922845408640094208</v>
      </c>
      <c r="F10712" s="23" t="s">
        <v>55</v>
      </c>
      <c r="G10712" s="24">
        <v>1521.0</v>
      </c>
      <c r="H10712" s="24">
        <v>1670.0</v>
      </c>
      <c r="I10712" s="24">
        <v>0.0</v>
      </c>
      <c r="J10712" s="24">
        <v>1.0</v>
      </c>
      <c r="K10712" s="23" t="s">
        <v>34</v>
      </c>
      <c r="L10712" s="25">
        <v>42290.1031712963</v>
      </c>
      <c r="M10712" s="26" t="s">
        <v>221</v>
      </c>
      <c r="N10712" s="26" t="s">
        <v>22681</v>
      </c>
      <c r="O10712" s="22" t="str">
        <f>HYPERLINK("https://pbs.twimg.com/profile_images/661510331244666880/TzwYzQIl_normal.jpg","View")</f>
        <v>View</v>
      </c>
      <c r="P10712" s="27"/>
    </row>
    <row r="10713">
      <c r="A10713" s="14">
        <v>43032.34815972223</v>
      </c>
      <c r="B10713" s="20" t="str">
        <f>HYPERLINK("https://twitter.com/Bannaji04","@Bannaji04")</f>
        <v>@Bannaji04</v>
      </c>
      <c r="C10713" s="21" t="s">
        <v>22682</v>
      </c>
      <c r="D10713" s="21" t="s">
        <v>42</v>
      </c>
      <c r="E10713" s="22" t="str">
        <f>HYPERLINK("https://twitter.com/Bannaji04/status/922845474050019328","922845474050019328")</f>
        <v>922845474050019328</v>
      </c>
      <c r="F10713" s="23" t="s">
        <v>33</v>
      </c>
      <c r="G10713" s="24">
        <v>120.0</v>
      </c>
      <c r="H10713" s="24">
        <v>122.0</v>
      </c>
      <c r="I10713" s="24">
        <v>8501.0</v>
      </c>
      <c r="J10713" s="24">
        <v>0.0</v>
      </c>
      <c r="K10713" s="23" t="s">
        <v>34</v>
      </c>
      <c r="L10713" s="25">
        <v>42632.611921296295</v>
      </c>
      <c r="M10713" s="26" t="s">
        <v>22683</v>
      </c>
      <c r="N10713" s="26" t="s">
        <v>22684</v>
      </c>
      <c r="O10713" s="22" t="str">
        <f>HYPERLINK("https://pbs.twimg.com/profile_images/911481822890070016/nVKgG7-U_normal.jpg","View")</f>
        <v>View</v>
      </c>
      <c r="P10713" s="27"/>
    </row>
    <row r="10714">
      <c r="A10714" s="14">
        <v>43032.348229166666</v>
      </c>
      <c r="B10714" s="20" t="str">
        <f>HYPERLINK("https://twitter.com/playdoegold","@playdoegold")</f>
        <v>@playdoegold</v>
      </c>
      <c r="C10714" s="21" t="s">
        <v>22685</v>
      </c>
      <c r="D10714" s="21" t="s">
        <v>22686</v>
      </c>
      <c r="E10714" s="22" t="str">
        <f>HYPERLINK("https://twitter.com/playdoegold/status/922845499585060865","922845499585060865")</f>
        <v>922845499585060865</v>
      </c>
      <c r="F10714" s="23" t="s">
        <v>55</v>
      </c>
      <c r="G10714" s="24">
        <v>274.0</v>
      </c>
      <c r="H10714" s="24">
        <v>196.0</v>
      </c>
      <c r="I10714" s="24">
        <v>0.0</v>
      </c>
      <c r="J10714" s="24">
        <v>0.0</v>
      </c>
      <c r="K10714" s="23" t="s">
        <v>34</v>
      </c>
      <c r="L10714" s="25">
        <v>41160.51565972222</v>
      </c>
      <c r="M10714" s="26" t="s">
        <v>10691</v>
      </c>
      <c r="N10714" s="26" t="s">
        <v>22687</v>
      </c>
      <c r="O10714" s="22" t="str">
        <f>HYPERLINK("https://pbs.twimg.com/profile_images/840297025874849793/IDEl5vkg_normal.jpg","View")</f>
        <v>View</v>
      </c>
      <c r="P10714" s="27"/>
    </row>
    <row r="10715">
      <c r="A10715" s="14">
        <v>43032.34903935185</v>
      </c>
      <c r="B10715" s="20" t="str">
        <f>HYPERLINK("https://twitter.com/Korn_Ferry","@Korn_Ferry")</f>
        <v>@Korn_Ferry</v>
      </c>
      <c r="C10715" s="21" t="s">
        <v>22688</v>
      </c>
      <c r="D10715" s="21" t="s">
        <v>22689</v>
      </c>
      <c r="E10715" s="22" t="str">
        <f>HYPERLINK("https://twitter.com/Korn_Ferry/status/922845793186435078","922845793186435078")</f>
        <v>922845793186435078</v>
      </c>
      <c r="F10715" s="23" t="s">
        <v>427</v>
      </c>
      <c r="G10715" s="24">
        <v>18211.0</v>
      </c>
      <c r="H10715" s="24">
        <v>153.0</v>
      </c>
      <c r="I10715" s="24">
        <v>0.0</v>
      </c>
      <c r="J10715" s="24">
        <v>0.0</v>
      </c>
      <c r="K10715" s="23" t="s">
        <v>34</v>
      </c>
      <c r="L10715" s="25">
        <v>39910.41605324074</v>
      </c>
      <c r="M10715" s="26" t="s">
        <v>2068</v>
      </c>
      <c r="N10715" s="26" t="s">
        <v>22690</v>
      </c>
      <c r="O10715" s="22" t="str">
        <f>HYPERLINK("https://pbs.twimg.com/profile_images/459013597373288449/SSobYiV8_normal.jpeg","View")</f>
        <v>View</v>
      </c>
      <c r="P10715" s="27"/>
    </row>
    <row r="10716">
      <c r="A10716" s="14">
        <v>43032.34951388889</v>
      </c>
      <c r="B10716" s="20" t="str">
        <f>HYPERLINK("https://twitter.com/Pprabhakar22","@Pprabhakar22")</f>
        <v>@Pprabhakar22</v>
      </c>
      <c r="C10716" s="21" t="s">
        <v>22691</v>
      </c>
      <c r="D10716" s="21" t="s">
        <v>42</v>
      </c>
      <c r="E10716" s="22" t="str">
        <f>HYPERLINK("https://twitter.com/Pprabhakar22/status/922845965454786567","922845965454786567")</f>
        <v>922845965454786567</v>
      </c>
      <c r="F10716" s="23" t="s">
        <v>33</v>
      </c>
      <c r="G10716" s="24">
        <v>45.0</v>
      </c>
      <c r="H10716" s="24">
        <v>153.0</v>
      </c>
      <c r="I10716" s="24">
        <v>8501.0</v>
      </c>
      <c r="J10716" s="24">
        <v>0.0</v>
      </c>
      <c r="K10716" s="23" t="s">
        <v>34</v>
      </c>
      <c r="L10716" s="25">
        <v>41859.87619212963</v>
      </c>
      <c r="M10716" s="26" t="s">
        <v>3273</v>
      </c>
      <c r="N10716" s="26" t="s">
        <v>22692</v>
      </c>
      <c r="O10716" s="22" t="str">
        <f>HYPERLINK("https://pbs.twimg.com/profile_images/497958203125014529/dSXzljt9_normal.jpeg","View")</f>
        <v>View</v>
      </c>
      <c r="P10716" s="27"/>
    </row>
    <row r="10717">
      <c r="A10717" s="14">
        <v>43032.35104166667</v>
      </c>
      <c r="B10717" s="20" t="str">
        <f>HYPERLINK("https://twitter.com/Newton_Heels","@Newton_Heels")</f>
        <v>@Newton_Heels</v>
      </c>
      <c r="C10717" s="21" t="s">
        <v>22693</v>
      </c>
      <c r="D10717" s="21" t="s">
        <v>22694</v>
      </c>
      <c r="E10717" s="22" t="str">
        <f>HYPERLINK("https://twitter.com/Newton_Heels/status/922846519694364673","922846519694364673")</f>
        <v>922846519694364673</v>
      </c>
      <c r="F10717" s="23" t="s">
        <v>39</v>
      </c>
      <c r="G10717" s="24">
        <v>62.0</v>
      </c>
      <c r="H10717" s="24">
        <v>294.0</v>
      </c>
      <c r="I10717" s="24">
        <v>0.0</v>
      </c>
      <c r="J10717" s="24">
        <v>0.0</v>
      </c>
      <c r="K10717" s="23" t="s">
        <v>34</v>
      </c>
      <c r="L10717" s="25">
        <v>40182.8206712963</v>
      </c>
      <c r="M10717" s="26" t="s">
        <v>22695</v>
      </c>
      <c r="N10717" s="26" t="s">
        <v>22696</v>
      </c>
      <c r="O10717" s="22" t="str">
        <f>HYPERLINK("https://abs.twimg.com/sticky/default_profile_images/default_profile_normal.png","View")</f>
        <v>View</v>
      </c>
      <c r="P10717" s="27"/>
    </row>
    <row r="10718">
      <c r="A10718" s="14">
        <v>43032.35141203704</v>
      </c>
      <c r="B10718" s="20" t="str">
        <f>HYPERLINK("https://twitter.com/gkbobburi","@gkbobburi")</f>
        <v>@gkbobburi</v>
      </c>
      <c r="C10718" s="21" t="s">
        <v>22697</v>
      </c>
      <c r="D10718" s="21" t="s">
        <v>42</v>
      </c>
      <c r="E10718" s="22" t="str">
        <f>HYPERLINK("https://twitter.com/gkbobburi/status/922846652934819840","922846652934819840")</f>
        <v>922846652934819840</v>
      </c>
      <c r="F10718" s="23" t="s">
        <v>33</v>
      </c>
      <c r="G10718" s="24">
        <v>2.0</v>
      </c>
      <c r="H10718" s="24">
        <v>22.0</v>
      </c>
      <c r="I10718" s="24">
        <v>8501.0</v>
      </c>
      <c r="J10718" s="24">
        <v>0.0</v>
      </c>
      <c r="K10718" s="23" t="s">
        <v>34</v>
      </c>
      <c r="L10718" s="25">
        <v>42519.11326388889</v>
      </c>
      <c r="M10718" s="26" t="s">
        <v>22698</v>
      </c>
      <c r="N10718" s="26" t="s">
        <v>22699</v>
      </c>
      <c r="O10718" s="22" t="str">
        <f>HYPERLINK("https://pbs.twimg.com/profile_images/801258537204715520/ifRYXt0r_normal.jpg","View")</f>
        <v>View</v>
      </c>
      <c r="P10718" s="27"/>
    </row>
    <row r="10719">
      <c r="A10719" s="14">
        <v>43032.35172453704</v>
      </c>
      <c r="B10719" s="20" t="str">
        <f>HYPERLINK("https://twitter.com/kweyu_bryant","@kweyu_bryant")</f>
        <v>@kweyu_bryant</v>
      </c>
      <c r="C10719" s="21" t="s">
        <v>22700</v>
      </c>
      <c r="D10719" s="21" t="s">
        <v>32</v>
      </c>
      <c r="E10719" s="22" t="str">
        <f>HYPERLINK("https://twitter.com/kweyu_bryant/status/922846766956937216","922846766956937216")</f>
        <v>922846766956937216</v>
      </c>
      <c r="F10719" s="23" t="s">
        <v>33</v>
      </c>
      <c r="G10719" s="24">
        <v>1583.0</v>
      </c>
      <c r="H10719" s="24">
        <v>1132.0</v>
      </c>
      <c r="I10719" s="24">
        <v>471.0</v>
      </c>
      <c r="J10719" s="24">
        <v>0.0</v>
      </c>
      <c r="K10719" s="23" t="s">
        <v>34</v>
      </c>
      <c r="L10719" s="25">
        <v>40048.183344907404</v>
      </c>
      <c r="M10719" s="26" t="s">
        <v>22701</v>
      </c>
      <c r="N10719" s="26" t="s">
        <v>22702</v>
      </c>
      <c r="O10719" s="22" t="str">
        <f>HYPERLINK("https://pbs.twimg.com/profile_images/834837711919935491/N_k0XCbA_normal.jpg","View")</f>
        <v>View</v>
      </c>
      <c r="P10719" s="27"/>
    </row>
    <row r="10720">
      <c r="A10720" s="14">
        <v>43032.352002314816</v>
      </c>
      <c r="B10720" s="20" t="str">
        <f>HYPERLINK("https://twitter.com/ashalhurryah","@ashalhurryah")</f>
        <v>@ashalhurryah</v>
      </c>
      <c r="C10720" s="21" t="s">
        <v>22703</v>
      </c>
      <c r="D10720" s="21" t="s">
        <v>21202</v>
      </c>
      <c r="E10720" s="22" t="str">
        <f>HYPERLINK("https://twitter.com/ashalhurryah/status/922846865975996421","922846865975996421")</f>
        <v>922846865975996421</v>
      </c>
      <c r="F10720" s="23" t="s">
        <v>86</v>
      </c>
      <c r="G10720" s="24">
        <v>873.0</v>
      </c>
      <c r="H10720" s="24">
        <v>411.0</v>
      </c>
      <c r="I10720" s="24">
        <v>79.0</v>
      </c>
      <c r="J10720" s="24">
        <v>0.0</v>
      </c>
      <c r="K10720" s="23" t="s">
        <v>34</v>
      </c>
      <c r="L10720" s="25">
        <v>41536.950625</v>
      </c>
      <c r="M10720" s="26" t="s">
        <v>11949</v>
      </c>
      <c r="N10720" s="26" t="s">
        <v>21192</v>
      </c>
      <c r="O10720" s="22" t="str">
        <f>HYPERLINK("https://pbs.twimg.com/profile_images/378800000481336554/685a84ba42346b0cf0962bb023637eda_normal.jpeg","View")</f>
        <v>View</v>
      </c>
      <c r="P10720" s="27"/>
    </row>
    <row r="10721">
      <c r="A10721" s="14">
        <v>43032.35221064815</v>
      </c>
      <c r="B10721" s="20" t="str">
        <f>HYPERLINK("https://twitter.com/bobmunoz","@bobmunoz")</f>
        <v>@bobmunoz</v>
      </c>
      <c r="C10721" s="21" t="s">
        <v>22704</v>
      </c>
      <c r="D10721" s="21" t="s">
        <v>22705</v>
      </c>
      <c r="E10721" s="22" t="str">
        <f>HYPERLINK("https://twitter.com/bobmunoz/status/922846944602370048","922846944602370048")</f>
        <v>922846944602370048</v>
      </c>
      <c r="F10721" s="23" t="s">
        <v>55</v>
      </c>
      <c r="G10721" s="24">
        <v>2284.0</v>
      </c>
      <c r="H10721" s="24">
        <v>3336.0</v>
      </c>
      <c r="I10721" s="24">
        <v>0.0</v>
      </c>
      <c r="J10721" s="24">
        <v>0.0</v>
      </c>
      <c r="K10721" s="23" t="s">
        <v>34</v>
      </c>
      <c r="L10721" s="25">
        <v>39831.42425925926</v>
      </c>
      <c r="M10721" s="26" t="s">
        <v>22706</v>
      </c>
      <c r="N10721" s="26" t="s">
        <v>22707</v>
      </c>
      <c r="O10721" s="22" t="str">
        <f>HYPERLINK("https://pbs.twimg.com/profile_images/740399373746622464/5QHO_-UP_normal.jpg","View")</f>
        <v>View</v>
      </c>
      <c r="P10721" s="27"/>
    </row>
    <row r="10722">
      <c r="A10722" s="14">
        <v>43032.35265046296</v>
      </c>
      <c r="B10722" s="20" t="str">
        <f t="shared" ref="B10722:B10723" si="251">HYPERLINK("https://twitter.com/ashalhurryah","@ashalhurryah")</f>
        <v>@ashalhurryah</v>
      </c>
      <c r="C10722" s="21" t="s">
        <v>22703</v>
      </c>
      <c r="D10722" s="21" t="s">
        <v>21203</v>
      </c>
      <c r="E10722" s="22" t="str">
        <f>HYPERLINK("https://twitter.com/ashalhurryah/status/922847101045809152","922847101045809152")</f>
        <v>922847101045809152</v>
      </c>
      <c r="F10722" s="23" t="s">
        <v>86</v>
      </c>
      <c r="G10722" s="24">
        <v>873.0</v>
      </c>
      <c r="H10722" s="24">
        <v>411.0</v>
      </c>
      <c r="I10722" s="24">
        <v>75.0</v>
      </c>
      <c r="J10722" s="24">
        <v>0.0</v>
      </c>
      <c r="K10722" s="23" t="s">
        <v>34</v>
      </c>
      <c r="L10722" s="25">
        <v>41536.950625</v>
      </c>
      <c r="M10722" s="26" t="s">
        <v>11949</v>
      </c>
      <c r="N10722" s="26" t="s">
        <v>21192</v>
      </c>
      <c r="O10722" s="22" t="str">
        <f t="shared" ref="O10722:O10723" si="252">HYPERLINK("https://pbs.twimg.com/profile_images/378800000481336554/685a84ba42346b0cf0962bb023637eda_normal.jpeg","View")</f>
        <v>View</v>
      </c>
      <c r="P10722" s="27"/>
    </row>
    <row r="10723">
      <c r="A10723" s="14">
        <v>43032.35329861111</v>
      </c>
      <c r="B10723" s="20" t="str">
        <f t="shared" si="251"/>
        <v>@ashalhurryah</v>
      </c>
      <c r="C10723" s="21" t="s">
        <v>22703</v>
      </c>
      <c r="D10723" s="21" t="s">
        <v>21243</v>
      </c>
      <c r="E10723" s="22" t="str">
        <f>HYPERLINK("https://twitter.com/ashalhurryah/status/922847336287518721","922847336287518721")</f>
        <v>922847336287518721</v>
      </c>
      <c r="F10723" s="23" t="s">
        <v>86</v>
      </c>
      <c r="G10723" s="24">
        <v>873.0</v>
      </c>
      <c r="H10723" s="24">
        <v>411.0</v>
      </c>
      <c r="I10723" s="24">
        <v>41.0</v>
      </c>
      <c r="J10723" s="24">
        <v>0.0</v>
      </c>
      <c r="K10723" s="23" t="s">
        <v>34</v>
      </c>
      <c r="L10723" s="25">
        <v>41536.950625</v>
      </c>
      <c r="M10723" s="26" t="s">
        <v>11949</v>
      </c>
      <c r="N10723" s="26" t="s">
        <v>21192</v>
      </c>
      <c r="O10723" s="22" t="str">
        <f t="shared" si="252"/>
        <v>View</v>
      </c>
      <c r="P10723" s="27"/>
    </row>
    <row r="10724">
      <c r="A10724" s="14">
        <v>43032.35380787037</v>
      </c>
      <c r="B10724" s="20" t="str">
        <f>HYPERLINK("https://twitter.com/jeremyyellen","@jeremyyellen")</f>
        <v>@jeremyyellen</v>
      </c>
      <c r="C10724" s="21" t="s">
        <v>22708</v>
      </c>
      <c r="D10724" s="21" t="s">
        <v>17677</v>
      </c>
      <c r="E10724" s="22" t="str">
        <f>HYPERLINK("https://twitter.com/jeremyyellen/status/922847522145447936","922847522145447936")</f>
        <v>922847522145447936</v>
      </c>
      <c r="F10724" s="23" t="s">
        <v>55</v>
      </c>
      <c r="G10724" s="24">
        <v>274.0</v>
      </c>
      <c r="H10724" s="24">
        <v>182.0</v>
      </c>
      <c r="I10724" s="24">
        <v>13.0</v>
      </c>
      <c r="J10724" s="24">
        <v>0.0</v>
      </c>
      <c r="K10724" s="23" t="s">
        <v>34</v>
      </c>
      <c r="L10724" s="25">
        <v>41812.27628472222</v>
      </c>
      <c r="M10724" s="26" t="s">
        <v>2185</v>
      </c>
      <c r="N10724" s="26" t="s">
        <v>22709</v>
      </c>
      <c r="O10724" s="22" t="str">
        <f>HYPERLINK("https://pbs.twimg.com/profile_images/480708698830929920/JZ-wS0So_normal.jpeg","View")</f>
        <v>View</v>
      </c>
      <c r="P10724" s="27"/>
    </row>
    <row r="10725">
      <c r="A10725" s="14">
        <v>43032.35394675926</v>
      </c>
      <c r="B10725" s="20" t="str">
        <f>HYPERLINK("https://twitter.com/ashalhurryah","@ashalhurryah")</f>
        <v>@ashalhurryah</v>
      </c>
      <c r="C10725" s="21" t="s">
        <v>22703</v>
      </c>
      <c r="D10725" s="21" t="s">
        <v>21191</v>
      </c>
      <c r="E10725" s="22" t="str">
        <f>HYPERLINK("https://twitter.com/ashalhurryah/status/922847571118141441","922847571118141441")</f>
        <v>922847571118141441</v>
      </c>
      <c r="F10725" s="23" t="s">
        <v>86</v>
      </c>
      <c r="G10725" s="24">
        <v>873.0</v>
      </c>
      <c r="H10725" s="24">
        <v>411.0</v>
      </c>
      <c r="I10725" s="24">
        <v>42.0</v>
      </c>
      <c r="J10725" s="24">
        <v>0.0</v>
      </c>
      <c r="K10725" s="23" t="s">
        <v>34</v>
      </c>
      <c r="L10725" s="25">
        <v>41536.950625</v>
      </c>
      <c r="M10725" s="26" t="s">
        <v>11949</v>
      </c>
      <c r="N10725" s="26" t="s">
        <v>21192</v>
      </c>
      <c r="O10725" s="22" t="str">
        <f>HYPERLINK("https://pbs.twimg.com/profile_images/378800000481336554/685a84ba42346b0cf0962bb023637eda_normal.jpeg","View")</f>
        <v>View</v>
      </c>
      <c r="P10725" s="27"/>
    </row>
    <row r="10726">
      <c r="A10726" s="14">
        <v>43032.35412037037</v>
      </c>
      <c r="B10726" s="20" t="str">
        <f>HYPERLINK("https://twitter.com/WaliWasima","@WaliWasima")</f>
        <v>@WaliWasima</v>
      </c>
      <c r="C10726" s="21" t="s">
        <v>22710</v>
      </c>
      <c r="D10726" s="21" t="s">
        <v>3227</v>
      </c>
      <c r="E10726" s="22" t="str">
        <f>HYPERLINK("https://twitter.com/WaliWasima/status/922847635807047680","922847635807047680")</f>
        <v>922847635807047680</v>
      </c>
      <c r="F10726" s="23" t="s">
        <v>33</v>
      </c>
      <c r="G10726" s="24">
        <v>4.0</v>
      </c>
      <c r="H10726" s="24">
        <v>42.0</v>
      </c>
      <c r="I10726" s="24">
        <v>61.0</v>
      </c>
      <c r="J10726" s="24">
        <v>0.0</v>
      </c>
      <c r="K10726" s="23" t="s">
        <v>34</v>
      </c>
      <c r="L10726" s="25">
        <v>42163.626493055555</v>
      </c>
      <c r="M10726" s="28"/>
      <c r="N10726" s="26" t="s">
        <v>22711</v>
      </c>
      <c r="O10726" s="22" t="str">
        <f>HYPERLINK("https://abs.twimg.com/sticky/default_profile_images/default_profile_normal.png","View")</f>
        <v>View</v>
      </c>
      <c r="P10726" s="27"/>
    </row>
    <row r="10727">
      <c r="A10727" s="14">
        <v>43032.35525462963</v>
      </c>
      <c r="B10727" s="20" t="str">
        <f t="shared" ref="B10727:B10728" si="253">HYPERLINK("https://twitter.com/Arash_Hafezi","@Arash_Hafezi")</f>
        <v>@Arash_Hafezi</v>
      </c>
      <c r="C10727" s="21" t="s">
        <v>22712</v>
      </c>
      <c r="D10727" s="21" t="s">
        <v>21202</v>
      </c>
      <c r="E10727" s="22" t="str">
        <f>HYPERLINK("https://twitter.com/Arash_Hafezi/status/922848046768988165","922848046768988165")</f>
        <v>922848046768988165</v>
      </c>
      <c r="F10727" s="23" t="s">
        <v>86</v>
      </c>
      <c r="G10727" s="24">
        <v>164.0</v>
      </c>
      <c r="H10727" s="24">
        <v>123.0</v>
      </c>
      <c r="I10727" s="24">
        <v>79.0</v>
      </c>
      <c r="J10727" s="24">
        <v>0.0</v>
      </c>
      <c r="K10727" s="23" t="s">
        <v>34</v>
      </c>
      <c r="L10727" s="25">
        <v>41776.980462962965</v>
      </c>
      <c r="M10727" s="26" t="s">
        <v>8333</v>
      </c>
      <c r="N10727" s="26" t="s">
        <v>22713</v>
      </c>
      <c r="O10727" s="22" t="str">
        <f t="shared" ref="O10727:O10728" si="254">HYPERLINK("https://pbs.twimg.com/profile_images/467916633248239616/6Tdhyrpa_normal.jpeg","View")</f>
        <v>View</v>
      </c>
      <c r="P10727" s="27"/>
    </row>
    <row r="10728">
      <c r="A10728" s="14">
        <v>43032.35591435185</v>
      </c>
      <c r="B10728" s="20" t="str">
        <f t="shared" si="253"/>
        <v>@Arash_Hafezi</v>
      </c>
      <c r="C10728" s="21" t="s">
        <v>22712</v>
      </c>
      <c r="D10728" s="21" t="s">
        <v>21203</v>
      </c>
      <c r="E10728" s="22" t="str">
        <f>HYPERLINK("https://twitter.com/Arash_Hafezi/status/922848285462691840","922848285462691840")</f>
        <v>922848285462691840</v>
      </c>
      <c r="F10728" s="23" t="s">
        <v>86</v>
      </c>
      <c r="G10728" s="24">
        <v>164.0</v>
      </c>
      <c r="H10728" s="24">
        <v>123.0</v>
      </c>
      <c r="I10728" s="24">
        <v>75.0</v>
      </c>
      <c r="J10728" s="24">
        <v>0.0</v>
      </c>
      <c r="K10728" s="23" t="s">
        <v>34</v>
      </c>
      <c r="L10728" s="25">
        <v>41776.980462962965</v>
      </c>
      <c r="M10728" s="26" t="s">
        <v>8333</v>
      </c>
      <c r="N10728" s="26" t="s">
        <v>22713</v>
      </c>
      <c r="O10728" s="22" t="str">
        <f t="shared" si="254"/>
        <v>View</v>
      </c>
      <c r="P10728" s="27"/>
    </row>
    <row r="10729">
      <c r="A10729" s="14">
        <v>43032.35631944444</v>
      </c>
      <c r="B10729" s="20" t="str">
        <f>HYPERLINK("https://twitter.com/sumitparashar00","@sumitparashar00")</f>
        <v>@sumitparashar00</v>
      </c>
      <c r="C10729" s="21" t="s">
        <v>22714</v>
      </c>
      <c r="D10729" s="21" t="s">
        <v>42</v>
      </c>
      <c r="E10729" s="22" t="str">
        <f>HYPERLINK("https://twitter.com/sumitparashar00/status/922848430036172801","922848430036172801")</f>
        <v>922848430036172801</v>
      </c>
      <c r="F10729" s="23" t="s">
        <v>33</v>
      </c>
      <c r="G10729" s="24">
        <v>1151.0</v>
      </c>
      <c r="H10729" s="24">
        <v>572.0</v>
      </c>
      <c r="I10729" s="24">
        <v>8501.0</v>
      </c>
      <c r="J10729" s="24">
        <v>0.0</v>
      </c>
      <c r="K10729" s="23" t="s">
        <v>34</v>
      </c>
      <c r="L10729" s="25">
        <v>42743.15728009259</v>
      </c>
      <c r="M10729" s="26" t="s">
        <v>22715</v>
      </c>
      <c r="N10729" s="26" t="s">
        <v>22716</v>
      </c>
      <c r="O10729" s="22" t="str">
        <f>HYPERLINK("https://pbs.twimg.com/profile_images/921213393012264960/f7xU_3zG_normal.jpg","View")</f>
        <v>View</v>
      </c>
      <c r="P10729" s="27"/>
    </row>
    <row r="10730">
      <c r="A10730" s="14">
        <v>43032.35690972222</v>
      </c>
      <c r="B10730" s="20" t="str">
        <f>HYPERLINK("https://twitter.com/TessieLivingst1","@TessieLivingst1")</f>
        <v>@TessieLivingst1</v>
      </c>
      <c r="C10730" s="21" t="s">
        <v>21385</v>
      </c>
      <c r="D10730" s="21" t="s">
        <v>21194</v>
      </c>
      <c r="E10730" s="22" t="str">
        <f>HYPERLINK("https://twitter.com/TessieLivingst1/status/922848647481610245","922848647481610245")</f>
        <v>922848647481610245</v>
      </c>
      <c r="F10730" s="23" t="s">
        <v>86</v>
      </c>
      <c r="G10730" s="24">
        <v>41.0</v>
      </c>
      <c r="H10730" s="24">
        <v>75.0</v>
      </c>
      <c r="I10730" s="24">
        <v>35.0</v>
      </c>
      <c r="J10730" s="24">
        <v>0.0</v>
      </c>
      <c r="K10730" s="23" t="s">
        <v>34</v>
      </c>
      <c r="L10730" s="25">
        <v>41906.40238425926</v>
      </c>
      <c r="M10730" s="26" t="s">
        <v>11949</v>
      </c>
      <c r="N10730" s="26" t="s">
        <v>21386</v>
      </c>
      <c r="O10730" s="22" t="str">
        <f>HYPERLINK("https://pbs.twimg.com/profile_images/514816749980499969/OLFXqSnB_normal.jpeg","View")</f>
        <v>View</v>
      </c>
      <c r="P10730" s="27"/>
    </row>
    <row r="10731">
      <c r="A10731" s="14">
        <v>43032.35712962963</v>
      </c>
      <c r="B10731" s="20" t="str">
        <f>HYPERLINK("https://twitter.com/jansenfernando","@jansenfernando")</f>
        <v>@jansenfernando</v>
      </c>
      <c r="C10731" s="21" t="s">
        <v>22717</v>
      </c>
      <c r="D10731" s="21" t="s">
        <v>22718</v>
      </c>
      <c r="E10731" s="22" t="str">
        <f>HYPERLINK("https://twitter.com/jansenfernando/status/922848723922771975","922848723922771975")</f>
        <v>922848723922771975</v>
      </c>
      <c r="F10731" s="23" t="s">
        <v>48</v>
      </c>
      <c r="G10731" s="24">
        <v>4.0</v>
      </c>
      <c r="H10731" s="24">
        <v>59.0</v>
      </c>
      <c r="I10731" s="24">
        <v>0.0</v>
      </c>
      <c r="J10731" s="24">
        <v>0.0</v>
      </c>
      <c r="K10731" s="23" t="s">
        <v>34</v>
      </c>
      <c r="L10731" s="25">
        <v>40118.31104166667</v>
      </c>
      <c r="M10731" s="26" t="s">
        <v>22719</v>
      </c>
      <c r="N10731" s="26" t="s">
        <v>22720</v>
      </c>
      <c r="O10731" s="22" t="str">
        <f>HYPERLINK("https://pbs.twimg.com/profile_images/831009699197657088/_l5Q77d9_normal.jpg","View")</f>
        <v>View</v>
      </c>
      <c r="P10731" s="27"/>
    </row>
    <row r="10732">
      <c r="A10732" s="14">
        <v>43032.35891203704</v>
      </c>
      <c r="B10732" s="20" t="str">
        <f>HYPERLINK("https://twitter.com/BrookingsInst","@BrookingsInst")</f>
        <v>@BrookingsInst</v>
      </c>
      <c r="C10732" s="21" t="s">
        <v>22721</v>
      </c>
      <c r="D10732" s="21" t="s">
        <v>22722</v>
      </c>
      <c r="E10732" s="22" t="str">
        <f>HYPERLINK("https://twitter.com/BrookingsInst/status/922849371707846656","922849371707846656")</f>
        <v>922849371707846656</v>
      </c>
      <c r="F10732" s="23" t="s">
        <v>55</v>
      </c>
      <c r="G10732" s="24">
        <v>310234.0</v>
      </c>
      <c r="H10732" s="24">
        <v>4347.0</v>
      </c>
      <c r="I10732" s="24">
        <v>1.0</v>
      </c>
      <c r="J10732" s="24">
        <v>1.0</v>
      </c>
      <c r="K10732" s="23" t="s">
        <v>34</v>
      </c>
      <c r="L10732" s="25">
        <v>40331.39475694444</v>
      </c>
      <c r="M10732" s="26" t="s">
        <v>4239</v>
      </c>
      <c r="N10732" s="26" t="s">
        <v>22723</v>
      </c>
      <c r="O10732" s="22" t="str">
        <f>HYPERLINK("https://pbs.twimg.com/profile_images/816291763463880704/xU84imMR_normal.jpg","View")</f>
        <v>View</v>
      </c>
      <c r="P10732" s="27"/>
    </row>
    <row r="10733">
      <c r="A10733" s="14">
        <v>43032.3590625</v>
      </c>
      <c r="B10733" s="20" t="str">
        <f>HYPERLINK("https://twitter.com/syuinsen2017","@syuinsen2017")</f>
        <v>@syuinsen2017</v>
      </c>
      <c r="C10733" s="21" t="s">
        <v>22724</v>
      </c>
      <c r="D10733" s="21" t="s">
        <v>21417</v>
      </c>
      <c r="E10733" s="22" t="str">
        <f>HYPERLINK("https://twitter.com/syuinsen2017/status/922849425805815809","922849425805815809")</f>
        <v>922849425805815809</v>
      </c>
      <c r="F10733" s="23" t="s">
        <v>39</v>
      </c>
      <c r="G10733" s="24">
        <v>84.0</v>
      </c>
      <c r="H10733" s="24">
        <v>770.0</v>
      </c>
      <c r="I10733" s="24">
        <v>16.0</v>
      </c>
      <c r="J10733" s="24">
        <v>0.0</v>
      </c>
      <c r="K10733" s="23" t="s">
        <v>34</v>
      </c>
      <c r="L10733" s="25">
        <v>43013.10052083334</v>
      </c>
      <c r="M10733" s="28"/>
      <c r="N10733" s="28"/>
      <c r="O10733" s="22" t="str">
        <f>HYPERLINK("https://pbs.twimg.com/profile_images/915879308274442240/QytGr1v4_normal.jpg","View")</f>
        <v>View</v>
      </c>
      <c r="P10733" s="27"/>
    </row>
    <row r="10734">
      <c r="A10734" s="14">
        <v>43032.35907407408</v>
      </c>
      <c r="B10734" s="20" t="str">
        <f>HYPERLINK("https://twitter.com/NJagadisha","@NJagadisha")</f>
        <v>@NJagadisha</v>
      </c>
      <c r="C10734" s="21" t="s">
        <v>22725</v>
      </c>
      <c r="D10734" s="21" t="s">
        <v>42</v>
      </c>
      <c r="E10734" s="22" t="str">
        <f>HYPERLINK("https://twitter.com/NJagadisha/status/922849429501100032","922849429501100032")</f>
        <v>922849429501100032</v>
      </c>
      <c r="F10734" s="23" t="s">
        <v>43</v>
      </c>
      <c r="G10734" s="24">
        <v>31.0</v>
      </c>
      <c r="H10734" s="24">
        <v>58.0</v>
      </c>
      <c r="I10734" s="24">
        <v>8501.0</v>
      </c>
      <c r="J10734" s="24">
        <v>0.0</v>
      </c>
      <c r="K10734" s="23" t="s">
        <v>34</v>
      </c>
      <c r="L10734" s="25">
        <v>41865.37966435185</v>
      </c>
      <c r="M10734" s="26" t="s">
        <v>127</v>
      </c>
      <c r="N10734" s="26" t="s">
        <v>22726</v>
      </c>
      <c r="O10734" s="22" t="str">
        <f>HYPERLINK("https://pbs.twimg.com/profile_images/897149012226129921/3oZXfM1C_normal.jpg","View")</f>
        <v>View</v>
      </c>
      <c r="P10734" s="27"/>
    </row>
    <row r="10735">
      <c r="A10735" s="14">
        <v>43032.359375</v>
      </c>
      <c r="B10735" s="20" t="str">
        <f>HYPERLINK("https://twitter.com/Santanu12905083","@Santanu12905083")</f>
        <v>@Santanu12905083</v>
      </c>
      <c r="C10735" s="21" t="s">
        <v>22727</v>
      </c>
      <c r="D10735" s="21" t="s">
        <v>42</v>
      </c>
      <c r="E10735" s="22" t="str">
        <f>HYPERLINK("https://twitter.com/Santanu12905083/status/922849537596600320","922849537596600320")</f>
        <v>922849537596600320</v>
      </c>
      <c r="F10735" s="23" t="s">
        <v>33</v>
      </c>
      <c r="G10735" s="24">
        <v>133.0</v>
      </c>
      <c r="H10735" s="24">
        <v>764.0</v>
      </c>
      <c r="I10735" s="24">
        <v>8501.0</v>
      </c>
      <c r="J10735" s="24">
        <v>0.0</v>
      </c>
      <c r="K10735" s="23" t="s">
        <v>34</v>
      </c>
      <c r="L10735" s="25">
        <v>42503.807175925926</v>
      </c>
      <c r="M10735" s="26" t="s">
        <v>1137</v>
      </c>
      <c r="N10735" s="26" t="s">
        <v>22728</v>
      </c>
      <c r="O10735" s="22" t="str">
        <f>HYPERLINK("https://pbs.twimg.com/profile_images/897050793693532163/mp7LwF5n_normal.jpg","View")</f>
        <v>View</v>
      </c>
      <c r="P10735" s="27"/>
    </row>
    <row r="10736">
      <c r="A10736" s="14">
        <v>43032.360127314816</v>
      </c>
      <c r="B10736" s="20" t="str">
        <f>HYPERLINK("https://twitter.com/DonJohnstonLC","@DonJohnstonLC")</f>
        <v>@DonJohnstonLC</v>
      </c>
      <c r="C10736" s="21" t="s">
        <v>12229</v>
      </c>
      <c r="D10736" s="21" t="s">
        <v>22729</v>
      </c>
      <c r="E10736" s="22" t="str">
        <f>HYPERLINK("https://twitter.com/DonJohnstonLC/status/922849813732962305","922849813732962305")</f>
        <v>922849813732962305</v>
      </c>
      <c r="F10736" s="23" t="s">
        <v>187</v>
      </c>
      <c r="G10736" s="24">
        <v>2843.0</v>
      </c>
      <c r="H10736" s="24">
        <v>782.0</v>
      </c>
      <c r="I10736" s="24">
        <v>0.0</v>
      </c>
      <c r="J10736" s="24">
        <v>0.0</v>
      </c>
      <c r="K10736" s="23" t="s">
        <v>34</v>
      </c>
      <c r="L10736" s="25">
        <v>42518.63056712963</v>
      </c>
      <c r="M10736" s="26" t="s">
        <v>2534</v>
      </c>
      <c r="N10736" s="26" t="s">
        <v>12231</v>
      </c>
      <c r="O10736" s="22" t="str">
        <f>HYPERLINK("https://pbs.twimg.com/profile_images/899843960767643648/x30pTAZ9_normal.jpg","View")</f>
        <v>View</v>
      </c>
      <c r="P10736" s="27"/>
    </row>
    <row r="10737">
      <c r="A10737" s="14">
        <v>43032.36127314815</v>
      </c>
      <c r="B10737" s="20" t="str">
        <f>HYPERLINK("https://twitter.com/business","@business")</f>
        <v>@business</v>
      </c>
      <c r="C10737" s="21" t="s">
        <v>3937</v>
      </c>
      <c r="D10737" s="21" t="s">
        <v>22730</v>
      </c>
      <c r="E10737" s="22" t="str">
        <f>HYPERLINK("https://twitter.com/business/status/922850226620239873","922850226620239873")</f>
        <v>922850226620239873</v>
      </c>
      <c r="F10737" s="23" t="s">
        <v>1103</v>
      </c>
      <c r="G10737" s="24">
        <v>4337400.0</v>
      </c>
      <c r="H10737" s="24">
        <v>1088.0</v>
      </c>
      <c r="I10737" s="24">
        <v>13.0</v>
      </c>
      <c r="J10737" s="24">
        <v>67.0</v>
      </c>
      <c r="K10737" s="23" t="s">
        <v>34</v>
      </c>
      <c r="L10737" s="25">
        <v>39926.545335648145</v>
      </c>
      <c r="M10737" s="26" t="s">
        <v>3939</v>
      </c>
      <c r="N10737" s="26" t="s">
        <v>3940</v>
      </c>
      <c r="O10737" s="22" t="str">
        <f>HYPERLINK("https://pbs.twimg.com/profile_images/714946924105883648/4fgNVF4H_normal.jpg","View")</f>
        <v>View</v>
      </c>
      <c r="P10737" s="27"/>
    </row>
    <row r="10738">
      <c r="A10738" s="14">
        <v>43032.361608796295</v>
      </c>
      <c r="B10738" s="20" t="str">
        <f>HYPERLINK("https://twitter.com/pawankulfp","@pawankulfp")</f>
        <v>@pawankulfp</v>
      </c>
      <c r="C10738" s="21" t="s">
        <v>22731</v>
      </c>
      <c r="D10738" s="21" t="s">
        <v>42</v>
      </c>
      <c r="E10738" s="22" t="str">
        <f>HYPERLINK("https://twitter.com/pawankulfp/status/922850347630043136","922850347630043136")</f>
        <v>922850347630043136</v>
      </c>
      <c r="F10738" s="23" t="s">
        <v>43</v>
      </c>
      <c r="G10738" s="24">
        <v>23.0</v>
      </c>
      <c r="H10738" s="24">
        <v>226.0</v>
      </c>
      <c r="I10738" s="24">
        <v>8501.0</v>
      </c>
      <c r="J10738" s="24">
        <v>0.0</v>
      </c>
      <c r="K10738" s="23" t="s">
        <v>34</v>
      </c>
      <c r="L10738" s="25">
        <v>42022.26188657407</v>
      </c>
      <c r="M10738" s="28"/>
      <c r="N10738" s="26" t="s">
        <v>22732</v>
      </c>
      <c r="O10738" s="22" t="str">
        <f>HYPERLINK("https://pbs.twimg.com/profile_images/572771001281150976/AaO2pYQu_normal.jpeg","View")</f>
        <v>View</v>
      </c>
      <c r="P10738" s="27"/>
    </row>
    <row r="10739">
      <c r="A10739" s="14">
        <v>43032.36164351852</v>
      </c>
      <c r="B10739" s="20" t="str">
        <f>HYPERLINK("https://twitter.com/syuinsen2017","@syuinsen2017")</f>
        <v>@syuinsen2017</v>
      </c>
      <c r="C10739" s="21" t="s">
        <v>22724</v>
      </c>
      <c r="D10739" s="21" t="s">
        <v>22733</v>
      </c>
      <c r="E10739" s="22" t="str">
        <f>HYPERLINK("https://twitter.com/syuinsen2017/status/922850360527503361","922850360527503361")</f>
        <v>922850360527503361</v>
      </c>
      <c r="F10739" s="23" t="s">
        <v>39</v>
      </c>
      <c r="G10739" s="24">
        <v>84.0</v>
      </c>
      <c r="H10739" s="24">
        <v>770.0</v>
      </c>
      <c r="I10739" s="24">
        <v>1.0</v>
      </c>
      <c r="J10739" s="24">
        <v>0.0</v>
      </c>
      <c r="K10739" s="23" t="s">
        <v>34</v>
      </c>
      <c r="L10739" s="25">
        <v>43013.10052083334</v>
      </c>
      <c r="M10739" s="28"/>
      <c r="N10739" s="28"/>
      <c r="O10739" s="22" t="str">
        <f>HYPERLINK("https://pbs.twimg.com/profile_images/915879308274442240/QytGr1v4_normal.jpg","View")</f>
        <v>View</v>
      </c>
      <c r="P10739" s="27"/>
    </row>
    <row r="10740">
      <c r="A10740" s="14">
        <v>43032.36172453704</v>
      </c>
      <c r="B10740" s="20" t="str">
        <f>HYPERLINK("https://twitter.com/Bullish","@Bullish")</f>
        <v>@Bullish</v>
      </c>
      <c r="C10740" s="21" t="s">
        <v>2943</v>
      </c>
      <c r="D10740" s="21" t="s">
        <v>22734</v>
      </c>
      <c r="E10740" s="22" t="str">
        <f>HYPERLINK("https://twitter.com/Bullish/status/922850389950697473","922850389950697473")</f>
        <v>922850389950697473</v>
      </c>
      <c r="F10740" s="23" t="s">
        <v>187</v>
      </c>
      <c r="G10740" s="24">
        <v>184.0</v>
      </c>
      <c r="H10740" s="24">
        <v>87.0</v>
      </c>
      <c r="I10740" s="24">
        <v>0.0</v>
      </c>
      <c r="J10740" s="24">
        <v>0.0</v>
      </c>
      <c r="K10740" s="23" t="s">
        <v>34</v>
      </c>
      <c r="L10740" s="25">
        <v>42618.75304398148</v>
      </c>
      <c r="M10740" s="28"/>
      <c r="N10740" s="28"/>
      <c r="O10740" s="22" t="str">
        <f>HYPERLINK("https://pbs.twimg.com/profile_images/798692093736599552/UikI9dNE_normal.jpg","View")</f>
        <v>View</v>
      </c>
      <c r="P10740" s="27"/>
    </row>
    <row r="10741">
      <c r="A10741" s="14">
        <v>43032.361805555556</v>
      </c>
      <c r="B10741" s="20" t="str">
        <f>HYPERLINK("https://twitter.com/KKagasheki","@KKagasheki")</f>
        <v>@KKagasheki</v>
      </c>
      <c r="C10741" s="21" t="s">
        <v>18805</v>
      </c>
      <c r="D10741" s="21" t="s">
        <v>22735</v>
      </c>
      <c r="E10741" s="22" t="str">
        <f>HYPERLINK("https://twitter.com/KKagasheki/status/922850421793845248","922850421793845248")</f>
        <v>922850421793845248</v>
      </c>
      <c r="F10741" s="23" t="s">
        <v>39</v>
      </c>
      <c r="G10741" s="24">
        <v>24038.0</v>
      </c>
      <c r="H10741" s="24">
        <v>1365.0</v>
      </c>
      <c r="I10741" s="24">
        <v>13.0</v>
      </c>
      <c r="J10741" s="24">
        <v>0.0</v>
      </c>
      <c r="K10741" s="23" t="s">
        <v>34</v>
      </c>
      <c r="L10741" s="25">
        <v>39903.517789351856</v>
      </c>
      <c r="M10741" s="26" t="s">
        <v>18806</v>
      </c>
      <c r="N10741" s="26" t="s">
        <v>18807</v>
      </c>
      <c r="O10741" s="22" t="str">
        <f>HYPERLINK("https://pbs.twimg.com/profile_images/851303769669341184/GPBwX6ur_normal.jpg","View")</f>
        <v>View</v>
      </c>
      <c r="P10741" s="27"/>
    </row>
    <row r="10742">
      <c r="A10742" s="14">
        <v>43032.361875</v>
      </c>
      <c r="B10742" s="20" t="str">
        <f>HYPERLINK("https://twitter.com/azidamidej","@azidamidej")</f>
        <v>@azidamidej</v>
      </c>
      <c r="C10742" s="21" t="s">
        <v>22736</v>
      </c>
      <c r="D10742" s="21" t="s">
        <v>22735</v>
      </c>
      <c r="E10742" s="22" t="str">
        <f>HYPERLINK("https://twitter.com/azidamidej/status/922850445067894785","922850445067894785")</f>
        <v>922850445067894785</v>
      </c>
      <c r="F10742" s="23" t="s">
        <v>39</v>
      </c>
      <c r="G10742" s="24">
        <v>1499.0</v>
      </c>
      <c r="H10742" s="24">
        <v>2329.0</v>
      </c>
      <c r="I10742" s="24">
        <v>13.0</v>
      </c>
      <c r="J10742" s="24">
        <v>0.0</v>
      </c>
      <c r="K10742" s="23" t="s">
        <v>34</v>
      </c>
      <c r="L10742" s="25">
        <v>41151.93164351852</v>
      </c>
      <c r="M10742" s="26" t="s">
        <v>22737</v>
      </c>
      <c r="N10742" s="26" t="s">
        <v>22738</v>
      </c>
      <c r="O10742" s="22" t="str">
        <f>HYPERLINK("https://pbs.twimg.com/profile_images/877960443683262464/3jnX3i4r_normal.jpg","View")</f>
        <v>View</v>
      </c>
      <c r="P10742" s="27"/>
    </row>
    <row r="10743">
      <c r="A10743" s="14">
        <v>43032.36194444445</v>
      </c>
      <c r="B10743" s="20" t="str">
        <f>HYPERLINK("https://twitter.com/RyanGrieveAB","@RyanGrieveAB")</f>
        <v>@RyanGrieveAB</v>
      </c>
      <c r="C10743" s="21" t="s">
        <v>22739</v>
      </c>
      <c r="D10743" s="21" t="s">
        <v>17675</v>
      </c>
      <c r="E10743" s="22" t="str">
        <f>HYPERLINK("https://twitter.com/RyanGrieveAB/status/922850471961755648","922850471961755648")</f>
        <v>922850471961755648</v>
      </c>
      <c r="F10743" s="23" t="s">
        <v>769</v>
      </c>
      <c r="G10743" s="24">
        <v>509.0</v>
      </c>
      <c r="H10743" s="24">
        <v>2081.0</v>
      </c>
      <c r="I10743" s="24">
        <v>18.0</v>
      </c>
      <c r="J10743" s="24">
        <v>0.0</v>
      </c>
      <c r="K10743" s="23" t="s">
        <v>34</v>
      </c>
      <c r="L10743" s="25">
        <v>42330.65488425926</v>
      </c>
      <c r="M10743" s="26" t="s">
        <v>12367</v>
      </c>
      <c r="N10743" s="26" t="s">
        <v>22740</v>
      </c>
      <c r="O10743" s="22" t="str">
        <f>HYPERLINK("https://pbs.twimg.com/profile_images/850895868165148672/C9zwcM4D_normal.jpg","View")</f>
        <v>View</v>
      </c>
      <c r="P10743" s="27"/>
    </row>
    <row r="10744">
      <c r="A10744" s="14">
        <v>43032.36200231481</v>
      </c>
      <c r="B10744" s="20" t="str">
        <f>HYPERLINK("https://twitter.com/batt1972","@batt1972")</f>
        <v>@batt1972</v>
      </c>
      <c r="C10744" s="21" t="s">
        <v>22741</v>
      </c>
      <c r="D10744" s="21" t="s">
        <v>22735</v>
      </c>
      <c r="E10744" s="22" t="str">
        <f>HYPERLINK("https://twitter.com/batt1972/status/922850492681617408","922850492681617408")</f>
        <v>922850492681617408</v>
      </c>
      <c r="F10744" s="23" t="s">
        <v>39</v>
      </c>
      <c r="G10744" s="24">
        <v>11036.0</v>
      </c>
      <c r="H10744" s="24">
        <v>271.0</v>
      </c>
      <c r="I10744" s="24">
        <v>13.0</v>
      </c>
      <c r="J10744" s="24">
        <v>0.0</v>
      </c>
      <c r="K10744" s="23" t="s">
        <v>34</v>
      </c>
      <c r="L10744" s="25">
        <v>41296.712685185186</v>
      </c>
      <c r="M10744" s="26" t="s">
        <v>18994</v>
      </c>
      <c r="N10744" s="26" t="s">
        <v>22742</v>
      </c>
      <c r="O10744" s="22" t="str">
        <f>HYPERLINK("https://pbs.twimg.com/profile_images/912977788424011776/vDE1yxVm_normal.jpg","View")</f>
        <v>View</v>
      </c>
      <c r="P10744" s="27"/>
    </row>
    <row r="10745">
      <c r="A10745" s="14">
        <v>43032.362025462964</v>
      </c>
      <c r="B10745" s="20" t="str">
        <f>HYPERLINK("https://twitter.com/lillys_news","@lillys_news")</f>
        <v>@lillys_news</v>
      </c>
      <c r="C10745" s="21" t="s">
        <v>22743</v>
      </c>
      <c r="D10745" s="21" t="s">
        <v>22744</v>
      </c>
      <c r="E10745" s="22" t="str">
        <f>HYPERLINK("https://twitter.com/lillys_news/status/922850499455537152","922850499455537152")</f>
        <v>922850499455537152</v>
      </c>
      <c r="F10745" s="23" t="s">
        <v>39</v>
      </c>
      <c r="G10745" s="24">
        <v>3338.0</v>
      </c>
      <c r="H10745" s="24">
        <v>2595.0</v>
      </c>
      <c r="I10745" s="24">
        <v>0.0</v>
      </c>
      <c r="J10745" s="24">
        <v>0.0</v>
      </c>
      <c r="K10745" s="23" t="s">
        <v>34</v>
      </c>
      <c r="L10745" s="25">
        <v>41917.03695601852</v>
      </c>
      <c r="M10745" s="26" t="s">
        <v>905</v>
      </c>
      <c r="N10745" s="26" t="s">
        <v>22745</v>
      </c>
      <c r="O10745" s="22" t="str">
        <f>HYPERLINK("https://pbs.twimg.com/profile_images/892057468460773378/K1qWSkvB_normal.jpg","View")</f>
        <v>View</v>
      </c>
      <c r="P10745" s="27"/>
    </row>
    <row r="10746">
      <c r="A10746" s="14">
        <v>43032.36210648148</v>
      </c>
      <c r="B10746" s="20" t="str">
        <f>HYPERLINK("https://twitter.com/shailendra_nair","@shailendra_nair")</f>
        <v>@shailendra_nair</v>
      </c>
      <c r="C10746" s="21" t="s">
        <v>4072</v>
      </c>
      <c r="D10746" s="21" t="s">
        <v>22746</v>
      </c>
      <c r="E10746" s="22" t="str">
        <f>HYPERLINK("https://twitter.com/shailendra_nair/status/922850527641083906","922850527641083906")</f>
        <v>922850527641083906</v>
      </c>
      <c r="F10746" s="23" t="s">
        <v>187</v>
      </c>
      <c r="G10746" s="24">
        <v>3990.0</v>
      </c>
      <c r="H10746" s="24">
        <v>1041.0</v>
      </c>
      <c r="I10746" s="24">
        <v>0.0</v>
      </c>
      <c r="J10746" s="24">
        <v>0.0</v>
      </c>
      <c r="K10746" s="23" t="s">
        <v>34</v>
      </c>
      <c r="L10746" s="25">
        <v>40362.43798611111</v>
      </c>
      <c r="M10746" s="26" t="s">
        <v>246</v>
      </c>
      <c r="N10746" s="26" t="s">
        <v>4074</v>
      </c>
      <c r="O10746" s="22" t="str">
        <f>HYPERLINK("https://pbs.twimg.com/profile_images/884758468879466497/M_w6UjD3_normal.jpg","View")</f>
        <v>View</v>
      </c>
      <c r="P10746" s="27"/>
    </row>
    <row r="10747">
      <c r="A10747" s="14">
        <v>43032.36212962963</v>
      </c>
      <c r="B10747" s="20" t="str">
        <f>HYPERLINK("https://twitter.com/AshokAwasthi64","@AshokAwasthi64")</f>
        <v>@AshokAwasthi64</v>
      </c>
      <c r="C10747" s="21" t="s">
        <v>20307</v>
      </c>
      <c r="D10747" s="21" t="s">
        <v>42</v>
      </c>
      <c r="E10747" s="22" t="str">
        <f>HYPERLINK("https://twitter.com/AshokAwasthi64/status/922850537355149317","922850537355149317")</f>
        <v>922850537355149317</v>
      </c>
      <c r="F10747" s="23" t="s">
        <v>39</v>
      </c>
      <c r="G10747" s="24">
        <v>298.0</v>
      </c>
      <c r="H10747" s="24">
        <v>70.0</v>
      </c>
      <c r="I10747" s="24">
        <v>8501.0</v>
      </c>
      <c r="J10747" s="24">
        <v>0.0</v>
      </c>
      <c r="K10747" s="23" t="s">
        <v>34</v>
      </c>
      <c r="L10747" s="25">
        <v>40843.989074074074</v>
      </c>
      <c r="M10747" s="26" t="s">
        <v>204</v>
      </c>
      <c r="N10747" s="28"/>
      <c r="O10747" s="22" t="str">
        <f>HYPERLINK("https://pbs.twimg.com/profile_images/802875491011076098/6ZeYnMQB_normal.jpg","View")</f>
        <v>View</v>
      </c>
      <c r="P10747" s="27"/>
    </row>
    <row r="10748">
      <c r="A10748" s="14">
        <v>43032.36222222222</v>
      </c>
      <c r="B10748" s="20" t="str">
        <f>HYPERLINK("https://twitter.com/fx9509","@fx9509")</f>
        <v>@fx9509</v>
      </c>
      <c r="C10748" s="21" t="s">
        <v>22747</v>
      </c>
      <c r="D10748" s="21" t="s">
        <v>22748</v>
      </c>
      <c r="E10748" s="22" t="str">
        <f>HYPERLINK("https://twitter.com/fx9509/status/922850569282359296","922850569282359296")</f>
        <v>922850569282359296</v>
      </c>
      <c r="F10748" s="23" t="s">
        <v>55</v>
      </c>
      <c r="G10748" s="24">
        <v>0.0</v>
      </c>
      <c r="H10748" s="24">
        <v>4.0</v>
      </c>
      <c r="I10748" s="24">
        <v>0.0</v>
      </c>
      <c r="J10748" s="24">
        <v>0.0</v>
      </c>
      <c r="K10748" s="23" t="s">
        <v>34</v>
      </c>
      <c r="L10748" s="25">
        <v>42761.6630787037</v>
      </c>
      <c r="M10748" s="28"/>
      <c r="N10748" s="28"/>
      <c r="O10748" s="22" t="str">
        <f>HYPERLINK("https://abs.twimg.com/sticky/default_profile_images/default_profile_normal.png","View")</f>
        <v>View</v>
      </c>
      <c r="P10748" s="27"/>
    </row>
    <row r="10749">
      <c r="A10749" s="14">
        <v>43032.362534722226</v>
      </c>
      <c r="B10749" s="20" t="str">
        <f>HYPERLINK("https://twitter.com/gelenyarilez","@gelenyarilez")</f>
        <v>@gelenyarilez</v>
      </c>
      <c r="C10749" s="21" t="s">
        <v>22749</v>
      </c>
      <c r="D10749" s="21" t="s">
        <v>16537</v>
      </c>
      <c r="E10749" s="22" t="str">
        <f>HYPERLINK("https://twitter.com/gelenyarilez/status/922850686144049152","922850686144049152")</f>
        <v>922850686144049152</v>
      </c>
      <c r="F10749" s="23" t="s">
        <v>33</v>
      </c>
      <c r="G10749" s="24">
        <v>641.0</v>
      </c>
      <c r="H10749" s="24">
        <v>286.0</v>
      </c>
      <c r="I10749" s="24">
        <v>242.0</v>
      </c>
      <c r="J10749" s="24">
        <v>0.0</v>
      </c>
      <c r="K10749" s="23" t="s">
        <v>34</v>
      </c>
      <c r="L10749" s="25">
        <v>42084.15341435185</v>
      </c>
      <c r="M10749" s="26" t="s">
        <v>1250</v>
      </c>
      <c r="N10749" s="26" t="s">
        <v>22750</v>
      </c>
      <c r="O10749" s="22" t="str">
        <f>HYPERLINK("https://pbs.twimg.com/profile_images/922936954957778944/cPPHUcA8_normal.jpg","View")</f>
        <v>View</v>
      </c>
      <c r="P10749" s="27"/>
    </row>
    <row r="10750">
      <c r="A10750" s="14">
        <v>43032.36268518519</v>
      </c>
      <c r="B10750" s="20" t="str">
        <f>HYPERLINK("https://twitter.com/goodtillclose","@goodtillclose")</f>
        <v>@goodtillclose</v>
      </c>
      <c r="C10750" s="21" t="s">
        <v>1299</v>
      </c>
      <c r="D10750" s="21" t="s">
        <v>22735</v>
      </c>
      <c r="E10750" s="22" t="str">
        <f>HYPERLINK("https://twitter.com/goodtillclose/status/922850738962710528","922850738962710528")</f>
        <v>922850738962710528</v>
      </c>
      <c r="F10750" s="23" t="s">
        <v>769</v>
      </c>
      <c r="G10750" s="24">
        <v>357.0</v>
      </c>
      <c r="H10750" s="24">
        <v>73.0</v>
      </c>
      <c r="I10750" s="24">
        <v>13.0</v>
      </c>
      <c r="J10750" s="24">
        <v>0.0</v>
      </c>
      <c r="K10750" s="23" t="s">
        <v>34</v>
      </c>
      <c r="L10750" s="25">
        <v>41623.33221064815</v>
      </c>
      <c r="M10750" s="28"/>
      <c r="N10750" s="26" t="s">
        <v>22751</v>
      </c>
      <c r="O10750" s="22" t="str">
        <f>HYPERLINK("https://pbs.twimg.com/profile_images/910670345555689473/7FD19cQo_normal.jpg","View")</f>
        <v>View</v>
      </c>
      <c r="P10750" s="27"/>
    </row>
    <row r="10751">
      <c r="A10751" s="14">
        <v>43032.3627662037</v>
      </c>
      <c r="B10751" s="20" t="str">
        <f>HYPERLINK("https://twitter.com/singhash","@singhash")</f>
        <v>@singhash</v>
      </c>
      <c r="C10751" s="21" t="s">
        <v>22752</v>
      </c>
      <c r="D10751" s="21" t="s">
        <v>163</v>
      </c>
      <c r="E10751" s="22" t="str">
        <f>HYPERLINK("https://twitter.com/singhash/status/922850768113356805","922850768113356805")</f>
        <v>922850768113356805</v>
      </c>
      <c r="F10751" s="23" t="s">
        <v>39</v>
      </c>
      <c r="G10751" s="24">
        <v>93.0</v>
      </c>
      <c r="H10751" s="24">
        <v>24.0</v>
      </c>
      <c r="I10751" s="24">
        <v>1005.0</v>
      </c>
      <c r="J10751" s="24">
        <v>0.0</v>
      </c>
      <c r="K10751" s="23" t="s">
        <v>34</v>
      </c>
      <c r="L10751" s="25">
        <v>39973.248402777775</v>
      </c>
      <c r="M10751" s="26" t="s">
        <v>10709</v>
      </c>
      <c r="N10751" s="26" t="s">
        <v>22753</v>
      </c>
      <c r="O10751" s="22" t="str">
        <f>HYPERLINK("https://pbs.twimg.com/profile_images/843987960009805824/-DNzI2M-_normal.jpg","View")</f>
        <v>View</v>
      </c>
      <c r="P10751" s="27"/>
    </row>
    <row r="10752">
      <c r="A10752" s="14">
        <v>43032.362858796296</v>
      </c>
      <c r="B10752" s="20" t="str">
        <f>HYPERLINK("https://twitter.com/rundlaJitendra","@rundlaJitendra")</f>
        <v>@rundlaJitendra</v>
      </c>
      <c r="C10752" s="21" t="s">
        <v>22754</v>
      </c>
      <c r="D10752" s="21" t="s">
        <v>42</v>
      </c>
      <c r="E10752" s="22" t="str">
        <f>HYPERLINK("https://twitter.com/rundlaJitendra/status/922850803584442368","922850803584442368")</f>
        <v>922850803584442368</v>
      </c>
      <c r="F10752" s="23" t="s">
        <v>33</v>
      </c>
      <c r="G10752" s="24">
        <v>102.0</v>
      </c>
      <c r="H10752" s="24">
        <v>215.0</v>
      </c>
      <c r="I10752" s="24">
        <v>8501.0</v>
      </c>
      <c r="J10752" s="24">
        <v>0.0</v>
      </c>
      <c r="K10752" s="23" t="s">
        <v>34</v>
      </c>
      <c r="L10752" s="25">
        <v>42809.50921296296</v>
      </c>
      <c r="M10752" s="28"/>
      <c r="N10752" s="28"/>
      <c r="O10752" s="22" t="str">
        <f>HYPERLINK("https://pbs.twimg.com/profile_images/857554733707526144/M0qdmt8N_normal.jpg","View")</f>
        <v>View</v>
      </c>
      <c r="P10752" s="27"/>
    </row>
    <row r="10753">
      <c r="A10753" s="14">
        <v>43032.36287037037</v>
      </c>
      <c r="B10753" s="20" t="str">
        <f>HYPERLINK("https://twitter.com/AnandTi94042935","@AnandTi94042935")</f>
        <v>@AnandTi94042935</v>
      </c>
      <c r="C10753" s="21" t="s">
        <v>22755</v>
      </c>
      <c r="D10753" s="21" t="s">
        <v>163</v>
      </c>
      <c r="E10753" s="22" t="str">
        <f>HYPERLINK("https://twitter.com/AnandTi94042935/status/922850806423891968","922850806423891968")</f>
        <v>922850806423891968</v>
      </c>
      <c r="F10753" s="23" t="s">
        <v>33</v>
      </c>
      <c r="G10753" s="24">
        <v>72.0</v>
      </c>
      <c r="H10753" s="24">
        <v>258.0</v>
      </c>
      <c r="I10753" s="24">
        <v>1005.0</v>
      </c>
      <c r="J10753" s="24">
        <v>0.0</v>
      </c>
      <c r="K10753" s="23" t="s">
        <v>34</v>
      </c>
      <c r="L10753" s="25">
        <v>42976.05616898148</v>
      </c>
      <c r="M10753" s="28"/>
      <c r="N10753" s="28"/>
      <c r="O10753" s="22" t="str">
        <f>HYPERLINK("https://abs.twimg.com/sticky/default_profile_images/default_profile_normal.png","View")</f>
        <v>View</v>
      </c>
      <c r="P10753" s="27"/>
    </row>
    <row r="10754">
      <c r="A10754" s="14">
        <v>43032.36300925926</v>
      </c>
      <c r="B10754" s="20" t="str">
        <f>HYPERLINK("https://twitter.com/AliEesq","@AliEesq")</f>
        <v>@AliEesq</v>
      </c>
      <c r="C10754" s="21" t="s">
        <v>22756</v>
      </c>
      <c r="D10754" s="21" t="s">
        <v>22757</v>
      </c>
      <c r="E10754" s="22" t="str">
        <f>HYPERLINK("https://twitter.com/AliEesq/status/922850856231464960","922850856231464960")</f>
        <v>922850856231464960</v>
      </c>
      <c r="F10754" s="23" t="s">
        <v>187</v>
      </c>
      <c r="G10754" s="24">
        <v>454.0</v>
      </c>
      <c r="H10754" s="24">
        <v>265.0</v>
      </c>
      <c r="I10754" s="24">
        <v>0.0</v>
      </c>
      <c r="J10754" s="24">
        <v>0.0</v>
      </c>
      <c r="K10754" s="23" t="s">
        <v>34</v>
      </c>
      <c r="L10754" s="25">
        <v>40497.4327199074</v>
      </c>
      <c r="M10754" s="26" t="s">
        <v>22758</v>
      </c>
      <c r="N10754" s="26" t="s">
        <v>22759</v>
      </c>
      <c r="O10754" s="22" t="str">
        <f>HYPERLINK("https://pbs.twimg.com/profile_images/853795983016079360/SuOOs5fi_normal.jpg","View")</f>
        <v>View</v>
      </c>
      <c r="P10754" s="27"/>
    </row>
    <row r="10755">
      <c r="A10755" s="14">
        <v>43032.3640625</v>
      </c>
      <c r="B10755" s="20" t="str">
        <f>HYPERLINK("https://twitter.com/FallySomboNkhwa","@FallySomboNkhwa")</f>
        <v>@FallySomboNkhwa</v>
      </c>
      <c r="C10755" s="21" t="s">
        <v>4279</v>
      </c>
      <c r="D10755" s="21" t="s">
        <v>22760</v>
      </c>
      <c r="E10755" s="22" t="str">
        <f>HYPERLINK("https://twitter.com/FallySomboNkhwa/status/922851236885483520","922851236885483520")</f>
        <v>922851236885483520</v>
      </c>
      <c r="F10755" s="23" t="s">
        <v>187</v>
      </c>
      <c r="G10755" s="24">
        <v>406.0</v>
      </c>
      <c r="H10755" s="24">
        <v>2189.0</v>
      </c>
      <c r="I10755" s="24">
        <v>0.0</v>
      </c>
      <c r="J10755" s="24">
        <v>0.0</v>
      </c>
      <c r="K10755" s="23" t="s">
        <v>34</v>
      </c>
      <c r="L10755" s="25">
        <v>41551.82041666667</v>
      </c>
      <c r="M10755" s="26" t="s">
        <v>4281</v>
      </c>
      <c r="N10755" s="26" t="s">
        <v>4282</v>
      </c>
      <c r="O10755" s="22" t="str">
        <f>HYPERLINK("https://pbs.twimg.com/profile_images/543761133505503235/pKcg8bc2_normal.jpeg","View")</f>
        <v>View</v>
      </c>
      <c r="P10755" s="27"/>
    </row>
    <row r="10756">
      <c r="A10756" s="14">
        <v>43032.36429398148</v>
      </c>
      <c r="B10756" s="20" t="str">
        <f>HYPERLINK("https://twitter.com/Phylayria","@Phylayria")</f>
        <v>@Phylayria</v>
      </c>
      <c r="C10756" s="21" t="s">
        <v>22761</v>
      </c>
      <c r="D10756" s="21" t="s">
        <v>22735</v>
      </c>
      <c r="E10756" s="22" t="str">
        <f>HYPERLINK("https://twitter.com/Phylayria/status/922851323204206592","922851323204206592")</f>
        <v>922851323204206592</v>
      </c>
      <c r="F10756" s="23" t="s">
        <v>39</v>
      </c>
      <c r="G10756" s="24">
        <v>31.0</v>
      </c>
      <c r="H10756" s="24">
        <v>270.0</v>
      </c>
      <c r="I10756" s="24">
        <v>13.0</v>
      </c>
      <c r="J10756" s="24">
        <v>0.0</v>
      </c>
      <c r="K10756" s="23" t="s">
        <v>34</v>
      </c>
      <c r="L10756" s="25">
        <v>42046.785787037035</v>
      </c>
      <c r="M10756" s="26" t="s">
        <v>3026</v>
      </c>
      <c r="N10756" s="26" t="s">
        <v>22762</v>
      </c>
      <c r="O10756" s="22" t="str">
        <f>HYPERLINK("https://pbs.twimg.com/profile_images/870487641250308096/oYAhrZA4_normal.jpg","View")</f>
        <v>View</v>
      </c>
      <c r="P10756" s="27"/>
    </row>
    <row r="10757">
      <c r="A10757" s="14">
        <v>43032.36443287037</v>
      </c>
      <c r="B10757" s="20" t="str">
        <f>HYPERLINK("https://twitter.com/serge_poznanski","@serge_poznanski")</f>
        <v>@serge_poznanski</v>
      </c>
      <c r="C10757" s="21" t="s">
        <v>2763</v>
      </c>
      <c r="D10757" s="21" t="s">
        <v>22763</v>
      </c>
      <c r="E10757" s="22" t="str">
        <f>HYPERLINK("https://twitter.com/serge_poznanski/status/922851374005669888","922851374005669888")</f>
        <v>922851374005669888</v>
      </c>
      <c r="F10757" s="23" t="s">
        <v>187</v>
      </c>
      <c r="G10757" s="24">
        <v>1438.0</v>
      </c>
      <c r="H10757" s="24">
        <v>2138.0</v>
      </c>
      <c r="I10757" s="24">
        <v>0.0</v>
      </c>
      <c r="J10757" s="24">
        <v>0.0</v>
      </c>
      <c r="K10757" s="23" t="s">
        <v>34</v>
      </c>
      <c r="L10757" s="25">
        <v>42271.47445601852</v>
      </c>
      <c r="M10757" s="28"/>
      <c r="N10757" s="28"/>
      <c r="O10757" s="22" t="str">
        <f>HYPERLINK("https://pbs.twimg.com/profile_images/647277253240291328/3GezjFCJ_normal.jpg","View")</f>
        <v>View</v>
      </c>
      <c r="P10757" s="27"/>
    </row>
    <row r="10758">
      <c r="A10758" s="14">
        <v>43032.36476851851</v>
      </c>
      <c r="B10758" s="20" t="str">
        <f>HYPERLINK("https://twitter.com/ASHRAFisHONOR","@ASHRAFisHONOR")</f>
        <v>@ASHRAFisHONOR</v>
      </c>
      <c r="C10758" s="21" t="s">
        <v>22764</v>
      </c>
      <c r="D10758" s="21" t="s">
        <v>21202</v>
      </c>
      <c r="E10758" s="22" t="str">
        <f>HYPERLINK("https://twitter.com/ASHRAFisHONOR/status/922851493887164416","922851493887164416")</f>
        <v>922851493887164416</v>
      </c>
      <c r="F10758" s="23" t="s">
        <v>86</v>
      </c>
      <c r="G10758" s="24">
        <v>636.0</v>
      </c>
      <c r="H10758" s="24">
        <v>377.0</v>
      </c>
      <c r="I10758" s="24">
        <v>79.0</v>
      </c>
      <c r="J10758" s="24">
        <v>0.0</v>
      </c>
      <c r="K10758" s="23" t="s">
        <v>34</v>
      </c>
      <c r="L10758" s="25">
        <v>41540.037314814814</v>
      </c>
      <c r="M10758" s="26" t="s">
        <v>11949</v>
      </c>
      <c r="N10758" s="26" t="s">
        <v>22765</v>
      </c>
      <c r="O10758" s="22" t="str">
        <f>HYPERLINK("https://pbs.twimg.com/profile_images/378800000496704997/4b5f58c2fba625ca91470d81193219fa_normal.jpeg","View")</f>
        <v>View</v>
      </c>
      <c r="P10758" s="27"/>
    </row>
    <row r="10759">
      <c r="A10759" s="14">
        <v>43032.36534722222</v>
      </c>
      <c r="B10759" s="20" t="str">
        <f>HYPERLINK("https://twitter.com/brettsmorris","@brettsmorris")</f>
        <v>@brettsmorris</v>
      </c>
      <c r="C10759" s="21" t="s">
        <v>22766</v>
      </c>
      <c r="D10759" s="21" t="s">
        <v>22767</v>
      </c>
      <c r="E10759" s="22" t="str">
        <f>HYPERLINK("https://twitter.com/brettsmorris/status/922851701601615872","922851701601615872")</f>
        <v>922851701601615872</v>
      </c>
      <c r="F10759" s="23" t="s">
        <v>55</v>
      </c>
      <c r="G10759" s="24">
        <v>116.0</v>
      </c>
      <c r="H10759" s="24">
        <v>48.0</v>
      </c>
      <c r="I10759" s="24">
        <v>0.0</v>
      </c>
      <c r="J10759" s="24">
        <v>0.0</v>
      </c>
      <c r="K10759" s="23" t="s">
        <v>34</v>
      </c>
      <c r="L10759" s="25">
        <v>42447.40457175926</v>
      </c>
      <c r="M10759" s="28"/>
      <c r="N10759" s="26" t="s">
        <v>22768</v>
      </c>
      <c r="O10759" s="22" t="str">
        <f>HYPERLINK("https://pbs.twimg.com/profile_images/808054688444600320/VdMDoaLr_normal.jpg","View")</f>
        <v>View</v>
      </c>
      <c r="P10759" s="27"/>
    </row>
    <row r="10760">
      <c r="A10760" s="14">
        <v>43032.36541666667</v>
      </c>
      <c r="B10760" s="20" t="str">
        <f>HYPERLINK("https://twitter.com/ASHRAFisHONOR","@ASHRAFisHONOR")</f>
        <v>@ASHRAFisHONOR</v>
      </c>
      <c r="C10760" s="21" t="s">
        <v>22764</v>
      </c>
      <c r="D10760" s="21" t="s">
        <v>21203</v>
      </c>
      <c r="E10760" s="22" t="str">
        <f>HYPERLINK("https://twitter.com/ASHRAFisHONOR/status/922851728575184897","922851728575184897")</f>
        <v>922851728575184897</v>
      </c>
      <c r="F10760" s="23" t="s">
        <v>86</v>
      </c>
      <c r="G10760" s="24">
        <v>636.0</v>
      </c>
      <c r="H10760" s="24">
        <v>377.0</v>
      </c>
      <c r="I10760" s="24">
        <v>75.0</v>
      </c>
      <c r="J10760" s="24">
        <v>0.0</v>
      </c>
      <c r="K10760" s="23" t="s">
        <v>34</v>
      </c>
      <c r="L10760" s="25">
        <v>41540.037314814814</v>
      </c>
      <c r="M10760" s="26" t="s">
        <v>11949</v>
      </c>
      <c r="N10760" s="26" t="s">
        <v>22765</v>
      </c>
      <c r="O10760" s="22" t="str">
        <f>HYPERLINK("https://pbs.twimg.com/profile_images/378800000496704997/4b5f58c2fba625ca91470d81193219fa_normal.jpeg","View")</f>
        <v>View</v>
      </c>
      <c r="P10760" s="27"/>
    </row>
    <row r="10761">
      <c r="A10761" s="14">
        <v>43032.36579861111</v>
      </c>
      <c r="B10761" s="20" t="str">
        <f>HYPERLINK("https://twitter.com/arefizadi1","@arefizadi1")</f>
        <v>@arefizadi1</v>
      </c>
      <c r="C10761" s="21" t="s">
        <v>22769</v>
      </c>
      <c r="D10761" s="21" t="s">
        <v>21202</v>
      </c>
      <c r="E10761" s="22" t="str">
        <f>HYPERLINK("https://twitter.com/arefizadi1/status/922851866303590400","922851866303590400")</f>
        <v>922851866303590400</v>
      </c>
      <c r="F10761" s="23" t="s">
        <v>86</v>
      </c>
      <c r="G10761" s="24">
        <v>134.0</v>
      </c>
      <c r="H10761" s="24">
        <v>118.0</v>
      </c>
      <c r="I10761" s="24">
        <v>79.0</v>
      </c>
      <c r="J10761" s="24">
        <v>0.0</v>
      </c>
      <c r="K10761" s="23" t="s">
        <v>34</v>
      </c>
      <c r="L10761" s="25">
        <v>41777.14518518519</v>
      </c>
      <c r="M10761" s="26" t="s">
        <v>11949</v>
      </c>
      <c r="N10761" s="26" t="s">
        <v>2671</v>
      </c>
      <c r="O10761" s="22" t="str">
        <f>HYPERLINK("https://pbs.twimg.com/profile_images/467976553612050432/r2wF5Lil_normal.jpeg","View")</f>
        <v>View</v>
      </c>
      <c r="P10761" s="27"/>
    </row>
    <row r="10762">
      <c r="A10762" s="14">
        <v>43032.36582175926</v>
      </c>
      <c r="B10762" s="20" t="str">
        <f>HYPERLINK("https://twitter.com/mlnangalama","@mlnangalama")</f>
        <v>@mlnangalama</v>
      </c>
      <c r="C10762" s="21" t="s">
        <v>925</v>
      </c>
      <c r="D10762" s="21" t="s">
        <v>22770</v>
      </c>
      <c r="E10762" s="22" t="str">
        <f>HYPERLINK("https://twitter.com/mlnangalama/status/922851873715052550","922851873715052550")</f>
        <v>922851873715052550</v>
      </c>
      <c r="F10762" s="23" t="s">
        <v>187</v>
      </c>
      <c r="G10762" s="24">
        <v>2366.0</v>
      </c>
      <c r="H10762" s="24">
        <v>1582.0</v>
      </c>
      <c r="I10762" s="24">
        <v>0.0</v>
      </c>
      <c r="J10762" s="24">
        <v>0.0</v>
      </c>
      <c r="K10762" s="23" t="s">
        <v>34</v>
      </c>
      <c r="L10762" s="25">
        <v>41041.54378472222</v>
      </c>
      <c r="M10762" s="26" t="s">
        <v>927</v>
      </c>
      <c r="N10762" s="26" t="s">
        <v>928</v>
      </c>
      <c r="O10762" s="22" t="str">
        <f>HYPERLINK("https://pbs.twimg.com/profile_images/900915882444173313/biUHzvpx_normal.jpg","View")</f>
        <v>View</v>
      </c>
      <c r="P10762" s="27"/>
    </row>
    <row r="10763">
      <c r="A10763" s="14">
        <v>43032.366064814814</v>
      </c>
      <c r="B10763" s="20" t="str">
        <f>HYPERLINK("https://twitter.com/ASHRAFisHONOR","@ASHRAFisHONOR")</f>
        <v>@ASHRAFisHONOR</v>
      </c>
      <c r="C10763" s="21" t="s">
        <v>22764</v>
      </c>
      <c r="D10763" s="21" t="s">
        <v>21243</v>
      </c>
      <c r="E10763" s="22" t="str">
        <f>HYPERLINK("https://twitter.com/ASHRAFisHONOR/status/922851962734895104","922851962734895104")</f>
        <v>922851962734895104</v>
      </c>
      <c r="F10763" s="23" t="s">
        <v>86</v>
      </c>
      <c r="G10763" s="24">
        <v>636.0</v>
      </c>
      <c r="H10763" s="24">
        <v>377.0</v>
      </c>
      <c r="I10763" s="24">
        <v>41.0</v>
      </c>
      <c r="J10763" s="24">
        <v>0.0</v>
      </c>
      <c r="K10763" s="23" t="s">
        <v>34</v>
      </c>
      <c r="L10763" s="25">
        <v>41540.037314814814</v>
      </c>
      <c r="M10763" s="26" t="s">
        <v>11949</v>
      </c>
      <c r="N10763" s="26" t="s">
        <v>22765</v>
      </c>
      <c r="O10763" s="22" t="str">
        <f>HYPERLINK("https://pbs.twimg.com/profile_images/378800000496704997/4b5f58c2fba625ca91470d81193219fa_normal.jpeg","View")</f>
        <v>View</v>
      </c>
      <c r="P10763" s="27"/>
    </row>
    <row r="10764">
      <c r="A10764" s="14">
        <v>43032.36634259259</v>
      </c>
      <c r="B10764" s="20" t="str">
        <f>HYPERLINK("https://twitter.com/arichatt","@arichatt")</f>
        <v>@arichatt</v>
      </c>
      <c r="C10764" s="21" t="s">
        <v>22771</v>
      </c>
      <c r="D10764" s="21" t="s">
        <v>22735</v>
      </c>
      <c r="E10764" s="22" t="str">
        <f>HYPERLINK("https://twitter.com/arichatt/status/922852062395736064","922852062395736064")</f>
        <v>922852062395736064</v>
      </c>
      <c r="F10764" s="23" t="s">
        <v>33</v>
      </c>
      <c r="G10764" s="24">
        <v>797.0</v>
      </c>
      <c r="H10764" s="24">
        <v>1134.0</v>
      </c>
      <c r="I10764" s="24">
        <v>13.0</v>
      </c>
      <c r="J10764" s="24">
        <v>0.0</v>
      </c>
      <c r="K10764" s="23" t="s">
        <v>34</v>
      </c>
      <c r="L10764" s="25">
        <v>40299.194861111115</v>
      </c>
      <c r="M10764" s="26" t="s">
        <v>22772</v>
      </c>
      <c r="N10764" s="26" t="s">
        <v>22773</v>
      </c>
      <c r="O10764" s="22" t="str">
        <f>HYPERLINK("https://pbs.twimg.com/profile_images/877004849367326721/sSimp6ll_normal.jpg","View")</f>
        <v>View</v>
      </c>
      <c r="P10764" s="27"/>
    </row>
    <row r="10765">
      <c r="A10765" s="14">
        <v>43032.36645833333</v>
      </c>
      <c r="B10765" s="20" t="str">
        <f>HYPERLINK("https://twitter.com/arefizadi1","@arefizadi1")</f>
        <v>@arefizadi1</v>
      </c>
      <c r="C10765" s="21" t="s">
        <v>22769</v>
      </c>
      <c r="D10765" s="21" t="s">
        <v>21203</v>
      </c>
      <c r="E10765" s="22" t="str">
        <f>HYPERLINK("https://twitter.com/arefizadi1/status/922852104686804992","922852104686804992")</f>
        <v>922852104686804992</v>
      </c>
      <c r="F10765" s="23" t="s">
        <v>86</v>
      </c>
      <c r="G10765" s="24">
        <v>134.0</v>
      </c>
      <c r="H10765" s="24">
        <v>118.0</v>
      </c>
      <c r="I10765" s="24">
        <v>75.0</v>
      </c>
      <c r="J10765" s="24">
        <v>0.0</v>
      </c>
      <c r="K10765" s="23" t="s">
        <v>34</v>
      </c>
      <c r="L10765" s="25">
        <v>41777.14518518519</v>
      </c>
      <c r="M10765" s="26" t="s">
        <v>11949</v>
      </c>
      <c r="N10765" s="26" t="s">
        <v>2671</v>
      </c>
      <c r="O10765" s="22" t="str">
        <f>HYPERLINK("https://pbs.twimg.com/profile_images/467976553612050432/r2wF5Lil_normal.jpeg","View")</f>
        <v>View</v>
      </c>
      <c r="P10765" s="27"/>
    </row>
    <row r="10766">
      <c r="A10766" s="14">
        <v>43032.36671296296</v>
      </c>
      <c r="B10766" s="20" t="str">
        <f>HYPERLINK("https://twitter.com/ASHRAFisHONOR","@ASHRAFisHONOR")</f>
        <v>@ASHRAFisHONOR</v>
      </c>
      <c r="C10766" s="21" t="s">
        <v>22764</v>
      </c>
      <c r="D10766" s="21" t="s">
        <v>21191</v>
      </c>
      <c r="E10766" s="22" t="str">
        <f>HYPERLINK("https://twitter.com/ASHRAFisHONOR/status/922852198651805696","922852198651805696")</f>
        <v>922852198651805696</v>
      </c>
      <c r="F10766" s="23" t="s">
        <v>86</v>
      </c>
      <c r="G10766" s="24">
        <v>636.0</v>
      </c>
      <c r="H10766" s="24">
        <v>377.0</v>
      </c>
      <c r="I10766" s="24">
        <v>42.0</v>
      </c>
      <c r="J10766" s="24">
        <v>0.0</v>
      </c>
      <c r="K10766" s="23" t="s">
        <v>34</v>
      </c>
      <c r="L10766" s="25">
        <v>41540.037314814814</v>
      </c>
      <c r="M10766" s="26" t="s">
        <v>11949</v>
      </c>
      <c r="N10766" s="26" t="s">
        <v>22765</v>
      </c>
      <c r="O10766" s="22" t="str">
        <f>HYPERLINK("https://pbs.twimg.com/profile_images/378800000496704997/4b5f58c2fba625ca91470d81193219fa_normal.jpeg","View")</f>
        <v>View</v>
      </c>
      <c r="P10766" s="27"/>
    </row>
    <row r="10767">
      <c r="A10767" s="14">
        <v>43032.366875</v>
      </c>
      <c r="B10767" s="20" t="str">
        <f>HYPERLINK("https://twitter.com/swissifg","@swissifg")</f>
        <v>@swissifg</v>
      </c>
      <c r="C10767" s="21" t="s">
        <v>3967</v>
      </c>
      <c r="D10767" s="21" t="s">
        <v>22774</v>
      </c>
      <c r="E10767" s="22" t="str">
        <f>HYPERLINK("https://twitter.com/swissifg/status/922852257527484421","922852257527484421")</f>
        <v>922852257527484421</v>
      </c>
      <c r="F10767" s="23" t="s">
        <v>187</v>
      </c>
      <c r="G10767" s="24">
        <v>1204.0</v>
      </c>
      <c r="H10767" s="24">
        <v>671.0</v>
      </c>
      <c r="I10767" s="24">
        <v>0.0</v>
      </c>
      <c r="J10767" s="24">
        <v>0.0</v>
      </c>
      <c r="K10767" s="23" t="s">
        <v>34</v>
      </c>
      <c r="L10767" s="25">
        <v>42499.2341087963</v>
      </c>
      <c r="M10767" s="26" t="s">
        <v>3969</v>
      </c>
      <c r="N10767" s="26" t="s">
        <v>3970</v>
      </c>
      <c r="O10767" s="22" t="str">
        <f>HYPERLINK("https://pbs.twimg.com/profile_images/729681805088063489/N4ls5vb8_normal.jpg","View")</f>
        <v>View</v>
      </c>
      <c r="P10767" s="27"/>
    </row>
    <row r="10768">
      <c r="A10768" s="14">
        <v>43032.367002314815</v>
      </c>
      <c r="B10768" s="20" t="str">
        <f>HYPERLINK("https://twitter.com/jaimeotero_","@jaimeotero_")</f>
        <v>@jaimeotero_</v>
      </c>
      <c r="C10768" s="21" t="s">
        <v>3960</v>
      </c>
      <c r="D10768" s="21" t="s">
        <v>22775</v>
      </c>
      <c r="E10768" s="22" t="str">
        <f>HYPERLINK("https://twitter.com/jaimeotero_/status/922852305166315520","922852305166315520")</f>
        <v>922852305166315520</v>
      </c>
      <c r="F10768" s="23" t="s">
        <v>187</v>
      </c>
      <c r="G10768" s="24">
        <v>34534.0</v>
      </c>
      <c r="H10768" s="24">
        <v>31264.0</v>
      </c>
      <c r="I10768" s="24">
        <v>0.0</v>
      </c>
      <c r="J10768" s="24">
        <v>1.0</v>
      </c>
      <c r="K10768" s="23" t="s">
        <v>34</v>
      </c>
      <c r="L10768" s="25">
        <v>42531.01219907407</v>
      </c>
      <c r="M10768" s="26" t="s">
        <v>3962</v>
      </c>
      <c r="N10768" s="26" t="s">
        <v>3963</v>
      </c>
      <c r="O10768" s="22" t="str">
        <f>HYPERLINK("https://pbs.twimg.com/profile_images/849817561281818626/acAU04SD_normal.jpg","View")</f>
        <v>View</v>
      </c>
      <c r="P10768" s="27"/>
    </row>
    <row r="10769">
      <c r="A10769" s="14">
        <v>43032.36755787037</v>
      </c>
      <c r="B10769" s="20" t="str">
        <f>HYPERLINK("https://twitter.com/IBTimesUKBiz","@IBTimesUKBiz")</f>
        <v>@IBTimesUKBiz</v>
      </c>
      <c r="C10769" s="21" t="s">
        <v>22467</v>
      </c>
      <c r="D10769" s="21" t="s">
        <v>22776</v>
      </c>
      <c r="E10769" s="22" t="str">
        <f>HYPERLINK("https://twitter.com/IBTimesUKBiz/status/922852503544311811","922852503544311811")</f>
        <v>922852503544311811</v>
      </c>
      <c r="F10769" s="23" t="s">
        <v>769</v>
      </c>
      <c r="G10769" s="24">
        <v>1660.0</v>
      </c>
      <c r="H10769" s="24">
        <v>228.0</v>
      </c>
      <c r="I10769" s="24">
        <v>0.0</v>
      </c>
      <c r="J10769" s="24">
        <v>0.0</v>
      </c>
      <c r="K10769" s="23" t="s">
        <v>34</v>
      </c>
      <c r="L10769" s="25">
        <v>41032.230046296296</v>
      </c>
      <c r="M10769" s="26" t="s">
        <v>334</v>
      </c>
      <c r="N10769" s="26" t="s">
        <v>22469</v>
      </c>
      <c r="O10769" s="22" t="str">
        <f>HYPERLINK("https://pbs.twimg.com/profile_images/696672865291259904/fRobKsFo_normal.jpg","View")</f>
        <v>View</v>
      </c>
      <c r="P10769" s="27"/>
    </row>
    <row r="10770">
      <c r="A10770" s="14">
        <v>43032.36806712963</v>
      </c>
      <c r="B10770" s="20" t="str">
        <f>HYPERLINK("https://twitter.com/SurveySunday","@SurveySunday")</f>
        <v>@SurveySunday</v>
      </c>
      <c r="C10770" s="21" t="s">
        <v>22777</v>
      </c>
      <c r="D10770" s="21" t="s">
        <v>22778</v>
      </c>
      <c r="E10770" s="22" t="str">
        <f>HYPERLINK("https://twitter.com/SurveySunday/status/922852689423323136","922852689423323136")</f>
        <v>922852689423323136</v>
      </c>
      <c r="F10770" s="23" t="s">
        <v>4619</v>
      </c>
      <c r="G10770" s="24">
        <v>638.0</v>
      </c>
      <c r="H10770" s="24">
        <v>43.0</v>
      </c>
      <c r="I10770" s="24">
        <v>0.0</v>
      </c>
      <c r="J10770" s="24">
        <v>0.0</v>
      </c>
      <c r="K10770" s="23" t="s">
        <v>34</v>
      </c>
      <c r="L10770" s="25">
        <v>42757.59052083333</v>
      </c>
      <c r="M10770" s="26" t="s">
        <v>6029</v>
      </c>
      <c r="N10770" s="26" t="s">
        <v>22779</v>
      </c>
      <c r="O10770" s="22" t="str">
        <f>HYPERLINK("https://pbs.twimg.com/profile_images/823540107051470848/H_T9Fdk__normal.jpg","View")</f>
        <v>View</v>
      </c>
      <c r="P10770" s="27"/>
    </row>
    <row r="10771">
      <c r="A10771" s="14">
        <v>43032.36819444444</v>
      </c>
      <c r="B10771" s="20" t="str">
        <f>HYPERLINK("https://twitter.com/Tekki_VR","@Tekki_VR")</f>
        <v>@Tekki_VR</v>
      </c>
      <c r="C10771" s="21" t="s">
        <v>4050</v>
      </c>
      <c r="D10771" s="21" t="s">
        <v>22780</v>
      </c>
      <c r="E10771" s="22" t="str">
        <f>HYPERLINK("https://twitter.com/Tekki_VR/status/922852734377787392","922852734377787392")</f>
        <v>922852734377787392</v>
      </c>
      <c r="F10771" s="23" t="s">
        <v>187</v>
      </c>
      <c r="G10771" s="24">
        <v>1899.0</v>
      </c>
      <c r="H10771" s="24">
        <v>2480.0</v>
      </c>
      <c r="I10771" s="24">
        <v>0.0</v>
      </c>
      <c r="J10771" s="24">
        <v>0.0</v>
      </c>
      <c r="K10771" s="23" t="s">
        <v>34</v>
      </c>
      <c r="L10771" s="25">
        <v>42263.54553240741</v>
      </c>
      <c r="M10771" s="26" t="s">
        <v>4052</v>
      </c>
      <c r="N10771" s="26" t="s">
        <v>4053</v>
      </c>
      <c r="O10771" s="22" t="str">
        <f>HYPERLINK("https://pbs.twimg.com/profile_images/760662770694098944/h1nSBfE8_normal.jpg","View")</f>
        <v>View</v>
      </c>
      <c r="P10771" s="27"/>
    </row>
    <row r="10772">
      <c r="A10772" s="14">
        <v>43032.36849537037</v>
      </c>
      <c r="B10772" s="20" t="str">
        <f>HYPERLINK("https://twitter.com/joshua__jen","@joshua__jen")</f>
        <v>@joshua__jen</v>
      </c>
      <c r="C10772" s="21" t="s">
        <v>22781</v>
      </c>
      <c r="D10772" s="21" t="s">
        <v>22735</v>
      </c>
      <c r="E10772" s="22" t="str">
        <f>HYPERLINK("https://twitter.com/joshua__jen/status/922852842943082497","922852842943082497")</f>
        <v>922852842943082497</v>
      </c>
      <c r="F10772" s="23" t="s">
        <v>33</v>
      </c>
      <c r="G10772" s="24">
        <v>55.0</v>
      </c>
      <c r="H10772" s="24">
        <v>2274.0</v>
      </c>
      <c r="I10772" s="24">
        <v>13.0</v>
      </c>
      <c r="J10772" s="24">
        <v>0.0</v>
      </c>
      <c r="K10772" s="23" t="s">
        <v>34</v>
      </c>
      <c r="L10772" s="25">
        <v>40884.44038194444</v>
      </c>
      <c r="M10772" s="28"/>
      <c r="N10772" s="26" t="s">
        <v>22782</v>
      </c>
      <c r="O10772" s="22" t="str">
        <f>HYPERLINK("https://pbs.twimg.com/profile_images/763012729875685377/QEfs56P2_normal.jpg","View")</f>
        <v>View</v>
      </c>
      <c r="P10772" s="27"/>
    </row>
    <row r="10773">
      <c r="A10773" s="14">
        <v>43032.36891203704</v>
      </c>
      <c r="B10773" s="20" t="str">
        <f>HYPERLINK("https://twitter.com/dfutoryan","@dfutoryan")</f>
        <v>@dfutoryan</v>
      </c>
      <c r="C10773" s="21" t="s">
        <v>15679</v>
      </c>
      <c r="D10773" s="21" t="s">
        <v>22783</v>
      </c>
      <c r="E10773" s="22" t="str">
        <f>HYPERLINK("https://twitter.com/dfutoryan/status/922852995523588097","922852995523588097")</f>
        <v>922852995523588097</v>
      </c>
      <c r="F10773" s="23" t="s">
        <v>48</v>
      </c>
      <c r="G10773" s="24">
        <v>460.0</v>
      </c>
      <c r="H10773" s="24">
        <v>996.0</v>
      </c>
      <c r="I10773" s="24">
        <v>0.0</v>
      </c>
      <c r="J10773" s="24">
        <v>0.0</v>
      </c>
      <c r="K10773" s="23" t="s">
        <v>34</v>
      </c>
      <c r="L10773" s="25">
        <v>39650.752071759256</v>
      </c>
      <c r="M10773" s="26" t="s">
        <v>389</v>
      </c>
      <c r="N10773" s="26" t="s">
        <v>15681</v>
      </c>
      <c r="O10773" s="22" t="str">
        <f>HYPERLINK("https://pbs.twimg.com/profile_images/538820424680079361/kh3x5wv9_normal.jpeg","View")</f>
        <v>View</v>
      </c>
      <c r="P10773" s="27"/>
    </row>
    <row r="10774">
      <c r="A10774" s="14">
        <v>43032.36971064815</v>
      </c>
      <c r="B10774" s="20" t="str">
        <f>HYPERLINK("https://twitter.com/sonu_palas","@sonu_palas")</f>
        <v>@sonu_palas</v>
      </c>
      <c r="C10774" s="21" t="s">
        <v>22784</v>
      </c>
      <c r="D10774" s="21" t="s">
        <v>42</v>
      </c>
      <c r="E10774" s="22" t="str">
        <f>HYPERLINK("https://twitter.com/sonu_palas/status/922853285043748865","922853285043748865")</f>
        <v>922853285043748865</v>
      </c>
      <c r="F10774" s="23" t="s">
        <v>33</v>
      </c>
      <c r="G10774" s="24">
        <v>90.0</v>
      </c>
      <c r="H10774" s="24">
        <v>111.0</v>
      </c>
      <c r="I10774" s="24">
        <v>8501.0</v>
      </c>
      <c r="J10774" s="24">
        <v>0.0</v>
      </c>
      <c r="K10774" s="23" t="s">
        <v>34</v>
      </c>
      <c r="L10774" s="25">
        <v>42236.49355324074</v>
      </c>
      <c r="M10774" s="28"/>
      <c r="N10774" s="28"/>
      <c r="O10774" s="22" t="str">
        <f>HYPERLINK("https://pbs.twimg.com/profile_images/644389951237263362/YihB3jWk_normal.jpg","View")</f>
        <v>View</v>
      </c>
      <c r="P10774" s="27"/>
    </row>
    <row r="10775">
      <c r="A10775" s="14">
        <v>43032.36974537037</v>
      </c>
      <c r="B10775" s="20" t="str">
        <f>HYPERLINK("https://twitter.com/mishradeepak10","@mishradeepak10")</f>
        <v>@mishradeepak10</v>
      </c>
      <c r="C10775" s="21" t="s">
        <v>22785</v>
      </c>
      <c r="D10775" s="21" t="s">
        <v>42</v>
      </c>
      <c r="E10775" s="22" t="str">
        <f>HYPERLINK("https://twitter.com/mishradeepak10/status/922853297181966336","922853297181966336")</f>
        <v>922853297181966336</v>
      </c>
      <c r="F10775" s="23" t="s">
        <v>33</v>
      </c>
      <c r="G10775" s="24">
        <v>62.0</v>
      </c>
      <c r="H10775" s="24">
        <v>133.0</v>
      </c>
      <c r="I10775" s="24">
        <v>8501.0</v>
      </c>
      <c r="J10775" s="24">
        <v>0.0</v>
      </c>
      <c r="K10775" s="23" t="s">
        <v>34</v>
      </c>
      <c r="L10775" s="25">
        <v>42333.410358796296</v>
      </c>
      <c r="M10775" s="28"/>
      <c r="N10775" s="28"/>
      <c r="O10775" s="22" t="str">
        <f>HYPERLINK("https://pbs.twimg.com/profile_images/669575618158182400/xMpjE-rr_normal.jpg","View")</f>
        <v>View</v>
      </c>
      <c r="P10775" s="27"/>
    </row>
    <row r="10776">
      <c r="A10776" s="14">
        <v>43032.370150462964</v>
      </c>
      <c r="B10776" s="20" t="str">
        <f>HYPERLINK("https://twitter.com/william_w_smith","@william_w_smith")</f>
        <v>@william_w_smith</v>
      </c>
      <c r="C10776" s="21" t="s">
        <v>22786</v>
      </c>
      <c r="D10776" s="21" t="s">
        <v>22787</v>
      </c>
      <c r="E10776" s="22" t="str">
        <f>HYPERLINK("https://twitter.com/william_w_smith/status/922853445585039360","922853445585039360")</f>
        <v>922853445585039360</v>
      </c>
      <c r="F10776" s="23" t="s">
        <v>55</v>
      </c>
      <c r="G10776" s="24">
        <v>1062.0</v>
      </c>
      <c r="H10776" s="24">
        <v>4959.0</v>
      </c>
      <c r="I10776" s="24">
        <v>0.0</v>
      </c>
      <c r="J10776" s="24">
        <v>0.0</v>
      </c>
      <c r="K10776" s="23" t="s">
        <v>34</v>
      </c>
      <c r="L10776" s="25">
        <v>41458.36813657408</v>
      </c>
      <c r="M10776" s="26" t="s">
        <v>5557</v>
      </c>
      <c r="N10776" s="26" t="s">
        <v>22788</v>
      </c>
      <c r="O10776" s="22" t="str">
        <f>HYPERLINK("https://abs.twimg.com/sticky/default_profile_images/default_profile_normal.png","View")</f>
        <v>View</v>
      </c>
      <c r="P10776" s="27"/>
    </row>
    <row r="10777">
      <c r="A10777" s="14">
        <v>43032.370370370365</v>
      </c>
      <c r="B10777" s="20" t="str">
        <f>HYPERLINK("https://twitter.com/satishbaisla007","@satishbaisla007")</f>
        <v>@satishbaisla007</v>
      </c>
      <c r="C10777" s="21" t="s">
        <v>22789</v>
      </c>
      <c r="D10777" s="21" t="s">
        <v>42</v>
      </c>
      <c r="E10777" s="22" t="str">
        <f>HYPERLINK("https://twitter.com/satishbaisla007/status/922853523540160512","922853523540160512")</f>
        <v>922853523540160512</v>
      </c>
      <c r="F10777" s="23" t="s">
        <v>33</v>
      </c>
      <c r="G10777" s="24">
        <v>1808.0</v>
      </c>
      <c r="H10777" s="24">
        <v>1682.0</v>
      </c>
      <c r="I10777" s="24">
        <v>8501.0</v>
      </c>
      <c r="J10777" s="24">
        <v>0.0</v>
      </c>
      <c r="K10777" s="23" t="s">
        <v>34</v>
      </c>
      <c r="L10777" s="25">
        <v>41601.98876157407</v>
      </c>
      <c r="M10777" s="26" t="s">
        <v>204</v>
      </c>
      <c r="N10777" s="26" t="s">
        <v>22790</v>
      </c>
      <c r="O10777" s="22" t="str">
        <f>HYPERLINK("https://pbs.twimg.com/profile_images/907418130552467456/K-O2pwKZ_normal.jpg","View")</f>
        <v>View</v>
      </c>
      <c r="P10777" s="27"/>
    </row>
    <row r="10778">
      <c r="A10778" s="14">
        <v>43032.37094907407</v>
      </c>
      <c r="B10778" s="20" t="str">
        <f>HYPERLINK("https://twitter.com/LSUJEFF","@LSUJEFF")</f>
        <v>@LSUJEFF</v>
      </c>
      <c r="C10778" s="21" t="s">
        <v>22791</v>
      </c>
      <c r="D10778" s="21" t="s">
        <v>22792</v>
      </c>
      <c r="E10778" s="22" t="str">
        <f>HYPERLINK("https://twitter.com/LSUJEFF/status/922853731556786176","922853731556786176")</f>
        <v>922853731556786176</v>
      </c>
      <c r="F10778" s="23" t="s">
        <v>55</v>
      </c>
      <c r="G10778" s="24">
        <v>25773.0</v>
      </c>
      <c r="H10778" s="24">
        <v>25536.0</v>
      </c>
      <c r="I10778" s="24">
        <v>1.0</v>
      </c>
      <c r="J10778" s="24">
        <v>0.0</v>
      </c>
      <c r="K10778" s="23" t="s">
        <v>34</v>
      </c>
      <c r="L10778" s="25">
        <v>39832.8187962963</v>
      </c>
      <c r="M10778" s="28"/>
      <c r="N10778" s="26" t="s">
        <v>22793</v>
      </c>
      <c r="O10778" s="22" t="str">
        <f>HYPERLINK("https://pbs.twimg.com/profile_images/882445048503074816/to9HRTYk_normal.jpg","View")</f>
        <v>View</v>
      </c>
      <c r="P10778" s="27"/>
    </row>
    <row r="10779">
      <c r="A10779" s="14">
        <v>43032.37122685185</v>
      </c>
      <c r="B10779" s="20" t="str">
        <f>HYPERLINK("https://twitter.com/RiverFrontIG","@RiverFrontIG")</f>
        <v>@RiverFrontIG</v>
      </c>
      <c r="C10779" s="21" t="s">
        <v>22794</v>
      </c>
      <c r="D10779" s="21" t="s">
        <v>22795</v>
      </c>
      <c r="E10779" s="22" t="str">
        <f>HYPERLINK("https://twitter.com/RiverFrontIG/status/922853834807967744","922853834807967744")</f>
        <v>922853834807967744</v>
      </c>
      <c r="F10779" s="23" t="s">
        <v>427</v>
      </c>
      <c r="G10779" s="24">
        <v>844.0</v>
      </c>
      <c r="H10779" s="24">
        <v>636.0</v>
      </c>
      <c r="I10779" s="24">
        <v>0.0</v>
      </c>
      <c r="J10779" s="24">
        <v>0.0</v>
      </c>
      <c r="K10779" s="23" t="s">
        <v>34</v>
      </c>
      <c r="L10779" s="25">
        <v>41820.42048611111</v>
      </c>
      <c r="M10779" s="26" t="s">
        <v>22796</v>
      </c>
      <c r="N10779" s="26" t="s">
        <v>22797</v>
      </c>
      <c r="O10779" s="22" t="str">
        <f>HYPERLINK("https://pbs.twimg.com/profile_images/483659751205531649/HhXtLj94_normal.jpeg","View")</f>
        <v>View</v>
      </c>
      <c r="P10779" s="27"/>
    </row>
    <row r="10780">
      <c r="A10780" s="14">
        <v>43032.37167824074</v>
      </c>
      <c r="B10780" s="20" t="str">
        <f>HYPERLINK("https://twitter.com/StandWithMarco_","@StandWithMarco_")</f>
        <v>@StandWithMarco_</v>
      </c>
      <c r="C10780" s="21" t="s">
        <v>22798</v>
      </c>
      <c r="D10780" s="21" t="s">
        <v>22799</v>
      </c>
      <c r="E10780" s="22" t="str">
        <f>HYPERLINK("https://twitter.com/StandWithMarco_/status/922853998788476928","922853998788476928")</f>
        <v>922853998788476928</v>
      </c>
      <c r="F10780" s="23" t="s">
        <v>4619</v>
      </c>
      <c r="G10780" s="24">
        <v>353.0</v>
      </c>
      <c r="H10780" s="24">
        <v>203.0</v>
      </c>
      <c r="I10780" s="24">
        <v>0.0</v>
      </c>
      <c r="J10780" s="24">
        <v>0.0</v>
      </c>
      <c r="K10780" s="23" t="s">
        <v>34</v>
      </c>
      <c r="L10780" s="25">
        <v>42373.34748842593</v>
      </c>
      <c r="M10780" s="28"/>
      <c r="N10780" s="28"/>
      <c r="O10780" s="22" t="str">
        <f>HYPERLINK("https://pbs.twimg.com/profile_images/684048556609662976/Br4pKKhi_normal.png","View")</f>
        <v>View</v>
      </c>
      <c r="P10780" s="27"/>
    </row>
    <row r="10781">
      <c r="A10781" s="14">
        <v>43032.37238425926</v>
      </c>
      <c r="B10781" s="20" t="str">
        <f>HYPERLINK("https://twitter.com/srinidhihs93","@srinidhihs93")</f>
        <v>@srinidhihs93</v>
      </c>
      <c r="C10781" s="21" t="s">
        <v>22800</v>
      </c>
      <c r="D10781" s="21" t="s">
        <v>42</v>
      </c>
      <c r="E10781" s="22" t="str">
        <f>HYPERLINK("https://twitter.com/srinidhihs93/status/922854253345034240","922854253345034240")</f>
        <v>922854253345034240</v>
      </c>
      <c r="F10781" s="23" t="s">
        <v>33</v>
      </c>
      <c r="G10781" s="24">
        <v>8.0</v>
      </c>
      <c r="H10781" s="24">
        <v>224.0</v>
      </c>
      <c r="I10781" s="24">
        <v>8501.0</v>
      </c>
      <c r="J10781" s="24">
        <v>0.0</v>
      </c>
      <c r="K10781" s="23" t="s">
        <v>34</v>
      </c>
      <c r="L10781" s="25">
        <v>40792.97892361111</v>
      </c>
      <c r="M10781" s="28"/>
      <c r="N10781" s="28"/>
      <c r="O10781" s="22" t="str">
        <f>HYPERLINK("https://abs.twimg.com/sticky/default_profile_images/default_profile_normal.png","View")</f>
        <v>View</v>
      </c>
      <c r="P10781" s="27"/>
    </row>
    <row r="10782">
      <c r="A10782" s="14">
        <v>43032.37299768519</v>
      </c>
      <c r="B10782" s="20" t="str">
        <f>HYPERLINK("https://twitter.com/adhiamboketta","@adhiamboketta")</f>
        <v>@adhiamboketta</v>
      </c>
      <c r="C10782" s="21" t="s">
        <v>22801</v>
      </c>
      <c r="D10782" s="21" t="s">
        <v>32</v>
      </c>
      <c r="E10782" s="22" t="str">
        <f>HYPERLINK("https://twitter.com/adhiamboketta/status/922854477706563586","922854477706563586")</f>
        <v>922854477706563586</v>
      </c>
      <c r="F10782" s="23" t="s">
        <v>39</v>
      </c>
      <c r="G10782" s="24">
        <v>266.0</v>
      </c>
      <c r="H10782" s="24">
        <v>209.0</v>
      </c>
      <c r="I10782" s="24">
        <v>471.0</v>
      </c>
      <c r="J10782" s="24">
        <v>0.0</v>
      </c>
      <c r="K10782" s="23" t="s">
        <v>34</v>
      </c>
      <c r="L10782" s="25">
        <v>41358.51425925926</v>
      </c>
      <c r="M10782" s="28"/>
      <c r="N10782" s="26" t="s">
        <v>22802</v>
      </c>
      <c r="O10782" s="22" t="str">
        <f>HYPERLINK("https://pbs.twimg.com/profile_images/834771189457358848/1zxydPZ5_normal.jpg","View")</f>
        <v>View</v>
      </c>
      <c r="P10782" s="27"/>
    </row>
    <row r="10783">
      <c r="A10783" s="14">
        <v>43032.3733912037</v>
      </c>
      <c r="B10783" s="20" t="str">
        <f>HYPERLINK("https://twitter.com/surya_tick","@surya_tick")</f>
        <v>@surya_tick</v>
      </c>
      <c r="C10783" s="21" t="s">
        <v>11846</v>
      </c>
      <c r="D10783" s="21" t="s">
        <v>42</v>
      </c>
      <c r="E10783" s="22" t="str">
        <f>HYPERLINK("https://twitter.com/surya_tick/status/922854619528568832","922854619528568832")</f>
        <v>922854619528568832</v>
      </c>
      <c r="F10783" s="23" t="s">
        <v>33</v>
      </c>
      <c r="G10783" s="24">
        <v>197.0</v>
      </c>
      <c r="H10783" s="24">
        <v>140.0</v>
      </c>
      <c r="I10783" s="24">
        <v>8501.0</v>
      </c>
      <c r="J10783" s="24">
        <v>0.0</v>
      </c>
      <c r="K10783" s="23" t="s">
        <v>34</v>
      </c>
      <c r="L10783" s="25">
        <v>42741.17189814815</v>
      </c>
      <c r="M10783" s="26" t="s">
        <v>22803</v>
      </c>
      <c r="N10783" s="28"/>
      <c r="O10783" s="22" t="str">
        <f>HYPERLINK("https://pbs.twimg.com/profile_images/916264734034243587/tuQ0sD4y_normal.jpg","View")</f>
        <v>View</v>
      </c>
      <c r="P10783" s="27"/>
    </row>
    <row r="10784">
      <c r="A10784" s="14">
        <v>43032.37362268519</v>
      </c>
      <c r="B10784" s="20" t="str">
        <f>HYPERLINK("https://twitter.com/Gobinda59055972","@Gobinda59055972")</f>
        <v>@Gobinda59055972</v>
      </c>
      <c r="C10784" s="21" t="s">
        <v>22804</v>
      </c>
      <c r="D10784" s="21" t="s">
        <v>42</v>
      </c>
      <c r="E10784" s="22" t="str">
        <f>HYPERLINK("https://twitter.com/Gobinda59055972/status/922854704366755841","922854704366755841")</f>
        <v>922854704366755841</v>
      </c>
      <c r="F10784" s="23" t="s">
        <v>33</v>
      </c>
      <c r="G10784" s="24">
        <v>5.0</v>
      </c>
      <c r="H10784" s="24">
        <v>127.0</v>
      </c>
      <c r="I10784" s="24">
        <v>8501.0</v>
      </c>
      <c r="J10784" s="24">
        <v>0.0</v>
      </c>
      <c r="K10784" s="23" t="s">
        <v>34</v>
      </c>
      <c r="L10784" s="25">
        <v>42943.965937500005</v>
      </c>
      <c r="M10784" s="26" t="s">
        <v>22805</v>
      </c>
      <c r="N10784" s="26" t="s">
        <v>22806</v>
      </c>
      <c r="O10784" s="22" t="str">
        <f>HYPERLINK("https://pbs.twimg.com/profile_images/897151839921094656/6hJQkXPw_normal.jpg","View")</f>
        <v>View</v>
      </c>
      <c r="P10784" s="27"/>
    </row>
    <row r="10785">
      <c r="A10785" s="14">
        <v>43032.37384259259</v>
      </c>
      <c r="B10785" s="20" t="str">
        <f>HYPERLINK("https://twitter.com/ichizu1213pa","@ichizu1213pa")</f>
        <v>@ichizu1213pa</v>
      </c>
      <c r="C10785" s="21" t="s">
        <v>22807</v>
      </c>
      <c r="D10785" s="21" t="s">
        <v>1642</v>
      </c>
      <c r="E10785" s="22" t="str">
        <f>HYPERLINK("https://twitter.com/ichizu1213pa/status/922854780791267328","922854780791267328")</f>
        <v>922854780791267328</v>
      </c>
      <c r="F10785" s="23" t="s">
        <v>39</v>
      </c>
      <c r="G10785" s="24">
        <v>2287.0</v>
      </c>
      <c r="H10785" s="24">
        <v>4363.0</v>
      </c>
      <c r="I10785" s="24">
        <v>199.0</v>
      </c>
      <c r="J10785" s="24">
        <v>0.0</v>
      </c>
      <c r="K10785" s="23" t="s">
        <v>34</v>
      </c>
      <c r="L10785" s="25">
        <v>41117.72225694444</v>
      </c>
      <c r="M10785" s="26" t="s">
        <v>19170</v>
      </c>
      <c r="N10785" s="26" t="s">
        <v>22808</v>
      </c>
      <c r="O10785" s="22" t="str">
        <f>HYPERLINK("https://pbs.twimg.com/profile_images/723499495963549697/DdTjn_KK_normal.jpg","View")</f>
        <v>View</v>
      </c>
      <c r="P10785" s="27"/>
    </row>
    <row r="10786">
      <c r="A10786" s="14">
        <v>43032.37421296297</v>
      </c>
      <c r="B10786" s="20" t="str">
        <f>HYPERLINK("https://twitter.com/Miguel12345","@Miguel12345")</f>
        <v>@Miguel12345</v>
      </c>
      <c r="C10786" s="21" t="s">
        <v>22809</v>
      </c>
      <c r="D10786" s="21" t="s">
        <v>12480</v>
      </c>
      <c r="E10786" s="22" t="str">
        <f>HYPERLINK("https://twitter.com/Miguel12345/status/922854916309377025","922854916309377025")</f>
        <v>922854916309377025</v>
      </c>
      <c r="F10786" s="23" t="s">
        <v>2119</v>
      </c>
      <c r="G10786" s="24">
        <v>3058.0</v>
      </c>
      <c r="H10786" s="24">
        <v>4995.0</v>
      </c>
      <c r="I10786" s="24">
        <v>8.0</v>
      </c>
      <c r="J10786" s="24">
        <v>0.0</v>
      </c>
      <c r="K10786" s="23" t="s">
        <v>34</v>
      </c>
      <c r="L10786" s="25">
        <v>39818.73878472222</v>
      </c>
      <c r="M10786" s="26" t="s">
        <v>22810</v>
      </c>
      <c r="N10786" s="26" t="s">
        <v>22811</v>
      </c>
      <c r="O10786" s="22" t="str">
        <f>HYPERLINK("https://pbs.twimg.com/profile_images/830843973543489536/dxTQ0Q3X_normal.jpg","View")</f>
        <v>View</v>
      </c>
      <c r="P10786" s="27"/>
    </row>
    <row r="10787">
      <c r="A10787" s="14">
        <v>43032.37461805556</v>
      </c>
      <c r="B10787" s="20" t="str">
        <f>HYPERLINK("https://twitter.com/kapoorashok25","@kapoorashok25")</f>
        <v>@kapoorashok25</v>
      </c>
      <c r="C10787" s="21" t="s">
        <v>22812</v>
      </c>
      <c r="D10787" s="21" t="s">
        <v>42</v>
      </c>
      <c r="E10787" s="22" t="str">
        <f>HYPERLINK("https://twitter.com/kapoorashok25/status/922855064519131136","922855064519131136")</f>
        <v>922855064519131136</v>
      </c>
      <c r="F10787" s="23" t="s">
        <v>33</v>
      </c>
      <c r="G10787" s="24">
        <v>31832.0</v>
      </c>
      <c r="H10787" s="24">
        <v>8621.0</v>
      </c>
      <c r="I10787" s="24">
        <v>8501.0</v>
      </c>
      <c r="J10787" s="24">
        <v>0.0</v>
      </c>
      <c r="K10787" s="23" t="s">
        <v>34</v>
      </c>
      <c r="L10787" s="25">
        <v>42001.94872685186</v>
      </c>
      <c r="M10787" s="26" t="s">
        <v>22813</v>
      </c>
      <c r="N10787" s="26" t="s">
        <v>22814</v>
      </c>
      <c r="O10787" s="22" t="str">
        <f>HYPERLINK("https://pbs.twimg.com/profile_images/910483971443531776/PKk1QZSF_normal.jpg","View")</f>
        <v>View</v>
      </c>
      <c r="P10787" s="27"/>
    </row>
    <row r="10788">
      <c r="A10788" s="14">
        <v>43032.37513888889</v>
      </c>
      <c r="B10788" s="20" t="str">
        <f>HYPERLINK("https://twitter.com/Shasikrthakur","@Shasikrthakur")</f>
        <v>@Shasikrthakur</v>
      </c>
      <c r="C10788" s="21" t="s">
        <v>22815</v>
      </c>
      <c r="D10788" s="21" t="s">
        <v>42</v>
      </c>
      <c r="E10788" s="22" t="str">
        <f>HYPERLINK("https://twitter.com/Shasikrthakur/status/922855252147167232","922855252147167232")</f>
        <v>922855252147167232</v>
      </c>
      <c r="F10788" s="23" t="s">
        <v>33</v>
      </c>
      <c r="G10788" s="24">
        <v>27.0</v>
      </c>
      <c r="H10788" s="24">
        <v>138.0</v>
      </c>
      <c r="I10788" s="24">
        <v>8501.0</v>
      </c>
      <c r="J10788" s="24">
        <v>0.0</v>
      </c>
      <c r="K10788" s="23" t="s">
        <v>34</v>
      </c>
      <c r="L10788" s="25">
        <v>42914.93181712963</v>
      </c>
      <c r="M10788" s="28"/>
      <c r="N10788" s="28"/>
      <c r="O10788" s="22" t="str">
        <f>HYPERLINK("https://pbs.twimg.com/profile_images/883340124389560320/x6wH-7H3_normal.jpg","View")</f>
        <v>View</v>
      </c>
      <c r="P10788" s="27"/>
    </row>
    <row r="10789">
      <c r="A10789" s="14">
        <v>43032.375497685185</v>
      </c>
      <c r="B10789" s="20" t="str">
        <f>HYPERLINK("https://twitter.com/MRRIYAZSHAIKH2","@MRRIYAZSHAIKH2")</f>
        <v>@MRRIYAZSHAIKH2</v>
      </c>
      <c r="C10789" s="21" t="s">
        <v>22816</v>
      </c>
      <c r="D10789" s="21" t="s">
        <v>42</v>
      </c>
      <c r="E10789" s="22" t="str">
        <f>HYPERLINK("https://twitter.com/MRRIYAZSHAIKH2/status/922855380308303872","922855380308303872")</f>
        <v>922855380308303872</v>
      </c>
      <c r="F10789" s="23" t="s">
        <v>33</v>
      </c>
      <c r="G10789" s="24">
        <v>4.0</v>
      </c>
      <c r="H10789" s="24">
        <v>78.0</v>
      </c>
      <c r="I10789" s="24">
        <v>8501.0</v>
      </c>
      <c r="J10789" s="24">
        <v>0.0</v>
      </c>
      <c r="K10789" s="23" t="s">
        <v>34</v>
      </c>
      <c r="L10789" s="25">
        <v>43030.07900462963</v>
      </c>
      <c r="M10789" s="28"/>
      <c r="N10789" s="28"/>
      <c r="O10789" s="22" t="str">
        <f>HYPERLINK("https://abs.twimg.com/sticky/default_profile_images/default_profile_normal.png","View")</f>
        <v>View</v>
      </c>
      <c r="P10789" s="27"/>
    </row>
    <row r="10790">
      <c r="A10790" s="14">
        <v>43032.3758912037</v>
      </c>
      <c r="B10790" s="20" t="str">
        <f>HYPERLINK("https://twitter.com/WisdomTreeETFs","@WisdomTreeETFs")</f>
        <v>@WisdomTreeETFs</v>
      </c>
      <c r="C10790" s="21" t="s">
        <v>22240</v>
      </c>
      <c r="D10790" s="21" t="s">
        <v>22817</v>
      </c>
      <c r="E10790" s="22" t="str">
        <f>HYPERLINK("https://twitter.com/WisdomTreeETFs/status/922855524516941835","922855524516941835")</f>
        <v>922855524516941835</v>
      </c>
      <c r="F10790" s="23" t="s">
        <v>427</v>
      </c>
      <c r="G10790" s="24">
        <v>258010.0</v>
      </c>
      <c r="H10790" s="24">
        <v>383.0</v>
      </c>
      <c r="I10790" s="24">
        <v>0.0</v>
      </c>
      <c r="J10790" s="24">
        <v>1.0</v>
      </c>
      <c r="K10790" s="23" t="s">
        <v>34</v>
      </c>
      <c r="L10790" s="25">
        <v>40003.278599537036</v>
      </c>
      <c r="M10790" s="26" t="s">
        <v>120</v>
      </c>
      <c r="N10790" s="26" t="s">
        <v>22242</v>
      </c>
      <c r="O10790" s="22" t="str">
        <f>HYPERLINK("https://pbs.twimg.com/profile_images/832286570380079105/fZbav0Ly_normal.jpg","View")</f>
        <v>View</v>
      </c>
      <c r="P10790" s="27"/>
    </row>
    <row r="10791">
      <c r="A10791" s="14">
        <v>43032.376064814816</v>
      </c>
      <c r="B10791" s="20" t="str">
        <f>HYPERLINK("https://twitter.com/sirMsy22","@sirMsy22")</f>
        <v>@sirMsy22</v>
      </c>
      <c r="C10791" s="21" t="s">
        <v>22818</v>
      </c>
      <c r="D10791" s="21" t="s">
        <v>42</v>
      </c>
      <c r="E10791" s="22" t="str">
        <f>HYPERLINK("https://twitter.com/sirMsy22/status/922855589260156928","922855589260156928")</f>
        <v>922855589260156928</v>
      </c>
      <c r="F10791" s="23" t="s">
        <v>33</v>
      </c>
      <c r="G10791" s="24">
        <v>1158.0</v>
      </c>
      <c r="H10791" s="24">
        <v>636.0</v>
      </c>
      <c r="I10791" s="24">
        <v>8501.0</v>
      </c>
      <c r="J10791" s="24">
        <v>0.0</v>
      </c>
      <c r="K10791" s="23" t="s">
        <v>34</v>
      </c>
      <c r="L10791" s="25">
        <v>42922.45344907408</v>
      </c>
      <c r="M10791" s="26" t="s">
        <v>617</v>
      </c>
      <c r="N10791" s="26" t="s">
        <v>22819</v>
      </c>
      <c r="O10791" s="22" t="str">
        <f>HYPERLINK("https://pbs.twimg.com/profile_images/920987990679097344/W1D9w1UZ_normal.jpg","View")</f>
        <v>View</v>
      </c>
      <c r="P10791" s="27"/>
    </row>
    <row r="10792">
      <c r="A10792" s="14">
        <v>43032.37633101852</v>
      </c>
      <c r="B10792" s="20" t="str">
        <f>HYPERLINK("https://twitter.com/Shiahin_Rodbar","@Shiahin_Rodbar")</f>
        <v>@Shiahin_Rodbar</v>
      </c>
      <c r="C10792" s="21" t="s">
        <v>21499</v>
      </c>
      <c r="D10792" s="21" t="s">
        <v>21215</v>
      </c>
      <c r="E10792" s="22" t="str">
        <f>HYPERLINK("https://twitter.com/Shiahin_Rodbar/status/922855683602644992","922855683602644992")</f>
        <v>922855683602644992</v>
      </c>
      <c r="F10792" s="23" t="s">
        <v>86</v>
      </c>
      <c r="G10792" s="24">
        <v>508.0</v>
      </c>
      <c r="H10792" s="24">
        <v>435.0</v>
      </c>
      <c r="I10792" s="24">
        <v>39.0</v>
      </c>
      <c r="J10792" s="24">
        <v>0.0</v>
      </c>
      <c r="K10792" s="23" t="s">
        <v>34</v>
      </c>
      <c r="L10792" s="25">
        <v>41667.47434027778</v>
      </c>
      <c r="M10792" s="28"/>
      <c r="N10792" s="28"/>
      <c r="O10792" s="22" t="str">
        <f>HYPERLINK("https://pbs.twimg.com/profile_images/428248394545377280/HLr9Lb9o_normal.jpeg","View")</f>
        <v>View</v>
      </c>
      <c r="P10792" s="27"/>
    </row>
    <row r="10793">
      <c r="A10793" s="14">
        <v>43032.37637731481</v>
      </c>
      <c r="B10793" s="20" t="str">
        <f t="shared" ref="B10793:B10794" si="255">HYPERLINK("https://twitter.com/AriaSabore","@AriaSabore")</f>
        <v>@AriaSabore</v>
      </c>
      <c r="C10793" s="21" t="s">
        <v>22820</v>
      </c>
      <c r="D10793" s="21" t="s">
        <v>21202</v>
      </c>
      <c r="E10793" s="22" t="str">
        <f>HYPERLINK("https://twitter.com/AriaSabore/status/922855700350435328","922855700350435328")</f>
        <v>922855700350435328</v>
      </c>
      <c r="F10793" s="23" t="s">
        <v>86</v>
      </c>
      <c r="G10793" s="24">
        <v>127.0</v>
      </c>
      <c r="H10793" s="24">
        <v>111.0</v>
      </c>
      <c r="I10793" s="24">
        <v>79.0</v>
      </c>
      <c r="J10793" s="24">
        <v>0.0</v>
      </c>
      <c r="K10793" s="23" t="s">
        <v>34</v>
      </c>
      <c r="L10793" s="25">
        <v>41773.93987268519</v>
      </c>
      <c r="M10793" s="26" t="s">
        <v>11949</v>
      </c>
      <c r="N10793" s="26" t="s">
        <v>14692</v>
      </c>
      <c r="O10793" s="22" t="str">
        <f t="shared" ref="O10793:O10794" si="256">HYPERLINK("https://pbs.twimg.com/profile_images/469740081058545665/ldXO4WWl_normal.jpeg","View")</f>
        <v>View</v>
      </c>
      <c r="P10793" s="27"/>
    </row>
    <row r="10794">
      <c r="A10794" s="14">
        <v>43032.37703703703</v>
      </c>
      <c r="B10794" s="20" t="str">
        <f t="shared" si="255"/>
        <v>@AriaSabore</v>
      </c>
      <c r="C10794" s="21" t="s">
        <v>22820</v>
      </c>
      <c r="D10794" s="21" t="s">
        <v>21203</v>
      </c>
      <c r="E10794" s="22" t="str">
        <f>HYPERLINK("https://twitter.com/AriaSabore/status/922855940738531328","922855940738531328")</f>
        <v>922855940738531328</v>
      </c>
      <c r="F10794" s="23" t="s">
        <v>86</v>
      </c>
      <c r="G10794" s="24">
        <v>127.0</v>
      </c>
      <c r="H10794" s="24">
        <v>111.0</v>
      </c>
      <c r="I10794" s="24">
        <v>75.0</v>
      </c>
      <c r="J10794" s="24">
        <v>0.0</v>
      </c>
      <c r="K10794" s="23" t="s">
        <v>34</v>
      </c>
      <c r="L10794" s="25">
        <v>41773.93987268519</v>
      </c>
      <c r="M10794" s="26" t="s">
        <v>11949</v>
      </c>
      <c r="N10794" s="26" t="s">
        <v>14692</v>
      </c>
      <c r="O10794" s="22" t="str">
        <f t="shared" si="256"/>
        <v>View</v>
      </c>
      <c r="P10794" s="27"/>
    </row>
    <row r="10795">
      <c r="A10795" s="14">
        <v>43032.37755787037</v>
      </c>
      <c r="B10795" s="20" t="str">
        <f>HYPERLINK("https://twitter.com/GMkwambisi","@GMkwambisi")</f>
        <v>@GMkwambisi</v>
      </c>
      <c r="C10795" s="21" t="s">
        <v>22821</v>
      </c>
      <c r="D10795" s="21" t="s">
        <v>32</v>
      </c>
      <c r="E10795" s="22" t="str">
        <f>HYPERLINK("https://twitter.com/GMkwambisi/status/922856129545334785","922856129545334785")</f>
        <v>922856129545334785</v>
      </c>
      <c r="F10795" s="23" t="s">
        <v>33</v>
      </c>
      <c r="G10795" s="24">
        <v>133.0</v>
      </c>
      <c r="H10795" s="24">
        <v>216.0</v>
      </c>
      <c r="I10795" s="24">
        <v>471.0</v>
      </c>
      <c r="J10795" s="24">
        <v>0.0</v>
      </c>
      <c r="K10795" s="23" t="s">
        <v>34</v>
      </c>
      <c r="L10795" s="25">
        <v>42862.50002314815</v>
      </c>
      <c r="M10795" s="26" t="s">
        <v>22822</v>
      </c>
      <c r="N10795" s="26" t="s">
        <v>22823</v>
      </c>
      <c r="O10795" s="22" t="str">
        <f>HYPERLINK("https://pbs.twimg.com/profile_images/920886813270605825/Au0p9m-W_normal.jpg","View")</f>
        <v>View</v>
      </c>
      <c r="P10795" s="27"/>
    </row>
    <row r="10796">
      <c r="A10796" s="14">
        <v>43032.37760416667</v>
      </c>
      <c r="B10796" s="20" t="str">
        <f t="shared" ref="B10796:B10797" si="257">HYPERLINK("https://twitter.com/AshrafLiberty92","@AshrafLiberty92")</f>
        <v>@AshrafLiberty92</v>
      </c>
      <c r="C10796" s="21" t="s">
        <v>22824</v>
      </c>
      <c r="D10796" s="21" t="s">
        <v>21202</v>
      </c>
      <c r="E10796" s="22" t="str">
        <f>HYPERLINK("https://twitter.com/AshrafLiberty92/status/922856146066534400","922856146066534400")</f>
        <v>922856146066534400</v>
      </c>
      <c r="F10796" s="23" t="s">
        <v>86</v>
      </c>
      <c r="G10796" s="24">
        <v>802.0</v>
      </c>
      <c r="H10796" s="24">
        <v>420.0</v>
      </c>
      <c r="I10796" s="24">
        <v>79.0</v>
      </c>
      <c r="J10796" s="24">
        <v>0.0</v>
      </c>
      <c r="K10796" s="23" t="s">
        <v>34</v>
      </c>
      <c r="L10796" s="25">
        <v>41495.370717592596</v>
      </c>
      <c r="M10796" s="26" t="s">
        <v>11949</v>
      </c>
      <c r="N10796" s="26" t="s">
        <v>21192</v>
      </c>
      <c r="O10796" s="22" t="str">
        <f t="shared" ref="O10796:O10797" si="258">HYPERLINK("https://pbs.twimg.com/profile_images/378800000265474093/7f5f2f1dca7d87700f2ff63e4485b072_normal.jpeg","View")</f>
        <v>View</v>
      </c>
      <c r="P10796" s="27"/>
    </row>
    <row r="10797">
      <c r="A10797" s="14">
        <v>43032.37813657407</v>
      </c>
      <c r="B10797" s="20" t="str">
        <f t="shared" si="257"/>
        <v>@AshrafLiberty92</v>
      </c>
      <c r="C10797" s="21" t="s">
        <v>22824</v>
      </c>
      <c r="D10797" s="21" t="s">
        <v>21203</v>
      </c>
      <c r="E10797" s="22" t="str">
        <f>HYPERLINK("https://twitter.com/AshrafLiberty92/status/922856338861965312","922856338861965312")</f>
        <v>922856338861965312</v>
      </c>
      <c r="F10797" s="23" t="s">
        <v>86</v>
      </c>
      <c r="G10797" s="24">
        <v>802.0</v>
      </c>
      <c r="H10797" s="24">
        <v>420.0</v>
      </c>
      <c r="I10797" s="24">
        <v>75.0</v>
      </c>
      <c r="J10797" s="24">
        <v>0.0</v>
      </c>
      <c r="K10797" s="23" t="s">
        <v>34</v>
      </c>
      <c r="L10797" s="25">
        <v>41495.370717592596</v>
      </c>
      <c r="M10797" s="26" t="s">
        <v>11949</v>
      </c>
      <c r="N10797" s="26" t="s">
        <v>21192</v>
      </c>
      <c r="O10797" s="22" t="str">
        <f t="shared" si="258"/>
        <v>View</v>
      </c>
      <c r="P10797" s="27"/>
    </row>
    <row r="10798">
      <c r="A10798" s="14">
        <v>43032.37847222222</v>
      </c>
      <c r="B10798" s="20" t="str">
        <f>HYPERLINK("https://twitter.com/jenserik1","@jenserik1")</f>
        <v>@jenserik1</v>
      </c>
      <c r="C10798" s="21" t="s">
        <v>22263</v>
      </c>
      <c r="D10798" s="21" t="s">
        <v>22825</v>
      </c>
      <c r="E10798" s="22" t="str">
        <f>HYPERLINK("https://twitter.com/jenserik1/status/922856461822242816","922856461822242816")</f>
        <v>922856461822242816</v>
      </c>
      <c r="F10798" s="23" t="s">
        <v>769</v>
      </c>
      <c r="G10798" s="24">
        <v>3382.0</v>
      </c>
      <c r="H10798" s="24">
        <v>1209.0</v>
      </c>
      <c r="I10798" s="24">
        <v>0.0</v>
      </c>
      <c r="J10798" s="24">
        <v>0.0</v>
      </c>
      <c r="K10798" s="23" t="s">
        <v>34</v>
      </c>
      <c r="L10798" s="25">
        <v>40761.759050925924</v>
      </c>
      <c r="M10798" s="28"/>
      <c r="N10798" s="26" t="s">
        <v>22265</v>
      </c>
      <c r="O10798" s="22" t="str">
        <f>HYPERLINK("https://pbs.twimg.com/profile_images/734003537298984961/N7jB8KIg_normal.jpg","View")</f>
        <v>View</v>
      </c>
      <c r="P10798" s="27"/>
    </row>
    <row r="10799">
      <c r="A10799" s="14">
        <v>43032.37887731481</v>
      </c>
      <c r="B10799" s="20" t="str">
        <f>HYPERLINK("https://twitter.com/jollywell","@jollywell")</f>
        <v>@jollywell</v>
      </c>
      <c r="C10799" s="21" t="s">
        <v>22826</v>
      </c>
      <c r="D10799" s="21" t="s">
        <v>42</v>
      </c>
      <c r="E10799" s="22" t="str">
        <f>HYPERLINK("https://twitter.com/jollywell/status/922856604579405824","922856604579405824")</f>
        <v>922856604579405824</v>
      </c>
      <c r="F10799" s="23" t="s">
        <v>39</v>
      </c>
      <c r="G10799" s="24">
        <v>215.0</v>
      </c>
      <c r="H10799" s="24">
        <v>155.0</v>
      </c>
      <c r="I10799" s="24">
        <v>8501.0</v>
      </c>
      <c r="J10799" s="24">
        <v>0.0</v>
      </c>
      <c r="K10799" s="23" t="s">
        <v>34</v>
      </c>
      <c r="L10799" s="25">
        <v>40006.533692129626</v>
      </c>
      <c r="M10799" s="28"/>
      <c r="N10799" s="28"/>
      <c r="O10799" s="22" t="str">
        <f>HYPERLINK("https://abs.twimg.com/sticky/default_profile_images/default_profile_normal.png","View")</f>
        <v>View</v>
      </c>
      <c r="P10799" s="27"/>
    </row>
    <row r="10800">
      <c r="A10800" s="14">
        <v>43032.37954861111</v>
      </c>
      <c r="B10800" s="20" t="str">
        <f>HYPERLINK("https://twitter.com/Adrianblacktino","@Adrianblacktino")</f>
        <v>@Adrianblacktino</v>
      </c>
      <c r="C10800" s="21" t="s">
        <v>22827</v>
      </c>
      <c r="D10800" s="21" t="s">
        <v>22828</v>
      </c>
      <c r="E10800" s="22" t="str">
        <f>HYPERLINK("https://twitter.com/Adrianblacktino/status/922856851334684672","922856851334684672")</f>
        <v>922856851334684672</v>
      </c>
      <c r="F10800" s="23" t="s">
        <v>55</v>
      </c>
      <c r="G10800" s="24">
        <v>2.0</v>
      </c>
      <c r="H10800" s="24">
        <v>255.0</v>
      </c>
      <c r="I10800" s="24">
        <v>1.0</v>
      </c>
      <c r="J10800" s="24">
        <v>0.0</v>
      </c>
      <c r="K10800" s="23" t="s">
        <v>34</v>
      </c>
      <c r="L10800" s="25">
        <v>42964.30354166667</v>
      </c>
      <c r="M10800" s="28"/>
      <c r="N10800" s="26" t="s">
        <v>22829</v>
      </c>
      <c r="O10800" s="22" t="str">
        <f>HYPERLINK("https://pbs.twimg.com/profile_images/915876863553261568/BpU8254h_normal.jpg","View")</f>
        <v>View</v>
      </c>
      <c r="P10800" s="27"/>
    </row>
    <row r="10801">
      <c r="A10801" s="14">
        <v>43032.380844907406</v>
      </c>
      <c r="B10801" s="20" t="str">
        <f>HYPERLINK("https://twitter.com/danielessienz","@danielessienz")</f>
        <v>@danielessienz</v>
      </c>
      <c r="C10801" s="21" t="s">
        <v>22830</v>
      </c>
      <c r="D10801" s="21" t="s">
        <v>22831</v>
      </c>
      <c r="E10801" s="22" t="str">
        <f>HYPERLINK("https://twitter.com/danielessienz/status/922857319700017152","922857319700017152")</f>
        <v>922857319700017152</v>
      </c>
      <c r="F10801" s="23" t="s">
        <v>55</v>
      </c>
      <c r="G10801" s="24">
        <v>111.0</v>
      </c>
      <c r="H10801" s="24">
        <v>1974.0</v>
      </c>
      <c r="I10801" s="24">
        <v>0.0</v>
      </c>
      <c r="J10801" s="24">
        <v>0.0</v>
      </c>
      <c r="K10801" s="23" t="s">
        <v>34</v>
      </c>
      <c r="L10801" s="25">
        <v>41687.504525462966</v>
      </c>
      <c r="M10801" s="26" t="s">
        <v>22832</v>
      </c>
      <c r="N10801" s="28"/>
      <c r="O10801" s="22" t="str">
        <f>HYPERLINK("https://pbs.twimg.com/profile_images/435508529164582912/gIUsV7kj_normal.jpeg","View")</f>
        <v>View</v>
      </c>
      <c r="P10801" s="27"/>
    </row>
    <row r="10802">
      <c r="A10802" s="14">
        <v>43032.38087962963</v>
      </c>
      <c r="B10802" s="20" t="str">
        <f>HYPERLINK("https://twitter.com/jyun787","@jyun787")</f>
        <v>@jyun787</v>
      </c>
      <c r="C10802" s="21" t="s">
        <v>22833</v>
      </c>
      <c r="D10802" s="21" t="s">
        <v>42</v>
      </c>
      <c r="E10802" s="22" t="str">
        <f>HYPERLINK("https://twitter.com/jyun787/status/922857333079752704","922857333079752704")</f>
        <v>922857333079752704</v>
      </c>
      <c r="F10802" s="23" t="s">
        <v>33</v>
      </c>
      <c r="G10802" s="24">
        <v>1204.0</v>
      </c>
      <c r="H10802" s="24">
        <v>1110.0</v>
      </c>
      <c r="I10802" s="24">
        <v>8501.0</v>
      </c>
      <c r="J10802" s="24">
        <v>0.0</v>
      </c>
      <c r="K10802" s="23" t="s">
        <v>34</v>
      </c>
      <c r="L10802" s="25">
        <v>40300.80818287037</v>
      </c>
      <c r="M10802" s="26" t="s">
        <v>22834</v>
      </c>
      <c r="N10802" s="26" t="s">
        <v>22835</v>
      </c>
      <c r="O10802" s="22" t="str">
        <f>HYPERLINK("https://pbs.twimg.com/profile_images/898922013749690368/MsLBikrL_normal.jpg","View")</f>
        <v>View</v>
      </c>
      <c r="P10802" s="27"/>
    </row>
    <row r="10803">
      <c r="A10803" s="14">
        <v>43032.382372685184</v>
      </c>
      <c r="B10803" s="20" t="str">
        <f>HYPERLINK("https://twitter.com/NGXbo1cWSyvEPoi","@NGXbo1cWSyvEPoi")</f>
        <v>@NGXbo1cWSyvEPoi</v>
      </c>
      <c r="C10803" s="21" t="s">
        <v>22836</v>
      </c>
      <c r="D10803" s="21" t="s">
        <v>1474</v>
      </c>
      <c r="E10803" s="22" t="str">
        <f>HYPERLINK("https://twitter.com/NGXbo1cWSyvEPoi/status/922857871238340608","922857871238340608")</f>
        <v>922857871238340608</v>
      </c>
      <c r="F10803" s="23" t="s">
        <v>39</v>
      </c>
      <c r="G10803" s="24">
        <v>17.0</v>
      </c>
      <c r="H10803" s="24">
        <v>57.0</v>
      </c>
      <c r="I10803" s="24">
        <v>29.0</v>
      </c>
      <c r="J10803" s="24">
        <v>0.0</v>
      </c>
      <c r="K10803" s="23" t="s">
        <v>34</v>
      </c>
      <c r="L10803" s="25">
        <v>43011.14581018519</v>
      </c>
      <c r="M10803" s="26" t="s">
        <v>22837</v>
      </c>
      <c r="N10803" s="26" t="s">
        <v>22838</v>
      </c>
      <c r="O10803" s="22" t="str">
        <f>HYPERLINK("https://pbs.twimg.com/profile_images/922695212299722752/_f0jbld7_normal.jpg","View")</f>
        <v>View</v>
      </c>
      <c r="P10803" s="27"/>
    </row>
    <row r="10804">
      <c r="A10804" s="14">
        <v>43032.38260416666</v>
      </c>
      <c r="B10804" s="20" t="str">
        <f t="shared" ref="B10804:B10805" si="259">HYPERLINK("https://twitter.com/xXRamonJrXx","@xXRamonJrXx")</f>
        <v>@xXRamonJrXx</v>
      </c>
      <c r="C10804" s="21" t="s">
        <v>22839</v>
      </c>
      <c r="D10804" s="21" t="s">
        <v>20149</v>
      </c>
      <c r="E10804" s="22" t="str">
        <f>HYPERLINK("https://twitter.com/xXRamonJrXx/status/922857956412141568","922857956412141568")</f>
        <v>922857956412141568</v>
      </c>
      <c r="F10804" s="23" t="s">
        <v>55</v>
      </c>
      <c r="G10804" s="24">
        <v>33.0</v>
      </c>
      <c r="H10804" s="24">
        <v>24.0</v>
      </c>
      <c r="I10804" s="24">
        <v>4.0</v>
      </c>
      <c r="J10804" s="24">
        <v>0.0</v>
      </c>
      <c r="K10804" s="23" t="s">
        <v>34</v>
      </c>
      <c r="L10804" s="25">
        <v>42142.669756944444</v>
      </c>
      <c r="M10804" s="26" t="s">
        <v>10709</v>
      </c>
      <c r="N10804" s="28"/>
      <c r="O10804" s="22" t="str">
        <f t="shared" ref="O10804:O10805" si="260">HYPERLINK("https://pbs.twimg.com/profile_images/750818101915033600/r15RTlph_normal.jpg","View")</f>
        <v>View</v>
      </c>
      <c r="P10804" s="27"/>
    </row>
    <row r="10805">
      <c r="A10805" s="14">
        <v>43032.382638888885</v>
      </c>
      <c r="B10805" s="20" t="str">
        <f t="shared" si="259"/>
        <v>@xXRamonJrXx</v>
      </c>
      <c r="C10805" s="21" t="s">
        <v>22839</v>
      </c>
      <c r="D10805" s="21" t="s">
        <v>13119</v>
      </c>
      <c r="E10805" s="22" t="str">
        <f>HYPERLINK("https://twitter.com/xXRamonJrXx/status/922857971192868864","922857971192868864")</f>
        <v>922857971192868864</v>
      </c>
      <c r="F10805" s="23" t="s">
        <v>55</v>
      </c>
      <c r="G10805" s="24">
        <v>33.0</v>
      </c>
      <c r="H10805" s="24">
        <v>24.0</v>
      </c>
      <c r="I10805" s="24">
        <v>6.0</v>
      </c>
      <c r="J10805" s="24">
        <v>0.0</v>
      </c>
      <c r="K10805" s="23" t="s">
        <v>34</v>
      </c>
      <c r="L10805" s="25">
        <v>42142.669756944444</v>
      </c>
      <c r="M10805" s="26" t="s">
        <v>10709</v>
      </c>
      <c r="N10805" s="28"/>
      <c r="O10805" s="22" t="str">
        <f t="shared" si="260"/>
        <v>View</v>
      </c>
      <c r="P10805" s="27"/>
    </row>
    <row r="10806">
      <c r="A10806" s="14">
        <v>43032.38327546296</v>
      </c>
      <c r="B10806" s="20" t="str">
        <f>HYPERLINK("https://twitter.com/kamalkibat","@kamalkibat")</f>
        <v>@kamalkibat</v>
      </c>
      <c r="C10806" s="21" t="s">
        <v>22840</v>
      </c>
      <c r="D10806" s="21" t="s">
        <v>42</v>
      </c>
      <c r="E10806" s="22" t="str">
        <f>HYPERLINK("https://twitter.com/kamalkibat/status/922858202030530560","922858202030530560")</f>
        <v>922858202030530560</v>
      </c>
      <c r="F10806" s="23" t="s">
        <v>33</v>
      </c>
      <c r="G10806" s="24">
        <v>14.0</v>
      </c>
      <c r="H10806" s="24">
        <v>27.0</v>
      </c>
      <c r="I10806" s="24">
        <v>8501.0</v>
      </c>
      <c r="J10806" s="24">
        <v>0.0</v>
      </c>
      <c r="K10806" s="23" t="s">
        <v>34</v>
      </c>
      <c r="L10806" s="25">
        <v>42435.045</v>
      </c>
      <c r="M10806" s="28"/>
      <c r="N10806" s="28"/>
      <c r="O10806" s="22" t="str">
        <f t="shared" ref="O10806:O10807" si="261">HYPERLINK("https://abs.twimg.com/sticky/default_profile_images/default_profile_normal.png","View")</f>
        <v>View</v>
      </c>
      <c r="P10806" s="27"/>
    </row>
    <row r="10807">
      <c r="A10807" s="14">
        <v>43032.383993055555</v>
      </c>
      <c r="B10807" s="20" t="str">
        <f>HYPERLINK("https://twitter.com/Rashikasomani1","@Rashikasomani1")</f>
        <v>@Rashikasomani1</v>
      </c>
      <c r="C10807" s="21" t="s">
        <v>3811</v>
      </c>
      <c r="D10807" s="21" t="s">
        <v>22841</v>
      </c>
      <c r="E10807" s="22" t="str">
        <f>HYPERLINK("https://twitter.com/Rashikasomani1/status/922858460580139008","922858460580139008")</f>
        <v>922858460580139008</v>
      </c>
      <c r="F10807" s="23" t="s">
        <v>3813</v>
      </c>
      <c r="G10807" s="24">
        <v>1.0</v>
      </c>
      <c r="H10807" s="24">
        <v>100.0</v>
      </c>
      <c r="I10807" s="24">
        <v>1.0</v>
      </c>
      <c r="J10807" s="24">
        <v>0.0</v>
      </c>
      <c r="K10807" s="23" t="s">
        <v>34</v>
      </c>
      <c r="L10807" s="25">
        <v>43028.254166666666</v>
      </c>
      <c r="M10807" s="28"/>
      <c r="N10807" s="28"/>
      <c r="O10807" s="22" t="str">
        <f t="shared" si="261"/>
        <v>View</v>
      </c>
      <c r="P10807" s="27"/>
    </row>
    <row r="10808">
      <c r="A10808" s="14">
        <v>43032.38631944444</v>
      </c>
      <c r="B10808" s="20" t="str">
        <f>HYPERLINK("https://twitter.com/xXRamonJrXx","@xXRamonJrXx")</f>
        <v>@xXRamonJrXx</v>
      </c>
      <c r="C10808" s="21" t="s">
        <v>22839</v>
      </c>
      <c r="D10808" s="21" t="s">
        <v>22842</v>
      </c>
      <c r="E10808" s="22" t="str">
        <f>HYPERLINK("https://twitter.com/xXRamonJrXx/status/922859301508706304","922859301508706304")</f>
        <v>922859301508706304</v>
      </c>
      <c r="F10808" s="23" t="s">
        <v>55</v>
      </c>
      <c r="G10808" s="24">
        <v>33.0</v>
      </c>
      <c r="H10808" s="24">
        <v>24.0</v>
      </c>
      <c r="I10808" s="24">
        <v>13.0</v>
      </c>
      <c r="J10808" s="24">
        <v>0.0</v>
      </c>
      <c r="K10808" s="23" t="s">
        <v>34</v>
      </c>
      <c r="L10808" s="25">
        <v>42142.669756944444</v>
      </c>
      <c r="M10808" s="26" t="s">
        <v>10709</v>
      </c>
      <c r="N10808" s="28"/>
      <c r="O10808" s="22" t="str">
        <f>HYPERLINK("https://pbs.twimg.com/profile_images/750818101915033600/r15RTlph_normal.jpg","View")</f>
        <v>View</v>
      </c>
      <c r="P10808" s="27"/>
    </row>
    <row r="10809">
      <c r="A10809" s="14">
        <v>43032.38664351852</v>
      </c>
      <c r="B10809" s="20" t="str">
        <f>HYPERLINK("https://twitter.com/mcwihun","@mcwihun")</f>
        <v>@mcwihun</v>
      </c>
      <c r="C10809" s="21" t="s">
        <v>22843</v>
      </c>
      <c r="D10809" s="21" t="s">
        <v>22844</v>
      </c>
      <c r="E10809" s="22" t="str">
        <f>HYPERLINK("https://twitter.com/mcwihun/status/922859420417224705","922859420417224705")</f>
        <v>922859420417224705</v>
      </c>
      <c r="F10809" s="23" t="s">
        <v>33</v>
      </c>
      <c r="G10809" s="24">
        <v>707.0</v>
      </c>
      <c r="H10809" s="24">
        <v>1215.0</v>
      </c>
      <c r="I10809" s="24">
        <v>0.0</v>
      </c>
      <c r="J10809" s="24">
        <v>0.0</v>
      </c>
      <c r="K10809" s="23" t="s">
        <v>34</v>
      </c>
      <c r="L10809" s="25">
        <v>40928.39310185185</v>
      </c>
      <c r="M10809" s="26" t="s">
        <v>22845</v>
      </c>
      <c r="N10809" s="26" t="s">
        <v>22846</v>
      </c>
      <c r="O10809" s="22" t="str">
        <f>HYPERLINK("https://pbs.twimg.com/profile_images/899045623646781441/eTUWL4_9_normal.jpg","View")</f>
        <v>View</v>
      </c>
      <c r="P10809" s="27"/>
    </row>
    <row r="10810">
      <c r="A10810" s="14">
        <v>43032.38685185185</v>
      </c>
      <c r="B10810" s="20" t="str">
        <f>HYPERLINK("https://twitter.com/JiveCambridge","@JiveCambridge")</f>
        <v>@JiveCambridge</v>
      </c>
      <c r="C10810" s="21" t="s">
        <v>22847</v>
      </c>
      <c r="D10810" s="21" t="s">
        <v>22848</v>
      </c>
      <c r="E10810" s="22" t="str">
        <f>HYPERLINK("https://twitter.com/JiveCambridge/status/922859495826644994","922859495826644994")</f>
        <v>922859495826644994</v>
      </c>
      <c r="F10810" s="23" t="s">
        <v>22849</v>
      </c>
      <c r="G10810" s="24">
        <v>7140.0</v>
      </c>
      <c r="H10810" s="24">
        <v>1145.0</v>
      </c>
      <c r="I10810" s="24">
        <v>0.0</v>
      </c>
      <c r="J10810" s="24">
        <v>0.0</v>
      </c>
      <c r="K10810" s="23" t="s">
        <v>34</v>
      </c>
      <c r="L10810" s="25">
        <v>42676.5700462963</v>
      </c>
      <c r="M10810" s="26" t="s">
        <v>221</v>
      </c>
      <c r="N10810" s="26" t="s">
        <v>22850</v>
      </c>
      <c r="O10810" s="22" t="str">
        <f>HYPERLINK("https://pbs.twimg.com/profile_images/793916330378457089/pmZiByss_normal.jpg","View")</f>
        <v>View</v>
      </c>
      <c r="P10810" s="27"/>
    </row>
    <row r="10811">
      <c r="A10811" s="14">
        <v>43032.38707175926</v>
      </c>
      <c r="B10811" s="20" t="str">
        <f>HYPERLINK("https://twitter.com/jonogg","@jonogg")</f>
        <v>@jonogg</v>
      </c>
      <c r="C10811" s="21" t="s">
        <v>22851</v>
      </c>
      <c r="D10811" s="21" t="s">
        <v>22852</v>
      </c>
      <c r="E10811" s="22" t="str">
        <f>HYPERLINK("https://twitter.com/jonogg/status/922859577850388480","922859577850388480")</f>
        <v>922859577850388480</v>
      </c>
      <c r="F10811" s="23" t="s">
        <v>55</v>
      </c>
      <c r="G10811" s="24">
        <v>1138.0</v>
      </c>
      <c r="H10811" s="24">
        <v>53.0</v>
      </c>
      <c r="I10811" s="24">
        <v>0.0</v>
      </c>
      <c r="J10811" s="24">
        <v>0.0</v>
      </c>
      <c r="K10811" s="23" t="s">
        <v>34</v>
      </c>
      <c r="L10811" s="25">
        <v>39789.469456018516</v>
      </c>
      <c r="M10811" s="26" t="s">
        <v>1186</v>
      </c>
      <c r="N10811" s="26" t="s">
        <v>22853</v>
      </c>
      <c r="O10811" s="22" t="str">
        <f>HYPERLINK("https://pbs.twimg.com/profile_images/738087733705375744/mGZJPfwX_normal.jpg","View")</f>
        <v>View</v>
      </c>
      <c r="P10811" s="27"/>
    </row>
    <row r="10812">
      <c r="A10812" s="14">
        <v>43032.387187500004</v>
      </c>
      <c r="B10812" s="20" t="str">
        <f>HYPERLINK("https://twitter.com/rajan_dehat","@rajan_dehat")</f>
        <v>@rajan_dehat</v>
      </c>
      <c r="C10812" s="21" t="s">
        <v>22854</v>
      </c>
      <c r="D10812" s="21" t="s">
        <v>42</v>
      </c>
      <c r="E10812" s="22" t="str">
        <f>HYPERLINK("https://twitter.com/rajan_dehat/status/922859618568564737","922859618568564737")</f>
        <v>922859618568564737</v>
      </c>
      <c r="F10812" s="23" t="s">
        <v>33</v>
      </c>
      <c r="G10812" s="24">
        <v>1.0</v>
      </c>
      <c r="H10812" s="24">
        <v>79.0</v>
      </c>
      <c r="I10812" s="24">
        <v>8501.0</v>
      </c>
      <c r="J10812" s="24">
        <v>0.0</v>
      </c>
      <c r="K10812" s="23" t="s">
        <v>34</v>
      </c>
      <c r="L10812" s="25">
        <v>42962.98708333333</v>
      </c>
      <c r="M10812" s="28"/>
      <c r="N10812" s="28"/>
      <c r="O10812" s="22" t="str">
        <f>HYPERLINK("https://abs.twimg.com/sticky/default_profile_images/default_profile_normal.png","View")</f>
        <v>View</v>
      </c>
      <c r="P10812" s="27"/>
    </row>
    <row r="10813">
      <c r="A10813" s="14">
        <v>43032.38892361111</v>
      </c>
      <c r="B10813" s="20" t="str">
        <f>HYPERLINK("https://twitter.com/ASHRAFx1000","@ASHRAFx1000")</f>
        <v>@ASHRAFx1000</v>
      </c>
      <c r="C10813" s="21" t="s">
        <v>22855</v>
      </c>
      <c r="D10813" s="21" t="s">
        <v>21202</v>
      </c>
      <c r="E10813" s="22" t="str">
        <f>HYPERLINK("https://twitter.com/ASHRAFx1000/status/922860248217481216","922860248217481216")</f>
        <v>922860248217481216</v>
      </c>
      <c r="F10813" s="23" t="s">
        <v>86</v>
      </c>
      <c r="G10813" s="24">
        <v>629.0</v>
      </c>
      <c r="H10813" s="24">
        <v>413.0</v>
      </c>
      <c r="I10813" s="24">
        <v>79.0</v>
      </c>
      <c r="J10813" s="24">
        <v>0.0</v>
      </c>
      <c r="K10813" s="23" t="s">
        <v>34</v>
      </c>
      <c r="L10813" s="25">
        <v>41547.50142361111</v>
      </c>
      <c r="M10813" s="26" t="s">
        <v>11949</v>
      </c>
      <c r="N10813" s="26" t="s">
        <v>22856</v>
      </c>
      <c r="O10813" s="22" t="str">
        <f>HYPERLINK("https://pbs.twimg.com/profile_images/378800000530430312/4b5f58c2fba625ca91470d81193219fa_normal.jpeg","View")</f>
        <v>View</v>
      </c>
      <c r="P10813" s="27"/>
    </row>
    <row r="10814">
      <c r="A10814" s="14">
        <v>43032.38931712963</v>
      </c>
      <c r="B10814" s="20" t="str">
        <f>HYPERLINK("https://twitter.com/ruhi_chaubey","@ruhi_chaubey")</f>
        <v>@ruhi_chaubey</v>
      </c>
      <c r="C10814" s="21" t="s">
        <v>22857</v>
      </c>
      <c r="D10814" s="21" t="s">
        <v>42</v>
      </c>
      <c r="E10814" s="22" t="str">
        <f>HYPERLINK("https://twitter.com/ruhi_chaubey/status/922860387707502592","922860387707502592")</f>
        <v>922860387707502592</v>
      </c>
      <c r="F10814" s="23" t="s">
        <v>33</v>
      </c>
      <c r="G10814" s="24">
        <v>86.0</v>
      </c>
      <c r="H10814" s="24">
        <v>8.0</v>
      </c>
      <c r="I10814" s="24">
        <v>8501.0</v>
      </c>
      <c r="J10814" s="24">
        <v>0.0</v>
      </c>
      <c r="K10814" s="23" t="s">
        <v>34</v>
      </c>
      <c r="L10814" s="25">
        <v>42944.38649305556</v>
      </c>
      <c r="M10814" s="26" t="s">
        <v>22858</v>
      </c>
      <c r="N10814" s="26" t="s">
        <v>22859</v>
      </c>
      <c r="O10814" s="22" t="str">
        <f>HYPERLINK("https://pbs.twimg.com/profile_images/914832629400092672/NUfpjMhg_normal.jpg","View")</f>
        <v>View</v>
      </c>
      <c r="P10814" s="27"/>
    </row>
    <row r="10815">
      <c r="A10815" s="14">
        <v>43032.38946759259</v>
      </c>
      <c r="B10815" s="20" t="str">
        <f>HYPERLINK("https://twitter.com/sazanamigiro","@sazanamigiro")</f>
        <v>@sazanamigiro</v>
      </c>
      <c r="C10815" s="21" t="s">
        <v>22860</v>
      </c>
      <c r="D10815" s="21" t="s">
        <v>6236</v>
      </c>
      <c r="E10815" s="22" t="str">
        <f>HYPERLINK("https://twitter.com/sazanamigiro/status/922860444146008065","922860444146008065")</f>
        <v>922860444146008065</v>
      </c>
      <c r="F10815" s="23" t="s">
        <v>39</v>
      </c>
      <c r="G10815" s="24">
        <v>3338.0</v>
      </c>
      <c r="H10815" s="24">
        <v>3310.0</v>
      </c>
      <c r="I10815" s="24">
        <v>26.0</v>
      </c>
      <c r="J10815" s="24">
        <v>0.0</v>
      </c>
      <c r="K10815" s="23" t="s">
        <v>34</v>
      </c>
      <c r="L10815" s="25">
        <v>40995.35922453704</v>
      </c>
      <c r="M10815" s="26" t="s">
        <v>22861</v>
      </c>
      <c r="N10815" s="26" t="s">
        <v>22862</v>
      </c>
      <c r="O10815" s="22" t="str">
        <f>HYPERLINK("https://pbs.twimg.com/profile_images/848648122578247681/3r4Oy9_3_normal.jpg","View")</f>
        <v>View</v>
      </c>
      <c r="P10815" s="27"/>
    </row>
    <row r="10816">
      <c r="A10816" s="14">
        <v>43032.38957175926</v>
      </c>
      <c r="B10816" s="20" t="str">
        <f>HYPERLINK("https://twitter.com/ASHRAFx1000","@ASHRAFx1000")</f>
        <v>@ASHRAFx1000</v>
      </c>
      <c r="C10816" s="21" t="s">
        <v>22855</v>
      </c>
      <c r="D10816" s="21" t="s">
        <v>21203</v>
      </c>
      <c r="E10816" s="22" t="str">
        <f>HYPERLINK("https://twitter.com/ASHRAFx1000/status/922860483102744576","922860483102744576")</f>
        <v>922860483102744576</v>
      </c>
      <c r="F10816" s="23" t="s">
        <v>86</v>
      </c>
      <c r="G10816" s="24">
        <v>629.0</v>
      </c>
      <c r="H10816" s="24">
        <v>413.0</v>
      </c>
      <c r="I10816" s="24">
        <v>75.0</v>
      </c>
      <c r="J10816" s="24">
        <v>0.0</v>
      </c>
      <c r="K10816" s="23" t="s">
        <v>34</v>
      </c>
      <c r="L10816" s="25">
        <v>41547.50142361111</v>
      </c>
      <c r="M10816" s="26" t="s">
        <v>11949</v>
      </c>
      <c r="N10816" s="26" t="s">
        <v>22856</v>
      </c>
      <c r="O10816" s="22" t="str">
        <f>HYPERLINK("https://pbs.twimg.com/profile_images/378800000530430312/4b5f58c2fba625ca91470d81193219fa_normal.jpeg","View")</f>
        <v>View</v>
      </c>
      <c r="P10816" s="27"/>
    </row>
    <row r="10817">
      <c r="A10817" s="14">
        <v>43032.38994212963</v>
      </c>
      <c r="B10817" s="20" t="str">
        <f>HYPERLINK("https://twitter.com/muhiri","@muhiri")</f>
        <v>@muhiri</v>
      </c>
      <c r="C10817" s="21" t="s">
        <v>22863</v>
      </c>
      <c r="D10817" s="21" t="s">
        <v>32</v>
      </c>
      <c r="E10817" s="22" t="str">
        <f>HYPERLINK("https://twitter.com/muhiri/status/922860614439010304","922860614439010304")</f>
        <v>922860614439010304</v>
      </c>
      <c r="F10817" s="23" t="s">
        <v>33</v>
      </c>
      <c r="G10817" s="24">
        <v>306.0</v>
      </c>
      <c r="H10817" s="24">
        <v>130.0</v>
      </c>
      <c r="I10817" s="24">
        <v>471.0</v>
      </c>
      <c r="J10817" s="24">
        <v>0.0</v>
      </c>
      <c r="K10817" s="23" t="s">
        <v>34</v>
      </c>
      <c r="L10817" s="25">
        <v>40419.57232638889</v>
      </c>
      <c r="M10817" s="26" t="s">
        <v>22864</v>
      </c>
      <c r="N10817" s="26" t="s">
        <v>22865</v>
      </c>
      <c r="O10817" s="22" t="str">
        <f>HYPERLINK("https://pbs.twimg.com/profile_images/740174201198419969/xHgYp58U_normal.jpg","View")</f>
        <v>View</v>
      </c>
      <c r="P10817" s="27"/>
    </row>
    <row r="10818">
      <c r="A10818" s="14">
        <v>43032.39021990741</v>
      </c>
      <c r="B10818" s="20" t="str">
        <f t="shared" ref="B10818:B10819" si="262">HYPERLINK("https://twitter.com/ASHRAFx1000","@ASHRAFx1000")</f>
        <v>@ASHRAFx1000</v>
      </c>
      <c r="C10818" s="21" t="s">
        <v>22855</v>
      </c>
      <c r="D10818" s="21" t="s">
        <v>21243</v>
      </c>
      <c r="E10818" s="22" t="str">
        <f>HYPERLINK("https://twitter.com/ASHRAFx1000/status/922860718054977536","922860718054977536")</f>
        <v>922860718054977536</v>
      </c>
      <c r="F10818" s="23" t="s">
        <v>86</v>
      </c>
      <c r="G10818" s="24">
        <v>629.0</v>
      </c>
      <c r="H10818" s="24">
        <v>413.0</v>
      </c>
      <c r="I10818" s="24">
        <v>41.0</v>
      </c>
      <c r="J10818" s="24">
        <v>0.0</v>
      </c>
      <c r="K10818" s="23" t="s">
        <v>34</v>
      </c>
      <c r="L10818" s="25">
        <v>41547.50142361111</v>
      </c>
      <c r="M10818" s="26" t="s">
        <v>11949</v>
      </c>
      <c r="N10818" s="26" t="s">
        <v>22856</v>
      </c>
      <c r="O10818" s="22" t="str">
        <f t="shared" ref="O10818:O10819" si="263">HYPERLINK("https://pbs.twimg.com/profile_images/378800000530430312/4b5f58c2fba625ca91470d81193219fa_normal.jpeg","View")</f>
        <v>View</v>
      </c>
      <c r="P10818" s="27"/>
    </row>
    <row r="10819">
      <c r="A10819" s="14">
        <v>43032.390868055554</v>
      </c>
      <c r="B10819" s="20" t="str">
        <f t="shared" si="262"/>
        <v>@ASHRAFx1000</v>
      </c>
      <c r="C10819" s="21" t="s">
        <v>22855</v>
      </c>
      <c r="D10819" s="21" t="s">
        <v>21191</v>
      </c>
      <c r="E10819" s="22" t="str">
        <f>HYPERLINK("https://twitter.com/ASHRAFx1000/status/922860953330360321","922860953330360321")</f>
        <v>922860953330360321</v>
      </c>
      <c r="F10819" s="23" t="s">
        <v>86</v>
      </c>
      <c r="G10819" s="24">
        <v>629.0</v>
      </c>
      <c r="H10819" s="24">
        <v>413.0</v>
      </c>
      <c r="I10819" s="24">
        <v>42.0</v>
      </c>
      <c r="J10819" s="24">
        <v>0.0</v>
      </c>
      <c r="K10819" s="23" t="s">
        <v>34</v>
      </c>
      <c r="L10819" s="25">
        <v>41547.50142361111</v>
      </c>
      <c r="M10819" s="26" t="s">
        <v>11949</v>
      </c>
      <c r="N10819" s="26" t="s">
        <v>22856</v>
      </c>
      <c r="O10819" s="22" t="str">
        <f t="shared" si="263"/>
        <v>View</v>
      </c>
      <c r="P10819" s="27"/>
    </row>
    <row r="10820">
      <c r="A10820" s="14">
        <v>43032.39140046296</v>
      </c>
      <c r="B10820" s="20" t="str">
        <f>HYPERLINK("https://twitter.com/m_c_yn","@m_c_yn")</f>
        <v>@m_c_yn</v>
      </c>
      <c r="C10820" s="21" t="s">
        <v>22866</v>
      </c>
      <c r="D10820" s="21" t="s">
        <v>32</v>
      </c>
      <c r="E10820" s="22" t="str">
        <f>HYPERLINK("https://twitter.com/m_c_yn/status/922861144657793027","922861144657793027")</f>
        <v>922861144657793027</v>
      </c>
      <c r="F10820" s="23" t="s">
        <v>33</v>
      </c>
      <c r="G10820" s="24">
        <v>309.0</v>
      </c>
      <c r="H10820" s="24">
        <v>357.0</v>
      </c>
      <c r="I10820" s="24">
        <v>471.0</v>
      </c>
      <c r="J10820" s="24">
        <v>0.0</v>
      </c>
      <c r="K10820" s="23" t="s">
        <v>34</v>
      </c>
      <c r="L10820" s="25">
        <v>42148.20547453704</v>
      </c>
      <c r="M10820" s="26" t="s">
        <v>114</v>
      </c>
      <c r="N10820" s="28"/>
      <c r="O10820" s="22" t="str">
        <f>HYPERLINK("https://pbs.twimg.com/profile_images/917404403245699072/7QQe_Ovo_normal.jpg","View")</f>
        <v>View</v>
      </c>
      <c r="P10820" s="27"/>
    </row>
    <row r="10821">
      <c r="A10821" s="14">
        <v>43032.391817129625</v>
      </c>
      <c r="B10821" s="20" t="str">
        <f>HYPERLINK("https://twitter.com/puppy_training_","@puppy_training_")</f>
        <v>@puppy_training_</v>
      </c>
      <c r="C10821" s="21" t="s">
        <v>22867</v>
      </c>
      <c r="D10821" s="21" t="s">
        <v>22868</v>
      </c>
      <c r="E10821" s="22" t="str">
        <f>HYPERLINK("https://twitter.com/puppy_training_/status/922861295170478081","922861295170478081")</f>
        <v>922861295170478081</v>
      </c>
      <c r="F10821" s="23" t="s">
        <v>187</v>
      </c>
      <c r="G10821" s="24">
        <v>1190.0</v>
      </c>
      <c r="H10821" s="24">
        <v>1701.0</v>
      </c>
      <c r="I10821" s="24">
        <v>0.0</v>
      </c>
      <c r="J10821" s="24">
        <v>0.0</v>
      </c>
      <c r="K10821" s="23" t="s">
        <v>34</v>
      </c>
      <c r="L10821" s="25">
        <v>42201.34796296296</v>
      </c>
      <c r="M10821" s="26" t="s">
        <v>68</v>
      </c>
      <c r="N10821" s="26" t="s">
        <v>22869</v>
      </c>
      <c r="O10821" s="22" t="str">
        <f>HYPERLINK("https://pbs.twimg.com/profile_images/621717459884576772/XJbQLzt__normal.jpg","View")</f>
        <v>View</v>
      </c>
      <c r="P10821" s="27"/>
    </row>
    <row r="10822">
      <c r="A10822" s="14">
        <v>43032.39282407408</v>
      </c>
      <c r="B10822" s="20" t="str">
        <f>HYPERLINK("https://twitter.com/BoscoNorman","@BoscoNorman")</f>
        <v>@BoscoNorman</v>
      </c>
      <c r="C10822" s="21" t="s">
        <v>22870</v>
      </c>
      <c r="D10822" s="21" t="s">
        <v>32</v>
      </c>
      <c r="E10822" s="22" t="str">
        <f>HYPERLINK("https://twitter.com/BoscoNorman/status/922861659827322881","922861659827322881")</f>
        <v>922861659827322881</v>
      </c>
      <c r="F10822" s="23" t="s">
        <v>33</v>
      </c>
      <c r="G10822" s="24">
        <v>1055.0</v>
      </c>
      <c r="H10822" s="24">
        <v>1205.0</v>
      </c>
      <c r="I10822" s="24">
        <v>471.0</v>
      </c>
      <c r="J10822" s="24">
        <v>0.0</v>
      </c>
      <c r="K10822" s="23" t="s">
        <v>34</v>
      </c>
      <c r="L10822" s="25">
        <v>40993.33331018519</v>
      </c>
      <c r="M10822" s="26" t="s">
        <v>282</v>
      </c>
      <c r="N10822" s="26" t="s">
        <v>22871</v>
      </c>
      <c r="O10822" s="22" t="str">
        <f>HYPERLINK("https://pbs.twimg.com/profile_images/420486410785669120/ox7QmaaD_normal.jpeg","View")</f>
        <v>View</v>
      </c>
      <c r="P10822" s="27"/>
    </row>
    <row r="10823">
      <c r="A10823" s="14">
        <v>43032.393055555556</v>
      </c>
      <c r="B10823" s="20" t="str">
        <f>HYPERLINK("https://twitter.com/dasraghubar","@dasraghubar")</f>
        <v>@dasraghubar</v>
      </c>
      <c r="C10823" s="21" t="s">
        <v>22872</v>
      </c>
      <c r="D10823" s="21" t="s">
        <v>22873</v>
      </c>
      <c r="E10823" s="22" t="str">
        <f>HYPERLINK("https://twitter.com/dasraghubar/status/922861743876870144","922861743876870144")</f>
        <v>922861743876870144</v>
      </c>
      <c r="F10823" s="23" t="s">
        <v>39</v>
      </c>
      <c r="G10823" s="24">
        <v>118198.0</v>
      </c>
      <c r="H10823" s="24">
        <v>194.0</v>
      </c>
      <c r="I10823" s="24">
        <v>33.0</v>
      </c>
      <c r="J10823" s="24">
        <v>163.0</v>
      </c>
      <c r="K10823" s="23" t="s">
        <v>34</v>
      </c>
      <c r="L10823" s="25">
        <v>42094.99481481481</v>
      </c>
      <c r="M10823" s="26" t="s">
        <v>22874</v>
      </c>
      <c r="N10823" s="26" t="s">
        <v>22875</v>
      </c>
      <c r="O10823" s="22" t="str">
        <f>HYPERLINK("https://pbs.twimg.com/profile_images/895987365096730627/a3gWJmdQ_normal.jpg","View")</f>
        <v>View</v>
      </c>
      <c r="P10823" s="27"/>
    </row>
    <row r="10824">
      <c r="A10824" s="14">
        <v>43032.39309027778</v>
      </c>
      <c r="B10824" s="20" t="str">
        <f>HYPERLINK("https://twitter.com/LeftyGallegos","@LeftyGallegos")</f>
        <v>@LeftyGallegos</v>
      </c>
      <c r="C10824" s="21" t="s">
        <v>22876</v>
      </c>
      <c r="D10824" s="21" t="s">
        <v>1593</v>
      </c>
      <c r="E10824" s="22" t="str">
        <f>HYPERLINK("https://twitter.com/LeftyGallegos/status/922861758934478848","922861758934478848")</f>
        <v>922861758934478848</v>
      </c>
      <c r="F10824" s="23" t="s">
        <v>39</v>
      </c>
      <c r="G10824" s="24">
        <v>948.0</v>
      </c>
      <c r="H10824" s="24">
        <v>1050.0</v>
      </c>
      <c r="I10824" s="24">
        <v>110.0</v>
      </c>
      <c r="J10824" s="24">
        <v>0.0</v>
      </c>
      <c r="K10824" s="23" t="s">
        <v>34</v>
      </c>
      <c r="L10824" s="25">
        <v>42903.78805555556</v>
      </c>
      <c r="M10824" s="26" t="s">
        <v>435</v>
      </c>
      <c r="N10824" s="26" t="s">
        <v>22877</v>
      </c>
      <c r="O10824" s="22" t="str">
        <f>HYPERLINK("https://pbs.twimg.com/profile_images/878292802118930437/Ckx5wDsi_normal.jpg","View")</f>
        <v>View</v>
      </c>
      <c r="P10824" s="27"/>
    </row>
    <row r="10825">
      <c r="A10825" s="14">
        <v>43032.39336805556</v>
      </c>
      <c r="B10825" s="20" t="str">
        <f>HYPERLINK("https://twitter.com/Joshua_Pollack","@Joshua_Pollack")</f>
        <v>@Joshua_Pollack</v>
      </c>
      <c r="C10825" s="21" t="s">
        <v>22878</v>
      </c>
      <c r="D10825" s="21" t="s">
        <v>22879</v>
      </c>
      <c r="E10825" s="22" t="str">
        <f>HYPERLINK("https://twitter.com/Joshua_Pollack/status/922861859862208513","922861859862208513")</f>
        <v>922861859862208513</v>
      </c>
      <c r="F10825" s="23" t="s">
        <v>39</v>
      </c>
      <c r="G10825" s="24">
        <v>7703.0</v>
      </c>
      <c r="H10825" s="24">
        <v>1978.0</v>
      </c>
      <c r="I10825" s="24">
        <v>0.0</v>
      </c>
      <c r="J10825" s="24">
        <v>1.0</v>
      </c>
      <c r="K10825" s="23" t="s">
        <v>34</v>
      </c>
      <c r="L10825" s="25">
        <v>41390.46650462963</v>
      </c>
      <c r="M10825" s="26" t="s">
        <v>4239</v>
      </c>
      <c r="N10825" s="26" t="s">
        <v>22880</v>
      </c>
      <c r="O10825" s="22" t="str">
        <f>HYPERLINK("https://pbs.twimg.com/profile_images/678539334203654145/OxNrWo5H_normal.jpg","View")</f>
        <v>View</v>
      </c>
      <c r="P10825" s="27"/>
    </row>
    <row r="10826">
      <c r="A10826" s="14">
        <v>43032.39366898148</v>
      </c>
      <c r="B10826" s="20" t="str">
        <f>HYPERLINK("https://twitter.com/subbu124","@subbu124")</f>
        <v>@subbu124</v>
      </c>
      <c r="C10826" s="21" t="s">
        <v>22881</v>
      </c>
      <c r="D10826" s="21" t="s">
        <v>22882</v>
      </c>
      <c r="E10826" s="22" t="str">
        <f>HYPERLINK("https://twitter.com/subbu124/status/922861965818568704","922861965818568704")</f>
        <v>922861965818568704</v>
      </c>
      <c r="F10826" s="23" t="s">
        <v>43</v>
      </c>
      <c r="G10826" s="24">
        <v>154.0</v>
      </c>
      <c r="H10826" s="24">
        <v>801.0</v>
      </c>
      <c r="I10826" s="24">
        <v>33.0</v>
      </c>
      <c r="J10826" s="24">
        <v>0.0</v>
      </c>
      <c r="K10826" s="23" t="s">
        <v>34</v>
      </c>
      <c r="L10826" s="25">
        <v>40394.194502314815</v>
      </c>
      <c r="M10826" s="26" t="s">
        <v>11397</v>
      </c>
      <c r="N10826" s="26" t="s">
        <v>22883</v>
      </c>
      <c r="O10826" s="22" t="str">
        <f>HYPERLINK("https://pbs.twimg.com/profile_images/685501496591544320/bORle83J_normal.jpg","View")</f>
        <v>View</v>
      </c>
      <c r="P10826" s="27"/>
    </row>
    <row r="10827">
      <c r="A10827" s="14">
        <v>43032.394004629634</v>
      </c>
      <c r="B10827" s="20" t="str">
        <f>HYPERLINK("https://twitter.com/SagarPShende1","@SagarPShende1")</f>
        <v>@SagarPShende1</v>
      </c>
      <c r="C10827" s="21" t="s">
        <v>20522</v>
      </c>
      <c r="D10827" s="21" t="s">
        <v>22882</v>
      </c>
      <c r="E10827" s="22" t="str">
        <f>HYPERLINK("https://twitter.com/SagarPShende1/status/922862090175496193","922862090175496193")</f>
        <v>922862090175496193</v>
      </c>
      <c r="F10827" s="23" t="s">
        <v>33</v>
      </c>
      <c r="G10827" s="24">
        <v>266.0</v>
      </c>
      <c r="H10827" s="24">
        <v>311.0</v>
      </c>
      <c r="I10827" s="24">
        <v>33.0</v>
      </c>
      <c r="J10827" s="24">
        <v>0.0</v>
      </c>
      <c r="K10827" s="23" t="s">
        <v>34</v>
      </c>
      <c r="L10827" s="25">
        <v>42972.8965625</v>
      </c>
      <c r="M10827" s="26" t="s">
        <v>20523</v>
      </c>
      <c r="N10827" s="26" t="s">
        <v>20524</v>
      </c>
      <c r="O10827" s="22" t="str">
        <f>HYPERLINK("https://pbs.twimg.com/profile_images/910328555476738048/9G2foVBr_normal.jpg","View")</f>
        <v>View</v>
      </c>
      <c r="P10827" s="27"/>
    </row>
    <row r="10828">
      <c r="A10828" s="14">
        <v>43032.394108796296</v>
      </c>
      <c r="B10828" s="20" t="str">
        <f>HYPERLINK("https://twitter.com/whatinvestment","@whatinvestment")</f>
        <v>@whatinvestment</v>
      </c>
      <c r="C10828" s="21" t="s">
        <v>22884</v>
      </c>
      <c r="D10828" s="21" t="s">
        <v>22885</v>
      </c>
      <c r="E10828" s="22" t="str">
        <f>HYPERLINK("https://twitter.com/whatinvestment/status/922862127140016128","922862127140016128")</f>
        <v>922862127140016128</v>
      </c>
      <c r="F10828" s="23" t="s">
        <v>427</v>
      </c>
      <c r="G10828" s="24">
        <v>3406.0</v>
      </c>
      <c r="H10828" s="24">
        <v>625.0</v>
      </c>
      <c r="I10828" s="24">
        <v>0.0</v>
      </c>
      <c r="J10828" s="24">
        <v>0.0</v>
      </c>
      <c r="K10828" s="23" t="s">
        <v>34</v>
      </c>
      <c r="L10828" s="25">
        <v>39870.133993055555</v>
      </c>
      <c r="M10828" s="26" t="s">
        <v>334</v>
      </c>
      <c r="N10828" s="26" t="s">
        <v>22886</v>
      </c>
      <c r="O10828" s="22" t="str">
        <f>HYPERLINK("https://pbs.twimg.com/profile_images/3594647412/881f89259ffe949093d16d1865cbc358_normal.png","View")</f>
        <v>View</v>
      </c>
      <c r="P10828" s="27"/>
    </row>
    <row r="10829">
      <c r="A10829" s="14">
        <v>43032.39560185185</v>
      </c>
      <c r="B10829" s="20" t="str">
        <f>HYPERLINK("https://twitter.com/AnilKum04110675","@AnilKum04110675")</f>
        <v>@AnilKum04110675</v>
      </c>
      <c r="C10829" s="21" t="s">
        <v>13220</v>
      </c>
      <c r="D10829" s="21" t="s">
        <v>22882</v>
      </c>
      <c r="E10829" s="22" t="str">
        <f>HYPERLINK("https://twitter.com/AnilKum04110675/status/922862668012064768","922862668012064768")</f>
        <v>922862668012064768</v>
      </c>
      <c r="F10829" s="23" t="s">
        <v>33</v>
      </c>
      <c r="G10829" s="24">
        <v>618.0</v>
      </c>
      <c r="H10829" s="24">
        <v>784.0</v>
      </c>
      <c r="I10829" s="24">
        <v>33.0</v>
      </c>
      <c r="J10829" s="24">
        <v>0.0</v>
      </c>
      <c r="K10829" s="23" t="s">
        <v>34</v>
      </c>
      <c r="L10829" s="25">
        <v>42697.23693287037</v>
      </c>
      <c r="M10829" s="26" t="s">
        <v>22887</v>
      </c>
      <c r="N10829" s="26" t="s">
        <v>19789</v>
      </c>
      <c r="O10829" s="22" t="str">
        <f>HYPERLINK("https://pbs.twimg.com/profile_images/907848938304278528/mu9h_Stj_normal.jpg","View")</f>
        <v>View</v>
      </c>
      <c r="P10829" s="27"/>
    </row>
    <row r="10830">
      <c r="A10830" s="14">
        <v>43032.39569444444</v>
      </c>
      <c r="B10830" s="20" t="str">
        <f>HYPERLINK("https://twitter.com/DeepakSihag511","@DeepakSihag511")</f>
        <v>@DeepakSihag511</v>
      </c>
      <c r="C10830" s="21" t="s">
        <v>22888</v>
      </c>
      <c r="D10830" s="21" t="s">
        <v>22882</v>
      </c>
      <c r="E10830" s="22" t="str">
        <f>HYPERLINK("https://twitter.com/DeepakSihag511/status/922862699230388225","922862699230388225")</f>
        <v>922862699230388225</v>
      </c>
      <c r="F10830" s="23" t="s">
        <v>33</v>
      </c>
      <c r="G10830" s="24">
        <v>2159.0</v>
      </c>
      <c r="H10830" s="24">
        <v>531.0</v>
      </c>
      <c r="I10830" s="24">
        <v>33.0</v>
      </c>
      <c r="J10830" s="24">
        <v>0.0</v>
      </c>
      <c r="K10830" s="23" t="s">
        <v>34</v>
      </c>
      <c r="L10830" s="25">
        <v>42666.11</v>
      </c>
      <c r="M10830" s="26" t="s">
        <v>22889</v>
      </c>
      <c r="N10830" s="26" t="s">
        <v>22890</v>
      </c>
      <c r="O10830" s="22" t="str">
        <f>HYPERLINK("https://pbs.twimg.com/profile_images/918842462793166849/IpfPm0Bl_normal.jpg","View")</f>
        <v>View</v>
      </c>
      <c r="P10830" s="27"/>
    </row>
    <row r="10831">
      <c r="A10831" s="14">
        <v>43032.39570601852</v>
      </c>
      <c r="B10831" s="20" t="str">
        <f>HYPERLINK("https://twitter.com/RuthW1958","@RuthW1958")</f>
        <v>@RuthW1958</v>
      </c>
      <c r="C10831" s="21" t="s">
        <v>22891</v>
      </c>
      <c r="D10831" s="21" t="s">
        <v>22892</v>
      </c>
      <c r="E10831" s="22" t="str">
        <f>HYPERLINK("https://twitter.com/RuthW1958/status/922862703470882816","922862703470882816")</f>
        <v>922862703470882816</v>
      </c>
      <c r="F10831" s="23" t="s">
        <v>55</v>
      </c>
      <c r="G10831" s="24">
        <v>3162.0</v>
      </c>
      <c r="H10831" s="24">
        <v>4971.0</v>
      </c>
      <c r="I10831" s="24">
        <v>0.0</v>
      </c>
      <c r="J10831" s="24">
        <v>0.0</v>
      </c>
      <c r="K10831" s="23" t="s">
        <v>34</v>
      </c>
      <c r="L10831" s="25">
        <v>41156.653645833336</v>
      </c>
      <c r="M10831" s="26" t="s">
        <v>22893</v>
      </c>
      <c r="N10831" s="26" t="s">
        <v>22894</v>
      </c>
      <c r="O10831" s="22" t="str">
        <f>HYPERLINK("https://pbs.twimg.com/profile_images/882459078114586624/flTm0nO__normal.jpg","View")</f>
        <v>View</v>
      </c>
      <c r="P10831" s="27"/>
    </row>
    <row r="10832">
      <c r="A10832" s="14">
        <v>43032.39571759259</v>
      </c>
      <c r="B10832" s="20" t="str">
        <f>HYPERLINK("https://twitter.com/asef_yd","@asef_yd")</f>
        <v>@asef_yd</v>
      </c>
      <c r="C10832" s="21" t="s">
        <v>22895</v>
      </c>
      <c r="D10832" s="21" t="s">
        <v>21202</v>
      </c>
      <c r="E10832" s="22" t="str">
        <f>HYPERLINK("https://twitter.com/asef_yd/status/922862710693310464","922862710693310464")</f>
        <v>922862710693310464</v>
      </c>
      <c r="F10832" s="23" t="s">
        <v>86</v>
      </c>
      <c r="G10832" s="24">
        <v>174.0</v>
      </c>
      <c r="H10832" s="24">
        <v>123.0</v>
      </c>
      <c r="I10832" s="24">
        <v>79.0</v>
      </c>
      <c r="J10832" s="24">
        <v>0.0</v>
      </c>
      <c r="K10832" s="23" t="s">
        <v>34</v>
      </c>
      <c r="L10832" s="25">
        <v>41787.02868055555</v>
      </c>
      <c r="M10832" s="28"/>
      <c r="N10832" s="28"/>
      <c r="O10832" s="22" t="str">
        <f>HYPERLINK("https://pbs.twimg.com/profile_images/471558224844308480/C2EYOffe_normal.png","View")</f>
        <v>View</v>
      </c>
      <c r="P10832" s="27"/>
    </row>
    <row r="10833">
      <c r="A10833" s="14">
        <v>43032.39584490741</v>
      </c>
      <c r="B10833" s="20" t="str">
        <f>HYPERLINK("https://twitter.com/GracmVeCo","@GracmVeCo")</f>
        <v>@GracmVeCo</v>
      </c>
      <c r="C10833" s="21" t="s">
        <v>14634</v>
      </c>
      <c r="D10833" s="21" t="s">
        <v>22896</v>
      </c>
      <c r="E10833" s="22" t="str">
        <f>HYPERLINK("https://twitter.com/GracmVeCo/status/922862757212438528","922862757212438528")</f>
        <v>922862757212438528</v>
      </c>
      <c r="F10833" s="23" t="s">
        <v>769</v>
      </c>
      <c r="G10833" s="24">
        <v>85.0</v>
      </c>
      <c r="H10833" s="24">
        <v>107.0</v>
      </c>
      <c r="I10833" s="24">
        <v>0.0</v>
      </c>
      <c r="J10833" s="24">
        <v>0.0</v>
      </c>
      <c r="K10833" s="23" t="s">
        <v>34</v>
      </c>
      <c r="L10833" s="25">
        <v>42687.41559027778</v>
      </c>
      <c r="M10833" s="26" t="s">
        <v>14636</v>
      </c>
      <c r="N10833" s="26" t="s">
        <v>14637</v>
      </c>
      <c r="O10833" s="22" t="str">
        <f>HYPERLINK("https://pbs.twimg.com/profile_images/797864079008399360/489jwXbT_normal.jpg","View")</f>
        <v>View</v>
      </c>
      <c r="P10833" s="27"/>
    </row>
    <row r="10834">
      <c r="A10834" s="14">
        <v>43032.39638888889</v>
      </c>
      <c r="B10834" s="20" t="str">
        <f>HYPERLINK("https://twitter.com/asef_yd","@asef_yd")</f>
        <v>@asef_yd</v>
      </c>
      <c r="C10834" s="21" t="s">
        <v>22895</v>
      </c>
      <c r="D10834" s="21" t="s">
        <v>21203</v>
      </c>
      <c r="E10834" s="22" t="str">
        <f>HYPERLINK("https://twitter.com/asef_yd/status/922862953212157952","922862953212157952")</f>
        <v>922862953212157952</v>
      </c>
      <c r="F10834" s="23" t="s">
        <v>86</v>
      </c>
      <c r="G10834" s="24">
        <v>174.0</v>
      </c>
      <c r="H10834" s="24">
        <v>123.0</v>
      </c>
      <c r="I10834" s="24">
        <v>75.0</v>
      </c>
      <c r="J10834" s="24">
        <v>0.0</v>
      </c>
      <c r="K10834" s="23" t="s">
        <v>34</v>
      </c>
      <c r="L10834" s="25">
        <v>41787.02868055555</v>
      </c>
      <c r="M10834" s="28"/>
      <c r="N10834" s="28"/>
      <c r="O10834" s="22" t="str">
        <f>HYPERLINK("https://pbs.twimg.com/profile_images/471558224844308480/C2EYOffe_normal.png","View")</f>
        <v>View</v>
      </c>
      <c r="P10834" s="27"/>
    </row>
    <row r="10835">
      <c r="A10835" s="14">
        <v>43032.39645833333</v>
      </c>
      <c r="B10835" s="20" t="str">
        <f>HYPERLINK("https://twitter.com/manujarch","@manujarch")</f>
        <v>@manujarch</v>
      </c>
      <c r="C10835" s="21" t="s">
        <v>22897</v>
      </c>
      <c r="D10835" s="21" t="s">
        <v>22882</v>
      </c>
      <c r="E10835" s="22" t="str">
        <f>HYPERLINK("https://twitter.com/manujarch/status/922862978763866112","922862978763866112")</f>
        <v>922862978763866112</v>
      </c>
      <c r="F10835" s="23" t="s">
        <v>39</v>
      </c>
      <c r="G10835" s="24">
        <v>2779.0</v>
      </c>
      <c r="H10835" s="24">
        <v>296.0</v>
      </c>
      <c r="I10835" s="24">
        <v>33.0</v>
      </c>
      <c r="J10835" s="24">
        <v>0.0</v>
      </c>
      <c r="K10835" s="23" t="s">
        <v>34</v>
      </c>
      <c r="L10835" s="25">
        <v>39511.88049768518</v>
      </c>
      <c r="M10835" s="26" t="s">
        <v>423</v>
      </c>
      <c r="N10835" s="26" t="s">
        <v>22898</v>
      </c>
      <c r="O10835" s="22" t="str">
        <f>HYPERLINK("https://pbs.twimg.com/profile_images/921028241472634880/1R01pA9a_normal.jpg","View")</f>
        <v>View</v>
      </c>
      <c r="P10835" s="27"/>
    </row>
    <row r="10836">
      <c r="A10836" s="14">
        <v>43032.39684027778</v>
      </c>
      <c r="B10836" s="20" t="str">
        <f>HYPERLINK("https://twitter.com/IBTimesUK","@IBTimesUK")</f>
        <v>@IBTimesUK</v>
      </c>
      <c r="C10836" s="21" t="s">
        <v>22899</v>
      </c>
      <c r="D10836" s="21" t="s">
        <v>22900</v>
      </c>
      <c r="E10836" s="22" t="str">
        <f>HYPERLINK("https://twitter.com/IBTimesUK/status/922863115888480257","922863115888480257")</f>
        <v>922863115888480257</v>
      </c>
      <c r="F10836" s="23" t="s">
        <v>1103</v>
      </c>
      <c r="G10836" s="24">
        <v>32273.0</v>
      </c>
      <c r="H10836" s="24">
        <v>1069.0</v>
      </c>
      <c r="I10836" s="24">
        <v>0.0</v>
      </c>
      <c r="J10836" s="24">
        <v>0.0</v>
      </c>
      <c r="K10836" s="23" t="s">
        <v>34</v>
      </c>
      <c r="L10836" s="25">
        <v>39981.13657407407</v>
      </c>
      <c r="M10836" s="26" t="s">
        <v>334</v>
      </c>
      <c r="N10836" s="26" t="s">
        <v>22901</v>
      </c>
      <c r="O10836" s="22" t="str">
        <f>HYPERLINK("https://pbs.twimg.com/profile_images/856922877018468362/O1xt2dpN_normal.jpg","View")</f>
        <v>View</v>
      </c>
      <c r="P10836" s="27"/>
    </row>
    <row r="10837">
      <c r="A10837" s="14">
        <v>43032.39854166667</v>
      </c>
      <c r="B10837" s="20" t="str">
        <f>HYPERLINK("https://twitter.com/SureshPatel_MLA","@SureshPatel_MLA")</f>
        <v>@SureshPatel_MLA</v>
      </c>
      <c r="C10837" s="21" t="s">
        <v>22902</v>
      </c>
      <c r="D10837" s="21" t="s">
        <v>42</v>
      </c>
      <c r="E10837" s="22" t="str">
        <f>HYPERLINK("https://twitter.com/SureshPatel_MLA/status/922863732857880576","922863732857880576")</f>
        <v>922863732857880576</v>
      </c>
      <c r="F10837" s="23" t="s">
        <v>33</v>
      </c>
      <c r="G10837" s="24">
        <v>3302.0</v>
      </c>
      <c r="H10837" s="24">
        <v>296.0</v>
      </c>
      <c r="I10837" s="24">
        <v>8501.0</v>
      </c>
      <c r="J10837" s="24">
        <v>0.0</v>
      </c>
      <c r="K10837" s="23" t="s">
        <v>34</v>
      </c>
      <c r="L10837" s="25">
        <v>40988.12505787037</v>
      </c>
      <c r="M10837" s="26" t="s">
        <v>22903</v>
      </c>
      <c r="N10837" s="26" t="s">
        <v>22904</v>
      </c>
      <c r="O10837" s="22" t="str">
        <f>HYPERLINK("https://pbs.twimg.com/profile_images/899693436973924352/VPG5foQ6_normal.jpg","View")</f>
        <v>View</v>
      </c>
      <c r="P10837" s="27"/>
    </row>
    <row r="10838">
      <c r="A10838" s="14">
        <v>43032.3999537037</v>
      </c>
      <c r="B10838" s="20" t="str">
        <f>HYPERLINK("https://twitter.com/DEVENDR90260460","@DEVENDR90260460")</f>
        <v>@DEVENDR90260460</v>
      </c>
      <c r="C10838" s="21" t="s">
        <v>22905</v>
      </c>
      <c r="D10838" s="21" t="s">
        <v>42</v>
      </c>
      <c r="E10838" s="22" t="str">
        <f>HYPERLINK("https://twitter.com/DEVENDR90260460/status/922864244164526080","922864244164526080")</f>
        <v>922864244164526080</v>
      </c>
      <c r="F10838" s="23" t="s">
        <v>33</v>
      </c>
      <c r="G10838" s="24">
        <v>1.0</v>
      </c>
      <c r="H10838" s="24">
        <v>37.0</v>
      </c>
      <c r="I10838" s="24">
        <v>8501.0</v>
      </c>
      <c r="J10838" s="24">
        <v>0.0</v>
      </c>
      <c r="K10838" s="23" t="s">
        <v>34</v>
      </c>
      <c r="L10838" s="25">
        <v>43030.32525462963</v>
      </c>
      <c r="M10838" s="28"/>
      <c r="N10838" s="28"/>
      <c r="O10838" s="22" t="str">
        <f>HYPERLINK("https://abs.twimg.com/sticky/default_profile_images/default_profile_normal.png","View")</f>
        <v>View</v>
      </c>
      <c r="P10838" s="27"/>
    </row>
    <row r="10839">
      <c r="A10839" s="14">
        <v>43032.40003472222</v>
      </c>
      <c r="B10839" s="20" t="str">
        <f>HYPERLINK("https://twitter.com/victory2writers","@victory2writers")</f>
        <v>@victory2writers</v>
      </c>
      <c r="C10839" s="21" t="s">
        <v>21689</v>
      </c>
      <c r="D10839" s="21" t="s">
        <v>21215</v>
      </c>
      <c r="E10839" s="22" t="str">
        <f>HYPERLINK("https://twitter.com/victory2writers/status/922864275525455872","922864275525455872")</f>
        <v>922864275525455872</v>
      </c>
      <c r="F10839" s="23" t="s">
        <v>86</v>
      </c>
      <c r="G10839" s="24">
        <v>392.0</v>
      </c>
      <c r="H10839" s="24">
        <v>432.0</v>
      </c>
      <c r="I10839" s="24">
        <v>39.0</v>
      </c>
      <c r="J10839" s="24">
        <v>0.0</v>
      </c>
      <c r="K10839" s="23" t="s">
        <v>34</v>
      </c>
      <c r="L10839" s="25">
        <v>41578.26436342593</v>
      </c>
      <c r="M10839" s="28"/>
      <c r="N10839" s="28"/>
      <c r="O10839" s="22" t="str">
        <f>HYPERLINK("https://pbs.twimg.com/profile_images/378800000673648699/ab29b3d6dfd04f976a62bff61c19758e_normal.jpeg","View")</f>
        <v>View</v>
      </c>
      <c r="P10839" s="27"/>
    </row>
    <row r="10840">
      <c r="A10840" s="14">
        <v>43032.40038194445</v>
      </c>
      <c r="B10840" s="20" t="str">
        <f>HYPERLINK("https://twitter.com/krishna_my","@krishna_my")</f>
        <v>@krishna_my</v>
      </c>
      <c r="C10840" s="21" t="s">
        <v>22906</v>
      </c>
      <c r="D10840" s="21" t="s">
        <v>42</v>
      </c>
      <c r="E10840" s="22" t="str">
        <f>HYPERLINK("https://twitter.com/krishna_my/status/922864398061879296","922864398061879296")</f>
        <v>922864398061879296</v>
      </c>
      <c r="F10840" s="23" t="s">
        <v>33</v>
      </c>
      <c r="G10840" s="24">
        <v>792.0</v>
      </c>
      <c r="H10840" s="24">
        <v>1069.0</v>
      </c>
      <c r="I10840" s="24">
        <v>8501.0</v>
      </c>
      <c r="J10840" s="24">
        <v>0.0</v>
      </c>
      <c r="K10840" s="23" t="s">
        <v>34</v>
      </c>
      <c r="L10840" s="25">
        <v>41384.15020833333</v>
      </c>
      <c r="M10840" s="26" t="s">
        <v>22907</v>
      </c>
      <c r="N10840" s="26" t="s">
        <v>22908</v>
      </c>
      <c r="O10840" s="22" t="str">
        <f>HYPERLINK("https://pbs.twimg.com/profile_images/903900433080451072/qdWqfPE8_normal.jpg","View")</f>
        <v>View</v>
      </c>
      <c r="P10840" s="27"/>
    </row>
    <row r="10841">
      <c r="A10841" s="14">
        <v>43032.401087962964</v>
      </c>
      <c r="B10841" s="20" t="str">
        <f>HYPERLINK("https://twitter.com/nam_to_suna_h_n","@nam_to_suna_h_n")</f>
        <v>@nam_to_suna_h_n</v>
      </c>
      <c r="C10841" s="21" t="s">
        <v>22909</v>
      </c>
      <c r="D10841" s="21" t="s">
        <v>22882</v>
      </c>
      <c r="E10841" s="22" t="str">
        <f>HYPERLINK("https://twitter.com/nam_to_suna_h_n/status/922864654690394113","922864654690394113")</f>
        <v>922864654690394113</v>
      </c>
      <c r="F10841" s="23" t="s">
        <v>33</v>
      </c>
      <c r="G10841" s="24">
        <v>355.0</v>
      </c>
      <c r="H10841" s="24">
        <v>86.0</v>
      </c>
      <c r="I10841" s="24">
        <v>33.0</v>
      </c>
      <c r="J10841" s="24">
        <v>0.0</v>
      </c>
      <c r="K10841" s="23" t="s">
        <v>34</v>
      </c>
      <c r="L10841" s="25">
        <v>42456.459861111114</v>
      </c>
      <c r="M10841" s="26" t="s">
        <v>22910</v>
      </c>
      <c r="N10841" s="26" t="s">
        <v>22911</v>
      </c>
      <c r="O10841" s="22" t="str">
        <f>HYPERLINK("https://pbs.twimg.com/profile_images/922378706357596161/OIEl1exY_normal.jpg","View")</f>
        <v>View</v>
      </c>
      <c r="P10841" s="27"/>
    </row>
    <row r="10842">
      <c r="A10842" s="14">
        <v>43032.40121527778</v>
      </c>
      <c r="B10842" s="20" t="str">
        <f>HYPERLINK("https://twitter.com/9NewsAUS","@9NewsAUS")</f>
        <v>@9NewsAUS</v>
      </c>
      <c r="C10842" s="21" t="s">
        <v>3057</v>
      </c>
      <c r="D10842" s="21" t="s">
        <v>22912</v>
      </c>
      <c r="E10842" s="22" t="str">
        <f>HYPERLINK("https://twitter.com/9NewsAUS/status/922864703629660160","922864703629660160")</f>
        <v>922864703629660160</v>
      </c>
      <c r="F10842" s="23" t="s">
        <v>427</v>
      </c>
      <c r="G10842" s="24">
        <v>491023.0</v>
      </c>
      <c r="H10842" s="24">
        <v>193.0</v>
      </c>
      <c r="I10842" s="24">
        <v>6.0</v>
      </c>
      <c r="J10842" s="24">
        <v>5.0</v>
      </c>
      <c r="K10842" s="23" t="s">
        <v>34</v>
      </c>
      <c r="L10842" s="25">
        <v>39877.61877314815</v>
      </c>
      <c r="M10842" s="26" t="s">
        <v>3011</v>
      </c>
      <c r="N10842" s="26" t="s">
        <v>3059</v>
      </c>
      <c r="O10842" s="22" t="str">
        <f>HYPERLINK("https://pbs.twimg.com/profile_images/905698959787560960/iRyj2tU-_normal.jpg","View")</f>
        <v>View</v>
      </c>
      <c r="P10842" s="27"/>
    </row>
    <row r="10843">
      <c r="A10843" s="14">
        <v>43032.40148148148</v>
      </c>
      <c r="B10843" s="20" t="str">
        <f>HYPERLINK("https://twitter.com/PheniceMccall","@PheniceMccall")</f>
        <v>@PheniceMccall</v>
      </c>
      <c r="C10843" s="21" t="s">
        <v>14235</v>
      </c>
      <c r="D10843" s="21" t="s">
        <v>12974</v>
      </c>
      <c r="E10843" s="22" t="str">
        <f>HYPERLINK("https://twitter.com/PheniceMccall/status/922864796676116481","922864796676116481")</f>
        <v>922864796676116481</v>
      </c>
      <c r="F10843" s="23" t="s">
        <v>230</v>
      </c>
      <c r="G10843" s="24">
        <v>79.0</v>
      </c>
      <c r="H10843" s="24">
        <v>123.0</v>
      </c>
      <c r="I10843" s="24">
        <v>110.0</v>
      </c>
      <c r="J10843" s="24">
        <v>0.0</v>
      </c>
      <c r="K10843" s="23" t="s">
        <v>34</v>
      </c>
      <c r="L10843" s="25">
        <v>42565.4399537037</v>
      </c>
      <c r="M10843" s="28"/>
      <c r="N10843" s="28"/>
      <c r="O10843" s="22" t="str">
        <f>HYPERLINK("https://abs.twimg.com/sticky/default_profile_images/default_profile_normal.png","View")</f>
        <v>View</v>
      </c>
      <c r="P10843" s="27"/>
    </row>
    <row r="10844">
      <c r="A10844" s="14">
        <v>43032.40164351852</v>
      </c>
      <c r="B10844" s="20" t="str">
        <f>HYPERLINK("https://twitter.com/AOZDU","@AOZDU")</f>
        <v>@AOZDU</v>
      </c>
      <c r="C10844" s="21" t="s">
        <v>3200</v>
      </c>
      <c r="D10844" s="21" t="s">
        <v>22913</v>
      </c>
      <c r="E10844" s="22" t="str">
        <f>HYPERLINK("https://twitter.com/AOZDU/status/922864856872701952","922864856872701952")</f>
        <v>922864856872701952</v>
      </c>
      <c r="F10844" s="23" t="s">
        <v>187</v>
      </c>
      <c r="G10844" s="24">
        <v>236.0</v>
      </c>
      <c r="H10844" s="24">
        <v>583.0</v>
      </c>
      <c r="I10844" s="24">
        <v>0.0</v>
      </c>
      <c r="J10844" s="24">
        <v>0.0</v>
      </c>
      <c r="K10844" s="23" t="s">
        <v>34</v>
      </c>
      <c r="L10844" s="25">
        <v>42812.10858796297</v>
      </c>
      <c r="M10844" s="26" t="s">
        <v>3202</v>
      </c>
      <c r="N10844" s="26" t="s">
        <v>3203</v>
      </c>
      <c r="O10844" s="22" t="str">
        <f>HYPERLINK("https://pbs.twimg.com/profile_images/845561588182605826/D0a7AYat_normal.jpg","View")</f>
        <v>View</v>
      </c>
      <c r="P10844" s="27"/>
    </row>
    <row r="10845">
      <c r="A10845" s="14">
        <v>43032.40174768519</v>
      </c>
      <c r="B10845" s="20" t="str">
        <f>HYPERLINK("https://twitter.com/Azadi1392Iran","@Azadi1392Iran")</f>
        <v>@Azadi1392Iran</v>
      </c>
      <c r="C10845" s="21" t="s">
        <v>22914</v>
      </c>
      <c r="D10845" s="21" t="s">
        <v>21202</v>
      </c>
      <c r="E10845" s="22" t="str">
        <f>HYPERLINK("https://twitter.com/Azadi1392Iran/status/922864895321825281","922864895321825281")</f>
        <v>922864895321825281</v>
      </c>
      <c r="F10845" s="23" t="s">
        <v>86</v>
      </c>
      <c r="G10845" s="24">
        <v>790.0</v>
      </c>
      <c r="H10845" s="24">
        <v>422.0</v>
      </c>
      <c r="I10845" s="24">
        <v>79.0</v>
      </c>
      <c r="J10845" s="24">
        <v>0.0</v>
      </c>
      <c r="K10845" s="23" t="s">
        <v>34</v>
      </c>
      <c r="L10845" s="25">
        <v>41456.44868055556</v>
      </c>
      <c r="M10845" s="26" t="s">
        <v>11949</v>
      </c>
      <c r="N10845" s="26" t="s">
        <v>21141</v>
      </c>
      <c r="O10845" s="22" t="str">
        <f>HYPERLINK("https://pbs.twimg.com/profile_images/378800000114577632/3b47cacd8f4c033ccc6c5c901e78bdec_normal.jpeg","View")</f>
        <v>View</v>
      </c>
      <c r="P10845" s="27"/>
    </row>
    <row r="10846">
      <c r="A10846" s="14">
        <v>43032.40199074074</v>
      </c>
      <c r="B10846" s="20" t="str">
        <f>HYPERLINK("https://twitter.com/amar_shripal","@amar_shripal")</f>
        <v>@amar_shripal</v>
      </c>
      <c r="C10846" s="21" t="s">
        <v>22915</v>
      </c>
      <c r="D10846" s="21" t="s">
        <v>42</v>
      </c>
      <c r="E10846" s="22" t="str">
        <f>HYPERLINK("https://twitter.com/amar_shripal/status/922864983116988416","922864983116988416")</f>
        <v>922864983116988416</v>
      </c>
      <c r="F10846" s="23" t="s">
        <v>33</v>
      </c>
      <c r="G10846" s="24">
        <v>49.0</v>
      </c>
      <c r="H10846" s="24">
        <v>182.0</v>
      </c>
      <c r="I10846" s="24">
        <v>8501.0</v>
      </c>
      <c r="J10846" s="24">
        <v>0.0</v>
      </c>
      <c r="K10846" s="23" t="s">
        <v>34</v>
      </c>
      <c r="L10846" s="25">
        <v>40729.341782407406</v>
      </c>
      <c r="M10846" s="26" t="s">
        <v>22916</v>
      </c>
      <c r="N10846" s="26" t="s">
        <v>22917</v>
      </c>
      <c r="O10846" s="22" t="str">
        <f>HYPERLINK("https://pbs.twimg.com/profile_images/913498149825667072/EpG8NTeN_normal.jpg","View")</f>
        <v>View</v>
      </c>
      <c r="P10846" s="27"/>
    </row>
    <row r="10847">
      <c r="A10847" s="14">
        <v>43032.40203703704</v>
      </c>
      <c r="B10847" s="20" t="str">
        <f>HYPERLINK("https://twitter.com/IndiaSpeaksISD","@IndiaSpeaksISD")</f>
        <v>@IndiaSpeaksISD</v>
      </c>
      <c r="C10847" s="21" t="s">
        <v>22918</v>
      </c>
      <c r="D10847" s="21" t="s">
        <v>42</v>
      </c>
      <c r="E10847" s="22" t="str">
        <f>HYPERLINK("https://twitter.com/IndiaSpeaksISD/status/922865000842010625","922865000842010625")</f>
        <v>922865000842010625</v>
      </c>
      <c r="F10847" s="23" t="s">
        <v>33</v>
      </c>
      <c r="G10847" s="24">
        <v>219.0</v>
      </c>
      <c r="H10847" s="24">
        <v>207.0</v>
      </c>
      <c r="I10847" s="24">
        <v>8501.0</v>
      </c>
      <c r="J10847" s="24">
        <v>0.0</v>
      </c>
      <c r="K10847" s="23" t="s">
        <v>34</v>
      </c>
      <c r="L10847" s="25">
        <v>42449.97746527778</v>
      </c>
      <c r="M10847" s="26" t="s">
        <v>575</v>
      </c>
      <c r="N10847" s="26" t="s">
        <v>22919</v>
      </c>
      <c r="O10847" s="22" t="str">
        <f>HYPERLINK("https://pbs.twimg.com/profile_images/713303042884415488/_n876E7f_normal.jpg","View")</f>
        <v>View</v>
      </c>
      <c r="P10847" s="27"/>
    </row>
    <row r="10848">
      <c r="A10848" s="14">
        <v>43032.40212962963</v>
      </c>
      <c r="B10848" s="20" t="str">
        <f>HYPERLINK("https://twitter.com/jodi_swinger","@jodi_swinger")</f>
        <v>@jodi_swinger</v>
      </c>
      <c r="C10848" s="21" t="s">
        <v>22920</v>
      </c>
      <c r="D10848" s="21" t="s">
        <v>22735</v>
      </c>
      <c r="E10848" s="22" t="str">
        <f>HYPERLINK("https://twitter.com/jodi_swinger/status/922865030869131264","922865030869131264")</f>
        <v>922865030869131264</v>
      </c>
      <c r="F10848" s="23" t="s">
        <v>39</v>
      </c>
      <c r="G10848" s="24">
        <v>12.0</v>
      </c>
      <c r="H10848" s="24">
        <v>48.0</v>
      </c>
      <c r="I10848" s="24">
        <v>13.0</v>
      </c>
      <c r="J10848" s="24">
        <v>0.0</v>
      </c>
      <c r="K10848" s="23" t="s">
        <v>34</v>
      </c>
      <c r="L10848" s="25">
        <v>42978.725069444445</v>
      </c>
      <c r="M10848" s="26" t="s">
        <v>22921</v>
      </c>
      <c r="N10848" s="26" t="s">
        <v>22922</v>
      </c>
      <c r="O10848" s="22" t="str">
        <f>HYPERLINK("https://pbs.twimg.com/profile_images/918120231024730112/uy9EwpYO_normal.jpg","View")</f>
        <v>View</v>
      </c>
      <c r="P10848" s="27"/>
    </row>
    <row r="10849">
      <c r="A10849" s="14">
        <v>43032.402337962965</v>
      </c>
      <c r="B10849" s="20" t="str">
        <f>HYPERLINK("https://twitter.com/Azadi1392Iran","@Azadi1392Iran")</f>
        <v>@Azadi1392Iran</v>
      </c>
      <c r="C10849" s="21" t="s">
        <v>22914</v>
      </c>
      <c r="D10849" s="21" t="s">
        <v>21203</v>
      </c>
      <c r="E10849" s="22" t="str">
        <f>HYPERLINK("https://twitter.com/Azadi1392Iran/status/922865110346952704","922865110346952704")</f>
        <v>922865110346952704</v>
      </c>
      <c r="F10849" s="23" t="s">
        <v>86</v>
      </c>
      <c r="G10849" s="24">
        <v>790.0</v>
      </c>
      <c r="H10849" s="24">
        <v>422.0</v>
      </c>
      <c r="I10849" s="24">
        <v>75.0</v>
      </c>
      <c r="J10849" s="24">
        <v>0.0</v>
      </c>
      <c r="K10849" s="23" t="s">
        <v>34</v>
      </c>
      <c r="L10849" s="25">
        <v>41456.44868055556</v>
      </c>
      <c r="M10849" s="26" t="s">
        <v>11949</v>
      </c>
      <c r="N10849" s="26" t="s">
        <v>21141</v>
      </c>
      <c r="O10849" s="22" t="str">
        <f>HYPERLINK("https://pbs.twimg.com/profile_images/378800000114577632/3b47cacd8f4c033ccc6c5c901e78bdec_normal.jpeg","View")</f>
        <v>View</v>
      </c>
      <c r="P10849" s="27"/>
    </row>
    <row r="10850">
      <c r="A10850" s="14">
        <v>43032.40256944444</v>
      </c>
      <c r="B10850" s="20" t="str">
        <f>HYPERLINK("https://twitter.com/Virus4Congress","@Virus4Congress")</f>
        <v>@Virus4Congress</v>
      </c>
      <c r="C10850" s="21" t="s">
        <v>22923</v>
      </c>
      <c r="D10850" s="21" t="s">
        <v>42</v>
      </c>
      <c r="E10850" s="22" t="str">
        <f>HYPERLINK("https://twitter.com/Virus4Congress/status/922865193062875136","922865193062875136")</f>
        <v>922865193062875136</v>
      </c>
      <c r="F10850" s="23" t="s">
        <v>33</v>
      </c>
      <c r="G10850" s="24">
        <v>507.0</v>
      </c>
      <c r="H10850" s="24">
        <v>231.0</v>
      </c>
      <c r="I10850" s="24">
        <v>8501.0</v>
      </c>
      <c r="J10850" s="24">
        <v>0.0</v>
      </c>
      <c r="K10850" s="23" t="s">
        <v>34</v>
      </c>
      <c r="L10850" s="25">
        <v>42269.571608796294</v>
      </c>
      <c r="M10850" s="26" t="s">
        <v>204</v>
      </c>
      <c r="N10850" s="26" t="s">
        <v>22924</v>
      </c>
      <c r="O10850" s="22" t="str">
        <f>HYPERLINK("https://pbs.twimg.com/profile_images/691938999225679874/jDe9LnoF_normal.jpg","View")</f>
        <v>View</v>
      </c>
      <c r="P10850" s="27"/>
    </row>
    <row r="10851">
      <c r="A10851" s="14">
        <v>43032.40278935185</v>
      </c>
      <c r="B10851" s="20" t="str">
        <f>HYPERLINK("https://twitter.com/Planning203","@Planning203")</f>
        <v>@Planning203</v>
      </c>
      <c r="C10851" s="21" t="s">
        <v>4984</v>
      </c>
      <c r="D10851" s="21" t="s">
        <v>22404</v>
      </c>
      <c r="E10851" s="22" t="str">
        <f>HYPERLINK("https://twitter.com/Planning203/status/922865273673101312","922865273673101312")</f>
        <v>922865273673101312</v>
      </c>
      <c r="F10851" s="23" t="s">
        <v>33</v>
      </c>
      <c r="G10851" s="24">
        <v>92.0</v>
      </c>
      <c r="H10851" s="24">
        <v>654.0</v>
      </c>
      <c r="I10851" s="24">
        <v>14.0</v>
      </c>
      <c r="J10851" s="24">
        <v>0.0</v>
      </c>
      <c r="K10851" s="23" t="s">
        <v>34</v>
      </c>
      <c r="L10851" s="25">
        <v>40886.86152777778</v>
      </c>
      <c r="M10851" s="28"/>
      <c r="N10851" s="28"/>
      <c r="O10851" s="22" t="str">
        <f>HYPERLINK("https://pbs.twimg.com/profile_images/1684745456/photo_normal","View")</f>
        <v>View</v>
      </c>
      <c r="P10851" s="27"/>
    </row>
    <row r="10852">
      <c r="A10852" s="14">
        <v>43032.40293981481</v>
      </c>
      <c r="B10852" s="20" t="str">
        <f>HYPERLINK("https://twitter.com/Azadi1392Iran","@Azadi1392Iran")</f>
        <v>@Azadi1392Iran</v>
      </c>
      <c r="C10852" s="21" t="s">
        <v>22914</v>
      </c>
      <c r="D10852" s="21" t="s">
        <v>21243</v>
      </c>
      <c r="E10852" s="22" t="str">
        <f>HYPERLINK("https://twitter.com/Azadi1392Iran/status/922865325657309184","922865325657309184")</f>
        <v>922865325657309184</v>
      </c>
      <c r="F10852" s="23" t="s">
        <v>86</v>
      </c>
      <c r="G10852" s="24">
        <v>790.0</v>
      </c>
      <c r="H10852" s="24">
        <v>422.0</v>
      </c>
      <c r="I10852" s="24">
        <v>41.0</v>
      </c>
      <c r="J10852" s="24">
        <v>0.0</v>
      </c>
      <c r="K10852" s="23" t="s">
        <v>34</v>
      </c>
      <c r="L10852" s="25">
        <v>41456.44868055556</v>
      </c>
      <c r="M10852" s="26" t="s">
        <v>11949</v>
      </c>
      <c r="N10852" s="26" t="s">
        <v>21141</v>
      </c>
      <c r="O10852" s="22" t="str">
        <f>HYPERLINK("https://pbs.twimg.com/profile_images/378800000114577632/3b47cacd8f4c033ccc6c5c901e78bdec_normal.jpeg","View")</f>
        <v>View</v>
      </c>
      <c r="P10852" s="27"/>
    </row>
    <row r="10853">
      <c r="A10853" s="14">
        <v>43032.40303240741</v>
      </c>
      <c r="B10853" s="20" t="str">
        <f>HYPERLINK("https://twitter.com/9NewsAdel","@9NewsAdel")</f>
        <v>@9NewsAdel</v>
      </c>
      <c r="C10853" s="21" t="s">
        <v>3204</v>
      </c>
      <c r="D10853" s="21" t="s">
        <v>22925</v>
      </c>
      <c r="E10853" s="22" t="str">
        <f>HYPERLINK("https://twitter.com/9NewsAdel/status/922865359958564864","922865359958564864")</f>
        <v>922865359958564864</v>
      </c>
      <c r="F10853" s="23" t="s">
        <v>427</v>
      </c>
      <c r="G10853" s="24">
        <v>63826.0</v>
      </c>
      <c r="H10853" s="24">
        <v>1257.0</v>
      </c>
      <c r="I10853" s="24">
        <v>6.0</v>
      </c>
      <c r="J10853" s="24">
        <v>0.0</v>
      </c>
      <c r="K10853" s="23" t="s">
        <v>34</v>
      </c>
      <c r="L10853" s="25">
        <v>40603.73584490741</v>
      </c>
      <c r="M10853" s="26" t="s">
        <v>3206</v>
      </c>
      <c r="N10853" s="26" t="s">
        <v>3207</v>
      </c>
      <c r="O10853" s="22" t="str">
        <f>HYPERLINK("https://pbs.twimg.com/profile_images/877746000869302273/3O37Gvrv_normal.jpg","View")</f>
        <v>View</v>
      </c>
      <c r="P10853" s="27"/>
    </row>
    <row r="10854">
      <c r="A10854" s="14">
        <v>43032.403090277774</v>
      </c>
      <c r="B10854" s="20" t="str">
        <f>HYPERLINK("https://twitter.com/9NewsGoldCoast","@9NewsGoldCoast")</f>
        <v>@9NewsGoldCoast</v>
      </c>
      <c r="C10854" s="21" t="s">
        <v>3209</v>
      </c>
      <c r="D10854" s="21" t="s">
        <v>22925</v>
      </c>
      <c r="E10854" s="22" t="str">
        <f>HYPERLINK("https://twitter.com/9NewsGoldCoast/status/922865382599294977","922865382599294977")</f>
        <v>922865382599294977</v>
      </c>
      <c r="F10854" s="23" t="s">
        <v>427</v>
      </c>
      <c r="G10854" s="24">
        <v>32779.0</v>
      </c>
      <c r="H10854" s="24">
        <v>417.0</v>
      </c>
      <c r="I10854" s="24">
        <v>6.0</v>
      </c>
      <c r="J10854" s="24">
        <v>0.0</v>
      </c>
      <c r="K10854" s="23" t="s">
        <v>34</v>
      </c>
      <c r="L10854" s="25">
        <v>39926.78637731481</v>
      </c>
      <c r="M10854" s="26" t="s">
        <v>3210</v>
      </c>
      <c r="N10854" s="26" t="s">
        <v>3211</v>
      </c>
      <c r="O10854" s="22" t="str">
        <f>HYPERLINK("https://pbs.twimg.com/profile_images/885748850949931008/HDWtBHqA_normal.jpg","View")</f>
        <v>View</v>
      </c>
      <c r="P10854" s="27"/>
    </row>
    <row r="10855">
      <c r="A10855" s="14">
        <v>43032.403136574074</v>
      </c>
      <c r="B10855" s="20" t="str">
        <f>HYPERLINK("https://twitter.com/9NewsMelb","@9NewsMelb")</f>
        <v>@9NewsMelb</v>
      </c>
      <c r="C10855" s="21" t="s">
        <v>3213</v>
      </c>
      <c r="D10855" s="21" t="s">
        <v>22925</v>
      </c>
      <c r="E10855" s="22" t="str">
        <f>HYPERLINK("https://twitter.com/9NewsMelb/status/922865398797815809","922865398797815809")</f>
        <v>922865398797815809</v>
      </c>
      <c r="F10855" s="23" t="s">
        <v>427</v>
      </c>
      <c r="G10855" s="24">
        <v>109622.0</v>
      </c>
      <c r="H10855" s="24">
        <v>2396.0</v>
      </c>
      <c r="I10855" s="24">
        <v>6.0</v>
      </c>
      <c r="J10855" s="24">
        <v>0.0</v>
      </c>
      <c r="K10855" s="23" t="s">
        <v>34</v>
      </c>
      <c r="L10855" s="25">
        <v>40415.731412037036</v>
      </c>
      <c r="M10855" s="26" t="s">
        <v>3214</v>
      </c>
      <c r="N10855" s="26" t="s">
        <v>3215</v>
      </c>
      <c r="O10855" s="22" t="str">
        <f>HYPERLINK("https://pbs.twimg.com/profile_images/877785910724526080/sYvXIhVN_normal.jpg","View")</f>
        <v>View</v>
      </c>
      <c r="P10855" s="27"/>
    </row>
    <row r="10856">
      <c r="A10856" s="14">
        <v>43032.403182870374</v>
      </c>
      <c r="B10856" s="20" t="str">
        <f>HYPERLINK("https://twitter.com/9NewsQueensland","@9NewsQueensland")</f>
        <v>@9NewsQueensland</v>
      </c>
      <c r="C10856" s="21" t="s">
        <v>3216</v>
      </c>
      <c r="D10856" s="21" t="s">
        <v>22925</v>
      </c>
      <c r="E10856" s="22" t="str">
        <f>HYPERLINK("https://twitter.com/9NewsQueensland/status/922865416166432768","922865416166432768")</f>
        <v>922865416166432768</v>
      </c>
      <c r="F10856" s="23" t="s">
        <v>427</v>
      </c>
      <c r="G10856" s="24">
        <v>122996.0</v>
      </c>
      <c r="H10856" s="24">
        <v>9849.0</v>
      </c>
      <c r="I10856" s="24">
        <v>6.0</v>
      </c>
      <c r="J10856" s="24">
        <v>0.0</v>
      </c>
      <c r="K10856" s="23" t="s">
        <v>34</v>
      </c>
      <c r="L10856" s="25">
        <v>39931.80144675926</v>
      </c>
      <c r="M10856" s="26" t="s">
        <v>3217</v>
      </c>
      <c r="N10856" s="26" t="s">
        <v>3218</v>
      </c>
      <c r="O10856" s="22" t="str">
        <f>HYPERLINK("https://pbs.twimg.com/profile_images/885748332525535232/wYlhX41t_normal.jpg","View")</f>
        <v>View</v>
      </c>
      <c r="P10856" s="27"/>
    </row>
    <row r="10857">
      <c r="A10857" s="14">
        <v>43032.403229166666</v>
      </c>
      <c r="B10857" s="20" t="str">
        <f>HYPERLINK("https://twitter.com/9NewsSyd","@9NewsSyd")</f>
        <v>@9NewsSyd</v>
      </c>
      <c r="C10857" s="21" t="s">
        <v>3223</v>
      </c>
      <c r="D10857" s="21" t="s">
        <v>22925</v>
      </c>
      <c r="E10857" s="22" t="str">
        <f>HYPERLINK("https://twitter.com/9NewsSyd/status/922865433354620928","922865433354620928")</f>
        <v>922865433354620928</v>
      </c>
      <c r="F10857" s="23" t="s">
        <v>427</v>
      </c>
      <c r="G10857" s="24">
        <v>84680.0</v>
      </c>
      <c r="H10857" s="24">
        <v>193.0</v>
      </c>
      <c r="I10857" s="24">
        <v>6.0</v>
      </c>
      <c r="J10857" s="24">
        <v>0.0</v>
      </c>
      <c r="K10857" s="23" t="s">
        <v>34</v>
      </c>
      <c r="L10857" s="25">
        <v>40386.95015046296</v>
      </c>
      <c r="M10857" s="26" t="s">
        <v>3224</v>
      </c>
      <c r="N10857" s="26" t="s">
        <v>3225</v>
      </c>
      <c r="O10857" s="22" t="str">
        <f>HYPERLINK("https://pbs.twimg.com/profile_images/907488269503307777/8mFEvP-2_normal.jpg","View")</f>
        <v>View</v>
      </c>
      <c r="P10857" s="27"/>
    </row>
    <row r="10858">
      <c r="A10858" s="14">
        <v>43032.40353009259</v>
      </c>
      <c r="B10858" s="20" t="str">
        <f>HYPERLINK("https://twitter.com/Azadi1392Iran","@Azadi1392Iran")</f>
        <v>@Azadi1392Iran</v>
      </c>
      <c r="C10858" s="21" t="s">
        <v>22914</v>
      </c>
      <c r="D10858" s="21" t="s">
        <v>21191</v>
      </c>
      <c r="E10858" s="22" t="str">
        <f>HYPERLINK("https://twitter.com/Azadi1392Iran/status/922865540795789312","922865540795789312")</f>
        <v>922865540795789312</v>
      </c>
      <c r="F10858" s="23" t="s">
        <v>86</v>
      </c>
      <c r="G10858" s="24">
        <v>790.0</v>
      </c>
      <c r="H10858" s="24">
        <v>422.0</v>
      </c>
      <c r="I10858" s="24">
        <v>42.0</v>
      </c>
      <c r="J10858" s="24">
        <v>0.0</v>
      </c>
      <c r="K10858" s="23" t="s">
        <v>34</v>
      </c>
      <c r="L10858" s="25">
        <v>41456.44868055556</v>
      </c>
      <c r="M10858" s="26" t="s">
        <v>11949</v>
      </c>
      <c r="N10858" s="26" t="s">
        <v>21141</v>
      </c>
      <c r="O10858" s="22" t="str">
        <f>HYPERLINK("https://pbs.twimg.com/profile_images/378800000114577632/3b47cacd8f4c033ccc6c5c901e78bdec_normal.jpeg","View")</f>
        <v>View</v>
      </c>
      <c r="P10858" s="27"/>
    </row>
    <row r="10859">
      <c r="A10859" s="14">
        <v>43032.40528935185</v>
      </c>
      <c r="B10859" s="20" t="str">
        <f>HYPERLINK("https://twitter.com/sudeshmodi","@sudeshmodi")</f>
        <v>@sudeshmodi</v>
      </c>
      <c r="C10859" s="21" t="s">
        <v>22926</v>
      </c>
      <c r="D10859" s="21" t="s">
        <v>22882</v>
      </c>
      <c r="E10859" s="22" t="str">
        <f>HYPERLINK("https://twitter.com/sudeshmodi/status/922866178254520320","922866178254520320")</f>
        <v>922866178254520320</v>
      </c>
      <c r="F10859" s="23" t="s">
        <v>33</v>
      </c>
      <c r="G10859" s="24">
        <v>182.0</v>
      </c>
      <c r="H10859" s="24">
        <v>269.0</v>
      </c>
      <c r="I10859" s="24">
        <v>33.0</v>
      </c>
      <c r="J10859" s="24">
        <v>0.0</v>
      </c>
      <c r="K10859" s="23" t="s">
        <v>34</v>
      </c>
      <c r="L10859" s="25">
        <v>42793.94013888889</v>
      </c>
      <c r="M10859" s="26" t="s">
        <v>22927</v>
      </c>
      <c r="N10859" s="26" t="s">
        <v>22928</v>
      </c>
      <c r="O10859" s="22" t="str">
        <f>HYPERLINK("https://pbs.twimg.com/profile_images/906228210018402304/vBETC0Zv_normal.jpg","View")</f>
        <v>View</v>
      </c>
      <c r="P10859" s="27"/>
    </row>
    <row r="10860">
      <c r="A10860" s="14">
        <v>43032.405439814815</v>
      </c>
      <c r="B10860" s="20" t="str">
        <f>HYPERLINK("https://twitter.com/MichaelMichelno","@MichaelMichelno")</f>
        <v>@MichaelMichelno</v>
      </c>
      <c r="C10860" s="21" t="s">
        <v>5169</v>
      </c>
      <c r="D10860" s="21" t="s">
        <v>22735</v>
      </c>
      <c r="E10860" s="22" t="str">
        <f>HYPERLINK("https://twitter.com/MichaelMichelno/status/922866232688340992","922866232688340992")</f>
        <v>922866232688340992</v>
      </c>
      <c r="F10860" s="23" t="s">
        <v>33</v>
      </c>
      <c r="G10860" s="24">
        <v>159.0</v>
      </c>
      <c r="H10860" s="24">
        <v>214.0</v>
      </c>
      <c r="I10860" s="24">
        <v>13.0</v>
      </c>
      <c r="J10860" s="24">
        <v>0.0</v>
      </c>
      <c r="K10860" s="23" t="s">
        <v>34</v>
      </c>
      <c r="L10860" s="25">
        <v>42978.41765046296</v>
      </c>
      <c r="M10860" s="28"/>
      <c r="N10860" s="28"/>
      <c r="O10860" s="22" t="str">
        <f>HYPERLINK("https://abs.twimg.com/sticky/default_profile_images/default_profile_normal.png","View")</f>
        <v>View</v>
      </c>
      <c r="P10860" s="27"/>
    </row>
    <row r="10861">
      <c r="A10861" s="14">
        <v>43032.40586805556</v>
      </c>
      <c r="B10861" s="20" t="str">
        <f>HYPERLINK("https://twitter.com/blackrock","@blackrock")</f>
        <v>@blackrock</v>
      </c>
      <c r="C10861" s="21" t="s">
        <v>14877</v>
      </c>
      <c r="D10861" s="21" t="s">
        <v>22929</v>
      </c>
      <c r="E10861" s="22" t="str">
        <f>HYPERLINK("https://twitter.com/blackrock/status/922866389395705856","922866389395705856")</f>
        <v>922866389395705856</v>
      </c>
      <c r="F10861" s="23" t="s">
        <v>14161</v>
      </c>
      <c r="G10861" s="24">
        <v>339530.0</v>
      </c>
      <c r="H10861" s="24">
        <v>880.0</v>
      </c>
      <c r="I10861" s="24">
        <v>2.0</v>
      </c>
      <c r="J10861" s="24">
        <v>3.0</v>
      </c>
      <c r="K10861" s="23" t="s">
        <v>34</v>
      </c>
      <c r="L10861" s="25">
        <v>39883.237025462964</v>
      </c>
      <c r="M10861" s="28"/>
      <c r="N10861" s="26" t="s">
        <v>14879</v>
      </c>
      <c r="O10861" s="22" t="str">
        <f>HYPERLINK("https://pbs.twimg.com/profile_images/795637829758058496/MdiCo4mx_normal.jpg","View")</f>
        <v>View</v>
      </c>
      <c r="P10861" s="27"/>
    </row>
    <row r="10862">
      <c r="A10862" s="14">
        <v>43032.40609953704</v>
      </c>
      <c r="B10862" s="20" t="str">
        <f>HYPERLINK("https://twitter.com/canisgallicus","@canisgallicus")</f>
        <v>@canisgallicus</v>
      </c>
      <c r="C10862" s="21" t="s">
        <v>22930</v>
      </c>
      <c r="D10862" s="21" t="s">
        <v>22931</v>
      </c>
      <c r="E10862" s="22" t="str">
        <f>HYPERLINK("https://twitter.com/canisgallicus/status/922866473533657089","922866473533657089")</f>
        <v>922866473533657089</v>
      </c>
      <c r="F10862" s="23" t="s">
        <v>55</v>
      </c>
      <c r="G10862" s="24">
        <v>2330.0</v>
      </c>
      <c r="H10862" s="24">
        <v>2707.0</v>
      </c>
      <c r="I10862" s="24">
        <v>2.0</v>
      </c>
      <c r="J10862" s="24">
        <v>0.0</v>
      </c>
      <c r="K10862" s="23" t="s">
        <v>34</v>
      </c>
      <c r="L10862" s="25">
        <v>40317.42900462963</v>
      </c>
      <c r="M10862" s="28"/>
      <c r="N10862" s="28"/>
      <c r="O10862" s="22" t="str">
        <f>HYPERLINK("https://pbs.twimg.com/profile_images/730382685089173505/Bwfz0_Fc_normal.jpg","View")</f>
        <v>View</v>
      </c>
      <c r="P10862" s="27"/>
    </row>
    <row r="10863">
      <c r="A10863" s="14">
        <v>43032.406122685185</v>
      </c>
      <c r="B10863" s="20" t="str">
        <f>HYPERLINK("https://twitter.com/DailyFXTeam","@DailyFXTeam")</f>
        <v>@DailyFXTeam</v>
      </c>
      <c r="C10863" s="21" t="s">
        <v>22932</v>
      </c>
      <c r="D10863" s="21" t="s">
        <v>22933</v>
      </c>
      <c r="E10863" s="22" t="str">
        <f>HYPERLINK("https://twitter.com/DailyFXTeam/status/922866479011332097","922866479011332097")</f>
        <v>922866479011332097</v>
      </c>
      <c r="F10863" s="23" t="s">
        <v>769</v>
      </c>
      <c r="G10863" s="24">
        <v>60018.0</v>
      </c>
      <c r="H10863" s="24">
        <v>38.0</v>
      </c>
      <c r="I10863" s="24">
        <v>1.0</v>
      </c>
      <c r="J10863" s="24">
        <v>0.0</v>
      </c>
      <c r="K10863" s="23" t="s">
        <v>34</v>
      </c>
      <c r="L10863" s="25">
        <v>39905.387557870374</v>
      </c>
      <c r="M10863" s="26" t="s">
        <v>22934</v>
      </c>
      <c r="N10863" s="26" t="s">
        <v>22935</v>
      </c>
      <c r="O10863" s="22" t="str">
        <f>HYPERLINK("https://pbs.twimg.com/profile_images/892340745197293571/OzL3hZiP_normal.jpg","View")</f>
        <v>View</v>
      </c>
      <c r="P10863" s="27"/>
    </row>
    <row r="10864">
      <c r="A10864" s="14">
        <v>43032.40614583333</v>
      </c>
      <c r="B10864" s="20" t="str">
        <f>HYPERLINK("https://twitter.com/Pprabhakar22","@Pprabhakar22")</f>
        <v>@Pprabhakar22</v>
      </c>
      <c r="C10864" s="21" t="s">
        <v>22691</v>
      </c>
      <c r="D10864" s="21" t="s">
        <v>22882</v>
      </c>
      <c r="E10864" s="22" t="str">
        <f>HYPERLINK("https://twitter.com/Pprabhakar22/status/922866488863727617","922866488863727617")</f>
        <v>922866488863727617</v>
      </c>
      <c r="F10864" s="23" t="s">
        <v>33</v>
      </c>
      <c r="G10864" s="24">
        <v>45.0</v>
      </c>
      <c r="H10864" s="24">
        <v>153.0</v>
      </c>
      <c r="I10864" s="24">
        <v>33.0</v>
      </c>
      <c r="J10864" s="24">
        <v>0.0</v>
      </c>
      <c r="K10864" s="23" t="s">
        <v>34</v>
      </c>
      <c r="L10864" s="25">
        <v>41859.87619212963</v>
      </c>
      <c r="M10864" s="26" t="s">
        <v>3273</v>
      </c>
      <c r="N10864" s="26" t="s">
        <v>22692</v>
      </c>
      <c r="O10864" s="22" t="str">
        <f>HYPERLINK("https://pbs.twimg.com/profile_images/497958203125014529/dSXzljt9_normal.jpeg","View")</f>
        <v>View</v>
      </c>
      <c r="P10864" s="27"/>
    </row>
    <row r="10865">
      <c r="A10865" s="14">
        <v>43032.40640046296</v>
      </c>
      <c r="B10865" s="20" t="str">
        <f>HYPERLINK("https://twitter.com/atefe_com","@atefe_com")</f>
        <v>@atefe_com</v>
      </c>
      <c r="C10865" s="21" t="s">
        <v>22936</v>
      </c>
      <c r="D10865" s="21" t="s">
        <v>21202</v>
      </c>
      <c r="E10865" s="22" t="str">
        <f>HYPERLINK("https://twitter.com/atefe_com/status/922866581801115648","922866581801115648")</f>
        <v>922866581801115648</v>
      </c>
      <c r="F10865" s="23" t="s">
        <v>86</v>
      </c>
      <c r="G10865" s="24">
        <v>132.0</v>
      </c>
      <c r="H10865" s="24">
        <v>123.0</v>
      </c>
      <c r="I10865" s="24">
        <v>79.0</v>
      </c>
      <c r="J10865" s="24">
        <v>0.0</v>
      </c>
      <c r="K10865" s="23" t="s">
        <v>34</v>
      </c>
      <c r="L10865" s="25">
        <v>41783.97634259259</v>
      </c>
      <c r="M10865" s="26" t="s">
        <v>8333</v>
      </c>
      <c r="N10865" s="26" t="s">
        <v>22170</v>
      </c>
      <c r="O10865" s="22" t="str">
        <f>HYPERLINK("https://pbs.twimg.com/profile_images/470451509423919104/AGdl66dA_normal.jpeg","View")</f>
        <v>View</v>
      </c>
      <c r="P10865" s="27"/>
    </row>
    <row r="10866">
      <c r="A10866" s="14">
        <v>43032.407048611116</v>
      </c>
      <c r="B10866" s="20" t="str">
        <f>HYPERLINK("https://twitter.com/RGAME2","@RGAME2")</f>
        <v>@RGAME2</v>
      </c>
      <c r="C10866" s="21" t="s">
        <v>22937</v>
      </c>
      <c r="D10866" s="21" t="s">
        <v>22938</v>
      </c>
      <c r="E10866" s="22" t="str">
        <f>HYPERLINK("https://twitter.com/RGAME2/status/922866815830712320","922866815830712320")</f>
        <v>922866815830712320</v>
      </c>
      <c r="F10866" s="23" t="s">
        <v>33</v>
      </c>
      <c r="G10866" s="24">
        <v>575.0</v>
      </c>
      <c r="H10866" s="24">
        <v>1772.0</v>
      </c>
      <c r="I10866" s="24">
        <v>1.0</v>
      </c>
      <c r="J10866" s="24">
        <v>0.0</v>
      </c>
      <c r="K10866" s="23" t="s">
        <v>34</v>
      </c>
      <c r="L10866" s="25">
        <v>40213.48496527778</v>
      </c>
      <c r="M10866" s="26" t="s">
        <v>22939</v>
      </c>
      <c r="N10866" s="26" t="s">
        <v>22940</v>
      </c>
      <c r="O10866" s="22" t="str">
        <f>HYPERLINK("https://pbs.twimg.com/profile_images/922817613998067712/c2Dr9Dgy_normal.jpg","View")</f>
        <v>View</v>
      </c>
      <c r="P10866" s="27"/>
    </row>
    <row r="10867">
      <c r="A10867" s="14">
        <v>43032.407060185185</v>
      </c>
      <c r="B10867" s="20" t="str">
        <f>HYPERLINK("https://twitter.com/atefe_com","@atefe_com")</f>
        <v>@atefe_com</v>
      </c>
      <c r="C10867" s="21" t="s">
        <v>22936</v>
      </c>
      <c r="D10867" s="21" t="s">
        <v>21203</v>
      </c>
      <c r="E10867" s="22" t="str">
        <f>HYPERLINK("https://twitter.com/atefe_com/status/922866820096204800","922866820096204800")</f>
        <v>922866820096204800</v>
      </c>
      <c r="F10867" s="23" t="s">
        <v>86</v>
      </c>
      <c r="G10867" s="24">
        <v>132.0</v>
      </c>
      <c r="H10867" s="24">
        <v>123.0</v>
      </c>
      <c r="I10867" s="24">
        <v>75.0</v>
      </c>
      <c r="J10867" s="24">
        <v>0.0</v>
      </c>
      <c r="K10867" s="23" t="s">
        <v>34</v>
      </c>
      <c r="L10867" s="25">
        <v>41783.97634259259</v>
      </c>
      <c r="M10867" s="26" t="s">
        <v>8333</v>
      </c>
      <c r="N10867" s="26" t="s">
        <v>22170</v>
      </c>
      <c r="O10867" s="22" t="str">
        <f>HYPERLINK("https://pbs.twimg.com/profile_images/470451509423919104/AGdl66dA_normal.jpeg","View")</f>
        <v>View</v>
      </c>
      <c r="P10867" s="27"/>
    </row>
    <row r="10868">
      <c r="A10868" s="14">
        <v>43032.407164351855</v>
      </c>
      <c r="B10868" s="20" t="str">
        <f>HYPERLINK("https://twitter.com/jigarjivani1995","@jigarjivani1995")</f>
        <v>@jigarjivani1995</v>
      </c>
      <c r="C10868" s="21" t="s">
        <v>22941</v>
      </c>
      <c r="D10868" s="21" t="s">
        <v>42</v>
      </c>
      <c r="E10868" s="22" t="str">
        <f>HYPERLINK("https://twitter.com/jigarjivani1995/status/922866856595095552","922866856595095552")</f>
        <v>922866856595095552</v>
      </c>
      <c r="F10868" s="23" t="s">
        <v>33</v>
      </c>
      <c r="G10868" s="24">
        <v>338.0</v>
      </c>
      <c r="H10868" s="24">
        <v>173.0</v>
      </c>
      <c r="I10868" s="24">
        <v>8501.0</v>
      </c>
      <c r="J10868" s="24">
        <v>0.0</v>
      </c>
      <c r="K10868" s="23" t="s">
        <v>34</v>
      </c>
      <c r="L10868" s="25">
        <v>41233.041597222225</v>
      </c>
      <c r="M10868" s="26" t="s">
        <v>1633</v>
      </c>
      <c r="N10868" s="26" t="s">
        <v>22942</v>
      </c>
      <c r="O10868" s="22" t="str">
        <f>HYPERLINK("https://pbs.twimg.com/profile_images/794992353748615168/5RhiXmb1_normal.jpg","View")</f>
        <v>View</v>
      </c>
      <c r="P10868" s="27"/>
    </row>
    <row r="10869">
      <c r="A10869" s="14">
        <v>43032.40724537037</v>
      </c>
      <c r="B10869" s="20" t="str">
        <f>HYPERLINK("https://twitter.com/thomasisexodus","@thomasisexodus")</f>
        <v>@thomasisexodus</v>
      </c>
      <c r="C10869" s="21" t="s">
        <v>6109</v>
      </c>
      <c r="D10869" s="21" t="s">
        <v>21203</v>
      </c>
      <c r="E10869" s="22" t="str">
        <f>HYPERLINK("https://twitter.com/thomasisexodus/status/922866885242343425","922866885242343425")</f>
        <v>922866885242343425</v>
      </c>
      <c r="F10869" s="23" t="s">
        <v>22943</v>
      </c>
      <c r="G10869" s="24">
        <v>991.0</v>
      </c>
      <c r="H10869" s="24">
        <v>1939.0</v>
      </c>
      <c r="I10869" s="24">
        <v>75.0</v>
      </c>
      <c r="J10869" s="24">
        <v>0.0</v>
      </c>
      <c r="K10869" s="23" t="s">
        <v>34</v>
      </c>
      <c r="L10869" s="25">
        <v>42760.11702546296</v>
      </c>
      <c r="M10869" s="28"/>
      <c r="N10869" s="26" t="s">
        <v>22944</v>
      </c>
      <c r="O10869" s="22" t="str">
        <f>HYPERLINK("https://pbs.twimg.com/profile_images/824212715392614402/ZK0coA9e_normal.jpg","View")</f>
        <v>View</v>
      </c>
      <c r="P10869" s="27"/>
    </row>
    <row r="10870">
      <c r="A10870" s="14">
        <v>43032.40752314815</v>
      </c>
      <c r="B10870" s="20" t="str">
        <f>HYPERLINK("https://twitter.com/LOUISFANUCCHIIV","@LOUISFANUCCHIIV")</f>
        <v>@LOUISFANUCCHIIV</v>
      </c>
      <c r="C10870" s="21" t="s">
        <v>22945</v>
      </c>
      <c r="D10870" s="21" t="s">
        <v>22931</v>
      </c>
      <c r="E10870" s="22" t="str">
        <f>HYPERLINK("https://twitter.com/LOUISFANUCCHIIV/status/922866988916998144","922866988916998144")</f>
        <v>922866988916998144</v>
      </c>
      <c r="F10870" s="23" t="s">
        <v>33</v>
      </c>
      <c r="G10870" s="24">
        <v>1370.0</v>
      </c>
      <c r="H10870" s="24">
        <v>2048.0</v>
      </c>
      <c r="I10870" s="24">
        <v>2.0</v>
      </c>
      <c r="J10870" s="24">
        <v>0.0</v>
      </c>
      <c r="K10870" s="23" t="s">
        <v>34</v>
      </c>
      <c r="L10870" s="25">
        <v>39867.66721064815</v>
      </c>
      <c r="M10870" s="26" t="s">
        <v>22946</v>
      </c>
      <c r="N10870" s="26" t="s">
        <v>22947</v>
      </c>
      <c r="O10870" s="22" t="str">
        <f>HYPERLINK("https://pbs.twimg.com/profile_images/1265392208/th_950378113_l_normal.jpg","View")</f>
        <v>View</v>
      </c>
      <c r="P10870" s="27"/>
    </row>
    <row r="10871">
      <c r="A10871" s="14">
        <v>43032.40871527778</v>
      </c>
      <c r="B10871" s="20" t="str">
        <f>HYPERLINK("https://twitter.com/Frankkensteiner","@Frankkensteiner")</f>
        <v>@Frankkensteiner</v>
      </c>
      <c r="C10871" s="21" t="s">
        <v>22948</v>
      </c>
      <c r="D10871" s="21" t="s">
        <v>32</v>
      </c>
      <c r="E10871" s="22" t="str">
        <f>HYPERLINK("https://twitter.com/Frankkensteiner/status/922867418401263616","922867418401263616")</f>
        <v>922867418401263616</v>
      </c>
      <c r="F10871" s="23" t="s">
        <v>39</v>
      </c>
      <c r="G10871" s="24">
        <v>1205.0</v>
      </c>
      <c r="H10871" s="24">
        <v>1009.0</v>
      </c>
      <c r="I10871" s="24">
        <v>471.0</v>
      </c>
      <c r="J10871" s="24">
        <v>0.0</v>
      </c>
      <c r="K10871" s="23" t="s">
        <v>34</v>
      </c>
      <c r="L10871" s="25">
        <v>40348.50001157408</v>
      </c>
      <c r="M10871" s="26" t="s">
        <v>22949</v>
      </c>
      <c r="N10871" s="26" t="s">
        <v>22950</v>
      </c>
      <c r="O10871" s="22" t="str">
        <f>HYPERLINK("https://pbs.twimg.com/profile_images/792038779812978688/ge7O1tSL_normal.jpg","View")</f>
        <v>View</v>
      </c>
      <c r="P10871" s="27"/>
    </row>
    <row r="10872">
      <c r="A10872" s="14">
        <v>43032.40871527778</v>
      </c>
      <c r="B10872" s="20" t="str">
        <f>HYPERLINK("https://twitter.com/VeroniqueJEROME","@VeroniqueJEROME")</f>
        <v>@VeroniqueJEROME</v>
      </c>
      <c r="C10872" s="21" t="s">
        <v>22951</v>
      </c>
      <c r="D10872" s="21" t="s">
        <v>20915</v>
      </c>
      <c r="E10872" s="22" t="str">
        <f>HYPERLINK("https://twitter.com/VeroniqueJEROME/status/922867421056262149","922867421056262149")</f>
        <v>922867421056262149</v>
      </c>
      <c r="F10872" s="23" t="s">
        <v>230</v>
      </c>
      <c r="G10872" s="24">
        <v>429.0</v>
      </c>
      <c r="H10872" s="24">
        <v>1022.0</v>
      </c>
      <c r="I10872" s="24">
        <v>5.0</v>
      </c>
      <c r="J10872" s="24">
        <v>0.0</v>
      </c>
      <c r="K10872" s="23" t="s">
        <v>34</v>
      </c>
      <c r="L10872" s="25">
        <v>41151.29876157407</v>
      </c>
      <c r="M10872" s="28"/>
      <c r="N10872" s="26" t="s">
        <v>22952</v>
      </c>
      <c r="O10872" s="22" t="str">
        <f>HYPERLINK("https://pbs.twimg.com/profile_images/914398492822507520/xOtmvG9S_normal.jpg","View")</f>
        <v>View</v>
      </c>
      <c r="P10872" s="27"/>
    </row>
    <row r="10873">
      <c r="A10873" s="14">
        <v>43032.408796296295</v>
      </c>
      <c r="B10873" s="20" t="str">
        <f>HYPERLINK("https://twitter.com/iamsunil44","@iamsunil44")</f>
        <v>@iamsunil44</v>
      </c>
      <c r="C10873" s="21" t="s">
        <v>3163</v>
      </c>
      <c r="D10873" s="21" t="s">
        <v>22882</v>
      </c>
      <c r="E10873" s="22" t="str">
        <f>HYPERLINK("https://twitter.com/iamsunil44/status/922867447383969792","922867447383969792")</f>
        <v>922867447383969792</v>
      </c>
      <c r="F10873" s="23" t="s">
        <v>33</v>
      </c>
      <c r="G10873" s="24">
        <v>109.0</v>
      </c>
      <c r="H10873" s="24">
        <v>516.0</v>
      </c>
      <c r="I10873" s="24">
        <v>33.0</v>
      </c>
      <c r="J10873" s="24">
        <v>0.0</v>
      </c>
      <c r="K10873" s="23" t="s">
        <v>34</v>
      </c>
      <c r="L10873" s="25">
        <v>42763.99097222222</v>
      </c>
      <c r="M10873" s="26" t="s">
        <v>3955</v>
      </c>
      <c r="N10873" s="28"/>
      <c r="O10873" s="22" t="str">
        <f>HYPERLINK("https://pbs.twimg.com/profile_images/913582017916362752/Sl-DeGKM_normal.jpg","View")</f>
        <v>View</v>
      </c>
      <c r="P10873" s="27"/>
    </row>
    <row r="10874">
      <c r="A10874" s="14">
        <v>43032.40909722222</v>
      </c>
      <c r="B10874" s="20" t="str">
        <f>HYPERLINK("https://twitter.com/aki_pwd7","@aki_pwd7")</f>
        <v>@aki_pwd7</v>
      </c>
      <c r="C10874" s="21" t="s">
        <v>22953</v>
      </c>
      <c r="D10874" s="21" t="s">
        <v>22954</v>
      </c>
      <c r="E10874" s="22" t="str">
        <f>HYPERLINK("https://twitter.com/aki_pwd7/status/922867557219962880","922867557219962880")</f>
        <v>922867557219962880</v>
      </c>
      <c r="F10874" s="23" t="s">
        <v>39</v>
      </c>
      <c r="G10874" s="24">
        <v>144.0</v>
      </c>
      <c r="H10874" s="24">
        <v>146.0</v>
      </c>
      <c r="I10874" s="24">
        <v>0.0</v>
      </c>
      <c r="J10874" s="24">
        <v>0.0</v>
      </c>
      <c r="K10874" s="23" t="s">
        <v>34</v>
      </c>
      <c r="L10874" s="25">
        <v>40117.21251157408</v>
      </c>
      <c r="M10874" s="26" t="s">
        <v>4704</v>
      </c>
      <c r="N10874" s="26" t="s">
        <v>22955</v>
      </c>
      <c r="O10874" s="22" t="str">
        <f>HYPERLINK("https://pbs.twimg.com/profile_images/746832974616760320/DX-8xJLw_normal.jpg","View")</f>
        <v>View</v>
      </c>
      <c r="P10874" s="27"/>
    </row>
    <row r="10875">
      <c r="A10875" s="14">
        <v>43032.409432870365</v>
      </c>
      <c r="B10875" s="20" t="str">
        <f>HYPERLINK("https://twitter.com/manishdce86","@manishdce86")</f>
        <v>@manishdce86</v>
      </c>
      <c r="C10875" s="21" t="s">
        <v>22956</v>
      </c>
      <c r="D10875" s="21" t="s">
        <v>42</v>
      </c>
      <c r="E10875" s="22" t="str">
        <f>HYPERLINK("https://twitter.com/manishdce86/status/922867678045450240","922867678045450240")</f>
        <v>922867678045450240</v>
      </c>
      <c r="F10875" s="23" t="s">
        <v>39</v>
      </c>
      <c r="G10875" s="24">
        <v>98.0</v>
      </c>
      <c r="H10875" s="24">
        <v>812.0</v>
      </c>
      <c r="I10875" s="24">
        <v>8501.0</v>
      </c>
      <c r="J10875" s="24">
        <v>0.0</v>
      </c>
      <c r="K10875" s="23" t="s">
        <v>34</v>
      </c>
      <c r="L10875" s="25">
        <v>41166.36288194444</v>
      </c>
      <c r="M10875" s="26" t="s">
        <v>17401</v>
      </c>
      <c r="N10875" s="26" t="s">
        <v>22957</v>
      </c>
      <c r="O10875" s="22" t="str">
        <f>HYPERLINK("https://pbs.twimg.com/profile_images/710663805337018368/ka6vCBFI_normal.jpg","View")</f>
        <v>View</v>
      </c>
      <c r="P10875" s="27"/>
    </row>
    <row r="10876">
      <c r="A10876" s="14">
        <v>43032.409733796296</v>
      </c>
      <c r="B10876" s="20" t="str">
        <f>HYPERLINK("https://twitter.com/satvik_tiwari","@satvik_tiwari")</f>
        <v>@satvik_tiwari</v>
      </c>
      <c r="C10876" s="21" t="s">
        <v>14731</v>
      </c>
      <c r="D10876" s="21" t="s">
        <v>22882</v>
      </c>
      <c r="E10876" s="22" t="str">
        <f>HYPERLINK("https://twitter.com/satvik_tiwari/status/922867787172683777","922867787172683777")</f>
        <v>922867787172683777</v>
      </c>
      <c r="F10876" s="23" t="s">
        <v>33</v>
      </c>
      <c r="G10876" s="24">
        <v>315.0</v>
      </c>
      <c r="H10876" s="24">
        <v>1402.0</v>
      </c>
      <c r="I10876" s="24">
        <v>33.0</v>
      </c>
      <c r="J10876" s="24">
        <v>0.0</v>
      </c>
      <c r="K10876" s="23" t="s">
        <v>34</v>
      </c>
      <c r="L10876" s="25">
        <v>42810.39790509259</v>
      </c>
      <c r="M10876" s="26" t="s">
        <v>227</v>
      </c>
      <c r="N10876" s="26" t="s">
        <v>14732</v>
      </c>
      <c r="O10876" s="22" t="str">
        <f>HYPERLINK("https://pbs.twimg.com/profile_images/898205768926638080/B98QZ02D_normal.jpg","View")</f>
        <v>View</v>
      </c>
      <c r="P10876" s="27"/>
    </row>
    <row r="10877">
      <c r="A10877" s="14">
        <v>43032.40991898148</v>
      </c>
      <c r="B10877" s="20" t="str">
        <f>HYPERLINK("https://twitter.com/CryptoTraderPro","@CryptoTraderPro")</f>
        <v>@CryptoTraderPro</v>
      </c>
      <c r="C10877" s="21" t="s">
        <v>15232</v>
      </c>
      <c r="D10877" s="21" t="s">
        <v>22958</v>
      </c>
      <c r="E10877" s="22" t="str">
        <f>HYPERLINK("https://twitter.com/CryptoTraderPro/status/922867857465020417","922867857465020417")</f>
        <v>922867857465020417</v>
      </c>
      <c r="F10877" s="30" t="s">
        <v>411</v>
      </c>
      <c r="G10877" s="24">
        <v>19575.0</v>
      </c>
      <c r="H10877" s="24">
        <v>15505.0</v>
      </c>
      <c r="I10877" s="24">
        <v>0.0</v>
      </c>
      <c r="J10877" s="24">
        <v>0.0</v>
      </c>
      <c r="K10877" s="23" t="s">
        <v>34</v>
      </c>
      <c r="L10877" s="25">
        <v>39684.84548611111</v>
      </c>
      <c r="M10877" s="26" t="s">
        <v>15234</v>
      </c>
      <c r="N10877" s="26" t="s">
        <v>15235</v>
      </c>
      <c r="O10877" s="22" t="str">
        <f>HYPERLINK("https://pbs.twimg.com/profile_images/894645545079373824/UU7tyYTY_normal.jpg","View")</f>
        <v>View</v>
      </c>
      <c r="P10877" s="27"/>
    </row>
    <row r="10878">
      <c r="A10878" s="14">
        <v>43032.41043981482</v>
      </c>
      <c r="B10878" s="20" t="str">
        <f>HYPERLINK("https://twitter.com/DanielB74377581","@DanielB74377581")</f>
        <v>@DanielB74377581</v>
      </c>
      <c r="C10878" s="21" t="s">
        <v>22959</v>
      </c>
      <c r="D10878" s="21" t="s">
        <v>16537</v>
      </c>
      <c r="E10878" s="22" t="str">
        <f>HYPERLINK("https://twitter.com/DanielB74377581/status/922868042828341250","922868042828341250")</f>
        <v>922868042828341250</v>
      </c>
      <c r="F10878" s="23" t="s">
        <v>33</v>
      </c>
      <c r="G10878" s="24">
        <v>16.0</v>
      </c>
      <c r="H10878" s="24">
        <v>91.0</v>
      </c>
      <c r="I10878" s="24">
        <v>242.0</v>
      </c>
      <c r="J10878" s="24">
        <v>0.0</v>
      </c>
      <c r="K10878" s="23" t="s">
        <v>34</v>
      </c>
      <c r="L10878" s="25">
        <v>42683.508310185185</v>
      </c>
      <c r="M10878" s="28"/>
      <c r="N10878" s="28"/>
      <c r="O10878" s="22" t="str">
        <f>HYPERLINK("https://abs.twimg.com/sticky/default_profile_images/default_profile_normal.png","View")</f>
        <v>View</v>
      </c>
      <c r="P10878" s="27"/>
    </row>
    <row r="10879">
      <c r="A10879" s="14">
        <v>43032.41092592593</v>
      </c>
      <c r="B10879" s="20" t="str">
        <f>HYPERLINK("https://twitter.com/satishh1969","@satishh1969")</f>
        <v>@satishh1969</v>
      </c>
      <c r="C10879" s="21" t="s">
        <v>22960</v>
      </c>
      <c r="D10879" s="21" t="s">
        <v>42</v>
      </c>
      <c r="E10879" s="22" t="str">
        <f>HYPERLINK("https://twitter.com/satishh1969/status/922868222273060864","922868222273060864")</f>
        <v>922868222273060864</v>
      </c>
      <c r="F10879" s="23" t="s">
        <v>33</v>
      </c>
      <c r="G10879" s="24">
        <v>145.0</v>
      </c>
      <c r="H10879" s="24">
        <v>177.0</v>
      </c>
      <c r="I10879" s="24">
        <v>8501.0</v>
      </c>
      <c r="J10879" s="24">
        <v>0.0</v>
      </c>
      <c r="K10879" s="23" t="s">
        <v>34</v>
      </c>
      <c r="L10879" s="25">
        <v>42578.411203703705</v>
      </c>
      <c r="M10879" s="26" t="s">
        <v>5610</v>
      </c>
      <c r="N10879" s="26" t="s">
        <v>22961</v>
      </c>
      <c r="O10879" s="22" t="str">
        <f>HYPERLINK("https://pbs.twimg.com/profile_images/871709698755637250/CLFeXuVK_normal.jpg","View")</f>
        <v>View</v>
      </c>
      <c r="P10879" s="27"/>
    </row>
    <row r="10880">
      <c r="A10880" s="14">
        <v>43032.411516203705</v>
      </c>
      <c r="B10880" s="20" t="str">
        <f>HYPERLINK("https://twitter.com/Kthom4Thompson","@Kthom4Thompson")</f>
        <v>@Kthom4Thompson</v>
      </c>
      <c r="C10880" s="21" t="s">
        <v>22962</v>
      </c>
      <c r="D10880" s="21" t="s">
        <v>16537</v>
      </c>
      <c r="E10880" s="22" t="str">
        <f>HYPERLINK("https://twitter.com/Kthom4Thompson/status/922868433112485888","922868433112485888")</f>
        <v>922868433112485888</v>
      </c>
      <c r="F10880" s="23" t="s">
        <v>230</v>
      </c>
      <c r="G10880" s="24">
        <v>49.0</v>
      </c>
      <c r="H10880" s="24">
        <v>343.0</v>
      </c>
      <c r="I10880" s="24">
        <v>242.0</v>
      </c>
      <c r="J10880" s="24">
        <v>0.0</v>
      </c>
      <c r="K10880" s="23" t="s">
        <v>34</v>
      </c>
      <c r="L10880" s="25">
        <v>41991.70284722222</v>
      </c>
      <c r="M10880" s="26" t="s">
        <v>22963</v>
      </c>
      <c r="N10880" s="28"/>
      <c r="O10880" s="22" t="str">
        <f>HYPERLINK("https://abs.twimg.com/sticky/default_profile_images/default_profile_normal.png","View")</f>
        <v>View</v>
      </c>
      <c r="P10880" s="27"/>
    </row>
    <row r="10881">
      <c r="A10881" s="14">
        <v>43032.411574074074</v>
      </c>
      <c r="B10881" s="20" t="str">
        <f>HYPERLINK("https://twitter.com/Kdfemi","@Kdfemi")</f>
        <v>@Kdfemi</v>
      </c>
      <c r="C10881" s="21" t="s">
        <v>22964</v>
      </c>
      <c r="D10881" s="21" t="s">
        <v>32</v>
      </c>
      <c r="E10881" s="22" t="str">
        <f>HYPERLINK("https://twitter.com/Kdfemi/status/922868454369185794","922868454369185794")</f>
        <v>922868454369185794</v>
      </c>
      <c r="F10881" s="23" t="s">
        <v>39</v>
      </c>
      <c r="G10881" s="24">
        <v>358.0</v>
      </c>
      <c r="H10881" s="24">
        <v>171.0</v>
      </c>
      <c r="I10881" s="24">
        <v>471.0</v>
      </c>
      <c r="J10881" s="24">
        <v>0.0</v>
      </c>
      <c r="K10881" s="23" t="s">
        <v>34</v>
      </c>
      <c r="L10881" s="25">
        <v>40394.15262731482</v>
      </c>
      <c r="M10881" s="26" t="s">
        <v>14480</v>
      </c>
      <c r="N10881" s="26" t="s">
        <v>22965</v>
      </c>
      <c r="O10881" s="22" t="str">
        <f>HYPERLINK("https://pbs.twimg.com/profile_images/899288417699278849/Y968JZzf_normal.jpg","View")</f>
        <v>View</v>
      </c>
      <c r="P10881" s="27"/>
    </row>
    <row r="10882">
      <c r="A10882" s="14">
        <v>43032.4122337963</v>
      </c>
      <c r="B10882" s="20" t="str">
        <f>HYPERLINK("https://twitter.com/eryc_C","@eryc_C")</f>
        <v>@eryc_C</v>
      </c>
      <c r="C10882" s="21" t="s">
        <v>22966</v>
      </c>
      <c r="D10882" s="21" t="s">
        <v>32</v>
      </c>
      <c r="E10882" s="22" t="str">
        <f>HYPERLINK("https://twitter.com/eryc_C/status/922868693020954629","922868693020954629")</f>
        <v>922868693020954629</v>
      </c>
      <c r="F10882" s="23" t="s">
        <v>33</v>
      </c>
      <c r="G10882" s="24">
        <v>369.0</v>
      </c>
      <c r="H10882" s="24">
        <v>318.0</v>
      </c>
      <c r="I10882" s="24">
        <v>471.0</v>
      </c>
      <c r="J10882" s="24">
        <v>0.0</v>
      </c>
      <c r="K10882" s="23" t="s">
        <v>34</v>
      </c>
      <c r="L10882" s="25">
        <v>39940.196550925924</v>
      </c>
      <c r="M10882" s="26" t="s">
        <v>282</v>
      </c>
      <c r="N10882" s="26" t="s">
        <v>22967</v>
      </c>
      <c r="O10882" s="22" t="str">
        <f>HYPERLINK("https://pbs.twimg.com/profile_images/815993210967392258/2RMeYnhc_normal.jpg","View")</f>
        <v>View</v>
      </c>
      <c r="P10882" s="27"/>
    </row>
    <row r="10883">
      <c r="A10883" s="14">
        <v>43032.41255787037</v>
      </c>
      <c r="B10883" s="20" t="str">
        <f>HYPERLINK("https://twitter.com/Indiaaakash","@Indiaaakash")</f>
        <v>@Indiaaakash</v>
      </c>
      <c r="C10883" s="21" t="s">
        <v>14037</v>
      </c>
      <c r="D10883" s="21" t="s">
        <v>22882</v>
      </c>
      <c r="E10883" s="22" t="str">
        <f>HYPERLINK("https://twitter.com/Indiaaakash/status/922868813237927936","922868813237927936")</f>
        <v>922868813237927936</v>
      </c>
      <c r="F10883" s="23" t="s">
        <v>33</v>
      </c>
      <c r="G10883" s="24">
        <v>6203.0</v>
      </c>
      <c r="H10883" s="24">
        <v>2580.0</v>
      </c>
      <c r="I10883" s="24">
        <v>33.0</v>
      </c>
      <c r="J10883" s="24">
        <v>0.0</v>
      </c>
      <c r="K10883" s="23" t="s">
        <v>34</v>
      </c>
      <c r="L10883" s="25">
        <v>41478.13146990741</v>
      </c>
      <c r="M10883" s="26" t="s">
        <v>227</v>
      </c>
      <c r="N10883" s="26" t="s">
        <v>14038</v>
      </c>
      <c r="O10883" s="22" t="str">
        <f>HYPERLINK("https://pbs.twimg.com/profile_images/894868902663995392/7AHQZW9r_normal.jpg","View")</f>
        <v>View</v>
      </c>
      <c r="P10883" s="27"/>
    </row>
    <row r="10884">
      <c r="A10884" s="14">
        <v>43032.413819444446</v>
      </c>
      <c r="B10884" s="20" t="str">
        <f>HYPERLINK("https://twitter.com/D_Shekhawat2","@D_Shekhawat2")</f>
        <v>@D_Shekhawat2</v>
      </c>
      <c r="C10884" s="21" t="s">
        <v>22968</v>
      </c>
      <c r="D10884" s="21" t="s">
        <v>42</v>
      </c>
      <c r="E10884" s="22" t="str">
        <f>HYPERLINK("https://twitter.com/D_Shekhawat2/status/922869269213339648","922869269213339648")</f>
        <v>922869269213339648</v>
      </c>
      <c r="F10884" s="23" t="s">
        <v>33</v>
      </c>
      <c r="G10884" s="24">
        <v>15.0</v>
      </c>
      <c r="H10884" s="24">
        <v>10.0</v>
      </c>
      <c r="I10884" s="24">
        <v>8501.0</v>
      </c>
      <c r="J10884" s="24">
        <v>0.0</v>
      </c>
      <c r="K10884" s="23" t="s">
        <v>34</v>
      </c>
      <c r="L10884" s="25">
        <v>42975.341099537036</v>
      </c>
      <c r="M10884" s="28"/>
      <c r="N10884" s="28"/>
      <c r="O10884" s="22" t="str">
        <f>HYPERLINK("https://pbs.twimg.com/profile_images/902195345836261377/AZuS9Zs0_normal.jpg","View")</f>
        <v>View</v>
      </c>
      <c r="P10884" s="27"/>
    </row>
    <row r="10885">
      <c r="A10885" s="14">
        <v>43032.4143287037</v>
      </c>
      <c r="B10885" s="20" t="str">
        <f t="shared" ref="B10885:B10886" si="264">HYPERLINK("https://twitter.com/AzadiIran92","@AzadiIran92")</f>
        <v>@AzadiIran92</v>
      </c>
      <c r="C10885" s="21" t="s">
        <v>22969</v>
      </c>
      <c r="D10885" s="21" t="s">
        <v>21202</v>
      </c>
      <c r="E10885" s="22" t="str">
        <f>HYPERLINK("https://twitter.com/AzadiIran92/status/922869453464809472","922869453464809472")</f>
        <v>922869453464809472</v>
      </c>
      <c r="F10885" s="23" t="s">
        <v>86</v>
      </c>
      <c r="G10885" s="24">
        <v>582.0</v>
      </c>
      <c r="H10885" s="24">
        <v>430.0</v>
      </c>
      <c r="I10885" s="24">
        <v>79.0</v>
      </c>
      <c r="J10885" s="24">
        <v>0.0</v>
      </c>
      <c r="K10885" s="23" t="s">
        <v>34</v>
      </c>
      <c r="L10885" s="25">
        <v>41434.308969907404</v>
      </c>
      <c r="M10885" s="26" t="s">
        <v>11949</v>
      </c>
      <c r="N10885" s="26" t="s">
        <v>21141</v>
      </c>
      <c r="O10885" s="22" t="str">
        <f t="shared" ref="O10885:O10886" si="265">HYPERLINK("https://pbs.twimg.com/profile_images/378800000114430624/553abd9a4a91a438baa357c8836df2c9_normal.jpeg","View")</f>
        <v>View</v>
      </c>
      <c r="P10885" s="27"/>
    </row>
    <row r="10886">
      <c r="A10886" s="14">
        <v>43032.414976851855</v>
      </c>
      <c r="B10886" s="20" t="str">
        <f t="shared" si="264"/>
        <v>@AzadiIran92</v>
      </c>
      <c r="C10886" s="21" t="s">
        <v>22969</v>
      </c>
      <c r="D10886" s="21" t="s">
        <v>21203</v>
      </c>
      <c r="E10886" s="22" t="str">
        <f>HYPERLINK("https://twitter.com/AzadiIran92/status/922869688568201216","922869688568201216")</f>
        <v>922869688568201216</v>
      </c>
      <c r="F10886" s="23" t="s">
        <v>86</v>
      </c>
      <c r="G10886" s="24">
        <v>582.0</v>
      </c>
      <c r="H10886" s="24">
        <v>430.0</v>
      </c>
      <c r="I10886" s="24">
        <v>75.0</v>
      </c>
      <c r="J10886" s="24">
        <v>0.0</v>
      </c>
      <c r="K10886" s="23" t="s">
        <v>34</v>
      </c>
      <c r="L10886" s="25">
        <v>41434.308969907404</v>
      </c>
      <c r="M10886" s="26" t="s">
        <v>11949</v>
      </c>
      <c r="N10886" s="26" t="s">
        <v>21141</v>
      </c>
      <c r="O10886" s="22" t="str">
        <f t="shared" si="265"/>
        <v>View</v>
      </c>
      <c r="P10886" s="27"/>
    </row>
    <row r="10887">
      <c r="A10887" s="14">
        <v>43032.41552083333</v>
      </c>
      <c r="B10887" s="20" t="str">
        <f>HYPERLINK("https://twitter.com/DibakarGhosh111","@DibakarGhosh111")</f>
        <v>@DibakarGhosh111</v>
      </c>
      <c r="C10887" s="21" t="s">
        <v>22970</v>
      </c>
      <c r="D10887" s="21" t="s">
        <v>42</v>
      </c>
      <c r="E10887" s="22" t="str">
        <f>HYPERLINK("https://twitter.com/DibakarGhosh111/status/922869886107336704","922869886107336704")</f>
        <v>922869886107336704</v>
      </c>
      <c r="F10887" s="23" t="s">
        <v>55</v>
      </c>
      <c r="G10887" s="24">
        <v>389.0</v>
      </c>
      <c r="H10887" s="24">
        <v>88.0</v>
      </c>
      <c r="I10887" s="24">
        <v>8501.0</v>
      </c>
      <c r="J10887" s="24">
        <v>0.0</v>
      </c>
      <c r="K10887" s="23" t="s">
        <v>34</v>
      </c>
      <c r="L10887" s="25">
        <v>40758.92775462963</v>
      </c>
      <c r="M10887" s="26" t="s">
        <v>22971</v>
      </c>
      <c r="N10887" s="26" t="s">
        <v>22972</v>
      </c>
      <c r="O10887" s="22" t="str">
        <f>HYPERLINK("https://pbs.twimg.com/profile_images/676124139514556417/GRLpanr2_normal.jpg","View")</f>
        <v>View</v>
      </c>
      <c r="P10887" s="27"/>
    </row>
    <row r="10888">
      <c r="A10888" s="14">
        <v>43032.41553240741</v>
      </c>
      <c r="B10888" s="20" t="str">
        <f>HYPERLINK("https://twitter.com/LucaTentoni1","@LucaTentoni1")</f>
        <v>@LucaTentoni1</v>
      </c>
      <c r="C10888" s="21" t="s">
        <v>22973</v>
      </c>
      <c r="D10888" s="21" t="s">
        <v>20915</v>
      </c>
      <c r="E10888" s="22" t="str">
        <f>HYPERLINK("https://twitter.com/LucaTentoni1/status/922869888242388993","922869888242388993")</f>
        <v>922869888242388993</v>
      </c>
      <c r="F10888" s="23" t="s">
        <v>55</v>
      </c>
      <c r="G10888" s="24">
        <v>8770.0</v>
      </c>
      <c r="H10888" s="24">
        <v>3003.0</v>
      </c>
      <c r="I10888" s="24">
        <v>5.0</v>
      </c>
      <c r="J10888" s="24">
        <v>0.0</v>
      </c>
      <c r="K10888" s="23" t="s">
        <v>34</v>
      </c>
      <c r="L10888" s="25">
        <v>41647.32607638889</v>
      </c>
      <c r="M10888" s="28"/>
      <c r="N10888" s="26" t="s">
        <v>22974</v>
      </c>
      <c r="O10888" s="22" t="str">
        <f>HYPERLINK("https://pbs.twimg.com/profile_images/420946673511059456/aW7M5Qqd_normal.jpeg","View")</f>
        <v>View</v>
      </c>
      <c r="P10888" s="27"/>
    </row>
    <row r="10889">
      <c r="A10889" s="14">
        <v>43032.41553240741</v>
      </c>
      <c r="B10889" s="20" t="str">
        <f>HYPERLINK("https://twitter.com/mcwihun","@mcwihun")</f>
        <v>@mcwihun</v>
      </c>
      <c r="C10889" s="21" t="s">
        <v>22843</v>
      </c>
      <c r="D10889" s="21" t="s">
        <v>22975</v>
      </c>
      <c r="E10889" s="22" t="str">
        <f>HYPERLINK("https://twitter.com/mcwihun/status/922869890230480896","922869890230480896")</f>
        <v>922869890230480896</v>
      </c>
      <c r="F10889" s="23" t="s">
        <v>33</v>
      </c>
      <c r="G10889" s="24">
        <v>707.0</v>
      </c>
      <c r="H10889" s="24">
        <v>1215.0</v>
      </c>
      <c r="I10889" s="24">
        <v>0.0</v>
      </c>
      <c r="J10889" s="24">
        <v>0.0</v>
      </c>
      <c r="K10889" s="23" t="s">
        <v>34</v>
      </c>
      <c r="L10889" s="25">
        <v>40928.39310185185</v>
      </c>
      <c r="M10889" s="26" t="s">
        <v>22845</v>
      </c>
      <c r="N10889" s="26" t="s">
        <v>22846</v>
      </c>
      <c r="O10889" s="22" t="str">
        <f>HYPERLINK("https://pbs.twimg.com/profile_images/899045623646781441/eTUWL4_9_normal.jpg","View")</f>
        <v>View</v>
      </c>
      <c r="P10889" s="27"/>
    </row>
    <row r="10890">
      <c r="A10890" s="14">
        <v>43032.415625</v>
      </c>
      <c r="B10890" s="20" t="str">
        <f t="shared" ref="B10890:B10891" si="266">HYPERLINK("https://twitter.com/AzadiIran92","@AzadiIran92")</f>
        <v>@AzadiIran92</v>
      </c>
      <c r="C10890" s="21" t="s">
        <v>22969</v>
      </c>
      <c r="D10890" s="21" t="s">
        <v>21243</v>
      </c>
      <c r="E10890" s="22" t="str">
        <f>HYPERLINK("https://twitter.com/AzadiIran92/status/922869923860197376","922869923860197376")</f>
        <v>922869923860197376</v>
      </c>
      <c r="F10890" s="23" t="s">
        <v>86</v>
      </c>
      <c r="G10890" s="24">
        <v>582.0</v>
      </c>
      <c r="H10890" s="24">
        <v>430.0</v>
      </c>
      <c r="I10890" s="24">
        <v>41.0</v>
      </c>
      <c r="J10890" s="24">
        <v>0.0</v>
      </c>
      <c r="K10890" s="23" t="s">
        <v>34</v>
      </c>
      <c r="L10890" s="25">
        <v>41434.308969907404</v>
      </c>
      <c r="M10890" s="26" t="s">
        <v>11949</v>
      </c>
      <c r="N10890" s="26" t="s">
        <v>21141</v>
      </c>
      <c r="O10890" s="22" t="str">
        <f t="shared" ref="O10890:O10891" si="267">HYPERLINK("https://pbs.twimg.com/profile_images/378800000114430624/553abd9a4a91a438baa357c8836df2c9_normal.jpeg","View")</f>
        <v>View</v>
      </c>
      <c r="P10890" s="27"/>
    </row>
    <row r="10891">
      <c r="A10891" s="14">
        <v>43032.41627314815</v>
      </c>
      <c r="B10891" s="20" t="str">
        <f t="shared" si="266"/>
        <v>@AzadiIran92</v>
      </c>
      <c r="C10891" s="21" t="s">
        <v>22969</v>
      </c>
      <c r="D10891" s="21" t="s">
        <v>21191</v>
      </c>
      <c r="E10891" s="22" t="str">
        <f>HYPERLINK("https://twitter.com/AzadiIran92/status/922870158690938881","922870158690938881")</f>
        <v>922870158690938881</v>
      </c>
      <c r="F10891" s="23" t="s">
        <v>86</v>
      </c>
      <c r="G10891" s="24">
        <v>582.0</v>
      </c>
      <c r="H10891" s="24">
        <v>430.0</v>
      </c>
      <c r="I10891" s="24">
        <v>42.0</v>
      </c>
      <c r="J10891" s="24">
        <v>0.0</v>
      </c>
      <c r="K10891" s="23" t="s">
        <v>34</v>
      </c>
      <c r="L10891" s="25">
        <v>41434.308969907404</v>
      </c>
      <c r="M10891" s="26" t="s">
        <v>11949</v>
      </c>
      <c r="N10891" s="26" t="s">
        <v>21141</v>
      </c>
      <c r="O10891" s="22" t="str">
        <f t="shared" si="267"/>
        <v>View</v>
      </c>
      <c r="P10891" s="27"/>
    </row>
    <row r="10892">
      <c r="A10892" s="14">
        <v>43032.4165625</v>
      </c>
      <c r="B10892" s="20" t="str">
        <f>HYPERLINK("https://twitter.com/badboyVictorQ","@badboyVictorQ")</f>
        <v>@badboyVictorQ</v>
      </c>
      <c r="C10892" s="21" t="s">
        <v>22976</v>
      </c>
      <c r="D10892" s="21" t="s">
        <v>21191</v>
      </c>
      <c r="E10892" s="22" t="str">
        <f>HYPERLINK("https://twitter.com/badboyVictorQ/status/922870263666085889","922870263666085889")</f>
        <v>922870263666085889</v>
      </c>
      <c r="F10892" s="23" t="s">
        <v>22977</v>
      </c>
      <c r="G10892" s="24">
        <v>365.0</v>
      </c>
      <c r="H10892" s="24">
        <v>2523.0</v>
      </c>
      <c r="I10892" s="24">
        <v>42.0</v>
      </c>
      <c r="J10892" s="24">
        <v>0.0</v>
      </c>
      <c r="K10892" s="23" t="s">
        <v>34</v>
      </c>
      <c r="L10892" s="25">
        <v>42934.58424768518</v>
      </c>
      <c r="M10892" s="26" t="s">
        <v>22978</v>
      </c>
      <c r="N10892" s="26" t="s">
        <v>22979</v>
      </c>
      <c r="O10892" s="22" t="str">
        <f>HYPERLINK("https://pbs.twimg.com/profile_images/887729051091316739/u8i6mDM2_normal.jpg","View")</f>
        <v>View</v>
      </c>
      <c r="P10892" s="27"/>
    </row>
    <row r="10893">
      <c r="A10893" s="14">
        <v>43032.41695601852</v>
      </c>
      <c r="B10893" s="20" t="str">
        <f>HYPERLINK("https://twitter.com/hyo_cloud","@hyo_cloud")</f>
        <v>@hyo_cloud</v>
      </c>
      <c r="C10893" s="21" t="s">
        <v>22980</v>
      </c>
      <c r="D10893" s="21" t="s">
        <v>21202</v>
      </c>
      <c r="E10893" s="22" t="str">
        <f>HYPERLINK("https://twitter.com/hyo_cloud/status/922870404305133568","922870404305133568")</f>
        <v>922870404305133568</v>
      </c>
      <c r="F10893" s="23" t="s">
        <v>86</v>
      </c>
      <c r="G10893" s="24">
        <v>104.0</v>
      </c>
      <c r="H10893" s="24">
        <v>73.0</v>
      </c>
      <c r="I10893" s="24">
        <v>79.0</v>
      </c>
      <c r="J10893" s="24">
        <v>0.0</v>
      </c>
      <c r="K10893" s="23" t="s">
        <v>34</v>
      </c>
      <c r="L10893" s="25">
        <v>41906.317152777774</v>
      </c>
      <c r="M10893" s="26" t="s">
        <v>11949</v>
      </c>
      <c r="N10893" s="26" t="s">
        <v>21219</v>
      </c>
      <c r="O10893" s="22" t="str">
        <f>HYPERLINK("https://pbs.twimg.com/profile_images/514785955606056960/jwVogEyg_normal.jpeg","View")</f>
        <v>View</v>
      </c>
      <c r="P10893" s="27"/>
    </row>
    <row r="10894">
      <c r="A10894" s="14">
        <v>43032.41703703704</v>
      </c>
      <c r="B10894" s="20" t="str">
        <f>HYPERLINK("https://twitter.com/SirshenduGhosh3","@SirshenduGhosh3")</f>
        <v>@SirshenduGhosh3</v>
      </c>
      <c r="C10894" s="21" t="s">
        <v>22981</v>
      </c>
      <c r="D10894" s="21" t="s">
        <v>42</v>
      </c>
      <c r="E10894" s="22" t="str">
        <f>HYPERLINK("https://twitter.com/SirshenduGhosh3/status/922870433824653313","922870433824653313")</f>
        <v>922870433824653313</v>
      </c>
      <c r="F10894" s="23" t="s">
        <v>33</v>
      </c>
      <c r="G10894" s="24">
        <v>71.0</v>
      </c>
      <c r="H10894" s="24">
        <v>229.0</v>
      </c>
      <c r="I10894" s="24">
        <v>8501.0</v>
      </c>
      <c r="J10894" s="24">
        <v>0.0</v>
      </c>
      <c r="K10894" s="23" t="s">
        <v>34</v>
      </c>
      <c r="L10894" s="25">
        <v>42677.28048611111</v>
      </c>
      <c r="M10894" s="28"/>
      <c r="N10894" s="28"/>
      <c r="O10894" s="22" t="str">
        <f>HYPERLINK("https://pbs.twimg.com/profile_images/801284787734540289/sVh4HCtX_normal.jpg","View")</f>
        <v>View</v>
      </c>
      <c r="P10894" s="27"/>
    </row>
    <row r="10895">
      <c r="A10895" s="14">
        <v>43032.41761574074</v>
      </c>
      <c r="B10895" s="20" t="str">
        <f>HYPERLINK("https://twitter.com/hyo_cloud","@hyo_cloud")</f>
        <v>@hyo_cloud</v>
      </c>
      <c r="C10895" s="21" t="s">
        <v>22980</v>
      </c>
      <c r="D10895" s="21" t="s">
        <v>21203</v>
      </c>
      <c r="E10895" s="22" t="str">
        <f>HYPERLINK("https://twitter.com/hyo_cloud/status/922870644689088513","922870644689088513")</f>
        <v>922870644689088513</v>
      </c>
      <c r="F10895" s="23" t="s">
        <v>86</v>
      </c>
      <c r="G10895" s="24">
        <v>104.0</v>
      </c>
      <c r="H10895" s="24">
        <v>73.0</v>
      </c>
      <c r="I10895" s="24">
        <v>75.0</v>
      </c>
      <c r="J10895" s="24">
        <v>0.0</v>
      </c>
      <c r="K10895" s="23" t="s">
        <v>34</v>
      </c>
      <c r="L10895" s="25">
        <v>41906.317152777774</v>
      </c>
      <c r="M10895" s="26" t="s">
        <v>11949</v>
      </c>
      <c r="N10895" s="26" t="s">
        <v>21219</v>
      </c>
      <c r="O10895" s="22" t="str">
        <f>HYPERLINK("https://pbs.twimg.com/profile_images/514785955606056960/jwVogEyg_normal.jpeg","View")</f>
        <v>View</v>
      </c>
      <c r="P10895" s="27"/>
    </row>
    <row r="10896">
      <c r="A10896" s="14">
        <v>43032.41761574074</v>
      </c>
      <c r="B10896" s="20" t="str">
        <f>HYPERLINK("https://twitter.com/JS_BizPol","@JS_BizPol")</f>
        <v>@JS_BizPol</v>
      </c>
      <c r="C10896" s="21" t="s">
        <v>22982</v>
      </c>
      <c r="D10896" s="21" t="s">
        <v>22983</v>
      </c>
      <c r="E10896" s="22" t="str">
        <f>HYPERLINK("https://twitter.com/JS_BizPol/status/922870646501199872","922870646501199872")</f>
        <v>922870646501199872</v>
      </c>
      <c r="F10896" s="23" t="s">
        <v>427</v>
      </c>
      <c r="G10896" s="24">
        <v>1180.0</v>
      </c>
      <c r="H10896" s="24">
        <v>673.0</v>
      </c>
      <c r="I10896" s="24">
        <v>2.0</v>
      </c>
      <c r="J10896" s="24">
        <v>3.0</v>
      </c>
      <c r="K10896" s="23" t="s">
        <v>34</v>
      </c>
      <c r="L10896" s="25">
        <v>41662.38318287037</v>
      </c>
      <c r="M10896" s="26" t="s">
        <v>389</v>
      </c>
      <c r="N10896" s="26" t="s">
        <v>22984</v>
      </c>
      <c r="O10896" s="22" t="str">
        <f>HYPERLINK("https://pbs.twimg.com/profile_images/884816368566194177/vNxB8FWI_normal.jpg","View")</f>
        <v>View</v>
      </c>
      <c r="P10896" s="27"/>
    </row>
    <row r="10897">
      <c r="A10897" s="14">
        <v>43032.41783564815</v>
      </c>
      <c r="B10897" s="20" t="str">
        <f>HYPERLINK("https://twitter.com/PKSge","@PKSge")</f>
        <v>@PKSge</v>
      </c>
      <c r="C10897" s="21" t="s">
        <v>22985</v>
      </c>
      <c r="D10897" s="21" t="s">
        <v>42</v>
      </c>
      <c r="E10897" s="22" t="str">
        <f>HYPERLINK("https://twitter.com/PKSge/status/922870724439695360","922870724439695360")</f>
        <v>922870724439695360</v>
      </c>
      <c r="F10897" s="23" t="s">
        <v>39</v>
      </c>
      <c r="G10897" s="24">
        <v>275.0</v>
      </c>
      <c r="H10897" s="24">
        <v>154.0</v>
      </c>
      <c r="I10897" s="24">
        <v>8501.0</v>
      </c>
      <c r="J10897" s="24">
        <v>0.0</v>
      </c>
      <c r="K10897" s="23" t="s">
        <v>34</v>
      </c>
      <c r="L10897" s="25">
        <v>41641.773935185185</v>
      </c>
      <c r="M10897" s="26" t="s">
        <v>1224</v>
      </c>
      <c r="N10897" s="26" t="s">
        <v>22986</v>
      </c>
      <c r="O10897" s="22" t="str">
        <f>HYPERLINK("https://pbs.twimg.com/profile_images/741465649147314177/Jc31bUte_normal.jpg","View")</f>
        <v>View</v>
      </c>
      <c r="P10897" s="27"/>
    </row>
    <row r="10898">
      <c r="A10898" s="14">
        <v>43032.41818287037</v>
      </c>
      <c r="B10898" s="20" t="str">
        <f>HYPERLINK("https://twitter.com/TheMarketStorm","@TheMarketStorm")</f>
        <v>@TheMarketStorm</v>
      </c>
      <c r="C10898" s="21" t="s">
        <v>11417</v>
      </c>
      <c r="D10898" s="21" t="s">
        <v>14022</v>
      </c>
      <c r="E10898" s="22" t="str">
        <f>HYPERLINK("https://twitter.com/TheMarketStorm/status/922870848796504065","922870848796504065")</f>
        <v>922870848796504065</v>
      </c>
      <c r="F10898" s="23" t="s">
        <v>22987</v>
      </c>
      <c r="G10898" s="24">
        <v>1084.0</v>
      </c>
      <c r="H10898" s="24">
        <v>578.0</v>
      </c>
      <c r="I10898" s="24">
        <v>56.0</v>
      </c>
      <c r="J10898" s="24">
        <v>0.0</v>
      </c>
      <c r="K10898" s="23" t="s">
        <v>34</v>
      </c>
      <c r="L10898" s="25">
        <v>42885.29153935185</v>
      </c>
      <c r="M10898" s="28"/>
      <c r="N10898" s="35" t="s">
        <v>11419</v>
      </c>
      <c r="O10898" s="22" t="str">
        <f>HYPERLINK("https://pbs.twimg.com/profile_images/869555019871277056/TKOtBSpD_normal.jpg","View")</f>
        <v>View</v>
      </c>
      <c r="P10898" s="27"/>
    </row>
    <row r="10899">
      <c r="A10899" s="14">
        <v>43032.4194675926</v>
      </c>
      <c r="B10899" s="20" t="str">
        <f>HYPERLINK("https://twitter.com/fpinterrupted","@fpinterrupted")</f>
        <v>@fpinterrupted</v>
      </c>
      <c r="C10899" s="21" t="s">
        <v>12125</v>
      </c>
      <c r="D10899" s="21" t="s">
        <v>22988</v>
      </c>
      <c r="E10899" s="22" t="str">
        <f>HYPERLINK("https://twitter.com/fpinterrupted/status/922871316008579073","922871316008579073")</f>
        <v>922871316008579073</v>
      </c>
      <c r="F10899" s="23" t="s">
        <v>4619</v>
      </c>
      <c r="G10899" s="24">
        <v>8047.0</v>
      </c>
      <c r="H10899" s="24">
        <v>547.0</v>
      </c>
      <c r="I10899" s="24">
        <v>2.0</v>
      </c>
      <c r="J10899" s="24">
        <v>0.0</v>
      </c>
      <c r="K10899" s="23" t="s">
        <v>34</v>
      </c>
      <c r="L10899" s="25">
        <v>41324.30084490741</v>
      </c>
      <c r="M10899" s="26" t="s">
        <v>762</v>
      </c>
      <c r="N10899" s="26" t="s">
        <v>12127</v>
      </c>
      <c r="O10899" s="22" t="str">
        <f>HYPERLINK("https://pbs.twimg.com/profile_images/475587280694804480/u5fUO_Ne_normal.png","View")</f>
        <v>View</v>
      </c>
      <c r="P10899" s="27"/>
    </row>
    <row r="10900">
      <c r="A10900" s="14">
        <v>43032.41978009259</v>
      </c>
      <c r="B10900" s="20" t="str">
        <f>HYPERLINK("https://twitter.com/emilyctamkin","@emilyctamkin")</f>
        <v>@emilyctamkin</v>
      </c>
      <c r="C10900" s="21" t="s">
        <v>15575</v>
      </c>
      <c r="D10900" s="21" t="s">
        <v>22989</v>
      </c>
      <c r="E10900" s="22" t="str">
        <f>HYPERLINK("https://twitter.com/emilyctamkin/status/922871429976285190","922871429976285190")</f>
        <v>922871429976285190</v>
      </c>
      <c r="F10900" s="23" t="s">
        <v>55</v>
      </c>
      <c r="G10900" s="24">
        <v>4934.0</v>
      </c>
      <c r="H10900" s="24">
        <v>2090.0</v>
      </c>
      <c r="I10900" s="24">
        <v>2.0</v>
      </c>
      <c r="J10900" s="24">
        <v>0.0</v>
      </c>
      <c r="K10900" s="23" t="s">
        <v>34</v>
      </c>
      <c r="L10900" s="25">
        <v>40892.84340277778</v>
      </c>
      <c r="M10900" s="28"/>
      <c r="N10900" s="26" t="s">
        <v>15577</v>
      </c>
      <c r="O10900" s="22" t="str">
        <f>HYPERLINK("https://pbs.twimg.com/profile_images/829444099837157377/F2zCvUGu_normal.jpg","View")</f>
        <v>View</v>
      </c>
      <c r="P10900" s="27"/>
    </row>
    <row r="10901">
      <c r="A10901" s="14">
        <v>43032.41979166667</v>
      </c>
      <c r="B10901" s="20" t="str">
        <f>HYPERLINK("https://twitter.com/EmilioEsteban06","@EmilioEsteban06")</f>
        <v>@EmilioEsteban06</v>
      </c>
      <c r="C10901" s="21" t="s">
        <v>22990</v>
      </c>
      <c r="D10901" s="21" t="s">
        <v>22991</v>
      </c>
      <c r="E10901" s="22" t="str">
        <f>HYPERLINK("https://twitter.com/EmilioEsteban06/status/922871434308878337","922871434308878337")</f>
        <v>922871434308878337</v>
      </c>
      <c r="F10901" s="23" t="s">
        <v>2255</v>
      </c>
      <c r="G10901" s="24">
        <v>493.0</v>
      </c>
      <c r="H10901" s="24">
        <v>686.0</v>
      </c>
      <c r="I10901" s="24">
        <v>0.0</v>
      </c>
      <c r="J10901" s="24">
        <v>0.0</v>
      </c>
      <c r="K10901" s="23" t="s">
        <v>34</v>
      </c>
      <c r="L10901" s="25">
        <v>40922.861284722225</v>
      </c>
      <c r="M10901" s="26" t="s">
        <v>22992</v>
      </c>
      <c r="N10901" s="26" t="s">
        <v>22993</v>
      </c>
      <c r="O10901" s="22" t="str">
        <f>HYPERLINK("https://pbs.twimg.com/profile_images/732304310319632384/IxzodeDZ_normal.jpg","View")</f>
        <v>View</v>
      </c>
      <c r="P10901" s="27"/>
    </row>
    <row r="10902">
      <c r="A10902" s="14">
        <v>43032.42011574074</v>
      </c>
      <c r="B10902" s="20" t="str">
        <f>HYPERLINK("https://twitter.com/TabberAnn","@TabberAnn")</f>
        <v>@TabberAnn</v>
      </c>
      <c r="C10902" s="21" t="s">
        <v>22994</v>
      </c>
      <c r="D10902" s="21" t="s">
        <v>16537</v>
      </c>
      <c r="E10902" s="22" t="str">
        <f>HYPERLINK("https://twitter.com/TabberAnn/status/922871550956785665","922871550956785665")</f>
        <v>922871550956785665</v>
      </c>
      <c r="F10902" s="23" t="s">
        <v>33</v>
      </c>
      <c r="G10902" s="24">
        <v>2417.0</v>
      </c>
      <c r="H10902" s="24">
        <v>5003.0</v>
      </c>
      <c r="I10902" s="24">
        <v>242.0</v>
      </c>
      <c r="J10902" s="24">
        <v>0.0</v>
      </c>
      <c r="K10902" s="23" t="s">
        <v>34</v>
      </c>
      <c r="L10902" s="25">
        <v>41176.71019675926</v>
      </c>
      <c r="M10902" s="26" t="s">
        <v>4411</v>
      </c>
      <c r="N10902" s="26" t="s">
        <v>22995</v>
      </c>
      <c r="O10902" s="22" t="str">
        <f>HYPERLINK("https://pbs.twimg.com/profile_images/847053647347437568/d5isFBLL_normal.jpg","View")</f>
        <v>View</v>
      </c>
      <c r="P10902" s="27"/>
    </row>
    <row r="10903">
      <c r="A10903" s="14">
        <v>43032.42049768519</v>
      </c>
      <c r="B10903" s="20" t="str">
        <f>HYPERLINK("https://twitter.com/lingeshgdvg","@lingeshgdvg")</f>
        <v>@lingeshgdvg</v>
      </c>
      <c r="C10903" s="21" t="s">
        <v>22996</v>
      </c>
      <c r="D10903" s="21" t="s">
        <v>163</v>
      </c>
      <c r="E10903" s="22" t="str">
        <f>HYPERLINK("https://twitter.com/lingeshgdvg/status/922871691323125760","922871691323125760")</f>
        <v>922871691323125760</v>
      </c>
      <c r="F10903" s="23" t="s">
        <v>33</v>
      </c>
      <c r="G10903" s="24">
        <v>128.0</v>
      </c>
      <c r="H10903" s="24">
        <v>56.0</v>
      </c>
      <c r="I10903" s="24">
        <v>1005.0</v>
      </c>
      <c r="J10903" s="24">
        <v>0.0</v>
      </c>
      <c r="K10903" s="23" t="s">
        <v>34</v>
      </c>
      <c r="L10903" s="25">
        <v>40905.25334490741</v>
      </c>
      <c r="M10903" s="26" t="s">
        <v>22997</v>
      </c>
      <c r="N10903" s="28"/>
      <c r="O10903" s="22" t="str">
        <f>HYPERLINK("https://pbs.twimg.com/profile_images/847666858060685312/Fd9UlxPZ_normal.jpg","View")</f>
        <v>View</v>
      </c>
      <c r="P10903" s="27"/>
    </row>
    <row r="10904">
      <c r="A10904" s="14">
        <v>43032.42050925926</v>
      </c>
      <c r="B10904" s="20" t="str">
        <f>HYPERLINK("https://twitter.com/danielrallen","@danielrallen")</f>
        <v>@danielrallen</v>
      </c>
      <c r="C10904" s="21" t="s">
        <v>22998</v>
      </c>
      <c r="D10904" s="21" t="s">
        <v>22989</v>
      </c>
      <c r="E10904" s="22" t="str">
        <f>HYPERLINK("https://twitter.com/danielrallen/status/922871692623515648","922871692623515648")</f>
        <v>922871692623515648</v>
      </c>
      <c r="F10904" s="23" t="s">
        <v>55</v>
      </c>
      <c r="G10904" s="24">
        <v>843.0</v>
      </c>
      <c r="H10904" s="24">
        <v>747.0</v>
      </c>
      <c r="I10904" s="24">
        <v>2.0</v>
      </c>
      <c r="J10904" s="24">
        <v>0.0</v>
      </c>
      <c r="K10904" s="23" t="s">
        <v>34</v>
      </c>
      <c r="L10904" s="25">
        <v>40187.53331018519</v>
      </c>
      <c r="M10904" s="26" t="s">
        <v>22999</v>
      </c>
      <c r="N10904" s="26" t="s">
        <v>23000</v>
      </c>
      <c r="O10904" s="22" t="str">
        <f>HYPERLINK("https://pbs.twimg.com/profile_images/463898589052141568/MeTn28IU_normal.jpeg","View")</f>
        <v>View</v>
      </c>
      <c r="P10904" s="27"/>
    </row>
    <row r="10905">
      <c r="A10905" s="14">
        <v>43032.42155092592</v>
      </c>
      <c r="B10905" s="20" t="str">
        <f>HYPERLINK("https://twitter.com/JIWqGyhbYPNikRH","@JIWqGyhbYPNikRH")</f>
        <v>@JIWqGyhbYPNikRH</v>
      </c>
      <c r="C10905" s="21" t="s">
        <v>23001</v>
      </c>
      <c r="D10905" s="21" t="s">
        <v>21608</v>
      </c>
      <c r="E10905" s="22" t="str">
        <f>HYPERLINK("https://twitter.com/JIWqGyhbYPNikRH/status/922872071520059393","922872071520059393")</f>
        <v>922872071520059393</v>
      </c>
      <c r="F10905" s="23" t="s">
        <v>39</v>
      </c>
      <c r="G10905" s="24">
        <v>789.0</v>
      </c>
      <c r="H10905" s="24">
        <v>957.0</v>
      </c>
      <c r="I10905" s="24">
        <v>4.0</v>
      </c>
      <c r="J10905" s="24">
        <v>0.0</v>
      </c>
      <c r="K10905" s="23" t="s">
        <v>34</v>
      </c>
      <c r="L10905" s="25">
        <v>42803.13995370371</v>
      </c>
      <c r="M10905" s="26" t="s">
        <v>23002</v>
      </c>
      <c r="N10905" s="26" t="s">
        <v>23003</v>
      </c>
      <c r="O10905" s="22" t="str">
        <f>HYPERLINK("https://pbs.twimg.com/profile_images/895440794705838084/EoRqTsAV_normal.jpg","View")</f>
        <v>View</v>
      </c>
      <c r="P10905" s="27"/>
    </row>
    <row r="10906">
      <c r="A10906" s="14">
        <v>43032.422060185185</v>
      </c>
      <c r="B10906" s="20" t="str">
        <f>HYPERLINK("https://twitter.com/CMDemClub","@CMDemClub")</f>
        <v>@CMDemClub</v>
      </c>
      <c r="C10906" s="21" t="s">
        <v>23004</v>
      </c>
      <c r="D10906" s="21" t="s">
        <v>23005</v>
      </c>
      <c r="E10906" s="22" t="str">
        <f>HYPERLINK("https://twitter.com/CMDemClub/status/922872254957891584","922872254957891584")</f>
        <v>922872254957891584</v>
      </c>
      <c r="F10906" s="23" t="s">
        <v>39</v>
      </c>
      <c r="G10906" s="24">
        <v>150.0</v>
      </c>
      <c r="H10906" s="24">
        <v>499.0</v>
      </c>
      <c r="I10906" s="24">
        <v>0.0</v>
      </c>
      <c r="J10906" s="24">
        <v>0.0</v>
      </c>
      <c r="K10906" s="23" t="s">
        <v>34</v>
      </c>
      <c r="L10906" s="25">
        <v>41450.45159722222</v>
      </c>
      <c r="M10906" s="26" t="s">
        <v>20277</v>
      </c>
      <c r="N10906" s="26" t="s">
        <v>23006</v>
      </c>
      <c r="O10906" s="22" t="str">
        <f>HYPERLINK("https://pbs.twimg.com/profile_images/378800000045062374/18f95e6f094c532d286c8d030c5411b7_normal.jpeg","View")</f>
        <v>View</v>
      </c>
      <c r="P10906" s="27"/>
    </row>
    <row r="10907">
      <c r="A10907" s="14">
        <v>43032.4228587963</v>
      </c>
      <c r="B10907" s="20" t="str">
        <f>HYPERLINK("https://twitter.com/HRCoclbps","@HRCoclbps")</f>
        <v>@HRCoclbps</v>
      </c>
      <c r="C10907" s="21" t="s">
        <v>23007</v>
      </c>
      <c r="D10907" s="21" t="s">
        <v>23008</v>
      </c>
      <c r="E10907" s="22" t="str">
        <f>HYPERLINK("https://twitter.com/HRCoclbps/status/922872543731621893","922872543731621893")</f>
        <v>922872543731621893</v>
      </c>
      <c r="F10907" s="23" t="s">
        <v>39</v>
      </c>
      <c r="G10907" s="24">
        <v>1036.0</v>
      </c>
      <c r="H10907" s="24">
        <v>877.0</v>
      </c>
      <c r="I10907" s="24">
        <v>0.0</v>
      </c>
      <c r="J10907" s="24">
        <v>0.0</v>
      </c>
      <c r="K10907" s="23" t="s">
        <v>34</v>
      </c>
      <c r="L10907" s="25">
        <v>39909.676458333335</v>
      </c>
      <c r="M10907" s="26" t="s">
        <v>23009</v>
      </c>
      <c r="N10907" s="26" t="s">
        <v>23010</v>
      </c>
      <c r="O10907" s="22" t="str">
        <f>HYPERLINK("https://pbs.twimg.com/profile_images/879578276489867264/2IYOYZKF_normal.jpg","View")</f>
        <v>View</v>
      </c>
      <c r="P10907" s="27"/>
    </row>
    <row r="10908">
      <c r="A10908" s="14">
        <v>43032.42356481482</v>
      </c>
      <c r="B10908" s="20" t="str">
        <f>HYPERLINK("https://twitter.com/puppy_training_","@puppy_training_")</f>
        <v>@puppy_training_</v>
      </c>
      <c r="C10908" s="21" t="s">
        <v>22867</v>
      </c>
      <c r="D10908" s="21" t="s">
        <v>23011</v>
      </c>
      <c r="E10908" s="22" t="str">
        <f>HYPERLINK("https://twitter.com/puppy_training_/status/922872800234393600","922872800234393600")</f>
        <v>922872800234393600</v>
      </c>
      <c r="F10908" s="23" t="s">
        <v>187</v>
      </c>
      <c r="G10908" s="24">
        <v>1190.0</v>
      </c>
      <c r="H10908" s="24">
        <v>1701.0</v>
      </c>
      <c r="I10908" s="24">
        <v>0.0</v>
      </c>
      <c r="J10908" s="24">
        <v>0.0</v>
      </c>
      <c r="K10908" s="23" t="s">
        <v>34</v>
      </c>
      <c r="L10908" s="25">
        <v>42201.34796296296</v>
      </c>
      <c r="M10908" s="26" t="s">
        <v>68</v>
      </c>
      <c r="N10908" s="26" t="s">
        <v>22869</v>
      </c>
      <c r="O10908" s="22" t="str">
        <f>HYPERLINK("https://pbs.twimg.com/profile_images/621717459884576772/XJbQLzt__normal.jpg","View")</f>
        <v>View</v>
      </c>
      <c r="P10908" s="27"/>
    </row>
    <row r="10909">
      <c r="A10909" s="14">
        <v>43032.42559027778</v>
      </c>
      <c r="B10909" s="20" t="str">
        <f>HYPERLINK("https://twitter.com/aman9189","@aman9189")</f>
        <v>@aman9189</v>
      </c>
      <c r="C10909" s="21" t="s">
        <v>23012</v>
      </c>
      <c r="D10909" s="21" t="s">
        <v>42</v>
      </c>
      <c r="E10909" s="22" t="str">
        <f>HYPERLINK("https://twitter.com/aman9189/status/922873533998383104","922873533998383104")</f>
        <v>922873533998383104</v>
      </c>
      <c r="F10909" s="23" t="s">
        <v>33</v>
      </c>
      <c r="G10909" s="24">
        <v>47.0</v>
      </c>
      <c r="H10909" s="24">
        <v>147.0</v>
      </c>
      <c r="I10909" s="24">
        <v>8501.0</v>
      </c>
      <c r="J10909" s="24">
        <v>0.0</v>
      </c>
      <c r="K10909" s="23" t="s">
        <v>34</v>
      </c>
      <c r="L10909" s="25">
        <v>42998.23143518518</v>
      </c>
      <c r="M10909" s="26" t="s">
        <v>195</v>
      </c>
      <c r="N10909" s="26" t="s">
        <v>23013</v>
      </c>
      <c r="O10909" s="22" t="str">
        <f>HYPERLINK("https://pbs.twimg.com/profile_images/920718137833562112/3Jh_EjFO_normal.jpg","View")</f>
        <v>View</v>
      </c>
      <c r="P10909" s="27"/>
    </row>
    <row r="10910">
      <c r="A10910" s="14">
        <v>43032.42619212963</v>
      </c>
      <c r="B10910" s="20" t="str">
        <f>HYPERLINK("https://twitter.com/EggmanOrWalrus","@EggmanOrWalrus")</f>
        <v>@EggmanOrWalrus</v>
      </c>
      <c r="C10910" s="21" t="s">
        <v>4917</v>
      </c>
      <c r="D10910" s="21" t="s">
        <v>23014</v>
      </c>
      <c r="E10910" s="22" t="str">
        <f>HYPERLINK("https://twitter.com/EggmanOrWalrus/status/922873754388238343","922873754388238343")</f>
        <v>922873754388238343</v>
      </c>
      <c r="F10910" s="23" t="s">
        <v>4919</v>
      </c>
      <c r="G10910" s="24">
        <v>149.0</v>
      </c>
      <c r="H10910" s="24">
        <v>35.0</v>
      </c>
      <c r="I10910" s="24">
        <v>0.0</v>
      </c>
      <c r="J10910" s="24">
        <v>0.0</v>
      </c>
      <c r="K10910" s="23" t="s">
        <v>34</v>
      </c>
      <c r="L10910" s="25">
        <v>39883.69174768518</v>
      </c>
      <c r="M10910" s="26" t="s">
        <v>4920</v>
      </c>
      <c r="N10910" s="26" t="s">
        <v>4921</v>
      </c>
      <c r="O10910" s="22" t="str">
        <f>HYPERLINK("https://pbs.twimg.com/profile_images/805175433767567360/yLKWytM0_normal.jpg","View")</f>
        <v>View</v>
      </c>
      <c r="P10910" s="27"/>
    </row>
    <row r="10911">
      <c r="A10911" s="14">
        <v>43032.42649305555</v>
      </c>
      <c r="B10911" s="20" t="str">
        <f>HYPERLINK("https://twitter.com/YMysowers","@YMysowers")</f>
        <v>@YMysowers</v>
      </c>
      <c r="C10911" s="21" t="s">
        <v>23015</v>
      </c>
      <c r="D10911" s="21" t="s">
        <v>16537</v>
      </c>
      <c r="E10911" s="22" t="str">
        <f>HYPERLINK("https://twitter.com/YMysowers/status/922873860101492736","922873860101492736")</f>
        <v>922873860101492736</v>
      </c>
      <c r="F10911" s="23" t="s">
        <v>39</v>
      </c>
      <c r="G10911" s="24">
        <v>26.0</v>
      </c>
      <c r="H10911" s="24">
        <v>70.0</v>
      </c>
      <c r="I10911" s="24">
        <v>242.0</v>
      </c>
      <c r="J10911" s="24">
        <v>0.0</v>
      </c>
      <c r="K10911" s="23" t="s">
        <v>34</v>
      </c>
      <c r="L10911" s="25">
        <v>41350.706504629634</v>
      </c>
      <c r="M10911" s="28"/>
      <c r="N10911" s="28"/>
      <c r="O10911" s="22" t="str">
        <f>HYPERLINK("https://pbs.twimg.com/profile_images/3427848272/d400fcabe5a6f673c9bfa1f0782406f8_normal.jpeg","View")</f>
        <v>View</v>
      </c>
      <c r="P10911" s="27"/>
    </row>
    <row r="10912">
      <c r="A10912" s="14">
        <v>43032.4269212963</v>
      </c>
      <c r="B10912" s="20" t="str">
        <f>HYPERLINK("https://twitter.com/AjayPremKaushal","@AjayPremKaushal")</f>
        <v>@AjayPremKaushal</v>
      </c>
      <c r="C10912" s="21" t="s">
        <v>23016</v>
      </c>
      <c r="D10912" s="21" t="s">
        <v>42</v>
      </c>
      <c r="E10912" s="22" t="str">
        <f>HYPERLINK("https://twitter.com/AjayPremKaushal/status/922874016251109376","922874016251109376")</f>
        <v>922874016251109376</v>
      </c>
      <c r="F10912" s="23" t="s">
        <v>33</v>
      </c>
      <c r="G10912" s="24">
        <v>75.0</v>
      </c>
      <c r="H10912" s="24">
        <v>138.0</v>
      </c>
      <c r="I10912" s="24">
        <v>8501.0</v>
      </c>
      <c r="J10912" s="24">
        <v>0.0</v>
      </c>
      <c r="K10912" s="23" t="s">
        <v>34</v>
      </c>
      <c r="L10912" s="25">
        <v>40281.18381944444</v>
      </c>
      <c r="M10912" s="26" t="s">
        <v>8314</v>
      </c>
      <c r="N10912" s="26" t="s">
        <v>23017</v>
      </c>
      <c r="O10912" s="22" t="str">
        <f>HYPERLINK("https://pbs.twimg.com/profile_images/883507158293164032/KHHkYRxX_normal.jpg","View")</f>
        <v>View</v>
      </c>
      <c r="P10912" s="27"/>
    </row>
    <row r="10913">
      <c r="A10913" s="14">
        <v>43032.4272337963</v>
      </c>
      <c r="B10913" s="20" t="str">
        <f>HYPERLINK("https://twitter.com/YOGESHK40662216","@YOGESHK40662216")</f>
        <v>@YOGESHK40662216</v>
      </c>
      <c r="C10913" s="21" t="s">
        <v>23018</v>
      </c>
      <c r="D10913" s="21" t="s">
        <v>42</v>
      </c>
      <c r="E10913" s="22" t="str">
        <f>HYPERLINK("https://twitter.com/YOGESHK40662216/status/922874129996500992","922874129996500992")</f>
        <v>922874129996500992</v>
      </c>
      <c r="F10913" s="23" t="s">
        <v>33</v>
      </c>
      <c r="G10913" s="24">
        <v>4.0</v>
      </c>
      <c r="H10913" s="24">
        <v>108.0</v>
      </c>
      <c r="I10913" s="24">
        <v>8501.0</v>
      </c>
      <c r="J10913" s="24">
        <v>0.0</v>
      </c>
      <c r="K10913" s="23" t="s">
        <v>34</v>
      </c>
      <c r="L10913" s="25">
        <v>42916.82045138889</v>
      </c>
      <c r="M10913" s="26" t="s">
        <v>3665</v>
      </c>
      <c r="N10913" s="26" t="s">
        <v>23019</v>
      </c>
      <c r="O10913" s="22" t="str">
        <f>HYPERLINK("https://abs.twimg.com/sticky/default_profile_images/default_profile_normal.png","View")</f>
        <v>View</v>
      </c>
      <c r="P10913" s="27"/>
    </row>
    <row r="10914">
      <c r="A10914" s="14">
        <v>43032.42748842592</v>
      </c>
      <c r="B10914" s="20" t="str">
        <f t="shared" ref="B10914:B10915" si="268">HYPERLINK("https://twitter.com/emotionalsigal","@emotionalsigal")</f>
        <v>@emotionalsigal</v>
      </c>
      <c r="C10914" s="21" t="s">
        <v>23020</v>
      </c>
      <c r="D10914" s="21" t="s">
        <v>21202</v>
      </c>
      <c r="E10914" s="22" t="str">
        <f>HYPERLINK("https://twitter.com/emotionalsigal/status/922874221671342081","922874221671342081")</f>
        <v>922874221671342081</v>
      </c>
      <c r="F10914" s="23" t="s">
        <v>86</v>
      </c>
      <c r="G10914" s="24">
        <v>387.0</v>
      </c>
      <c r="H10914" s="24">
        <v>398.0</v>
      </c>
      <c r="I10914" s="24">
        <v>79.0</v>
      </c>
      <c r="J10914" s="24">
        <v>0.0</v>
      </c>
      <c r="K10914" s="23" t="s">
        <v>34</v>
      </c>
      <c r="L10914" s="25">
        <v>41584.97592592593</v>
      </c>
      <c r="M10914" s="26" t="s">
        <v>21122</v>
      </c>
      <c r="N10914" s="26" t="s">
        <v>21088</v>
      </c>
      <c r="O10914" s="22" t="str">
        <f t="shared" ref="O10914:O10915" si="269">HYPERLINK("https://pbs.twimg.com/profile_images/378800000706003839/204b331d1f5bc3a15140a4be74f60797_normal.jpeg","View")</f>
        <v>View</v>
      </c>
      <c r="P10914" s="27"/>
    </row>
    <row r="10915">
      <c r="A10915" s="14">
        <v>43032.428136574075</v>
      </c>
      <c r="B10915" s="20" t="str">
        <f t="shared" si="268"/>
        <v>@emotionalsigal</v>
      </c>
      <c r="C10915" s="21" t="s">
        <v>23020</v>
      </c>
      <c r="D10915" s="21" t="s">
        <v>21203</v>
      </c>
      <c r="E10915" s="22" t="str">
        <f>HYPERLINK("https://twitter.com/emotionalsigal/status/922874457370255360","922874457370255360")</f>
        <v>922874457370255360</v>
      </c>
      <c r="F10915" s="23" t="s">
        <v>86</v>
      </c>
      <c r="G10915" s="24">
        <v>387.0</v>
      </c>
      <c r="H10915" s="24">
        <v>398.0</v>
      </c>
      <c r="I10915" s="24">
        <v>75.0</v>
      </c>
      <c r="J10915" s="24">
        <v>0.0</v>
      </c>
      <c r="K10915" s="23" t="s">
        <v>34</v>
      </c>
      <c r="L10915" s="25">
        <v>41584.97592592593</v>
      </c>
      <c r="M10915" s="26" t="s">
        <v>21122</v>
      </c>
      <c r="N10915" s="26" t="s">
        <v>21088</v>
      </c>
      <c r="O10915" s="22" t="str">
        <f t="shared" si="269"/>
        <v>View</v>
      </c>
      <c r="P10915" s="27"/>
    </row>
    <row r="10916">
      <c r="A10916" s="14">
        <v>43032.42829861111</v>
      </c>
      <c r="B10916" s="20" t="str">
        <f>HYPERLINK("https://twitter.com/pickooo","@pickooo")</f>
        <v>@pickooo</v>
      </c>
      <c r="C10916" s="21" t="s">
        <v>2666</v>
      </c>
      <c r="D10916" s="21" t="s">
        <v>42</v>
      </c>
      <c r="E10916" s="22" t="str">
        <f>HYPERLINK("https://twitter.com/pickooo/status/922874517814308864","922874517814308864")</f>
        <v>922874517814308864</v>
      </c>
      <c r="F10916" s="23" t="s">
        <v>33</v>
      </c>
      <c r="G10916" s="24">
        <v>4534.0</v>
      </c>
      <c r="H10916" s="24">
        <v>395.0</v>
      </c>
      <c r="I10916" s="24">
        <v>8501.0</v>
      </c>
      <c r="J10916" s="24">
        <v>0.0</v>
      </c>
      <c r="K10916" s="23" t="s">
        <v>34</v>
      </c>
      <c r="L10916" s="25">
        <v>40153.12813657407</v>
      </c>
      <c r="M10916" s="26" t="s">
        <v>575</v>
      </c>
      <c r="N10916" s="26" t="s">
        <v>2668</v>
      </c>
      <c r="O10916" s="22" t="str">
        <f>HYPERLINK("https://pbs.twimg.com/profile_images/913922237886996480/XilUIgP2_normal.jpg","View")</f>
        <v>View</v>
      </c>
      <c r="P10916" s="27"/>
    </row>
    <row r="10917">
      <c r="A10917" s="14">
        <v>43032.428449074076</v>
      </c>
      <c r="B10917" s="20" t="str">
        <f>HYPERLINK("https://twitter.com/RahulRc496","@RahulRc496")</f>
        <v>@RahulRc496</v>
      </c>
      <c r="C10917" s="21" t="s">
        <v>23021</v>
      </c>
      <c r="D10917" s="21" t="s">
        <v>22882</v>
      </c>
      <c r="E10917" s="22" t="str">
        <f>HYPERLINK("https://twitter.com/RahulRc496/status/922874572495511553","922874572495511553")</f>
        <v>922874572495511553</v>
      </c>
      <c r="F10917" s="23" t="s">
        <v>33</v>
      </c>
      <c r="G10917" s="24">
        <v>943.0</v>
      </c>
      <c r="H10917" s="24">
        <v>1520.0</v>
      </c>
      <c r="I10917" s="24">
        <v>33.0</v>
      </c>
      <c r="J10917" s="24">
        <v>0.0</v>
      </c>
      <c r="K10917" s="23" t="s">
        <v>34</v>
      </c>
      <c r="L10917" s="25">
        <v>41911.38618055556</v>
      </c>
      <c r="M10917" s="26" t="s">
        <v>23022</v>
      </c>
      <c r="N10917" s="26" t="s">
        <v>23023</v>
      </c>
      <c r="O10917" s="22" t="str">
        <f>HYPERLINK("https://pbs.twimg.com/profile_images/795936848153448448/FPXOU1BE_normal.jpg","View")</f>
        <v>View</v>
      </c>
      <c r="P10917" s="27"/>
    </row>
    <row r="10918">
      <c r="A10918" s="14">
        <v>43032.42921296296</v>
      </c>
      <c r="B10918" s="20" t="str">
        <f>HYPERLINK("https://twitter.com/Vj_gupta051","@Vj_gupta051")</f>
        <v>@Vj_gupta051</v>
      </c>
      <c r="C10918" s="21" t="s">
        <v>23024</v>
      </c>
      <c r="D10918" s="21" t="s">
        <v>42</v>
      </c>
      <c r="E10918" s="22" t="str">
        <f>HYPERLINK("https://twitter.com/Vj_gupta051/status/922874847306248192","922874847306248192")</f>
        <v>922874847306248192</v>
      </c>
      <c r="F10918" s="23" t="s">
        <v>33</v>
      </c>
      <c r="G10918" s="24">
        <v>901.0</v>
      </c>
      <c r="H10918" s="24">
        <v>1150.0</v>
      </c>
      <c r="I10918" s="24">
        <v>8501.0</v>
      </c>
      <c r="J10918" s="24">
        <v>0.0</v>
      </c>
      <c r="K10918" s="23" t="s">
        <v>34</v>
      </c>
      <c r="L10918" s="25">
        <v>41411.53019675926</v>
      </c>
      <c r="M10918" s="26" t="s">
        <v>4533</v>
      </c>
      <c r="N10918" s="26" t="s">
        <v>23025</v>
      </c>
      <c r="O10918" s="22" t="str">
        <f>HYPERLINK("https://pbs.twimg.com/profile_images/910746175183056896/HzQn1FlV_normal.jpg","View")</f>
        <v>View</v>
      </c>
      <c r="P10918" s="27"/>
    </row>
    <row r="10919">
      <c r="A10919" s="14">
        <v>43032.42974537037</v>
      </c>
      <c r="B10919" s="20" t="str">
        <f>HYPERLINK("https://twitter.com/Dumes618","@Dumes618")</f>
        <v>@Dumes618</v>
      </c>
      <c r="C10919" s="21" t="s">
        <v>23026</v>
      </c>
      <c r="D10919" s="21" t="s">
        <v>21454</v>
      </c>
      <c r="E10919" s="22" t="str">
        <f>HYPERLINK("https://twitter.com/Dumes618/status/922875039271317509","922875039271317509")</f>
        <v>922875039271317509</v>
      </c>
      <c r="F10919" s="23" t="s">
        <v>39</v>
      </c>
      <c r="G10919" s="24">
        <v>1429.0</v>
      </c>
      <c r="H10919" s="24">
        <v>2796.0</v>
      </c>
      <c r="I10919" s="24">
        <v>3.0</v>
      </c>
      <c r="J10919" s="24">
        <v>0.0</v>
      </c>
      <c r="K10919" s="23" t="s">
        <v>34</v>
      </c>
      <c r="L10919" s="25">
        <v>40185.19893518518</v>
      </c>
      <c r="M10919" s="26" t="s">
        <v>334</v>
      </c>
      <c r="N10919" s="26" t="s">
        <v>23027</v>
      </c>
      <c r="O10919" s="22" t="str">
        <f>HYPERLINK("https://pbs.twimg.com/profile_images/483215968223916032/rOwu3yNz_normal.jpeg","View")</f>
        <v>View</v>
      </c>
      <c r="P10919" s="27"/>
    </row>
    <row r="10920">
      <c r="A10920" s="14">
        <v>43032.43008101852</v>
      </c>
      <c r="B10920" s="20" t="str">
        <f>HYPERLINK("https://twitter.com/Moonbootica","@Moonbootica")</f>
        <v>@Moonbootica</v>
      </c>
      <c r="C10920" s="21" t="s">
        <v>14900</v>
      </c>
      <c r="D10920" s="21" t="s">
        <v>23028</v>
      </c>
      <c r="E10920" s="22" t="str">
        <f>HYPERLINK("https://twitter.com/Moonbootica/status/922875160297988101","922875160297988101")</f>
        <v>922875160297988101</v>
      </c>
      <c r="F10920" s="23" t="s">
        <v>55</v>
      </c>
      <c r="G10920" s="24">
        <v>3629.0</v>
      </c>
      <c r="H10920" s="24">
        <v>4998.0</v>
      </c>
      <c r="I10920" s="24">
        <v>0.0</v>
      </c>
      <c r="J10920" s="24">
        <v>0.0</v>
      </c>
      <c r="K10920" s="23" t="s">
        <v>34</v>
      </c>
      <c r="L10920" s="25">
        <v>39747.50643518518</v>
      </c>
      <c r="M10920" s="26" t="s">
        <v>14902</v>
      </c>
      <c r="N10920" s="26" t="s">
        <v>14903</v>
      </c>
      <c r="O10920" s="22" t="str">
        <f>HYPERLINK("https://pbs.twimg.com/profile_images/472443105405186048/ELgkuG3X_normal.jpeg","View")</f>
        <v>View</v>
      </c>
      <c r="P10920" s="27"/>
    </row>
    <row r="10921">
      <c r="A10921" s="14">
        <v>43032.430439814816</v>
      </c>
      <c r="B10921" s="20" t="str">
        <f>HYPERLINK("https://twitter.com/japansociety","@japansociety")</f>
        <v>@japansociety</v>
      </c>
      <c r="C10921" s="21" t="s">
        <v>13548</v>
      </c>
      <c r="D10921" s="21" t="s">
        <v>23029</v>
      </c>
      <c r="E10921" s="22" t="str">
        <f>HYPERLINK("https://twitter.com/japansociety/status/922875292405858311","922875292405858311")</f>
        <v>922875292405858311</v>
      </c>
      <c r="F10921" s="23" t="s">
        <v>55</v>
      </c>
      <c r="G10921" s="24">
        <v>76378.0</v>
      </c>
      <c r="H10921" s="24">
        <v>1416.0</v>
      </c>
      <c r="I10921" s="24">
        <v>2.0</v>
      </c>
      <c r="J10921" s="24">
        <v>0.0</v>
      </c>
      <c r="K10921" s="23" t="s">
        <v>34</v>
      </c>
      <c r="L10921" s="25">
        <v>39667.50396990741</v>
      </c>
      <c r="M10921" s="26" t="s">
        <v>120</v>
      </c>
      <c r="N10921" s="26" t="s">
        <v>13549</v>
      </c>
      <c r="O10921" s="22" t="str">
        <f>HYPERLINK("https://pbs.twimg.com/profile_images/302604300/JS_Facade_Sternau_normal.JPG","View")</f>
        <v>View</v>
      </c>
      <c r="P10921" s="27"/>
    </row>
    <row r="10922">
      <c r="A10922" s="14">
        <v>43032.430659722224</v>
      </c>
      <c r="B10922" s="20" t="str">
        <f>HYPERLINK("https://twitter.com/querong92643614","@querong92643614")</f>
        <v>@querong92643614</v>
      </c>
      <c r="C10922" s="21" t="s">
        <v>23030</v>
      </c>
      <c r="D10922" s="21" t="s">
        <v>23031</v>
      </c>
      <c r="E10922" s="22" t="str">
        <f>HYPERLINK("https://twitter.com/querong92643614/status/922875371015385088","922875371015385088")</f>
        <v>922875371015385088</v>
      </c>
      <c r="F10922" s="23" t="s">
        <v>55</v>
      </c>
      <c r="G10922" s="24">
        <v>3.0</v>
      </c>
      <c r="H10922" s="24">
        <v>68.0</v>
      </c>
      <c r="I10922" s="24">
        <v>0.0</v>
      </c>
      <c r="J10922" s="24">
        <v>0.0</v>
      </c>
      <c r="K10922" s="23" t="s">
        <v>34</v>
      </c>
      <c r="L10922" s="25">
        <v>43032.28738425926</v>
      </c>
      <c r="M10922" s="28"/>
      <c r="N10922" s="28"/>
      <c r="O10922" s="22" t="str">
        <f t="shared" ref="O10922:O10926" si="270">HYPERLINK("https://abs.twimg.com/sticky/default_profile_images/default_profile_normal.png","View")</f>
        <v>View</v>
      </c>
      <c r="P10922" s="27"/>
    </row>
    <row r="10923">
      <c r="A10923" s="14">
        <v>43032.430659722224</v>
      </c>
      <c r="B10923" s="20" t="str">
        <f>HYPERLINK("https://twitter.com/pangyu55911455","@pangyu55911455")</f>
        <v>@pangyu55911455</v>
      </c>
      <c r="C10923" s="21" t="s">
        <v>23032</v>
      </c>
      <c r="D10923" s="21" t="s">
        <v>23033</v>
      </c>
      <c r="E10923" s="22" t="str">
        <f>HYPERLINK("https://twitter.com/pangyu55911455/status/922875371153891328","922875371153891328")</f>
        <v>922875371153891328</v>
      </c>
      <c r="F10923" s="23" t="s">
        <v>55</v>
      </c>
      <c r="G10923" s="24">
        <v>2.0</v>
      </c>
      <c r="H10923" s="24">
        <v>66.0</v>
      </c>
      <c r="I10923" s="24">
        <v>0.0</v>
      </c>
      <c r="J10923" s="24">
        <v>0.0</v>
      </c>
      <c r="K10923" s="23" t="s">
        <v>34</v>
      </c>
      <c r="L10923" s="25">
        <v>43032.28197916667</v>
      </c>
      <c r="M10923" s="28"/>
      <c r="N10923" s="28"/>
      <c r="O10923" s="22" t="str">
        <f t="shared" si="270"/>
        <v>View</v>
      </c>
      <c r="P10923" s="27"/>
    </row>
    <row r="10924">
      <c r="A10924" s="14">
        <v>43032.430659722224</v>
      </c>
      <c r="B10924" s="20" t="str">
        <f>HYPERLINK("https://twitter.com/yanghao291462","@yanghao291462")</f>
        <v>@yanghao291462</v>
      </c>
      <c r="C10924" s="21" t="s">
        <v>23034</v>
      </c>
      <c r="D10924" s="21" t="s">
        <v>23035</v>
      </c>
      <c r="E10924" s="22" t="str">
        <f>HYPERLINK("https://twitter.com/yanghao291462/status/922875371170627584","922875371170627584")</f>
        <v>922875371170627584</v>
      </c>
      <c r="F10924" s="23" t="s">
        <v>55</v>
      </c>
      <c r="G10924" s="24">
        <v>0.0</v>
      </c>
      <c r="H10924" s="24">
        <v>49.0</v>
      </c>
      <c r="I10924" s="24">
        <v>0.0</v>
      </c>
      <c r="J10924" s="24">
        <v>0.0</v>
      </c>
      <c r="K10924" s="23" t="s">
        <v>34</v>
      </c>
      <c r="L10924" s="25">
        <v>43032.28491898148</v>
      </c>
      <c r="M10924" s="28"/>
      <c r="N10924" s="28"/>
      <c r="O10924" s="22" t="str">
        <f t="shared" si="270"/>
        <v>View</v>
      </c>
      <c r="P10924" s="27"/>
    </row>
    <row r="10925">
      <c r="A10925" s="14">
        <v>43032.430659722224</v>
      </c>
      <c r="B10925" s="20" t="str">
        <f>HYPERLINK("https://twitter.com/bazai82620561","@bazai82620561")</f>
        <v>@bazai82620561</v>
      </c>
      <c r="C10925" s="21" t="s">
        <v>23036</v>
      </c>
      <c r="D10925" s="21" t="s">
        <v>23037</v>
      </c>
      <c r="E10925" s="22" t="str">
        <f>HYPERLINK("https://twitter.com/bazai82620561/status/922875371392864257","922875371392864257")</f>
        <v>922875371392864257</v>
      </c>
      <c r="F10925" s="23" t="s">
        <v>55</v>
      </c>
      <c r="G10925" s="24">
        <v>1.0</v>
      </c>
      <c r="H10925" s="24">
        <v>52.0</v>
      </c>
      <c r="I10925" s="24">
        <v>0.0</v>
      </c>
      <c r="J10925" s="24">
        <v>0.0</v>
      </c>
      <c r="K10925" s="23" t="s">
        <v>34</v>
      </c>
      <c r="L10925" s="25">
        <v>43032.280335648145</v>
      </c>
      <c r="M10925" s="28"/>
      <c r="N10925" s="28"/>
      <c r="O10925" s="22" t="str">
        <f t="shared" si="270"/>
        <v>View</v>
      </c>
      <c r="P10925" s="27"/>
    </row>
    <row r="10926">
      <c r="A10926" s="14">
        <v>43032.430659722224</v>
      </c>
      <c r="B10926" s="20" t="str">
        <f>HYPERLINK("https://twitter.com/muzhu37954","@muzhu37954")</f>
        <v>@muzhu37954</v>
      </c>
      <c r="C10926" s="21" t="s">
        <v>23038</v>
      </c>
      <c r="D10926" s="21" t="s">
        <v>23039</v>
      </c>
      <c r="E10926" s="22" t="str">
        <f>HYPERLINK("https://twitter.com/muzhu37954/status/922875371992760320","922875371992760320")</f>
        <v>922875371992760320</v>
      </c>
      <c r="F10926" s="23" t="s">
        <v>55</v>
      </c>
      <c r="G10926" s="24">
        <v>3.0</v>
      </c>
      <c r="H10926" s="24">
        <v>70.0</v>
      </c>
      <c r="I10926" s="24">
        <v>0.0</v>
      </c>
      <c r="J10926" s="24">
        <v>0.0</v>
      </c>
      <c r="K10926" s="23" t="s">
        <v>34</v>
      </c>
      <c r="L10926" s="25">
        <v>43032.28363425926</v>
      </c>
      <c r="M10926" s="28"/>
      <c r="N10926" s="28"/>
      <c r="O10926" s="22" t="str">
        <f t="shared" si="270"/>
        <v>View</v>
      </c>
      <c r="P10926" s="27"/>
    </row>
    <row r="10927">
      <c r="A10927" s="14">
        <v>43032.43115740741</v>
      </c>
      <c r="B10927" s="20" t="str">
        <f>HYPERLINK("https://twitter.com/priyanka336641","@priyanka336641")</f>
        <v>@priyanka336641</v>
      </c>
      <c r="C10927" s="21" t="s">
        <v>23040</v>
      </c>
      <c r="D10927" s="21" t="s">
        <v>42</v>
      </c>
      <c r="E10927" s="22" t="str">
        <f>HYPERLINK("https://twitter.com/priyanka336641/status/922875552716984321","922875552716984321")</f>
        <v>922875552716984321</v>
      </c>
      <c r="F10927" s="23" t="s">
        <v>33</v>
      </c>
      <c r="G10927" s="24">
        <v>294.0</v>
      </c>
      <c r="H10927" s="24">
        <v>1652.0</v>
      </c>
      <c r="I10927" s="24">
        <v>8501.0</v>
      </c>
      <c r="J10927" s="24">
        <v>0.0</v>
      </c>
      <c r="K10927" s="23" t="s">
        <v>34</v>
      </c>
      <c r="L10927" s="25">
        <v>42953.46615740741</v>
      </c>
      <c r="M10927" s="26" t="s">
        <v>23041</v>
      </c>
      <c r="N10927" s="26" t="s">
        <v>23042</v>
      </c>
      <c r="O10927" s="22" t="str">
        <f>HYPERLINK("https://pbs.twimg.com/profile_images/907476304857006080/2qtm0yoc_normal.jpg","View")</f>
        <v>View</v>
      </c>
      <c r="P10927" s="27"/>
    </row>
    <row r="10928">
      <c r="A10928" s="14">
        <v>43032.43179398148</v>
      </c>
      <c r="B10928" s="20" t="str">
        <f>HYPERLINK("https://twitter.com/jaras808","@jaras808")</f>
        <v>@jaras808</v>
      </c>
      <c r="C10928" s="21" t="s">
        <v>19159</v>
      </c>
      <c r="D10928" s="21" t="s">
        <v>14748</v>
      </c>
      <c r="E10928" s="22" t="str">
        <f>HYPERLINK("https://twitter.com/jaras808/status/922875782120304640","922875782120304640")</f>
        <v>922875782120304640</v>
      </c>
      <c r="F10928" s="23" t="s">
        <v>33</v>
      </c>
      <c r="G10928" s="24">
        <v>549.0</v>
      </c>
      <c r="H10928" s="24">
        <v>487.0</v>
      </c>
      <c r="I10928" s="24">
        <v>46.0</v>
      </c>
      <c r="J10928" s="24">
        <v>0.0</v>
      </c>
      <c r="K10928" s="23" t="s">
        <v>34</v>
      </c>
      <c r="L10928" s="25">
        <v>42050.506736111114</v>
      </c>
      <c r="M10928" s="28"/>
      <c r="N10928" s="28"/>
      <c r="O10928" s="22" t="str">
        <f>HYPERLINK("https://pbs.twimg.com/profile_images/666005670328713216/ETJnWJFa_normal.jpg","View")</f>
        <v>View</v>
      </c>
      <c r="P10928" s="27"/>
    </row>
    <row r="10929">
      <c r="A10929" s="14">
        <v>43032.431851851856</v>
      </c>
      <c r="B10929" s="20" t="str">
        <f>HYPERLINK("https://twitter.com/brijduggal","@brijduggal")</f>
        <v>@brijduggal</v>
      </c>
      <c r="C10929" s="21" t="s">
        <v>23043</v>
      </c>
      <c r="D10929" s="21" t="s">
        <v>22882</v>
      </c>
      <c r="E10929" s="22" t="str">
        <f>HYPERLINK("https://twitter.com/brijduggal/status/922875804178030592","922875804178030592")</f>
        <v>922875804178030592</v>
      </c>
      <c r="F10929" s="23" t="s">
        <v>33</v>
      </c>
      <c r="G10929" s="24">
        <v>29.0</v>
      </c>
      <c r="H10929" s="24">
        <v>5.0</v>
      </c>
      <c r="I10929" s="24">
        <v>33.0</v>
      </c>
      <c r="J10929" s="24">
        <v>0.0</v>
      </c>
      <c r="K10929" s="23" t="s">
        <v>34</v>
      </c>
      <c r="L10929" s="25">
        <v>42970.26457175926</v>
      </c>
      <c r="M10929" s="26" t="s">
        <v>575</v>
      </c>
      <c r="N10929" s="26" t="s">
        <v>23044</v>
      </c>
      <c r="O10929" s="22" t="str">
        <f>HYPERLINK("https://pbs.twimg.com/profile_images/900349808283590656/fCWJWsSm_normal.jpg","View")</f>
        <v>View</v>
      </c>
      <c r="P10929" s="27"/>
    </row>
    <row r="10930">
      <c r="A10930" s="14">
        <v>43032.43424768519</v>
      </c>
      <c r="B10930" s="20" t="str">
        <f>HYPERLINK("https://twitter.com/Alessan39702046","@Alessan39702046")</f>
        <v>@Alessan39702046</v>
      </c>
      <c r="C10930" s="21" t="s">
        <v>23045</v>
      </c>
      <c r="D10930" s="21" t="s">
        <v>23046</v>
      </c>
      <c r="E10930" s="22" t="str">
        <f>HYPERLINK("https://twitter.com/Alessan39702046/status/922876673648877569","922876673648877569")</f>
        <v>922876673648877569</v>
      </c>
      <c r="F10930" s="23" t="s">
        <v>33</v>
      </c>
      <c r="G10930" s="24">
        <v>11.0</v>
      </c>
      <c r="H10930" s="24">
        <v>76.0</v>
      </c>
      <c r="I10930" s="24">
        <v>1.0</v>
      </c>
      <c r="J10930" s="24">
        <v>0.0</v>
      </c>
      <c r="K10930" s="23" t="s">
        <v>34</v>
      </c>
      <c r="L10930" s="25">
        <v>43020.19291666667</v>
      </c>
      <c r="M10930" s="26" t="s">
        <v>23047</v>
      </c>
      <c r="N10930" s="26" t="s">
        <v>23048</v>
      </c>
      <c r="O10930" s="22" t="str">
        <f>HYPERLINK("https://pbs.twimg.com/profile_images/918793496605097984/Akl78Gda_normal.jpg","View")</f>
        <v>View</v>
      </c>
      <c r="P10930" s="27"/>
    </row>
    <row r="10931">
      <c r="A10931" s="14">
        <v>43032.43444444444</v>
      </c>
      <c r="B10931" s="20" t="str">
        <f>HYPERLINK("https://twitter.com/Victory92Iran","@Victory92Iran")</f>
        <v>@Victory92Iran</v>
      </c>
      <c r="C10931" s="21" t="s">
        <v>23049</v>
      </c>
      <c r="D10931" s="21" t="s">
        <v>21202</v>
      </c>
      <c r="E10931" s="22" t="str">
        <f>HYPERLINK("https://twitter.com/Victory92Iran/status/922876745359020032","922876745359020032")</f>
        <v>922876745359020032</v>
      </c>
      <c r="F10931" s="23" t="s">
        <v>86</v>
      </c>
      <c r="G10931" s="24">
        <v>684.0</v>
      </c>
      <c r="H10931" s="24">
        <v>426.0</v>
      </c>
      <c r="I10931" s="24">
        <v>79.0</v>
      </c>
      <c r="J10931" s="24">
        <v>0.0</v>
      </c>
      <c r="K10931" s="23" t="s">
        <v>34</v>
      </c>
      <c r="L10931" s="25">
        <v>41454.53524305556</v>
      </c>
      <c r="M10931" s="28"/>
      <c r="N10931" s="28"/>
      <c r="O10931" s="22" t="str">
        <f>HYPERLINK("https://pbs.twimg.com/profile_images/378800000114552186/d46f5a5c2efedd699bae0cdf600d77d6_normal.jpeg","View")</f>
        <v>View</v>
      </c>
      <c r="P10931" s="27"/>
    </row>
    <row r="10932">
      <c r="A10932" s="14">
        <v>43032.43475694444</v>
      </c>
      <c r="B10932" s="20" t="str">
        <f>HYPERLINK("https://twitter.com/SanyoShokaiNY","@SanyoShokaiNY")</f>
        <v>@SanyoShokaiNY</v>
      </c>
      <c r="C10932" s="21" t="s">
        <v>23050</v>
      </c>
      <c r="D10932" s="21" t="s">
        <v>23029</v>
      </c>
      <c r="E10932" s="22" t="str">
        <f>HYPERLINK("https://twitter.com/SanyoShokaiNY/status/922876856294047745","922876856294047745")</f>
        <v>922876856294047745</v>
      </c>
      <c r="F10932" s="23" t="s">
        <v>427</v>
      </c>
      <c r="G10932" s="24">
        <v>186.0</v>
      </c>
      <c r="H10932" s="24">
        <v>212.0</v>
      </c>
      <c r="I10932" s="24">
        <v>2.0</v>
      </c>
      <c r="J10932" s="24">
        <v>0.0</v>
      </c>
      <c r="K10932" s="23" t="s">
        <v>34</v>
      </c>
      <c r="L10932" s="25">
        <v>40498.460868055554</v>
      </c>
      <c r="M10932" s="26" t="s">
        <v>2534</v>
      </c>
      <c r="N10932" s="26" t="s">
        <v>23051</v>
      </c>
      <c r="O10932" s="22" t="str">
        <f>HYPERLINK("https://pbs.twimg.com/profile_images/378800000058671282/fb5c595470cc5dd2c3c7dfce7d56fc39_normal.jpeg","View")</f>
        <v>View</v>
      </c>
      <c r="P10932" s="27"/>
    </row>
    <row r="10933">
      <c r="A10933" s="14">
        <v>43032.43510416667</v>
      </c>
      <c r="B10933" s="20" t="str">
        <f>HYPERLINK("https://twitter.com/Victory92Iran","@Victory92Iran")</f>
        <v>@Victory92Iran</v>
      </c>
      <c r="C10933" s="21" t="s">
        <v>23049</v>
      </c>
      <c r="D10933" s="21" t="s">
        <v>21203</v>
      </c>
      <c r="E10933" s="22" t="str">
        <f>HYPERLINK("https://twitter.com/Victory92Iran/status/922876981703737345","922876981703737345")</f>
        <v>922876981703737345</v>
      </c>
      <c r="F10933" s="23" t="s">
        <v>86</v>
      </c>
      <c r="G10933" s="24">
        <v>684.0</v>
      </c>
      <c r="H10933" s="24">
        <v>426.0</v>
      </c>
      <c r="I10933" s="24">
        <v>75.0</v>
      </c>
      <c r="J10933" s="24">
        <v>0.0</v>
      </c>
      <c r="K10933" s="23" t="s">
        <v>34</v>
      </c>
      <c r="L10933" s="25">
        <v>41454.53524305556</v>
      </c>
      <c r="M10933" s="28"/>
      <c r="N10933" s="28"/>
      <c r="O10933" s="22" t="str">
        <f>HYPERLINK("https://pbs.twimg.com/profile_images/378800000114552186/d46f5a5c2efedd699bae0cdf600d77d6_normal.jpeg","View")</f>
        <v>View</v>
      </c>
      <c r="P10933" s="27"/>
    </row>
    <row r="10934">
      <c r="A10934" s="14">
        <v>43032.43572916667</v>
      </c>
      <c r="B10934" s="20" t="str">
        <f>HYPERLINK("https://twitter.com/dang_arun","@dang_arun")</f>
        <v>@dang_arun</v>
      </c>
      <c r="C10934" s="21" t="s">
        <v>23052</v>
      </c>
      <c r="D10934" s="21" t="s">
        <v>42</v>
      </c>
      <c r="E10934" s="22" t="str">
        <f>HYPERLINK("https://twitter.com/dang_arun/status/922877209609519104","922877209609519104")</f>
        <v>922877209609519104</v>
      </c>
      <c r="F10934" s="23" t="s">
        <v>33</v>
      </c>
      <c r="G10934" s="24">
        <v>114.0</v>
      </c>
      <c r="H10934" s="24">
        <v>42.0</v>
      </c>
      <c r="I10934" s="24">
        <v>8501.0</v>
      </c>
      <c r="J10934" s="24">
        <v>0.0</v>
      </c>
      <c r="K10934" s="23" t="s">
        <v>34</v>
      </c>
      <c r="L10934" s="25">
        <v>42041.36940972222</v>
      </c>
      <c r="M10934" s="28"/>
      <c r="N10934" s="26" t="s">
        <v>23053</v>
      </c>
      <c r="O10934" s="22" t="str">
        <f>HYPERLINK("https://pbs.twimg.com/profile_images/770986436753522689/4QTixhV__normal.jpg","View")</f>
        <v>View</v>
      </c>
      <c r="P10934" s="27"/>
    </row>
    <row r="10935">
      <c r="A10935" s="14">
        <v>43032.435752314814</v>
      </c>
      <c r="B10935" s="20" t="str">
        <f>HYPERLINK("https://twitter.com/KumarKushwa","@KumarKushwa")</f>
        <v>@KumarKushwa</v>
      </c>
      <c r="C10935" s="21" t="s">
        <v>23054</v>
      </c>
      <c r="D10935" s="21" t="s">
        <v>42</v>
      </c>
      <c r="E10935" s="22" t="str">
        <f>HYPERLINK("https://twitter.com/KumarKushwa/status/922877217822056448","922877217822056448")</f>
        <v>922877217822056448</v>
      </c>
      <c r="F10935" s="23" t="s">
        <v>33</v>
      </c>
      <c r="G10935" s="24">
        <v>107.0</v>
      </c>
      <c r="H10935" s="24">
        <v>73.0</v>
      </c>
      <c r="I10935" s="24">
        <v>8501.0</v>
      </c>
      <c r="J10935" s="24">
        <v>0.0</v>
      </c>
      <c r="K10935" s="23" t="s">
        <v>34</v>
      </c>
      <c r="L10935" s="25">
        <v>40716.27400462963</v>
      </c>
      <c r="M10935" s="26" t="s">
        <v>2262</v>
      </c>
      <c r="N10935" s="26" t="s">
        <v>23055</v>
      </c>
      <c r="O10935" s="22" t="str">
        <f>HYPERLINK("https://pbs.twimg.com/profile_images/906419655580909568/xVO_aqlm_normal.jpg","View")</f>
        <v>View</v>
      </c>
      <c r="P10935" s="27"/>
    </row>
    <row r="10936">
      <c r="A10936" s="14">
        <v>43032.43576388889</v>
      </c>
      <c r="B10936" s="20" t="str">
        <f>HYPERLINK("https://twitter.com/Victory92Iran","@Victory92Iran")</f>
        <v>@Victory92Iran</v>
      </c>
      <c r="C10936" s="21" t="s">
        <v>23049</v>
      </c>
      <c r="D10936" s="21" t="s">
        <v>21243</v>
      </c>
      <c r="E10936" s="22" t="str">
        <f>HYPERLINK("https://twitter.com/Victory92Iran/status/922877220028342272","922877220028342272")</f>
        <v>922877220028342272</v>
      </c>
      <c r="F10936" s="23" t="s">
        <v>86</v>
      </c>
      <c r="G10936" s="24">
        <v>684.0</v>
      </c>
      <c r="H10936" s="24">
        <v>426.0</v>
      </c>
      <c r="I10936" s="24">
        <v>41.0</v>
      </c>
      <c r="J10936" s="24">
        <v>0.0</v>
      </c>
      <c r="K10936" s="23" t="s">
        <v>34</v>
      </c>
      <c r="L10936" s="25">
        <v>41454.53524305556</v>
      </c>
      <c r="M10936" s="28"/>
      <c r="N10936" s="28"/>
      <c r="O10936" s="22" t="str">
        <f>HYPERLINK("https://pbs.twimg.com/profile_images/378800000114552186/d46f5a5c2efedd699bae0cdf600d77d6_normal.jpeg","View")</f>
        <v>View</v>
      </c>
      <c r="P10936" s="27"/>
    </row>
    <row r="10937">
      <c r="A10937" s="14">
        <v>43032.43583333334</v>
      </c>
      <c r="B10937" s="20" t="str">
        <f>HYPERLINK("https://twitter.com/exchangeratesuk","@exchangeratesuk")</f>
        <v>@exchangeratesuk</v>
      </c>
      <c r="C10937" s="21" t="s">
        <v>23056</v>
      </c>
      <c r="D10937" s="21" t="s">
        <v>23057</v>
      </c>
      <c r="E10937" s="22" t="str">
        <f>HYPERLINK("https://twitter.com/exchangeratesuk/status/922877245588430848","922877245588430848")</f>
        <v>922877245588430848</v>
      </c>
      <c r="F10937" s="23" t="s">
        <v>23058</v>
      </c>
      <c r="G10937" s="24">
        <v>1497.0</v>
      </c>
      <c r="H10937" s="24">
        <v>376.0</v>
      </c>
      <c r="I10937" s="24">
        <v>0.0</v>
      </c>
      <c r="J10937" s="24">
        <v>0.0</v>
      </c>
      <c r="K10937" s="23" t="s">
        <v>34</v>
      </c>
      <c r="L10937" s="25">
        <v>40394.03092592592</v>
      </c>
      <c r="M10937" s="26" t="s">
        <v>1246</v>
      </c>
      <c r="N10937" s="26" t="s">
        <v>23059</v>
      </c>
      <c r="O10937" s="22" t="str">
        <f>HYPERLINK("https://pbs.twimg.com/profile_images/2483252413/g5s6fayw9laqd94vz7su_normal.jpeg","View")</f>
        <v>View</v>
      </c>
      <c r="P10937" s="27"/>
    </row>
    <row r="10938">
      <c r="A10938" s="14">
        <v>43032.43641203704</v>
      </c>
      <c r="B10938" s="20" t="str">
        <f>HYPERLINK("https://twitter.com/Victory92Iran","@Victory92Iran")</f>
        <v>@Victory92Iran</v>
      </c>
      <c r="C10938" s="21" t="s">
        <v>23049</v>
      </c>
      <c r="D10938" s="21" t="s">
        <v>21191</v>
      </c>
      <c r="E10938" s="22" t="str">
        <f>HYPERLINK("https://twitter.com/Victory92Iran/status/922877456843001857","922877456843001857")</f>
        <v>922877456843001857</v>
      </c>
      <c r="F10938" s="23" t="s">
        <v>86</v>
      </c>
      <c r="G10938" s="24">
        <v>684.0</v>
      </c>
      <c r="H10938" s="24">
        <v>426.0</v>
      </c>
      <c r="I10938" s="24">
        <v>42.0</v>
      </c>
      <c r="J10938" s="24">
        <v>0.0</v>
      </c>
      <c r="K10938" s="23" t="s">
        <v>34</v>
      </c>
      <c r="L10938" s="25">
        <v>41454.53524305556</v>
      </c>
      <c r="M10938" s="28"/>
      <c r="N10938" s="28"/>
      <c r="O10938" s="22" t="str">
        <f>HYPERLINK("https://pbs.twimg.com/profile_images/378800000114552186/d46f5a5c2efedd699bae0cdf600d77d6_normal.jpeg","View")</f>
        <v>View</v>
      </c>
      <c r="P10938" s="27"/>
    </row>
    <row r="10939">
      <c r="A10939" s="14">
        <v>43032.43662037037</v>
      </c>
      <c r="B10939" s="20" t="str">
        <f>HYPERLINK("https://twitter.com/Hashmat72561357","@Hashmat72561357")</f>
        <v>@Hashmat72561357</v>
      </c>
      <c r="C10939" s="21" t="s">
        <v>23060</v>
      </c>
      <c r="D10939" s="21" t="s">
        <v>42</v>
      </c>
      <c r="E10939" s="22" t="str">
        <f>HYPERLINK("https://twitter.com/Hashmat72561357/status/922877532151496704","922877532151496704")</f>
        <v>922877532151496704</v>
      </c>
      <c r="F10939" s="23" t="s">
        <v>33</v>
      </c>
      <c r="G10939" s="24">
        <v>131.0</v>
      </c>
      <c r="H10939" s="24">
        <v>1299.0</v>
      </c>
      <c r="I10939" s="24">
        <v>8501.0</v>
      </c>
      <c r="J10939" s="24">
        <v>0.0</v>
      </c>
      <c r="K10939" s="23" t="s">
        <v>34</v>
      </c>
      <c r="L10939" s="25">
        <v>42840.967002314814</v>
      </c>
      <c r="M10939" s="26" t="s">
        <v>164</v>
      </c>
      <c r="N10939" s="26" t="s">
        <v>23061</v>
      </c>
      <c r="O10939" s="22" t="str">
        <f>HYPERLINK("https://pbs.twimg.com/profile_images/913758377771069441/ieaUZwO-_normal.jpg","View")</f>
        <v>View</v>
      </c>
      <c r="P10939" s="27"/>
    </row>
    <row r="10940">
      <c r="A10940" s="14">
        <v>43032.43784722222</v>
      </c>
      <c r="B10940" s="20" t="str">
        <f>HYPERLINK("https://twitter.com/Chi312Chi","@Chi312Chi")</f>
        <v>@Chi312Chi</v>
      </c>
      <c r="C10940" s="21" t="s">
        <v>478</v>
      </c>
      <c r="D10940" s="21" t="s">
        <v>21203</v>
      </c>
      <c r="E10940" s="22" t="str">
        <f>HYPERLINK("https://twitter.com/Chi312Chi/status/922877975472889857","922877975472889857")</f>
        <v>922877975472889857</v>
      </c>
      <c r="F10940" s="23" t="s">
        <v>3031</v>
      </c>
      <c r="G10940" s="24">
        <v>541.0</v>
      </c>
      <c r="H10940" s="24">
        <v>2430.0</v>
      </c>
      <c r="I10940" s="24">
        <v>75.0</v>
      </c>
      <c r="J10940" s="24">
        <v>0.0</v>
      </c>
      <c r="K10940" s="23" t="s">
        <v>34</v>
      </c>
      <c r="L10940" s="25">
        <v>41645.81662037037</v>
      </c>
      <c r="M10940" s="28"/>
      <c r="N10940" s="28"/>
      <c r="O10940" s="22" t="str">
        <f>HYPERLINK("https://pbs.twimg.com/profile_images/918940173085413376/0qeHPlF8_normal.jpg","View")</f>
        <v>View</v>
      </c>
      <c r="P10940" s="27"/>
    </row>
    <row r="10941">
      <c r="A10941" s="14">
        <v>43032.43788194444</v>
      </c>
      <c r="B10941" s="20" t="str">
        <f>HYPERLINK("https://twitter.com/VishalGSoni1","@VishalGSoni1")</f>
        <v>@VishalGSoni1</v>
      </c>
      <c r="C10941" s="21" t="s">
        <v>23062</v>
      </c>
      <c r="D10941" s="21" t="s">
        <v>42</v>
      </c>
      <c r="E10941" s="22" t="str">
        <f>HYPERLINK("https://twitter.com/VishalGSoni1/status/922877987757867010","922877987757867010")</f>
        <v>922877987757867010</v>
      </c>
      <c r="F10941" s="23" t="s">
        <v>33</v>
      </c>
      <c r="G10941" s="24">
        <v>561.0</v>
      </c>
      <c r="H10941" s="24">
        <v>5000.0</v>
      </c>
      <c r="I10941" s="24">
        <v>8501.0</v>
      </c>
      <c r="J10941" s="24">
        <v>0.0</v>
      </c>
      <c r="K10941" s="23" t="s">
        <v>34</v>
      </c>
      <c r="L10941" s="25">
        <v>42426.900451388894</v>
      </c>
      <c r="M10941" s="28"/>
      <c r="N10941" s="26" t="s">
        <v>23063</v>
      </c>
      <c r="O10941" s="22" t="str">
        <f>HYPERLINK("https://pbs.twimg.com/profile_images/834967022169645056/Y1pmmDXc_normal.jpg","View")</f>
        <v>View</v>
      </c>
      <c r="P10941" s="27"/>
    </row>
    <row r="10942">
      <c r="A10942" s="14">
        <v>43032.43802083333</v>
      </c>
      <c r="B10942" s="20" t="str">
        <f t="shared" ref="B10942:B10943" si="271">HYPERLINK("https://twitter.com/devotion4others","@devotion4others")</f>
        <v>@devotion4others</v>
      </c>
      <c r="C10942" s="21" t="s">
        <v>23064</v>
      </c>
      <c r="D10942" s="21" t="s">
        <v>21202</v>
      </c>
      <c r="E10942" s="22" t="str">
        <f>HYPERLINK("https://twitter.com/devotion4others/status/922878038911545344","922878038911545344")</f>
        <v>922878038911545344</v>
      </c>
      <c r="F10942" s="23" t="s">
        <v>86</v>
      </c>
      <c r="G10942" s="24">
        <v>310.0</v>
      </c>
      <c r="H10942" s="24">
        <v>424.0</v>
      </c>
      <c r="I10942" s="24">
        <v>79.0</v>
      </c>
      <c r="J10942" s="24">
        <v>0.0</v>
      </c>
      <c r="K10942" s="23" t="s">
        <v>34</v>
      </c>
      <c r="L10942" s="25">
        <v>41576.97096064815</v>
      </c>
      <c r="M10942" s="26" t="s">
        <v>40</v>
      </c>
      <c r="N10942" s="26" t="s">
        <v>21088</v>
      </c>
      <c r="O10942" s="22" t="str">
        <f t="shared" ref="O10942:O10943" si="272">HYPERLINK("https://pbs.twimg.com/profile_images/378800000668107648/9b385581f1b99d2a1118b575782070d7_normal.jpeg","View")</f>
        <v>View</v>
      </c>
      <c r="P10942" s="27"/>
    </row>
    <row r="10943">
      <c r="A10943" s="14">
        <v>43032.438680555555</v>
      </c>
      <c r="B10943" s="20" t="str">
        <f t="shared" si="271"/>
        <v>@devotion4others</v>
      </c>
      <c r="C10943" s="21" t="s">
        <v>23064</v>
      </c>
      <c r="D10943" s="21" t="s">
        <v>21203</v>
      </c>
      <c r="E10943" s="22" t="str">
        <f>HYPERLINK("https://twitter.com/devotion4others/status/922878278909566977","922878278909566977")</f>
        <v>922878278909566977</v>
      </c>
      <c r="F10943" s="23" t="s">
        <v>86</v>
      </c>
      <c r="G10943" s="24">
        <v>310.0</v>
      </c>
      <c r="H10943" s="24">
        <v>424.0</v>
      </c>
      <c r="I10943" s="24">
        <v>75.0</v>
      </c>
      <c r="J10943" s="24">
        <v>0.0</v>
      </c>
      <c r="K10943" s="23" t="s">
        <v>34</v>
      </c>
      <c r="L10943" s="25">
        <v>41576.97096064815</v>
      </c>
      <c r="M10943" s="26" t="s">
        <v>40</v>
      </c>
      <c r="N10943" s="26" t="s">
        <v>21088</v>
      </c>
      <c r="O10943" s="22" t="str">
        <f t="shared" si="272"/>
        <v>View</v>
      </c>
      <c r="P10943" s="27"/>
    </row>
    <row r="10944">
      <c r="A10944" s="14">
        <v>43032.439409722225</v>
      </c>
      <c r="B10944" s="20" t="str">
        <f>HYPERLINK("https://twitter.com/shashik_","@shashik_")</f>
        <v>@shashik_</v>
      </c>
      <c r="C10944" s="21" t="s">
        <v>23065</v>
      </c>
      <c r="D10944" s="21" t="s">
        <v>22882</v>
      </c>
      <c r="E10944" s="22" t="str">
        <f>HYPERLINK("https://twitter.com/shashik_/status/922878544509788160","922878544509788160")</f>
        <v>922878544509788160</v>
      </c>
      <c r="F10944" s="23" t="s">
        <v>33</v>
      </c>
      <c r="G10944" s="24">
        <v>544.0</v>
      </c>
      <c r="H10944" s="24">
        <v>384.0</v>
      </c>
      <c r="I10944" s="24">
        <v>33.0</v>
      </c>
      <c r="J10944" s="24">
        <v>0.0</v>
      </c>
      <c r="K10944" s="23" t="s">
        <v>34</v>
      </c>
      <c r="L10944" s="25">
        <v>42560.39483796296</v>
      </c>
      <c r="M10944" s="26" t="s">
        <v>23066</v>
      </c>
      <c r="N10944" s="26" t="s">
        <v>23067</v>
      </c>
      <c r="O10944" s="22" t="str">
        <f>HYPERLINK("https://pbs.twimg.com/profile_images/905468038236979200/ui2O1l5f_normal.jpg","View")</f>
        <v>View</v>
      </c>
      <c r="P10944" s="27"/>
    </row>
    <row r="10945">
      <c r="A10945" s="14">
        <v>43032.44006944445</v>
      </c>
      <c r="B10945" s="20" t="str">
        <f>HYPERLINK("https://twitter.com/BJP_GirSomnath","@BJP_GirSomnath")</f>
        <v>@BJP_GirSomnath</v>
      </c>
      <c r="C10945" s="21" t="s">
        <v>12953</v>
      </c>
      <c r="D10945" s="21" t="s">
        <v>22882</v>
      </c>
      <c r="E10945" s="22" t="str">
        <f>HYPERLINK("https://twitter.com/BJP_GirSomnath/status/922878781773066240","922878781773066240")</f>
        <v>922878781773066240</v>
      </c>
      <c r="F10945" s="23" t="s">
        <v>33</v>
      </c>
      <c r="G10945" s="24">
        <v>881.0</v>
      </c>
      <c r="H10945" s="24">
        <v>969.0</v>
      </c>
      <c r="I10945" s="24">
        <v>33.0</v>
      </c>
      <c r="J10945" s="24">
        <v>0.0</v>
      </c>
      <c r="K10945" s="23" t="s">
        <v>34</v>
      </c>
      <c r="L10945" s="25">
        <v>42822.497511574074</v>
      </c>
      <c r="M10945" s="26" t="s">
        <v>12954</v>
      </c>
      <c r="N10945" s="26" t="s">
        <v>12955</v>
      </c>
      <c r="O10945" s="22" t="str">
        <f>HYPERLINK("https://pbs.twimg.com/profile_images/847081167992111105/GvMsIAjb_normal.jpg","View")</f>
        <v>View</v>
      </c>
      <c r="P10945" s="27"/>
    </row>
    <row r="10946">
      <c r="A10946" s="14">
        <v>43032.44106481482</v>
      </c>
      <c r="B10946" s="20" t="str">
        <f>HYPERLINK("https://twitter.com/rambhaipithiya","@rambhaipithiya")</f>
        <v>@rambhaipithiya</v>
      </c>
      <c r="C10946" s="21" t="s">
        <v>23068</v>
      </c>
      <c r="D10946" s="21" t="s">
        <v>42</v>
      </c>
      <c r="E10946" s="22" t="str">
        <f>HYPERLINK("https://twitter.com/rambhaipithiya/status/922879141908643843","922879141908643843")</f>
        <v>922879141908643843</v>
      </c>
      <c r="F10946" s="23" t="s">
        <v>33</v>
      </c>
      <c r="G10946" s="24">
        <v>0.0</v>
      </c>
      <c r="H10946" s="24">
        <v>12.0</v>
      </c>
      <c r="I10946" s="24">
        <v>8501.0</v>
      </c>
      <c r="J10946" s="24">
        <v>0.0</v>
      </c>
      <c r="K10946" s="23" t="s">
        <v>34</v>
      </c>
      <c r="L10946" s="25">
        <v>41631.00916666667</v>
      </c>
      <c r="M10946" s="28"/>
      <c r="N10946" s="28"/>
      <c r="O10946" s="22" t="str">
        <f>HYPERLINK("https://abs.twimg.com/sticky/default_profile_images/default_profile_normal.png","View")</f>
        <v>View</v>
      </c>
      <c r="P10946" s="27"/>
    </row>
    <row r="10947">
      <c r="A10947" s="14">
        <v>43032.441458333335</v>
      </c>
      <c r="B10947" s="20" t="str">
        <f>HYPERLINK("https://twitter.com/pankaj2518","@pankaj2518")</f>
        <v>@pankaj2518</v>
      </c>
      <c r="C10947" s="21" t="s">
        <v>23069</v>
      </c>
      <c r="D10947" s="21" t="s">
        <v>22882</v>
      </c>
      <c r="E10947" s="22" t="str">
        <f>HYPERLINK("https://twitter.com/pankaj2518/status/922879284225515520","922879284225515520")</f>
        <v>922879284225515520</v>
      </c>
      <c r="F10947" s="23" t="s">
        <v>33</v>
      </c>
      <c r="G10947" s="24">
        <v>262.0</v>
      </c>
      <c r="H10947" s="24">
        <v>1263.0</v>
      </c>
      <c r="I10947" s="24">
        <v>33.0</v>
      </c>
      <c r="J10947" s="24">
        <v>0.0</v>
      </c>
      <c r="K10947" s="23" t="s">
        <v>34</v>
      </c>
      <c r="L10947" s="25">
        <v>42805.97371527778</v>
      </c>
      <c r="M10947" s="26" t="s">
        <v>2031</v>
      </c>
      <c r="N10947" s="26" t="s">
        <v>23070</v>
      </c>
      <c r="O10947" s="22" t="str">
        <f>HYPERLINK("https://pbs.twimg.com/profile_images/887652233587949569/bq9SBKI8_normal.jpg","View")</f>
        <v>View</v>
      </c>
      <c r="P10947" s="27"/>
    </row>
    <row r="10948">
      <c r="A10948" s="14">
        <v>43032.44148148148</v>
      </c>
      <c r="B10948" s="20" t="str">
        <f>HYPERLINK("https://twitter.com/houstonfc","@houstonfc")</f>
        <v>@houstonfc</v>
      </c>
      <c r="C10948" s="21" t="s">
        <v>23071</v>
      </c>
      <c r="D10948" s="21" t="s">
        <v>23072</v>
      </c>
      <c r="E10948" s="22" t="str">
        <f>HYPERLINK("https://twitter.com/houstonfc/status/922879291486081025","922879291486081025")</f>
        <v>922879291486081025</v>
      </c>
      <c r="F10948" s="23" t="s">
        <v>48</v>
      </c>
      <c r="G10948" s="24">
        <v>1226.0</v>
      </c>
      <c r="H10948" s="24">
        <v>2298.0</v>
      </c>
      <c r="I10948" s="24">
        <v>0.0</v>
      </c>
      <c r="J10948" s="24">
        <v>0.0</v>
      </c>
      <c r="K10948" s="23" t="s">
        <v>34</v>
      </c>
      <c r="L10948" s="25">
        <v>39817.64210648148</v>
      </c>
      <c r="M10948" s="26" t="s">
        <v>9796</v>
      </c>
      <c r="N10948" s="26" t="s">
        <v>23073</v>
      </c>
      <c r="O10948" s="22" t="str">
        <f>HYPERLINK("https://pbs.twimg.com/profile_images/701516745/end_of_the_world_image__2__normal.jpg","View")</f>
        <v>View</v>
      </c>
      <c r="P10948" s="27"/>
    </row>
    <row r="10949">
      <c r="A10949" s="14">
        <v>43032.44163194444</v>
      </c>
      <c r="B10949" s="20" t="str">
        <f>HYPERLINK("https://twitter.com/FSIStanford","@FSIStanford")</f>
        <v>@FSIStanford</v>
      </c>
      <c r="C10949" s="21" t="s">
        <v>23074</v>
      </c>
      <c r="D10949" s="21" t="s">
        <v>18941</v>
      </c>
      <c r="E10949" s="22" t="str">
        <f>HYPERLINK("https://twitter.com/FSIStanford/status/922879345961529347","922879345961529347")</f>
        <v>922879345961529347</v>
      </c>
      <c r="F10949" s="23" t="s">
        <v>55</v>
      </c>
      <c r="G10949" s="24">
        <v>7829.0</v>
      </c>
      <c r="H10949" s="24">
        <v>427.0</v>
      </c>
      <c r="I10949" s="24">
        <v>9.0</v>
      </c>
      <c r="J10949" s="24">
        <v>0.0</v>
      </c>
      <c r="K10949" s="23" t="s">
        <v>34</v>
      </c>
      <c r="L10949" s="25">
        <v>40513.51704861111</v>
      </c>
      <c r="M10949" s="26" t="s">
        <v>23075</v>
      </c>
      <c r="N10949" s="26" t="s">
        <v>23076</v>
      </c>
      <c r="O10949" s="22" t="str">
        <f>HYPERLINK("https://pbs.twimg.com/profile_images/875479608816041984/3o6IXyfi_normal.jpg","View")</f>
        <v>View</v>
      </c>
      <c r="P10949" s="27"/>
    </row>
    <row r="10950">
      <c r="A10950" s="14">
        <v>43032.44201388889</v>
      </c>
      <c r="B10950" s="20" t="str">
        <f>HYPERLINK("https://twitter.com/krishnaberry","@krishnaberry")</f>
        <v>@krishnaberry</v>
      </c>
      <c r="C10950" s="21" t="s">
        <v>23077</v>
      </c>
      <c r="D10950" s="21" t="s">
        <v>42</v>
      </c>
      <c r="E10950" s="22" t="str">
        <f>HYPERLINK("https://twitter.com/krishnaberry/status/922879486349242373","922879486349242373")</f>
        <v>922879486349242373</v>
      </c>
      <c r="F10950" s="23" t="s">
        <v>43</v>
      </c>
      <c r="G10950" s="24">
        <v>81.0</v>
      </c>
      <c r="H10950" s="24">
        <v>1190.0</v>
      </c>
      <c r="I10950" s="24">
        <v>8501.0</v>
      </c>
      <c r="J10950" s="24">
        <v>0.0</v>
      </c>
      <c r="K10950" s="23" t="s">
        <v>34</v>
      </c>
      <c r="L10950" s="25">
        <v>41351.168020833335</v>
      </c>
      <c r="M10950" s="28"/>
      <c r="N10950" s="26" t="s">
        <v>23078</v>
      </c>
      <c r="O10950" s="22" t="str">
        <f>HYPERLINK("https://pbs.twimg.com/profile_images/919587905546235905/She-6ibC_normal.jpg","View")</f>
        <v>View</v>
      </c>
      <c r="P10950" s="27"/>
    </row>
    <row r="10951">
      <c r="A10951" s="14">
        <v>43032.44209490741</v>
      </c>
      <c r="B10951" s="20" t="str">
        <f>HYPERLINK("https://twitter.com/BJPKODERMA","@BJPKODERMA")</f>
        <v>@BJPKODERMA</v>
      </c>
      <c r="C10951" s="21" t="s">
        <v>23079</v>
      </c>
      <c r="D10951" s="21" t="s">
        <v>22882</v>
      </c>
      <c r="E10951" s="22" t="str">
        <f>HYPERLINK("https://twitter.com/BJPKODERMA/status/922879514304286720","922879514304286720")</f>
        <v>922879514304286720</v>
      </c>
      <c r="F10951" s="23" t="s">
        <v>33</v>
      </c>
      <c r="G10951" s="24">
        <v>111.0</v>
      </c>
      <c r="H10951" s="24">
        <v>477.0</v>
      </c>
      <c r="I10951" s="24">
        <v>33.0</v>
      </c>
      <c r="J10951" s="24">
        <v>0.0</v>
      </c>
      <c r="K10951" s="23" t="s">
        <v>34</v>
      </c>
      <c r="L10951" s="25">
        <v>42949.952673611115</v>
      </c>
      <c r="M10951" s="28"/>
      <c r="N10951" s="28"/>
      <c r="O10951" s="22" t="str">
        <f>HYPERLINK("https://pbs.twimg.com/profile_images/893684786258100225/GLNjFQxe_normal.jpg","View")</f>
        <v>View</v>
      </c>
      <c r="P10951" s="27"/>
    </row>
    <row r="10952">
      <c r="A10952" s="14">
        <v>43032.444490740745</v>
      </c>
      <c r="B10952" s="20" t="str">
        <f>HYPERLINK("https://twitter.com/rahulrockptl1","@rahulrockptl1")</f>
        <v>@rahulrockptl1</v>
      </c>
      <c r="C10952" s="21" t="s">
        <v>23080</v>
      </c>
      <c r="D10952" s="21" t="s">
        <v>42</v>
      </c>
      <c r="E10952" s="22" t="str">
        <f>HYPERLINK("https://twitter.com/rahulrockptl1/status/922880382961254400","922880382961254400")</f>
        <v>922880382961254400</v>
      </c>
      <c r="F10952" s="23" t="s">
        <v>33</v>
      </c>
      <c r="G10952" s="24">
        <v>830.0</v>
      </c>
      <c r="H10952" s="24">
        <v>562.0</v>
      </c>
      <c r="I10952" s="24">
        <v>8501.0</v>
      </c>
      <c r="J10952" s="24">
        <v>0.0</v>
      </c>
      <c r="K10952" s="23" t="s">
        <v>34</v>
      </c>
      <c r="L10952" s="25">
        <v>41957.28658564815</v>
      </c>
      <c r="M10952" s="26" t="s">
        <v>1411</v>
      </c>
      <c r="N10952" s="26" t="s">
        <v>23081</v>
      </c>
      <c r="O10952" s="22" t="str">
        <f>HYPERLINK("https://pbs.twimg.com/profile_images/887541201812901890/gYjGEGbU_normal.jpg","View")</f>
        <v>View</v>
      </c>
      <c r="P10952" s="27"/>
    </row>
    <row r="10953">
      <c r="A10953" s="14">
        <v>43032.445509259254</v>
      </c>
      <c r="B10953" s="20" t="str">
        <f>HYPERLINK("https://twitter.com/Rakeshregar15","@Rakeshregar15")</f>
        <v>@Rakeshregar15</v>
      </c>
      <c r="C10953" s="21" t="s">
        <v>23082</v>
      </c>
      <c r="D10953" s="21" t="s">
        <v>2861</v>
      </c>
      <c r="E10953" s="22" t="str">
        <f>HYPERLINK("https://twitter.com/Rakeshregar15/status/922880754668986370","922880754668986370")</f>
        <v>922880754668986370</v>
      </c>
      <c r="F10953" s="23" t="s">
        <v>33</v>
      </c>
      <c r="G10953" s="24">
        <v>21.0</v>
      </c>
      <c r="H10953" s="24">
        <v>109.0</v>
      </c>
      <c r="I10953" s="24">
        <v>40.0</v>
      </c>
      <c r="J10953" s="24">
        <v>0.0</v>
      </c>
      <c r="K10953" s="23" t="s">
        <v>34</v>
      </c>
      <c r="L10953" s="25">
        <v>43013.37924768518</v>
      </c>
      <c r="M10953" s="28"/>
      <c r="N10953" s="28"/>
      <c r="O10953" s="22" t="str">
        <f>HYPERLINK("https://abs.twimg.com/sticky/default_profile_images/default_profile_normal.png","View")</f>
        <v>View</v>
      </c>
      <c r="P10953" s="27"/>
    </row>
    <row r="10954">
      <c r="A10954" s="14">
        <v>43032.446134259255</v>
      </c>
      <c r="B10954" s="20" t="str">
        <f>HYPERLINK("https://twitter.com/ankurshah077077","@ankurshah077077")</f>
        <v>@ankurshah077077</v>
      </c>
      <c r="C10954" s="21" t="s">
        <v>23083</v>
      </c>
      <c r="D10954" s="21" t="s">
        <v>42</v>
      </c>
      <c r="E10954" s="22" t="str">
        <f>HYPERLINK("https://twitter.com/ankurshah077077/status/922880981035569152","922880981035569152")</f>
        <v>922880981035569152</v>
      </c>
      <c r="F10954" s="23" t="s">
        <v>33</v>
      </c>
      <c r="G10954" s="24">
        <v>1572.0</v>
      </c>
      <c r="H10954" s="24">
        <v>1234.0</v>
      </c>
      <c r="I10954" s="24">
        <v>8501.0</v>
      </c>
      <c r="J10954" s="24">
        <v>0.0</v>
      </c>
      <c r="K10954" s="23" t="s">
        <v>34</v>
      </c>
      <c r="L10954" s="25">
        <v>41541.10291666667</v>
      </c>
      <c r="M10954" s="28"/>
      <c r="N10954" s="26" t="s">
        <v>23084</v>
      </c>
      <c r="O10954" s="22" t="str">
        <f>HYPERLINK("https://pbs.twimg.com/profile_images/918820691083902976/LJmDMDZK_normal.jpg","View")</f>
        <v>View</v>
      </c>
      <c r="P10954" s="27"/>
    </row>
    <row r="10955">
      <c r="A10955" s="14">
        <v>43032.44798611111</v>
      </c>
      <c r="B10955" s="20" t="str">
        <f>HYPERLINK("https://twitter.com/DailySignal","@DailySignal")</f>
        <v>@DailySignal</v>
      </c>
      <c r="C10955" s="21" t="s">
        <v>23085</v>
      </c>
      <c r="D10955" s="21" t="s">
        <v>23086</v>
      </c>
      <c r="E10955" s="22" t="str">
        <f>HYPERLINK("https://twitter.com/DailySignal/status/922881650643668993","922881650643668993")</f>
        <v>922881650643668993</v>
      </c>
      <c r="F10955" s="23" t="s">
        <v>10415</v>
      </c>
      <c r="G10955" s="24">
        <v>51119.0</v>
      </c>
      <c r="H10955" s="24">
        <v>5328.0</v>
      </c>
      <c r="I10955" s="24">
        <v>2.0</v>
      </c>
      <c r="J10955" s="24">
        <v>2.0</v>
      </c>
      <c r="K10955" s="23" t="s">
        <v>34</v>
      </c>
      <c r="L10955" s="25">
        <v>41695.29256944444</v>
      </c>
      <c r="M10955" s="26" t="s">
        <v>4239</v>
      </c>
      <c r="N10955" s="26" t="s">
        <v>23087</v>
      </c>
      <c r="O10955" s="22" t="str">
        <f>HYPERLINK("https://pbs.twimg.com/profile_images/463674157725532160/exx8EGeZ_normal.jpeg","View")</f>
        <v>View</v>
      </c>
      <c r="P10955" s="27"/>
    </row>
    <row r="10956">
      <c r="A10956" s="14">
        <v>43032.44865740741</v>
      </c>
      <c r="B10956" s="20" t="str">
        <f>HYPERLINK("https://twitter.com/SuryabhanPatel6","@SuryabhanPatel6")</f>
        <v>@SuryabhanPatel6</v>
      </c>
      <c r="C10956" s="21" t="s">
        <v>23088</v>
      </c>
      <c r="D10956" s="21" t="s">
        <v>42</v>
      </c>
      <c r="E10956" s="22" t="str">
        <f>HYPERLINK("https://twitter.com/SuryabhanPatel6/status/922881893053485057","922881893053485057")</f>
        <v>922881893053485057</v>
      </c>
      <c r="F10956" s="23" t="s">
        <v>33</v>
      </c>
      <c r="G10956" s="24">
        <v>71.0</v>
      </c>
      <c r="H10956" s="24">
        <v>139.0</v>
      </c>
      <c r="I10956" s="24">
        <v>8501.0</v>
      </c>
      <c r="J10956" s="24">
        <v>0.0</v>
      </c>
      <c r="K10956" s="23" t="s">
        <v>34</v>
      </c>
      <c r="L10956" s="25">
        <v>42962.17024305556</v>
      </c>
      <c r="M10956" s="26" t="s">
        <v>2335</v>
      </c>
      <c r="N10956" s="26" t="s">
        <v>23089</v>
      </c>
      <c r="O10956" s="22" t="str">
        <f>HYPERLINK("https://pbs.twimg.com/profile_images/917446927544811520/yEPE_8_P_normal.jpg","View")</f>
        <v>View</v>
      </c>
      <c r="P10956" s="27"/>
    </row>
    <row r="10957">
      <c r="A10957" s="14">
        <v>43032.448692129634</v>
      </c>
      <c r="B10957" s="20" t="str">
        <f>HYPERLINK("https://twitter.com/Sholea_Boland","@Sholea_Boland")</f>
        <v>@Sholea_Boland</v>
      </c>
      <c r="C10957" s="21" t="s">
        <v>23090</v>
      </c>
      <c r="D10957" s="21" t="s">
        <v>21202</v>
      </c>
      <c r="E10957" s="22" t="str">
        <f>HYPERLINK("https://twitter.com/Sholea_Boland/status/922881906735116289","922881906735116289")</f>
        <v>922881906735116289</v>
      </c>
      <c r="F10957" s="23" t="s">
        <v>86</v>
      </c>
      <c r="G10957" s="24">
        <v>1030.0</v>
      </c>
      <c r="H10957" s="24">
        <v>140.0</v>
      </c>
      <c r="I10957" s="24">
        <v>79.0</v>
      </c>
      <c r="J10957" s="24">
        <v>0.0</v>
      </c>
      <c r="K10957" s="23" t="s">
        <v>34</v>
      </c>
      <c r="L10957" s="25">
        <v>41696.04851851852</v>
      </c>
      <c r="M10957" s="28"/>
      <c r="N10957" s="28"/>
      <c r="O10957" s="22" t="str">
        <f>HYPERLINK("https://pbs.twimg.com/profile_images/438602269416628224/Xzq_PqC3_normal.jpeg","View")</f>
        <v>View</v>
      </c>
      <c r="P10957" s="27"/>
    </row>
    <row r="10958">
      <c r="A10958" s="14">
        <v>43032.44871527777</v>
      </c>
      <c r="B10958" s="20" t="str">
        <f>HYPERLINK("https://twitter.com/pratimadesh","@pratimadesh")</f>
        <v>@pratimadesh</v>
      </c>
      <c r="C10958" s="21" t="s">
        <v>23091</v>
      </c>
      <c r="D10958" s="21" t="s">
        <v>42</v>
      </c>
      <c r="E10958" s="22" t="str">
        <f>HYPERLINK("https://twitter.com/pratimadesh/status/922881913265803264","922881913265803264")</f>
        <v>922881913265803264</v>
      </c>
      <c r="F10958" s="23" t="s">
        <v>43</v>
      </c>
      <c r="G10958" s="24">
        <v>137.0</v>
      </c>
      <c r="H10958" s="24">
        <v>124.0</v>
      </c>
      <c r="I10958" s="24">
        <v>8501.0</v>
      </c>
      <c r="J10958" s="24">
        <v>0.0</v>
      </c>
      <c r="K10958" s="23" t="s">
        <v>34</v>
      </c>
      <c r="L10958" s="25">
        <v>41851.294756944444</v>
      </c>
      <c r="M10958" s="26" t="s">
        <v>23092</v>
      </c>
      <c r="N10958" s="26" t="s">
        <v>23093</v>
      </c>
      <c r="O10958" s="22" t="str">
        <f>HYPERLINK("https://pbs.twimg.com/profile_images/867032245378437121/QzEFGxQz_normal.jpg","View")</f>
        <v>View</v>
      </c>
      <c r="P10958" s="27"/>
    </row>
    <row r="10959">
      <c r="A10959" s="14">
        <v>43032.449016203704</v>
      </c>
      <c r="B10959" s="20" t="str">
        <f>HYPERLINK("https://twitter.com/SahadevanMR","@SahadevanMR")</f>
        <v>@SahadevanMR</v>
      </c>
      <c r="C10959" s="21" t="s">
        <v>23094</v>
      </c>
      <c r="D10959" s="21" t="s">
        <v>42</v>
      </c>
      <c r="E10959" s="22" t="str">
        <f>HYPERLINK("https://twitter.com/SahadevanMR/status/922882023139680257","922882023139680257")</f>
        <v>922882023139680257</v>
      </c>
      <c r="F10959" s="23" t="s">
        <v>33</v>
      </c>
      <c r="G10959" s="24">
        <v>192.0</v>
      </c>
      <c r="H10959" s="24">
        <v>235.0</v>
      </c>
      <c r="I10959" s="24">
        <v>8501.0</v>
      </c>
      <c r="J10959" s="24">
        <v>0.0</v>
      </c>
      <c r="K10959" s="23" t="s">
        <v>34</v>
      </c>
      <c r="L10959" s="25">
        <v>41775.22467592593</v>
      </c>
      <c r="M10959" s="26" t="s">
        <v>14975</v>
      </c>
      <c r="N10959" s="26" t="s">
        <v>23095</v>
      </c>
      <c r="O10959" s="22" t="str">
        <f>HYPERLINK("https://pbs.twimg.com/profile_images/819802255595487232/lPLdycOQ_normal.jpg","View")</f>
        <v>View</v>
      </c>
      <c r="P10959" s="27"/>
    </row>
    <row r="10960">
      <c r="A10960" s="14">
        <v>43032.44918981481</v>
      </c>
      <c r="B10960" s="20" t="str">
        <f>HYPERLINK("https://twitter.com/itinittu","@itinittu")</f>
        <v>@itinittu</v>
      </c>
      <c r="C10960" s="21" t="s">
        <v>14445</v>
      </c>
      <c r="D10960" s="21" t="s">
        <v>19016</v>
      </c>
      <c r="E10960" s="22" t="str">
        <f>HYPERLINK("https://twitter.com/itinittu/status/922882085756555270","922882085756555270")</f>
        <v>922882085756555270</v>
      </c>
      <c r="F10960" s="23" t="s">
        <v>55</v>
      </c>
      <c r="G10960" s="24">
        <v>495.0</v>
      </c>
      <c r="H10960" s="24">
        <v>1353.0</v>
      </c>
      <c r="I10960" s="24">
        <v>51.0</v>
      </c>
      <c r="J10960" s="24">
        <v>0.0</v>
      </c>
      <c r="K10960" s="23" t="s">
        <v>34</v>
      </c>
      <c r="L10960" s="25">
        <v>40565.84537037037</v>
      </c>
      <c r="M10960" s="28"/>
      <c r="N10960" s="26" t="s">
        <v>14446</v>
      </c>
      <c r="O10960" s="22" t="str">
        <f>HYPERLINK("https://pbs.twimg.com/profile_images/1255277964/___086_normal.jpg","View")</f>
        <v>View</v>
      </c>
      <c r="P10960" s="27"/>
    </row>
    <row r="10961">
      <c r="A10961" s="14">
        <v>43032.44982638889</v>
      </c>
      <c r="B10961" s="20" t="str">
        <f>HYPERLINK("https://twitter.com/MPrestrepo2334","@MPrestrepo2334")</f>
        <v>@MPrestrepo2334</v>
      </c>
      <c r="C10961" s="21" t="s">
        <v>23096</v>
      </c>
      <c r="D10961" s="21" t="s">
        <v>23097</v>
      </c>
      <c r="E10961" s="22" t="str">
        <f>HYPERLINK("https://twitter.com/MPrestrepo2334/status/922882316204113922","922882316204113922")</f>
        <v>922882316204113922</v>
      </c>
      <c r="F10961" s="23" t="s">
        <v>33</v>
      </c>
      <c r="G10961" s="24">
        <v>941.0</v>
      </c>
      <c r="H10961" s="24">
        <v>449.0</v>
      </c>
      <c r="I10961" s="24">
        <v>2.0</v>
      </c>
      <c r="J10961" s="24">
        <v>0.0</v>
      </c>
      <c r="K10961" s="23" t="s">
        <v>34</v>
      </c>
      <c r="L10961" s="25">
        <v>40990.47238425926</v>
      </c>
      <c r="M10961" s="28"/>
      <c r="N10961" s="28"/>
      <c r="O10961" s="22" t="str">
        <f>HYPERLINK("https://pbs.twimg.com/profile_images/760282253888892928/t4YQ3mSX_normal.jpg","View")</f>
        <v>View</v>
      </c>
      <c r="P10961" s="27"/>
    </row>
    <row r="10962">
      <c r="A10962" s="14">
        <v>43032.450578703705</v>
      </c>
      <c r="B10962" s="20" t="str">
        <f>HYPERLINK("https://twitter.com/CynthiaCozzo","@CynthiaCozzo")</f>
        <v>@CynthiaCozzo</v>
      </c>
      <c r="C10962" s="21" t="s">
        <v>22866</v>
      </c>
      <c r="D10962" s="21" t="s">
        <v>16537</v>
      </c>
      <c r="E10962" s="22" t="str">
        <f>HYPERLINK("https://twitter.com/CynthiaCozzo/status/922882589874061313","922882589874061313")</f>
        <v>922882589874061313</v>
      </c>
      <c r="F10962" s="23" t="s">
        <v>33</v>
      </c>
      <c r="G10962" s="24">
        <v>557.0</v>
      </c>
      <c r="H10962" s="24">
        <v>762.0</v>
      </c>
      <c r="I10962" s="24">
        <v>242.0</v>
      </c>
      <c r="J10962" s="24">
        <v>0.0</v>
      </c>
      <c r="K10962" s="23" t="s">
        <v>34</v>
      </c>
      <c r="L10962" s="25">
        <v>41615.62122685185</v>
      </c>
      <c r="M10962" s="26" t="s">
        <v>23098</v>
      </c>
      <c r="N10962" s="26" t="s">
        <v>23099</v>
      </c>
      <c r="O10962" s="22" t="str">
        <f>HYPERLINK("https://pbs.twimg.com/profile_images/838137617501704192/fuCtSAQG_normal.jpg","View")</f>
        <v>View</v>
      </c>
      <c r="P10962" s="27"/>
    </row>
    <row r="10963">
      <c r="A10963" s="14">
        <v>43032.450590277775</v>
      </c>
      <c r="B10963" s="20" t="str">
        <f>HYPERLINK("https://twitter.com/Anand_Singh_001","@Anand_Singh_001")</f>
        <v>@Anand_Singh_001</v>
      </c>
      <c r="C10963" s="21" t="s">
        <v>23100</v>
      </c>
      <c r="D10963" s="21" t="s">
        <v>42</v>
      </c>
      <c r="E10963" s="22" t="str">
        <f>HYPERLINK("https://twitter.com/Anand_Singh_001/status/922882593489674240","922882593489674240")</f>
        <v>922882593489674240</v>
      </c>
      <c r="F10963" s="23" t="s">
        <v>33</v>
      </c>
      <c r="G10963" s="24">
        <v>156.0</v>
      </c>
      <c r="H10963" s="24">
        <v>1965.0</v>
      </c>
      <c r="I10963" s="24">
        <v>8501.0</v>
      </c>
      <c r="J10963" s="24">
        <v>0.0</v>
      </c>
      <c r="K10963" s="23" t="s">
        <v>34</v>
      </c>
      <c r="L10963" s="25">
        <v>42903.51159722223</v>
      </c>
      <c r="M10963" s="26" t="s">
        <v>3042</v>
      </c>
      <c r="N10963" s="26" t="s">
        <v>23101</v>
      </c>
      <c r="O10963" s="22" t="str">
        <f>HYPERLINK("https://pbs.twimg.com/profile_images/876159138941865984/vMuZsopO_normal.jpg","View")</f>
        <v>View</v>
      </c>
      <c r="P10963" s="27"/>
    </row>
    <row r="10964">
      <c r="A10964" s="14">
        <v>43032.45103009259</v>
      </c>
      <c r="B10964" s="20" t="str">
        <f>HYPERLINK("https://twitter.com/jtblogs","@jtblogs")</f>
        <v>@jtblogs</v>
      </c>
      <c r="C10964" s="21" t="s">
        <v>23102</v>
      </c>
      <c r="D10964" s="21" t="s">
        <v>6670</v>
      </c>
      <c r="E10964" s="22" t="str">
        <f>HYPERLINK("https://twitter.com/jtblogs/status/922882755498774528","922882755498774528")</f>
        <v>922882755498774528</v>
      </c>
      <c r="F10964" s="23" t="s">
        <v>39</v>
      </c>
      <c r="G10964" s="24">
        <v>8537.0</v>
      </c>
      <c r="H10964" s="24">
        <v>7471.0</v>
      </c>
      <c r="I10964" s="24">
        <v>5.0</v>
      </c>
      <c r="J10964" s="24">
        <v>0.0</v>
      </c>
      <c r="K10964" s="23" t="s">
        <v>34</v>
      </c>
      <c r="L10964" s="25">
        <v>39770.47127314815</v>
      </c>
      <c r="M10964" s="26" t="s">
        <v>68</v>
      </c>
      <c r="N10964" s="26" t="s">
        <v>23103</v>
      </c>
      <c r="O10964" s="22" t="str">
        <f>HYPERLINK("https://pbs.twimg.com/profile_images/675722282015318016/5UXFCz3m_normal.jpg","View")</f>
        <v>View</v>
      </c>
      <c r="P10964" s="27"/>
    </row>
    <row r="10965">
      <c r="A10965" s="14">
        <v>43032.4512962963</v>
      </c>
      <c r="B10965" s="20" t="str">
        <f>HYPERLINK("https://twitter.com/martijnoostveen","@martijnoostveen")</f>
        <v>@martijnoostveen</v>
      </c>
      <c r="C10965" s="21" t="s">
        <v>23104</v>
      </c>
      <c r="D10965" s="21" t="s">
        <v>23105</v>
      </c>
      <c r="E10965" s="22" t="str">
        <f>HYPERLINK("https://twitter.com/martijnoostveen/status/922882848964644864","922882848964644864")</f>
        <v>922882848964644864</v>
      </c>
      <c r="F10965" s="23" t="s">
        <v>1570</v>
      </c>
      <c r="G10965" s="24">
        <v>243.0</v>
      </c>
      <c r="H10965" s="24">
        <v>346.0</v>
      </c>
      <c r="I10965" s="24">
        <v>0.0</v>
      </c>
      <c r="J10965" s="24">
        <v>0.0</v>
      </c>
      <c r="K10965" s="23" t="s">
        <v>34</v>
      </c>
      <c r="L10965" s="25">
        <v>39819.365648148145</v>
      </c>
      <c r="M10965" s="26" t="s">
        <v>23106</v>
      </c>
      <c r="N10965" s="26" t="s">
        <v>23107</v>
      </c>
      <c r="O10965" s="22" t="str">
        <f>HYPERLINK("https://pbs.twimg.com/profile_images/548148150150889472/q_s6z6DR_normal.jpeg","View")</f>
        <v>View</v>
      </c>
      <c r="P10965" s="27"/>
    </row>
    <row r="10966">
      <c r="A10966" s="14">
        <v>43032.451319444444</v>
      </c>
      <c r="B10966" s="20" t="str">
        <f>HYPERLINK("https://twitter.com/raju24d","@raju24d")</f>
        <v>@raju24d</v>
      </c>
      <c r="C10966" s="21" t="s">
        <v>23108</v>
      </c>
      <c r="D10966" s="21" t="s">
        <v>42</v>
      </c>
      <c r="E10966" s="22" t="str">
        <f>HYPERLINK("https://twitter.com/raju24d/status/922882860549320704","922882860549320704")</f>
        <v>922882860549320704</v>
      </c>
      <c r="F10966" s="23" t="s">
        <v>33</v>
      </c>
      <c r="G10966" s="24">
        <v>172.0</v>
      </c>
      <c r="H10966" s="24">
        <v>166.0</v>
      </c>
      <c r="I10966" s="24">
        <v>8501.0</v>
      </c>
      <c r="J10966" s="24">
        <v>0.0</v>
      </c>
      <c r="K10966" s="23" t="s">
        <v>34</v>
      </c>
      <c r="L10966" s="25">
        <v>41738.3315162037</v>
      </c>
      <c r="M10966" s="26" t="s">
        <v>204</v>
      </c>
      <c r="N10966" s="26" t="s">
        <v>23109</v>
      </c>
      <c r="O10966" s="22" t="str">
        <f>HYPERLINK("https://pbs.twimg.com/profile_images/853897472812494848/Gtvm6fS5_normal.jpg","View")</f>
        <v>View</v>
      </c>
      <c r="P10966" s="27"/>
    </row>
    <row r="10967">
      <c r="A10967" s="14">
        <v>43032.4516087963</v>
      </c>
      <c r="B10967" s="20" t="str">
        <f>HYPERLINK("https://twitter.com/IranFail","@IranFail")</f>
        <v>@IranFail</v>
      </c>
      <c r="C10967" s="21" t="s">
        <v>23110</v>
      </c>
      <c r="D10967" s="21" t="s">
        <v>23111</v>
      </c>
      <c r="E10967" s="22" t="str">
        <f>HYPERLINK("https://twitter.com/IranFail/status/922882964123541504","922882964123541504")</f>
        <v>922882964123541504</v>
      </c>
      <c r="F10967" s="23" t="s">
        <v>55</v>
      </c>
      <c r="G10967" s="24">
        <v>477.0</v>
      </c>
      <c r="H10967" s="24">
        <v>451.0</v>
      </c>
      <c r="I10967" s="24">
        <v>0.0</v>
      </c>
      <c r="J10967" s="24">
        <v>0.0</v>
      </c>
      <c r="K10967" s="23" t="s">
        <v>34</v>
      </c>
      <c r="L10967" s="25">
        <v>41424.94358796296</v>
      </c>
      <c r="M10967" s="26" t="s">
        <v>23112</v>
      </c>
      <c r="N10967" s="26" t="s">
        <v>23113</v>
      </c>
      <c r="O10967" s="22" t="str">
        <f>HYPERLINK("https://pbs.twimg.com/profile_images/3735122665/5f0fea4344cf0ea2cd11210fd7003063_normal.jpeg","View")</f>
        <v>View</v>
      </c>
      <c r="P10967" s="27"/>
    </row>
    <row r="10968">
      <c r="A10968" s="14">
        <v>43032.45248842593</v>
      </c>
      <c r="B10968" s="20" t="str">
        <f>HYPERLINK("https://twitter.com/AnkitVitrana09","@AnkitVitrana09")</f>
        <v>@AnkitVitrana09</v>
      </c>
      <c r="C10968" s="21" t="s">
        <v>23114</v>
      </c>
      <c r="D10968" s="21" t="s">
        <v>42</v>
      </c>
      <c r="E10968" s="22" t="str">
        <f>HYPERLINK("https://twitter.com/AnkitVitrana09/status/922883280839593984","922883280839593984")</f>
        <v>922883280839593984</v>
      </c>
      <c r="F10968" s="23" t="s">
        <v>33</v>
      </c>
      <c r="G10968" s="24">
        <v>374.0</v>
      </c>
      <c r="H10968" s="24">
        <v>1683.0</v>
      </c>
      <c r="I10968" s="24">
        <v>8501.0</v>
      </c>
      <c r="J10968" s="24">
        <v>0.0</v>
      </c>
      <c r="K10968" s="23" t="s">
        <v>34</v>
      </c>
      <c r="L10968" s="25">
        <v>41015.98179398148</v>
      </c>
      <c r="M10968" s="26" t="s">
        <v>23115</v>
      </c>
      <c r="N10968" s="26" t="s">
        <v>23116</v>
      </c>
      <c r="O10968" s="22" t="str">
        <f>HYPERLINK("https://pbs.twimg.com/profile_images/889847481608974336/1zCXmKK5_normal.jpg","View")</f>
        <v>View</v>
      </c>
      <c r="P10968" s="27"/>
    </row>
    <row r="10969">
      <c r="A10969" s="14">
        <v>43032.45255787037</v>
      </c>
      <c r="B10969" s="20" t="str">
        <f>HYPERLINK("https://twitter.com/Zak_Files","@Zak_Files")</f>
        <v>@Zak_Files</v>
      </c>
      <c r="C10969" s="21" t="s">
        <v>11132</v>
      </c>
      <c r="D10969" s="21" t="s">
        <v>15996</v>
      </c>
      <c r="E10969" s="22" t="str">
        <f>HYPERLINK("https://twitter.com/Zak_Files/status/922883306248687616","922883306248687616")</f>
        <v>922883306248687616</v>
      </c>
      <c r="F10969" s="23" t="s">
        <v>55</v>
      </c>
      <c r="G10969" s="24">
        <v>598.0</v>
      </c>
      <c r="H10969" s="24">
        <v>547.0</v>
      </c>
      <c r="I10969" s="24">
        <v>6.0</v>
      </c>
      <c r="J10969" s="24">
        <v>0.0</v>
      </c>
      <c r="K10969" s="23" t="s">
        <v>34</v>
      </c>
      <c r="L10969" s="25">
        <v>42298.03178240741</v>
      </c>
      <c r="M10969" s="28"/>
      <c r="N10969" s="26" t="s">
        <v>11133</v>
      </c>
      <c r="O10969" s="22" t="str">
        <f>HYPERLINK("https://pbs.twimg.com/profile_images/657810351828938752/onaLkSay_normal.jpg","View")</f>
        <v>View</v>
      </c>
      <c r="P10969" s="27"/>
    </row>
    <row r="10970">
      <c r="A10970" s="14">
        <v>43032.452928240746</v>
      </c>
      <c r="B10970" s="20" t="str">
        <f>HYPERLINK("https://twitter.com/Chandrabhanpan5","@Chandrabhanpan5")</f>
        <v>@Chandrabhanpan5</v>
      </c>
      <c r="C10970" s="21" t="s">
        <v>23117</v>
      </c>
      <c r="D10970" s="21" t="s">
        <v>42</v>
      </c>
      <c r="E10970" s="22" t="str">
        <f>HYPERLINK("https://twitter.com/Chandrabhanpan5/status/922883442752327683","922883442752327683")</f>
        <v>922883442752327683</v>
      </c>
      <c r="F10970" s="23" t="s">
        <v>33</v>
      </c>
      <c r="G10970" s="24">
        <v>1271.0</v>
      </c>
      <c r="H10970" s="24">
        <v>981.0</v>
      </c>
      <c r="I10970" s="24">
        <v>8501.0</v>
      </c>
      <c r="J10970" s="24">
        <v>0.0</v>
      </c>
      <c r="K10970" s="23" t="s">
        <v>34</v>
      </c>
      <c r="L10970" s="25">
        <v>42266.43821759259</v>
      </c>
      <c r="M10970" s="26" t="s">
        <v>23118</v>
      </c>
      <c r="N10970" s="26" t="s">
        <v>23119</v>
      </c>
      <c r="O10970" s="22" t="str">
        <f>HYPERLINK("https://pbs.twimg.com/profile_images/921794461570539520/DHGItq9s_normal.jpg","View")</f>
        <v>View</v>
      </c>
      <c r="P10970" s="27"/>
    </row>
    <row r="10971">
      <c r="A10971" s="14">
        <v>43032.45342592592</v>
      </c>
      <c r="B10971" s="20" t="str">
        <f>HYPERLINK("https://twitter.com/muthuiamos217","@muthuiamos217")</f>
        <v>@muthuiamos217</v>
      </c>
      <c r="C10971" s="21" t="s">
        <v>23120</v>
      </c>
      <c r="D10971" s="21" t="s">
        <v>23121</v>
      </c>
      <c r="E10971" s="22" t="str">
        <f>HYPERLINK("https://twitter.com/muthuiamos217/status/922883622495031296","922883622495031296")</f>
        <v>922883622495031296</v>
      </c>
      <c r="F10971" s="23" t="s">
        <v>33</v>
      </c>
      <c r="G10971" s="24">
        <v>81.0</v>
      </c>
      <c r="H10971" s="24">
        <v>625.0</v>
      </c>
      <c r="I10971" s="24">
        <v>0.0</v>
      </c>
      <c r="J10971" s="24">
        <v>0.0</v>
      </c>
      <c r="K10971" s="23" t="s">
        <v>34</v>
      </c>
      <c r="L10971" s="25">
        <v>41853.44478009259</v>
      </c>
      <c r="M10971" s="26" t="s">
        <v>114</v>
      </c>
      <c r="N10971" s="26" t="s">
        <v>23122</v>
      </c>
      <c r="O10971" s="22" t="str">
        <f>HYPERLINK("https://pbs.twimg.com/profile_images/921809404634320900/i_ywbm_5_normal.jpg","View")</f>
        <v>View</v>
      </c>
      <c r="P10971" s="27"/>
    </row>
    <row r="10972">
      <c r="A10972" s="14">
        <v>43032.453877314816</v>
      </c>
      <c r="B10972" s="20" t="str">
        <f>HYPERLINK("https://twitter.com/HariSin02684807","@HariSin02684807")</f>
        <v>@HariSin02684807</v>
      </c>
      <c r="C10972" s="21" t="s">
        <v>23123</v>
      </c>
      <c r="D10972" s="21" t="s">
        <v>42</v>
      </c>
      <c r="E10972" s="22" t="str">
        <f>HYPERLINK("https://twitter.com/HariSin02684807/status/922883785984757763","922883785984757763")</f>
        <v>922883785984757763</v>
      </c>
      <c r="F10972" s="23" t="s">
        <v>33</v>
      </c>
      <c r="G10972" s="24">
        <v>290.0</v>
      </c>
      <c r="H10972" s="24">
        <v>1190.0</v>
      </c>
      <c r="I10972" s="24">
        <v>8501.0</v>
      </c>
      <c r="J10972" s="24">
        <v>0.0</v>
      </c>
      <c r="K10972" s="23" t="s">
        <v>34</v>
      </c>
      <c r="L10972" s="25">
        <v>42742.340787037036</v>
      </c>
      <c r="M10972" s="28"/>
      <c r="N10972" s="28"/>
      <c r="O10972" s="22" t="str">
        <f>HYPERLINK("https://pbs.twimg.com/profile_images/901132302389882881/QaUchahv_normal.jpg","View")</f>
        <v>View</v>
      </c>
      <c r="P10972" s="27"/>
    </row>
    <row r="10973">
      <c r="A10973" s="14">
        <v>43032.45668981482</v>
      </c>
      <c r="B10973" s="20" t="str">
        <f>HYPERLINK("https://twitter.com/Gyn_Prk_Gupta","@Gyn_Prk_Gupta")</f>
        <v>@Gyn_Prk_Gupta</v>
      </c>
      <c r="C10973" s="21" t="s">
        <v>23124</v>
      </c>
      <c r="D10973" s="21" t="s">
        <v>42</v>
      </c>
      <c r="E10973" s="22" t="str">
        <f>HYPERLINK("https://twitter.com/Gyn_Prk_Gupta/status/922884806790094848","922884806790094848")</f>
        <v>922884806790094848</v>
      </c>
      <c r="F10973" s="23" t="s">
        <v>33</v>
      </c>
      <c r="G10973" s="24">
        <v>60.0</v>
      </c>
      <c r="H10973" s="24">
        <v>9.0</v>
      </c>
      <c r="I10973" s="24">
        <v>8501.0</v>
      </c>
      <c r="J10973" s="24">
        <v>0.0</v>
      </c>
      <c r="K10973" s="23" t="s">
        <v>34</v>
      </c>
      <c r="L10973" s="25">
        <v>41977.99041666667</v>
      </c>
      <c r="M10973" s="26" t="s">
        <v>11981</v>
      </c>
      <c r="N10973" s="26" t="s">
        <v>23125</v>
      </c>
      <c r="O10973" s="22" t="str">
        <f>HYPERLINK("https://pbs.twimg.com/profile_images/800886356566081536/GVsgokYR_normal.jpg","View")</f>
        <v>View</v>
      </c>
      <c r="P10973" s="27"/>
    </row>
    <row r="10974">
      <c r="A10974" s="14">
        <v>43032.456828703704</v>
      </c>
      <c r="B10974" s="20" t="str">
        <f>HYPERLINK("https://twitter.com/vishal_verma_11","@vishal_verma_11")</f>
        <v>@vishal_verma_11</v>
      </c>
      <c r="C10974" s="21" t="s">
        <v>14077</v>
      </c>
      <c r="D10974" s="21" t="s">
        <v>22882</v>
      </c>
      <c r="E10974" s="22" t="str">
        <f>HYPERLINK("https://twitter.com/vishal_verma_11/status/922884853107851264","922884853107851264")</f>
        <v>922884853107851264</v>
      </c>
      <c r="F10974" s="23" t="s">
        <v>33</v>
      </c>
      <c r="G10974" s="24">
        <v>63.0</v>
      </c>
      <c r="H10974" s="24">
        <v>89.0</v>
      </c>
      <c r="I10974" s="24">
        <v>33.0</v>
      </c>
      <c r="J10974" s="24">
        <v>0.0</v>
      </c>
      <c r="K10974" s="23" t="s">
        <v>34</v>
      </c>
      <c r="L10974" s="25">
        <v>40247.41803240741</v>
      </c>
      <c r="M10974" s="26" t="s">
        <v>1545</v>
      </c>
      <c r="N10974" s="26" t="s">
        <v>23126</v>
      </c>
      <c r="O10974" s="22" t="str">
        <f>HYPERLINK("https://pbs.twimg.com/profile_images/3722055045/768f54df0a09bf558525efdffed3caab_normal.jpeg","View")</f>
        <v>View</v>
      </c>
      <c r="P10974" s="27"/>
    </row>
    <row r="10975">
      <c r="A10975" s="14">
        <v>43032.457233796296</v>
      </c>
      <c r="B10975" s="20" t="str">
        <f>HYPERLINK("https://twitter.com/kaushikmoitra","@kaushikmoitra")</f>
        <v>@kaushikmoitra</v>
      </c>
      <c r="C10975" s="21" t="s">
        <v>23127</v>
      </c>
      <c r="D10975" s="21" t="s">
        <v>42</v>
      </c>
      <c r="E10975" s="22" t="str">
        <f>HYPERLINK("https://twitter.com/kaushikmoitra/status/922885002546765824","922885002546765824")</f>
        <v>922885002546765824</v>
      </c>
      <c r="F10975" s="23" t="s">
        <v>39</v>
      </c>
      <c r="G10975" s="24">
        <v>359.0</v>
      </c>
      <c r="H10975" s="24">
        <v>399.0</v>
      </c>
      <c r="I10975" s="24">
        <v>8501.0</v>
      </c>
      <c r="J10975" s="24">
        <v>0.0</v>
      </c>
      <c r="K10975" s="23" t="s">
        <v>34</v>
      </c>
      <c r="L10975" s="25">
        <v>39993.108715277776</v>
      </c>
      <c r="M10975" s="26" t="s">
        <v>575</v>
      </c>
      <c r="N10975" s="26" t="s">
        <v>23128</v>
      </c>
      <c r="O10975" s="22" t="str">
        <f>HYPERLINK("https://pbs.twimg.com/profile_images/894857969975803904/_HNcK5b6_normal.jpg","View")</f>
        <v>View</v>
      </c>
      <c r="P10975" s="27"/>
    </row>
    <row r="10976">
      <c r="A10976" s="14">
        <v>43032.45737268518</v>
      </c>
      <c r="B10976" s="20" t="str">
        <f>HYPERLINK("https://twitter.com/APatricius","@APatricius")</f>
        <v>@APatricius</v>
      </c>
      <c r="C10976" s="21" t="s">
        <v>23129</v>
      </c>
      <c r="D10976" s="21" t="s">
        <v>15452</v>
      </c>
      <c r="E10976" s="22" t="str">
        <f>HYPERLINK("https://twitter.com/APatricius/status/922885051641204736","922885051641204736")</f>
        <v>922885051641204736</v>
      </c>
      <c r="F10976" s="23" t="s">
        <v>3895</v>
      </c>
      <c r="G10976" s="24">
        <v>1278.0</v>
      </c>
      <c r="H10976" s="24">
        <v>1846.0</v>
      </c>
      <c r="I10976" s="24">
        <v>4.0</v>
      </c>
      <c r="J10976" s="24">
        <v>0.0</v>
      </c>
      <c r="K10976" s="23" t="s">
        <v>34</v>
      </c>
      <c r="L10976" s="25">
        <v>40759.62868055556</v>
      </c>
      <c r="M10976" s="26" t="s">
        <v>13309</v>
      </c>
      <c r="N10976" s="26" t="s">
        <v>23130</v>
      </c>
      <c r="O10976" s="22" t="str">
        <f>HYPERLINK("https://pbs.twimg.com/profile_images/796724434547671041/_eTo3KU4_normal.jpg","View")</f>
        <v>View</v>
      </c>
      <c r="P10976" s="27"/>
    </row>
    <row r="10977">
      <c r="A10977" s="14">
        <v>43032.45836805555</v>
      </c>
      <c r="B10977" s="20" t="str">
        <f t="shared" ref="B10977:B10978" si="273">HYPERLINK("https://twitter.com/FreeForIran92","@FreeForIran92")</f>
        <v>@FreeForIran92</v>
      </c>
      <c r="C10977" s="21" t="s">
        <v>23131</v>
      </c>
      <c r="D10977" s="21" t="s">
        <v>21202</v>
      </c>
      <c r="E10977" s="22" t="str">
        <f>HYPERLINK("https://twitter.com/FreeForIran92/status/922885412795723776","922885412795723776")</f>
        <v>922885412795723776</v>
      </c>
      <c r="F10977" s="23" t="s">
        <v>86</v>
      </c>
      <c r="G10977" s="24">
        <v>745.0</v>
      </c>
      <c r="H10977" s="24">
        <v>408.0</v>
      </c>
      <c r="I10977" s="24">
        <v>79.0</v>
      </c>
      <c r="J10977" s="24">
        <v>0.0</v>
      </c>
      <c r="K10977" s="23" t="s">
        <v>34</v>
      </c>
      <c r="L10977" s="25">
        <v>41467.513807870375</v>
      </c>
      <c r="M10977" s="28"/>
      <c r="N10977" s="28"/>
      <c r="O10977" s="22" t="str">
        <f t="shared" ref="O10977:O10978" si="274">HYPERLINK("https://pbs.twimg.com/profile_images/378800000219760782/f5236e0750ebfddd4440490b2df1099c_normal.jpeg","View")</f>
        <v>View</v>
      </c>
      <c r="P10977" s="27"/>
    </row>
    <row r="10978">
      <c r="A10978" s="14">
        <v>43032.45903935185</v>
      </c>
      <c r="B10978" s="20" t="str">
        <f t="shared" si="273"/>
        <v>@FreeForIran92</v>
      </c>
      <c r="C10978" s="21" t="s">
        <v>23131</v>
      </c>
      <c r="D10978" s="21" t="s">
        <v>21203</v>
      </c>
      <c r="E10978" s="22" t="str">
        <f>HYPERLINK("https://twitter.com/FreeForIran92/status/922885656585551872","922885656585551872")</f>
        <v>922885656585551872</v>
      </c>
      <c r="F10978" s="23" t="s">
        <v>86</v>
      </c>
      <c r="G10978" s="24">
        <v>745.0</v>
      </c>
      <c r="H10978" s="24">
        <v>408.0</v>
      </c>
      <c r="I10978" s="24">
        <v>75.0</v>
      </c>
      <c r="J10978" s="24">
        <v>0.0</v>
      </c>
      <c r="K10978" s="23" t="s">
        <v>34</v>
      </c>
      <c r="L10978" s="25">
        <v>41467.513807870375</v>
      </c>
      <c r="M10978" s="28"/>
      <c r="N10978" s="28"/>
      <c r="O10978" s="22" t="str">
        <f t="shared" si="274"/>
        <v>View</v>
      </c>
      <c r="P10978" s="27"/>
    </row>
    <row r="10979">
      <c r="A10979" s="14">
        <v>43032.4618287037</v>
      </c>
      <c r="B10979" s="20" t="str">
        <f>HYPERLINK("https://twitter.com/itsmevikashjain","@itsmevikashjain")</f>
        <v>@itsmevikashjain</v>
      </c>
      <c r="C10979" s="21" t="s">
        <v>8324</v>
      </c>
      <c r="D10979" s="21" t="s">
        <v>42</v>
      </c>
      <c r="E10979" s="22" t="str">
        <f>HYPERLINK("https://twitter.com/itsmevikashjain/status/922886666825580549","922886666825580549")</f>
        <v>922886666825580549</v>
      </c>
      <c r="F10979" s="23" t="s">
        <v>33</v>
      </c>
      <c r="G10979" s="24">
        <v>129.0</v>
      </c>
      <c r="H10979" s="24">
        <v>310.0</v>
      </c>
      <c r="I10979" s="24">
        <v>8501.0</v>
      </c>
      <c r="J10979" s="24">
        <v>0.0</v>
      </c>
      <c r="K10979" s="23" t="s">
        <v>34</v>
      </c>
      <c r="L10979" s="25">
        <v>40322.1637037037</v>
      </c>
      <c r="M10979" s="26" t="s">
        <v>2020</v>
      </c>
      <c r="N10979" s="28"/>
      <c r="O10979" s="22" t="str">
        <f>HYPERLINK("https://pbs.twimg.com/profile_images/800723885930979329/IPHxMRww_normal.jpg","View")</f>
        <v>View</v>
      </c>
      <c r="P10979" s="27"/>
    </row>
    <row r="10980">
      <c r="A10980" s="14">
        <v>43032.46189814815</v>
      </c>
      <c r="B10980" s="20" t="str">
        <f>HYPERLINK("https://twitter.com/TheShobhitAzad","@TheShobhitAzad")</f>
        <v>@TheShobhitAzad</v>
      </c>
      <c r="C10980" s="21" t="s">
        <v>23132</v>
      </c>
      <c r="D10980" s="21" t="s">
        <v>42</v>
      </c>
      <c r="E10980" s="22" t="str">
        <f>HYPERLINK("https://twitter.com/TheShobhitAzad/status/922886694222696448","922886694222696448")</f>
        <v>922886694222696448</v>
      </c>
      <c r="F10980" s="23" t="s">
        <v>33</v>
      </c>
      <c r="G10980" s="24">
        <v>737.0</v>
      </c>
      <c r="H10980" s="24">
        <v>102.0</v>
      </c>
      <c r="I10980" s="24">
        <v>8501.0</v>
      </c>
      <c r="J10980" s="24">
        <v>0.0</v>
      </c>
      <c r="K10980" s="23" t="s">
        <v>34</v>
      </c>
      <c r="L10980" s="25">
        <v>41350.03481481482</v>
      </c>
      <c r="M10980" s="26" t="s">
        <v>7833</v>
      </c>
      <c r="N10980" s="26" t="s">
        <v>23133</v>
      </c>
      <c r="O10980" s="22" t="str">
        <f>HYPERLINK("https://pbs.twimg.com/profile_images/909268515248467968/WxJgGj18_normal.jpg","View")</f>
        <v>View</v>
      </c>
      <c r="P10980" s="27"/>
    </row>
    <row r="10981">
      <c r="A10981" s="14">
        <v>43032.46228009259</v>
      </c>
      <c r="B10981" s="20" t="str">
        <f>HYPERLINK("https://twitter.com/pongodhall","@pongodhall")</f>
        <v>@pongodhall</v>
      </c>
      <c r="C10981" s="21" t="s">
        <v>23134</v>
      </c>
      <c r="D10981" s="21" t="s">
        <v>23135</v>
      </c>
      <c r="E10981" s="22" t="str">
        <f>HYPERLINK("https://twitter.com/pongodhall/status/922886829011062786","922886829011062786")</f>
        <v>922886829011062786</v>
      </c>
      <c r="F10981" s="23" t="s">
        <v>230</v>
      </c>
      <c r="G10981" s="24">
        <v>1133.0</v>
      </c>
      <c r="H10981" s="24">
        <v>1993.0</v>
      </c>
      <c r="I10981" s="24">
        <v>1.0</v>
      </c>
      <c r="J10981" s="24">
        <v>0.0</v>
      </c>
      <c r="K10981" s="23" t="s">
        <v>34</v>
      </c>
      <c r="L10981" s="25">
        <v>41139.149143518516</v>
      </c>
      <c r="M10981" s="26" t="s">
        <v>23136</v>
      </c>
      <c r="N10981" s="26" t="s">
        <v>23137</v>
      </c>
      <c r="O10981" s="22" t="str">
        <f>HYPERLINK("https://abs.twimg.com/sticky/default_profile_images/default_profile_normal.png","View")</f>
        <v>View</v>
      </c>
      <c r="P10981" s="27"/>
    </row>
    <row r="10982">
      <c r="A10982" s="14">
        <v>43032.462743055556</v>
      </c>
      <c r="B10982" s="20" t="str">
        <f>HYPERLINK("https://twitter.com/MikeAOdhiambo","@MikeAOdhiambo")</f>
        <v>@MikeAOdhiambo</v>
      </c>
      <c r="C10982" s="21" t="s">
        <v>23138</v>
      </c>
      <c r="D10982" s="21" t="s">
        <v>32</v>
      </c>
      <c r="E10982" s="22" t="str">
        <f>HYPERLINK("https://twitter.com/MikeAOdhiambo/status/922886997483708416","922886997483708416")</f>
        <v>922886997483708416</v>
      </c>
      <c r="F10982" s="23" t="s">
        <v>43</v>
      </c>
      <c r="G10982" s="24">
        <v>1328.0</v>
      </c>
      <c r="H10982" s="24">
        <v>905.0</v>
      </c>
      <c r="I10982" s="24">
        <v>471.0</v>
      </c>
      <c r="J10982" s="24">
        <v>0.0</v>
      </c>
      <c r="K10982" s="23" t="s">
        <v>34</v>
      </c>
      <c r="L10982" s="25">
        <v>40501.2875462963</v>
      </c>
      <c r="M10982" s="26" t="s">
        <v>23139</v>
      </c>
      <c r="N10982" s="26" t="s">
        <v>23140</v>
      </c>
      <c r="O10982" s="22" t="str">
        <f>HYPERLINK("https://pbs.twimg.com/profile_images/808726637395279877/esx5tkpi_normal.jpg","View")</f>
        <v>View</v>
      </c>
      <c r="P10982" s="27"/>
    </row>
    <row r="10983">
      <c r="A10983" s="14">
        <v>43032.46318287037</v>
      </c>
      <c r="B10983" s="20" t="str">
        <f>HYPERLINK("https://twitter.com/cbc_diff","@cbc_diff")</f>
        <v>@cbc_diff</v>
      </c>
      <c r="C10983" s="21" t="s">
        <v>17302</v>
      </c>
      <c r="D10983" s="21" t="s">
        <v>23141</v>
      </c>
      <c r="E10983" s="22" t="str">
        <f>HYPERLINK("https://twitter.com/cbc_diff/status/922887156196048902","922887156196048902")</f>
        <v>922887156196048902</v>
      </c>
      <c r="F10983" s="23" t="s">
        <v>17302</v>
      </c>
      <c r="G10983" s="24">
        <v>142.0</v>
      </c>
      <c r="H10983" s="24">
        <v>0.0</v>
      </c>
      <c r="I10983" s="24">
        <v>0.0</v>
      </c>
      <c r="J10983" s="24">
        <v>0.0</v>
      </c>
      <c r="K10983" s="23" t="s">
        <v>34</v>
      </c>
      <c r="L10983" s="25">
        <v>42746.21340277778</v>
      </c>
      <c r="M10983" s="26" t="s">
        <v>1961</v>
      </c>
      <c r="N10983" s="26" t="s">
        <v>17304</v>
      </c>
      <c r="O10983" s="22" t="str">
        <f>HYPERLINK("https://pbs.twimg.com/profile_images/821107901691359235/96RkbTLr_normal.jpg","View")</f>
        <v>View</v>
      </c>
      <c r="P10983" s="27"/>
    </row>
    <row r="10984">
      <c r="A10984" s="14">
        <v>43032.46329861111</v>
      </c>
      <c r="B10984" s="20" t="str">
        <f>HYPERLINK("https://twitter.com/AminaSadaf1","@AminaSadaf1")</f>
        <v>@AminaSadaf1</v>
      </c>
      <c r="C10984" s="21" t="s">
        <v>23142</v>
      </c>
      <c r="D10984" s="21" t="s">
        <v>42</v>
      </c>
      <c r="E10984" s="22" t="str">
        <f>HYPERLINK("https://twitter.com/AminaSadaf1/status/922887201012232193","922887201012232193")</f>
        <v>922887201012232193</v>
      </c>
      <c r="F10984" s="23" t="s">
        <v>230</v>
      </c>
      <c r="G10984" s="24">
        <v>703.0</v>
      </c>
      <c r="H10984" s="24">
        <v>34.0</v>
      </c>
      <c r="I10984" s="24">
        <v>8501.0</v>
      </c>
      <c r="J10984" s="24">
        <v>0.0</v>
      </c>
      <c r="K10984" s="23" t="s">
        <v>34</v>
      </c>
      <c r="L10984" s="25">
        <v>41204.22927083333</v>
      </c>
      <c r="M10984" s="28"/>
      <c r="N10984" s="28"/>
      <c r="O10984" s="22" t="str">
        <f>HYPERLINK("https://pbs.twimg.com/profile_images/895132444319518720/MyHF-ah4_normal.jpg","View")</f>
        <v>View</v>
      </c>
      <c r="P10984" s="27"/>
    </row>
    <row r="10985">
      <c r="A10985" s="14">
        <v>43032.46366898148</v>
      </c>
      <c r="B10985" s="20" t="str">
        <f>HYPERLINK("https://twitter.com/EmineOdac","@EmineOdac")</f>
        <v>@EmineOdac</v>
      </c>
      <c r="C10985" s="21" t="s">
        <v>23143</v>
      </c>
      <c r="D10985" s="21" t="s">
        <v>22629</v>
      </c>
      <c r="E10985" s="22" t="str">
        <f>HYPERLINK("https://twitter.com/EmineOdac/status/922887332277219328","922887332277219328")</f>
        <v>922887332277219328</v>
      </c>
      <c r="F10985" s="23" t="s">
        <v>33</v>
      </c>
      <c r="G10985" s="24">
        <v>69.0</v>
      </c>
      <c r="H10985" s="24">
        <v>183.0</v>
      </c>
      <c r="I10985" s="24">
        <v>14.0</v>
      </c>
      <c r="J10985" s="24">
        <v>0.0</v>
      </c>
      <c r="K10985" s="23" t="s">
        <v>34</v>
      </c>
      <c r="L10985" s="25">
        <v>40803.478530092594</v>
      </c>
      <c r="M10985" s="26" t="s">
        <v>8991</v>
      </c>
      <c r="N10985" s="26" t="s">
        <v>23144</v>
      </c>
      <c r="O10985" s="22" t="str">
        <f>HYPERLINK("https://pbs.twimg.com/profile_images/881817644458020866/iCDXEXjJ_normal.jpg","View")</f>
        <v>View</v>
      </c>
      <c r="P10985" s="27"/>
    </row>
    <row r="10986">
      <c r="A10986" s="14">
        <v>43032.464583333334</v>
      </c>
      <c r="B10986" s="20" t="str">
        <f>HYPERLINK("https://twitter.com/Katsmile444","@Katsmile444")</f>
        <v>@Katsmile444</v>
      </c>
      <c r="C10986" s="21" t="s">
        <v>23145</v>
      </c>
      <c r="D10986" s="21" t="s">
        <v>16537</v>
      </c>
      <c r="E10986" s="22" t="str">
        <f>HYPERLINK("https://twitter.com/Katsmile444/status/922887664738689024","922887664738689024")</f>
        <v>922887664738689024</v>
      </c>
      <c r="F10986" s="23" t="s">
        <v>39</v>
      </c>
      <c r="G10986" s="24">
        <v>327.0</v>
      </c>
      <c r="H10986" s="24">
        <v>555.0</v>
      </c>
      <c r="I10986" s="24">
        <v>242.0</v>
      </c>
      <c r="J10986" s="24">
        <v>0.0</v>
      </c>
      <c r="K10986" s="23" t="s">
        <v>34</v>
      </c>
      <c r="L10986" s="25">
        <v>42378.37918981482</v>
      </c>
      <c r="M10986" s="26" t="s">
        <v>23146</v>
      </c>
      <c r="N10986" s="28"/>
      <c r="O10986" s="22" t="str">
        <f>HYPERLINK("https://pbs.twimg.com/profile_images/915386932724621312/Mgw48lhp_normal.jpg","View")</f>
        <v>View</v>
      </c>
      <c r="P10986" s="27"/>
    </row>
    <row r="10987">
      <c r="A10987" s="14">
        <v>43032.46482638889</v>
      </c>
      <c r="B10987" s="20" t="str">
        <f>HYPERLINK("https://twitter.com/BlackAvenger_","@BlackAvenger_")</f>
        <v>@BlackAvenger_</v>
      </c>
      <c r="C10987" s="21" t="s">
        <v>23147</v>
      </c>
      <c r="D10987" s="21" t="s">
        <v>32</v>
      </c>
      <c r="E10987" s="22" t="str">
        <f>HYPERLINK("https://twitter.com/BlackAvenger_/status/922887755507621891","922887755507621891")</f>
        <v>922887755507621891</v>
      </c>
      <c r="F10987" s="23" t="s">
        <v>23148</v>
      </c>
      <c r="G10987" s="24">
        <v>1895.0</v>
      </c>
      <c r="H10987" s="24">
        <v>645.0</v>
      </c>
      <c r="I10987" s="24">
        <v>471.0</v>
      </c>
      <c r="J10987" s="24">
        <v>0.0</v>
      </c>
      <c r="K10987" s="23" t="s">
        <v>34</v>
      </c>
      <c r="L10987" s="25">
        <v>40800.28084490741</v>
      </c>
      <c r="M10987" s="26" t="s">
        <v>23149</v>
      </c>
      <c r="N10987" s="26" t="s">
        <v>23150</v>
      </c>
      <c r="O10987" s="22" t="str">
        <f>HYPERLINK("https://pbs.twimg.com/profile_images/797240563913330689/aPhZZSU7_normal.jpg","View")</f>
        <v>View</v>
      </c>
      <c r="P10987" s="27"/>
    </row>
    <row r="10988">
      <c r="A10988" s="14">
        <v>43032.46540509259</v>
      </c>
      <c r="B10988" s="20" t="str">
        <f>HYPERLINK("https://twitter.com/bpolitics","@bpolitics")</f>
        <v>@bpolitics</v>
      </c>
      <c r="C10988" s="21" t="s">
        <v>3445</v>
      </c>
      <c r="D10988" s="21" t="s">
        <v>23151</v>
      </c>
      <c r="E10988" s="22" t="str">
        <f>HYPERLINK("https://twitter.com/bpolitics/status/922887964589424640","922887964589424640")</f>
        <v>922887964589424640</v>
      </c>
      <c r="F10988" s="23" t="s">
        <v>1103</v>
      </c>
      <c r="G10988" s="24">
        <v>221050.0</v>
      </c>
      <c r="H10988" s="24">
        <v>865.0</v>
      </c>
      <c r="I10988" s="24">
        <v>5.0</v>
      </c>
      <c r="J10988" s="24">
        <v>1.0</v>
      </c>
      <c r="K10988" s="23" t="s">
        <v>34</v>
      </c>
      <c r="L10988" s="25">
        <v>41025.57640046296</v>
      </c>
      <c r="M10988" s="28"/>
      <c r="N10988" s="26" t="s">
        <v>3447</v>
      </c>
      <c r="O10988" s="22" t="str">
        <f>HYPERLINK("https://pbs.twimg.com/profile_images/714804098890133504/cUO4gD1A_normal.jpg","View")</f>
        <v>View</v>
      </c>
      <c r="P10988" s="27"/>
    </row>
    <row r="10989">
      <c r="A10989" s="14">
        <v>43032.46564814815</v>
      </c>
      <c r="B10989" s="20" t="str">
        <f>HYPERLINK("https://twitter.com/TAdameFrdz","@TAdameFrdz")</f>
        <v>@TAdameFrdz</v>
      </c>
      <c r="C10989" s="21" t="s">
        <v>23152</v>
      </c>
      <c r="D10989" s="21" t="s">
        <v>23153</v>
      </c>
      <c r="E10989" s="22" t="str">
        <f>HYPERLINK("https://twitter.com/TAdameFrdz/status/922888051709370371","922888051709370371")</f>
        <v>922888051709370371</v>
      </c>
      <c r="F10989" s="23" t="s">
        <v>39</v>
      </c>
      <c r="G10989" s="24">
        <v>28.0</v>
      </c>
      <c r="H10989" s="24">
        <v>112.0</v>
      </c>
      <c r="I10989" s="24">
        <v>5.0</v>
      </c>
      <c r="J10989" s="24">
        <v>0.0</v>
      </c>
      <c r="K10989" s="23" t="s">
        <v>34</v>
      </c>
      <c r="L10989" s="25">
        <v>42724.836226851854</v>
      </c>
      <c r="M10989" s="26" t="s">
        <v>23154</v>
      </c>
      <c r="N10989" s="28"/>
      <c r="O10989" s="22" t="str">
        <f>HYPERLINK("https://pbs.twimg.com/profile_images/815405038688464898/4frJ_pCn_normal.jpg","View")</f>
        <v>View</v>
      </c>
      <c r="P10989" s="27"/>
    </row>
    <row r="10990">
      <c r="A10990" s="14">
        <v>43032.466099537036</v>
      </c>
      <c r="B10990" s="20" t="str">
        <f>HYPERLINK("https://twitter.com/Lizbestones1","@Lizbestones1")</f>
        <v>@Lizbestones1</v>
      </c>
      <c r="C10990" s="21" t="s">
        <v>2235</v>
      </c>
      <c r="D10990" s="21" t="s">
        <v>23155</v>
      </c>
      <c r="E10990" s="22" t="str">
        <f>HYPERLINK("https://twitter.com/Lizbestones1/status/922888214800515072","922888214800515072")</f>
        <v>922888214800515072</v>
      </c>
      <c r="F10990" s="23" t="s">
        <v>43</v>
      </c>
      <c r="G10990" s="24">
        <v>64.0</v>
      </c>
      <c r="H10990" s="24">
        <v>290.0</v>
      </c>
      <c r="I10990" s="24">
        <v>1.0</v>
      </c>
      <c r="J10990" s="24">
        <v>0.0</v>
      </c>
      <c r="K10990" s="23" t="s">
        <v>34</v>
      </c>
      <c r="L10990" s="25">
        <v>43026.805810185186</v>
      </c>
      <c r="M10990" s="26" t="s">
        <v>2236</v>
      </c>
      <c r="N10990" s="28"/>
      <c r="O10990" s="22" t="str">
        <f>HYPERLINK("https://pbs.twimg.com/profile_images/920841661860769793/m2SkfiUn_normal.jpg","View")</f>
        <v>View</v>
      </c>
      <c r="P10990" s="27"/>
    </row>
    <row r="10991">
      <c r="A10991" s="14">
        <v>43032.46734953704</v>
      </c>
      <c r="B10991" s="20" t="str">
        <f>HYPERLINK("https://twitter.com/ramkushwaha1179","@ramkushwaha1179")</f>
        <v>@ramkushwaha1179</v>
      </c>
      <c r="C10991" s="21" t="s">
        <v>23156</v>
      </c>
      <c r="D10991" s="21" t="s">
        <v>9700</v>
      </c>
      <c r="E10991" s="22" t="str">
        <f>HYPERLINK("https://twitter.com/ramkushwaha1179/status/922888666204200960","922888666204200960")</f>
        <v>922888666204200960</v>
      </c>
      <c r="F10991" s="23" t="s">
        <v>33</v>
      </c>
      <c r="G10991" s="24">
        <v>150.0</v>
      </c>
      <c r="H10991" s="24">
        <v>155.0</v>
      </c>
      <c r="I10991" s="24">
        <v>46.0</v>
      </c>
      <c r="J10991" s="24">
        <v>0.0</v>
      </c>
      <c r="K10991" s="23" t="s">
        <v>34</v>
      </c>
      <c r="L10991" s="25">
        <v>42793.202569444446</v>
      </c>
      <c r="M10991" s="26" t="s">
        <v>23157</v>
      </c>
      <c r="N10991" s="26" t="s">
        <v>23158</v>
      </c>
      <c r="O10991" s="22" t="str">
        <f>HYPERLINK("https://pbs.twimg.com/profile_images/842719430161326081/bfc_AFIF_normal.jpg","View")</f>
        <v>View</v>
      </c>
      <c r="P10991" s="27"/>
    </row>
    <row r="10992">
      <c r="A10992" s="14">
        <v>43032.46854166666</v>
      </c>
      <c r="B10992" s="20" t="str">
        <f>HYPERLINK("https://twitter.com/ParijatChakrab8","@ParijatChakrab8")</f>
        <v>@ParijatChakrab8</v>
      </c>
      <c r="C10992" s="21" t="s">
        <v>23159</v>
      </c>
      <c r="D10992" s="21" t="s">
        <v>42</v>
      </c>
      <c r="E10992" s="22" t="str">
        <f>HYPERLINK("https://twitter.com/ParijatChakrab8/status/922889101421961216","922889101421961216")</f>
        <v>922889101421961216</v>
      </c>
      <c r="F10992" s="23" t="s">
        <v>33</v>
      </c>
      <c r="G10992" s="24">
        <v>2.0</v>
      </c>
      <c r="H10992" s="24">
        <v>6.0</v>
      </c>
      <c r="I10992" s="24">
        <v>8501.0</v>
      </c>
      <c r="J10992" s="24">
        <v>0.0</v>
      </c>
      <c r="K10992" s="23" t="s">
        <v>34</v>
      </c>
      <c r="L10992" s="25">
        <v>42959.91615740741</v>
      </c>
      <c r="M10992" s="28"/>
      <c r="N10992" s="28"/>
      <c r="O10992" s="22" t="str">
        <f>HYPERLINK("https://abs.twimg.com/sticky/default_profile_images/default_profile_normal.png","View")</f>
        <v>View</v>
      </c>
      <c r="P10992" s="27"/>
    </row>
    <row r="10993">
      <c r="A10993" s="14">
        <v>43032.468564814815</v>
      </c>
      <c r="B10993" s="20" t="str">
        <f>HYPERLINK("https://twitter.com/Imagine_666666","@Imagine_666666")</f>
        <v>@Imagine_666666</v>
      </c>
      <c r="C10993" s="21" t="s">
        <v>23160</v>
      </c>
      <c r="D10993" s="21" t="s">
        <v>23161</v>
      </c>
      <c r="E10993" s="22" t="str">
        <f>HYPERLINK("https://twitter.com/Imagine_666666/status/922889107763642368","922889107763642368")</f>
        <v>922889107763642368</v>
      </c>
      <c r="F10993" s="23" t="s">
        <v>39</v>
      </c>
      <c r="G10993" s="24">
        <v>360.0</v>
      </c>
      <c r="H10993" s="24">
        <v>417.0</v>
      </c>
      <c r="I10993" s="24">
        <v>0.0</v>
      </c>
      <c r="J10993" s="24">
        <v>0.0</v>
      </c>
      <c r="K10993" s="23" t="s">
        <v>34</v>
      </c>
      <c r="L10993" s="25">
        <v>40787.38997685185</v>
      </c>
      <c r="M10993" s="28"/>
      <c r="N10993" s="28"/>
      <c r="O10993" s="22" t="str">
        <f>HYPERLINK("https://pbs.twimg.com/profile_images/427125707638972416/sRvbl7Y5_normal.jpeg","View")</f>
        <v>View</v>
      </c>
      <c r="P10993" s="27"/>
    </row>
    <row r="10994">
      <c r="A10994" s="14">
        <v>43032.46870370371</v>
      </c>
      <c r="B10994" s="20" t="str">
        <f>HYPERLINK("https://twitter.com/SasakawaUSA","@SasakawaUSA")</f>
        <v>@SasakawaUSA</v>
      </c>
      <c r="C10994" s="21" t="s">
        <v>23162</v>
      </c>
      <c r="D10994" s="21" t="s">
        <v>23163</v>
      </c>
      <c r="E10994" s="22" t="str">
        <f>HYPERLINK("https://twitter.com/SasakawaUSA/status/922889158317789184","922889158317789184")</f>
        <v>922889158317789184</v>
      </c>
      <c r="F10994" s="23" t="s">
        <v>23164</v>
      </c>
      <c r="G10994" s="24">
        <v>5857.0</v>
      </c>
      <c r="H10994" s="24">
        <v>5983.0</v>
      </c>
      <c r="I10994" s="24">
        <v>4.0</v>
      </c>
      <c r="J10994" s="24">
        <v>2.0</v>
      </c>
      <c r="K10994" s="23" t="s">
        <v>34</v>
      </c>
      <c r="L10994" s="25">
        <v>41961.371724537035</v>
      </c>
      <c r="M10994" s="26" t="s">
        <v>4225</v>
      </c>
      <c r="N10994" s="26" t="s">
        <v>23165</v>
      </c>
      <c r="O10994" s="22" t="str">
        <f>HYPERLINK("https://pbs.twimg.com/profile_images/628292339363135488/1iGVIqGi_normal.png","View")</f>
        <v>View</v>
      </c>
      <c r="P10994" s="27"/>
    </row>
    <row r="10995">
      <c r="A10995" s="14">
        <v>43032.4690625</v>
      </c>
      <c r="B10995" s="20" t="str">
        <f>HYPERLINK("https://twitter.com/ChosenFluffy","@ChosenFluffy")</f>
        <v>@ChosenFluffy</v>
      </c>
      <c r="C10995" s="21" t="s">
        <v>23166</v>
      </c>
      <c r="D10995" s="21" t="s">
        <v>23167</v>
      </c>
      <c r="E10995" s="22" t="str">
        <f>HYPERLINK("https://twitter.com/ChosenFluffy/status/922889289741897728","922889289741897728")</f>
        <v>922889289741897728</v>
      </c>
      <c r="F10995" s="23" t="s">
        <v>43</v>
      </c>
      <c r="G10995" s="24">
        <v>258.0</v>
      </c>
      <c r="H10995" s="24">
        <v>539.0</v>
      </c>
      <c r="I10995" s="24">
        <v>4.0</v>
      </c>
      <c r="J10995" s="24">
        <v>0.0</v>
      </c>
      <c r="K10995" s="23" t="s">
        <v>34</v>
      </c>
      <c r="L10995" s="25">
        <v>42053.87118055555</v>
      </c>
      <c r="M10995" s="28"/>
      <c r="N10995" s="26" t="s">
        <v>23168</v>
      </c>
      <c r="O10995" s="22" t="str">
        <f>HYPERLINK("https://pbs.twimg.com/profile_images/843590195630895104/boZEySre_normal.jpg","View")</f>
        <v>View</v>
      </c>
      <c r="P10995" s="27"/>
    </row>
    <row r="10996">
      <c r="A10996" s="14">
        <v>43032.46934027778</v>
      </c>
      <c r="B10996" s="20" t="str">
        <f>HYPERLINK("https://twitter.com/VictoriaVenega7","@VictoriaVenega7")</f>
        <v>@VictoriaVenega7</v>
      </c>
      <c r="C10996" s="21" t="s">
        <v>16665</v>
      </c>
      <c r="D10996" s="21" t="s">
        <v>23153</v>
      </c>
      <c r="E10996" s="22" t="str">
        <f>HYPERLINK("https://twitter.com/VictoriaVenega7/status/922889388656246784","922889388656246784")</f>
        <v>922889388656246784</v>
      </c>
      <c r="F10996" s="23" t="s">
        <v>33</v>
      </c>
      <c r="G10996" s="24">
        <v>396.0</v>
      </c>
      <c r="H10996" s="24">
        <v>294.0</v>
      </c>
      <c r="I10996" s="24">
        <v>5.0</v>
      </c>
      <c r="J10996" s="24">
        <v>0.0</v>
      </c>
      <c r="K10996" s="23" t="s">
        <v>34</v>
      </c>
      <c r="L10996" s="25">
        <v>41493.65138888889</v>
      </c>
      <c r="M10996" s="28"/>
      <c r="N10996" s="28"/>
      <c r="O10996" s="22" t="str">
        <f>HYPERLINK("https://pbs.twimg.com/profile_images/378800000257280041/9bbef49e273a235b7ccb9f02465f27e8_normal.jpeg","View")</f>
        <v>View</v>
      </c>
      <c r="P10996" s="27"/>
    </row>
    <row r="10997">
      <c r="A10997" s="14">
        <v>43032.46938657407</v>
      </c>
      <c r="B10997" s="20" t="str">
        <f>HYPERLINK("https://twitter.com/Flick_AA","@Flick_AA")</f>
        <v>@Flick_AA</v>
      </c>
      <c r="C10997" s="21" t="s">
        <v>23169</v>
      </c>
      <c r="D10997" s="21" t="s">
        <v>32</v>
      </c>
      <c r="E10997" s="22" t="str">
        <f>HYPERLINK("https://twitter.com/Flick_AA/status/922889404372475905","922889404372475905")</f>
        <v>922889404372475905</v>
      </c>
      <c r="F10997" s="23" t="s">
        <v>33</v>
      </c>
      <c r="G10997" s="24">
        <v>99.0</v>
      </c>
      <c r="H10997" s="24">
        <v>151.0</v>
      </c>
      <c r="I10997" s="24">
        <v>471.0</v>
      </c>
      <c r="J10997" s="24">
        <v>0.0</v>
      </c>
      <c r="K10997" s="23" t="s">
        <v>34</v>
      </c>
      <c r="L10997" s="25">
        <v>40688.18890046296</v>
      </c>
      <c r="M10997" s="28"/>
      <c r="N10997" s="26" t="s">
        <v>23170</v>
      </c>
      <c r="O10997" s="22" t="str">
        <f>HYPERLINK("https://pbs.twimg.com/profile_images/904611768797941761/X6e9gV8I_normal.jpg","View")</f>
        <v>View</v>
      </c>
      <c r="P10997" s="27"/>
    </row>
    <row r="10998">
      <c r="A10998" s="14">
        <v>43032.469548611116</v>
      </c>
      <c r="B10998" s="20" t="str">
        <f>HYPERLINK("https://twitter.com/troll_ndtv","@troll_ndtv")</f>
        <v>@troll_ndtv</v>
      </c>
      <c r="C10998" s="21" t="s">
        <v>23171</v>
      </c>
      <c r="D10998" s="21" t="s">
        <v>22882</v>
      </c>
      <c r="E10998" s="22" t="str">
        <f>HYPERLINK("https://twitter.com/troll_ndtv/status/922889464648687617","922889464648687617")</f>
        <v>922889464648687617</v>
      </c>
      <c r="F10998" s="23" t="s">
        <v>43</v>
      </c>
      <c r="G10998" s="24">
        <v>14.0</v>
      </c>
      <c r="H10998" s="24">
        <v>50.0</v>
      </c>
      <c r="I10998" s="24">
        <v>33.0</v>
      </c>
      <c r="J10998" s="24">
        <v>0.0</v>
      </c>
      <c r="K10998" s="23" t="s">
        <v>34</v>
      </c>
      <c r="L10998" s="25">
        <v>42899.53398148148</v>
      </c>
      <c r="M10998" s="28"/>
      <c r="N10998" s="28"/>
      <c r="O10998" s="22" t="str">
        <f>HYPERLINK("https://abs.twimg.com/sticky/default_profile_images/default_profile_normal.png","View")</f>
        <v>View</v>
      </c>
      <c r="P10998" s="27"/>
    </row>
    <row r="10999">
      <c r="A10999" s="14">
        <v>43032.47170138889</v>
      </c>
      <c r="B10999" s="20" t="str">
        <f>HYPERLINK("https://twitter.com/paoloigna1","@paoloigna1")</f>
        <v>@paoloigna1</v>
      </c>
      <c r="C10999" s="21" t="s">
        <v>15204</v>
      </c>
      <c r="D10999" s="21" t="s">
        <v>20915</v>
      </c>
      <c r="E10999" s="22" t="str">
        <f>HYPERLINK("https://twitter.com/paoloigna1/status/922890245758177281","922890245758177281")</f>
        <v>922890245758177281</v>
      </c>
      <c r="F10999" s="23" t="s">
        <v>55</v>
      </c>
      <c r="G10999" s="24">
        <v>79243.0</v>
      </c>
      <c r="H10999" s="24">
        <v>86935.0</v>
      </c>
      <c r="I10999" s="24">
        <v>5.0</v>
      </c>
      <c r="J10999" s="24">
        <v>0.0</v>
      </c>
      <c r="K10999" s="23" t="s">
        <v>34</v>
      </c>
      <c r="L10999" s="25">
        <v>41374.10376157407</v>
      </c>
      <c r="M10999" s="28"/>
      <c r="N10999" s="26" t="s">
        <v>15205</v>
      </c>
      <c r="O10999" s="22" t="str">
        <f>HYPERLINK("https://pbs.twimg.com/profile_images/418795472472383488/YQgyHWog_normal.jpeg","View")</f>
        <v>View</v>
      </c>
      <c r="P10999" s="27"/>
    </row>
    <row r="11000">
      <c r="A11000" s="14">
        <v>43032.47216435186</v>
      </c>
      <c r="B11000" s="20" t="str">
        <f>HYPERLINK("https://twitter.com/Eds_Salcedo","@Eds_Salcedo")</f>
        <v>@Eds_Salcedo</v>
      </c>
      <c r="C11000" s="21" t="s">
        <v>23172</v>
      </c>
      <c r="D11000" s="21" t="s">
        <v>16946</v>
      </c>
      <c r="E11000" s="22" t="str">
        <f>HYPERLINK("https://twitter.com/Eds_Salcedo/status/922890414662840320","922890414662840320")</f>
        <v>922890414662840320</v>
      </c>
      <c r="F11000" s="23" t="s">
        <v>33</v>
      </c>
      <c r="G11000" s="24">
        <v>2559.0</v>
      </c>
      <c r="H11000" s="24">
        <v>3128.0</v>
      </c>
      <c r="I11000" s="24">
        <v>6.0</v>
      </c>
      <c r="J11000" s="24">
        <v>0.0</v>
      </c>
      <c r="K11000" s="23" t="s">
        <v>34</v>
      </c>
      <c r="L11000" s="25">
        <v>41046.61222222222</v>
      </c>
      <c r="M11000" s="26" t="s">
        <v>3507</v>
      </c>
      <c r="N11000" s="26" t="s">
        <v>23173</v>
      </c>
      <c r="O11000" s="22" t="str">
        <f>HYPERLINK("https://pbs.twimg.com/profile_images/907019103843561472/sycKKHS4_normal.jpg","View")</f>
        <v>View</v>
      </c>
      <c r="P11000" s="27"/>
    </row>
    <row r="11001">
      <c r="A11001" s="14">
        <v>43032.473912037036</v>
      </c>
      <c r="B11001" s="20" t="str">
        <f>HYPERLINK("https://twitter.com/Heena77874884","@Heena77874884")</f>
        <v>@Heena77874884</v>
      </c>
      <c r="C11001" s="21" t="s">
        <v>23174</v>
      </c>
      <c r="D11001" s="21" t="s">
        <v>42</v>
      </c>
      <c r="E11001" s="22" t="str">
        <f>HYPERLINK("https://twitter.com/Heena77874884/status/922891047549616128","922891047549616128")</f>
        <v>922891047549616128</v>
      </c>
      <c r="F11001" s="23" t="s">
        <v>33</v>
      </c>
      <c r="G11001" s="24">
        <v>115.0</v>
      </c>
      <c r="H11001" s="24">
        <v>280.0</v>
      </c>
      <c r="I11001" s="24">
        <v>8501.0</v>
      </c>
      <c r="J11001" s="24">
        <v>0.0</v>
      </c>
      <c r="K11001" s="23" t="s">
        <v>34</v>
      </c>
      <c r="L11001" s="25">
        <v>42687.32895833333</v>
      </c>
      <c r="M11001" s="26" t="s">
        <v>2031</v>
      </c>
      <c r="N11001" s="26" t="s">
        <v>23175</v>
      </c>
      <c r="O11001" s="22" t="str">
        <f>HYPERLINK("https://pbs.twimg.com/profile_images/901404693259100160/rC9OWNUr_normal.jpg","View")</f>
        <v>View</v>
      </c>
      <c r="P11001" s="27"/>
    </row>
    <row r="11002">
      <c r="A11002" s="14">
        <v>43032.47393518519</v>
      </c>
      <c r="B11002" s="20" t="str">
        <f>HYPERLINK("https://twitter.com/JoshiRakesh2004","@JoshiRakesh2004")</f>
        <v>@JoshiRakesh2004</v>
      </c>
      <c r="C11002" s="21" t="s">
        <v>23176</v>
      </c>
      <c r="D11002" s="21" t="s">
        <v>23153</v>
      </c>
      <c r="E11002" s="22" t="str">
        <f>HYPERLINK("https://twitter.com/JoshiRakesh2004/status/922891055271313408","922891055271313408")</f>
        <v>922891055271313408</v>
      </c>
      <c r="F11002" s="23" t="s">
        <v>39</v>
      </c>
      <c r="G11002" s="24">
        <v>2389.0</v>
      </c>
      <c r="H11002" s="24">
        <v>1849.0</v>
      </c>
      <c r="I11002" s="24">
        <v>5.0</v>
      </c>
      <c r="J11002" s="24">
        <v>0.0</v>
      </c>
      <c r="K11002" s="23" t="s">
        <v>34</v>
      </c>
      <c r="L11002" s="25">
        <v>41154.45542824074</v>
      </c>
      <c r="M11002" s="28"/>
      <c r="N11002" s="26" t="s">
        <v>23177</v>
      </c>
      <c r="O11002" s="22" t="str">
        <f>HYPERLINK("https://pbs.twimg.com/profile_images/882265944990470144/pCH677h__normal.jpg","View")</f>
        <v>View</v>
      </c>
      <c r="P11002" s="27"/>
    </row>
    <row r="11003">
      <c r="A11003" s="14">
        <v>43032.475590277776</v>
      </c>
      <c r="B11003" s="20" t="str">
        <f>HYPERLINK("https://twitter.com/Clive_A_Boyce","@Clive_A_Boyce")</f>
        <v>@Clive_A_Boyce</v>
      </c>
      <c r="C11003" s="21" t="s">
        <v>23178</v>
      </c>
      <c r="D11003" s="21" t="s">
        <v>23179</v>
      </c>
      <c r="E11003" s="22" t="str">
        <f>HYPERLINK("https://twitter.com/Clive_A_Boyce/status/922891653068869633","922891653068869633")</f>
        <v>922891653068869633</v>
      </c>
      <c r="F11003" s="23" t="s">
        <v>55</v>
      </c>
      <c r="G11003" s="24">
        <v>2759.0</v>
      </c>
      <c r="H11003" s="24">
        <v>5000.0</v>
      </c>
      <c r="I11003" s="24">
        <v>1.0</v>
      </c>
      <c r="J11003" s="24">
        <v>0.0</v>
      </c>
      <c r="K11003" s="23" t="s">
        <v>34</v>
      </c>
      <c r="L11003" s="25">
        <v>41230.27793981481</v>
      </c>
      <c r="M11003" s="26" t="s">
        <v>23180</v>
      </c>
      <c r="N11003" s="26" t="s">
        <v>23181</v>
      </c>
      <c r="O11003" s="22" t="str">
        <f>HYPERLINK("https://pbs.twimg.com/profile_images/627462017113292800/DQxbEGSS_normal.jpg","View")</f>
        <v>View</v>
      </c>
      <c r="P11003" s="27"/>
    </row>
    <row r="11004">
      <c r="A11004" s="14">
        <v>43032.477060185185</v>
      </c>
      <c r="B11004" s="20" t="str">
        <f>HYPERLINK("https://twitter.com/New_Narrative","@New_Narrative")</f>
        <v>@New_Narrative</v>
      </c>
      <c r="C11004" s="21" t="s">
        <v>6409</v>
      </c>
      <c r="D11004" s="21" t="s">
        <v>23182</v>
      </c>
      <c r="E11004" s="22" t="str">
        <f>HYPERLINK("https://twitter.com/New_Narrative/status/922892185284108290","922892185284108290")</f>
        <v>922892185284108290</v>
      </c>
      <c r="F11004" s="23" t="s">
        <v>635</v>
      </c>
      <c r="G11004" s="24">
        <v>6536.0</v>
      </c>
      <c r="H11004" s="24">
        <v>27.0</v>
      </c>
      <c r="I11004" s="24">
        <v>0.0</v>
      </c>
      <c r="J11004" s="24">
        <v>0.0</v>
      </c>
      <c r="K11004" s="23" t="s">
        <v>34</v>
      </c>
      <c r="L11004" s="25">
        <v>40566.38041666667</v>
      </c>
      <c r="M11004" s="26" t="s">
        <v>6411</v>
      </c>
      <c r="N11004" s="26" t="s">
        <v>6412</v>
      </c>
      <c r="O11004" s="22" t="str">
        <f>HYPERLINK("https://pbs.twimg.com/profile_images/1548673665/megaphone-kid-cropped_normal.jpg","View")</f>
        <v>View</v>
      </c>
      <c r="P11004" s="27"/>
    </row>
    <row r="11005">
      <c r="A11005" s="14">
        <v>43032.478055555555</v>
      </c>
      <c r="B11005" s="20" t="str">
        <f>HYPERLINK("https://twitter.com/MACK00000L","@MACK00000L")</f>
        <v>@MACK00000L</v>
      </c>
      <c r="C11005" s="21" t="s">
        <v>23183</v>
      </c>
      <c r="D11005" s="21" t="s">
        <v>23167</v>
      </c>
      <c r="E11005" s="22" t="str">
        <f>HYPERLINK("https://twitter.com/MACK00000L/status/922892546753228806","922892546753228806")</f>
        <v>922892546753228806</v>
      </c>
      <c r="F11005" s="23" t="s">
        <v>33</v>
      </c>
      <c r="G11005" s="24">
        <v>426.0</v>
      </c>
      <c r="H11005" s="24">
        <v>932.0</v>
      </c>
      <c r="I11005" s="24">
        <v>4.0</v>
      </c>
      <c r="J11005" s="24">
        <v>0.0</v>
      </c>
      <c r="K11005" s="23" t="s">
        <v>34</v>
      </c>
      <c r="L11005" s="25">
        <v>42006.57108796296</v>
      </c>
      <c r="M11005" s="26" t="s">
        <v>5401</v>
      </c>
      <c r="N11005" s="26" t="s">
        <v>23184</v>
      </c>
      <c r="O11005" s="22" t="str">
        <f>HYPERLINK("https://pbs.twimg.com/profile_images/858785082701512704/hxZ-9Clv_normal.jpg","View")</f>
        <v>View</v>
      </c>
      <c r="P11005" s="27"/>
    </row>
    <row r="11006">
      <c r="A11006" s="14">
        <v>43032.47864583333</v>
      </c>
      <c r="B11006" s="20" t="str">
        <f>HYPERLINK("https://twitter.com/BecksUnderwear","@BecksUnderwear")</f>
        <v>@BecksUnderwear</v>
      </c>
      <c r="C11006" s="21" t="s">
        <v>23185</v>
      </c>
      <c r="D11006" s="21" t="s">
        <v>23153</v>
      </c>
      <c r="E11006" s="22" t="str">
        <f>HYPERLINK("https://twitter.com/BecksUnderwear/status/922892761774223360","922892761774223360")</f>
        <v>922892761774223360</v>
      </c>
      <c r="F11006" s="23" t="s">
        <v>769</v>
      </c>
      <c r="G11006" s="24">
        <v>347.0</v>
      </c>
      <c r="H11006" s="24">
        <v>141.0</v>
      </c>
      <c r="I11006" s="24">
        <v>5.0</v>
      </c>
      <c r="J11006" s="24">
        <v>0.0</v>
      </c>
      <c r="K11006" s="23" t="s">
        <v>34</v>
      </c>
      <c r="L11006" s="25">
        <v>39969.75475694444</v>
      </c>
      <c r="M11006" s="28"/>
      <c r="N11006" s="28"/>
      <c r="O11006" s="22" t="str">
        <f>HYPERLINK("https://pbs.twimg.com/profile_images/431172954802491392/UpUE1Yd__normal.jpeg","View")</f>
        <v>View</v>
      </c>
      <c r="P11006" s="27"/>
    </row>
    <row r="11007">
      <c r="A11007" s="14">
        <v>43032.479733796295</v>
      </c>
      <c r="B11007" s="20" t="str">
        <f>HYPERLINK("https://twitter.com/genghisgalahad2","@genghisgalahad2")</f>
        <v>@genghisgalahad2</v>
      </c>
      <c r="C11007" s="21" t="s">
        <v>23186</v>
      </c>
      <c r="D11007" s="21" t="s">
        <v>19621</v>
      </c>
      <c r="E11007" s="22" t="str">
        <f>HYPERLINK("https://twitter.com/genghisgalahad2/status/922893156739203072","922893156739203072")</f>
        <v>922893156739203072</v>
      </c>
      <c r="F11007" s="23" t="s">
        <v>33</v>
      </c>
      <c r="G11007" s="24">
        <v>3353.0</v>
      </c>
      <c r="H11007" s="24">
        <v>5000.0</v>
      </c>
      <c r="I11007" s="24">
        <v>18.0</v>
      </c>
      <c r="J11007" s="24">
        <v>0.0</v>
      </c>
      <c r="K11007" s="23" t="s">
        <v>34</v>
      </c>
      <c r="L11007" s="25">
        <v>41958.397627314815</v>
      </c>
      <c r="M11007" s="28"/>
      <c r="N11007" s="26" t="s">
        <v>23187</v>
      </c>
      <c r="O11007" s="22" t="str">
        <f>HYPERLINK("https://pbs.twimg.com/profile_images/822664681856897025/EYj0Kyb0_normal.jpg","View")</f>
        <v>View</v>
      </c>
      <c r="P11007" s="27"/>
    </row>
    <row r="11008">
      <c r="A11008" s="14">
        <v>43032.48012731482</v>
      </c>
      <c r="B11008" s="20" t="str">
        <f>HYPERLINK("https://twitter.com/KunwarRavi143","@KunwarRavi143")</f>
        <v>@KunwarRavi143</v>
      </c>
      <c r="C11008" s="21" t="s">
        <v>23188</v>
      </c>
      <c r="D11008" s="21" t="s">
        <v>42</v>
      </c>
      <c r="E11008" s="22" t="str">
        <f>HYPERLINK("https://twitter.com/KunwarRavi143/status/922893296279703553","922893296279703553")</f>
        <v>922893296279703553</v>
      </c>
      <c r="F11008" s="23" t="s">
        <v>33</v>
      </c>
      <c r="G11008" s="24">
        <v>204.0</v>
      </c>
      <c r="H11008" s="24">
        <v>583.0</v>
      </c>
      <c r="I11008" s="24">
        <v>8501.0</v>
      </c>
      <c r="J11008" s="24">
        <v>0.0</v>
      </c>
      <c r="K11008" s="23" t="s">
        <v>34</v>
      </c>
      <c r="L11008" s="25">
        <v>42739.905428240745</v>
      </c>
      <c r="M11008" s="26" t="s">
        <v>195</v>
      </c>
      <c r="N11008" s="26" t="s">
        <v>23189</v>
      </c>
      <c r="O11008" s="22" t="str">
        <f>HYPERLINK("https://pbs.twimg.com/profile_images/909867175200149504/vH2x_jzS_normal.jpg","View")</f>
        <v>View</v>
      </c>
      <c r="P11008" s="27"/>
    </row>
    <row r="11009">
      <c r="A11009" s="14">
        <v>43032.480625</v>
      </c>
      <c r="B11009" s="20" t="str">
        <f>HYPERLINK("https://twitter.com/britaintodayuk","@britaintodayuk")</f>
        <v>@britaintodayuk</v>
      </c>
      <c r="C11009" s="21" t="s">
        <v>23190</v>
      </c>
      <c r="D11009" s="21" t="s">
        <v>23191</v>
      </c>
      <c r="E11009" s="22" t="str">
        <f>HYPERLINK("https://twitter.com/britaintodayuk/status/922893480275382272","922893480275382272")</f>
        <v>922893480275382272</v>
      </c>
      <c r="F11009" s="23" t="s">
        <v>23192</v>
      </c>
      <c r="G11009" s="24">
        <v>51.0</v>
      </c>
      <c r="H11009" s="24">
        <v>104.0</v>
      </c>
      <c r="I11009" s="24">
        <v>0.0</v>
      </c>
      <c r="J11009" s="24">
        <v>0.0</v>
      </c>
      <c r="K11009" s="23" t="s">
        <v>34</v>
      </c>
      <c r="L11009" s="25">
        <v>42705.914768518516</v>
      </c>
      <c r="M11009" s="26" t="s">
        <v>708</v>
      </c>
      <c r="N11009" s="26" t="s">
        <v>23193</v>
      </c>
      <c r="O11009" s="22" t="str">
        <f>HYPERLINK("https://pbs.twimg.com/profile_images/842827393001820164/fC36aqDC_normal.jpg","View")</f>
        <v>View</v>
      </c>
      <c r="P11009" s="27"/>
    </row>
    <row r="11010">
      <c r="A11010" s="14">
        <v>43032.48190972222</v>
      </c>
      <c r="B11010" s="20" t="str">
        <f>HYPERLINK("https://twitter.com/sangampmishra","@sangampmishra")</f>
        <v>@sangampmishra</v>
      </c>
      <c r="C11010" s="21" t="s">
        <v>23194</v>
      </c>
      <c r="D11010" s="21" t="s">
        <v>42</v>
      </c>
      <c r="E11010" s="22" t="str">
        <f>HYPERLINK("https://twitter.com/sangampmishra/status/922893946149158914","922893946149158914")</f>
        <v>922893946149158914</v>
      </c>
      <c r="F11010" s="23" t="s">
        <v>33</v>
      </c>
      <c r="G11010" s="24">
        <v>16275.0</v>
      </c>
      <c r="H11010" s="24">
        <v>278.0</v>
      </c>
      <c r="I11010" s="24">
        <v>8501.0</v>
      </c>
      <c r="J11010" s="24">
        <v>0.0</v>
      </c>
      <c r="K11010" s="23" t="s">
        <v>34</v>
      </c>
      <c r="L11010" s="25">
        <v>41688.38984953704</v>
      </c>
      <c r="M11010" s="26" t="s">
        <v>575</v>
      </c>
      <c r="N11010" s="26" t="s">
        <v>23195</v>
      </c>
      <c r="O11010" s="22" t="str">
        <f>HYPERLINK("https://pbs.twimg.com/profile_images/898893025551593474/YxDSk8Sz_normal.jpg","View")</f>
        <v>View</v>
      </c>
      <c r="P11010" s="27"/>
    </row>
    <row r="11011">
      <c r="A11011" s="14">
        <v>43032.48280092592</v>
      </c>
      <c r="B11011" s="20" t="str">
        <f>HYPERLINK("https://twitter.com/Korn_Ferry","@Korn_Ferry")</f>
        <v>@Korn_Ferry</v>
      </c>
      <c r="C11011" s="21" t="s">
        <v>22688</v>
      </c>
      <c r="D11011" s="21" t="s">
        <v>23196</v>
      </c>
      <c r="E11011" s="22" t="str">
        <f>HYPERLINK("https://twitter.com/Korn_Ferry/status/922894268871659522","922894268871659522")</f>
        <v>922894268871659522</v>
      </c>
      <c r="F11011" s="23" t="s">
        <v>427</v>
      </c>
      <c r="G11011" s="24">
        <v>18211.0</v>
      </c>
      <c r="H11011" s="24">
        <v>153.0</v>
      </c>
      <c r="I11011" s="24">
        <v>0.0</v>
      </c>
      <c r="J11011" s="24">
        <v>0.0</v>
      </c>
      <c r="K11011" s="23" t="s">
        <v>34</v>
      </c>
      <c r="L11011" s="25">
        <v>39910.41605324074</v>
      </c>
      <c r="M11011" s="26" t="s">
        <v>2068</v>
      </c>
      <c r="N11011" s="26" t="s">
        <v>22690</v>
      </c>
      <c r="O11011" s="22" t="str">
        <f>HYPERLINK("https://pbs.twimg.com/profile_images/459013597373288449/SSobYiV8_normal.jpeg","View")</f>
        <v>View</v>
      </c>
      <c r="P11011" s="27"/>
    </row>
    <row r="11012">
      <c r="A11012" s="14">
        <v>43032.4828587963</v>
      </c>
      <c r="B11012" s="20" t="str">
        <f>HYPERLINK("https://twitter.com/1TN2018","@1TN2018")</f>
        <v>@1TN2018</v>
      </c>
      <c r="C11012" s="21" t="s">
        <v>16945</v>
      </c>
      <c r="D11012" s="21" t="s">
        <v>16537</v>
      </c>
      <c r="E11012" s="22" t="str">
        <f>HYPERLINK("https://twitter.com/1TN2018/status/922894288480014338","922894288480014338")</f>
        <v>922894288480014338</v>
      </c>
      <c r="F11012" s="23" t="s">
        <v>33</v>
      </c>
      <c r="G11012" s="24">
        <v>382.0</v>
      </c>
      <c r="H11012" s="24">
        <v>2373.0</v>
      </c>
      <c r="I11012" s="24">
        <v>242.0</v>
      </c>
      <c r="J11012" s="24">
        <v>0.0</v>
      </c>
      <c r="K11012" s="23" t="s">
        <v>34</v>
      </c>
      <c r="L11012" s="25">
        <v>42895.44652777778</v>
      </c>
      <c r="M11012" s="28"/>
      <c r="N11012" s="26" t="s">
        <v>16947</v>
      </c>
      <c r="O11012" s="22" t="str">
        <f>HYPERLINK("https://pbs.twimg.com/profile_images/913850401044221953/jU8dLgY2_normal.jpg","View")</f>
        <v>View</v>
      </c>
      <c r="P11012" s="27"/>
    </row>
    <row r="11013">
      <c r="A11013" s="14">
        <v>43032.484560185185</v>
      </c>
      <c r="B11013" s="20" t="str">
        <f>HYPERLINK("https://twitter.com/Ritzwattson","@Ritzwattson")</f>
        <v>@Ritzwattson</v>
      </c>
      <c r="C11013" s="21" t="s">
        <v>23197</v>
      </c>
      <c r="D11013" s="21" t="s">
        <v>32</v>
      </c>
      <c r="E11013" s="22" t="str">
        <f>HYPERLINK("https://twitter.com/Ritzwattson/status/922894904069586945","922894904069586945")</f>
        <v>922894904069586945</v>
      </c>
      <c r="F11013" s="23" t="s">
        <v>33</v>
      </c>
      <c r="G11013" s="24">
        <v>481.0</v>
      </c>
      <c r="H11013" s="24">
        <v>783.0</v>
      </c>
      <c r="I11013" s="24">
        <v>471.0</v>
      </c>
      <c r="J11013" s="24">
        <v>0.0</v>
      </c>
      <c r="K11013" s="23" t="s">
        <v>34</v>
      </c>
      <c r="L11013" s="25">
        <v>40026.945381944446</v>
      </c>
      <c r="M11013" s="26" t="s">
        <v>23198</v>
      </c>
      <c r="N11013" s="26" t="s">
        <v>23199</v>
      </c>
      <c r="O11013" s="22" t="str">
        <f>HYPERLINK("https://pbs.twimg.com/profile_images/614383605628989440/Lk-fZWne_normal.jpg","View")</f>
        <v>View</v>
      </c>
      <c r="P11013" s="27"/>
    </row>
    <row r="11014">
      <c r="A11014" s="14">
        <v>43032.48488425926</v>
      </c>
      <c r="B11014" s="20" t="str">
        <f>HYPERLINK("https://twitter.com/btamez890","@btamez890")</f>
        <v>@btamez890</v>
      </c>
      <c r="C11014" s="21" t="s">
        <v>23200</v>
      </c>
      <c r="D11014" s="21" t="s">
        <v>16537</v>
      </c>
      <c r="E11014" s="22" t="str">
        <f>HYPERLINK("https://twitter.com/btamez890/status/922895020981702657","922895020981702657")</f>
        <v>922895020981702657</v>
      </c>
      <c r="F11014" s="23" t="s">
        <v>39</v>
      </c>
      <c r="G11014" s="24">
        <v>5.0</v>
      </c>
      <c r="H11014" s="24">
        <v>30.0</v>
      </c>
      <c r="I11014" s="24">
        <v>242.0</v>
      </c>
      <c r="J11014" s="24">
        <v>0.0</v>
      </c>
      <c r="K11014" s="23" t="s">
        <v>34</v>
      </c>
      <c r="L11014" s="25">
        <v>41968.74864583333</v>
      </c>
      <c r="M11014" s="28"/>
      <c r="N11014" s="28"/>
      <c r="O11014" s="22" t="str">
        <f>HYPERLINK("https://abs.twimg.com/sticky/default_profile_images/default_profile_normal.png","View")</f>
        <v>View</v>
      </c>
      <c r="P11014" s="27"/>
    </row>
    <row r="11015">
      <c r="A11015" s="14">
        <v>43032.48506944445</v>
      </c>
      <c r="B11015" s="20" t="str">
        <f>HYPERLINK("https://twitter.com/icasDC","@icasDC")</f>
        <v>@icasDC</v>
      </c>
      <c r="C11015" s="21" t="s">
        <v>11071</v>
      </c>
      <c r="D11015" s="21" t="s">
        <v>23167</v>
      </c>
      <c r="E11015" s="22" t="str">
        <f>HYPERLINK("https://twitter.com/icasDC/status/922895089445298178","922895089445298178")</f>
        <v>922895089445298178</v>
      </c>
      <c r="F11015" s="23" t="s">
        <v>427</v>
      </c>
      <c r="G11015" s="24">
        <v>820.0</v>
      </c>
      <c r="H11015" s="24">
        <v>484.0</v>
      </c>
      <c r="I11015" s="24">
        <v>4.0</v>
      </c>
      <c r="J11015" s="24">
        <v>0.0</v>
      </c>
      <c r="K11015" s="23" t="s">
        <v>34</v>
      </c>
      <c r="L11015" s="25">
        <v>42251.465567129635</v>
      </c>
      <c r="M11015" s="26" t="s">
        <v>4239</v>
      </c>
      <c r="N11015" s="26" t="s">
        <v>11072</v>
      </c>
      <c r="O11015" s="22" t="str">
        <f>HYPERLINK("https://pbs.twimg.com/profile_images/699967372489158656/brRjVFDX_normal.png","View")</f>
        <v>View</v>
      </c>
      <c r="P11015" s="27"/>
    </row>
    <row r="11016">
      <c r="A11016" s="14">
        <v>43032.4865162037</v>
      </c>
      <c r="B11016" s="20" t="str">
        <f>HYPERLINK("https://twitter.com/txtdiaz","@txtdiaz")</f>
        <v>@txtdiaz</v>
      </c>
      <c r="C11016" s="21" t="s">
        <v>23201</v>
      </c>
      <c r="D11016" s="21" t="s">
        <v>23153</v>
      </c>
      <c r="E11016" s="22" t="str">
        <f>HYPERLINK("https://twitter.com/txtdiaz/status/922895612890238977","922895612890238977")</f>
        <v>922895612890238977</v>
      </c>
      <c r="F11016" s="23" t="s">
        <v>230</v>
      </c>
      <c r="G11016" s="24">
        <v>490.0</v>
      </c>
      <c r="H11016" s="24">
        <v>1855.0</v>
      </c>
      <c r="I11016" s="24">
        <v>5.0</v>
      </c>
      <c r="J11016" s="24">
        <v>0.0</v>
      </c>
      <c r="K11016" s="23" t="s">
        <v>34</v>
      </c>
      <c r="L11016" s="25">
        <v>39909.35230324074</v>
      </c>
      <c r="M11016" s="26" t="s">
        <v>23202</v>
      </c>
      <c r="N11016" s="26" t="s">
        <v>23203</v>
      </c>
      <c r="O11016" s="22" t="str">
        <f>HYPERLINK("https://pbs.twimg.com/profile_images/791442300417159168/xeHfnk6C_normal.jpg","View")</f>
        <v>View</v>
      </c>
      <c r="P11016" s="27"/>
    </row>
    <row r="11017">
      <c r="A11017" s="14">
        <v>43032.48959490741</v>
      </c>
      <c r="B11017" s="20" t="str">
        <f>HYPERLINK("https://twitter.com/IBTimesUKBiz","@IBTimesUKBiz")</f>
        <v>@IBTimesUKBiz</v>
      </c>
      <c r="C11017" s="21" t="s">
        <v>22467</v>
      </c>
      <c r="D11017" s="21" t="s">
        <v>23204</v>
      </c>
      <c r="E11017" s="22" t="str">
        <f>HYPERLINK("https://twitter.com/IBTimesUKBiz/status/922896729195929600","922896729195929600")</f>
        <v>922896729195929600</v>
      </c>
      <c r="F11017" s="23" t="s">
        <v>769</v>
      </c>
      <c r="G11017" s="24">
        <v>1660.0</v>
      </c>
      <c r="H11017" s="24">
        <v>228.0</v>
      </c>
      <c r="I11017" s="24">
        <v>0.0</v>
      </c>
      <c r="J11017" s="24">
        <v>0.0</v>
      </c>
      <c r="K11017" s="23" t="s">
        <v>34</v>
      </c>
      <c r="L11017" s="25">
        <v>41032.230046296296</v>
      </c>
      <c r="M11017" s="26" t="s">
        <v>334</v>
      </c>
      <c r="N11017" s="26" t="s">
        <v>22469</v>
      </c>
      <c r="O11017" s="22" t="str">
        <f>HYPERLINK("https://pbs.twimg.com/profile_images/696672865291259904/fRobKsFo_normal.jpg","View")</f>
        <v>View</v>
      </c>
      <c r="P11017" s="27"/>
    </row>
    <row r="11018">
      <c r="A11018" s="14">
        <v>43032.48979166667</v>
      </c>
      <c r="B11018" s="20" t="str">
        <f>HYPERLINK("https://twitter.com/Korn_Ferry","@Korn_Ferry")</f>
        <v>@Korn_Ferry</v>
      </c>
      <c r="C11018" s="21" t="s">
        <v>22688</v>
      </c>
      <c r="D11018" s="21" t="s">
        <v>23205</v>
      </c>
      <c r="E11018" s="22" t="str">
        <f>HYPERLINK("https://twitter.com/Korn_Ferry/status/922896801514098689","922896801514098689")</f>
        <v>922896801514098689</v>
      </c>
      <c r="F11018" s="23" t="s">
        <v>427</v>
      </c>
      <c r="G11018" s="24">
        <v>18211.0</v>
      </c>
      <c r="H11018" s="24">
        <v>153.0</v>
      </c>
      <c r="I11018" s="24">
        <v>1.0</v>
      </c>
      <c r="J11018" s="24">
        <v>1.0</v>
      </c>
      <c r="K11018" s="23" t="s">
        <v>34</v>
      </c>
      <c r="L11018" s="25">
        <v>39910.41605324074</v>
      </c>
      <c r="M11018" s="26" t="s">
        <v>2068</v>
      </c>
      <c r="N11018" s="26" t="s">
        <v>22690</v>
      </c>
      <c r="O11018" s="22" t="str">
        <f>HYPERLINK("https://pbs.twimg.com/profile_images/459013597373288449/SSobYiV8_normal.jpeg","View")</f>
        <v>View</v>
      </c>
      <c r="P11018" s="27"/>
    </row>
    <row r="11019">
      <c r="A11019" s="14">
        <v>43032.49013888889</v>
      </c>
      <c r="B11019" s="20" t="str">
        <f>HYPERLINK("https://twitter.com/Bi2Mishra","@Bi2Mishra")</f>
        <v>@Bi2Mishra</v>
      </c>
      <c r="C11019" s="21" t="s">
        <v>779</v>
      </c>
      <c r="D11019" s="21" t="s">
        <v>5650</v>
      </c>
      <c r="E11019" s="22" t="str">
        <f>HYPERLINK("https://twitter.com/Bi2Mishra/status/922896927074631680","922896927074631680")</f>
        <v>922896927074631680</v>
      </c>
      <c r="F11019" s="23" t="s">
        <v>780</v>
      </c>
      <c r="G11019" s="24">
        <v>239.0</v>
      </c>
      <c r="H11019" s="24">
        <v>119.0</v>
      </c>
      <c r="I11019" s="24">
        <v>2.0</v>
      </c>
      <c r="J11019" s="24">
        <v>0.0</v>
      </c>
      <c r="K11019" s="23" t="s">
        <v>34</v>
      </c>
      <c r="L11019" s="25">
        <v>41183.49644675926</v>
      </c>
      <c r="M11019" s="28"/>
      <c r="N11019" s="26" t="s">
        <v>781</v>
      </c>
      <c r="O11019" s="22" t="str">
        <f>HYPERLINK("https://pbs.twimg.com/profile_images/809658531242590208/1zqlqV6C_normal.jpg","View")</f>
        <v>View</v>
      </c>
      <c r="P11019" s="27"/>
    </row>
    <row r="11020">
      <c r="A11020" s="14">
        <v>43032.49175925926</v>
      </c>
      <c r="B11020" s="20" t="str">
        <f>HYPERLINK("https://twitter.com/AtifBjp","@AtifBjp")</f>
        <v>@AtifBjp</v>
      </c>
      <c r="C11020" s="21" t="s">
        <v>23206</v>
      </c>
      <c r="D11020" s="21" t="s">
        <v>42</v>
      </c>
      <c r="E11020" s="22" t="str">
        <f>HYPERLINK("https://twitter.com/AtifBjp/status/922897511827697664","922897511827697664")</f>
        <v>922897511827697664</v>
      </c>
      <c r="F11020" s="23" t="s">
        <v>33</v>
      </c>
      <c r="G11020" s="24">
        <v>24841.0</v>
      </c>
      <c r="H11020" s="24">
        <v>3030.0</v>
      </c>
      <c r="I11020" s="24">
        <v>8501.0</v>
      </c>
      <c r="J11020" s="24">
        <v>0.0</v>
      </c>
      <c r="K11020" s="23" t="s">
        <v>34</v>
      </c>
      <c r="L11020" s="25">
        <v>42404.0812037037</v>
      </c>
      <c r="M11020" s="26" t="s">
        <v>575</v>
      </c>
      <c r="N11020" s="26" t="s">
        <v>23207</v>
      </c>
      <c r="O11020" s="22" t="str">
        <f>HYPERLINK("https://pbs.twimg.com/profile_images/900496384033304576/oeeFNB0B_normal.jpg","View")</f>
        <v>View</v>
      </c>
      <c r="P11020" s="27"/>
    </row>
    <row r="11021">
      <c r="A11021" s="14">
        <v>43032.492013888885</v>
      </c>
      <c r="B11021" s="20" t="str">
        <f>HYPERLINK("https://twitter.com/surajupadhyay90","@surajupadhyay90")</f>
        <v>@surajupadhyay90</v>
      </c>
      <c r="C11021" s="21" t="s">
        <v>23208</v>
      </c>
      <c r="D11021" s="21" t="s">
        <v>42</v>
      </c>
      <c r="E11021" s="22" t="str">
        <f>HYPERLINK("https://twitter.com/surajupadhyay90/status/922897604186460160","922897604186460160")</f>
        <v>922897604186460160</v>
      </c>
      <c r="F11021" s="23" t="s">
        <v>33</v>
      </c>
      <c r="G11021" s="24">
        <v>538.0</v>
      </c>
      <c r="H11021" s="24">
        <v>2053.0</v>
      </c>
      <c r="I11021" s="24">
        <v>8501.0</v>
      </c>
      <c r="J11021" s="24">
        <v>0.0</v>
      </c>
      <c r="K11021" s="23" t="s">
        <v>34</v>
      </c>
      <c r="L11021" s="25">
        <v>42031.0278587963</v>
      </c>
      <c r="M11021" s="26" t="s">
        <v>246</v>
      </c>
      <c r="N11021" s="26" t="s">
        <v>23209</v>
      </c>
      <c r="O11021" s="22" t="str">
        <f>HYPERLINK("https://pbs.twimg.com/profile_images/809253538467459073/pUuaHUwY_normal.jpg","View")</f>
        <v>View</v>
      </c>
      <c r="P11021" s="27"/>
    </row>
    <row r="11022">
      <c r="A11022" s="14">
        <v>43032.4925</v>
      </c>
      <c r="B11022" s="20" t="str">
        <f>HYPERLINK("https://twitter.com/bgleistrum","@bgleistrum")</f>
        <v>@bgleistrum</v>
      </c>
      <c r="C11022" s="21" t="s">
        <v>23210</v>
      </c>
      <c r="D11022" s="21" t="s">
        <v>5177</v>
      </c>
      <c r="E11022" s="22" t="str">
        <f>HYPERLINK("https://twitter.com/bgleistrum/status/922897780879908864","922897780879908864")</f>
        <v>922897780879908864</v>
      </c>
      <c r="F11022" s="23" t="s">
        <v>33</v>
      </c>
      <c r="G11022" s="24">
        <v>4.0</v>
      </c>
      <c r="H11022" s="24">
        <v>34.0</v>
      </c>
      <c r="I11022" s="24">
        <v>115.0</v>
      </c>
      <c r="J11022" s="24">
        <v>0.0</v>
      </c>
      <c r="K11022" s="23" t="s">
        <v>34</v>
      </c>
      <c r="L11022" s="25">
        <v>42628.75521990741</v>
      </c>
      <c r="M11022" s="28"/>
      <c r="N11022" s="28"/>
      <c r="O11022" s="22" t="str">
        <f>HYPERLINK("https://abs.twimg.com/sticky/default_profile_images/default_profile_normal.png","View")</f>
        <v>View</v>
      </c>
      <c r="P11022" s="27"/>
    </row>
    <row r="11023">
      <c r="A11023" s="14">
        <v>43032.49306712963</v>
      </c>
      <c r="B11023" s="20" t="str">
        <f>HYPERLINK("https://twitter.com/Shrederator","@Shrederator")</f>
        <v>@Shrederator</v>
      </c>
      <c r="C11023" s="21" t="s">
        <v>23211</v>
      </c>
      <c r="D11023" s="21" t="s">
        <v>23212</v>
      </c>
      <c r="E11023" s="22" t="str">
        <f>HYPERLINK("https://twitter.com/Shrederator/status/922897987654713345","922897987654713345")</f>
        <v>922897987654713345</v>
      </c>
      <c r="F11023" s="23" t="s">
        <v>39</v>
      </c>
      <c r="G11023" s="24">
        <v>25.0</v>
      </c>
      <c r="H11023" s="24">
        <v>135.0</v>
      </c>
      <c r="I11023" s="24">
        <v>1.0</v>
      </c>
      <c r="J11023" s="24">
        <v>0.0</v>
      </c>
      <c r="K11023" s="23" t="s">
        <v>34</v>
      </c>
      <c r="L11023" s="25">
        <v>40904.88575231482</v>
      </c>
      <c r="M11023" s="26" t="s">
        <v>23213</v>
      </c>
      <c r="N11023" s="26" t="s">
        <v>23214</v>
      </c>
      <c r="O11023" s="22" t="str">
        <f>HYPERLINK("https://pbs.twimg.com/profile_images/2201068254/Spinnyblades_normal.png","View")</f>
        <v>View</v>
      </c>
      <c r="P11023" s="27"/>
    </row>
    <row r="11024">
      <c r="A11024" s="14">
        <v>43032.493159722224</v>
      </c>
      <c r="B11024" s="20" t="str">
        <f>HYPERLINK("https://twitter.com/KazimotoBaraka3","@KazimotoBaraka3")</f>
        <v>@KazimotoBaraka3</v>
      </c>
      <c r="C11024" s="21" t="s">
        <v>13398</v>
      </c>
      <c r="D11024" s="21" t="s">
        <v>22735</v>
      </c>
      <c r="E11024" s="22" t="str">
        <f>HYPERLINK("https://twitter.com/KazimotoBaraka3/status/922898019581923329","922898019581923329")</f>
        <v>922898019581923329</v>
      </c>
      <c r="F11024" s="23" t="s">
        <v>33</v>
      </c>
      <c r="G11024" s="24">
        <v>465.0</v>
      </c>
      <c r="H11024" s="24">
        <v>5000.0</v>
      </c>
      <c r="I11024" s="24">
        <v>13.0</v>
      </c>
      <c r="J11024" s="24">
        <v>0.0</v>
      </c>
      <c r="K11024" s="23" t="s">
        <v>34</v>
      </c>
      <c r="L11024" s="25">
        <v>42834.07413194445</v>
      </c>
      <c r="M11024" s="26" t="s">
        <v>2912</v>
      </c>
      <c r="N11024" s="26" t="s">
        <v>13399</v>
      </c>
      <c r="O11024" s="22" t="str">
        <f>HYPERLINK("https://pbs.twimg.com/profile_images/912565184815882240/RnjIyacP_normal.jpg","View")</f>
        <v>View</v>
      </c>
      <c r="P11024" s="27"/>
    </row>
    <row r="11025">
      <c r="A11025" s="14">
        <v>43032.493263888886</v>
      </c>
      <c r="B11025" s="20" t="str">
        <f>HYPERLINK("https://twitter.com/ljbassi","@ljbassi")</f>
        <v>@ljbassi</v>
      </c>
      <c r="C11025" s="21" t="s">
        <v>23215</v>
      </c>
      <c r="D11025" s="21" t="s">
        <v>23216</v>
      </c>
      <c r="E11025" s="22" t="str">
        <f>HYPERLINK("https://twitter.com/ljbassi/status/922898058890924035","922898058890924035")</f>
        <v>922898058890924035</v>
      </c>
      <c r="F11025" s="23" t="s">
        <v>427</v>
      </c>
      <c r="G11025" s="24">
        <v>254.0</v>
      </c>
      <c r="H11025" s="24">
        <v>2.0</v>
      </c>
      <c r="I11025" s="24">
        <v>0.0</v>
      </c>
      <c r="J11025" s="24">
        <v>0.0</v>
      </c>
      <c r="K11025" s="23" t="s">
        <v>34</v>
      </c>
      <c r="L11025" s="25">
        <v>40141.66643518519</v>
      </c>
      <c r="M11025" s="28"/>
      <c r="N11025" s="28"/>
      <c r="O11025" s="22" t="str">
        <f>HYPERLINK("https://pbs.twimg.com/profile_images/742625594/Laurie_Bassi_-_Head_Shot_normal.jpg","View")</f>
        <v>View</v>
      </c>
      <c r="P11025" s="27"/>
    </row>
    <row r="11026">
      <c r="A11026" s="14">
        <v>43032.49482638889</v>
      </c>
      <c r="B11026" s="20" t="str">
        <f>HYPERLINK("https://twitter.com/SHAMBHUNATH1974","@SHAMBHUNATH1974")</f>
        <v>@SHAMBHUNATH1974</v>
      </c>
      <c r="C11026" s="21" t="s">
        <v>23217</v>
      </c>
      <c r="D11026" s="21" t="s">
        <v>42</v>
      </c>
      <c r="E11026" s="22" t="str">
        <f>HYPERLINK("https://twitter.com/SHAMBHUNATH1974/status/922898623796563969","922898623796563969")</f>
        <v>922898623796563969</v>
      </c>
      <c r="F11026" s="23" t="s">
        <v>33</v>
      </c>
      <c r="G11026" s="24">
        <v>159.0</v>
      </c>
      <c r="H11026" s="24">
        <v>264.0</v>
      </c>
      <c r="I11026" s="24">
        <v>8501.0</v>
      </c>
      <c r="J11026" s="24">
        <v>0.0</v>
      </c>
      <c r="K11026" s="23" t="s">
        <v>34</v>
      </c>
      <c r="L11026" s="25">
        <v>42198.32188657408</v>
      </c>
      <c r="M11026" s="26" t="s">
        <v>23218</v>
      </c>
      <c r="N11026" s="26" t="s">
        <v>23219</v>
      </c>
      <c r="O11026" s="22" t="str">
        <f>HYPERLINK("https://pbs.twimg.com/profile_images/840005462896566273/jYaL23iA_normal.jpg","View")</f>
        <v>View</v>
      </c>
      <c r="P11026" s="27"/>
    </row>
    <row r="11027">
      <c r="A11027" s="14">
        <v>43032.49625</v>
      </c>
      <c r="B11027" s="20" t="str">
        <f>HYPERLINK("https://twitter.com/11michael","@11michael")</f>
        <v>@11michael</v>
      </c>
      <c r="C11027" s="21" t="s">
        <v>23220</v>
      </c>
      <c r="D11027" s="21" t="s">
        <v>23221</v>
      </c>
      <c r="E11027" s="22" t="str">
        <f>HYPERLINK("https://twitter.com/11michael/status/922899142812274688","922899142812274688")</f>
        <v>922899142812274688</v>
      </c>
      <c r="F11027" s="23" t="s">
        <v>55</v>
      </c>
      <c r="G11027" s="24">
        <v>149.0</v>
      </c>
      <c r="H11027" s="24">
        <v>78.0</v>
      </c>
      <c r="I11027" s="24">
        <v>0.0</v>
      </c>
      <c r="J11027" s="24">
        <v>0.0</v>
      </c>
      <c r="K11027" s="23" t="s">
        <v>34</v>
      </c>
      <c r="L11027" s="25">
        <v>39889.32069444445</v>
      </c>
      <c r="M11027" s="26" t="s">
        <v>23222</v>
      </c>
      <c r="N11027" s="26" t="s">
        <v>23223</v>
      </c>
      <c r="O11027" s="22" t="str">
        <f>HYPERLINK("https://pbs.twimg.com/profile_images/378800000755521306/9519993653be2b7c42bc3041dce6fe30_normal.jpeg","View")</f>
        <v>View</v>
      </c>
      <c r="P11027" s="27"/>
    </row>
    <row r="11028">
      <c r="A11028" s="14">
        <v>43032.49690972222</v>
      </c>
      <c r="B11028" s="20" t="str">
        <f>HYPERLINK("https://twitter.com/Dr_DhananjayK","@Dr_DhananjayK")</f>
        <v>@Dr_DhananjayK</v>
      </c>
      <c r="C11028" s="21" t="s">
        <v>23224</v>
      </c>
      <c r="D11028" s="21" t="s">
        <v>42</v>
      </c>
      <c r="E11028" s="22" t="str">
        <f>HYPERLINK("https://twitter.com/Dr_DhananjayK/status/922899378569854976","922899378569854976")</f>
        <v>922899378569854976</v>
      </c>
      <c r="F11028" s="23" t="s">
        <v>33</v>
      </c>
      <c r="G11028" s="24">
        <v>83.0</v>
      </c>
      <c r="H11028" s="24">
        <v>73.0</v>
      </c>
      <c r="I11028" s="24">
        <v>8501.0</v>
      </c>
      <c r="J11028" s="24">
        <v>0.0</v>
      </c>
      <c r="K11028" s="23" t="s">
        <v>34</v>
      </c>
      <c r="L11028" s="25">
        <v>41557.99506944444</v>
      </c>
      <c r="M11028" s="26" t="s">
        <v>204</v>
      </c>
      <c r="N11028" s="26" t="s">
        <v>23225</v>
      </c>
      <c r="O11028" s="22" t="str">
        <f>HYPERLINK("https://pbs.twimg.com/profile_images/705602891751370752/TSDP8WIr_normal.jpg","View")</f>
        <v>View</v>
      </c>
      <c r="P11028" s="27"/>
    </row>
    <row r="11029">
      <c r="A11029" s="14">
        <v>43032.497766203705</v>
      </c>
      <c r="B11029" s="20" t="str">
        <f>HYPERLINK("https://twitter.com/AbeFellowship","@AbeFellowship")</f>
        <v>@AbeFellowship</v>
      </c>
      <c r="C11029" s="21" t="s">
        <v>13821</v>
      </c>
      <c r="D11029" s="21" t="s">
        <v>23226</v>
      </c>
      <c r="E11029" s="22" t="str">
        <f>HYPERLINK("https://twitter.com/AbeFellowship/status/922899689250451456","922899689250451456")</f>
        <v>922899689250451456</v>
      </c>
      <c r="F11029" s="23" t="s">
        <v>55</v>
      </c>
      <c r="G11029" s="24">
        <v>608.0</v>
      </c>
      <c r="H11029" s="24">
        <v>877.0</v>
      </c>
      <c r="I11029" s="24">
        <v>4.0</v>
      </c>
      <c r="J11029" s="24">
        <v>0.0</v>
      </c>
      <c r="K11029" s="23" t="s">
        <v>34</v>
      </c>
      <c r="L11029" s="25">
        <v>40813.37777777778</v>
      </c>
      <c r="M11029" s="26" t="s">
        <v>13823</v>
      </c>
      <c r="N11029" s="26" t="s">
        <v>13824</v>
      </c>
      <c r="O11029" s="22" t="str">
        <f>HYPERLINK("https://pbs.twimg.com/profile_images/786669017100582916/Vxcy2x4l_normal.jpg","View")</f>
        <v>View</v>
      </c>
      <c r="P11029" s="27"/>
    </row>
    <row r="11030">
      <c r="A11030" s="14">
        <v>43032.4990162037</v>
      </c>
      <c r="B11030" s="20" t="str">
        <f>HYPERLINK("https://twitter.com/m24instudio","@m24instudio")</f>
        <v>@m24instudio</v>
      </c>
      <c r="C11030" s="21" t="s">
        <v>23227</v>
      </c>
      <c r="D11030" s="21" t="s">
        <v>23228</v>
      </c>
      <c r="E11030" s="22" t="str">
        <f>HYPERLINK("https://twitter.com/m24instudio/status/922900143917162496","922900143917162496")</f>
        <v>922900143917162496</v>
      </c>
      <c r="F11030" s="23" t="s">
        <v>55</v>
      </c>
      <c r="G11030" s="24">
        <v>4917.0</v>
      </c>
      <c r="H11030" s="24">
        <v>1865.0</v>
      </c>
      <c r="I11030" s="24">
        <v>2.0</v>
      </c>
      <c r="J11030" s="24">
        <v>0.0</v>
      </c>
      <c r="K11030" s="23" t="s">
        <v>34</v>
      </c>
      <c r="L11030" s="25">
        <v>39085.323900462965</v>
      </c>
      <c r="M11030" s="26" t="s">
        <v>334</v>
      </c>
      <c r="N11030" s="26" t="s">
        <v>23229</v>
      </c>
      <c r="O11030" s="22" t="str">
        <f>HYPERLINK("https://pbs.twimg.com/profile_images/818189401230573569/PjrCXgCw_normal.jpg","View")</f>
        <v>View</v>
      </c>
      <c r="P11030" s="27"/>
    </row>
    <row r="11031">
      <c r="A11031" s="14">
        <v>43032.50063657407</v>
      </c>
      <c r="B11031" s="20" t="str">
        <f>HYPERLINK("https://twitter.com/faredseraji","@faredseraji")</f>
        <v>@faredseraji</v>
      </c>
      <c r="C11031" s="21" t="s">
        <v>23230</v>
      </c>
      <c r="D11031" s="21" t="s">
        <v>23231</v>
      </c>
      <c r="E11031" s="22" t="str">
        <f>HYPERLINK("https://twitter.com/faredseraji/status/922900729597227010","922900729597227010")</f>
        <v>922900729597227010</v>
      </c>
      <c r="F11031" s="23" t="s">
        <v>55</v>
      </c>
      <c r="G11031" s="24">
        <v>325.0</v>
      </c>
      <c r="H11031" s="24">
        <v>265.0</v>
      </c>
      <c r="I11031" s="24">
        <v>0.0</v>
      </c>
      <c r="J11031" s="24">
        <v>0.0</v>
      </c>
      <c r="K11031" s="23" t="s">
        <v>34</v>
      </c>
      <c r="L11031" s="25">
        <v>42202.45862268518</v>
      </c>
      <c r="M11031" s="28"/>
      <c r="N11031" s="28"/>
      <c r="O11031" s="22" t="str">
        <f>HYPERLINK("https://pbs.twimg.com/profile_images/866757210973638657/rgoNJSwr_normal.jpg","View")</f>
        <v>View</v>
      </c>
      <c r="P11031" s="27"/>
    </row>
    <row r="11032">
      <c r="A11032" s="14">
        <v>43032.50085648148</v>
      </c>
      <c r="B11032" s="20" t="str">
        <f>HYPERLINK("https://twitter.com/KyaHuaTeraWaada","@KyaHuaTeraWaada")</f>
        <v>@KyaHuaTeraWaada</v>
      </c>
      <c r="C11032" s="21" t="s">
        <v>23232</v>
      </c>
      <c r="D11032" s="21" t="s">
        <v>42</v>
      </c>
      <c r="E11032" s="22" t="str">
        <f>HYPERLINK("https://twitter.com/KyaHuaTeraWaada/status/922900810173906947","922900810173906947")</f>
        <v>922900810173906947</v>
      </c>
      <c r="F11032" s="23" t="s">
        <v>43</v>
      </c>
      <c r="G11032" s="24">
        <v>26.0</v>
      </c>
      <c r="H11032" s="24">
        <v>223.0</v>
      </c>
      <c r="I11032" s="24">
        <v>8501.0</v>
      </c>
      <c r="J11032" s="24">
        <v>0.0</v>
      </c>
      <c r="K11032" s="23" t="s">
        <v>34</v>
      </c>
      <c r="L11032" s="25">
        <v>43011.4541087963</v>
      </c>
      <c r="M11032" s="28"/>
      <c r="N11032" s="26" t="s">
        <v>23233</v>
      </c>
      <c r="O11032" s="22" t="str">
        <f>HYPERLINK("https://pbs.twimg.com/profile_images/915655930695569408/7VKIiz3m_normal.jpg","View")</f>
        <v>View</v>
      </c>
      <c r="P11032" s="27"/>
    </row>
    <row r="11033">
      <c r="A11033" s="14">
        <v>43032.50142361112</v>
      </c>
      <c r="B11033" s="20" t="str">
        <f>HYPERLINK("https://twitter.com/BrookingsFP","@BrookingsFP")</f>
        <v>@BrookingsFP</v>
      </c>
      <c r="C11033" s="21" t="s">
        <v>21958</v>
      </c>
      <c r="D11033" s="21" t="s">
        <v>23234</v>
      </c>
      <c r="E11033" s="22" t="str">
        <f>HYPERLINK("https://twitter.com/BrookingsFP/status/922901015401287681","922901015401287681")</f>
        <v>922901015401287681</v>
      </c>
      <c r="F11033" s="23" t="s">
        <v>10415</v>
      </c>
      <c r="G11033" s="24">
        <v>135007.0</v>
      </c>
      <c r="H11033" s="24">
        <v>1018.0</v>
      </c>
      <c r="I11033" s="24">
        <v>1.0</v>
      </c>
      <c r="J11033" s="24">
        <v>0.0</v>
      </c>
      <c r="K11033" s="23" t="s">
        <v>34</v>
      </c>
      <c r="L11033" s="25">
        <v>40000.534780092596</v>
      </c>
      <c r="M11033" s="26" t="s">
        <v>21405</v>
      </c>
      <c r="N11033" s="26" t="s">
        <v>21960</v>
      </c>
      <c r="O11033" s="22" t="str">
        <f>HYPERLINK("https://pbs.twimg.com/profile_images/449922644800839680/Ld9Xcj1G_normal.png","View")</f>
        <v>View</v>
      </c>
      <c r="P11033" s="27"/>
    </row>
    <row r="11034">
      <c r="A11034" s="14">
        <v>43032.5016087963</v>
      </c>
      <c r="B11034" s="20" t="str">
        <f>HYPERLINK("https://twitter.com/EagleStarNET","@EagleStarNET")</f>
        <v>@EagleStarNET</v>
      </c>
      <c r="C11034" s="29" t="s">
        <v>1117</v>
      </c>
      <c r="D11034" s="21" t="s">
        <v>23235</v>
      </c>
      <c r="E11034" s="22" t="str">
        <f>HYPERLINK("https://twitter.com/EagleStarNET/status/922901082602426369","922901082602426369")</f>
        <v>922901082602426369</v>
      </c>
      <c r="F11034" s="23" t="s">
        <v>1119</v>
      </c>
      <c r="G11034" s="24">
        <v>112988.0</v>
      </c>
      <c r="H11034" s="24">
        <v>10481.0</v>
      </c>
      <c r="I11034" s="24">
        <v>3.0</v>
      </c>
      <c r="J11034" s="24">
        <v>1.0</v>
      </c>
      <c r="K11034" s="23" t="s">
        <v>34</v>
      </c>
      <c r="L11034" s="25">
        <v>39863.63824074074</v>
      </c>
      <c r="M11034" s="26" t="s">
        <v>1120</v>
      </c>
      <c r="N11034" s="26" t="s">
        <v>1121</v>
      </c>
      <c r="O11034" s="22" t="str">
        <f>HYPERLINK("https://pbs.twimg.com/profile_images/1281792618/es_logo_metallic_gold_2_normal.jpg","View")</f>
        <v>View</v>
      </c>
      <c r="P11034" s="27"/>
    </row>
    <row r="11035">
      <c r="A11035" s="14">
        <v>43032.50267361111</v>
      </c>
      <c r="B11035" s="20" t="str">
        <f>HYPERLINK("https://twitter.com/Primeobot","@Primeobot")</f>
        <v>@Primeobot</v>
      </c>
      <c r="C11035" s="21" t="s">
        <v>23236</v>
      </c>
      <c r="D11035" s="21" t="s">
        <v>23237</v>
      </c>
      <c r="E11035" s="22" t="str">
        <f>HYPERLINK("https://twitter.com/Primeobot/status/922901467501154309","922901467501154309")</f>
        <v>922901467501154309</v>
      </c>
      <c r="F11035" s="23" t="s">
        <v>43</v>
      </c>
      <c r="G11035" s="24">
        <v>763.0</v>
      </c>
      <c r="H11035" s="24">
        <v>2978.0</v>
      </c>
      <c r="I11035" s="24">
        <v>3.0</v>
      </c>
      <c r="J11035" s="24">
        <v>0.0</v>
      </c>
      <c r="K11035" s="23" t="s">
        <v>34</v>
      </c>
      <c r="L11035" s="25">
        <v>40255.03230324074</v>
      </c>
      <c r="M11035" s="26" t="s">
        <v>23238</v>
      </c>
      <c r="N11035" s="26" t="s">
        <v>23239</v>
      </c>
      <c r="O11035" s="22" t="str">
        <f>HYPERLINK("https://pbs.twimg.com/profile_images/916949722723692544/HP7HAsR5_normal.jpg","View")</f>
        <v>View</v>
      </c>
      <c r="P11035" s="27"/>
    </row>
    <row r="11036">
      <c r="A11036" s="14">
        <v>43032.50273148148</v>
      </c>
      <c r="B11036" s="20" t="str">
        <f>HYPERLINK("https://twitter.com/Advisory4Travel","@Advisory4Travel")</f>
        <v>@Advisory4Travel</v>
      </c>
      <c r="C11036" s="21" t="s">
        <v>9399</v>
      </c>
      <c r="D11036" s="21" t="s">
        <v>23240</v>
      </c>
      <c r="E11036" s="22" t="str">
        <f>HYPERLINK("https://twitter.com/Advisory4Travel/status/922901490624278530","922901490624278530")</f>
        <v>922901490624278530</v>
      </c>
      <c r="F11036" s="23" t="s">
        <v>187</v>
      </c>
      <c r="G11036" s="24">
        <v>229.0</v>
      </c>
      <c r="H11036" s="24">
        <v>26.0</v>
      </c>
      <c r="I11036" s="24">
        <v>0.0</v>
      </c>
      <c r="J11036" s="24">
        <v>0.0</v>
      </c>
      <c r="K11036" s="23" t="s">
        <v>34</v>
      </c>
      <c r="L11036" s="25">
        <v>42405.811840277776</v>
      </c>
      <c r="M11036" s="28"/>
      <c r="N11036" s="26" t="s">
        <v>9401</v>
      </c>
      <c r="O11036" s="22" t="str">
        <f>HYPERLINK("https://pbs.twimg.com/profile_images/695834348486930432/0U32ia3f_normal.jpg","View")</f>
        <v>View</v>
      </c>
      <c r="P11036" s="27"/>
    </row>
    <row r="11037">
      <c r="A11037" s="14">
        <v>43032.50361111111</v>
      </c>
      <c r="B11037" s="20" t="str">
        <f>HYPERLINK("https://twitter.com/ArreyMcNtui","@ArreyMcNtui")</f>
        <v>@ArreyMcNtui</v>
      </c>
      <c r="C11037" s="21" t="s">
        <v>23241</v>
      </c>
      <c r="D11037" s="21" t="s">
        <v>213</v>
      </c>
      <c r="E11037" s="22" t="str">
        <f>HYPERLINK("https://twitter.com/ArreyMcNtui/status/922901808342880258","922901808342880258")</f>
        <v>922901808342880258</v>
      </c>
      <c r="F11037" s="23" t="s">
        <v>4619</v>
      </c>
      <c r="G11037" s="24">
        <v>1035.0</v>
      </c>
      <c r="H11037" s="24">
        <v>493.0</v>
      </c>
      <c r="I11037" s="24">
        <v>94.0</v>
      </c>
      <c r="J11037" s="24">
        <v>0.0</v>
      </c>
      <c r="K11037" s="23" t="s">
        <v>34</v>
      </c>
      <c r="L11037" s="25">
        <v>40281.694189814814</v>
      </c>
      <c r="M11037" s="26" t="s">
        <v>23242</v>
      </c>
      <c r="N11037" s="26" t="s">
        <v>23243</v>
      </c>
      <c r="O11037" s="22" t="str">
        <f>HYPERLINK("https://pbs.twimg.com/profile_images/914525350641750016/pPZKsASj_normal.jpg","View")</f>
        <v>View</v>
      </c>
      <c r="P11037" s="27"/>
    </row>
    <row r="11038">
      <c r="A11038" s="14">
        <v>43032.505844907406</v>
      </c>
      <c r="B11038" s="20" t="str">
        <f>HYPERLINK("https://twitter.com/jostaryoutube36","@jostaryoutube36")</f>
        <v>@jostaryoutube36</v>
      </c>
      <c r="C11038" s="21" t="s">
        <v>23244</v>
      </c>
      <c r="D11038" s="21" t="s">
        <v>23245</v>
      </c>
      <c r="E11038" s="22" t="str">
        <f>HYPERLINK("https://twitter.com/jostaryoutube36/status/922902617696563201","922902617696563201")</f>
        <v>922902617696563201</v>
      </c>
      <c r="F11038" s="30" t="s">
        <v>659</v>
      </c>
      <c r="G11038" s="24">
        <v>44.0</v>
      </c>
      <c r="H11038" s="24">
        <v>64.0</v>
      </c>
      <c r="I11038" s="24">
        <v>0.0</v>
      </c>
      <c r="J11038" s="24">
        <v>0.0</v>
      </c>
      <c r="K11038" s="23" t="s">
        <v>34</v>
      </c>
      <c r="L11038" s="25">
        <v>42670.46351851852</v>
      </c>
      <c r="M11038" s="26" t="s">
        <v>660</v>
      </c>
      <c r="N11038" s="26" t="s">
        <v>705</v>
      </c>
      <c r="O11038" s="22" t="str">
        <f>HYPERLINK("https://pbs.twimg.com/profile_images/791703241549492224/vGUX_vGC_normal.jpg","View")</f>
        <v>View</v>
      </c>
      <c r="P11038" s="27"/>
    </row>
    <row r="11039">
      <c r="A11039" s="14">
        <v>43032.50729166667</v>
      </c>
      <c r="B11039" s="20" t="str">
        <f>HYPERLINK("https://twitter.com/Eylem14433390","@Eylem14433390")</f>
        <v>@Eylem14433390</v>
      </c>
      <c r="C11039" s="21" t="s">
        <v>23246</v>
      </c>
      <c r="D11039" s="21" t="s">
        <v>23237</v>
      </c>
      <c r="E11039" s="22" t="str">
        <f>HYPERLINK("https://twitter.com/Eylem14433390/status/922903141573591040","922903141573591040")</f>
        <v>922903141573591040</v>
      </c>
      <c r="F11039" s="23" t="s">
        <v>33</v>
      </c>
      <c r="G11039" s="24">
        <v>255.0</v>
      </c>
      <c r="H11039" s="24">
        <v>1039.0</v>
      </c>
      <c r="I11039" s="24">
        <v>3.0</v>
      </c>
      <c r="J11039" s="24">
        <v>0.0</v>
      </c>
      <c r="K11039" s="23" t="s">
        <v>34</v>
      </c>
      <c r="L11039" s="25">
        <v>42990.264652777776</v>
      </c>
      <c r="M11039" s="28"/>
      <c r="N11039" s="28"/>
      <c r="O11039" s="22" t="str">
        <f>HYPERLINK("https://abs.twimg.com/sticky/default_profile_images/default_profile_normal.png","View")</f>
        <v>View</v>
      </c>
      <c r="P11039" s="27"/>
    </row>
    <row r="11040">
      <c r="A11040" s="14">
        <v>43032.50983796296</v>
      </c>
      <c r="B11040" s="20" t="str">
        <f>HYPERLINK("https://twitter.com/keiumhood","@keiumhood")</f>
        <v>@keiumhood</v>
      </c>
      <c r="C11040" s="21" t="s">
        <v>23247</v>
      </c>
      <c r="D11040" s="21" t="s">
        <v>23237</v>
      </c>
      <c r="E11040" s="22" t="str">
        <f>HYPERLINK("https://twitter.com/keiumhood/status/922904065910169600","922904065910169600")</f>
        <v>922904065910169600</v>
      </c>
      <c r="F11040" s="23" t="s">
        <v>33</v>
      </c>
      <c r="G11040" s="24">
        <v>49.0</v>
      </c>
      <c r="H11040" s="24">
        <v>2266.0</v>
      </c>
      <c r="I11040" s="24">
        <v>3.0</v>
      </c>
      <c r="J11040" s="24">
        <v>0.0</v>
      </c>
      <c r="K11040" s="23" t="s">
        <v>34</v>
      </c>
      <c r="L11040" s="25">
        <v>40925.67697916667</v>
      </c>
      <c r="M11040" s="28"/>
      <c r="N11040" s="26" t="s">
        <v>23248</v>
      </c>
      <c r="O11040" s="22" t="str">
        <f>HYPERLINK("https://pbs.twimg.com/profile_images/764410973109313537/MKGrw52Z_normal.jpg","View")</f>
        <v>View</v>
      </c>
      <c r="P11040" s="27"/>
    </row>
    <row r="11041">
      <c r="A11041" s="14">
        <v>43032.51100694445</v>
      </c>
      <c r="B11041" s="20" t="str">
        <f>HYPERLINK("https://twitter.com/XPoseMushRSS","@XPoseMushRSS")</f>
        <v>@XPoseMushRSS</v>
      </c>
      <c r="C11041" s="21" t="s">
        <v>23249</v>
      </c>
      <c r="D11041" s="21" t="s">
        <v>163</v>
      </c>
      <c r="E11041" s="22" t="str">
        <f>HYPERLINK("https://twitter.com/XPoseMushRSS/status/922904486984552449","922904486984552449")</f>
        <v>922904486984552449</v>
      </c>
      <c r="F11041" s="23" t="s">
        <v>33</v>
      </c>
      <c r="G11041" s="24">
        <v>3214.0</v>
      </c>
      <c r="H11041" s="24">
        <v>5000.0</v>
      </c>
      <c r="I11041" s="24">
        <v>1005.0</v>
      </c>
      <c r="J11041" s="24">
        <v>0.0</v>
      </c>
      <c r="K11041" s="23" t="s">
        <v>34</v>
      </c>
      <c r="L11041" s="25">
        <v>40605.0559375</v>
      </c>
      <c r="M11041" s="26" t="s">
        <v>23250</v>
      </c>
      <c r="N11041" s="26" t="s">
        <v>23251</v>
      </c>
      <c r="O11041" s="22" t="str">
        <f>HYPERLINK("https://pbs.twimg.com/profile_images/765440250936078337/FEf7MolX_normal.jpg","View")</f>
        <v>View</v>
      </c>
      <c r="P11041" s="27"/>
    </row>
    <row r="11042">
      <c r="A11042" s="14">
        <v>43032.511979166666</v>
      </c>
      <c r="B11042" s="20" t="str">
        <f>HYPERLINK("https://twitter.com/fillonafrique","@fillonafrique")</f>
        <v>@fillonafrique</v>
      </c>
      <c r="C11042" s="21" t="s">
        <v>7305</v>
      </c>
      <c r="D11042" s="21" t="s">
        <v>42</v>
      </c>
      <c r="E11042" s="22" t="str">
        <f>HYPERLINK("https://twitter.com/fillonafrique/status/922904840577146880","922904840577146880")</f>
        <v>922904840577146880</v>
      </c>
      <c r="F11042" s="23" t="s">
        <v>55</v>
      </c>
      <c r="G11042" s="24">
        <v>1585.0</v>
      </c>
      <c r="H11042" s="24">
        <v>1346.0</v>
      </c>
      <c r="I11042" s="24">
        <v>8501.0</v>
      </c>
      <c r="J11042" s="24">
        <v>0.0</v>
      </c>
      <c r="K11042" s="23" t="s">
        <v>34</v>
      </c>
      <c r="L11042" s="25">
        <v>42834.67506944445</v>
      </c>
      <c r="M11042" s="26" t="s">
        <v>7306</v>
      </c>
      <c r="N11042" s="26" t="s">
        <v>7307</v>
      </c>
      <c r="O11042" s="22" t="str">
        <f>HYPERLINK("https://pbs.twimg.com/profile_images/856877904772427776/z96cFxqa_normal.jpg","View")</f>
        <v>View</v>
      </c>
      <c r="P11042" s="27"/>
    </row>
    <row r="11043">
      <c r="A11043" s="14">
        <v>43032.51280092592</v>
      </c>
      <c r="B11043" s="20" t="str">
        <f>HYPERLINK("https://twitter.com/vinod85singh","@vinod85singh")</f>
        <v>@vinod85singh</v>
      </c>
      <c r="C11043" s="21" t="s">
        <v>23252</v>
      </c>
      <c r="D11043" s="21" t="s">
        <v>42</v>
      </c>
      <c r="E11043" s="22" t="str">
        <f>HYPERLINK("https://twitter.com/vinod85singh/status/922905140251697152","922905140251697152")</f>
        <v>922905140251697152</v>
      </c>
      <c r="F11043" s="23" t="s">
        <v>33</v>
      </c>
      <c r="G11043" s="24">
        <v>24.0</v>
      </c>
      <c r="H11043" s="24">
        <v>103.0</v>
      </c>
      <c r="I11043" s="24">
        <v>8501.0</v>
      </c>
      <c r="J11043" s="24">
        <v>0.0</v>
      </c>
      <c r="K11043" s="23" t="s">
        <v>34</v>
      </c>
      <c r="L11043" s="25">
        <v>41145.309710648144</v>
      </c>
      <c r="M11043" s="26" t="s">
        <v>4120</v>
      </c>
      <c r="N11043" s="28"/>
      <c r="O11043" s="22" t="str">
        <f>HYPERLINK("https://pbs.twimg.com/profile_images/884485672471412736/CrXrsJGy_normal.jpg","View")</f>
        <v>View</v>
      </c>
      <c r="P11043" s="27"/>
    </row>
    <row r="11044">
      <c r="A11044" s="14">
        <v>43032.51650462963</v>
      </c>
      <c r="B11044" s="20" t="str">
        <f>HYPERLINK("https://twitter.com/AliwaOkello","@AliwaOkello")</f>
        <v>@AliwaOkello</v>
      </c>
      <c r="C11044" s="21" t="s">
        <v>956</v>
      </c>
      <c r="D11044" s="21" t="s">
        <v>23253</v>
      </c>
      <c r="E11044" s="22" t="str">
        <f>HYPERLINK("https://twitter.com/AliwaOkello/status/922906483007868929","922906483007868929")</f>
        <v>922906483007868929</v>
      </c>
      <c r="F11044" s="30" t="s">
        <v>191</v>
      </c>
      <c r="G11044" s="24">
        <v>197.0</v>
      </c>
      <c r="H11044" s="24">
        <v>30.0</v>
      </c>
      <c r="I11044" s="24">
        <v>0.0</v>
      </c>
      <c r="J11044" s="24">
        <v>0.0</v>
      </c>
      <c r="K11044" s="23" t="s">
        <v>34</v>
      </c>
      <c r="L11044" s="25">
        <v>41411.1703587963</v>
      </c>
      <c r="M11044" s="26" t="s">
        <v>114</v>
      </c>
      <c r="N11044" s="26" t="s">
        <v>958</v>
      </c>
      <c r="O11044" s="22" t="str">
        <f>HYPERLINK("https://pbs.twimg.com/profile_images/796582872782094337/y1nb7iEB_normal.jpg","View")</f>
        <v>View</v>
      </c>
      <c r="P11044" s="27"/>
    </row>
    <row r="11045">
      <c r="A11045" s="14">
        <v>43032.51996527778</v>
      </c>
      <c r="B11045" s="20" t="str">
        <f t="shared" ref="B11045:B11046" si="275">HYPERLINK("https://twitter.com/bettdann_","@bettdann_")</f>
        <v>@bettdann_</v>
      </c>
      <c r="C11045" s="21" t="s">
        <v>23254</v>
      </c>
      <c r="D11045" s="21" t="s">
        <v>32</v>
      </c>
      <c r="E11045" s="22" t="str">
        <f>HYPERLINK("https://twitter.com/bettdann_/status/922907733598257152","922907733598257152")</f>
        <v>922907733598257152</v>
      </c>
      <c r="F11045" s="23" t="s">
        <v>33</v>
      </c>
      <c r="G11045" s="24">
        <v>2680.0</v>
      </c>
      <c r="H11045" s="24">
        <v>2341.0</v>
      </c>
      <c r="I11045" s="24">
        <v>471.0</v>
      </c>
      <c r="J11045" s="24">
        <v>0.0</v>
      </c>
      <c r="K11045" s="23" t="s">
        <v>34</v>
      </c>
      <c r="L11045" s="25">
        <v>41192.8596875</v>
      </c>
      <c r="M11045" s="26" t="s">
        <v>92</v>
      </c>
      <c r="N11045" s="26" t="s">
        <v>23255</v>
      </c>
      <c r="O11045" s="22" t="str">
        <f t="shared" ref="O11045:O11046" si="276">HYPERLINK("https://pbs.twimg.com/profile_images/905024427322159105/FRk5Ahbc_normal.jpg","View")</f>
        <v>View</v>
      </c>
      <c r="P11045" s="27"/>
    </row>
    <row r="11046">
      <c r="A11046" s="14">
        <v>43032.51998842593</v>
      </c>
      <c r="B11046" s="20" t="str">
        <f t="shared" si="275"/>
        <v>@bettdann_</v>
      </c>
      <c r="C11046" s="21" t="s">
        <v>23254</v>
      </c>
      <c r="D11046" s="21" t="s">
        <v>23256</v>
      </c>
      <c r="E11046" s="22" t="str">
        <f>HYPERLINK("https://twitter.com/bettdann_/status/922907745044480000","922907745044480000")</f>
        <v>922907745044480000</v>
      </c>
      <c r="F11046" s="23" t="s">
        <v>48</v>
      </c>
      <c r="G11046" s="24">
        <v>2680.0</v>
      </c>
      <c r="H11046" s="24">
        <v>2341.0</v>
      </c>
      <c r="I11046" s="24">
        <v>0.0</v>
      </c>
      <c r="J11046" s="24">
        <v>0.0</v>
      </c>
      <c r="K11046" s="23" t="s">
        <v>34</v>
      </c>
      <c r="L11046" s="25">
        <v>41192.8596875</v>
      </c>
      <c r="M11046" s="26" t="s">
        <v>92</v>
      </c>
      <c r="N11046" s="26" t="s">
        <v>23255</v>
      </c>
      <c r="O11046" s="22" t="str">
        <f t="shared" si="276"/>
        <v>View</v>
      </c>
      <c r="P11046" s="27"/>
    </row>
    <row r="11047">
      <c r="A11047" s="14">
        <v>43032.52087962963</v>
      </c>
      <c r="B11047" s="20" t="str">
        <f>HYPERLINK("https://twitter.com/madhusharmabjp","@madhusharmabjp")</f>
        <v>@madhusharmabjp</v>
      </c>
      <c r="C11047" s="21" t="s">
        <v>23257</v>
      </c>
      <c r="D11047" s="21" t="s">
        <v>42</v>
      </c>
      <c r="E11047" s="22" t="str">
        <f>HYPERLINK("https://twitter.com/madhusharmabjp/status/922908065224986626","922908065224986626")</f>
        <v>922908065224986626</v>
      </c>
      <c r="F11047" s="23" t="s">
        <v>33</v>
      </c>
      <c r="G11047" s="24">
        <v>9599.0</v>
      </c>
      <c r="H11047" s="24">
        <v>98.0</v>
      </c>
      <c r="I11047" s="24">
        <v>8501.0</v>
      </c>
      <c r="J11047" s="24">
        <v>0.0</v>
      </c>
      <c r="K11047" s="23" t="s">
        <v>34</v>
      </c>
      <c r="L11047" s="25">
        <v>42297.34077546296</v>
      </c>
      <c r="M11047" s="26" t="s">
        <v>8314</v>
      </c>
      <c r="N11047" s="26" t="s">
        <v>23258</v>
      </c>
      <c r="O11047" s="22" t="str">
        <f>HYPERLINK("https://pbs.twimg.com/profile_images/897764263271387136/0L4EfB1d_normal.jpg","View")</f>
        <v>View</v>
      </c>
      <c r="P11047" s="27"/>
    </row>
    <row r="11048">
      <c r="A11048" s="14">
        <v>43032.52087962963</v>
      </c>
      <c r="B11048" s="20" t="str">
        <f>HYPERLINK("https://twitter.com/Global___News","@Global___News")</f>
        <v>@Global___News</v>
      </c>
      <c r="C11048" s="21" t="s">
        <v>4191</v>
      </c>
      <c r="D11048" s="21" t="s">
        <v>20025</v>
      </c>
      <c r="E11048" s="22" t="str">
        <f>HYPERLINK("https://twitter.com/Global___News/status/922908068337270784","922908068337270784")</f>
        <v>922908068337270784</v>
      </c>
      <c r="F11048" s="23" t="s">
        <v>4193</v>
      </c>
      <c r="G11048" s="24">
        <v>820.0</v>
      </c>
      <c r="H11048" s="24">
        <v>4.0</v>
      </c>
      <c r="I11048" s="24">
        <v>0.0</v>
      </c>
      <c r="J11048" s="24">
        <v>0.0</v>
      </c>
      <c r="K11048" s="23" t="s">
        <v>34</v>
      </c>
      <c r="L11048" s="25">
        <v>41404.33153935185</v>
      </c>
      <c r="M11048" s="28"/>
      <c r="N11048" s="26" t="s">
        <v>4191</v>
      </c>
      <c r="O11048" s="22" t="str">
        <f>HYPERLINK("https://pbs.twimg.com/profile_images/3640360348/ca3c8990ec800ecd3004b1c1ab4cc462_normal.png","View")</f>
        <v>View</v>
      </c>
      <c r="P11048" s="27"/>
    </row>
    <row r="11049">
      <c r="A11049" s="14">
        <v>43032.52104166667</v>
      </c>
      <c r="B11049" s="20" t="str">
        <f>HYPERLINK("https://twitter.com/KnightzCode","@KnightzCode")</f>
        <v>@KnightzCode</v>
      </c>
      <c r="C11049" s="21" t="s">
        <v>9887</v>
      </c>
      <c r="D11049" s="21" t="s">
        <v>9888</v>
      </c>
      <c r="E11049" s="22" t="str">
        <f>HYPERLINK("https://twitter.com/KnightzCode/status/922908125413462016","922908125413462016")</f>
        <v>922908125413462016</v>
      </c>
      <c r="F11049" s="23" t="s">
        <v>33</v>
      </c>
      <c r="G11049" s="24">
        <v>629.0</v>
      </c>
      <c r="H11049" s="24">
        <v>958.0</v>
      </c>
      <c r="I11049" s="24">
        <v>13.0</v>
      </c>
      <c r="J11049" s="24">
        <v>0.0</v>
      </c>
      <c r="K11049" s="23" t="s">
        <v>34</v>
      </c>
      <c r="L11049" s="25">
        <v>39935.36189814815</v>
      </c>
      <c r="M11049" s="26" t="s">
        <v>9889</v>
      </c>
      <c r="N11049" s="26" t="s">
        <v>9890</v>
      </c>
      <c r="O11049" s="22" t="str">
        <f>HYPERLINK("https://pbs.twimg.com/profile_images/751426173331054592/W80kmclA_normal.jpg","View")</f>
        <v>View</v>
      </c>
      <c r="P11049" s="27"/>
    </row>
    <row r="11050">
      <c r="A11050" s="14">
        <v>43032.523263888885</v>
      </c>
      <c r="B11050" s="20" t="str">
        <f>HYPERLINK("https://twitter.com/KarthickYogesh5","@KarthickYogesh5")</f>
        <v>@KarthickYogesh5</v>
      </c>
      <c r="C11050" s="21" t="s">
        <v>23259</v>
      </c>
      <c r="D11050" s="21" t="s">
        <v>42</v>
      </c>
      <c r="E11050" s="22" t="str">
        <f>HYPERLINK("https://twitter.com/KarthickYogesh5/status/922908930870689792","922908930870689792")</f>
        <v>922908930870689792</v>
      </c>
      <c r="F11050" s="23" t="s">
        <v>33</v>
      </c>
      <c r="G11050" s="24">
        <v>94.0</v>
      </c>
      <c r="H11050" s="24">
        <v>1500.0</v>
      </c>
      <c r="I11050" s="24">
        <v>8501.0</v>
      </c>
      <c r="J11050" s="24">
        <v>0.0</v>
      </c>
      <c r="K11050" s="23" t="s">
        <v>34</v>
      </c>
      <c r="L11050" s="25">
        <v>42961.21590277778</v>
      </c>
      <c r="M11050" s="26" t="s">
        <v>167</v>
      </c>
      <c r="N11050" s="26" t="s">
        <v>23260</v>
      </c>
      <c r="O11050" s="22" t="str">
        <f>HYPERLINK("https://pbs.twimg.com/profile_images/897078933451005952/TBYddtiy_normal.jpg","View")</f>
        <v>View</v>
      </c>
      <c r="P11050" s="27"/>
    </row>
    <row r="11051">
      <c r="A11051" s="14">
        <v>43032.52339120371</v>
      </c>
      <c r="B11051" s="20" t="str">
        <f>HYPERLINK("https://twitter.com/thanksforcall","@thanksforcall")</f>
        <v>@thanksforcall</v>
      </c>
      <c r="C11051" s="21" t="s">
        <v>23261</v>
      </c>
      <c r="D11051" s="21" t="s">
        <v>42</v>
      </c>
      <c r="E11051" s="22" t="str">
        <f>HYPERLINK("https://twitter.com/thanksforcall/status/922908975443558400","922908975443558400")</f>
        <v>922908975443558400</v>
      </c>
      <c r="F11051" s="23" t="s">
        <v>33</v>
      </c>
      <c r="G11051" s="24">
        <v>1124.0</v>
      </c>
      <c r="H11051" s="24">
        <v>1718.0</v>
      </c>
      <c r="I11051" s="24">
        <v>8501.0</v>
      </c>
      <c r="J11051" s="24">
        <v>0.0</v>
      </c>
      <c r="K11051" s="23" t="s">
        <v>34</v>
      </c>
      <c r="L11051" s="25">
        <v>40163.22173611111</v>
      </c>
      <c r="M11051" s="26" t="s">
        <v>164</v>
      </c>
      <c r="N11051" s="26" t="s">
        <v>23262</v>
      </c>
      <c r="O11051" s="22" t="str">
        <f>HYPERLINK("https://pbs.twimg.com/profile_images/675439994027118592/r11UUVJm_normal.jpg","View")</f>
        <v>View</v>
      </c>
      <c r="P11051" s="27"/>
    </row>
    <row r="11052">
      <c r="A11052" s="14">
        <v>43032.52422453703</v>
      </c>
      <c r="B11052" s="20" t="str">
        <f>HYPERLINK("https://twitter.com/sabya3636","@sabya3636")</f>
        <v>@sabya3636</v>
      </c>
      <c r="C11052" s="21" t="s">
        <v>23263</v>
      </c>
      <c r="D11052" s="21" t="s">
        <v>42</v>
      </c>
      <c r="E11052" s="22" t="str">
        <f>HYPERLINK("https://twitter.com/sabya3636/status/922909277404119040","922909277404119040")</f>
        <v>922909277404119040</v>
      </c>
      <c r="F11052" s="23" t="s">
        <v>2119</v>
      </c>
      <c r="G11052" s="24">
        <v>17.0</v>
      </c>
      <c r="H11052" s="24">
        <v>8.0</v>
      </c>
      <c r="I11052" s="24">
        <v>8501.0</v>
      </c>
      <c r="J11052" s="24">
        <v>0.0</v>
      </c>
      <c r="K11052" s="23" t="s">
        <v>34</v>
      </c>
      <c r="L11052" s="25">
        <v>42372.157488425924</v>
      </c>
      <c r="M11052" s="26" t="s">
        <v>23264</v>
      </c>
      <c r="N11052" s="28"/>
      <c r="O11052" s="22" t="str">
        <f>HYPERLINK("https://pbs.twimg.com/profile_images/683616433436098560/b2M2qdVc_normal.jpg","View")</f>
        <v>View</v>
      </c>
      <c r="P11052" s="27"/>
    </row>
    <row r="11053">
      <c r="A11053" s="14">
        <v>43032.52532407407</v>
      </c>
      <c r="B11053" s="20" t="str">
        <f>HYPERLINK("https://twitter.com/YaDangayach","@YaDangayach")</f>
        <v>@YaDangayach</v>
      </c>
      <c r="C11053" s="21" t="s">
        <v>5028</v>
      </c>
      <c r="D11053" s="21" t="s">
        <v>42</v>
      </c>
      <c r="E11053" s="22" t="str">
        <f>HYPERLINK("https://twitter.com/YaDangayach/status/922909675842035713","922909675842035713")</f>
        <v>922909675842035713</v>
      </c>
      <c r="F11053" s="23" t="s">
        <v>39</v>
      </c>
      <c r="G11053" s="24">
        <v>274.0</v>
      </c>
      <c r="H11053" s="24">
        <v>230.0</v>
      </c>
      <c r="I11053" s="24">
        <v>8501.0</v>
      </c>
      <c r="J11053" s="24">
        <v>0.0</v>
      </c>
      <c r="K11053" s="23" t="s">
        <v>34</v>
      </c>
      <c r="L11053" s="25">
        <v>41753.23569444445</v>
      </c>
      <c r="M11053" s="26" t="s">
        <v>5029</v>
      </c>
      <c r="N11053" s="26" t="s">
        <v>5030</v>
      </c>
      <c r="O11053" s="22" t="str">
        <f>HYPERLINK("https://pbs.twimg.com/profile_images/835556115685474304/VUQU5OSM_normal.jpg","View")</f>
        <v>View</v>
      </c>
      <c r="P11053" s="27"/>
    </row>
    <row r="11054">
      <c r="A11054" s="14">
        <v>43032.52663194445</v>
      </c>
      <c r="B11054" s="20" t="str">
        <f>HYPERLINK("https://twitter.com/EURACC","@EURACC")</f>
        <v>@EURACC</v>
      </c>
      <c r="C11054" s="29" t="s">
        <v>23265</v>
      </c>
      <c r="D11054" s="21" t="s">
        <v>23266</v>
      </c>
      <c r="E11054" s="22" t="str">
        <f>HYPERLINK("https://twitter.com/EURACC/status/922910150716948483","922910150716948483")</f>
        <v>922910150716948483</v>
      </c>
      <c r="F11054" s="23" t="s">
        <v>55</v>
      </c>
      <c r="G11054" s="24">
        <v>770.0</v>
      </c>
      <c r="H11054" s="24">
        <v>1658.0</v>
      </c>
      <c r="I11054" s="24">
        <v>1.0</v>
      </c>
      <c r="J11054" s="24">
        <v>0.0</v>
      </c>
      <c r="K11054" s="23" t="s">
        <v>34</v>
      </c>
      <c r="L11054" s="25">
        <v>41278.51494212963</v>
      </c>
      <c r="M11054" s="26" t="s">
        <v>23267</v>
      </c>
      <c r="N11054" s="26" t="s">
        <v>23268</v>
      </c>
      <c r="O11054" s="22" t="str">
        <f>HYPERLINK("https://pbs.twimg.com/profile_images/413085212000546816/ob5dN8yM_normal.jpeg","View")</f>
        <v>View</v>
      </c>
      <c r="P11054" s="27"/>
    </row>
    <row r="11055">
      <c r="A11055" s="14">
        <v>43032.528912037036</v>
      </c>
      <c r="B11055" s="20" t="str">
        <f>HYPERLINK("https://twitter.com/mohammedsaeedi4","@mohammedsaeedi4")</f>
        <v>@mohammedsaeedi4</v>
      </c>
      <c r="C11055" s="21" t="s">
        <v>23269</v>
      </c>
      <c r="D11055" s="21" t="s">
        <v>21194</v>
      </c>
      <c r="E11055" s="22" t="str">
        <f>HYPERLINK("https://twitter.com/mohammedsaeedi4/status/922910976621629440","922910976621629440")</f>
        <v>922910976621629440</v>
      </c>
      <c r="F11055" s="23" t="s">
        <v>55</v>
      </c>
      <c r="G11055" s="24">
        <v>450.0</v>
      </c>
      <c r="H11055" s="24">
        <v>1438.0</v>
      </c>
      <c r="I11055" s="24">
        <v>35.0</v>
      </c>
      <c r="J11055" s="24">
        <v>0.0</v>
      </c>
      <c r="K11055" s="23" t="s">
        <v>34</v>
      </c>
      <c r="L11055" s="25">
        <v>42490.5540625</v>
      </c>
      <c r="M11055" s="28"/>
      <c r="N11055" s="26" t="s">
        <v>23270</v>
      </c>
      <c r="O11055" s="22" t="str">
        <f>HYPERLINK("https://pbs.twimg.com/profile_images/760118024875761665/ZrQwSEYr_normal.jpg","View")</f>
        <v>View</v>
      </c>
      <c r="P11055" s="27"/>
    </row>
    <row r="11056">
      <c r="A11056" s="14">
        <v>43032.529699074075</v>
      </c>
      <c r="B11056" s="20" t="str">
        <f>HYPERLINK("https://twitter.com/paulworth21","@paulworth21")</f>
        <v>@paulworth21</v>
      </c>
      <c r="C11056" s="21" t="s">
        <v>23271</v>
      </c>
      <c r="D11056" s="21" t="s">
        <v>32</v>
      </c>
      <c r="E11056" s="22" t="str">
        <f>HYPERLINK("https://twitter.com/paulworth21/status/922911261100097536","922911261100097536")</f>
        <v>922911261100097536</v>
      </c>
      <c r="F11056" s="23" t="s">
        <v>33</v>
      </c>
      <c r="G11056" s="24">
        <v>76.0</v>
      </c>
      <c r="H11056" s="24">
        <v>529.0</v>
      </c>
      <c r="I11056" s="24">
        <v>471.0</v>
      </c>
      <c r="J11056" s="24">
        <v>0.0</v>
      </c>
      <c r="K11056" s="23" t="s">
        <v>34</v>
      </c>
      <c r="L11056" s="25">
        <v>40640.271990740745</v>
      </c>
      <c r="M11056" s="28"/>
      <c r="N11056" s="28"/>
      <c r="O11056" s="22" t="str">
        <f>HYPERLINK("https://pbs.twimg.com/profile_images/895349101394616320/Dp4MY3mA_normal.jpg","View")</f>
        <v>View</v>
      </c>
      <c r="P11056" s="27"/>
    </row>
    <row r="11057">
      <c r="A11057" s="14">
        <v>43032.53152777778</v>
      </c>
      <c r="B11057" s="20" t="str">
        <f>HYPERLINK("https://twitter.com/asia_active","@asia_active")</f>
        <v>@asia_active</v>
      </c>
      <c r="C11057" s="21" t="s">
        <v>19346</v>
      </c>
      <c r="D11057" s="21" t="s">
        <v>16537</v>
      </c>
      <c r="E11057" s="22" t="str">
        <f>HYPERLINK("https://twitter.com/asia_active/status/922911924500795392","922911924500795392")</f>
        <v>922911924500795392</v>
      </c>
      <c r="F11057" s="23" t="s">
        <v>19347</v>
      </c>
      <c r="G11057" s="24">
        <v>176.0</v>
      </c>
      <c r="H11057" s="24">
        <v>87.0</v>
      </c>
      <c r="I11057" s="24">
        <v>242.0</v>
      </c>
      <c r="J11057" s="24">
        <v>0.0</v>
      </c>
      <c r="K11057" s="23" t="s">
        <v>34</v>
      </c>
      <c r="L11057" s="25">
        <v>42987.96071759259</v>
      </c>
      <c r="M11057" s="26" t="s">
        <v>2068</v>
      </c>
      <c r="N11057" s="26" t="s">
        <v>19348</v>
      </c>
      <c r="O11057" s="22" t="str">
        <f>HYPERLINK("https://pbs.twimg.com/profile_images/906761632788779009/b5vfZXE0_normal.jpg","View")</f>
        <v>View</v>
      </c>
      <c r="P11057" s="27"/>
    </row>
    <row r="11058">
      <c r="A11058" s="14">
        <v>43032.53177083333</v>
      </c>
      <c r="B11058" s="20" t="str">
        <f>HYPERLINK("https://twitter.com/WSJopinion","@WSJopinion")</f>
        <v>@WSJopinion</v>
      </c>
      <c r="C11058" s="21" t="s">
        <v>23272</v>
      </c>
      <c r="D11058" s="21" t="s">
        <v>23273</v>
      </c>
      <c r="E11058" s="22" t="str">
        <f>HYPERLINK("https://twitter.com/WSJopinion/status/922912014103654401","922912014103654401")</f>
        <v>922912014103654401</v>
      </c>
      <c r="F11058" s="23" t="s">
        <v>1103</v>
      </c>
      <c r="G11058" s="24">
        <v>76963.0</v>
      </c>
      <c r="H11058" s="24">
        <v>146.0</v>
      </c>
      <c r="I11058" s="24">
        <v>7.0</v>
      </c>
      <c r="J11058" s="24">
        <v>10.0</v>
      </c>
      <c r="K11058" s="23" t="s">
        <v>34</v>
      </c>
      <c r="L11058" s="25">
        <v>39266.27717592593</v>
      </c>
      <c r="M11058" s="26" t="s">
        <v>389</v>
      </c>
      <c r="N11058" s="26" t="s">
        <v>23274</v>
      </c>
      <c r="O11058" s="22" t="str">
        <f>HYPERLINK("https://pbs.twimg.com/profile_images/461999062913261568/ObF8uSOx_normal.jpeg","View")</f>
        <v>View</v>
      </c>
      <c r="P11058" s="27"/>
    </row>
    <row r="11059">
      <c r="A11059" s="14">
        <v>43032.532534722224</v>
      </c>
      <c r="B11059" s="20" t="str">
        <f>HYPERLINK("https://twitter.com/SpreadHedger","@SpreadHedger")</f>
        <v>@SpreadHedger</v>
      </c>
      <c r="C11059" s="21" t="s">
        <v>15883</v>
      </c>
      <c r="D11059" s="21" t="s">
        <v>21559</v>
      </c>
      <c r="E11059" s="22" t="str">
        <f>HYPERLINK("https://twitter.com/SpreadHedger/status/922912289845542912","922912289845542912")</f>
        <v>922912289845542912</v>
      </c>
      <c r="F11059" s="23" t="s">
        <v>15884</v>
      </c>
      <c r="G11059" s="24">
        <v>1048.0</v>
      </c>
      <c r="H11059" s="24">
        <v>1350.0</v>
      </c>
      <c r="I11059" s="24">
        <v>9.0</v>
      </c>
      <c r="J11059" s="24">
        <v>0.0</v>
      </c>
      <c r="K11059" s="23" t="s">
        <v>34</v>
      </c>
      <c r="L11059" s="25">
        <v>42313.88548611111</v>
      </c>
      <c r="M11059" s="26">
        <v>1735.0</v>
      </c>
      <c r="N11059" s="28"/>
      <c r="O11059" s="22" t="str">
        <f>HYPERLINK("https://pbs.twimg.com/profile_images/892270656225759232/w2bC2x6o_normal.jpg","View")</f>
        <v>View</v>
      </c>
      <c r="P11059" s="27"/>
    </row>
    <row r="11060">
      <c r="A11060" s="14">
        <v>43032.53454861111</v>
      </c>
      <c r="B11060" s="20" t="str">
        <f>HYPERLINK("https://twitter.com/Crowntiptoe","@Crowntiptoe")</f>
        <v>@Crowntiptoe</v>
      </c>
      <c r="C11060" s="21" t="s">
        <v>23275</v>
      </c>
      <c r="D11060" s="21" t="s">
        <v>23276</v>
      </c>
      <c r="E11060" s="22" t="str">
        <f>HYPERLINK("https://twitter.com/Crowntiptoe/status/922913020845723649","922913020845723649")</f>
        <v>922913020845723649</v>
      </c>
      <c r="F11060" s="23" t="s">
        <v>39</v>
      </c>
      <c r="G11060" s="24">
        <v>320.0</v>
      </c>
      <c r="H11060" s="24">
        <v>599.0</v>
      </c>
      <c r="I11060" s="24">
        <v>7.0</v>
      </c>
      <c r="J11060" s="24">
        <v>0.0</v>
      </c>
      <c r="K11060" s="23" t="s">
        <v>34</v>
      </c>
      <c r="L11060" s="25">
        <v>42808.40789351852</v>
      </c>
      <c r="M11060" s="26" t="s">
        <v>4411</v>
      </c>
      <c r="N11060" s="26" t="s">
        <v>23277</v>
      </c>
      <c r="O11060" s="22" t="str">
        <f>HYPERLINK("https://pbs.twimg.com/profile_images/848586174558081025/byluFYyY_normal.jpg","View")</f>
        <v>View</v>
      </c>
      <c r="P11060" s="27"/>
    </row>
    <row r="11061">
      <c r="A11061" s="14">
        <v>43032.53722222222</v>
      </c>
      <c r="B11061" s="20" t="str">
        <f>HYPERLINK("https://twitter.com/Cedarwooded","@Cedarwooded")</f>
        <v>@Cedarwooded</v>
      </c>
      <c r="C11061" s="21" t="s">
        <v>23278</v>
      </c>
      <c r="D11061" s="21" t="s">
        <v>19833</v>
      </c>
      <c r="E11061" s="22" t="str">
        <f>HYPERLINK("https://twitter.com/Cedarwooded/status/922913988647665665","922913988647665665")</f>
        <v>922913988647665665</v>
      </c>
      <c r="F11061" s="23" t="s">
        <v>55</v>
      </c>
      <c r="G11061" s="24">
        <v>1765.0</v>
      </c>
      <c r="H11061" s="24">
        <v>814.0</v>
      </c>
      <c r="I11061" s="24">
        <v>10.0</v>
      </c>
      <c r="J11061" s="24">
        <v>0.0</v>
      </c>
      <c r="K11061" s="23" t="s">
        <v>34</v>
      </c>
      <c r="L11061" s="25">
        <v>41291.960856481484</v>
      </c>
      <c r="M11061" s="28"/>
      <c r="N11061" s="26" t="s">
        <v>23279</v>
      </c>
      <c r="O11061" s="22" t="str">
        <f>HYPERLINK("https://pbs.twimg.com/profile_images/918361525080834050/gx2thBLK_normal.jpg","View")</f>
        <v>View</v>
      </c>
      <c r="P11061" s="27"/>
    </row>
    <row r="11062">
      <c r="A11062" s="14">
        <v>43032.53739583334</v>
      </c>
      <c r="B11062" s="20" t="str">
        <f>HYPERLINK("https://twitter.com/2mstephane","@2mstephane")</f>
        <v>@2mstephane</v>
      </c>
      <c r="C11062" s="21" t="s">
        <v>6993</v>
      </c>
      <c r="D11062" s="21" t="s">
        <v>12974</v>
      </c>
      <c r="E11062" s="22" t="str">
        <f>HYPERLINK("https://twitter.com/2mstephane/status/922914053185404928","922914053185404928")</f>
        <v>922914053185404928</v>
      </c>
      <c r="F11062" s="23" t="s">
        <v>43</v>
      </c>
      <c r="G11062" s="24">
        <v>5361.0</v>
      </c>
      <c r="H11062" s="24">
        <v>878.0</v>
      </c>
      <c r="I11062" s="24">
        <v>110.0</v>
      </c>
      <c r="J11062" s="24">
        <v>0.0</v>
      </c>
      <c r="K11062" s="23" t="s">
        <v>34</v>
      </c>
      <c r="L11062" s="25">
        <v>41598.24133101852</v>
      </c>
      <c r="M11062" s="26" t="s">
        <v>6994</v>
      </c>
      <c r="N11062" s="26" t="s">
        <v>6995</v>
      </c>
      <c r="O11062" s="22" t="str">
        <f>HYPERLINK("https://pbs.twimg.com/profile_images/856682876074696704/IQiE5wpB_normal.jpg","View")</f>
        <v>View</v>
      </c>
      <c r="P11062" s="27"/>
    </row>
    <row r="11063">
      <c r="A11063" s="14">
        <v>43032.53746527778</v>
      </c>
      <c r="B11063" s="20" t="str">
        <f>HYPERLINK("https://twitter.com/kvslatt","@kvslatt")</f>
        <v>@kvslatt</v>
      </c>
      <c r="C11063" s="21" t="s">
        <v>23280</v>
      </c>
      <c r="D11063" s="21" t="s">
        <v>23276</v>
      </c>
      <c r="E11063" s="22" t="str">
        <f>HYPERLINK("https://twitter.com/kvslatt/status/922914076270850048","922914076270850048")</f>
        <v>922914076270850048</v>
      </c>
      <c r="F11063" s="23" t="s">
        <v>39</v>
      </c>
      <c r="G11063" s="24">
        <v>64.0</v>
      </c>
      <c r="H11063" s="24">
        <v>137.0</v>
      </c>
      <c r="I11063" s="24">
        <v>7.0</v>
      </c>
      <c r="J11063" s="24">
        <v>0.0</v>
      </c>
      <c r="K11063" s="23" t="s">
        <v>34</v>
      </c>
      <c r="L11063" s="25">
        <v>42264.65268518518</v>
      </c>
      <c r="M11063" s="28"/>
      <c r="N11063" s="26" t="s">
        <v>23281</v>
      </c>
      <c r="O11063" s="22" t="str">
        <f>HYPERLINK("https://pbs.twimg.com/profile_images/904129057150918656/_-SXNLdU_normal.jpg","View")</f>
        <v>View</v>
      </c>
      <c r="P11063" s="27"/>
    </row>
    <row r="11064">
      <c r="A11064" s="14">
        <v>43032.53783564815</v>
      </c>
      <c r="B11064" s="20" t="str">
        <f>HYPERLINK("https://twitter.com/vuthihonggiang1","@vuthihonggiang1")</f>
        <v>@vuthihonggiang1</v>
      </c>
      <c r="C11064" s="21" t="s">
        <v>23282</v>
      </c>
      <c r="D11064" s="21" t="s">
        <v>23283</v>
      </c>
      <c r="E11064" s="22" t="str">
        <f>HYPERLINK("https://twitter.com/vuthihonggiang1/status/922914210727596032","922914210727596032")</f>
        <v>922914210727596032</v>
      </c>
      <c r="F11064" s="23" t="s">
        <v>187</v>
      </c>
      <c r="G11064" s="24">
        <v>10.0</v>
      </c>
      <c r="H11064" s="24">
        <v>158.0</v>
      </c>
      <c r="I11064" s="24">
        <v>0.0</v>
      </c>
      <c r="J11064" s="24">
        <v>0.0</v>
      </c>
      <c r="K11064" s="23" t="s">
        <v>34</v>
      </c>
      <c r="L11064" s="25">
        <v>43007.852731481486</v>
      </c>
      <c r="M11064" s="26" t="s">
        <v>23284</v>
      </c>
      <c r="N11064" s="26" t="s">
        <v>23285</v>
      </c>
      <c r="O11064" s="22" t="str">
        <f>HYPERLINK("https://pbs.twimg.com/profile_images/913968934067478528/fcD8w0JO_normal.jpg","View")</f>
        <v>View</v>
      </c>
      <c r="P11064" s="27"/>
    </row>
    <row r="11065">
      <c r="A11065" s="14">
        <v>43032.53844907407</v>
      </c>
      <c r="B11065" s="20" t="str">
        <f>HYPERLINK("https://twitter.com/newshot6","@newshot6")</f>
        <v>@newshot6</v>
      </c>
      <c r="C11065" s="21" t="s">
        <v>23286</v>
      </c>
      <c r="D11065" s="21" t="s">
        <v>23287</v>
      </c>
      <c r="E11065" s="22" t="str">
        <f>HYPERLINK("https://twitter.com/newshot6/status/922914431566102529","922914431566102529")</f>
        <v>922914431566102529</v>
      </c>
      <c r="F11065" s="23" t="s">
        <v>187</v>
      </c>
      <c r="G11065" s="24">
        <v>4.0</v>
      </c>
      <c r="H11065" s="24">
        <v>96.0</v>
      </c>
      <c r="I11065" s="24">
        <v>0.0</v>
      </c>
      <c r="J11065" s="24">
        <v>0.0</v>
      </c>
      <c r="K11065" s="23" t="s">
        <v>34</v>
      </c>
      <c r="L11065" s="25">
        <v>43017.88694444444</v>
      </c>
      <c r="M11065" s="26" t="s">
        <v>23288</v>
      </c>
      <c r="N11065" s="26" t="s">
        <v>23289</v>
      </c>
      <c r="O11065" s="22" t="str">
        <f>HYPERLINK("https://pbs.twimg.com/profile_images/917605495086579712/_O3PC6Af_normal.jpg","View")</f>
        <v>View</v>
      </c>
      <c r="P11065" s="27"/>
    </row>
    <row r="11066">
      <c r="A11066" s="14">
        <v>43032.53902777778</v>
      </c>
      <c r="B11066" s="20" t="str">
        <f>HYPERLINK("https://twitter.com/ShravanSaxena","@ShravanSaxena")</f>
        <v>@ShravanSaxena</v>
      </c>
      <c r="C11066" s="21" t="s">
        <v>18034</v>
      </c>
      <c r="D11066" s="21" t="s">
        <v>23290</v>
      </c>
      <c r="E11066" s="22" t="str">
        <f>HYPERLINK("https://twitter.com/ShravanSaxena/status/922914641314844672","922914641314844672")</f>
        <v>922914641314844672</v>
      </c>
      <c r="F11066" s="23" t="s">
        <v>55</v>
      </c>
      <c r="G11066" s="24">
        <v>205.0</v>
      </c>
      <c r="H11066" s="24">
        <v>27.0</v>
      </c>
      <c r="I11066" s="24">
        <v>0.0</v>
      </c>
      <c r="J11066" s="24">
        <v>0.0</v>
      </c>
      <c r="K11066" s="23" t="s">
        <v>34</v>
      </c>
      <c r="L11066" s="25">
        <v>40709.14003472222</v>
      </c>
      <c r="M11066" s="28"/>
      <c r="N11066" s="26" t="s">
        <v>18036</v>
      </c>
      <c r="O11066" s="22" t="str">
        <f>HYPERLINK("https://pbs.twimg.com/profile_images/897969469359759360/jKeltRek_normal.jpg","View")</f>
        <v>View</v>
      </c>
      <c r="P11066" s="27"/>
    </row>
    <row r="11067">
      <c r="A11067" s="14">
        <v>43032.53920138889</v>
      </c>
      <c r="B11067" s="20" t="str">
        <f>HYPERLINK("https://twitter.com/Bbcnews121","@Bbcnews121")</f>
        <v>@Bbcnews121</v>
      </c>
      <c r="C11067" s="21" t="s">
        <v>23291</v>
      </c>
      <c r="D11067" s="21" t="s">
        <v>23292</v>
      </c>
      <c r="E11067" s="22" t="str">
        <f>HYPERLINK("https://twitter.com/Bbcnews121/status/922914704472686592","922914704472686592")</f>
        <v>922914704472686592</v>
      </c>
      <c r="F11067" s="23" t="s">
        <v>187</v>
      </c>
      <c r="G11067" s="24">
        <v>4.0</v>
      </c>
      <c r="H11067" s="24">
        <v>67.0</v>
      </c>
      <c r="I11067" s="24">
        <v>0.0</v>
      </c>
      <c r="J11067" s="24">
        <v>0.0</v>
      </c>
      <c r="K11067" s="23" t="s">
        <v>34</v>
      </c>
      <c r="L11067" s="25">
        <v>43008.024606481486</v>
      </c>
      <c r="M11067" s="26" t="s">
        <v>2619</v>
      </c>
      <c r="N11067" s="26" t="s">
        <v>23293</v>
      </c>
      <c r="O11067" s="22" t="str">
        <f>HYPERLINK("https://pbs.twimg.com/profile_images/914031719128326144/pc5u4fEc_normal.jpg","View")</f>
        <v>View</v>
      </c>
      <c r="P11067" s="27"/>
    </row>
    <row r="11068">
      <c r="A11068" s="14">
        <v>43032.53967592593</v>
      </c>
      <c r="B11068" s="20" t="str">
        <f>HYPERLINK("https://twitter.com/hotnew14","@hotnew14")</f>
        <v>@hotnew14</v>
      </c>
      <c r="C11068" s="21" t="s">
        <v>23294</v>
      </c>
      <c r="D11068" s="21" t="s">
        <v>23295</v>
      </c>
      <c r="E11068" s="22" t="str">
        <f>HYPERLINK("https://twitter.com/hotnew14/status/922914879496798209","922914879496798209")</f>
        <v>922914879496798209</v>
      </c>
      <c r="F11068" s="23" t="s">
        <v>187</v>
      </c>
      <c r="G11068" s="24">
        <v>3.0</v>
      </c>
      <c r="H11068" s="24">
        <v>83.0</v>
      </c>
      <c r="I11068" s="24">
        <v>0.0</v>
      </c>
      <c r="J11068" s="24">
        <v>0.0</v>
      </c>
      <c r="K11068" s="23" t="s">
        <v>34</v>
      </c>
      <c r="L11068" s="25">
        <v>43008.10530092593</v>
      </c>
      <c r="M11068" s="26" t="s">
        <v>3604</v>
      </c>
      <c r="N11068" s="26" t="s">
        <v>23293</v>
      </c>
      <c r="O11068" s="22" t="str">
        <f>HYPERLINK("https://pbs.twimg.com/profile_images/914060669510606850/xVd8Gxj-_normal.jpg","View")</f>
        <v>View</v>
      </c>
      <c r="P11068" s="27"/>
    </row>
    <row r="11069">
      <c r="A11069" s="14">
        <v>43032.54064814815</v>
      </c>
      <c r="B11069" s="20" t="str">
        <f>HYPERLINK("https://twitter.com/demoytautogroup","@demoytautogroup")</f>
        <v>@demoytautogroup</v>
      </c>
      <c r="C11069" s="21" t="s">
        <v>23296</v>
      </c>
      <c r="D11069" s="21" t="s">
        <v>23297</v>
      </c>
      <c r="E11069" s="22" t="str">
        <f>HYPERLINK("https://twitter.com/demoytautogroup/status/922915230669201408","922915230669201408")</f>
        <v>922915230669201408</v>
      </c>
      <c r="F11069" s="23" t="s">
        <v>187</v>
      </c>
      <c r="G11069" s="24">
        <v>8.0</v>
      </c>
      <c r="H11069" s="24">
        <v>182.0</v>
      </c>
      <c r="I11069" s="24">
        <v>0.0</v>
      </c>
      <c r="J11069" s="24">
        <v>0.0</v>
      </c>
      <c r="K11069" s="23" t="s">
        <v>34</v>
      </c>
      <c r="L11069" s="25">
        <v>43019.203252314815</v>
      </c>
      <c r="M11069" s="26" t="s">
        <v>5509</v>
      </c>
      <c r="N11069" s="26" t="s">
        <v>23298</v>
      </c>
      <c r="O11069" s="22" t="str">
        <f>HYPERLINK("https://pbs.twimg.com/profile_images/918082533333463040/IjmELde5_normal.jpg","View")</f>
        <v>View</v>
      </c>
      <c r="P11069" s="27"/>
    </row>
    <row r="11070">
      <c r="A11070" s="14">
        <v>43032.54119212963</v>
      </c>
      <c r="B11070" s="20" t="str">
        <f>HYPERLINK("https://twitter.com/MsOCHubbard","@MsOCHubbard")</f>
        <v>@MsOCHubbard</v>
      </c>
      <c r="C11070" s="21" t="s">
        <v>23299</v>
      </c>
      <c r="D11070" s="21" t="s">
        <v>16537</v>
      </c>
      <c r="E11070" s="22" t="str">
        <f>HYPERLINK("https://twitter.com/MsOCHubbard/status/922915428850065408","922915428850065408")</f>
        <v>922915428850065408</v>
      </c>
      <c r="F11070" s="23" t="s">
        <v>33</v>
      </c>
      <c r="G11070" s="24">
        <v>3191.0</v>
      </c>
      <c r="H11070" s="24">
        <v>4130.0</v>
      </c>
      <c r="I11070" s="24">
        <v>242.0</v>
      </c>
      <c r="J11070" s="24">
        <v>0.0</v>
      </c>
      <c r="K11070" s="23" t="s">
        <v>34</v>
      </c>
      <c r="L11070" s="25">
        <v>40951.58248842593</v>
      </c>
      <c r="M11070" s="26" t="s">
        <v>478</v>
      </c>
      <c r="N11070" s="28"/>
      <c r="O11070" s="22" t="str">
        <f>HYPERLINK("https://pbs.twimg.com/profile_images/3684148511/ad6fea8a92c13f33c943d8fc760aaa0e_normal.jpeg","View")</f>
        <v>View</v>
      </c>
      <c r="P11070" s="27"/>
    </row>
    <row r="11071">
      <c r="A11071" s="14">
        <v>43032.54265046296</v>
      </c>
      <c r="B11071" s="20" t="str">
        <f>HYPERLINK("https://twitter.com/newshot5","@newshot5")</f>
        <v>@newshot5</v>
      </c>
      <c r="C11071" s="21" t="s">
        <v>23286</v>
      </c>
      <c r="D11071" s="21" t="s">
        <v>23300</v>
      </c>
      <c r="E11071" s="22" t="str">
        <f>HYPERLINK("https://twitter.com/newshot5/status/922915957986680834","922915957986680834")</f>
        <v>922915957986680834</v>
      </c>
      <c r="F11071" s="23" t="s">
        <v>187</v>
      </c>
      <c r="G11071" s="24">
        <v>14.0</v>
      </c>
      <c r="H11071" s="24">
        <v>89.0</v>
      </c>
      <c r="I11071" s="24">
        <v>0.0</v>
      </c>
      <c r="J11071" s="24">
        <v>0.0</v>
      </c>
      <c r="K11071" s="23" t="s">
        <v>34</v>
      </c>
      <c r="L11071" s="25">
        <v>43006.399502314816</v>
      </c>
      <c r="M11071" s="26" t="s">
        <v>5509</v>
      </c>
      <c r="N11071" s="26" t="s">
        <v>23301</v>
      </c>
      <c r="O11071" s="22" t="str">
        <f>HYPERLINK("https://pbs.twimg.com/profile_images/913442282539384832/2ySbXZVa_normal.jpg","View")</f>
        <v>View</v>
      </c>
      <c r="P11071" s="27"/>
    </row>
    <row r="11072">
      <c r="A11072" s="14">
        <v>43032.543495370366</v>
      </c>
      <c r="B11072" s="20" t="str">
        <f>HYPERLINK("https://twitter.com/hotnews115","@hotnews115")</f>
        <v>@hotnews115</v>
      </c>
      <c r="C11072" s="21" t="s">
        <v>23302</v>
      </c>
      <c r="D11072" s="21" t="s">
        <v>23303</v>
      </c>
      <c r="E11072" s="22" t="str">
        <f>HYPERLINK("https://twitter.com/hotnews115/status/922916263344537601","922916263344537601")</f>
        <v>922916263344537601</v>
      </c>
      <c r="F11072" s="23" t="s">
        <v>187</v>
      </c>
      <c r="G11072" s="24">
        <v>4.0</v>
      </c>
      <c r="H11072" s="24">
        <v>99.0</v>
      </c>
      <c r="I11072" s="24">
        <v>0.0</v>
      </c>
      <c r="J11072" s="24">
        <v>0.0</v>
      </c>
      <c r="K11072" s="23" t="s">
        <v>34</v>
      </c>
      <c r="L11072" s="25">
        <v>43008.07009259259</v>
      </c>
      <c r="M11072" s="26" t="s">
        <v>7142</v>
      </c>
      <c r="N11072" s="26" t="s">
        <v>23285</v>
      </c>
      <c r="O11072" s="22" t="str">
        <f>HYPERLINK("https://pbs.twimg.com/profile_images/914048177484980224/y0w9jdK0_normal.jpg","View")</f>
        <v>View</v>
      </c>
      <c r="P11072" s="27"/>
    </row>
    <row r="11073">
      <c r="A11073" s="14">
        <v>43032.54356481481</v>
      </c>
      <c r="B11073" s="20" t="str">
        <f>HYPERLINK("https://twitter.com/newyorktime11","@newyorktime11")</f>
        <v>@newyorktime11</v>
      </c>
      <c r="C11073" s="21" t="s">
        <v>23304</v>
      </c>
      <c r="D11073" s="21" t="s">
        <v>23305</v>
      </c>
      <c r="E11073" s="22" t="str">
        <f>HYPERLINK("https://twitter.com/newyorktime11/status/922916285779808256","922916285779808256")</f>
        <v>922916285779808256</v>
      </c>
      <c r="F11073" s="23" t="s">
        <v>187</v>
      </c>
      <c r="G11073" s="24">
        <v>2.0</v>
      </c>
      <c r="H11073" s="24">
        <v>114.0</v>
      </c>
      <c r="I11073" s="24">
        <v>0.0</v>
      </c>
      <c r="J11073" s="24">
        <v>0.0</v>
      </c>
      <c r="K11073" s="23" t="s">
        <v>34</v>
      </c>
      <c r="L11073" s="25">
        <v>43009.01152777778</v>
      </c>
      <c r="M11073" s="28"/>
      <c r="N11073" s="26" t="s">
        <v>23293</v>
      </c>
      <c r="O11073" s="22" t="str">
        <f>HYPERLINK("https://pbs.twimg.com/profile_images/914389118259363841/vrnzFhch_normal.jpg","View")</f>
        <v>View</v>
      </c>
      <c r="P11073" s="27"/>
    </row>
    <row r="11074">
      <c r="A11074" s="14">
        <v>43032.54372685185</v>
      </c>
      <c r="B11074" s="20" t="str">
        <f>HYPERLINK("https://twitter.com/ParthPa07241800","@ParthPa07241800")</f>
        <v>@ParthPa07241800</v>
      </c>
      <c r="C11074" s="21" t="s">
        <v>7596</v>
      </c>
      <c r="D11074" s="21" t="s">
        <v>42</v>
      </c>
      <c r="E11074" s="22" t="str">
        <f>HYPERLINK("https://twitter.com/ParthPa07241800/status/922916344831516672","922916344831516672")</f>
        <v>922916344831516672</v>
      </c>
      <c r="F11074" s="23" t="s">
        <v>33</v>
      </c>
      <c r="G11074" s="24">
        <v>2235.0</v>
      </c>
      <c r="H11074" s="24">
        <v>4319.0</v>
      </c>
      <c r="I11074" s="24">
        <v>8501.0</v>
      </c>
      <c r="J11074" s="24">
        <v>0.0</v>
      </c>
      <c r="K11074" s="23" t="s">
        <v>34</v>
      </c>
      <c r="L11074" s="25">
        <v>42127.30385416667</v>
      </c>
      <c r="M11074" s="26" t="s">
        <v>7597</v>
      </c>
      <c r="N11074" s="26" t="s">
        <v>7598</v>
      </c>
      <c r="O11074" s="22" t="str">
        <f>HYPERLINK("https://pbs.twimg.com/profile_images/835507728923635714/YeeY3rAm_normal.jpg","View")</f>
        <v>View</v>
      </c>
      <c r="P11074" s="27"/>
    </row>
    <row r="11075">
      <c r="A11075" s="14">
        <v>43032.544328703705</v>
      </c>
      <c r="B11075" s="20" t="str">
        <f>HYPERLINK("https://twitter.com/yoshiefuruhashi","@yoshiefuruhashi")</f>
        <v>@yoshiefuruhashi</v>
      </c>
      <c r="C11075" s="21" t="s">
        <v>23306</v>
      </c>
      <c r="D11075" s="21" t="s">
        <v>18873</v>
      </c>
      <c r="E11075" s="22" t="str">
        <f>HYPERLINK("https://twitter.com/yoshiefuruhashi/status/922916564613062656","922916564613062656")</f>
        <v>922916564613062656</v>
      </c>
      <c r="F11075" s="23" t="s">
        <v>55</v>
      </c>
      <c r="G11075" s="24">
        <v>4000.0</v>
      </c>
      <c r="H11075" s="24">
        <v>2899.0</v>
      </c>
      <c r="I11075" s="24">
        <v>3.0</v>
      </c>
      <c r="J11075" s="24">
        <v>0.0</v>
      </c>
      <c r="K11075" s="23" t="s">
        <v>34</v>
      </c>
      <c r="L11075" s="25">
        <v>40776.47313657407</v>
      </c>
      <c r="M11075" s="28"/>
      <c r="N11075" s="26" t="s">
        <v>23307</v>
      </c>
      <c r="O11075" s="22" t="str">
        <f>HYPERLINK("https://pbs.twimg.com/profile_images/2155547987/kinoeye_normal.jpg","View")</f>
        <v>View</v>
      </c>
      <c r="P11075" s="27"/>
    </row>
    <row r="11076">
      <c r="A11076" s="14">
        <v>43032.544583333336</v>
      </c>
      <c r="B11076" s="20" t="str">
        <f>HYPERLINK("https://twitter.com/breakingnews377","@breakingnews377")</f>
        <v>@breakingnews377</v>
      </c>
      <c r="C11076" s="21" t="s">
        <v>23308</v>
      </c>
      <c r="D11076" s="21" t="s">
        <v>23309</v>
      </c>
      <c r="E11076" s="22" t="str">
        <f>HYPERLINK("https://twitter.com/breakingnews377/status/922916655012777985","922916655012777985")</f>
        <v>922916655012777985</v>
      </c>
      <c r="F11076" s="23" t="s">
        <v>187</v>
      </c>
      <c r="G11076" s="24">
        <v>38.0</v>
      </c>
      <c r="H11076" s="24">
        <v>412.0</v>
      </c>
      <c r="I11076" s="24">
        <v>0.0</v>
      </c>
      <c r="J11076" s="24">
        <v>0.0</v>
      </c>
      <c r="K11076" s="23" t="s">
        <v>34</v>
      </c>
      <c r="L11076" s="25">
        <v>43019.23841435185</v>
      </c>
      <c r="M11076" s="26" t="s">
        <v>23310</v>
      </c>
      <c r="N11076" s="26" t="s">
        <v>23298</v>
      </c>
      <c r="O11076" s="22" t="str">
        <f>HYPERLINK("https://pbs.twimg.com/profile_images/918096137763954693/1yogSpRz_normal.jpg","View")</f>
        <v>View</v>
      </c>
      <c r="P11076" s="27"/>
    </row>
    <row r="11077">
      <c r="A11077" s="14">
        <v>43032.54809027778</v>
      </c>
      <c r="B11077" s="20" t="str">
        <f>HYPERLINK("https://twitter.com/luchadora41","@luchadora41")</f>
        <v>@luchadora41</v>
      </c>
      <c r="C11077" s="21" t="s">
        <v>23311</v>
      </c>
      <c r="D11077" s="21" t="s">
        <v>23312</v>
      </c>
      <c r="E11077" s="22" t="str">
        <f>HYPERLINK("https://twitter.com/luchadora41/status/922917928923627520","922917928923627520")</f>
        <v>922917928923627520</v>
      </c>
      <c r="F11077" s="23" t="s">
        <v>55</v>
      </c>
      <c r="G11077" s="24">
        <v>36288.0</v>
      </c>
      <c r="H11077" s="24">
        <v>32103.0</v>
      </c>
      <c r="I11077" s="24">
        <v>1.0</v>
      </c>
      <c r="J11077" s="24">
        <v>0.0</v>
      </c>
      <c r="K11077" s="23" t="s">
        <v>34</v>
      </c>
      <c r="L11077" s="25">
        <v>40133.287766203706</v>
      </c>
      <c r="M11077" s="26" t="s">
        <v>1024</v>
      </c>
      <c r="N11077" s="26" t="s">
        <v>23313</v>
      </c>
      <c r="O11077" s="22" t="str">
        <f>HYPERLINK("https://pbs.twimg.com/profile_images/2940021510/95fd9b8d8e84f966530dea4c3eb25b81_normal.png","View")</f>
        <v>View</v>
      </c>
      <c r="P11077" s="27"/>
    </row>
    <row r="11078">
      <c r="A11078" s="14">
        <v>43032.54850694444</v>
      </c>
      <c r="B11078" s="20" t="str">
        <f>HYPERLINK("https://twitter.com/floydthek","@floydthek")</f>
        <v>@floydthek</v>
      </c>
      <c r="C11078" s="21" t="s">
        <v>23314</v>
      </c>
      <c r="D11078" s="21" t="s">
        <v>23315</v>
      </c>
      <c r="E11078" s="22" t="str">
        <f>HYPERLINK("https://twitter.com/floydthek/status/922918076797952000","922918076797952000")</f>
        <v>922918076797952000</v>
      </c>
      <c r="F11078" s="23" t="s">
        <v>55</v>
      </c>
      <c r="G11078" s="24">
        <v>866.0</v>
      </c>
      <c r="H11078" s="24">
        <v>1878.0</v>
      </c>
      <c r="I11078" s="24">
        <v>0.0</v>
      </c>
      <c r="J11078" s="24">
        <v>2.0</v>
      </c>
      <c r="K11078" s="23" t="s">
        <v>34</v>
      </c>
      <c r="L11078" s="25">
        <v>39736.58380787037</v>
      </c>
      <c r="M11078" s="26" t="s">
        <v>3011</v>
      </c>
      <c r="N11078" s="26" t="s">
        <v>23316</v>
      </c>
      <c r="O11078" s="22" t="str">
        <f>HYPERLINK("https://pbs.twimg.com/profile_images/779110668544770048/1_Ecpaw8_normal.jpg","View")</f>
        <v>View</v>
      </c>
      <c r="P11078" s="27"/>
    </row>
    <row r="11079">
      <c r="A11079" s="14">
        <v>43032.55611111112</v>
      </c>
      <c r="B11079" s="20" t="str">
        <f>HYPERLINK("https://twitter.com/FramedByAshraf","@FramedByAshraf")</f>
        <v>@FramedByAshraf</v>
      </c>
      <c r="C11079" s="21" t="s">
        <v>23317</v>
      </c>
      <c r="D11079" s="21" t="s">
        <v>17703</v>
      </c>
      <c r="E11079" s="22" t="str">
        <f>HYPERLINK("https://twitter.com/FramedByAshraf/status/922920835022708737","922920835022708737")</f>
        <v>922920835022708737</v>
      </c>
      <c r="F11079" s="23" t="s">
        <v>33</v>
      </c>
      <c r="G11079" s="24">
        <v>760.0</v>
      </c>
      <c r="H11079" s="24">
        <v>127.0</v>
      </c>
      <c r="I11079" s="24">
        <v>23.0</v>
      </c>
      <c r="J11079" s="24">
        <v>0.0</v>
      </c>
      <c r="K11079" s="23" t="s">
        <v>34</v>
      </c>
      <c r="L11079" s="25">
        <v>41910.7081712963</v>
      </c>
      <c r="M11079" s="26" t="s">
        <v>13649</v>
      </c>
      <c r="N11079" s="26" t="s">
        <v>23318</v>
      </c>
      <c r="O11079" s="22" t="str">
        <f>HYPERLINK("https://pbs.twimg.com/profile_images/704469027440218112/SvKwTu2m_normal.jpg","View")</f>
        <v>View</v>
      </c>
      <c r="P11079" s="27"/>
    </row>
    <row r="11080">
      <c r="A11080" s="14">
        <v>43032.55746527778</v>
      </c>
      <c r="B11080" s="20" t="str">
        <f>HYPERLINK("https://twitter.com/tarykh_iran2017","@tarykh_iran2017")</f>
        <v>@tarykh_iran2017</v>
      </c>
      <c r="C11080" s="21" t="s">
        <v>23319</v>
      </c>
      <c r="D11080" s="21" t="s">
        <v>23320</v>
      </c>
      <c r="E11080" s="22" t="str">
        <f>HYPERLINK("https://twitter.com/tarykh_iran2017/status/922921326062419968","922921326062419968")</f>
        <v>922921326062419968</v>
      </c>
      <c r="F11080" s="23" t="s">
        <v>55</v>
      </c>
      <c r="G11080" s="24">
        <v>2354.0</v>
      </c>
      <c r="H11080" s="24">
        <v>4016.0</v>
      </c>
      <c r="I11080" s="24">
        <v>0.0</v>
      </c>
      <c r="J11080" s="24">
        <v>0.0</v>
      </c>
      <c r="K11080" s="23" t="s">
        <v>34</v>
      </c>
      <c r="L11080" s="25">
        <v>42611.45997685185</v>
      </c>
      <c r="M11080" s="26" t="s">
        <v>860</v>
      </c>
      <c r="N11080" s="26" t="s">
        <v>23321</v>
      </c>
      <c r="O11080" s="22" t="str">
        <f>HYPERLINK("https://pbs.twimg.com/profile_images/868000856225980416/Zr9iWjQb_normal.jpg","View")</f>
        <v>View</v>
      </c>
      <c r="P11080" s="27"/>
    </row>
    <row r="11081">
      <c r="A11081" s="14">
        <v>43032.55831018518</v>
      </c>
      <c r="B11081" s="20" t="str">
        <f>HYPERLINK("https://twitter.com/Papryka5","@Papryka5")</f>
        <v>@Papryka5</v>
      </c>
      <c r="C11081" s="21" t="s">
        <v>23322</v>
      </c>
      <c r="D11081" s="21" t="s">
        <v>17703</v>
      </c>
      <c r="E11081" s="22" t="str">
        <f>HYPERLINK("https://twitter.com/Papryka5/status/922921632821161984","922921632821161984")</f>
        <v>922921632821161984</v>
      </c>
      <c r="F11081" s="23" t="s">
        <v>33</v>
      </c>
      <c r="G11081" s="24">
        <v>23313.0</v>
      </c>
      <c r="H11081" s="24">
        <v>1133.0</v>
      </c>
      <c r="I11081" s="24">
        <v>23.0</v>
      </c>
      <c r="J11081" s="24">
        <v>0.0</v>
      </c>
      <c r="K11081" s="23" t="s">
        <v>34</v>
      </c>
      <c r="L11081" s="25">
        <v>40023.576307870375</v>
      </c>
      <c r="M11081" s="28"/>
      <c r="N11081" s="26" t="s">
        <v>23323</v>
      </c>
      <c r="O11081" s="22" t="str">
        <f>HYPERLINK("https://pbs.twimg.com/profile_images/920046555570364416/Jvcly9UW_normal.jpg","View")</f>
        <v>View</v>
      </c>
      <c r="P11081" s="27"/>
    </row>
    <row r="11082">
      <c r="A11082" s="14">
        <v>43032.55920138889</v>
      </c>
      <c r="B11082" s="20" t="str">
        <f>HYPERLINK("https://twitter.com/ForeignPolicy","@ForeignPolicy")</f>
        <v>@ForeignPolicy</v>
      </c>
      <c r="C11082" s="21" t="s">
        <v>15583</v>
      </c>
      <c r="D11082" s="21" t="s">
        <v>23324</v>
      </c>
      <c r="E11082" s="22" t="str">
        <f>HYPERLINK("https://twitter.com/ForeignPolicy/status/922921952913719296","922921952913719296")</f>
        <v>922921952913719296</v>
      </c>
      <c r="F11082" s="23" t="s">
        <v>4619</v>
      </c>
      <c r="G11082" s="24">
        <v>970981.0</v>
      </c>
      <c r="H11082" s="24">
        <v>495.0</v>
      </c>
      <c r="I11082" s="24">
        <v>6.0</v>
      </c>
      <c r="J11082" s="24">
        <v>2.0</v>
      </c>
      <c r="K11082" s="23" t="s">
        <v>34</v>
      </c>
      <c r="L11082" s="25">
        <v>39898.41459490741</v>
      </c>
      <c r="M11082" s="28"/>
      <c r="N11082" s="26" t="s">
        <v>15585</v>
      </c>
      <c r="O11082" s="22" t="str">
        <f>HYPERLINK("https://pbs.twimg.com/profile_images/560557786350637057/GXv25iue_normal.png","View")</f>
        <v>View</v>
      </c>
      <c r="P11082" s="27"/>
    </row>
    <row r="11083">
      <c r="A11083" s="14">
        <v>43032.559328703705</v>
      </c>
      <c r="B11083" s="20" t="str">
        <f>HYPERLINK("https://twitter.com/localboson","@localboson")</f>
        <v>@localboson</v>
      </c>
      <c r="C11083" s="21" t="s">
        <v>23325</v>
      </c>
      <c r="D11083" s="21" t="s">
        <v>23326</v>
      </c>
      <c r="E11083" s="22" t="str">
        <f>HYPERLINK("https://twitter.com/localboson/status/922922001911635968","922922001911635968")</f>
        <v>922922001911635968</v>
      </c>
      <c r="F11083" s="23" t="s">
        <v>39</v>
      </c>
      <c r="G11083" s="24">
        <v>586.0</v>
      </c>
      <c r="H11083" s="24">
        <v>5003.0</v>
      </c>
      <c r="I11083" s="24">
        <v>6.0</v>
      </c>
      <c r="J11083" s="24">
        <v>0.0</v>
      </c>
      <c r="K11083" s="23" t="s">
        <v>34</v>
      </c>
      <c r="L11083" s="25">
        <v>40501.40225694444</v>
      </c>
      <c r="M11083" s="26" t="s">
        <v>23327</v>
      </c>
      <c r="N11083" s="26" t="s">
        <v>23328</v>
      </c>
      <c r="O11083" s="22" t="str">
        <f>HYPERLINK("https://pbs.twimg.com/profile_images/756951528867409920/fHBANWNv_normal.jpg","View")</f>
        <v>View</v>
      </c>
      <c r="P11083" s="27"/>
    </row>
    <row r="11084">
      <c r="A11084" s="14">
        <v>43032.56030092592</v>
      </c>
      <c r="B11084" s="20" t="str">
        <f>HYPERLINK("https://twitter.com/emmadal1977","@emmadal1977")</f>
        <v>@emmadal1977</v>
      </c>
      <c r="C11084" s="21" t="s">
        <v>23329</v>
      </c>
      <c r="D11084" s="21" t="s">
        <v>23330</v>
      </c>
      <c r="E11084" s="22" t="str">
        <f>HYPERLINK("https://twitter.com/emmadal1977/status/922922352236625920","922922352236625920")</f>
        <v>922922352236625920</v>
      </c>
      <c r="F11084" s="23" t="s">
        <v>39</v>
      </c>
      <c r="G11084" s="24">
        <v>47.0</v>
      </c>
      <c r="H11084" s="24">
        <v>97.0</v>
      </c>
      <c r="I11084" s="24">
        <v>0.0</v>
      </c>
      <c r="J11084" s="24">
        <v>0.0</v>
      </c>
      <c r="K11084" s="23" t="s">
        <v>34</v>
      </c>
      <c r="L11084" s="25">
        <v>42686.61714120371</v>
      </c>
      <c r="M11084" s="26" t="s">
        <v>7502</v>
      </c>
      <c r="N11084" s="26" t="s">
        <v>23331</v>
      </c>
      <c r="O11084" s="22" t="str">
        <f>HYPERLINK("https://pbs.twimg.com/profile_images/797578917380927488/56hvvw7d_normal.jpg","View")</f>
        <v>View</v>
      </c>
      <c r="P11084" s="27"/>
    </row>
    <row r="11085">
      <c r="A11085" s="14">
        <v>43032.56458333333</v>
      </c>
      <c r="B11085" s="20" t="str">
        <f>HYPERLINK("https://twitter.com/kakajaluo","@kakajaluo")</f>
        <v>@kakajaluo</v>
      </c>
      <c r="C11085" s="21" t="s">
        <v>23332</v>
      </c>
      <c r="D11085" s="21" t="s">
        <v>23326</v>
      </c>
      <c r="E11085" s="22" t="str">
        <f>HYPERLINK("https://twitter.com/kakajaluo/status/922923904011616256","922923904011616256")</f>
        <v>922923904011616256</v>
      </c>
      <c r="F11085" s="23" t="s">
        <v>39</v>
      </c>
      <c r="G11085" s="24">
        <v>212.0</v>
      </c>
      <c r="H11085" s="24">
        <v>552.0</v>
      </c>
      <c r="I11085" s="24">
        <v>6.0</v>
      </c>
      <c r="J11085" s="24">
        <v>0.0</v>
      </c>
      <c r="K11085" s="23" t="s">
        <v>34</v>
      </c>
      <c r="L11085" s="25">
        <v>40197.12769675926</v>
      </c>
      <c r="M11085" s="26" t="s">
        <v>114</v>
      </c>
      <c r="N11085" s="28"/>
      <c r="O11085" s="22" t="str">
        <f>HYPERLINK("https://pbs.twimg.com/profile_images/436991483192020993/HnrWGqxR_normal.jpeg","View")</f>
        <v>View</v>
      </c>
      <c r="P11085" s="27"/>
    </row>
    <row r="11086">
      <c r="A11086" s="14">
        <v>43032.56523148148</v>
      </c>
      <c r="B11086" s="20" t="str">
        <f>HYPERLINK("https://twitter.com/iykestat","@iykestat")</f>
        <v>@iykestat</v>
      </c>
      <c r="C11086" s="21" t="s">
        <v>23333</v>
      </c>
      <c r="D11086" s="21" t="s">
        <v>23334</v>
      </c>
      <c r="E11086" s="22" t="str">
        <f>HYPERLINK("https://twitter.com/iykestat/status/922924140834648064","922924140834648064")</f>
        <v>922924140834648064</v>
      </c>
      <c r="F11086" s="23" t="s">
        <v>33</v>
      </c>
      <c r="G11086" s="24">
        <v>343.0</v>
      </c>
      <c r="H11086" s="24">
        <v>571.0</v>
      </c>
      <c r="I11086" s="24">
        <v>4.0</v>
      </c>
      <c r="J11086" s="24">
        <v>0.0</v>
      </c>
      <c r="K11086" s="23" t="s">
        <v>34</v>
      </c>
      <c r="L11086" s="25">
        <v>40254.43819444445</v>
      </c>
      <c r="M11086" s="26" t="s">
        <v>23335</v>
      </c>
      <c r="N11086" s="26" t="s">
        <v>23336</v>
      </c>
      <c r="O11086" s="22" t="str">
        <f>HYPERLINK("https://pbs.twimg.com/profile_images/1527242176/Gladys_Gorvie_Pix__2K10__025_normal.jpg","View")</f>
        <v>View</v>
      </c>
      <c r="P11086" s="27"/>
    </row>
    <row r="11087">
      <c r="A11087" s="14">
        <v>43032.56554398148</v>
      </c>
      <c r="B11087" s="20" t="str">
        <f>HYPERLINK("https://twitter.com/TigerbalmLewis","@TigerbalmLewis")</f>
        <v>@TigerbalmLewis</v>
      </c>
      <c r="C11087" s="21" t="s">
        <v>23337</v>
      </c>
      <c r="D11087" s="21" t="s">
        <v>23326</v>
      </c>
      <c r="E11087" s="22" t="str">
        <f>HYPERLINK("https://twitter.com/TigerbalmLewis/status/922924253065785346","922924253065785346")</f>
        <v>922924253065785346</v>
      </c>
      <c r="F11087" s="23" t="s">
        <v>33</v>
      </c>
      <c r="G11087" s="24">
        <v>105.0</v>
      </c>
      <c r="H11087" s="24">
        <v>323.0</v>
      </c>
      <c r="I11087" s="24">
        <v>6.0</v>
      </c>
      <c r="J11087" s="24">
        <v>0.0</v>
      </c>
      <c r="K11087" s="23" t="s">
        <v>34</v>
      </c>
      <c r="L11087" s="25">
        <v>42752.446064814816</v>
      </c>
      <c r="M11087" s="26" t="s">
        <v>68</v>
      </c>
      <c r="N11087" s="26" t="s">
        <v>23338</v>
      </c>
      <c r="O11087" s="22" t="str">
        <f>HYPERLINK("https://pbs.twimg.com/profile_images/920706415337115659/70eugbQC_normal.jpg","View")</f>
        <v>View</v>
      </c>
      <c r="P11087" s="27"/>
    </row>
    <row r="11088">
      <c r="A11088" s="14">
        <v>43032.565567129626</v>
      </c>
      <c r="B11088" s="20" t="str">
        <f>HYPERLINK("https://twitter.com/CharlottePol120","@CharlottePol120")</f>
        <v>@CharlottePol120</v>
      </c>
      <c r="C11088" s="21" t="s">
        <v>23339</v>
      </c>
      <c r="D11088" s="21" t="s">
        <v>23340</v>
      </c>
      <c r="E11088" s="22" t="str">
        <f>HYPERLINK("https://twitter.com/CharlottePol120/status/922924259520921600","922924259520921600")</f>
        <v>922924259520921600</v>
      </c>
      <c r="F11088" s="23" t="s">
        <v>55</v>
      </c>
      <c r="G11088" s="24">
        <v>0.0</v>
      </c>
      <c r="H11088" s="24">
        <v>6.0</v>
      </c>
      <c r="I11088" s="24">
        <v>0.0</v>
      </c>
      <c r="J11088" s="24">
        <v>0.0</v>
      </c>
      <c r="K11088" s="23" t="s">
        <v>34</v>
      </c>
      <c r="L11088" s="25">
        <v>42970.37630787037</v>
      </c>
      <c r="M11088" s="28"/>
      <c r="N11088" s="28"/>
      <c r="O11088" s="22" t="str">
        <f>HYPERLINK("https://abs.twimg.com/sticky/default_profile_images/default_profile_normal.png","View")</f>
        <v>View</v>
      </c>
      <c r="P11088" s="27"/>
    </row>
    <row r="11089">
      <c r="A11089" s="14">
        <v>43032.56586805556</v>
      </c>
      <c r="B11089" s="20" t="str">
        <f>HYPERLINK("https://twitter.com/SpaceGiko","@SpaceGiko")</f>
        <v>@SpaceGiko</v>
      </c>
      <c r="C11089" s="21" t="s">
        <v>23341</v>
      </c>
      <c r="D11089" s="21" t="s">
        <v>18660</v>
      </c>
      <c r="E11089" s="22" t="str">
        <f>HYPERLINK("https://twitter.com/SpaceGiko/status/922924368534978560","922924368534978560")</f>
        <v>922924368534978560</v>
      </c>
      <c r="F11089" s="23" t="s">
        <v>39</v>
      </c>
      <c r="G11089" s="24">
        <v>5880.0</v>
      </c>
      <c r="H11089" s="24">
        <v>2854.0</v>
      </c>
      <c r="I11089" s="24">
        <v>17.0</v>
      </c>
      <c r="J11089" s="24">
        <v>0.0</v>
      </c>
      <c r="K11089" s="23" t="s">
        <v>34</v>
      </c>
      <c r="L11089" s="25">
        <v>42208.698969907404</v>
      </c>
      <c r="M11089" s="26" t="s">
        <v>23342</v>
      </c>
      <c r="N11089" s="26" t="s">
        <v>23343</v>
      </c>
      <c r="O11089" s="22" t="str">
        <f>HYPERLINK("https://pbs.twimg.com/profile_images/921408113147654144/XNKozORB_normal.jpg","View")</f>
        <v>View</v>
      </c>
      <c r="P11089" s="27"/>
    </row>
    <row r="11090">
      <c r="A11090" s="14">
        <v>43032.56644675926</v>
      </c>
      <c r="B11090" s="20" t="str">
        <f>HYPERLINK("https://twitter.com/The_Sheep27","@The_Sheep27")</f>
        <v>@The_Sheep27</v>
      </c>
      <c r="C11090" s="21" t="s">
        <v>23344</v>
      </c>
      <c r="D11090" s="21" t="s">
        <v>23326</v>
      </c>
      <c r="E11090" s="22" t="str">
        <f>HYPERLINK("https://twitter.com/The_Sheep27/status/922924579718250501","922924579718250501")</f>
        <v>922924579718250501</v>
      </c>
      <c r="F11090" s="23" t="s">
        <v>39</v>
      </c>
      <c r="G11090" s="24">
        <v>75.0</v>
      </c>
      <c r="H11090" s="24">
        <v>283.0</v>
      </c>
      <c r="I11090" s="24">
        <v>6.0</v>
      </c>
      <c r="J11090" s="24">
        <v>0.0</v>
      </c>
      <c r="K11090" s="23" t="s">
        <v>34</v>
      </c>
      <c r="L11090" s="25">
        <v>40572.77280092593</v>
      </c>
      <c r="M11090" s="26" t="s">
        <v>23345</v>
      </c>
      <c r="N11090" s="26" t="s">
        <v>23346</v>
      </c>
      <c r="O11090" s="22" t="str">
        <f>HYPERLINK("https://pbs.twimg.com/profile_images/864657802093936641/hMmsZXLB_normal.jpg","View")</f>
        <v>View</v>
      </c>
      <c r="P11090" s="27"/>
    </row>
    <row r="11091">
      <c r="A11091" s="14">
        <v>43032.566516203704</v>
      </c>
      <c r="B11091" s="20" t="str">
        <f>HYPERLINK("https://twitter.com/LillPebble","@LillPebble")</f>
        <v>@LillPebble</v>
      </c>
      <c r="C11091" s="21" t="s">
        <v>23347</v>
      </c>
      <c r="D11091" s="21" t="s">
        <v>18660</v>
      </c>
      <c r="E11091" s="22" t="str">
        <f>HYPERLINK("https://twitter.com/LillPebble/status/922924604770750465","922924604770750465")</f>
        <v>922924604770750465</v>
      </c>
      <c r="F11091" s="23" t="s">
        <v>55</v>
      </c>
      <c r="G11091" s="24">
        <v>167.0</v>
      </c>
      <c r="H11091" s="24">
        <v>281.0</v>
      </c>
      <c r="I11091" s="24">
        <v>17.0</v>
      </c>
      <c r="J11091" s="24">
        <v>0.0</v>
      </c>
      <c r="K11091" s="23" t="s">
        <v>34</v>
      </c>
      <c r="L11091" s="25">
        <v>41784.504745370374</v>
      </c>
      <c r="M11091" s="26" t="s">
        <v>23348</v>
      </c>
      <c r="N11091" s="26" t="s">
        <v>23349</v>
      </c>
      <c r="O11091" s="22" t="str">
        <f>HYPERLINK("https://pbs.twimg.com/profile_images/922595810470019073/t0yt8XME_normal.jpg","View")</f>
        <v>View</v>
      </c>
      <c r="P11091" s="27"/>
    </row>
    <row r="11092">
      <c r="A11092" s="14">
        <v>43032.56759259259</v>
      </c>
      <c r="B11092" s="20" t="str">
        <f>HYPERLINK("https://twitter.com/pow3rpuffsama","@pow3rpuffsama")</f>
        <v>@pow3rpuffsama</v>
      </c>
      <c r="C11092" s="21" t="s">
        <v>23350</v>
      </c>
      <c r="D11092" s="21" t="s">
        <v>18660</v>
      </c>
      <c r="E11092" s="22" t="str">
        <f>HYPERLINK("https://twitter.com/pow3rpuffsama/status/922924995654819841","922924995654819841")</f>
        <v>922924995654819841</v>
      </c>
      <c r="F11092" s="23" t="s">
        <v>33</v>
      </c>
      <c r="G11092" s="24">
        <v>510.0</v>
      </c>
      <c r="H11092" s="24">
        <v>101.0</v>
      </c>
      <c r="I11092" s="24">
        <v>17.0</v>
      </c>
      <c r="J11092" s="24">
        <v>0.0</v>
      </c>
      <c r="K11092" s="23" t="s">
        <v>34</v>
      </c>
      <c r="L11092" s="25">
        <v>42881.65439814815</v>
      </c>
      <c r="M11092" s="28"/>
      <c r="N11092" s="26" t="s">
        <v>23351</v>
      </c>
      <c r="O11092" s="22" t="str">
        <f>HYPERLINK("https://pbs.twimg.com/profile_images/922942869819633664/d4cIkGeU_normal.jpg","View")</f>
        <v>View</v>
      </c>
      <c r="P11092" s="27"/>
    </row>
    <row r="11093">
      <c r="A11093" s="14">
        <v>43032.570486111115</v>
      </c>
      <c r="B11093" s="20" t="str">
        <f>HYPERLINK("https://twitter.com/bokunofuture","@bokunofuture")</f>
        <v>@bokunofuture</v>
      </c>
      <c r="C11093" s="21" t="s">
        <v>23352</v>
      </c>
      <c r="D11093" s="21" t="s">
        <v>18660</v>
      </c>
      <c r="E11093" s="22" t="str">
        <f>HYPERLINK("https://twitter.com/bokunofuture/status/922926042372767744","922926042372767744")</f>
        <v>922926042372767744</v>
      </c>
      <c r="F11093" s="23" t="s">
        <v>55</v>
      </c>
      <c r="G11093" s="24">
        <v>73.0</v>
      </c>
      <c r="H11093" s="24">
        <v>105.0</v>
      </c>
      <c r="I11093" s="24">
        <v>17.0</v>
      </c>
      <c r="J11093" s="24">
        <v>0.0</v>
      </c>
      <c r="K11093" s="23" t="s">
        <v>34</v>
      </c>
      <c r="L11093" s="25">
        <v>42904.96084490741</v>
      </c>
      <c r="M11093" s="28"/>
      <c r="N11093" s="28"/>
      <c r="O11093" s="22" t="str">
        <f>HYPERLINK("https://pbs.twimg.com/profile_images/922735956259512324/3mrSFSzN_normal.jpg","View")</f>
        <v>View</v>
      </c>
      <c r="P11093" s="27"/>
    </row>
    <row r="11094">
      <c r="A11094" s="14">
        <v>43032.57084490741</v>
      </c>
      <c r="B11094" s="20" t="str">
        <f>HYPERLINK("https://twitter.com/ralpha2017","@ralpha2017")</f>
        <v>@ralpha2017</v>
      </c>
      <c r="C11094" s="21" t="s">
        <v>23353</v>
      </c>
      <c r="D11094" s="21" t="s">
        <v>23354</v>
      </c>
      <c r="E11094" s="22" t="str">
        <f>HYPERLINK("https://twitter.com/ralpha2017/status/922926173310435328","922926173310435328")</f>
        <v>922926173310435328</v>
      </c>
      <c r="F11094" s="23" t="s">
        <v>55</v>
      </c>
      <c r="G11094" s="24">
        <v>3300.0</v>
      </c>
      <c r="H11094" s="24">
        <v>3369.0</v>
      </c>
      <c r="I11094" s="24">
        <v>0.0</v>
      </c>
      <c r="J11094" s="24">
        <v>0.0</v>
      </c>
      <c r="K11094" s="23" t="s">
        <v>34</v>
      </c>
      <c r="L11094" s="25">
        <v>42983.46155092593</v>
      </c>
      <c r="M11094" s="26" t="s">
        <v>4480</v>
      </c>
      <c r="N11094" s="26" t="s">
        <v>23355</v>
      </c>
      <c r="O11094" s="22" t="str">
        <f>HYPERLINK("https://pbs.twimg.com/profile_images/905151798603894785/rRFBnAYs_normal.jpg","View")</f>
        <v>View</v>
      </c>
      <c r="P11094" s="27"/>
    </row>
    <row r="11095">
      <c r="A11095" s="14">
        <v>43032.571111111116</v>
      </c>
      <c r="B11095" s="20" t="str">
        <f>HYPERLINK("https://twitter.com/AsianElections","@AsianElections")</f>
        <v>@AsianElections</v>
      </c>
      <c r="C11095" s="21" t="s">
        <v>23356</v>
      </c>
      <c r="D11095" s="21" t="s">
        <v>23357</v>
      </c>
      <c r="E11095" s="22" t="str">
        <f>HYPERLINK("https://twitter.com/AsianElections/status/922926268269527040","922926268269527040")</f>
        <v>922926268269527040</v>
      </c>
      <c r="F11095" s="23" t="s">
        <v>39</v>
      </c>
      <c r="G11095" s="24">
        <v>251.0</v>
      </c>
      <c r="H11095" s="24">
        <v>232.0</v>
      </c>
      <c r="I11095" s="24">
        <v>1.0</v>
      </c>
      <c r="J11095" s="24">
        <v>0.0</v>
      </c>
      <c r="K11095" s="23" t="s">
        <v>34</v>
      </c>
      <c r="L11095" s="25">
        <v>42745.70737268518</v>
      </c>
      <c r="M11095" s="28"/>
      <c r="N11095" s="26" t="s">
        <v>23358</v>
      </c>
      <c r="O11095" s="22" t="str">
        <f>HYPERLINK("https://pbs.twimg.com/profile_images/818995593997451265/Px3fDKeU_normal.jpg","View")</f>
        <v>View</v>
      </c>
      <c r="P11095" s="27"/>
    </row>
    <row r="11096">
      <c r="A11096" s="14">
        <v>43032.57144675926</v>
      </c>
      <c r="B11096" s="20" t="str">
        <f>HYPERLINK("https://twitter.com/WineBoyfriend","@WineBoyfriend")</f>
        <v>@WineBoyfriend</v>
      </c>
      <c r="C11096" s="21" t="s">
        <v>23359</v>
      </c>
      <c r="D11096" s="21" t="s">
        <v>18660</v>
      </c>
      <c r="E11096" s="22" t="str">
        <f>HYPERLINK("https://twitter.com/WineBoyfriend/status/922926389589786624","922926389589786624")</f>
        <v>922926389589786624</v>
      </c>
      <c r="F11096" s="23" t="s">
        <v>39</v>
      </c>
      <c r="G11096" s="24">
        <v>803.0</v>
      </c>
      <c r="H11096" s="24">
        <v>545.0</v>
      </c>
      <c r="I11096" s="24">
        <v>17.0</v>
      </c>
      <c r="J11096" s="24">
        <v>0.0</v>
      </c>
      <c r="K11096" s="23" t="s">
        <v>34</v>
      </c>
      <c r="L11096" s="25">
        <v>42724.5603587963</v>
      </c>
      <c r="M11096" s="26" t="s">
        <v>435</v>
      </c>
      <c r="N11096" s="26" t="s">
        <v>23360</v>
      </c>
      <c r="O11096" s="22" t="str">
        <f>HYPERLINK("https://pbs.twimg.com/profile_images/922643165315719168/mbQuSwsy_normal.jpg","View")</f>
        <v>View</v>
      </c>
      <c r="P11096" s="27"/>
    </row>
    <row r="11097">
      <c r="A11097" s="14">
        <v>43032.572060185186</v>
      </c>
      <c r="B11097" s="20" t="str">
        <f>HYPERLINK("https://twitter.com/kaibye1","@kaibye1")</f>
        <v>@kaibye1</v>
      </c>
      <c r="C11097" s="31" t="s">
        <v>23361</v>
      </c>
      <c r="D11097" s="21" t="s">
        <v>18660</v>
      </c>
      <c r="E11097" s="22" t="str">
        <f>HYPERLINK("https://twitter.com/kaibye1/status/922926612169089024","922926612169089024")</f>
        <v>922926612169089024</v>
      </c>
      <c r="F11097" s="23" t="s">
        <v>33</v>
      </c>
      <c r="G11097" s="24">
        <v>98.0</v>
      </c>
      <c r="H11097" s="24">
        <v>213.0</v>
      </c>
      <c r="I11097" s="24">
        <v>17.0</v>
      </c>
      <c r="J11097" s="24">
        <v>0.0</v>
      </c>
      <c r="K11097" s="23" t="s">
        <v>34</v>
      </c>
      <c r="L11097" s="25">
        <v>41103.437789351854</v>
      </c>
      <c r="M11097" s="26" t="s">
        <v>15305</v>
      </c>
      <c r="N11097" s="26" t="s">
        <v>23362</v>
      </c>
      <c r="O11097" s="22" t="str">
        <f>HYPERLINK("https://pbs.twimg.com/profile_images/862580183047557122/MR0T6Di8_normal.jpg","View")</f>
        <v>View</v>
      </c>
      <c r="P11097" s="27"/>
    </row>
    <row r="11098">
      <c r="A11098" s="14">
        <v>43032.57318287037</v>
      </c>
      <c r="B11098" s="20" t="str">
        <f>HYPERLINK("https://twitter.com/searls","@searls")</f>
        <v>@searls</v>
      </c>
      <c r="C11098" s="21" t="s">
        <v>23363</v>
      </c>
      <c r="D11098" s="21" t="s">
        <v>23364</v>
      </c>
      <c r="E11098" s="22" t="str">
        <f>HYPERLINK("https://twitter.com/searls/status/922927020626952198","922927020626952198")</f>
        <v>922927020626952198</v>
      </c>
      <c r="F11098" s="23" t="s">
        <v>4619</v>
      </c>
      <c r="G11098" s="24">
        <v>10451.0</v>
      </c>
      <c r="H11098" s="24">
        <v>947.0</v>
      </c>
      <c r="I11098" s="24">
        <v>1.0</v>
      </c>
      <c r="J11098" s="24">
        <v>5.0</v>
      </c>
      <c r="K11098" s="23" t="s">
        <v>34</v>
      </c>
      <c r="L11098" s="25">
        <v>39347.619421296295</v>
      </c>
      <c r="M11098" s="26" t="s">
        <v>12964</v>
      </c>
      <c r="N11098" s="26" t="s">
        <v>23365</v>
      </c>
      <c r="O11098" s="22" t="str">
        <f>HYPERLINK("https://pbs.twimg.com/profile_images/2360535353/20120630-face_normal.jpg","View")</f>
        <v>View</v>
      </c>
      <c r="P11098" s="27"/>
    </row>
    <row r="11099">
      <c r="A11099" s="14">
        <v>43032.57403935185</v>
      </c>
      <c r="B11099" s="20" t="str">
        <f>HYPERLINK("https://twitter.com/dad_korps","@dad_korps")</f>
        <v>@dad_korps</v>
      </c>
      <c r="C11099" s="21" t="s">
        <v>23366</v>
      </c>
      <c r="D11099" s="21" t="s">
        <v>18660</v>
      </c>
      <c r="E11099" s="22" t="str">
        <f>HYPERLINK("https://twitter.com/dad_korps/status/922927331403956225","922927331403956225")</f>
        <v>922927331403956225</v>
      </c>
      <c r="F11099" s="23" t="s">
        <v>33</v>
      </c>
      <c r="G11099" s="24">
        <v>37.0</v>
      </c>
      <c r="H11099" s="24">
        <v>64.0</v>
      </c>
      <c r="I11099" s="24">
        <v>17.0</v>
      </c>
      <c r="J11099" s="24">
        <v>0.0</v>
      </c>
      <c r="K11099" s="23" t="s">
        <v>34</v>
      </c>
      <c r="L11099" s="25">
        <v>41906.547430555554</v>
      </c>
      <c r="M11099" s="26" t="s">
        <v>23367</v>
      </c>
      <c r="N11099" s="26" t="s">
        <v>23368</v>
      </c>
      <c r="O11099" s="22" t="str">
        <f>HYPERLINK("https://pbs.twimg.com/profile_images/864249648692711425/nGD029U-_normal.jpg","View")</f>
        <v>View</v>
      </c>
      <c r="P11099" s="27"/>
    </row>
    <row r="11100">
      <c r="A11100" s="14">
        <v>43032.574120370366</v>
      </c>
      <c r="B11100" s="20" t="str">
        <f>HYPERLINK("https://twitter.com/daweave","@daweave")</f>
        <v>@daweave</v>
      </c>
      <c r="C11100" s="21" t="s">
        <v>23369</v>
      </c>
      <c r="D11100" s="21" t="s">
        <v>23370</v>
      </c>
      <c r="E11100" s="22" t="str">
        <f>HYPERLINK("https://twitter.com/daweave/status/922927360050991105","922927360050991105")</f>
        <v>922927360050991105</v>
      </c>
      <c r="F11100" s="23" t="s">
        <v>2119</v>
      </c>
      <c r="G11100" s="24">
        <v>867.0</v>
      </c>
      <c r="H11100" s="24">
        <v>837.0</v>
      </c>
      <c r="I11100" s="24">
        <v>1.0</v>
      </c>
      <c r="J11100" s="24">
        <v>0.0</v>
      </c>
      <c r="K11100" s="23" t="s">
        <v>34</v>
      </c>
      <c r="L11100" s="25">
        <v>39861.55917824074</v>
      </c>
      <c r="M11100" s="26" t="s">
        <v>23371</v>
      </c>
      <c r="N11100" s="26" t="s">
        <v>23372</v>
      </c>
      <c r="O11100" s="22" t="str">
        <f>HYPERLINK("https://pbs.twimg.com/profile_images/854100498319896576/3BMpC9nW_normal.jpg","View")</f>
        <v>View</v>
      </c>
      <c r="P11100" s="27"/>
    </row>
    <row r="11101">
      <c r="A11101" s="14">
        <v>43032.57415509259</v>
      </c>
      <c r="B11101" s="20" t="str">
        <f>HYPERLINK("https://twitter.com/yebosfaye","@yebosfaye")</f>
        <v>@yebosfaye</v>
      </c>
      <c r="C11101" s="21" t="s">
        <v>23373</v>
      </c>
      <c r="D11101" s="21" t="s">
        <v>17703</v>
      </c>
      <c r="E11101" s="22" t="str">
        <f>HYPERLINK("https://twitter.com/yebosfaye/status/922927370742390784","922927370742390784")</f>
        <v>922927370742390784</v>
      </c>
      <c r="F11101" s="23" t="s">
        <v>55</v>
      </c>
      <c r="G11101" s="24">
        <v>13973.0</v>
      </c>
      <c r="H11101" s="24">
        <v>6894.0</v>
      </c>
      <c r="I11101" s="24">
        <v>23.0</v>
      </c>
      <c r="J11101" s="24">
        <v>0.0</v>
      </c>
      <c r="K11101" s="23" t="s">
        <v>34</v>
      </c>
      <c r="L11101" s="25">
        <v>40582.77751157407</v>
      </c>
      <c r="M11101" s="26" t="s">
        <v>23374</v>
      </c>
      <c r="N11101" s="26" t="s">
        <v>23375</v>
      </c>
      <c r="O11101" s="22" t="str">
        <f>HYPERLINK("https://pbs.twimg.com/profile_images/904516332137308160/H6u0nYfn_normal.jpg","View")</f>
        <v>View</v>
      </c>
      <c r="P11101" s="27"/>
    </row>
    <row r="11102">
      <c r="A11102" s="14">
        <v>43032.57597222222</v>
      </c>
      <c r="B11102" s="20" t="str">
        <f>HYPERLINK("https://twitter.com/husainhaqqani","@husainhaqqani")</f>
        <v>@husainhaqqani</v>
      </c>
      <c r="C11102" s="21" t="s">
        <v>23376</v>
      </c>
      <c r="D11102" s="21" t="s">
        <v>23276</v>
      </c>
      <c r="E11102" s="22" t="str">
        <f>HYPERLINK("https://twitter.com/husainhaqqani/status/922928030238076928","922928030238076928")</f>
        <v>922928030238076928</v>
      </c>
      <c r="F11102" s="23" t="s">
        <v>39</v>
      </c>
      <c r="G11102" s="24">
        <v>273386.0</v>
      </c>
      <c r="H11102" s="24">
        <v>1521.0</v>
      </c>
      <c r="I11102" s="24">
        <v>7.0</v>
      </c>
      <c r="J11102" s="24">
        <v>0.0</v>
      </c>
      <c r="K11102" s="23" t="s">
        <v>34</v>
      </c>
      <c r="L11102" s="25">
        <v>40092.359131944446</v>
      </c>
      <c r="M11102" s="26" t="s">
        <v>4239</v>
      </c>
      <c r="N11102" s="26" t="s">
        <v>23377</v>
      </c>
      <c r="O11102" s="22" t="str">
        <f>HYPERLINK("https://pbs.twimg.com/profile_images/921809751977222144/_tGI1tBi_normal.jpg","View")</f>
        <v>View</v>
      </c>
      <c r="P11102" s="27"/>
    </row>
    <row r="11103">
      <c r="A11103" s="14">
        <v>43032.57609953704</v>
      </c>
      <c r="B11103" s="20" t="str">
        <f>HYPERLINK("https://twitter.com/fuaadalawi","@fuaadalawi")</f>
        <v>@fuaadalawi</v>
      </c>
      <c r="C11103" s="21" t="s">
        <v>23378</v>
      </c>
      <c r="D11103" s="21" t="s">
        <v>23276</v>
      </c>
      <c r="E11103" s="22" t="str">
        <f>HYPERLINK("https://twitter.com/fuaadalawi/status/922928077344264192","922928077344264192")</f>
        <v>922928077344264192</v>
      </c>
      <c r="F11103" s="23" t="s">
        <v>39</v>
      </c>
      <c r="G11103" s="24">
        <v>1472.0</v>
      </c>
      <c r="H11103" s="24">
        <v>4978.0</v>
      </c>
      <c r="I11103" s="24">
        <v>7.0</v>
      </c>
      <c r="J11103" s="24">
        <v>0.0</v>
      </c>
      <c r="K11103" s="23" t="s">
        <v>34</v>
      </c>
      <c r="L11103" s="25">
        <v>39948.51888888889</v>
      </c>
      <c r="M11103" s="26" t="s">
        <v>23379</v>
      </c>
      <c r="N11103" s="26" t="s">
        <v>23380</v>
      </c>
      <c r="O11103" s="22" t="str">
        <f>HYPERLINK("https://pbs.twimg.com/profile_images/862078201937498113/C2Du2Yqk_normal.jpg","View")</f>
        <v>View</v>
      </c>
      <c r="P11103" s="27"/>
    </row>
    <row r="11104">
      <c r="A11104" s="14">
        <v>43032.57613425926</v>
      </c>
      <c r="B11104" s="20" t="str">
        <f>HYPERLINK("https://twitter.com/stonejd","@stonejd")</f>
        <v>@stonejd</v>
      </c>
      <c r="C11104" s="21" t="s">
        <v>23381</v>
      </c>
      <c r="D11104" s="21" t="s">
        <v>23382</v>
      </c>
      <c r="E11104" s="22" t="str">
        <f>HYPERLINK("https://twitter.com/stonejd/status/922928089109319686","922928089109319686")</f>
        <v>922928089109319686</v>
      </c>
      <c r="F11104" s="23" t="s">
        <v>55</v>
      </c>
      <c r="G11104" s="24">
        <v>2382.0</v>
      </c>
      <c r="H11104" s="24">
        <v>2359.0</v>
      </c>
      <c r="I11104" s="24">
        <v>0.0</v>
      </c>
      <c r="J11104" s="24">
        <v>0.0</v>
      </c>
      <c r="K11104" s="23" t="s">
        <v>34</v>
      </c>
      <c r="L11104" s="25">
        <v>40005.47167824074</v>
      </c>
      <c r="M11104" s="26" t="s">
        <v>23383</v>
      </c>
      <c r="N11104" s="26" t="s">
        <v>23384</v>
      </c>
      <c r="O11104" s="22" t="str">
        <f>HYPERLINK("https://pbs.twimg.com/profile_images/1210349070/JDStone_normal.png","View")</f>
        <v>View</v>
      </c>
      <c r="P11104" s="27"/>
    </row>
    <row r="11105">
      <c r="A11105" s="14">
        <v>43032.576215277775</v>
      </c>
      <c r="B11105" s="20" t="str">
        <f>HYPERLINK("https://twitter.com/kevinmeyerson","@kevinmeyerson")</f>
        <v>@kevinmeyerson</v>
      </c>
      <c r="C11105" s="21" t="s">
        <v>23385</v>
      </c>
      <c r="D11105" s="21" t="s">
        <v>23386</v>
      </c>
      <c r="E11105" s="22" t="str">
        <f>HYPERLINK("https://twitter.com/kevinmeyerson/status/922928120876773377","922928120876773377")</f>
        <v>922928120876773377</v>
      </c>
      <c r="F11105" s="23" t="s">
        <v>39</v>
      </c>
      <c r="G11105" s="24">
        <v>3802.0</v>
      </c>
      <c r="H11105" s="24">
        <v>416.0</v>
      </c>
      <c r="I11105" s="24">
        <v>2.0</v>
      </c>
      <c r="J11105" s="24">
        <v>1.0</v>
      </c>
      <c r="K11105" s="23" t="s">
        <v>34</v>
      </c>
      <c r="L11105" s="25">
        <v>39507.665601851855</v>
      </c>
      <c r="M11105" s="26" t="s">
        <v>23387</v>
      </c>
      <c r="N11105" s="26" t="s">
        <v>23388</v>
      </c>
      <c r="O11105" s="22" t="str">
        <f>HYPERLINK("https://pbs.twimg.com/profile_images/899337480347844608/GnaIww6q_normal.jpg","View")</f>
        <v>View</v>
      </c>
      <c r="P11105" s="27"/>
    </row>
    <row r="11106">
      <c r="A11106" s="14">
        <v>43032.57678240741</v>
      </c>
      <c r="B11106" s="20" t="str">
        <f>HYPERLINK("https://twitter.com/Zeromuald_","@Zeromuald_")</f>
        <v>@Zeromuald_</v>
      </c>
      <c r="C11106" s="31" t="s">
        <v>23389</v>
      </c>
      <c r="D11106" s="21" t="s">
        <v>18660</v>
      </c>
      <c r="E11106" s="22" t="str">
        <f>HYPERLINK("https://twitter.com/Zeromuald_/status/922928323029762049","922928323029762049")</f>
        <v>922928323029762049</v>
      </c>
      <c r="F11106" s="23" t="s">
        <v>33</v>
      </c>
      <c r="G11106" s="24">
        <v>705.0</v>
      </c>
      <c r="H11106" s="24">
        <v>1064.0</v>
      </c>
      <c r="I11106" s="24">
        <v>17.0</v>
      </c>
      <c r="J11106" s="24">
        <v>0.0</v>
      </c>
      <c r="K11106" s="23" t="s">
        <v>34</v>
      </c>
      <c r="L11106" s="25">
        <v>41285.43958333333</v>
      </c>
      <c r="M11106" s="28"/>
      <c r="N11106" s="26" t="s">
        <v>23390</v>
      </c>
      <c r="O11106" s="22" t="str">
        <f>HYPERLINK("https://pbs.twimg.com/profile_images/875442020524990464/55esi9bn_normal.jpg","View")</f>
        <v>View</v>
      </c>
      <c r="P11106" s="27"/>
    </row>
    <row r="11107">
      <c r="A11107" s="14">
        <v>43032.57681712963</v>
      </c>
      <c r="B11107" s="20" t="str">
        <f>HYPERLINK("https://twitter.com/RishwatulEbad","@RishwatulEbad")</f>
        <v>@RishwatulEbad</v>
      </c>
      <c r="C11107" s="21" t="s">
        <v>23391</v>
      </c>
      <c r="D11107" s="21" t="s">
        <v>23392</v>
      </c>
      <c r="E11107" s="22" t="str">
        <f>HYPERLINK("https://twitter.com/RishwatulEbad/status/922928339299553280","922928339299553280")</f>
        <v>922928339299553280</v>
      </c>
      <c r="F11107" s="23" t="s">
        <v>187</v>
      </c>
      <c r="G11107" s="24">
        <v>7.0</v>
      </c>
      <c r="H11107" s="24">
        <v>183.0</v>
      </c>
      <c r="I11107" s="24">
        <v>0.0</v>
      </c>
      <c r="J11107" s="24">
        <v>0.0</v>
      </c>
      <c r="K11107" s="23" t="s">
        <v>34</v>
      </c>
      <c r="L11107" s="25">
        <v>42660.985451388886</v>
      </c>
      <c r="M11107" s="26" t="s">
        <v>4111</v>
      </c>
      <c r="N11107" s="26" t="s">
        <v>23393</v>
      </c>
      <c r="O11107" s="22" t="str">
        <f>HYPERLINK("https://pbs.twimg.com/profile_images/911293227969531905/XIeRI0jC_normal.jpg","View")</f>
        <v>View</v>
      </c>
      <c r="P11107" s="27"/>
    </row>
    <row r="11108">
      <c r="A11108" s="14">
        <v>43032.577048611114</v>
      </c>
      <c r="B11108" s="20" t="str">
        <f>HYPERLINK("https://twitter.com/ShellenbergerMD","@ShellenbergerMD")</f>
        <v>@ShellenbergerMD</v>
      </c>
      <c r="C11108" s="21" t="s">
        <v>23394</v>
      </c>
      <c r="D11108" s="21" t="s">
        <v>23395</v>
      </c>
      <c r="E11108" s="22" t="str">
        <f>HYPERLINK("https://twitter.com/ShellenbergerMD/status/922928419754491904","922928419754491904")</f>
        <v>922928419754491904</v>
      </c>
      <c r="F11108" s="23" t="s">
        <v>39</v>
      </c>
      <c r="G11108" s="24">
        <v>9064.0</v>
      </c>
      <c r="H11108" s="24">
        <v>883.0</v>
      </c>
      <c r="I11108" s="24">
        <v>7.0</v>
      </c>
      <c r="J11108" s="24">
        <v>25.0</v>
      </c>
      <c r="K11108" s="23" t="s">
        <v>34</v>
      </c>
      <c r="L11108" s="25">
        <v>41761.75734953704</v>
      </c>
      <c r="M11108" s="26" t="s">
        <v>23396</v>
      </c>
      <c r="N11108" s="26" t="s">
        <v>23397</v>
      </c>
      <c r="O11108" s="22" t="str">
        <f>HYPERLINK("https://pbs.twimg.com/profile_images/896414497086119937/CcHj_lvA_normal.jpg","View")</f>
        <v>View</v>
      </c>
      <c r="P11108" s="27"/>
    </row>
    <row r="11109">
      <c r="A11109" s="14">
        <v>43032.579571759255</v>
      </c>
      <c r="B11109" s="20" t="str">
        <f>HYPERLINK("https://twitter.com/LobbyistandPR","@LobbyistandPR")</f>
        <v>@LobbyistandPR</v>
      </c>
      <c r="C11109" s="21" t="s">
        <v>23398</v>
      </c>
      <c r="D11109" s="21" t="s">
        <v>10437</v>
      </c>
      <c r="E11109" s="22" t="str">
        <f>HYPERLINK("https://twitter.com/LobbyistandPR/status/922929337208369152","922929337208369152")</f>
        <v>922929337208369152</v>
      </c>
      <c r="F11109" s="23" t="s">
        <v>33</v>
      </c>
      <c r="G11109" s="24">
        <v>474.0</v>
      </c>
      <c r="H11109" s="24">
        <v>575.0</v>
      </c>
      <c r="I11109" s="24">
        <v>16.0</v>
      </c>
      <c r="J11109" s="24">
        <v>0.0</v>
      </c>
      <c r="K11109" s="23" t="s">
        <v>34</v>
      </c>
      <c r="L11109" s="25">
        <v>39991.35527777778</v>
      </c>
      <c r="M11109" s="26" t="s">
        <v>5724</v>
      </c>
      <c r="N11109" s="26" t="s">
        <v>23399</v>
      </c>
      <c r="O11109" s="22" t="str">
        <f>HYPERLINK("https://pbs.twimg.com/profile_images/839605830823485440/5KdKQdzL_normal.jpg","View")</f>
        <v>View</v>
      </c>
      <c r="P11109" s="27"/>
    </row>
    <row r="11110">
      <c r="A11110" s="14">
        <v>43032.58121527778</v>
      </c>
      <c r="B11110" s="20" t="str">
        <f>HYPERLINK("https://twitter.com/benishii_","@benishii_")</f>
        <v>@benishii_</v>
      </c>
      <c r="C11110" s="21" t="s">
        <v>23400</v>
      </c>
      <c r="D11110" s="21" t="s">
        <v>23401</v>
      </c>
      <c r="E11110" s="22" t="str">
        <f>HYPERLINK("https://twitter.com/benishii_/status/922929932749234178","922929932749234178")</f>
        <v>922929932749234178</v>
      </c>
      <c r="F11110" s="23" t="s">
        <v>33</v>
      </c>
      <c r="G11110" s="24">
        <v>180.0</v>
      </c>
      <c r="H11110" s="24">
        <v>411.0</v>
      </c>
      <c r="I11110" s="24">
        <v>7.0</v>
      </c>
      <c r="J11110" s="24">
        <v>0.0</v>
      </c>
      <c r="K11110" s="23" t="s">
        <v>34</v>
      </c>
      <c r="L11110" s="25">
        <v>41350.139189814814</v>
      </c>
      <c r="M11110" s="26" t="s">
        <v>23402</v>
      </c>
      <c r="N11110" s="26" t="s">
        <v>23403</v>
      </c>
      <c r="O11110" s="22" t="str">
        <f>HYPERLINK("https://pbs.twimg.com/profile_images/822847966054612995/xd4cigH6_normal.jpg","View")</f>
        <v>View</v>
      </c>
      <c r="P11110" s="27"/>
    </row>
    <row r="11111">
      <c r="A11111" s="14">
        <v>43032.58144675926</v>
      </c>
      <c r="B11111" s="20" t="str">
        <f>HYPERLINK("https://twitter.com/Albyphyfez","@Albyphyfez")</f>
        <v>@Albyphyfez</v>
      </c>
      <c r="C11111" s="21" t="s">
        <v>23404</v>
      </c>
      <c r="D11111" s="21" t="s">
        <v>32</v>
      </c>
      <c r="E11111" s="22" t="str">
        <f>HYPERLINK("https://twitter.com/Albyphyfez/status/922930016672976897","922930016672976897")</f>
        <v>922930016672976897</v>
      </c>
      <c r="F11111" s="23" t="s">
        <v>33</v>
      </c>
      <c r="G11111" s="24">
        <v>793.0</v>
      </c>
      <c r="H11111" s="24">
        <v>93.0</v>
      </c>
      <c r="I11111" s="24">
        <v>471.0</v>
      </c>
      <c r="J11111" s="24">
        <v>0.0</v>
      </c>
      <c r="K11111" s="23" t="s">
        <v>34</v>
      </c>
      <c r="L11111" s="25">
        <v>42445.96962962963</v>
      </c>
      <c r="M11111" s="28"/>
      <c r="N11111" s="26" t="s">
        <v>23405</v>
      </c>
      <c r="O11111" s="22" t="str">
        <f>HYPERLINK("https://pbs.twimg.com/profile_images/918502594443730944/yEOFhrhB_normal.jpg","View")</f>
        <v>View</v>
      </c>
      <c r="P11111" s="27"/>
    </row>
    <row r="11112">
      <c r="A11112" s="14">
        <v>43032.581770833334</v>
      </c>
      <c r="B11112" s="20" t="str">
        <f>HYPERLINK("https://twitter.com/ATULSINGH16","@ATULSINGH16")</f>
        <v>@ATULSINGH16</v>
      </c>
      <c r="C11112" s="21" t="s">
        <v>23406</v>
      </c>
      <c r="D11112" s="21" t="s">
        <v>22882</v>
      </c>
      <c r="E11112" s="22" t="str">
        <f>HYPERLINK("https://twitter.com/ATULSINGH16/status/922930131114508289","922930131114508289")</f>
        <v>922930131114508289</v>
      </c>
      <c r="F11112" s="23" t="s">
        <v>33</v>
      </c>
      <c r="G11112" s="24">
        <v>148.0</v>
      </c>
      <c r="H11112" s="24">
        <v>103.0</v>
      </c>
      <c r="I11112" s="24">
        <v>33.0</v>
      </c>
      <c r="J11112" s="24">
        <v>0.0</v>
      </c>
      <c r="K11112" s="23" t="s">
        <v>34</v>
      </c>
      <c r="L11112" s="25">
        <v>40675.27888888889</v>
      </c>
      <c r="M11112" s="26" t="s">
        <v>603</v>
      </c>
      <c r="N11112" s="26" t="s">
        <v>23407</v>
      </c>
      <c r="O11112" s="22" t="str">
        <f>HYPERLINK("https://pbs.twimg.com/profile_images/922930756325748736/c7Z7Cr7s_normal.jpg","View")</f>
        <v>View</v>
      </c>
      <c r="P11112" s="27"/>
    </row>
    <row r="11113">
      <c r="A11113" s="14">
        <v>43032.58336805555</v>
      </c>
      <c r="B11113" s="20" t="str">
        <f t="shared" ref="B11113:B11114" si="277">HYPERLINK("https://twitter.com/Global___News","@Global___News")</f>
        <v>@Global___News</v>
      </c>
      <c r="C11113" s="21" t="s">
        <v>4191</v>
      </c>
      <c r="D11113" s="21" t="s">
        <v>20773</v>
      </c>
      <c r="E11113" s="22" t="str">
        <f>HYPERLINK("https://twitter.com/Global___News/status/922930712990253056","922930712990253056")</f>
        <v>922930712990253056</v>
      </c>
      <c r="F11113" s="23" t="s">
        <v>4193</v>
      </c>
      <c r="G11113" s="24">
        <v>820.0</v>
      </c>
      <c r="H11113" s="24">
        <v>4.0</v>
      </c>
      <c r="I11113" s="24">
        <v>0.0</v>
      </c>
      <c r="J11113" s="24">
        <v>0.0</v>
      </c>
      <c r="K11113" s="23" t="s">
        <v>34</v>
      </c>
      <c r="L11113" s="25">
        <v>41404.33153935185</v>
      </c>
      <c r="M11113" s="28"/>
      <c r="N11113" s="26" t="s">
        <v>4191</v>
      </c>
      <c r="O11113" s="22" t="str">
        <f t="shared" ref="O11113:O11114" si="278">HYPERLINK("https://pbs.twimg.com/profile_images/3640360348/ca3c8990ec800ecd3004b1c1ab4cc462_normal.png","View")</f>
        <v>View</v>
      </c>
      <c r="P11113" s="27"/>
    </row>
    <row r="11114">
      <c r="A11114" s="14">
        <v>43032.58337962963</v>
      </c>
      <c r="B11114" s="20" t="str">
        <f t="shared" si="277"/>
        <v>@Global___News</v>
      </c>
      <c r="C11114" s="21" t="s">
        <v>4191</v>
      </c>
      <c r="D11114" s="21" t="s">
        <v>20774</v>
      </c>
      <c r="E11114" s="22" t="str">
        <f>HYPERLINK("https://twitter.com/Global___News/status/922930715137675264","922930715137675264")</f>
        <v>922930715137675264</v>
      </c>
      <c r="F11114" s="23" t="s">
        <v>4193</v>
      </c>
      <c r="G11114" s="24">
        <v>820.0</v>
      </c>
      <c r="H11114" s="24">
        <v>4.0</v>
      </c>
      <c r="I11114" s="24">
        <v>0.0</v>
      </c>
      <c r="J11114" s="24">
        <v>0.0</v>
      </c>
      <c r="K11114" s="23" t="s">
        <v>34</v>
      </c>
      <c r="L11114" s="25">
        <v>41404.33153935185</v>
      </c>
      <c r="M11114" s="28"/>
      <c r="N11114" s="26" t="s">
        <v>4191</v>
      </c>
      <c r="O11114" s="22" t="str">
        <f t="shared" si="278"/>
        <v>View</v>
      </c>
      <c r="P11114" s="27"/>
    </row>
    <row r="11115">
      <c r="A11115" s="14">
        <v>43032.58378472222</v>
      </c>
      <c r="B11115" s="20" t="str">
        <f>HYPERLINK("https://twitter.com/WisdomTreeETFs","@WisdomTreeETFs")</f>
        <v>@WisdomTreeETFs</v>
      </c>
      <c r="C11115" s="21" t="s">
        <v>22240</v>
      </c>
      <c r="D11115" s="21" t="s">
        <v>23408</v>
      </c>
      <c r="E11115" s="22" t="str">
        <f>HYPERLINK("https://twitter.com/WisdomTreeETFs/status/922930861128978435","922930861128978435")</f>
        <v>922930861128978435</v>
      </c>
      <c r="F11115" s="23" t="s">
        <v>427</v>
      </c>
      <c r="G11115" s="24">
        <v>258010.0</v>
      </c>
      <c r="H11115" s="24">
        <v>383.0</v>
      </c>
      <c r="I11115" s="24">
        <v>0.0</v>
      </c>
      <c r="J11115" s="24">
        <v>1.0</v>
      </c>
      <c r="K11115" s="23" t="s">
        <v>34</v>
      </c>
      <c r="L11115" s="25">
        <v>40003.278599537036</v>
      </c>
      <c r="M11115" s="26" t="s">
        <v>120</v>
      </c>
      <c r="N11115" s="26" t="s">
        <v>22242</v>
      </c>
      <c r="O11115" s="22" t="str">
        <f>HYPERLINK("https://pbs.twimg.com/profile_images/832286570380079105/fZbav0Ly_normal.jpg","View")</f>
        <v>View</v>
      </c>
      <c r="P11115" s="27"/>
    </row>
    <row r="11116">
      <c r="A11116" s="14">
        <v>43032.58420138889</v>
      </c>
      <c r="B11116" s="20" t="str">
        <f>HYPERLINK("https://twitter.com/kevinrj","@kevinrj")</f>
        <v>@kevinrj</v>
      </c>
      <c r="C11116" s="21" t="s">
        <v>23409</v>
      </c>
      <c r="D11116" s="21" t="s">
        <v>23410</v>
      </c>
      <c r="E11116" s="22" t="str">
        <f>HYPERLINK("https://twitter.com/kevinrj/status/922931012958674944","922931012958674944")</f>
        <v>922931012958674944</v>
      </c>
      <c r="F11116" s="23" t="s">
        <v>606</v>
      </c>
      <c r="G11116" s="24">
        <v>1909.0</v>
      </c>
      <c r="H11116" s="24">
        <v>2182.0</v>
      </c>
      <c r="I11116" s="24">
        <v>1.0</v>
      </c>
      <c r="J11116" s="24">
        <v>0.0</v>
      </c>
      <c r="K11116" s="23" t="s">
        <v>34</v>
      </c>
      <c r="L11116" s="25">
        <v>39579.90789351852</v>
      </c>
      <c r="M11116" s="26" t="s">
        <v>23411</v>
      </c>
      <c r="N11116" s="26" t="s">
        <v>23412</v>
      </c>
      <c r="O11116" s="22" t="str">
        <f>HYPERLINK("https://pbs.twimg.com/profile_images/106106300/Kevins_head_normal.jpg","View")</f>
        <v>View</v>
      </c>
      <c r="P11116" s="27"/>
    </row>
    <row r="11117">
      <c r="A11117" s="14">
        <v>43032.5849537037</v>
      </c>
      <c r="B11117" s="20" t="str">
        <f>HYPERLINK("https://twitter.com/miyagawa17","@miyagawa17")</f>
        <v>@miyagawa17</v>
      </c>
      <c r="C11117" s="21" t="s">
        <v>23413</v>
      </c>
      <c r="D11117" s="21" t="s">
        <v>23414</v>
      </c>
      <c r="E11117" s="22" t="str">
        <f>HYPERLINK("https://twitter.com/miyagawa17/status/922931284380336128","922931284380336128")</f>
        <v>922931284380336128</v>
      </c>
      <c r="F11117" s="23" t="s">
        <v>55</v>
      </c>
      <c r="G11117" s="24">
        <v>1312.0</v>
      </c>
      <c r="H11117" s="24">
        <v>1979.0</v>
      </c>
      <c r="I11117" s="24">
        <v>2.0</v>
      </c>
      <c r="J11117" s="24">
        <v>0.0</v>
      </c>
      <c r="K11117" s="23" t="s">
        <v>34</v>
      </c>
      <c r="L11117" s="25">
        <v>41081.61107638889</v>
      </c>
      <c r="M11117" s="26" t="s">
        <v>23415</v>
      </c>
      <c r="N11117" s="26" t="s">
        <v>23416</v>
      </c>
      <c r="O11117" s="22" t="str">
        <f>HYPERLINK("https://pbs.twimg.com/profile_images/2406617969/enjkue2ktt890m07cop6_normal.jpeg","View")</f>
        <v>View</v>
      </c>
      <c r="P11117" s="27"/>
    </row>
    <row r="11118">
      <c r="A11118" s="14">
        <v>43032.585752314815</v>
      </c>
      <c r="B11118" s="20" t="str">
        <f>HYPERLINK("https://twitter.com/Sweet1Lexi","@Sweet1Lexi")</f>
        <v>@Sweet1Lexi</v>
      </c>
      <c r="C11118" s="21" t="s">
        <v>23417</v>
      </c>
      <c r="D11118" s="21" t="s">
        <v>10614</v>
      </c>
      <c r="E11118" s="22" t="str">
        <f>HYPERLINK("https://twitter.com/Sweet1Lexi/status/922931577390235648","922931577390235648")</f>
        <v>922931577390235648</v>
      </c>
      <c r="F11118" s="23" t="s">
        <v>33</v>
      </c>
      <c r="G11118" s="24">
        <v>1929.0</v>
      </c>
      <c r="H11118" s="24">
        <v>3934.0</v>
      </c>
      <c r="I11118" s="24">
        <v>159.0</v>
      </c>
      <c r="J11118" s="24">
        <v>0.0</v>
      </c>
      <c r="K11118" s="23" t="s">
        <v>34</v>
      </c>
      <c r="L11118" s="25">
        <v>40126.85329861111</v>
      </c>
      <c r="M11118" s="26" t="s">
        <v>23418</v>
      </c>
      <c r="N11118" s="26" t="s">
        <v>23419</v>
      </c>
      <c r="O11118" s="22" t="str">
        <f>HYPERLINK("https://pbs.twimg.com/profile_images/900577466892378113/LTmz6C1V_normal.jpg","View")</f>
        <v>View</v>
      </c>
      <c r="P11118" s="27"/>
    </row>
    <row r="11119">
      <c r="A11119" s="14">
        <v>43032.58621527778</v>
      </c>
      <c r="B11119" s="20" t="str">
        <f>HYPERLINK("https://twitter.com/medicinehelp","@medicinehelp")</f>
        <v>@medicinehelp</v>
      </c>
      <c r="C11119" s="21" t="s">
        <v>23420</v>
      </c>
      <c r="D11119" s="21" t="s">
        <v>23421</v>
      </c>
      <c r="E11119" s="22" t="str">
        <f>HYPERLINK("https://twitter.com/medicinehelp/status/922931742343823361","922931742343823361")</f>
        <v>922931742343823361</v>
      </c>
      <c r="F11119" s="30" t="s">
        <v>191</v>
      </c>
      <c r="G11119" s="24">
        <v>1540.0</v>
      </c>
      <c r="H11119" s="24">
        <v>1937.0</v>
      </c>
      <c r="I11119" s="24">
        <v>0.0</v>
      </c>
      <c r="J11119" s="24">
        <v>0.0</v>
      </c>
      <c r="K11119" s="23" t="s">
        <v>34</v>
      </c>
      <c r="L11119" s="25">
        <v>39985.52465277778</v>
      </c>
      <c r="M11119" s="26" t="s">
        <v>23422</v>
      </c>
      <c r="N11119" s="26" t="s">
        <v>23423</v>
      </c>
      <c r="O11119" s="22" t="str">
        <f>HYPERLINK("https://pbs.twimg.com/profile_images/665563257/Steiff-Teddy-Bear-Doctor-Fynn-Bear-with-Medical-Kit_0_0_W0BA_normal.jpg","View")</f>
        <v>View</v>
      </c>
      <c r="P11119" s="27"/>
    </row>
    <row r="11120">
      <c r="A11120" s="14">
        <v>43032.587384259255</v>
      </c>
      <c r="B11120" s="20" t="str">
        <f>HYPERLINK("https://twitter.com/gottogetoutof","@gottogetoutof")</f>
        <v>@gottogetoutof</v>
      </c>
      <c r="C11120" s="21" t="s">
        <v>23424</v>
      </c>
      <c r="D11120" s="21" t="s">
        <v>10614</v>
      </c>
      <c r="E11120" s="22" t="str">
        <f>HYPERLINK("https://twitter.com/gottogetoutof/status/922932168766078976","922932168766078976")</f>
        <v>922932168766078976</v>
      </c>
      <c r="F11120" s="23" t="s">
        <v>33</v>
      </c>
      <c r="G11120" s="24">
        <v>4672.0</v>
      </c>
      <c r="H11120" s="24">
        <v>2745.0</v>
      </c>
      <c r="I11120" s="24">
        <v>159.0</v>
      </c>
      <c r="J11120" s="24">
        <v>0.0</v>
      </c>
      <c r="K11120" s="23" t="s">
        <v>34</v>
      </c>
      <c r="L11120" s="25">
        <v>40989.754166666666</v>
      </c>
      <c r="M11120" s="26" t="s">
        <v>23425</v>
      </c>
      <c r="N11120" s="26" t="s">
        <v>23426</v>
      </c>
      <c r="O11120" s="22" t="str">
        <f>HYPERLINK("https://pbs.twimg.com/profile_images/850141792326623236/_ZxoIYdx_normal.jpg","View")</f>
        <v>View</v>
      </c>
      <c r="P11120" s="27"/>
    </row>
    <row r="11121">
      <c r="A11121" s="14">
        <v>43032.58758101852</v>
      </c>
      <c r="B11121" s="20" t="str">
        <f>HYPERLINK("https://twitter.com/nneusj","@nneusj")</f>
        <v>@nneusj</v>
      </c>
      <c r="C11121" s="21" t="s">
        <v>858</v>
      </c>
      <c r="D11121" s="21" t="s">
        <v>22598</v>
      </c>
      <c r="E11121" s="22" t="str">
        <f>HYPERLINK("https://twitter.com/nneusj/status/922932236663558146","922932236663558146")</f>
        <v>922932236663558146</v>
      </c>
      <c r="F11121" s="23" t="s">
        <v>33</v>
      </c>
      <c r="G11121" s="24">
        <v>248.0</v>
      </c>
      <c r="H11121" s="24">
        <v>1887.0</v>
      </c>
      <c r="I11121" s="24">
        <v>5.0</v>
      </c>
      <c r="J11121" s="24">
        <v>0.0</v>
      </c>
      <c r="K11121" s="23" t="s">
        <v>34</v>
      </c>
      <c r="L11121" s="25">
        <v>42310.521898148145</v>
      </c>
      <c r="M11121" s="28"/>
      <c r="N11121" s="28"/>
      <c r="O11121" s="22" t="str">
        <f>HYPERLINK("https://pbs.twimg.com/profile_images/661281424570454016/IY6X6O9R_normal.jpg","View")</f>
        <v>View</v>
      </c>
      <c r="P11121" s="27"/>
    </row>
    <row r="11122">
      <c r="A11122" s="14">
        <v>43032.58920138889</v>
      </c>
      <c r="B11122" s="20" t="str">
        <f>HYPERLINK("https://twitter.com/ThePoliticalHat","@ThePoliticalHat")</f>
        <v>@ThePoliticalHat</v>
      </c>
      <c r="C11122" s="21" t="s">
        <v>23427</v>
      </c>
      <c r="D11122" s="21" t="s">
        <v>23097</v>
      </c>
      <c r="E11122" s="22" t="str">
        <f>HYPERLINK("https://twitter.com/ThePoliticalHat/status/922932823798902784","922932823798902784")</f>
        <v>922932823798902784</v>
      </c>
      <c r="F11122" s="23" t="s">
        <v>55</v>
      </c>
      <c r="G11122" s="24">
        <v>4868.0</v>
      </c>
      <c r="H11122" s="24">
        <v>4728.0</v>
      </c>
      <c r="I11122" s="24">
        <v>2.0</v>
      </c>
      <c r="J11122" s="24">
        <v>0.0</v>
      </c>
      <c r="K11122" s="23" t="s">
        <v>34</v>
      </c>
      <c r="L11122" s="25">
        <v>40468.83269675926</v>
      </c>
      <c r="M11122" s="26" t="s">
        <v>435</v>
      </c>
      <c r="N11122" s="26" t="s">
        <v>23428</v>
      </c>
      <c r="O11122" s="22" t="str">
        <f>HYPERLINK("https://pbs.twimg.com/profile_images/908803419384700928/g-dn2HKh_normal.jpg","View")</f>
        <v>View</v>
      </c>
      <c r="P11122" s="27"/>
    </row>
    <row r="11123">
      <c r="A11123" s="14">
        <v>43032.589733796296</v>
      </c>
      <c r="B11123" s="20" t="str">
        <f>HYPERLINK("https://twitter.com/__QlintDwayne","@__QlintDwayne")</f>
        <v>@__QlintDwayne</v>
      </c>
      <c r="C11123" s="21" t="s">
        <v>23429</v>
      </c>
      <c r="D11123" s="21" t="s">
        <v>32</v>
      </c>
      <c r="E11123" s="22" t="str">
        <f>HYPERLINK("https://twitter.com/__QlintDwayne/status/922933017445847042","922933017445847042")</f>
        <v>922933017445847042</v>
      </c>
      <c r="F11123" s="23" t="s">
        <v>33</v>
      </c>
      <c r="G11123" s="24">
        <v>5471.0</v>
      </c>
      <c r="H11123" s="24">
        <v>273.0</v>
      </c>
      <c r="I11123" s="24">
        <v>471.0</v>
      </c>
      <c r="J11123" s="24">
        <v>0.0</v>
      </c>
      <c r="K11123" s="23" t="s">
        <v>34</v>
      </c>
      <c r="L11123" s="25">
        <v>41015.13392361111</v>
      </c>
      <c r="M11123" s="26" t="s">
        <v>23430</v>
      </c>
      <c r="N11123" s="26" t="s">
        <v>23431</v>
      </c>
      <c r="O11123" s="22" t="str">
        <f>HYPERLINK("https://pbs.twimg.com/profile_images/738014640144257024/hmVaVQH8_normal.jpg","View")</f>
        <v>View</v>
      </c>
      <c r="P11123" s="27"/>
    </row>
    <row r="11124">
      <c r="A11124" s="14">
        <v>43032.590578703705</v>
      </c>
      <c r="B11124" s="20" t="str">
        <f>HYPERLINK("https://twitter.com/LDH_lovet128","@LDH_lovet128")</f>
        <v>@LDH_lovet128</v>
      </c>
      <c r="C11124" s="21" t="s">
        <v>23432</v>
      </c>
      <c r="D11124" s="21" t="s">
        <v>1474</v>
      </c>
      <c r="E11124" s="22" t="str">
        <f>HYPERLINK("https://twitter.com/LDH_lovet128/status/922933322824630272","922933322824630272")</f>
        <v>922933322824630272</v>
      </c>
      <c r="F11124" s="23" t="s">
        <v>39</v>
      </c>
      <c r="G11124" s="24">
        <v>969.0</v>
      </c>
      <c r="H11124" s="24">
        <v>1345.0</v>
      </c>
      <c r="I11124" s="24">
        <v>29.0</v>
      </c>
      <c r="J11124" s="24">
        <v>0.0</v>
      </c>
      <c r="K11124" s="23" t="s">
        <v>34</v>
      </c>
      <c r="L11124" s="25">
        <v>42449.829872685186</v>
      </c>
      <c r="M11124" s="26" t="s">
        <v>23433</v>
      </c>
      <c r="N11124" s="26" t="s">
        <v>23434</v>
      </c>
      <c r="O11124" s="22" t="str">
        <f>HYPERLINK("https://pbs.twimg.com/profile_images/894474453874126848/-vAF9pZu_normal.jpg","View")</f>
        <v>View</v>
      </c>
      <c r="P11124" s="27"/>
    </row>
    <row r="11125">
      <c r="A11125" s="14">
        <v>43032.593576388885</v>
      </c>
      <c r="B11125" s="20" t="str">
        <f>HYPERLINK("https://twitter.com/JenniferJJacobs","@JenniferJJacobs")</f>
        <v>@JenniferJJacobs</v>
      </c>
      <c r="C11125" s="21" t="s">
        <v>23435</v>
      </c>
      <c r="D11125" s="21" t="s">
        <v>23436</v>
      </c>
      <c r="E11125" s="22" t="str">
        <f>HYPERLINK("https://twitter.com/JenniferJJacobs/status/922934411938684928","922934411938684928")</f>
        <v>922934411938684928</v>
      </c>
      <c r="F11125" s="23" t="s">
        <v>55</v>
      </c>
      <c r="G11125" s="24">
        <v>90365.0</v>
      </c>
      <c r="H11125" s="24">
        <v>24581.0</v>
      </c>
      <c r="I11125" s="24">
        <v>11.0</v>
      </c>
      <c r="J11125" s="24">
        <v>9.0</v>
      </c>
      <c r="K11125" s="23" t="s">
        <v>34</v>
      </c>
      <c r="L11125" s="25">
        <v>39643.65594907408</v>
      </c>
      <c r="M11125" s="26" t="s">
        <v>4239</v>
      </c>
      <c r="N11125" s="26" t="s">
        <v>23437</v>
      </c>
      <c r="O11125" s="22" t="str">
        <f>HYPERLINK("https://pbs.twimg.com/profile_images/739446068589563904/nEs68qdk_normal.jpg","View")</f>
        <v>View</v>
      </c>
      <c r="P11125" s="27"/>
    </row>
    <row r="11126">
      <c r="A11126" s="14">
        <v>43032.59370370371</v>
      </c>
      <c r="B11126" s="20" t="str">
        <f>HYPERLINK("https://twitter.com/fj_newman","@fj_newman")</f>
        <v>@fj_newman</v>
      </c>
      <c r="C11126" s="21" t="s">
        <v>23438</v>
      </c>
      <c r="D11126" s="21" t="s">
        <v>23439</v>
      </c>
      <c r="E11126" s="22" t="str">
        <f>HYPERLINK("https://twitter.com/fj_newman/status/922934454934540288","922934454934540288")</f>
        <v>922934454934540288</v>
      </c>
      <c r="F11126" s="23" t="s">
        <v>3572</v>
      </c>
      <c r="G11126" s="24">
        <v>699.0</v>
      </c>
      <c r="H11126" s="24">
        <v>549.0</v>
      </c>
      <c r="I11126" s="24">
        <v>11.0</v>
      </c>
      <c r="J11126" s="24">
        <v>0.0</v>
      </c>
      <c r="K11126" s="23" t="s">
        <v>34</v>
      </c>
      <c r="L11126" s="25">
        <v>40094.65583333334</v>
      </c>
      <c r="M11126" s="26" t="s">
        <v>23440</v>
      </c>
      <c r="N11126" s="26" t="s">
        <v>23441</v>
      </c>
      <c r="O11126" s="22" t="str">
        <f>HYPERLINK("https://pbs.twimg.com/profile_images/2807858608/c5e5265efb1f2aae8456ee9253e0abaa_normal.jpeg","View")</f>
        <v>View</v>
      </c>
      <c r="P11126" s="27"/>
    </row>
    <row r="11127">
      <c r="A11127" s="14">
        <v>43032.59534722222</v>
      </c>
      <c r="B11127" s="20" t="str">
        <f>HYPERLINK("https://twitter.com/morvjn","@morvjn")</f>
        <v>@morvjn</v>
      </c>
      <c r="C11127" s="21" t="s">
        <v>20580</v>
      </c>
      <c r="D11127" s="21" t="s">
        <v>23439</v>
      </c>
      <c r="E11127" s="22" t="str">
        <f>HYPERLINK("https://twitter.com/morvjn/status/922935051049930752","922935051049930752")</f>
        <v>922935051049930752</v>
      </c>
      <c r="F11127" s="23" t="s">
        <v>55</v>
      </c>
      <c r="G11127" s="24">
        <v>1273.0</v>
      </c>
      <c r="H11127" s="24">
        <v>4461.0</v>
      </c>
      <c r="I11127" s="24">
        <v>11.0</v>
      </c>
      <c r="J11127" s="24">
        <v>0.0</v>
      </c>
      <c r="K11127" s="23" t="s">
        <v>34</v>
      </c>
      <c r="L11127" s="25">
        <v>40252.21020833333</v>
      </c>
      <c r="M11127" s="28"/>
      <c r="N11127" s="26" t="s">
        <v>20581</v>
      </c>
      <c r="O11127" s="22" t="str">
        <f>HYPERLINK("https://pbs.twimg.com/profile_images/785585375/marvin-the-paranoid-android_normal.jpg","View")</f>
        <v>View</v>
      </c>
      <c r="P11127" s="27"/>
    </row>
    <row r="11128">
      <c r="A11128" s="14">
        <v>43032.59585648148</v>
      </c>
      <c r="B11128" s="20" t="str">
        <f>HYPERLINK("https://twitter.com/billpostmus","@billpostmus")</f>
        <v>@billpostmus</v>
      </c>
      <c r="C11128" s="21" t="s">
        <v>23442</v>
      </c>
      <c r="D11128" s="21" t="s">
        <v>23439</v>
      </c>
      <c r="E11128" s="22" t="str">
        <f>HYPERLINK("https://twitter.com/billpostmus/status/922935237205639168","922935237205639168")</f>
        <v>922935237205639168</v>
      </c>
      <c r="F11128" s="23" t="s">
        <v>39</v>
      </c>
      <c r="G11128" s="24">
        <v>177593.0</v>
      </c>
      <c r="H11128" s="24">
        <v>191888.0</v>
      </c>
      <c r="I11128" s="24">
        <v>11.0</v>
      </c>
      <c r="J11128" s="24">
        <v>0.0</v>
      </c>
      <c r="K11128" s="23" t="s">
        <v>34</v>
      </c>
      <c r="L11128" s="25">
        <v>40811.58767361111</v>
      </c>
      <c r="M11128" s="26" t="s">
        <v>23443</v>
      </c>
      <c r="N11128" s="26" t="s">
        <v>23444</v>
      </c>
      <c r="O11128" s="22" t="str">
        <f>HYPERLINK("https://pbs.twimg.com/profile_images/650936222248898560/YjAKrhFP_normal.jpg","View")</f>
        <v>View</v>
      </c>
      <c r="P11128" s="27"/>
    </row>
    <row r="11129">
      <c r="A11129" s="14">
        <v>43032.5958912037</v>
      </c>
      <c r="B11129" s="20" t="str">
        <f>HYPERLINK("https://twitter.com/EnwroughtDreams","@EnwroughtDreams")</f>
        <v>@EnwroughtDreams</v>
      </c>
      <c r="C11129" s="21" t="s">
        <v>23445</v>
      </c>
      <c r="D11129" s="21" t="s">
        <v>18660</v>
      </c>
      <c r="E11129" s="22" t="str">
        <f>HYPERLINK("https://twitter.com/EnwroughtDreams/status/922935251294412801","922935251294412801")</f>
        <v>922935251294412801</v>
      </c>
      <c r="F11129" s="23" t="s">
        <v>55</v>
      </c>
      <c r="G11129" s="24">
        <v>1495.0</v>
      </c>
      <c r="H11129" s="24">
        <v>1497.0</v>
      </c>
      <c r="I11129" s="24">
        <v>17.0</v>
      </c>
      <c r="J11129" s="24">
        <v>0.0</v>
      </c>
      <c r="K11129" s="23" t="s">
        <v>34</v>
      </c>
      <c r="L11129" s="25">
        <v>41957.23180555555</v>
      </c>
      <c r="M11129" s="28"/>
      <c r="N11129" s="26" t="s">
        <v>23446</v>
      </c>
      <c r="O11129" s="22" t="str">
        <f>HYPERLINK("https://pbs.twimg.com/profile_images/917139347819950080/EotYkZPi_normal.jpg","View")</f>
        <v>View</v>
      </c>
      <c r="P11129" s="27"/>
    </row>
    <row r="11130">
      <c r="A11130" s="14">
        <v>43032.59599537037</v>
      </c>
      <c r="B11130" s="20" t="str">
        <f>HYPERLINK("https://twitter.com/ConnorDaleyVT","@ConnorDaleyVT")</f>
        <v>@ConnorDaleyVT</v>
      </c>
      <c r="C11130" s="21" t="s">
        <v>23447</v>
      </c>
      <c r="D11130" s="21" t="s">
        <v>23439</v>
      </c>
      <c r="E11130" s="22" t="str">
        <f>HYPERLINK("https://twitter.com/ConnorDaleyVT/status/922935286220410880","922935286220410880")</f>
        <v>922935286220410880</v>
      </c>
      <c r="F11130" s="23" t="s">
        <v>55</v>
      </c>
      <c r="G11130" s="24">
        <v>323.0</v>
      </c>
      <c r="H11130" s="24">
        <v>1780.0</v>
      </c>
      <c r="I11130" s="24">
        <v>11.0</v>
      </c>
      <c r="J11130" s="24">
        <v>0.0</v>
      </c>
      <c r="K11130" s="23" t="s">
        <v>34</v>
      </c>
      <c r="L11130" s="25">
        <v>41036.53509259259</v>
      </c>
      <c r="M11130" s="28"/>
      <c r="N11130" s="26" t="s">
        <v>23448</v>
      </c>
      <c r="O11130" s="22" t="str">
        <f>HYPERLINK("https://pbs.twimg.com/profile_images/870758355698167808/l9otbGLf_normal.jpg","View")</f>
        <v>View</v>
      </c>
      <c r="P11130" s="27"/>
    </row>
    <row r="11131">
      <c r="A11131" s="14">
        <v>43032.59695601852</v>
      </c>
      <c r="B11131" s="20" t="str">
        <f>HYPERLINK("https://twitter.com/IndiespensableT","@IndiespensableT")</f>
        <v>@IndiespensableT</v>
      </c>
      <c r="C11131" s="21" t="s">
        <v>23449</v>
      </c>
      <c r="D11131" s="21" t="s">
        <v>23439</v>
      </c>
      <c r="E11131" s="22" t="str">
        <f>HYPERLINK("https://twitter.com/IndiespensableT/status/922935637489176577","922935637489176577")</f>
        <v>922935637489176577</v>
      </c>
      <c r="F11131" s="23" t="s">
        <v>55</v>
      </c>
      <c r="G11131" s="24">
        <v>59.0</v>
      </c>
      <c r="H11131" s="24">
        <v>267.0</v>
      </c>
      <c r="I11131" s="24">
        <v>11.0</v>
      </c>
      <c r="J11131" s="24">
        <v>0.0</v>
      </c>
      <c r="K11131" s="23" t="s">
        <v>34</v>
      </c>
      <c r="L11131" s="25">
        <v>42499.72368055556</v>
      </c>
      <c r="M11131" s="28"/>
      <c r="N11131" s="28"/>
      <c r="O11131" s="22" t="str">
        <f>HYPERLINK("https://abs.twimg.com/sticky/default_profile_images/default_profile_normal.png","View")</f>
        <v>View</v>
      </c>
      <c r="P11131" s="27"/>
    </row>
    <row r="11132">
      <c r="A11132" s="14">
        <v>43032.59715277777</v>
      </c>
      <c r="B11132" s="20" t="str">
        <f>HYPERLINK("https://twitter.com/elite99thc","@elite99thc")</f>
        <v>@elite99thc</v>
      </c>
      <c r="C11132" s="21" t="s">
        <v>23450</v>
      </c>
      <c r="D11132" s="21" t="s">
        <v>23439</v>
      </c>
      <c r="E11132" s="22" t="str">
        <f>HYPERLINK("https://twitter.com/elite99thc/status/922935705734705152","922935705734705152")</f>
        <v>922935705734705152</v>
      </c>
      <c r="F11132" s="23" t="s">
        <v>33</v>
      </c>
      <c r="G11132" s="24">
        <v>1344.0</v>
      </c>
      <c r="H11132" s="24">
        <v>2961.0</v>
      </c>
      <c r="I11132" s="24">
        <v>11.0</v>
      </c>
      <c r="J11132" s="24">
        <v>0.0</v>
      </c>
      <c r="K11132" s="23" t="s">
        <v>34</v>
      </c>
      <c r="L11132" s="25">
        <v>41484.42584490741</v>
      </c>
      <c r="M11132" s="26" t="s">
        <v>6281</v>
      </c>
      <c r="N11132" s="26" t="s">
        <v>23451</v>
      </c>
      <c r="O11132" s="22" t="str">
        <f>HYPERLINK("https://pbs.twimg.com/profile_images/572122031405326337/uwD2-Bx1_normal.jpeg","View")</f>
        <v>View</v>
      </c>
      <c r="P11132" s="27"/>
    </row>
    <row r="11133">
      <c r="A11133" s="14">
        <v>43032.59746527778</v>
      </c>
      <c r="B11133" s="20" t="str">
        <f t="shared" ref="B11133:B11134" si="279">HYPERLINK("https://twitter.com/Stckysheets","@Stckysheets")</f>
        <v>@Stckysheets</v>
      </c>
      <c r="C11133" s="21" t="s">
        <v>23452</v>
      </c>
      <c r="D11133" s="21" t="s">
        <v>23453</v>
      </c>
      <c r="E11133" s="22" t="str">
        <f>HYPERLINK("https://twitter.com/Stckysheets/status/922935819727282176","922935819727282176")</f>
        <v>922935819727282176</v>
      </c>
      <c r="F11133" s="23" t="s">
        <v>55</v>
      </c>
      <c r="G11133" s="24">
        <v>218.0</v>
      </c>
      <c r="H11133" s="24">
        <v>201.0</v>
      </c>
      <c r="I11133" s="24">
        <v>0.0</v>
      </c>
      <c r="J11133" s="24">
        <v>0.0</v>
      </c>
      <c r="K11133" s="23" t="s">
        <v>34</v>
      </c>
      <c r="L11133" s="25">
        <v>40356.32840277778</v>
      </c>
      <c r="M11133" s="26" t="s">
        <v>1024</v>
      </c>
      <c r="N11133" s="26" t="s">
        <v>23454</v>
      </c>
      <c r="O11133" s="22" t="str">
        <f t="shared" ref="O11133:O11134" si="280">HYPERLINK("https://pbs.twimg.com/profile_images/854362578323070976/zVVMArhh_normal.jpg","View")</f>
        <v>View</v>
      </c>
      <c r="P11133" s="27"/>
    </row>
    <row r="11134">
      <c r="A11134" s="14">
        <v>43032.59834490741</v>
      </c>
      <c r="B11134" s="20" t="str">
        <f t="shared" si="279"/>
        <v>@Stckysheets</v>
      </c>
      <c r="C11134" s="21" t="s">
        <v>23452</v>
      </c>
      <c r="D11134" s="21" t="s">
        <v>23455</v>
      </c>
      <c r="E11134" s="22" t="str">
        <f>HYPERLINK("https://twitter.com/Stckysheets/status/922936139303944193","922936139303944193")</f>
        <v>922936139303944193</v>
      </c>
      <c r="F11134" s="23" t="s">
        <v>55</v>
      </c>
      <c r="G11134" s="24">
        <v>218.0</v>
      </c>
      <c r="H11134" s="24">
        <v>201.0</v>
      </c>
      <c r="I11134" s="24">
        <v>0.0</v>
      </c>
      <c r="J11134" s="24">
        <v>0.0</v>
      </c>
      <c r="K11134" s="23" t="s">
        <v>34</v>
      </c>
      <c r="L11134" s="25">
        <v>40356.32840277778</v>
      </c>
      <c r="M11134" s="26" t="s">
        <v>1024</v>
      </c>
      <c r="N11134" s="26" t="s">
        <v>23454</v>
      </c>
      <c r="O11134" s="22" t="str">
        <f t="shared" si="280"/>
        <v>View</v>
      </c>
      <c r="P11134" s="27"/>
    </row>
    <row r="11135">
      <c r="A11135" s="14">
        <v>43032.598761574074</v>
      </c>
      <c r="B11135" s="20" t="str">
        <f>HYPERLINK("https://twitter.com/Vixen35x1000","@Vixen35x1000")</f>
        <v>@Vixen35x1000</v>
      </c>
      <c r="C11135" s="21" t="s">
        <v>23456</v>
      </c>
      <c r="D11135" s="21" t="s">
        <v>23439</v>
      </c>
      <c r="E11135" s="22" t="str">
        <f>HYPERLINK("https://twitter.com/Vixen35x1000/status/922936288314998784","922936288314998784")</f>
        <v>922936288314998784</v>
      </c>
      <c r="F11135" s="23" t="s">
        <v>39</v>
      </c>
      <c r="G11135" s="24">
        <v>780.0</v>
      </c>
      <c r="H11135" s="24">
        <v>1136.0</v>
      </c>
      <c r="I11135" s="24">
        <v>11.0</v>
      </c>
      <c r="J11135" s="24">
        <v>0.0</v>
      </c>
      <c r="K11135" s="23" t="s">
        <v>34</v>
      </c>
      <c r="L11135" s="25">
        <v>40441.4046875</v>
      </c>
      <c r="M11135" s="28"/>
      <c r="N11135" s="28"/>
      <c r="O11135" s="22" t="str">
        <f>HYPERLINK("https://pbs.twimg.com/profile_images/919571661627670530/tqbgAlI7_normal.jpg","View")</f>
        <v>View</v>
      </c>
      <c r="P11135" s="27"/>
    </row>
    <row r="11136">
      <c r="A11136" s="14">
        <v>43032.60017361111</v>
      </c>
      <c r="B11136" s="20" t="str">
        <f>HYPERLINK("https://twitter.com/Ollissya","@Ollissya")</f>
        <v>@Ollissya</v>
      </c>
      <c r="C11136" s="21" t="s">
        <v>23457</v>
      </c>
      <c r="D11136" s="21" t="s">
        <v>6403</v>
      </c>
      <c r="E11136" s="22" t="str">
        <f>HYPERLINK("https://twitter.com/Ollissya/status/922936802620649474","922936802620649474")</f>
        <v>922936802620649474</v>
      </c>
      <c r="F11136" s="23" t="s">
        <v>55</v>
      </c>
      <c r="G11136" s="24">
        <v>1419.0</v>
      </c>
      <c r="H11136" s="24">
        <v>269.0</v>
      </c>
      <c r="I11136" s="24">
        <v>97.0</v>
      </c>
      <c r="J11136" s="24">
        <v>0.0</v>
      </c>
      <c r="K11136" s="23" t="s">
        <v>34</v>
      </c>
      <c r="L11136" s="25">
        <v>40738.30532407407</v>
      </c>
      <c r="M11136" s="26" t="s">
        <v>23458</v>
      </c>
      <c r="N11136" s="26" t="s">
        <v>23459</v>
      </c>
      <c r="O11136" s="22" t="str">
        <f>HYPERLINK("https://pbs.twimg.com/profile_images/683031142480609281/AUUi7EMM_normal.jpg","View")</f>
        <v>View</v>
      </c>
      <c r="P11136" s="27"/>
    </row>
    <row r="11137">
      <c r="A11137" s="14">
        <v>43032.600636574076</v>
      </c>
      <c r="B11137" s="20" t="str">
        <f>HYPERLINK("https://twitter.com/lyssamcdonald","@lyssamcdonald")</f>
        <v>@lyssamcdonald</v>
      </c>
      <c r="C11137" s="21" t="s">
        <v>23460</v>
      </c>
      <c r="D11137" s="21" t="s">
        <v>22735</v>
      </c>
      <c r="E11137" s="22" t="str">
        <f>HYPERLINK("https://twitter.com/lyssamcdonald/status/922936967565787136","922936967565787136")</f>
        <v>922936967565787136</v>
      </c>
      <c r="F11137" s="23" t="s">
        <v>55</v>
      </c>
      <c r="G11137" s="24">
        <v>1294.0</v>
      </c>
      <c r="H11137" s="24">
        <v>880.0</v>
      </c>
      <c r="I11137" s="24">
        <v>13.0</v>
      </c>
      <c r="J11137" s="24">
        <v>0.0</v>
      </c>
      <c r="K11137" s="23" t="s">
        <v>34</v>
      </c>
      <c r="L11137" s="25">
        <v>39720.51967592593</v>
      </c>
      <c r="M11137" s="26" t="s">
        <v>3202</v>
      </c>
      <c r="N11137" s="26" t="s">
        <v>23461</v>
      </c>
      <c r="O11137" s="22" t="str">
        <f>HYPERLINK("https://pbs.twimg.com/profile_images/472990361111912448/qw20a4M9_normal.jpeg","View")</f>
        <v>View</v>
      </c>
      <c r="P11137" s="27"/>
    </row>
    <row r="11138">
      <c r="A11138" s="14">
        <v>43032.60083333333</v>
      </c>
      <c r="B11138" s="20" t="str">
        <f>HYPERLINK("https://twitter.com/denissetwin95","@denissetwin95")</f>
        <v>@denissetwin95</v>
      </c>
      <c r="C11138" s="21" t="s">
        <v>23462</v>
      </c>
      <c r="D11138" s="21" t="s">
        <v>23439</v>
      </c>
      <c r="E11138" s="22" t="str">
        <f>HYPERLINK("https://twitter.com/denissetwin95/status/922937041834401793","922937041834401793")</f>
        <v>922937041834401793</v>
      </c>
      <c r="F11138" s="23" t="s">
        <v>33</v>
      </c>
      <c r="G11138" s="24">
        <v>79.0</v>
      </c>
      <c r="H11138" s="24">
        <v>436.0</v>
      </c>
      <c r="I11138" s="24">
        <v>11.0</v>
      </c>
      <c r="J11138" s="24">
        <v>0.0</v>
      </c>
      <c r="K11138" s="23" t="s">
        <v>34</v>
      </c>
      <c r="L11138" s="25">
        <v>42727.45726851852</v>
      </c>
      <c r="M11138" s="26" t="s">
        <v>7142</v>
      </c>
      <c r="N11138" s="28"/>
      <c r="O11138" s="22" t="str">
        <f>HYPERLINK("https://pbs.twimg.com/profile_images/812374071862300672/KWMGHdA__normal.jpg","View")</f>
        <v>View</v>
      </c>
      <c r="P11138" s="27"/>
    </row>
    <row r="11139">
      <c r="A11139" s="14">
        <v>43032.60309027778</v>
      </c>
      <c r="B11139" s="20" t="str">
        <f>HYPERLINK("https://twitter.com/JCKerrigan_LA","@JCKerrigan_LA")</f>
        <v>@JCKerrigan_LA</v>
      </c>
      <c r="C11139" s="21" t="s">
        <v>23463</v>
      </c>
      <c r="D11139" s="21" t="s">
        <v>23401</v>
      </c>
      <c r="E11139" s="22" t="str">
        <f>HYPERLINK("https://twitter.com/JCKerrigan_LA/status/922937858024865792","922937858024865792")</f>
        <v>922937858024865792</v>
      </c>
      <c r="F11139" s="23" t="s">
        <v>39</v>
      </c>
      <c r="G11139" s="24">
        <v>177.0</v>
      </c>
      <c r="H11139" s="24">
        <v>256.0</v>
      </c>
      <c r="I11139" s="24">
        <v>7.0</v>
      </c>
      <c r="J11139" s="24">
        <v>0.0</v>
      </c>
      <c r="K11139" s="23" t="s">
        <v>34</v>
      </c>
      <c r="L11139" s="25">
        <v>42703.43040509259</v>
      </c>
      <c r="M11139" s="26" t="s">
        <v>1563</v>
      </c>
      <c r="N11139" s="26" t="s">
        <v>23464</v>
      </c>
      <c r="O11139" s="22" t="str">
        <f>HYPERLINK("https://pbs.twimg.com/profile_images/816855637833367552/4kvuh3Bt_normal.jpg","View")</f>
        <v>View</v>
      </c>
      <c r="P11139" s="27"/>
    </row>
    <row r="11140">
      <c r="A11140" s="14">
        <v>43032.60341435185</v>
      </c>
      <c r="B11140" s="20" t="str">
        <f>HYPERLINK("https://twitter.com/chriscol22nd","@chriscol22nd")</f>
        <v>@chriscol22nd</v>
      </c>
      <c r="C11140" s="21" t="s">
        <v>23465</v>
      </c>
      <c r="D11140" s="21" t="s">
        <v>23466</v>
      </c>
      <c r="E11140" s="22" t="str">
        <f>HYPERLINK("https://twitter.com/chriscol22nd/status/922937976241491968","922937976241491968")</f>
        <v>922937976241491968</v>
      </c>
      <c r="F11140" s="23" t="s">
        <v>55</v>
      </c>
      <c r="G11140" s="24">
        <v>19610.0</v>
      </c>
      <c r="H11140" s="24">
        <v>19262.0</v>
      </c>
      <c r="I11140" s="24">
        <v>0.0</v>
      </c>
      <c r="J11140" s="24">
        <v>0.0</v>
      </c>
      <c r="K11140" s="23" t="s">
        <v>34</v>
      </c>
      <c r="L11140" s="25">
        <v>41674.37925925926</v>
      </c>
      <c r="M11140" s="26" t="s">
        <v>23467</v>
      </c>
      <c r="N11140" s="26" t="s">
        <v>23468</v>
      </c>
      <c r="O11140" s="22" t="str">
        <f>HYPERLINK("https://pbs.twimg.com/profile_images/449304106323017728/oLa3C-sN_normal.jpeg","View")</f>
        <v>View</v>
      </c>
      <c r="P11140" s="27"/>
    </row>
    <row r="11141">
      <c r="A11141" s="14">
        <v>43032.605208333334</v>
      </c>
      <c r="B11141" s="20" t="str">
        <f>HYPERLINK("https://twitter.com/KevinQBrady","@KevinQBrady")</f>
        <v>@KevinQBrady</v>
      </c>
      <c r="C11141" s="21" t="s">
        <v>23469</v>
      </c>
      <c r="D11141" s="21" t="s">
        <v>23439</v>
      </c>
      <c r="E11141" s="22" t="str">
        <f>HYPERLINK("https://twitter.com/KevinQBrady/status/922938628006993920","922938628006993920")</f>
        <v>922938628006993920</v>
      </c>
      <c r="F11141" s="23" t="s">
        <v>39</v>
      </c>
      <c r="G11141" s="24">
        <v>1117.0</v>
      </c>
      <c r="H11141" s="24">
        <v>4683.0</v>
      </c>
      <c r="I11141" s="24">
        <v>11.0</v>
      </c>
      <c r="J11141" s="24">
        <v>0.0</v>
      </c>
      <c r="K11141" s="23" t="s">
        <v>34</v>
      </c>
      <c r="L11141" s="25">
        <v>40840.91740740741</v>
      </c>
      <c r="M11141" s="26" t="s">
        <v>23470</v>
      </c>
      <c r="N11141" s="26" t="s">
        <v>23471</v>
      </c>
      <c r="O11141" s="22" t="str">
        <f>HYPERLINK("https://pbs.twimg.com/profile_images/888389087606042624/DSU2Sun-_normal.jpg","View")</f>
        <v>View</v>
      </c>
      <c r="P11141" s="27"/>
    </row>
    <row r="11142">
      <c r="A11142" s="14">
        <v>43032.60560185185</v>
      </c>
      <c r="B11142" s="20" t="str">
        <f>HYPERLINK("https://twitter.com/rahulkapapa","@rahulkapapa")</f>
        <v>@rahulkapapa</v>
      </c>
      <c r="C11142" s="21" t="s">
        <v>23472</v>
      </c>
      <c r="D11142" s="21" t="s">
        <v>42</v>
      </c>
      <c r="E11142" s="22" t="str">
        <f>HYPERLINK("https://twitter.com/rahulkapapa/status/922938770470584321","922938770470584321")</f>
        <v>922938770470584321</v>
      </c>
      <c r="F11142" s="23" t="s">
        <v>33</v>
      </c>
      <c r="G11142" s="24">
        <v>217.0</v>
      </c>
      <c r="H11142" s="24">
        <v>2.0</v>
      </c>
      <c r="I11142" s="24">
        <v>8501.0</v>
      </c>
      <c r="J11142" s="24">
        <v>0.0</v>
      </c>
      <c r="K11142" s="23" t="s">
        <v>34</v>
      </c>
      <c r="L11142" s="25">
        <v>42444.3603587963</v>
      </c>
      <c r="M11142" s="26" t="s">
        <v>575</v>
      </c>
      <c r="N11142" s="28"/>
      <c r="O11142" s="22" t="str">
        <f>HYPERLINK("https://pbs.twimg.com/profile_images/732636450068566017/SONnL_Vz_normal.jpg","View")</f>
        <v>View</v>
      </c>
      <c r="P11142" s="27"/>
    </row>
    <row r="11143">
      <c r="A11143" s="14">
        <v>43032.60712962963</v>
      </c>
      <c r="B11143" s="20" t="str">
        <f>HYPERLINK("https://twitter.com/jmwaymack","@jmwaymack")</f>
        <v>@jmwaymack</v>
      </c>
      <c r="C11143" s="21" t="s">
        <v>23473</v>
      </c>
      <c r="D11143" s="21" t="s">
        <v>23439</v>
      </c>
      <c r="E11143" s="22" t="str">
        <f>HYPERLINK("https://twitter.com/jmwaymack/status/922939322881294336","922939322881294336")</f>
        <v>922939322881294336</v>
      </c>
      <c r="F11143" s="23" t="s">
        <v>39</v>
      </c>
      <c r="G11143" s="24">
        <v>211.0</v>
      </c>
      <c r="H11143" s="24">
        <v>51.0</v>
      </c>
      <c r="I11143" s="24">
        <v>11.0</v>
      </c>
      <c r="J11143" s="24">
        <v>0.0</v>
      </c>
      <c r="K11143" s="23" t="s">
        <v>34</v>
      </c>
      <c r="L11143" s="25">
        <v>39942.83752314815</v>
      </c>
      <c r="M11143" s="26" t="s">
        <v>23474</v>
      </c>
      <c r="N11143" s="26" t="s">
        <v>23475</v>
      </c>
      <c r="O11143" s="22" t="str">
        <f>HYPERLINK("https://pbs.twimg.com/profile_images/817546512309907461/cUWZhbQ-_normal.jpg","View")</f>
        <v>View</v>
      </c>
      <c r="P11143" s="27"/>
    </row>
    <row r="11144">
      <c r="A11144" s="14">
        <v>43032.607303240744</v>
      </c>
      <c r="B11144" s="20" t="str">
        <f>HYPERLINK("https://twitter.com/justinjleung","@justinjleung")</f>
        <v>@justinjleung</v>
      </c>
      <c r="C11144" s="21" t="s">
        <v>23476</v>
      </c>
      <c r="D11144" s="21" t="s">
        <v>23477</v>
      </c>
      <c r="E11144" s="22" t="str">
        <f>HYPERLINK("https://twitter.com/justinjleung/status/922939386722967552","922939386722967552")</f>
        <v>922939386722967552</v>
      </c>
      <c r="F11144" s="23" t="s">
        <v>4619</v>
      </c>
      <c r="G11144" s="24">
        <v>272.0</v>
      </c>
      <c r="H11144" s="24">
        <v>1930.0</v>
      </c>
      <c r="I11144" s="24">
        <v>0.0</v>
      </c>
      <c r="J11144" s="24">
        <v>0.0</v>
      </c>
      <c r="K11144" s="23" t="s">
        <v>34</v>
      </c>
      <c r="L11144" s="25">
        <v>42368.77556712963</v>
      </c>
      <c r="M11144" s="26" t="s">
        <v>1961</v>
      </c>
      <c r="N11144" s="26" t="s">
        <v>23478</v>
      </c>
      <c r="O11144" s="22" t="str">
        <f>HYPERLINK("https://pbs.twimg.com/profile_images/895093870144491520/GrEq2JeW_normal.jpg","View")</f>
        <v>View</v>
      </c>
      <c r="P11144" s="27"/>
    </row>
    <row r="11145">
      <c r="A11145" s="14">
        <v>43032.60799768519</v>
      </c>
      <c r="B11145" s="20" t="str">
        <f>HYPERLINK("https://twitter.com/BackerLarry","@BackerLarry")</f>
        <v>@BackerLarry</v>
      </c>
      <c r="C11145" s="21" t="s">
        <v>23479</v>
      </c>
      <c r="D11145" s="21" t="s">
        <v>9528</v>
      </c>
      <c r="E11145" s="22" t="str">
        <f>HYPERLINK("https://twitter.com/BackerLarry/status/922939638356029440","922939638356029440")</f>
        <v>922939638356029440</v>
      </c>
      <c r="F11145" s="23" t="s">
        <v>55</v>
      </c>
      <c r="G11145" s="24">
        <v>283.0</v>
      </c>
      <c r="H11145" s="24">
        <v>358.0</v>
      </c>
      <c r="I11145" s="24">
        <v>3.0</v>
      </c>
      <c r="J11145" s="24">
        <v>0.0</v>
      </c>
      <c r="K11145" s="23" t="s">
        <v>34</v>
      </c>
      <c r="L11145" s="25">
        <v>42113.510601851856</v>
      </c>
      <c r="M11145" s="26" t="s">
        <v>4480</v>
      </c>
      <c r="N11145" s="28"/>
      <c r="O11145" s="22" t="str">
        <f>HYPERLINK("https://pbs.twimg.com/profile_images/589870636522156032/BYMHmp1y_normal.jpg","View")</f>
        <v>View</v>
      </c>
      <c r="P11145" s="27"/>
    </row>
    <row r="11146">
      <c r="A11146" s="14">
        <v>43032.60914351852</v>
      </c>
      <c r="B11146" s="20" t="str">
        <f>HYPERLINK("https://twitter.com/itsstevenhudson","@itsstevenhudson")</f>
        <v>@itsstevenhudson</v>
      </c>
      <c r="C11146" s="21" t="s">
        <v>23480</v>
      </c>
      <c r="D11146" s="21" t="s">
        <v>23481</v>
      </c>
      <c r="E11146" s="22" t="str">
        <f>HYPERLINK("https://twitter.com/itsstevenhudson/status/922940052954632192","922940052954632192")</f>
        <v>922940052954632192</v>
      </c>
      <c r="F11146" s="23" t="s">
        <v>55</v>
      </c>
      <c r="G11146" s="24">
        <v>227.0</v>
      </c>
      <c r="H11146" s="24">
        <v>1519.0</v>
      </c>
      <c r="I11146" s="24">
        <v>0.0</v>
      </c>
      <c r="J11146" s="24">
        <v>0.0</v>
      </c>
      <c r="K11146" s="23" t="s">
        <v>34</v>
      </c>
      <c r="L11146" s="25">
        <v>42837.45796296296</v>
      </c>
      <c r="M11146" s="26" t="s">
        <v>12964</v>
      </c>
      <c r="N11146" s="26" t="s">
        <v>23482</v>
      </c>
      <c r="O11146" s="22" t="str">
        <f>HYPERLINK("https://pbs.twimg.com/profile_images/852221188235567115/RBd7e5x4_normal.jpg","View")</f>
        <v>View</v>
      </c>
      <c r="P11146" s="27"/>
    </row>
    <row r="11147">
      <c r="A11147" s="14">
        <v>43032.60923611111</v>
      </c>
      <c r="B11147" s="20" t="str">
        <f>HYPERLINK("https://twitter.com/Shafat_Ahmed55","@Shafat_Ahmed55")</f>
        <v>@Shafat_Ahmed55</v>
      </c>
      <c r="C11147" s="21" t="s">
        <v>23483</v>
      </c>
      <c r="D11147" s="21" t="s">
        <v>10614</v>
      </c>
      <c r="E11147" s="22" t="str">
        <f>HYPERLINK("https://twitter.com/Shafat_Ahmed55/status/922940085690974209","922940085690974209")</f>
        <v>922940085690974209</v>
      </c>
      <c r="F11147" s="23" t="s">
        <v>39</v>
      </c>
      <c r="G11147" s="24">
        <v>45.0</v>
      </c>
      <c r="H11147" s="24">
        <v>42.0</v>
      </c>
      <c r="I11147" s="24">
        <v>159.0</v>
      </c>
      <c r="J11147" s="24">
        <v>0.0</v>
      </c>
      <c r="K11147" s="23" t="s">
        <v>34</v>
      </c>
      <c r="L11147" s="25">
        <v>41330.76605324074</v>
      </c>
      <c r="M11147" s="28"/>
      <c r="N11147" s="26" t="s">
        <v>23484</v>
      </c>
      <c r="O11147" s="22" t="str">
        <f>HYPERLINK("https://pbs.twimg.com/profile_images/720649625456275456/6NxDWVt6_normal.jpg","View")</f>
        <v>View</v>
      </c>
      <c r="P11147" s="27"/>
    </row>
    <row r="11148">
      <c r="A11148" s="14">
        <v>43032.60939814815</v>
      </c>
      <c r="B11148" s="20" t="str">
        <f>HYPERLINK("https://twitter.com/nakada720","@nakada720")</f>
        <v>@nakada720</v>
      </c>
      <c r="C11148" s="21" t="s">
        <v>23485</v>
      </c>
      <c r="D11148" s="21" t="s">
        <v>23486</v>
      </c>
      <c r="E11148" s="22" t="str">
        <f>HYPERLINK("https://twitter.com/nakada720/status/922940145837359105","922940145837359105")</f>
        <v>922940145837359105</v>
      </c>
      <c r="F11148" s="23" t="s">
        <v>55</v>
      </c>
      <c r="G11148" s="24">
        <v>1110.0</v>
      </c>
      <c r="H11148" s="24">
        <v>1745.0</v>
      </c>
      <c r="I11148" s="24">
        <v>0.0</v>
      </c>
      <c r="J11148" s="24">
        <v>1.0</v>
      </c>
      <c r="K11148" s="23" t="s">
        <v>34</v>
      </c>
      <c r="L11148" s="25">
        <v>42239.93326388889</v>
      </c>
      <c r="M11148" s="28"/>
      <c r="N11148" s="26" t="s">
        <v>23487</v>
      </c>
      <c r="O11148" s="22" t="str">
        <f>HYPERLINK("https://pbs.twimg.com/profile_images/637946995533942785/TGH2thJe_normal.jpg","View")</f>
        <v>View</v>
      </c>
      <c r="P11148" s="27"/>
    </row>
    <row r="11149">
      <c r="A11149" s="14">
        <v>43032.6111574074</v>
      </c>
      <c r="B11149" s="20" t="str">
        <f>HYPERLINK("https://twitter.com/uncl3sean","@uncl3sean")</f>
        <v>@uncl3sean</v>
      </c>
      <c r="C11149" s="21" t="s">
        <v>23488</v>
      </c>
      <c r="D11149" s="21" t="s">
        <v>32</v>
      </c>
      <c r="E11149" s="22" t="str">
        <f>HYPERLINK("https://twitter.com/uncl3sean/status/922940781496754178","922940781496754178")</f>
        <v>922940781496754178</v>
      </c>
      <c r="F11149" s="23" t="s">
        <v>33</v>
      </c>
      <c r="G11149" s="24">
        <v>331.0</v>
      </c>
      <c r="H11149" s="24">
        <v>273.0</v>
      </c>
      <c r="I11149" s="24">
        <v>471.0</v>
      </c>
      <c r="J11149" s="24">
        <v>0.0</v>
      </c>
      <c r="K11149" s="23" t="s">
        <v>34</v>
      </c>
      <c r="L11149" s="25">
        <v>41815.322384259256</v>
      </c>
      <c r="M11149" s="26" t="s">
        <v>23489</v>
      </c>
      <c r="N11149" s="26" t="s">
        <v>23490</v>
      </c>
      <c r="O11149" s="22" t="str">
        <f>HYPERLINK("https://pbs.twimg.com/profile_images/888656262757535744/JN0Tny4A_normal.jpg","View")</f>
        <v>View</v>
      </c>
      <c r="P11149" s="27"/>
    </row>
    <row r="11150">
      <c r="A11150" s="14">
        <v>43032.61175925926</v>
      </c>
      <c r="B11150" s="20" t="str">
        <f>HYPERLINK("https://twitter.com/mutwiri_jediel","@mutwiri_jediel")</f>
        <v>@mutwiri_jediel</v>
      </c>
      <c r="C11150" s="21" t="s">
        <v>23491</v>
      </c>
      <c r="D11150" s="21" t="s">
        <v>32</v>
      </c>
      <c r="E11150" s="22" t="str">
        <f>HYPERLINK("https://twitter.com/mutwiri_jediel/status/922940999957016576","922940999957016576")</f>
        <v>922940999957016576</v>
      </c>
      <c r="F11150" s="23" t="s">
        <v>20576</v>
      </c>
      <c r="G11150" s="24">
        <v>632.0</v>
      </c>
      <c r="H11150" s="24">
        <v>1836.0</v>
      </c>
      <c r="I11150" s="24">
        <v>471.0</v>
      </c>
      <c r="J11150" s="24">
        <v>0.0</v>
      </c>
      <c r="K11150" s="23" t="s">
        <v>34</v>
      </c>
      <c r="L11150" s="25">
        <v>41772.536898148144</v>
      </c>
      <c r="M11150" s="26" t="s">
        <v>23492</v>
      </c>
      <c r="N11150" s="26" t="s">
        <v>23493</v>
      </c>
      <c r="O11150" s="22" t="str">
        <f>HYPERLINK("https://pbs.twimg.com/profile_images/910597055927672832/0nszqzil_normal.jpg","View")</f>
        <v>View</v>
      </c>
      <c r="P11150" s="27"/>
    </row>
    <row r="11151">
      <c r="A11151" s="14">
        <v>43032.615266203706</v>
      </c>
      <c r="B11151" s="20" t="str">
        <f>HYPERLINK("https://twitter.com/shashankS3007","@shashankS3007")</f>
        <v>@shashankS3007</v>
      </c>
      <c r="C11151" s="21" t="s">
        <v>23494</v>
      </c>
      <c r="D11151" s="21" t="s">
        <v>22882</v>
      </c>
      <c r="E11151" s="22" t="str">
        <f>HYPERLINK("https://twitter.com/shashankS3007/status/922942270688477184","922942270688477184")</f>
        <v>922942270688477184</v>
      </c>
      <c r="F11151" s="23" t="s">
        <v>33</v>
      </c>
      <c r="G11151" s="24">
        <v>3656.0</v>
      </c>
      <c r="H11151" s="24">
        <v>1302.0</v>
      </c>
      <c r="I11151" s="24">
        <v>33.0</v>
      </c>
      <c r="J11151" s="24">
        <v>0.0</v>
      </c>
      <c r="K11151" s="23" t="s">
        <v>34</v>
      </c>
      <c r="L11151" s="25">
        <v>40075.27862268519</v>
      </c>
      <c r="M11151" s="26" t="s">
        <v>575</v>
      </c>
      <c r="N11151" s="26" t="s">
        <v>23495</v>
      </c>
      <c r="O11151" s="22" t="str">
        <f>HYPERLINK("https://pbs.twimg.com/profile_images/834398620266946562/GWOfHeYg_normal.jpg","View")</f>
        <v>View</v>
      </c>
      <c r="P11151" s="27"/>
    </row>
    <row r="11152">
      <c r="A11152" s="14">
        <v>43032.61690972222</v>
      </c>
      <c r="B11152" s="20" t="str">
        <f>HYPERLINK("https://twitter.com/Cold_Peace_","@Cold_Peace_")</f>
        <v>@Cold_Peace_</v>
      </c>
      <c r="C11152" s="21" t="s">
        <v>23496</v>
      </c>
      <c r="D11152" s="21" t="s">
        <v>23276</v>
      </c>
      <c r="E11152" s="22" t="str">
        <f>HYPERLINK("https://twitter.com/Cold_Peace_/status/922942867479416832","922942867479416832")</f>
        <v>922942867479416832</v>
      </c>
      <c r="F11152" s="23" t="s">
        <v>55</v>
      </c>
      <c r="G11152" s="24">
        <v>5079.0</v>
      </c>
      <c r="H11152" s="24">
        <v>848.0</v>
      </c>
      <c r="I11152" s="24">
        <v>7.0</v>
      </c>
      <c r="J11152" s="24">
        <v>0.0</v>
      </c>
      <c r="K11152" s="23" t="s">
        <v>34</v>
      </c>
      <c r="L11152" s="25">
        <v>40658.36311342593</v>
      </c>
      <c r="M11152" s="26" t="s">
        <v>4239</v>
      </c>
      <c r="N11152" s="26" t="s">
        <v>23497</v>
      </c>
      <c r="O11152" s="22" t="str">
        <f>HYPERLINK("https://pbs.twimg.com/profile_images/751891637526200320/vW-6nYaZ_normal.jpg","View")</f>
        <v>View</v>
      </c>
      <c r="P11152" s="27"/>
    </row>
    <row r="11153">
      <c r="A11153" s="14">
        <v>43032.61756944444</v>
      </c>
      <c r="B11153" s="20" t="str">
        <f>HYPERLINK("https://twitter.com/IRTSToby","@IRTSToby")</f>
        <v>@IRTSToby</v>
      </c>
      <c r="C11153" s="21" t="s">
        <v>23498</v>
      </c>
      <c r="D11153" s="21" t="s">
        <v>22629</v>
      </c>
      <c r="E11153" s="22" t="str">
        <f>HYPERLINK("https://twitter.com/IRTSToby/status/922943105770442753","922943105770442753")</f>
        <v>922943105770442753</v>
      </c>
      <c r="F11153" s="23" t="s">
        <v>33</v>
      </c>
      <c r="G11153" s="24">
        <v>607.0</v>
      </c>
      <c r="H11153" s="24">
        <v>3033.0</v>
      </c>
      <c r="I11153" s="24">
        <v>14.0</v>
      </c>
      <c r="J11153" s="24">
        <v>0.0</v>
      </c>
      <c r="K11153" s="23" t="s">
        <v>34</v>
      </c>
      <c r="L11153" s="25">
        <v>41088.037314814814</v>
      </c>
      <c r="M11153" s="26" t="s">
        <v>23499</v>
      </c>
      <c r="N11153" s="26" t="s">
        <v>23500</v>
      </c>
      <c r="O11153" s="22" t="str">
        <f>HYPERLINK("https://pbs.twimg.com/profile_images/922554243772493824/VzUkHMP0_normal.jpg","View")</f>
        <v>View</v>
      </c>
      <c r="P11153" s="27"/>
    </row>
    <row r="11154">
      <c r="A11154" s="14">
        <v>43032.617743055554</v>
      </c>
      <c r="B11154" s="20" t="str">
        <f>HYPERLINK("https://twitter.com/Aparna_Pande","@Aparna_Pande")</f>
        <v>@Aparna_Pande</v>
      </c>
      <c r="C11154" s="21" t="s">
        <v>23501</v>
      </c>
      <c r="D11154" s="21" t="s">
        <v>23276</v>
      </c>
      <c r="E11154" s="22" t="str">
        <f>HYPERLINK("https://twitter.com/Aparna_Pande/status/922943167653142528","922943167653142528")</f>
        <v>922943167653142528</v>
      </c>
      <c r="F11154" s="23" t="s">
        <v>39</v>
      </c>
      <c r="G11154" s="24">
        <v>4422.0</v>
      </c>
      <c r="H11154" s="24">
        <v>576.0</v>
      </c>
      <c r="I11154" s="24">
        <v>7.0</v>
      </c>
      <c r="J11154" s="24">
        <v>0.0</v>
      </c>
      <c r="K11154" s="23" t="s">
        <v>34</v>
      </c>
      <c r="L11154" s="25">
        <v>39985.32393518518</v>
      </c>
      <c r="M11154" s="26" t="s">
        <v>4239</v>
      </c>
      <c r="N11154" s="26" t="s">
        <v>23502</v>
      </c>
      <c r="O11154" s="22" t="str">
        <f>HYPERLINK("https://pbs.twimg.com/profile_images/758486278249644032/0_xeeIWj_normal.jpg","View")</f>
        <v>View</v>
      </c>
      <c r="P11154" s="27"/>
    </row>
    <row r="11155">
      <c r="A11155" s="14">
        <v>43032.61859953703</v>
      </c>
      <c r="B11155" s="20" t="str">
        <f>HYPERLINK("https://twitter.com/StreitCouncil","@StreitCouncil")</f>
        <v>@StreitCouncil</v>
      </c>
      <c r="C11155" s="21" t="s">
        <v>23503</v>
      </c>
      <c r="D11155" s="21" t="s">
        <v>6198</v>
      </c>
      <c r="E11155" s="22" t="str">
        <f>HYPERLINK("https://twitter.com/StreitCouncil/status/922943477889019904","922943477889019904")</f>
        <v>922943477889019904</v>
      </c>
      <c r="F11155" s="23" t="s">
        <v>55</v>
      </c>
      <c r="G11155" s="24">
        <v>727.0</v>
      </c>
      <c r="H11155" s="24">
        <v>297.0</v>
      </c>
      <c r="I11155" s="24">
        <v>3.0</v>
      </c>
      <c r="J11155" s="24">
        <v>0.0</v>
      </c>
      <c r="K11155" s="23" t="s">
        <v>34</v>
      </c>
      <c r="L11155" s="25">
        <v>40077.44085648148</v>
      </c>
      <c r="M11155" s="26" t="s">
        <v>16324</v>
      </c>
      <c r="N11155" s="26" t="s">
        <v>23504</v>
      </c>
      <c r="O11155" s="22" t="str">
        <f>HYPERLINK("https://pbs.twimg.com/profile_images/893577939702484992/hM1uazFt_normal.jpg","View")</f>
        <v>View</v>
      </c>
      <c r="P11155" s="27"/>
    </row>
    <row r="11156">
      <c r="A11156" s="14">
        <v>43032.62314814815</v>
      </c>
      <c r="B11156" s="20" t="str">
        <f t="shared" ref="B11156:B11159" si="281">HYPERLINK("https://twitter.com/libertad717","@libertad717")</f>
        <v>@libertad717</v>
      </c>
      <c r="C11156" s="21" t="s">
        <v>1228</v>
      </c>
      <c r="D11156" s="21" t="s">
        <v>19906</v>
      </c>
      <c r="E11156" s="22" t="str">
        <f>HYPERLINK("https://twitter.com/libertad717/status/922945128540573696","922945128540573696")</f>
        <v>922945128540573696</v>
      </c>
      <c r="F11156" s="23" t="s">
        <v>33</v>
      </c>
      <c r="G11156" s="24">
        <v>1043.0</v>
      </c>
      <c r="H11156" s="24">
        <v>1058.0</v>
      </c>
      <c r="I11156" s="24">
        <v>7.0</v>
      </c>
      <c r="J11156" s="24">
        <v>0.0</v>
      </c>
      <c r="K11156" s="23" t="s">
        <v>34</v>
      </c>
      <c r="L11156" s="25">
        <v>40681.701203703706</v>
      </c>
      <c r="M11156" s="28"/>
      <c r="N11156" s="28"/>
      <c r="O11156" s="22" t="str">
        <f t="shared" ref="O11156:O11159" si="282">HYPERLINK("https://pbs.twimg.com/profile_images/378800000709612949/cfd1435ac2c89df971f95fff2d2610a6_normal.jpeg","View")</f>
        <v>View</v>
      </c>
      <c r="P11156" s="27"/>
    </row>
    <row r="11157">
      <c r="A11157" s="14">
        <v>43032.62349537037</v>
      </c>
      <c r="B11157" s="20" t="str">
        <f t="shared" si="281"/>
        <v>@libertad717</v>
      </c>
      <c r="C11157" s="21" t="s">
        <v>1228</v>
      </c>
      <c r="D11157" s="21" t="s">
        <v>23326</v>
      </c>
      <c r="E11157" s="22" t="str">
        <f>HYPERLINK("https://twitter.com/libertad717/status/922945251706376198","922945251706376198")</f>
        <v>922945251706376198</v>
      </c>
      <c r="F11157" s="23" t="s">
        <v>33</v>
      </c>
      <c r="G11157" s="24">
        <v>1043.0</v>
      </c>
      <c r="H11157" s="24">
        <v>1058.0</v>
      </c>
      <c r="I11157" s="24">
        <v>6.0</v>
      </c>
      <c r="J11157" s="24">
        <v>0.0</v>
      </c>
      <c r="K11157" s="23" t="s">
        <v>34</v>
      </c>
      <c r="L11157" s="25">
        <v>40681.701203703706</v>
      </c>
      <c r="M11157" s="28"/>
      <c r="N11157" s="28"/>
      <c r="O11157" s="22" t="str">
        <f t="shared" si="282"/>
        <v>View</v>
      </c>
      <c r="P11157" s="27"/>
    </row>
    <row r="11158">
      <c r="A11158" s="14">
        <v>43032.623923611114</v>
      </c>
      <c r="B11158" s="20" t="str">
        <f t="shared" si="281"/>
        <v>@libertad717</v>
      </c>
      <c r="C11158" s="21" t="s">
        <v>1228</v>
      </c>
      <c r="D11158" s="21" t="s">
        <v>22404</v>
      </c>
      <c r="E11158" s="22" t="str">
        <f>HYPERLINK("https://twitter.com/libertad717/status/922945408548077568","922945408548077568")</f>
        <v>922945408548077568</v>
      </c>
      <c r="F11158" s="23" t="s">
        <v>33</v>
      </c>
      <c r="G11158" s="24">
        <v>1043.0</v>
      </c>
      <c r="H11158" s="24">
        <v>1058.0</v>
      </c>
      <c r="I11158" s="24">
        <v>14.0</v>
      </c>
      <c r="J11158" s="24">
        <v>0.0</v>
      </c>
      <c r="K11158" s="23" t="s">
        <v>34</v>
      </c>
      <c r="L11158" s="25">
        <v>40681.701203703706</v>
      </c>
      <c r="M11158" s="28"/>
      <c r="N11158" s="28"/>
      <c r="O11158" s="22" t="str">
        <f t="shared" si="282"/>
        <v>View</v>
      </c>
      <c r="P11158" s="27"/>
    </row>
    <row r="11159">
      <c r="A11159" s="14">
        <v>43032.624074074076</v>
      </c>
      <c r="B11159" s="20" t="str">
        <f t="shared" si="281"/>
        <v>@libertad717</v>
      </c>
      <c r="C11159" s="21" t="s">
        <v>1228</v>
      </c>
      <c r="D11159" s="21" t="s">
        <v>18761</v>
      </c>
      <c r="E11159" s="22" t="str">
        <f>HYPERLINK("https://twitter.com/libertad717/status/922945464630239233","922945464630239233")</f>
        <v>922945464630239233</v>
      </c>
      <c r="F11159" s="23" t="s">
        <v>33</v>
      </c>
      <c r="G11159" s="24">
        <v>1043.0</v>
      </c>
      <c r="H11159" s="24">
        <v>1058.0</v>
      </c>
      <c r="I11159" s="24">
        <v>11.0</v>
      </c>
      <c r="J11159" s="24">
        <v>0.0</v>
      </c>
      <c r="K11159" s="23" t="s">
        <v>34</v>
      </c>
      <c r="L11159" s="25">
        <v>40681.701203703706</v>
      </c>
      <c r="M11159" s="28"/>
      <c r="N11159" s="28"/>
      <c r="O11159" s="22" t="str">
        <f t="shared" si="282"/>
        <v>View</v>
      </c>
      <c r="P11159" s="27"/>
    </row>
    <row r="11160">
      <c r="A11160" s="14">
        <v>43032.627118055556</v>
      </c>
      <c r="B11160" s="20" t="str">
        <f>HYPERLINK("https://twitter.com/BindasBK","@BindasBK")</f>
        <v>@BindasBK</v>
      </c>
      <c r="C11160" s="21" t="s">
        <v>23505</v>
      </c>
      <c r="D11160" s="21" t="s">
        <v>42</v>
      </c>
      <c r="E11160" s="22" t="str">
        <f>HYPERLINK("https://twitter.com/BindasBK/status/922946567396401152","922946567396401152")</f>
        <v>922946567396401152</v>
      </c>
      <c r="F11160" s="23" t="s">
        <v>39</v>
      </c>
      <c r="G11160" s="24">
        <v>262.0</v>
      </c>
      <c r="H11160" s="24">
        <v>101.0</v>
      </c>
      <c r="I11160" s="24">
        <v>8501.0</v>
      </c>
      <c r="J11160" s="24">
        <v>0.0</v>
      </c>
      <c r="K11160" s="23" t="s">
        <v>34</v>
      </c>
      <c r="L11160" s="25">
        <v>41795.33819444444</v>
      </c>
      <c r="M11160" s="28"/>
      <c r="N11160" s="28"/>
      <c r="O11160" s="22" t="str">
        <f>HYPERLINK("https://pbs.twimg.com/profile_images/822847994445893636/HHbuGWnx_normal.jpg","View")</f>
        <v>View</v>
      </c>
      <c r="P11160" s="27"/>
    </row>
    <row r="11161">
      <c r="A11161" s="14">
        <v>43032.629328703704</v>
      </c>
      <c r="B11161" s="20" t="str">
        <f>HYPERLINK("https://twitter.com/OccuWorld","@OccuWorld")</f>
        <v>@OccuWorld</v>
      </c>
      <c r="C11161" s="21" t="s">
        <v>929</v>
      </c>
      <c r="D11161" s="21" t="s">
        <v>23506</v>
      </c>
      <c r="E11161" s="22" t="str">
        <f>HYPERLINK("https://twitter.com/OccuWorld/status/922947367241781248","922947367241781248")</f>
        <v>922947367241781248</v>
      </c>
      <c r="F11161" s="23" t="s">
        <v>931</v>
      </c>
      <c r="G11161" s="24">
        <v>7744.0</v>
      </c>
      <c r="H11161" s="24">
        <v>981.0</v>
      </c>
      <c r="I11161" s="24">
        <v>0.0</v>
      </c>
      <c r="J11161" s="24">
        <v>0.0</v>
      </c>
      <c r="K11161" s="23" t="s">
        <v>34</v>
      </c>
      <c r="L11161" s="25">
        <v>41319.360625</v>
      </c>
      <c r="M11161" s="26" t="s">
        <v>92</v>
      </c>
      <c r="N11161" s="26" t="s">
        <v>932</v>
      </c>
      <c r="O11161" s="22" t="str">
        <f>HYPERLINK("https://pbs.twimg.com/profile_images/563724232287211520/sEoE-N6j_normal.jpeg","View")</f>
        <v>View</v>
      </c>
      <c r="P11161" s="27"/>
    </row>
    <row r="11162">
      <c r="A11162" s="14">
        <v>43032.629375000004</v>
      </c>
      <c r="B11162" s="20" t="str">
        <f>HYPERLINK("https://twitter.com/ggnewsus","@ggnewsus")</f>
        <v>@ggnewsus</v>
      </c>
      <c r="C11162" s="21" t="s">
        <v>13409</v>
      </c>
      <c r="D11162" s="21" t="s">
        <v>13410</v>
      </c>
      <c r="E11162" s="22" t="str">
        <f>HYPERLINK("https://twitter.com/ggnewsus/status/922947382777647104","922947382777647104")</f>
        <v>922947382777647104</v>
      </c>
      <c r="F11162" s="23" t="s">
        <v>187</v>
      </c>
      <c r="G11162" s="24">
        <v>862.0</v>
      </c>
      <c r="H11162" s="24">
        <v>143.0</v>
      </c>
      <c r="I11162" s="24">
        <v>0.0</v>
      </c>
      <c r="J11162" s="24">
        <v>0.0</v>
      </c>
      <c r="K11162" s="23" t="s">
        <v>34</v>
      </c>
      <c r="L11162" s="25">
        <v>41679.77077546297</v>
      </c>
      <c r="M11162" s="26" t="s">
        <v>13411</v>
      </c>
      <c r="N11162" s="26" t="s">
        <v>874</v>
      </c>
      <c r="O11162" s="22" t="str">
        <f>HYPERLINK("https://pbs.twimg.com/profile_images/432706003285450752/IHK6C475_normal.png","View")</f>
        <v>View</v>
      </c>
      <c r="P11162" s="27"/>
    </row>
    <row r="11163">
      <c r="A11163" s="14">
        <v>43032.630000000005</v>
      </c>
      <c r="B11163" s="20" t="str">
        <f>HYPERLINK("https://twitter.com/Ecroaker","@Ecroaker")</f>
        <v>@Ecroaker</v>
      </c>
      <c r="C11163" s="21" t="s">
        <v>23507</v>
      </c>
      <c r="D11163" s="21" t="s">
        <v>23508</v>
      </c>
      <c r="E11163" s="22" t="str">
        <f>HYPERLINK("https://twitter.com/Ecroaker/status/922947608397697029","922947608397697029")</f>
        <v>922947608397697029</v>
      </c>
      <c r="F11163" s="23" t="s">
        <v>23509</v>
      </c>
      <c r="G11163" s="24">
        <v>2745.0</v>
      </c>
      <c r="H11163" s="24">
        <v>1501.0</v>
      </c>
      <c r="I11163" s="24">
        <v>0.0</v>
      </c>
      <c r="J11163" s="24">
        <v>0.0</v>
      </c>
      <c r="K11163" s="23" t="s">
        <v>34</v>
      </c>
      <c r="L11163" s="25">
        <v>41356.51181712963</v>
      </c>
      <c r="M11163" s="35" t="s">
        <v>23510</v>
      </c>
      <c r="N11163" s="26" t="s">
        <v>23511</v>
      </c>
      <c r="O11163" s="22" t="str">
        <f>HYPERLINK("https://pbs.twimg.com/profile_images/468221569722884096/qceh4Ta-_normal.jpeg","View")</f>
        <v>View</v>
      </c>
      <c r="P11163" s="27"/>
    </row>
    <row r="11164">
      <c r="A11164" s="14">
        <v>43032.63005787037</v>
      </c>
      <c r="B11164" s="20" t="str">
        <f>HYPERLINK("https://twitter.com/breaking_news_4","@breaking_news_4")</f>
        <v>@breaking_news_4</v>
      </c>
      <c r="C11164" s="21" t="s">
        <v>5830</v>
      </c>
      <c r="D11164" s="21" t="s">
        <v>18728</v>
      </c>
      <c r="E11164" s="22" t="str">
        <f>HYPERLINK("https://twitter.com/breaking_news_4/status/922947631281778688","922947631281778688")</f>
        <v>922947631281778688</v>
      </c>
      <c r="F11164" s="23" t="s">
        <v>187</v>
      </c>
      <c r="G11164" s="24">
        <v>1564.0</v>
      </c>
      <c r="H11164" s="24">
        <v>168.0</v>
      </c>
      <c r="I11164" s="24">
        <v>0.0</v>
      </c>
      <c r="J11164" s="24">
        <v>0.0</v>
      </c>
      <c r="K11164" s="23" t="s">
        <v>34</v>
      </c>
      <c r="L11164" s="25">
        <v>41323.59861111111</v>
      </c>
      <c r="M11164" s="28"/>
      <c r="N11164" s="28"/>
      <c r="O11164" s="22" t="str">
        <f>HYPERLINK("https://pbs.twimg.com/profile_images/3506234829/a38e573d69ee71fcc25830b97d00c179_normal.png","View")</f>
        <v>View</v>
      </c>
      <c r="P11164" s="27"/>
    </row>
    <row r="11165">
      <c r="A11165" s="14">
        <v>43032.6306712963</v>
      </c>
      <c r="B11165" s="20" t="str">
        <f>HYPERLINK("https://twitter.com/krunox123","@krunox123")</f>
        <v>@krunox123</v>
      </c>
      <c r="C11165" s="21" t="s">
        <v>1750</v>
      </c>
      <c r="D11165" s="21" t="s">
        <v>18739</v>
      </c>
      <c r="E11165" s="22" t="str">
        <f>HYPERLINK("https://twitter.com/krunox123/status/922947854544588800","922947854544588800")</f>
        <v>922947854544588800</v>
      </c>
      <c r="F11165" s="23" t="s">
        <v>187</v>
      </c>
      <c r="G11165" s="24">
        <v>10220.0</v>
      </c>
      <c r="H11165" s="24">
        <v>2.0</v>
      </c>
      <c r="I11165" s="24">
        <v>0.0</v>
      </c>
      <c r="J11165" s="24">
        <v>0.0</v>
      </c>
      <c r="K11165" s="23" t="s">
        <v>34</v>
      </c>
      <c r="L11165" s="25">
        <v>40938.22789351852</v>
      </c>
      <c r="M11165" s="26" t="s">
        <v>1752</v>
      </c>
      <c r="N11165" s="26" t="s">
        <v>1753</v>
      </c>
      <c r="O11165" s="22" t="str">
        <f>HYPERLINK("https://pbs.twimg.com/profile_images/824952382618349568/2SFIkM2x_normal.jpg","View")</f>
        <v>View</v>
      </c>
      <c r="P11165" s="27"/>
    </row>
    <row r="11166">
      <c r="A11166" s="14">
        <v>43032.631793981476</v>
      </c>
      <c r="B11166" s="20" t="str">
        <f>HYPERLINK("https://twitter.com/haltemani_","@haltemani_")</f>
        <v>@haltemani_</v>
      </c>
      <c r="C11166" s="21" t="s">
        <v>17940</v>
      </c>
      <c r="D11166" s="21" t="s">
        <v>23512</v>
      </c>
      <c r="E11166" s="22" t="str">
        <f>HYPERLINK("https://twitter.com/haltemani_/status/922948260825845761","922948260825845761")</f>
        <v>922948260825845761</v>
      </c>
      <c r="F11166" s="23" t="s">
        <v>55</v>
      </c>
      <c r="G11166" s="24">
        <v>54.0</v>
      </c>
      <c r="H11166" s="24">
        <v>44.0</v>
      </c>
      <c r="I11166" s="24">
        <v>0.0</v>
      </c>
      <c r="J11166" s="24">
        <v>0.0</v>
      </c>
      <c r="K11166" s="23" t="s">
        <v>34</v>
      </c>
      <c r="L11166" s="25">
        <v>42913.44458333333</v>
      </c>
      <c r="M11166" s="26" t="s">
        <v>1124</v>
      </c>
      <c r="N11166" s="26" t="s">
        <v>17942</v>
      </c>
      <c r="O11166" s="22" t="str">
        <f>HYPERLINK("https://pbs.twimg.com/profile_images/898130709570867200/VKkB6Ugf_normal.jpg","View")</f>
        <v>View</v>
      </c>
      <c r="P11166" s="27"/>
    </row>
    <row r="11167">
      <c r="A11167" s="14">
        <v>43032.63209490741</v>
      </c>
      <c r="B11167" s="20" t="str">
        <f>HYPERLINK("https://twitter.com/TheMediaIgnores","@TheMediaIgnores")</f>
        <v>@TheMediaIgnores</v>
      </c>
      <c r="C11167" s="21" t="s">
        <v>1369</v>
      </c>
      <c r="D11167" s="21" t="s">
        <v>23513</v>
      </c>
      <c r="E11167" s="22" t="str">
        <f>HYPERLINK("https://twitter.com/TheMediaIgnores/status/922948369919684609","922948369919684609")</f>
        <v>922948369919684609</v>
      </c>
      <c r="F11167" s="23" t="s">
        <v>187</v>
      </c>
      <c r="G11167" s="24">
        <v>4167.0</v>
      </c>
      <c r="H11167" s="24">
        <v>3931.0</v>
      </c>
      <c r="I11167" s="24">
        <v>0.0</v>
      </c>
      <c r="J11167" s="24">
        <v>0.0</v>
      </c>
      <c r="K11167" s="23" t="s">
        <v>34</v>
      </c>
      <c r="L11167" s="25">
        <v>39989.104375</v>
      </c>
      <c r="M11167" s="28"/>
      <c r="N11167" s="28"/>
      <c r="O11167" s="22" t="str">
        <f>HYPERLINK("https://pbs.twimg.com/profile_images/580918345215688704/RY-H6QSt_normal.jpg","View")</f>
        <v>View</v>
      </c>
      <c r="P11167" s="27"/>
    </row>
    <row r="11168">
      <c r="A11168" s="14">
        <v>43032.63302083334</v>
      </c>
      <c r="B11168" s="20" t="str">
        <f>HYPERLINK("https://twitter.com/libertad717","@libertad717")</f>
        <v>@libertad717</v>
      </c>
      <c r="C11168" s="21" t="s">
        <v>1228</v>
      </c>
      <c r="D11168" s="21" t="s">
        <v>22629</v>
      </c>
      <c r="E11168" s="22" t="str">
        <f>HYPERLINK("https://twitter.com/libertad717/status/922948704314773504","922948704314773504")</f>
        <v>922948704314773504</v>
      </c>
      <c r="F11168" s="23" t="s">
        <v>33</v>
      </c>
      <c r="G11168" s="24">
        <v>1043.0</v>
      </c>
      <c r="H11168" s="24">
        <v>1058.0</v>
      </c>
      <c r="I11168" s="24">
        <v>14.0</v>
      </c>
      <c r="J11168" s="24">
        <v>0.0</v>
      </c>
      <c r="K11168" s="23" t="s">
        <v>34</v>
      </c>
      <c r="L11168" s="25">
        <v>40681.701203703706</v>
      </c>
      <c r="M11168" s="28"/>
      <c r="N11168" s="28"/>
      <c r="O11168" s="22" t="str">
        <f>HYPERLINK("https://pbs.twimg.com/profile_images/378800000709612949/cfd1435ac2c89df971f95fff2d2610a6_normal.jpeg","View")</f>
        <v>View</v>
      </c>
      <c r="P11168" s="27"/>
    </row>
    <row r="11169">
      <c r="A11169" s="14">
        <v>43032.63329861111</v>
      </c>
      <c r="B11169" s="20" t="str">
        <f>HYPERLINK("https://twitter.com/Planning203","@Planning203")</f>
        <v>@Planning203</v>
      </c>
      <c r="C11169" s="21" t="s">
        <v>4984</v>
      </c>
      <c r="D11169" s="21" t="s">
        <v>23326</v>
      </c>
      <c r="E11169" s="22" t="str">
        <f>HYPERLINK("https://twitter.com/Planning203/status/922948804936007681","922948804936007681")</f>
        <v>922948804936007681</v>
      </c>
      <c r="F11169" s="23" t="s">
        <v>33</v>
      </c>
      <c r="G11169" s="24">
        <v>92.0</v>
      </c>
      <c r="H11169" s="24">
        <v>654.0</v>
      </c>
      <c r="I11169" s="24">
        <v>6.0</v>
      </c>
      <c r="J11169" s="24">
        <v>0.0</v>
      </c>
      <c r="K11169" s="23" t="s">
        <v>34</v>
      </c>
      <c r="L11169" s="25">
        <v>40886.86152777778</v>
      </c>
      <c r="M11169" s="28"/>
      <c r="N11169" s="28"/>
      <c r="O11169" s="22" t="str">
        <f>HYPERLINK("https://pbs.twimg.com/profile_images/1684745456/photo_normal","View")</f>
        <v>View</v>
      </c>
      <c r="P11169" s="27"/>
    </row>
    <row r="11170">
      <c r="A11170" s="14">
        <v>43032.638761574075</v>
      </c>
      <c r="B11170" s="20" t="str">
        <f>HYPERLINK("https://twitter.com/WashingtonKim","@WashingtonKim")</f>
        <v>@WashingtonKim</v>
      </c>
      <c r="C11170" s="21" t="s">
        <v>23514</v>
      </c>
      <c r="D11170" s="21" t="s">
        <v>18983</v>
      </c>
      <c r="E11170" s="22" t="str">
        <f>HYPERLINK("https://twitter.com/WashingtonKim/status/922950784609857538","922950784609857538")</f>
        <v>922950784609857538</v>
      </c>
      <c r="F11170" s="23" t="s">
        <v>33</v>
      </c>
      <c r="G11170" s="24">
        <v>327.0</v>
      </c>
      <c r="H11170" s="24">
        <v>1621.0</v>
      </c>
      <c r="I11170" s="24">
        <v>7.0</v>
      </c>
      <c r="J11170" s="24">
        <v>0.0</v>
      </c>
      <c r="K11170" s="23" t="s">
        <v>34</v>
      </c>
      <c r="L11170" s="25">
        <v>40084.539675925924</v>
      </c>
      <c r="M11170" s="26" t="s">
        <v>23515</v>
      </c>
      <c r="N11170" s="26" t="s">
        <v>23516</v>
      </c>
      <c r="O11170" s="22" t="str">
        <f>HYPERLINK("https://pbs.twimg.com/profile_images/918615971308490752/M9ZUAYgd_normal.jpg","View")</f>
        <v>View</v>
      </c>
      <c r="P11170" s="27"/>
    </row>
    <row r="11171">
      <c r="A11171" s="14">
        <v>43032.63952546296</v>
      </c>
      <c r="B11171" s="20" t="str">
        <f>HYPERLINK("https://twitter.com/Pewsitter","@Pewsitter")</f>
        <v>@Pewsitter</v>
      </c>
      <c r="C11171" s="21" t="s">
        <v>23517</v>
      </c>
      <c r="D11171" s="21" t="s">
        <v>23518</v>
      </c>
      <c r="E11171" s="22" t="str">
        <f>HYPERLINK("https://twitter.com/Pewsitter/status/922951061085626369","922951061085626369")</f>
        <v>922951061085626369</v>
      </c>
      <c r="F11171" s="23" t="s">
        <v>23519</v>
      </c>
      <c r="G11171" s="24">
        <v>2449.0</v>
      </c>
      <c r="H11171" s="24">
        <v>515.0</v>
      </c>
      <c r="I11171" s="24">
        <v>0.0</v>
      </c>
      <c r="J11171" s="24">
        <v>0.0</v>
      </c>
      <c r="K11171" s="23" t="s">
        <v>34</v>
      </c>
      <c r="L11171" s="25">
        <v>39906.53697916667</v>
      </c>
      <c r="M11171" s="26" t="s">
        <v>7465</v>
      </c>
      <c r="N11171" s="26" t="s">
        <v>23520</v>
      </c>
      <c r="O11171" s="22" t="str">
        <f>HYPERLINK("https://pbs.twimg.com/profile_images/120336292/StPeters-small_normal.jpg","View")</f>
        <v>View</v>
      </c>
      <c r="P11171" s="27"/>
    </row>
    <row r="11172">
      <c r="A11172" s="14">
        <v>43032.639606481476</v>
      </c>
      <c r="B11172" s="20" t="str">
        <f>HYPERLINK("https://twitter.com/WSJ","@WSJ")</f>
        <v>@WSJ</v>
      </c>
      <c r="C11172" s="21" t="s">
        <v>2532</v>
      </c>
      <c r="D11172" s="21" t="s">
        <v>23521</v>
      </c>
      <c r="E11172" s="22" t="str">
        <f>HYPERLINK("https://twitter.com/WSJ/status/922951090139750405","922951090139750405")</f>
        <v>922951090139750405</v>
      </c>
      <c r="F11172" s="23" t="s">
        <v>1103</v>
      </c>
      <c r="G11172" s="24">
        <v>1.5019577E7</v>
      </c>
      <c r="H11172" s="24">
        <v>1091.0</v>
      </c>
      <c r="I11172" s="24">
        <v>41.0</v>
      </c>
      <c r="J11172" s="24">
        <v>68.0</v>
      </c>
      <c r="K11172" s="23" t="s">
        <v>34</v>
      </c>
      <c r="L11172" s="25">
        <v>39172.973761574074</v>
      </c>
      <c r="M11172" s="26" t="s">
        <v>2534</v>
      </c>
      <c r="N11172" s="26" t="s">
        <v>2535</v>
      </c>
      <c r="O11172" s="22" t="str">
        <f>HYPERLINK("https://pbs.twimg.com/profile_images/685113343204585473/jV72Zljq_normal.jpg","View")</f>
        <v>View</v>
      </c>
      <c r="P11172" s="27"/>
    </row>
    <row r="11173">
      <c r="A11173" s="14">
        <v>43032.63984953704</v>
      </c>
      <c r="B11173" s="20" t="str">
        <f>HYPERLINK("https://twitter.com/SocialLifeMiami","@SocialLifeMiami")</f>
        <v>@SocialLifeMiami</v>
      </c>
      <c r="C11173" s="21" t="s">
        <v>1981</v>
      </c>
      <c r="D11173" s="21" t="s">
        <v>23522</v>
      </c>
      <c r="E11173" s="22" t="str">
        <f>HYPERLINK("https://twitter.com/SocialLifeMiami/status/922951180371877888","922951180371877888")</f>
        <v>922951180371877888</v>
      </c>
      <c r="F11173" s="23" t="s">
        <v>187</v>
      </c>
      <c r="G11173" s="24">
        <v>560.0</v>
      </c>
      <c r="H11173" s="24">
        <v>792.0</v>
      </c>
      <c r="I11173" s="24">
        <v>0.0</v>
      </c>
      <c r="J11173" s="24">
        <v>0.0</v>
      </c>
      <c r="K11173" s="23" t="s">
        <v>34</v>
      </c>
      <c r="L11173" s="25">
        <v>42603.67471064815</v>
      </c>
      <c r="M11173" s="26" t="s">
        <v>1983</v>
      </c>
      <c r="N11173" s="26" t="s">
        <v>1564</v>
      </c>
      <c r="O11173" s="22" t="str">
        <f>HYPERLINK("https://pbs.twimg.com/profile_images/767547452878647296/oD-Hg_jO_normal.jpg","View")</f>
        <v>View</v>
      </c>
      <c r="P11173" s="27"/>
    </row>
    <row r="11174">
      <c r="A11174" s="14">
        <v>43032.63984953704</v>
      </c>
      <c r="B11174" s="20" t="str">
        <f>HYPERLINK("https://twitter.com/NarrendraM","@NarrendraM")</f>
        <v>@NarrendraM</v>
      </c>
      <c r="C11174" s="21" t="s">
        <v>2654</v>
      </c>
      <c r="D11174" s="21" t="s">
        <v>23523</v>
      </c>
      <c r="E11174" s="22" t="str">
        <f>HYPERLINK("https://twitter.com/NarrendraM/status/922951181512642560","922951181512642560")</f>
        <v>922951181512642560</v>
      </c>
      <c r="F11174" s="23" t="s">
        <v>187</v>
      </c>
      <c r="G11174" s="24">
        <v>2003.0</v>
      </c>
      <c r="H11174" s="24">
        <v>252.0</v>
      </c>
      <c r="I11174" s="24">
        <v>0.0</v>
      </c>
      <c r="J11174" s="24">
        <v>0.0</v>
      </c>
      <c r="K11174" s="23" t="s">
        <v>34</v>
      </c>
      <c r="L11174" s="25">
        <v>42471.0737037037</v>
      </c>
      <c r="M11174" s="26" t="s">
        <v>246</v>
      </c>
      <c r="N11174" s="26" t="s">
        <v>2656</v>
      </c>
      <c r="O11174" s="22" t="str">
        <f>HYPERLINK("https://pbs.twimg.com/profile_images/743939643738034176/WkGloI0u_normal.jpg","View")</f>
        <v>View</v>
      </c>
      <c r="P11174" s="27"/>
    </row>
    <row r="11175">
      <c r="A11175" s="14">
        <v>43032.639965277776</v>
      </c>
      <c r="B11175" s="20" t="str">
        <f>HYPERLINK("https://twitter.com/AlorsHe","@AlorsHe")</f>
        <v>@AlorsHe</v>
      </c>
      <c r="C11175" s="21" t="s">
        <v>23524</v>
      </c>
      <c r="D11175" s="21" t="s">
        <v>23525</v>
      </c>
      <c r="E11175" s="22" t="str">
        <f>HYPERLINK("https://twitter.com/AlorsHe/status/922951221589274624","922951221589274624")</f>
        <v>922951221589274624</v>
      </c>
      <c r="F11175" s="23" t="s">
        <v>55</v>
      </c>
      <c r="G11175" s="24">
        <v>78.0</v>
      </c>
      <c r="H11175" s="24">
        <v>259.0</v>
      </c>
      <c r="I11175" s="24">
        <v>41.0</v>
      </c>
      <c r="J11175" s="24">
        <v>0.0</v>
      </c>
      <c r="K11175" s="23" t="s">
        <v>34</v>
      </c>
      <c r="L11175" s="25">
        <v>42958.2434375</v>
      </c>
      <c r="M11175" s="28"/>
      <c r="N11175" s="28"/>
      <c r="O11175" s="22" t="str">
        <f>HYPERLINK("https://pbs.twimg.com/profile_images/916929164619501569/UR6C8B4r_normal.jpg","View")</f>
        <v>View</v>
      </c>
      <c r="P11175" s="27"/>
    </row>
    <row r="11176">
      <c r="A11176" s="14">
        <v>43032.64002314815</v>
      </c>
      <c r="B11176" s="20" t="str">
        <f>HYPERLINK("https://twitter.com/Bullish","@Bullish")</f>
        <v>@Bullish</v>
      </c>
      <c r="C11176" s="21" t="s">
        <v>2943</v>
      </c>
      <c r="D11176" s="21" t="s">
        <v>23526</v>
      </c>
      <c r="E11176" s="22" t="str">
        <f>HYPERLINK("https://twitter.com/Bullish/status/922951241516441602","922951241516441602")</f>
        <v>922951241516441602</v>
      </c>
      <c r="F11176" s="23" t="s">
        <v>187</v>
      </c>
      <c r="G11176" s="24">
        <v>184.0</v>
      </c>
      <c r="H11176" s="24">
        <v>87.0</v>
      </c>
      <c r="I11176" s="24">
        <v>0.0</v>
      </c>
      <c r="J11176" s="24">
        <v>0.0</v>
      </c>
      <c r="K11176" s="23" t="s">
        <v>34</v>
      </c>
      <c r="L11176" s="25">
        <v>42618.75304398148</v>
      </c>
      <c r="M11176" s="28"/>
      <c r="N11176" s="28"/>
      <c r="O11176" s="22" t="str">
        <f>HYPERLINK("https://pbs.twimg.com/profile_images/798692093736599552/UikI9dNE_normal.jpg","View")</f>
        <v>View</v>
      </c>
      <c r="P11176" s="27"/>
    </row>
    <row r="11177">
      <c r="A11177" s="14">
        <v>43032.64002314815</v>
      </c>
      <c r="B11177" s="20" t="str">
        <f>HYPERLINK("https://twitter.com/ChitownNSession","@ChitownNSession")</f>
        <v>@ChitownNSession</v>
      </c>
      <c r="C11177" s="21" t="s">
        <v>23527</v>
      </c>
      <c r="D11177" s="21" t="s">
        <v>23525</v>
      </c>
      <c r="E11177" s="22" t="str">
        <f>HYPERLINK("https://twitter.com/ChitownNSession/status/922951242107768833","922951242107768833")</f>
        <v>922951242107768833</v>
      </c>
      <c r="F11177" s="23" t="s">
        <v>33</v>
      </c>
      <c r="G11177" s="24">
        <v>1084.0</v>
      </c>
      <c r="H11177" s="24">
        <v>786.0</v>
      </c>
      <c r="I11177" s="24">
        <v>41.0</v>
      </c>
      <c r="J11177" s="24">
        <v>0.0</v>
      </c>
      <c r="K11177" s="23" t="s">
        <v>34</v>
      </c>
      <c r="L11177" s="25">
        <v>41279.70738425926</v>
      </c>
      <c r="M11177" s="26" t="s">
        <v>3604</v>
      </c>
      <c r="N11177" s="26" t="s">
        <v>23528</v>
      </c>
      <c r="O11177" s="22" t="str">
        <f>HYPERLINK("https://pbs.twimg.com/profile_images/881328034476953602/pJMT9Z51_normal.jpg","View")</f>
        <v>View</v>
      </c>
      <c r="P11177" s="27"/>
    </row>
    <row r="11178">
      <c r="A11178" s="14">
        <v>43032.64040509259</v>
      </c>
      <c r="B11178" s="20" t="str">
        <f>HYPERLINK("https://twitter.com/livechannelfeed","@livechannelfeed")</f>
        <v>@livechannelfeed</v>
      </c>
      <c r="C11178" s="21" t="s">
        <v>2715</v>
      </c>
      <c r="D11178" s="21" t="s">
        <v>23529</v>
      </c>
      <c r="E11178" s="22" t="str">
        <f>HYPERLINK("https://twitter.com/livechannelfeed/status/922951380922445824","922951380922445824")</f>
        <v>922951380922445824</v>
      </c>
      <c r="F11178" s="23" t="s">
        <v>187</v>
      </c>
      <c r="G11178" s="24">
        <v>3931.0</v>
      </c>
      <c r="H11178" s="24">
        <v>3269.0</v>
      </c>
      <c r="I11178" s="24">
        <v>0.0</v>
      </c>
      <c r="J11178" s="24">
        <v>0.0</v>
      </c>
      <c r="K11178" s="23" t="s">
        <v>34</v>
      </c>
      <c r="L11178" s="25">
        <v>42710.84563657407</v>
      </c>
      <c r="M11178" s="26" t="s">
        <v>1250</v>
      </c>
      <c r="N11178" s="26" t="s">
        <v>2717</v>
      </c>
      <c r="O11178" s="22" t="str">
        <f>HYPERLINK("https://pbs.twimg.com/profile_images/806606820504731649/rCR1WeBs_normal.jpg","View")</f>
        <v>View</v>
      </c>
      <c r="P11178" s="27"/>
    </row>
    <row r="11179">
      <c r="A11179" s="14">
        <v>43032.640543981484</v>
      </c>
      <c r="B11179" s="20" t="str">
        <f>HYPERLINK("https://twitter.com/MicheleTarroni","@MicheleTarroni")</f>
        <v>@MicheleTarroni</v>
      </c>
      <c r="C11179" s="21" t="s">
        <v>23530</v>
      </c>
      <c r="D11179" s="21" t="s">
        <v>23525</v>
      </c>
      <c r="E11179" s="22" t="str">
        <f>HYPERLINK("https://twitter.com/MicheleTarroni/status/922951432323641344","922951432323641344")</f>
        <v>922951432323641344</v>
      </c>
      <c r="F11179" s="23" t="s">
        <v>3895</v>
      </c>
      <c r="G11179" s="24">
        <v>72.0</v>
      </c>
      <c r="H11179" s="24">
        <v>160.0</v>
      </c>
      <c r="I11179" s="24">
        <v>41.0</v>
      </c>
      <c r="J11179" s="24">
        <v>0.0</v>
      </c>
      <c r="K11179" s="23" t="s">
        <v>34</v>
      </c>
      <c r="L11179" s="25">
        <v>42589.142696759256</v>
      </c>
      <c r="M11179" s="26" t="s">
        <v>23531</v>
      </c>
      <c r="N11179" s="26" t="s">
        <v>23532</v>
      </c>
      <c r="O11179" s="22" t="str">
        <f>HYPERLINK("https://pbs.twimg.com/profile_images/922632835508441089/rzNbOTs9_normal.jpg","View")</f>
        <v>View</v>
      </c>
      <c r="P11179" s="27"/>
    </row>
    <row r="11180">
      <c r="A11180" s="14">
        <v>43032.64077546296</v>
      </c>
      <c r="B11180" s="20" t="str">
        <f>HYPERLINK("https://twitter.com/AboutThWorldNow","@AboutThWorldNow")</f>
        <v>@AboutThWorldNow</v>
      </c>
      <c r="C11180" s="21" t="s">
        <v>23533</v>
      </c>
      <c r="D11180" s="21" t="s">
        <v>23525</v>
      </c>
      <c r="E11180" s="22" t="str">
        <f>HYPERLINK("https://twitter.com/AboutThWorldNow/status/922951514984976386","922951514984976386")</f>
        <v>922951514984976386</v>
      </c>
      <c r="F11180" s="23" t="s">
        <v>33</v>
      </c>
      <c r="G11180" s="24">
        <v>1651.0</v>
      </c>
      <c r="H11180" s="24">
        <v>2024.0</v>
      </c>
      <c r="I11180" s="24">
        <v>41.0</v>
      </c>
      <c r="J11180" s="24">
        <v>0.0</v>
      </c>
      <c r="K11180" s="23" t="s">
        <v>34</v>
      </c>
      <c r="L11180" s="25">
        <v>40960.815671296295</v>
      </c>
      <c r="M11180" s="26" t="s">
        <v>23534</v>
      </c>
      <c r="N11180" s="26" t="s">
        <v>23535</v>
      </c>
      <c r="O11180" s="22" t="str">
        <f>HYPERLINK("https://pbs.twimg.com/profile_images/474739354732990464/OFmeLS4H_normal.jpeg","View")</f>
        <v>View</v>
      </c>
      <c r="P11180" s="27"/>
    </row>
    <row r="11181">
      <c r="A11181" s="14">
        <v>43032.64094907408</v>
      </c>
      <c r="B11181" s="20" t="str">
        <f>HYPERLINK("https://twitter.com/new16media","@new16media")</f>
        <v>@new16media</v>
      </c>
      <c r="C11181" s="21" t="s">
        <v>23536</v>
      </c>
      <c r="D11181" s="21" t="s">
        <v>23537</v>
      </c>
      <c r="E11181" s="22" t="str">
        <f>HYPERLINK("https://twitter.com/new16media/status/922951576528064513","922951576528064513")</f>
        <v>922951576528064513</v>
      </c>
      <c r="F11181" s="23" t="s">
        <v>187</v>
      </c>
      <c r="G11181" s="24">
        <v>319.0</v>
      </c>
      <c r="H11181" s="24">
        <v>201.0</v>
      </c>
      <c r="I11181" s="24">
        <v>0.0</v>
      </c>
      <c r="J11181" s="24">
        <v>0.0</v>
      </c>
      <c r="K11181" s="23" t="s">
        <v>34</v>
      </c>
      <c r="L11181" s="25">
        <v>42445.537256944444</v>
      </c>
      <c r="M11181" s="28"/>
      <c r="N11181" s="26" t="s">
        <v>23538</v>
      </c>
      <c r="O11181" s="22" t="str">
        <f>HYPERLINK("https://pbs.twimg.com/profile_images/710193799990009856/ungccyDS_normal.jpg","View")</f>
        <v>View</v>
      </c>
      <c r="P11181" s="27"/>
    </row>
    <row r="11182">
      <c r="A11182" s="14">
        <v>43032.641064814816</v>
      </c>
      <c r="B11182" s="20" t="str">
        <f>HYPERLINK("https://twitter.com/misssastra","@misssastra")</f>
        <v>@misssastra</v>
      </c>
      <c r="C11182" s="21" t="s">
        <v>23539</v>
      </c>
      <c r="D11182" s="21" t="s">
        <v>23525</v>
      </c>
      <c r="E11182" s="22" t="str">
        <f>HYPERLINK("https://twitter.com/misssastra/status/922951618751897600","922951618751897600")</f>
        <v>922951618751897600</v>
      </c>
      <c r="F11182" s="23" t="s">
        <v>39</v>
      </c>
      <c r="G11182" s="24">
        <v>31.0</v>
      </c>
      <c r="H11182" s="24">
        <v>286.0</v>
      </c>
      <c r="I11182" s="24">
        <v>41.0</v>
      </c>
      <c r="J11182" s="24">
        <v>0.0</v>
      </c>
      <c r="K11182" s="23" t="s">
        <v>34</v>
      </c>
      <c r="L11182" s="25">
        <v>40023.91263888889</v>
      </c>
      <c r="M11182" s="28"/>
      <c r="N11182" s="28"/>
      <c r="O11182" s="22" t="str">
        <f>HYPERLINK("https://pbs.twimg.com/profile_images/861810672149028864/PkpSUkVy_normal.jpg","View")</f>
        <v>View</v>
      </c>
      <c r="P11182" s="27"/>
    </row>
    <row r="11183">
      <c r="A11183" s="14">
        <v>43032.64109953704</v>
      </c>
      <c r="B11183" s="20" t="str">
        <f>HYPERLINK("https://twitter.com/AhmetYavuz2037","@AhmetYavuz2037")</f>
        <v>@AhmetYavuz2037</v>
      </c>
      <c r="C11183" s="21" t="s">
        <v>23540</v>
      </c>
      <c r="D11183" s="21" t="s">
        <v>23525</v>
      </c>
      <c r="E11183" s="22" t="str">
        <f>HYPERLINK("https://twitter.com/AhmetYavuz2037/status/922951634526842880","922951634526842880")</f>
        <v>922951634526842880</v>
      </c>
      <c r="F11183" s="23" t="s">
        <v>33</v>
      </c>
      <c r="G11183" s="24">
        <v>281.0</v>
      </c>
      <c r="H11183" s="24">
        <v>815.0</v>
      </c>
      <c r="I11183" s="24">
        <v>41.0</v>
      </c>
      <c r="J11183" s="24">
        <v>0.0</v>
      </c>
      <c r="K11183" s="23" t="s">
        <v>34</v>
      </c>
      <c r="L11183" s="25">
        <v>41271.09846064815</v>
      </c>
      <c r="M11183" s="26" t="s">
        <v>23541</v>
      </c>
      <c r="N11183" s="26" t="s">
        <v>23542</v>
      </c>
      <c r="O11183" s="22" t="str">
        <f>HYPERLINK("https://pbs.twimg.com/profile_images/922974455990833153/C3nb8GLH_normal.jpg","View")</f>
        <v>View</v>
      </c>
      <c r="P11183" s="27"/>
    </row>
    <row r="11184">
      <c r="A11184" s="14">
        <v>43032.64111111111</v>
      </c>
      <c r="B11184" s="20" t="str">
        <f>HYPERLINK("https://twitter.com/serge_poznanski","@serge_poznanski")</f>
        <v>@serge_poznanski</v>
      </c>
      <c r="C11184" s="21" t="s">
        <v>2763</v>
      </c>
      <c r="D11184" s="21" t="s">
        <v>23543</v>
      </c>
      <c r="E11184" s="22" t="str">
        <f>HYPERLINK("https://twitter.com/serge_poznanski/status/922951635659296772","922951635659296772")</f>
        <v>922951635659296772</v>
      </c>
      <c r="F11184" s="23" t="s">
        <v>187</v>
      </c>
      <c r="G11184" s="24">
        <v>1438.0</v>
      </c>
      <c r="H11184" s="24">
        <v>2138.0</v>
      </c>
      <c r="I11184" s="24">
        <v>0.0</v>
      </c>
      <c r="J11184" s="24">
        <v>0.0</v>
      </c>
      <c r="K11184" s="23" t="s">
        <v>34</v>
      </c>
      <c r="L11184" s="25">
        <v>42271.47445601852</v>
      </c>
      <c r="M11184" s="28"/>
      <c r="N11184" s="28"/>
      <c r="O11184" s="22" t="str">
        <f>HYPERLINK("https://pbs.twimg.com/profile_images/647277253240291328/3GezjFCJ_normal.jpg","View")</f>
        <v>View</v>
      </c>
      <c r="P11184" s="27"/>
    </row>
    <row r="11185">
      <c r="A11185" s="14">
        <v>43032.64115740741</v>
      </c>
      <c r="B11185" s="20" t="str">
        <f>HYPERLINK("https://twitter.com/SocialLifeLA","@SocialLifeLA")</f>
        <v>@SocialLifeLA</v>
      </c>
      <c r="C11185" s="21" t="s">
        <v>1561</v>
      </c>
      <c r="D11185" s="21" t="s">
        <v>23544</v>
      </c>
      <c r="E11185" s="22" t="str">
        <f>HYPERLINK("https://twitter.com/SocialLifeLA/status/922951654718271488","922951654718271488")</f>
        <v>922951654718271488</v>
      </c>
      <c r="F11185" s="23" t="s">
        <v>187</v>
      </c>
      <c r="G11185" s="24">
        <v>193.0</v>
      </c>
      <c r="H11185" s="24">
        <v>60.0</v>
      </c>
      <c r="I11185" s="24">
        <v>0.0</v>
      </c>
      <c r="J11185" s="24">
        <v>0.0</v>
      </c>
      <c r="K11185" s="23" t="s">
        <v>34</v>
      </c>
      <c r="L11185" s="25">
        <v>42604.753807870366</v>
      </c>
      <c r="M11185" s="26" t="s">
        <v>1563</v>
      </c>
      <c r="N11185" s="26" t="s">
        <v>1564</v>
      </c>
      <c r="O11185" s="22" t="str">
        <f>HYPERLINK("https://pbs.twimg.com/profile_images/767891928948023296/dUdnMBLO_normal.jpg","View")</f>
        <v>View</v>
      </c>
      <c r="P11185" s="27"/>
    </row>
    <row r="11186">
      <c r="A11186" s="14">
        <v>43032.64121527778</v>
      </c>
      <c r="B11186" s="20" t="str">
        <f>HYPERLINK("https://twitter.com/salqahtani1111","@salqahtani1111")</f>
        <v>@salqahtani1111</v>
      </c>
      <c r="C11186" s="21" t="s">
        <v>2985</v>
      </c>
      <c r="D11186" s="21" t="s">
        <v>23545</v>
      </c>
      <c r="E11186" s="22" t="str">
        <f>HYPERLINK("https://twitter.com/salqahtani1111/status/922951672841822208","922951672841822208")</f>
        <v>922951672841822208</v>
      </c>
      <c r="F11186" s="23" t="s">
        <v>187</v>
      </c>
      <c r="G11186" s="24">
        <v>78.0</v>
      </c>
      <c r="H11186" s="24">
        <v>350.0</v>
      </c>
      <c r="I11186" s="24">
        <v>0.0</v>
      </c>
      <c r="J11186" s="24">
        <v>0.0</v>
      </c>
      <c r="K11186" s="23" t="s">
        <v>34</v>
      </c>
      <c r="L11186" s="25">
        <v>42389.41868055555</v>
      </c>
      <c r="M11186" s="26" t="s">
        <v>2987</v>
      </c>
      <c r="N11186" s="32" t="s">
        <v>2988</v>
      </c>
      <c r="O11186" s="22" t="str">
        <f>HYPERLINK("https://pbs.twimg.com/profile_images/862802411659952129/c6waLNgv_normal.jpg","View")</f>
        <v>View</v>
      </c>
      <c r="P11186" s="27"/>
    </row>
    <row r="11187">
      <c r="A11187" s="14">
        <v>43032.64123842593</v>
      </c>
      <c r="B11187" s="20" t="str">
        <f>HYPERLINK("https://twitter.com/Sorgitzak","@Sorgitzak")</f>
        <v>@Sorgitzak</v>
      </c>
      <c r="C11187" s="21" t="s">
        <v>1122</v>
      </c>
      <c r="D11187" s="21" t="s">
        <v>23546</v>
      </c>
      <c r="E11187" s="22" t="str">
        <f>HYPERLINK("https://twitter.com/Sorgitzak/status/922951683935821829","922951683935821829")</f>
        <v>922951683935821829</v>
      </c>
      <c r="F11187" s="23" t="s">
        <v>187</v>
      </c>
      <c r="G11187" s="24">
        <v>723.0</v>
      </c>
      <c r="H11187" s="24">
        <v>1309.0</v>
      </c>
      <c r="I11187" s="24">
        <v>0.0</v>
      </c>
      <c r="J11187" s="24">
        <v>0.0</v>
      </c>
      <c r="K11187" s="23" t="s">
        <v>34</v>
      </c>
      <c r="L11187" s="25">
        <v>39990.552152777775</v>
      </c>
      <c r="M11187" s="26" t="s">
        <v>1124</v>
      </c>
      <c r="N11187" s="28"/>
      <c r="O11187" s="22" t="str">
        <f>HYPERLINK("https://pbs.twimg.com/profile_images/284404970/sorgitzak_normal.JPG","View")</f>
        <v>View</v>
      </c>
      <c r="P11187" s="27"/>
    </row>
    <row r="11188">
      <c r="A11188" s="14">
        <v>43032.64196759259</v>
      </c>
      <c r="B11188" s="20" t="str">
        <f>HYPERLINK("https://twitter.com/kotaknaren","@kotaknaren")</f>
        <v>@kotaknaren</v>
      </c>
      <c r="C11188" s="21" t="s">
        <v>2729</v>
      </c>
      <c r="D11188" s="21" t="s">
        <v>23547</v>
      </c>
      <c r="E11188" s="22" t="str">
        <f>HYPERLINK("https://twitter.com/kotaknaren/status/922951949267427332","922951949267427332")</f>
        <v>922951949267427332</v>
      </c>
      <c r="F11188" s="23" t="s">
        <v>187</v>
      </c>
      <c r="G11188" s="24">
        <v>995.0</v>
      </c>
      <c r="H11188" s="24">
        <v>2681.0</v>
      </c>
      <c r="I11188" s="24">
        <v>0.0</v>
      </c>
      <c r="J11188" s="24">
        <v>0.0</v>
      </c>
      <c r="K11188" s="23" t="s">
        <v>34</v>
      </c>
      <c r="L11188" s="25">
        <v>40248.48484953704</v>
      </c>
      <c r="M11188" s="26" t="s">
        <v>207</v>
      </c>
      <c r="N11188" s="26" t="s">
        <v>2731</v>
      </c>
      <c r="O11188" s="22" t="str">
        <f>HYPERLINK("https://pbs.twimg.com/profile_images/813794228098564096/IEzFNegT_normal.jpg","View")</f>
        <v>View</v>
      </c>
      <c r="P11188" s="27"/>
    </row>
    <row r="11189">
      <c r="A11189" s="14">
        <v>43032.64212962963</v>
      </c>
      <c r="B11189" s="20" t="str">
        <f>HYPERLINK("https://twitter.com/wsj_once","@wsj_once")</f>
        <v>@wsj_once</v>
      </c>
      <c r="C11189" s="21" t="s">
        <v>12567</v>
      </c>
      <c r="D11189" s="21" t="s">
        <v>23525</v>
      </c>
      <c r="E11189" s="22" t="str">
        <f>HYPERLINK("https://twitter.com/wsj_once/status/922952007459229696","922952007459229696")</f>
        <v>922952007459229696</v>
      </c>
      <c r="F11189" s="23" t="s">
        <v>1576</v>
      </c>
      <c r="G11189" s="24">
        <v>65.0</v>
      </c>
      <c r="H11189" s="24">
        <v>0.0</v>
      </c>
      <c r="I11189" s="24">
        <v>41.0</v>
      </c>
      <c r="J11189" s="24">
        <v>0.0</v>
      </c>
      <c r="K11189" s="23" t="s">
        <v>34</v>
      </c>
      <c r="L11189" s="25">
        <v>42758.89560185185</v>
      </c>
      <c r="M11189" s="28"/>
      <c r="N11189" s="26" t="s">
        <v>12568</v>
      </c>
      <c r="O11189" s="22" t="str">
        <f>HYPERLINK("https://pbs.twimg.com/profile_images/823940129786134528/unGg-KRZ_normal.jpg","View")</f>
        <v>View</v>
      </c>
      <c r="P11189" s="27"/>
    </row>
    <row r="11190">
      <c r="A11190" s="14">
        <v>43032.642164351855</v>
      </c>
      <c r="B11190" s="20" t="str">
        <f>HYPERLINK("https://twitter.com/the__himanish","@the__himanish")</f>
        <v>@the__himanish</v>
      </c>
      <c r="C11190" s="21" t="s">
        <v>2612</v>
      </c>
      <c r="D11190" s="21" t="s">
        <v>23548</v>
      </c>
      <c r="E11190" s="22" t="str">
        <f>HYPERLINK("https://twitter.com/the__himanish/status/922952020277039106","922952020277039106")</f>
        <v>922952020277039106</v>
      </c>
      <c r="F11190" s="23" t="s">
        <v>187</v>
      </c>
      <c r="G11190" s="24">
        <v>1822.0</v>
      </c>
      <c r="H11190" s="24">
        <v>1621.0</v>
      </c>
      <c r="I11190" s="24">
        <v>0.0</v>
      </c>
      <c r="J11190" s="24">
        <v>0.0</v>
      </c>
      <c r="K11190" s="23" t="s">
        <v>34</v>
      </c>
      <c r="L11190" s="25">
        <v>40222.15178240741</v>
      </c>
      <c r="M11190" s="26" t="s">
        <v>96</v>
      </c>
      <c r="N11190" s="26" t="s">
        <v>2614</v>
      </c>
      <c r="O11190" s="22" t="str">
        <f>HYPERLINK("https://pbs.twimg.com/profile_images/914165533918015489/A6iR_gz2_normal.jpg","View")</f>
        <v>View</v>
      </c>
      <c r="P11190" s="27"/>
    </row>
    <row r="11191">
      <c r="A11191" s="14">
        <v>43032.64225694444</v>
      </c>
      <c r="B11191" s="20" t="str">
        <f>HYPERLINK("https://twitter.com/InvestingLatest","@InvestingLatest")</f>
        <v>@InvestingLatest</v>
      </c>
      <c r="C11191" s="21" t="s">
        <v>3758</v>
      </c>
      <c r="D11191" s="21" t="s">
        <v>23549</v>
      </c>
      <c r="E11191" s="22" t="str">
        <f>HYPERLINK("https://twitter.com/InvestingLatest/status/922952050991910912","922952050991910912")</f>
        <v>922952050991910912</v>
      </c>
      <c r="F11191" s="23" t="s">
        <v>187</v>
      </c>
      <c r="G11191" s="24">
        <v>1534.0</v>
      </c>
      <c r="H11191" s="24">
        <v>33.0</v>
      </c>
      <c r="I11191" s="24">
        <v>0.0</v>
      </c>
      <c r="J11191" s="24">
        <v>0.0</v>
      </c>
      <c r="K11191" s="23" t="s">
        <v>34</v>
      </c>
      <c r="L11191" s="25">
        <v>41946.3308912037</v>
      </c>
      <c r="M11191" s="28"/>
      <c r="N11191" s="26" t="s">
        <v>3760</v>
      </c>
      <c r="O11191" s="22" t="str">
        <f>HYPERLINK("https://pbs.twimg.com/profile_images/529461684297945089/uscUz0UO_normal.jpeg","View")</f>
        <v>View</v>
      </c>
      <c r="P11191" s="27"/>
    </row>
    <row r="11192">
      <c r="A11192" s="14">
        <v>43032.64238425926</v>
      </c>
      <c r="B11192" s="20" t="str">
        <f>HYPERLINK("https://twitter.com/BillTurcke","@BillTurcke")</f>
        <v>@BillTurcke</v>
      </c>
      <c r="C11192" s="21" t="s">
        <v>2629</v>
      </c>
      <c r="D11192" s="21" t="s">
        <v>23550</v>
      </c>
      <c r="E11192" s="22" t="str">
        <f>HYPERLINK("https://twitter.com/BillTurcke/status/922952098895089664","922952098895089664")</f>
        <v>922952098895089664</v>
      </c>
      <c r="F11192" s="23" t="s">
        <v>187</v>
      </c>
      <c r="G11192" s="24">
        <v>327.0</v>
      </c>
      <c r="H11192" s="24">
        <v>472.0</v>
      </c>
      <c r="I11192" s="24">
        <v>0.0</v>
      </c>
      <c r="J11192" s="24">
        <v>0.0</v>
      </c>
      <c r="K11192" s="23" t="s">
        <v>34</v>
      </c>
      <c r="L11192" s="25">
        <v>42882.62079861111</v>
      </c>
      <c r="M11192" s="26" t="s">
        <v>905</v>
      </c>
      <c r="N11192" s="26" t="s">
        <v>2631</v>
      </c>
      <c r="O11192" s="22" t="str">
        <f>HYPERLINK("https://pbs.twimg.com/profile_images/907594368969822208/1W8ugjw6_normal.jpg","View")</f>
        <v>View</v>
      </c>
      <c r="P11192" s="27"/>
    </row>
    <row r="11193">
      <c r="A11193" s="14">
        <v>43032.64247685185</v>
      </c>
      <c r="B11193" s="20" t="str">
        <f>HYPERLINK("https://twitter.com/TheBFRoom","@TheBFRoom")</f>
        <v>@TheBFRoom</v>
      </c>
      <c r="C11193" s="21" t="s">
        <v>943</v>
      </c>
      <c r="D11193" s="21" t="s">
        <v>23551</v>
      </c>
      <c r="E11193" s="22" t="str">
        <f>HYPERLINK("https://twitter.com/TheBFRoom/status/922952130603945984","922952130603945984")</f>
        <v>922952130603945984</v>
      </c>
      <c r="F11193" s="23" t="s">
        <v>187</v>
      </c>
      <c r="G11193" s="24">
        <v>3193.0</v>
      </c>
      <c r="H11193" s="24">
        <v>3873.0</v>
      </c>
      <c r="I11193" s="24">
        <v>0.0</v>
      </c>
      <c r="J11193" s="24">
        <v>0.0</v>
      </c>
      <c r="K11193" s="23" t="s">
        <v>34</v>
      </c>
      <c r="L11193" s="25">
        <v>42761.325162037036</v>
      </c>
      <c r="M11193" s="26" t="s">
        <v>68</v>
      </c>
      <c r="N11193" s="26" t="s">
        <v>945</v>
      </c>
      <c r="O11193" s="22" t="str">
        <f>HYPERLINK("https://pbs.twimg.com/profile_images/898379268778020864/0u1zlj_B_normal.jpg","View")</f>
        <v>View</v>
      </c>
      <c r="P11193" s="27"/>
    </row>
    <row r="11194">
      <c r="A11194" s="14">
        <v>43032.64251157407</v>
      </c>
      <c r="B11194" s="20" t="str">
        <f>HYPERLINK("https://twitter.com/bdnews24","@bdnews24")</f>
        <v>@bdnews24</v>
      </c>
      <c r="C11194" s="21" t="s">
        <v>831</v>
      </c>
      <c r="D11194" s="21" t="s">
        <v>23552</v>
      </c>
      <c r="E11194" s="22" t="str">
        <f>HYPERLINK("https://twitter.com/bdnews24/status/922952143472128001","922952143472128001")</f>
        <v>922952143472128001</v>
      </c>
      <c r="F11194" s="23" t="s">
        <v>187</v>
      </c>
      <c r="G11194" s="24">
        <v>215300.0</v>
      </c>
      <c r="H11194" s="24">
        <v>67843.0</v>
      </c>
      <c r="I11194" s="24">
        <v>0.0</v>
      </c>
      <c r="J11194" s="24">
        <v>0.0</v>
      </c>
      <c r="K11194" s="23" t="s">
        <v>34</v>
      </c>
      <c r="L11194" s="25">
        <v>39844.468043981484</v>
      </c>
      <c r="M11194" s="26" t="s">
        <v>833</v>
      </c>
      <c r="N11194" s="26" t="s">
        <v>834</v>
      </c>
      <c r="O11194" s="22" t="str">
        <f>HYPERLINK("https://pbs.twimg.com/profile_images/718433521509994497/4iW9RC_r_normal.jpg","View")</f>
        <v>View</v>
      </c>
      <c r="P11194" s="27"/>
    </row>
    <row r="11195">
      <c r="A11195" s="14">
        <v>43032.642546296294</v>
      </c>
      <c r="B11195" s="20" t="str">
        <f>HYPERLINK("https://twitter.com/mercilesscults","@mercilesscults")</f>
        <v>@mercilesscults</v>
      </c>
      <c r="C11195" s="21" t="s">
        <v>23553</v>
      </c>
      <c r="D11195" s="21" t="s">
        <v>23525</v>
      </c>
      <c r="E11195" s="22" t="str">
        <f>HYPERLINK("https://twitter.com/mercilesscults/status/922952157061570560","922952157061570560")</f>
        <v>922952157061570560</v>
      </c>
      <c r="F11195" s="23" t="s">
        <v>33</v>
      </c>
      <c r="G11195" s="24">
        <v>377.0</v>
      </c>
      <c r="H11195" s="24">
        <v>1829.0</v>
      </c>
      <c r="I11195" s="24">
        <v>41.0</v>
      </c>
      <c r="J11195" s="24">
        <v>0.0</v>
      </c>
      <c r="K11195" s="23" t="s">
        <v>34</v>
      </c>
      <c r="L11195" s="25">
        <v>41274.867893518516</v>
      </c>
      <c r="M11195" s="28"/>
      <c r="N11195" s="26" t="s">
        <v>23554</v>
      </c>
      <c r="O11195" s="22" t="str">
        <f>HYPERLINK("https://pbs.twimg.com/profile_images/911789159987134464/S-gg8WOU_normal.jpg","View")</f>
        <v>View</v>
      </c>
      <c r="P11195" s="27"/>
    </row>
    <row r="11196">
      <c r="A11196" s="14">
        <v>43032.642592592594</v>
      </c>
      <c r="B11196" s="20" t="str">
        <f>HYPERLINK("https://twitter.com/TirtaNews","@TirtaNews")</f>
        <v>@TirtaNews</v>
      </c>
      <c r="C11196" s="21" t="s">
        <v>2624</v>
      </c>
      <c r="D11196" s="21" t="s">
        <v>23555</v>
      </c>
      <c r="E11196" s="22" t="str">
        <f>HYPERLINK("https://twitter.com/TirtaNews/status/922952175785005061","922952175785005061")</f>
        <v>922952175785005061</v>
      </c>
      <c r="F11196" s="23" t="s">
        <v>187</v>
      </c>
      <c r="G11196" s="24">
        <v>183.0</v>
      </c>
      <c r="H11196" s="24">
        <v>66.0</v>
      </c>
      <c r="I11196" s="24">
        <v>0.0</v>
      </c>
      <c r="J11196" s="24">
        <v>0.0</v>
      </c>
      <c r="K11196" s="23" t="s">
        <v>34</v>
      </c>
      <c r="L11196" s="25">
        <v>41894.34030092593</v>
      </c>
      <c r="M11196" s="28"/>
      <c r="N11196" s="28"/>
      <c r="O11196" s="22" t="str">
        <f>HYPERLINK("https://pbs.twimg.com/profile_images/510469173214846976/ZLGHsEM0_normal.png","View")</f>
        <v>View</v>
      </c>
      <c r="P11196" s="27"/>
    </row>
    <row r="11197">
      <c r="A11197" s="14">
        <v>43032.642696759256</v>
      </c>
      <c r="B11197" s="20" t="str">
        <f>HYPERLINK("https://twitter.com/Freeman48171576","@Freeman48171576")</f>
        <v>@Freeman48171576</v>
      </c>
      <c r="C11197" s="21" t="s">
        <v>23556</v>
      </c>
      <c r="D11197" s="21" t="s">
        <v>23525</v>
      </c>
      <c r="E11197" s="22" t="str">
        <f>HYPERLINK("https://twitter.com/Freeman48171576/status/922952212904587266","922952212904587266")</f>
        <v>922952212904587266</v>
      </c>
      <c r="F11197" s="23" t="s">
        <v>39</v>
      </c>
      <c r="G11197" s="24">
        <v>473.0</v>
      </c>
      <c r="H11197" s="24">
        <v>564.0</v>
      </c>
      <c r="I11197" s="24">
        <v>41.0</v>
      </c>
      <c r="J11197" s="24">
        <v>0.0</v>
      </c>
      <c r="K11197" s="23" t="s">
        <v>34</v>
      </c>
      <c r="L11197" s="25">
        <v>42706.732037037036</v>
      </c>
      <c r="M11197" s="28"/>
      <c r="N11197" s="28"/>
      <c r="O11197" s="22" t="str">
        <f>HYPERLINK("https://abs.twimg.com/sticky/default_profile_images/default_profile_normal.png","View")</f>
        <v>View</v>
      </c>
      <c r="P11197" s="27"/>
    </row>
    <row r="11198">
      <c r="A11198" s="14">
        <v>43032.642812499995</v>
      </c>
      <c r="B11198" s="20" t="str">
        <f>HYPERLINK("https://twitter.com/360BizInfo","@360BizInfo")</f>
        <v>@360BizInfo</v>
      </c>
      <c r="C11198" s="21" t="s">
        <v>2626</v>
      </c>
      <c r="D11198" s="21" t="s">
        <v>23557</v>
      </c>
      <c r="E11198" s="22" t="str">
        <f>HYPERLINK("https://twitter.com/360BizInfo/status/922952255216783360","922952255216783360")</f>
        <v>922952255216783360</v>
      </c>
      <c r="F11198" s="23" t="s">
        <v>187</v>
      </c>
      <c r="G11198" s="24">
        <v>417.0</v>
      </c>
      <c r="H11198" s="24">
        <v>369.0</v>
      </c>
      <c r="I11198" s="24">
        <v>0.0</v>
      </c>
      <c r="J11198" s="24">
        <v>0.0</v>
      </c>
      <c r="K11198" s="23" t="s">
        <v>34</v>
      </c>
      <c r="L11198" s="25">
        <v>42378.719548611116</v>
      </c>
      <c r="M11198" s="28"/>
      <c r="N11198" s="26" t="s">
        <v>2628</v>
      </c>
      <c r="O11198" s="22" t="str">
        <f>HYPERLINK("https://pbs.twimg.com/profile_images/867458762877095936/iANdaTlX_normal.jpg","View")</f>
        <v>View</v>
      </c>
      <c r="P11198" s="27"/>
    </row>
    <row r="11199">
      <c r="A11199" s="14">
        <v>43032.64284722222</v>
      </c>
      <c r="B11199" s="20" t="str">
        <f>HYPERLINK("https://twitter.com/rabonaldi","@rabonaldi")</f>
        <v>@rabonaldi</v>
      </c>
      <c r="C11199" s="21" t="s">
        <v>23558</v>
      </c>
      <c r="D11199" s="21" t="s">
        <v>23525</v>
      </c>
      <c r="E11199" s="22" t="str">
        <f>HYPERLINK("https://twitter.com/rabonaldi/status/922952266570764288","922952266570764288")</f>
        <v>922952266570764288</v>
      </c>
      <c r="F11199" s="23" t="s">
        <v>33</v>
      </c>
      <c r="G11199" s="24">
        <v>464.0</v>
      </c>
      <c r="H11199" s="24">
        <v>842.0</v>
      </c>
      <c r="I11199" s="24">
        <v>41.0</v>
      </c>
      <c r="J11199" s="24">
        <v>0.0</v>
      </c>
      <c r="K11199" s="23" t="s">
        <v>34</v>
      </c>
      <c r="L11199" s="25">
        <v>42005.50716435185</v>
      </c>
      <c r="M11199" s="28"/>
      <c r="N11199" s="28"/>
      <c r="O11199" s="22" t="str">
        <f>HYPERLINK("https://pbs.twimg.com/profile_images/825169563729948672/VWnxPhzl_normal.jpg","View")</f>
        <v>View</v>
      </c>
      <c r="P11199" s="27"/>
    </row>
    <row r="11200">
      <c r="A11200" s="14">
        <v>43032.64298611111</v>
      </c>
      <c r="B11200" s="20" t="str">
        <f>HYPERLINK("https://twitter.com/mlnangalama","@mlnangalama")</f>
        <v>@mlnangalama</v>
      </c>
      <c r="C11200" s="21" t="s">
        <v>925</v>
      </c>
      <c r="D11200" s="21" t="s">
        <v>23559</v>
      </c>
      <c r="E11200" s="22" t="str">
        <f>HYPERLINK("https://twitter.com/mlnangalama/status/922952316571045888","922952316571045888")</f>
        <v>922952316571045888</v>
      </c>
      <c r="F11200" s="23" t="s">
        <v>187</v>
      </c>
      <c r="G11200" s="24">
        <v>2366.0</v>
      </c>
      <c r="H11200" s="24">
        <v>1582.0</v>
      </c>
      <c r="I11200" s="24">
        <v>0.0</v>
      </c>
      <c r="J11200" s="24">
        <v>0.0</v>
      </c>
      <c r="K11200" s="23" t="s">
        <v>34</v>
      </c>
      <c r="L11200" s="25">
        <v>41041.54378472222</v>
      </c>
      <c r="M11200" s="26" t="s">
        <v>927</v>
      </c>
      <c r="N11200" s="26" t="s">
        <v>928</v>
      </c>
      <c r="O11200" s="22" t="str">
        <f>HYPERLINK("https://pbs.twimg.com/profile_images/900915882444173313/biUHzvpx_normal.jpg","View")</f>
        <v>View</v>
      </c>
      <c r="P11200" s="27"/>
    </row>
    <row r="11201">
      <c r="A11201" s="14">
        <v>43032.64318287037</v>
      </c>
      <c r="B11201" s="20" t="str">
        <f>HYPERLINK("https://twitter.com/obregonraqueln1","@obregonraqueln1")</f>
        <v>@obregonraqueln1</v>
      </c>
      <c r="C11201" s="21" t="s">
        <v>23560</v>
      </c>
      <c r="D11201" s="21" t="s">
        <v>23525</v>
      </c>
      <c r="E11201" s="22" t="str">
        <f>HYPERLINK("https://twitter.com/obregonraqueln1/status/922952385567363073","922952385567363073")</f>
        <v>922952385567363073</v>
      </c>
      <c r="F11201" s="23" t="s">
        <v>33</v>
      </c>
      <c r="G11201" s="24">
        <v>788.0</v>
      </c>
      <c r="H11201" s="24">
        <v>293.0</v>
      </c>
      <c r="I11201" s="24">
        <v>41.0</v>
      </c>
      <c r="J11201" s="24">
        <v>0.0</v>
      </c>
      <c r="K11201" s="23" t="s">
        <v>34</v>
      </c>
      <c r="L11201" s="25">
        <v>42811.30766203704</v>
      </c>
      <c r="M11201" s="26" t="s">
        <v>23561</v>
      </c>
      <c r="N11201" s="28"/>
      <c r="O11201" s="22" t="str">
        <f>HYPERLINK("https://pbs.twimg.com/profile_images/842745393150681090/heMvwt2G_normal.jpg","View")</f>
        <v>View</v>
      </c>
      <c r="P11201" s="27"/>
    </row>
    <row r="11202">
      <c r="A11202" s="14">
        <v>43032.643784722226</v>
      </c>
      <c r="B11202" s="20" t="str">
        <f>HYPERLINK("https://twitter.com/SajidAh56391722","@SajidAh56391722")</f>
        <v>@SajidAh56391722</v>
      </c>
      <c r="C11202" s="21" t="s">
        <v>23562</v>
      </c>
      <c r="D11202" s="21" t="s">
        <v>23525</v>
      </c>
      <c r="E11202" s="22" t="str">
        <f>HYPERLINK("https://twitter.com/SajidAh56391722/status/922952604560142336","922952604560142336")</f>
        <v>922952604560142336</v>
      </c>
      <c r="F11202" s="23" t="s">
        <v>230</v>
      </c>
      <c r="G11202" s="24">
        <v>1787.0</v>
      </c>
      <c r="H11202" s="24">
        <v>3023.0</v>
      </c>
      <c r="I11202" s="24">
        <v>41.0</v>
      </c>
      <c r="J11202" s="24">
        <v>0.0</v>
      </c>
      <c r="K11202" s="23" t="s">
        <v>34</v>
      </c>
      <c r="L11202" s="25">
        <v>41388.86695601852</v>
      </c>
      <c r="M11202" s="26" t="s">
        <v>23563</v>
      </c>
      <c r="N11202" s="26" t="s">
        <v>23564</v>
      </c>
      <c r="O11202" s="22" t="str">
        <f>HYPERLINK("https://pbs.twimg.com/profile_images/880650184358850563/CioaAAP__normal.jpg","View")</f>
        <v>View</v>
      </c>
      <c r="P11202" s="27"/>
    </row>
    <row r="11203">
      <c r="A11203" s="14">
        <v>43032.643784722226</v>
      </c>
      <c r="B11203" s="20" t="str">
        <f>HYPERLINK("https://twitter.com/collette_brown","@collette_brown")</f>
        <v>@collette_brown</v>
      </c>
      <c r="C11203" s="21" t="s">
        <v>23565</v>
      </c>
      <c r="D11203" s="21" t="s">
        <v>23525</v>
      </c>
      <c r="E11203" s="22" t="str">
        <f>HYPERLINK("https://twitter.com/collette_brown/status/922952605340332032","922952605340332032")</f>
        <v>922952605340332032</v>
      </c>
      <c r="F11203" s="23" t="s">
        <v>39</v>
      </c>
      <c r="G11203" s="24">
        <v>562.0</v>
      </c>
      <c r="H11203" s="24">
        <v>1288.0</v>
      </c>
      <c r="I11203" s="24">
        <v>41.0</v>
      </c>
      <c r="J11203" s="24">
        <v>0.0</v>
      </c>
      <c r="K11203" s="23" t="s">
        <v>34</v>
      </c>
      <c r="L11203" s="25">
        <v>39908.41923611111</v>
      </c>
      <c r="M11203" s="26" t="s">
        <v>1961</v>
      </c>
      <c r="N11203" s="26" t="s">
        <v>23566</v>
      </c>
      <c r="O11203" s="22" t="str">
        <f>HYPERLINK("https://pbs.twimg.com/profile_images/148486524/Collette_s_brown_jacket_normal.jpg","View")</f>
        <v>View</v>
      </c>
      <c r="P11203" s="27"/>
    </row>
    <row r="11204">
      <c r="A11204" s="14">
        <v>43032.64420138889</v>
      </c>
      <c r="B11204" s="20" t="str">
        <f>HYPERLINK("https://twitter.com/willoftzeentch","@willoftzeentch")</f>
        <v>@willoftzeentch</v>
      </c>
      <c r="C11204" s="21" t="s">
        <v>23567</v>
      </c>
      <c r="D11204" s="21" t="s">
        <v>23568</v>
      </c>
      <c r="E11204" s="22" t="str">
        <f>HYPERLINK("https://twitter.com/willoftzeentch/status/922952758226952192","922952758226952192")</f>
        <v>922952758226952192</v>
      </c>
      <c r="F11204" s="23" t="s">
        <v>55</v>
      </c>
      <c r="G11204" s="24">
        <v>998.0</v>
      </c>
      <c r="H11204" s="24">
        <v>200.0</v>
      </c>
      <c r="I11204" s="24">
        <v>1.0</v>
      </c>
      <c r="J11204" s="24">
        <v>0.0</v>
      </c>
      <c r="K11204" s="23" t="s">
        <v>34</v>
      </c>
      <c r="L11204" s="25">
        <v>42521.88554398148</v>
      </c>
      <c r="M11204" s="26" t="s">
        <v>23569</v>
      </c>
      <c r="N11204" s="26" t="s">
        <v>23570</v>
      </c>
      <c r="O11204" s="22" t="str">
        <f>HYPERLINK("https://pbs.twimg.com/profile_images/914765434641047552/dzzHBjrx_normal.jpg","View")</f>
        <v>View</v>
      </c>
      <c r="P11204" s="27"/>
    </row>
    <row r="11205">
      <c r="A11205" s="14">
        <v>43032.64520833333</v>
      </c>
      <c r="B11205" s="20" t="str">
        <f>HYPERLINK("https://twitter.com/misterealing","@misterealing")</f>
        <v>@misterealing</v>
      </c>
      <c r="C11205" s="21" t="s">
        <v>23571</v>
      </c>
      <c r="D11205" s="21" t="s">
        <v>12974</v>
      </c>
      <c r="E11205" s="22" t="str">
        <f>HYPERLINK("https://twitter.com/misterealing/status/922953122233966593","922953122233966593")</f>
        <v>922953122233966593</v>
      </c>
      <c r="F11205" s="23" t="s">
        <v>55</v>
      </c>
      <c r="G11205" s="24">
        <v>1137.0</v>
      </c>
      <c r="H11205" s="24">
        <v>5000.0</v>
      </c>
      <c r="I11205" s="24">
        <v>110.0</v>
      </c>
      <c r="J11205" s="24">
        <v>0.0</v>
      </c>
      <c r="K11205" s="23" t="s">
        <v>34</v>
      </c>
      <c r="L11205" s="25">
        <v>42771.471041666664</v>
      </c>
      <c r="M11205" s="26" t="s">
        <v>23572</v>
      </c>
      <c r="N11205" s="26" t="s">
        <v>23573</v>
      </c>
      <c r="O11205" s="22" t="str">
        <f>HYPERLINK("https://pbs.twimg.com/profile_images/920283849002590208/88ITogzF_normal.jpg","View")</f>
        <v>View</v>
      </c>
      <c r="P11205" s="27"/>
    </row>
    <row r="11206">
      <c r="A11206" s="14">
        <v>43032.64548611111</v>
      </c>
      <c r="B11206" s="20" t="str">
        <f>HYPERLINK("https://twitter.com/FrefreddieT","@FrefreddieT")</f>
        <v>@FrefreddieT</v>
      </c>
      <c r="C11206" s="21" t="s">
        <v>23574</v>
      </c>
      <c r="D11206" s="21" t="s">
        <v>23525</v>
      </c>
      <c r="E11206" s="22" t="str">
        <f>HYPERLINK("https://twitter.com/FrefreddieT/status/922953222494478336","922953222494478336")</f>
        <v>922953222494478336</v>
      </c>
      <c r="F11206" s="23" t="s">
        <v>33</v>
      </c>
      <c r="G11206" s="24">
        <v>143.0</v>
      </c>
      <c r="H11206" s="24">
        <v>2027.0</v>
      </c>
      <c r="I11206" s="24">
        <v>41.0</v>
      </c>
      <c r="J11206" s="24">
        <v>0.0</v>
      </c>
      <c r="K11206" s="23" t="s">
        <v>34</v>
      </c>
      <c r="L11206" s="25">
        <v>43019.763090277775</v>
      </c>
      <c r="M11206" s="28"/>
      <c r="N11206" s="28"/>
      <c r="O11206" s="22" t="str">
        <f>HYPERLINK("https://pbs.twimg.com/profile_images/922270756033064962/zbm5B8Ws_normal.jpg","View")</f>
        <v>View</v>
      </c>
      <c r="P11206" s="27"/>
    </row>
    <row r="11207">
      <c r="A11207" s="14">
        <v>43032.645787037036</v>
      </c>
      <c r="B11207" s="20" t="str">
        <f>HYPERLINK("https://twitter.com/Clintons_Emails","@Clintons_Emails")</f>
        <v>@Clintons_Emails</v>
      </c>
      <c r="C11207" s="21" t="s">
        <v>23575</v>
      </c>
      <c r="D11207" s="21" t="s">
        <v>18660</v>
      </c>
      <c r="E11207" s="22" t="str">
        <f>HYPERLINK("https://twitter.com/Clintons_Emails/status/922953332469239810","922953332469239810")</f>
        <v>922953332469239810</v>
      </c>
      <c r="F11207" s="23" t="s">
        <v>33</v>
      </c>
      <c r="G11207" s="24">
        <v>147.0</v>
      </c>
      <c r="H11207" s="24">
        <v>80.0</v>
      </c>
      <c r="I11207" s="24">
        <v>17.0</v>
      </c>
      <c r="J11207" s="24">
        <v>0.0</v>
      </c>
      <c r="K11207" s="23" t="s">
        <v>34</v>
      </c>
      <c r="L11207" s="25">
        <v>41122.568495370375</v>
      </c>
      <c r="M11207" s="26" t="s">
        <v>23576</v>
      </c>
      <c r="N11207" s="26" t="s">
        <v>23577</v>
      </c>
      <c r="O11207" s="22" t="str">
        <f>HYPERLINK("https://pbs.twimg.com/profile_images/898600953213059072/OKDUighK_normal.jpg","View")</f>
        <v>View</v>
      </c>
      <c r="P11207" s="27"/>
    </row>
    <row r="11208">
      <c r="A11208" s="14">
        <v>43032.64583333333</v>
      </c>
      <c r="B11208" s="20" t="str">
        <f>HYPERLINK("https://twitter.com/jimmyhoshi","@jimmyhoshi")</f>
        <v>@jimmyhoshi</v>
      </c>
      <c r="C11208" s="21" t="s">
        <v>11651</v>
      </c>
      <c r="D11208" s="21" t="s">
        <v>23578</v>
      </c>
      <c r="E11208" s="22" t="str">
        <f>HYPERLINK("https://twitter.com/jimmyhoshi/status/922953347878961158","922953347878961158")</f>
        <v>922953347878961158</v>
      </c>
      <c r="F11208" s="23" t="s">
        <v>11653</v>
      </c>
      <c r="G11208" s="24">
        <v>8727.0</v>
      </c>
      <c r="H11208" s="24">
        <v>8446.0</v>
      </c>
      <c r="I11208" s="24">
        <v>0.0</v>
      </c>
      <c r="J11208" s="24">
        <v>0.0</v>
      </c>
      <c r="K11208" s="23" t="s">
        <v>34</v>
      </c>
      <c r="L11208" s="25">
        <v>41922.7041087963</v>
      </c>
      <c r="M11208" s="26" t="s">
        <v>11654</v>
      </c>
      <c r="N11208" s="26" t="s">
        <v>11655</v>
      </c>
      <c r="O11208" s="22" t="str">
        <f>HYPERLINK("https://pbs.twimg.com/profile_images/525551979565555712/q1hl0v2W_normal.png","View")</f>
        <v>View</v>
      </c>
      <c r="P11208" s="27"/>
    </row>
    <row r="11209">
      <c r="A11209" s="14">
        <v>43032.64616898148</v>
      </c>
      <c r="B11209" s="20" t="str">
        <f>HYPERLINK("https://twitter.com/globnewsen","@globnewsen")</f>
        <v>@globnewsen</v>
      </c>
      <c r="C11209" s="21" t="s">
        <v>17207</v>
      </c>
      <c r="D11209" s="21" t="s">
        <v>23579</v>
      </c>
      <c r="E11209" s="22" t="str">
        <f>HYPERLINK("https://twitter.com/globnewsen/status/922953469992071168","922953469992071168")</f>
        <v>922953469992071168</v>
      </c>
      <c r="F11209" s="23" t="s">
        <v>187</v>
      </c>
      <c r="G11209" s="24">
        <v>543.0</v>
      </c>
      <c r="H11209" s="24">
        <v>0.0</v>
      </c>
      <c r="I11209" s="24">
        <v>0.0</v>
      </c>
      <c r="J11209" s="24">
        <v>0.0</v>
      </c>
      <c r="K11209" s="23" t="s">
        <v>34</v>
      </c>
      <c r="L11209" s="25">
        <v>41790.52559027778</v>
      </c>
      <c r="M11209" s="28"/>
      <c r="N11209" s="28"/>
      <c r="O11209" s="22" t="str">
        <f>HYPERLINK("https://abs.twimg.com/sticky/default_profile_images/default_profile_normal.png","View")</f>
        <v>View</v>
      </c>
      <c r="P11209" s="27"/>
    </row>
    <row r="11210">
      <c r="A11210" s="14">
        <v>43032.6466087963</v>
      </c>
      <c r="B11210" s="20" t="str">
        <f>HYPERLINK("https://twitter.com/TTLeeBrown","@TTLeeBrown")</f>
        <v>@TTLeeBrown</v>
      </c>
      <c r="C11210" s="21" t="s">
        <v>18916</v>
      </c>
      <c r="D11210" s="21" t="s">
        <v>23580</v>
      </c>
      <c r="E11210" s="22" t="str">
        <f>HYPERLINK("https://twitter.com/TTLeeBrown/status/922953630059257856","922953630059257856")</f>
        <v>922953630059257856</v>
      </c>
      <c r="F11210" s="23" t="s">
        <v>55</v>
      </c>
      <c r="G11210" s="24">
        <v>484.0</v>
      </c>
      <c r="H11210" s="24">
        <v>552.0</v>
      </c>
      <c r="I11210" s="24">
        <v>1.0</v>
      </c>
      <c r="J11210" s="24">
        <v>2.0</v>
      </c>
      <c r="K11210" s="23" t="s">
        <v>34</v>
      </c>
      <c r="L11210" s="25">
        <v>42467.12923611111</v>
      </c>
      <c r="M11210" s="26" t="s">
        <v>8685</v>
      </c>
      <c r="N11210" s="26" t="s">
        <v>18918</v>
      </c>
      <c r="O11210" s="22" t="str">
        <f>HYPERLINK("https://pbs.twimg.com/profile_images/718044848373129216/GdPS6Mhl_normal.jpg","View")</f>
        <v>View</v>
      </c>
      <c r="P11210" s="27"/>
    </row>
    <row r="11211">
      <c r="A11211" s="14">
        <v>43032.64759259259</v>
      </c>
      <c r="B11211" s="20" t="str">
        <f>HYPERLINK("https://twitter.com/ugirej","@ugirej")</f>
        <v>@ugirej</v>
      </c>
      <c r="C11211" s="21" t="s">
        <v>23581</v>
      </c>
      <c r="D11211" s="21" t="s">
        <v>23525</v>
      </c>
      <c r="E11211" s="22" t="str">
        <f>HYPERLINK("https://twitter.com/ugirej/status/922953984008101888","922953984008101888")</f>
        <v>922953984008101888</v>
      </c>
      <c r="F11211" s="23" t="s">
        <v>33</v>
      </c>
      <c r="G11211" s="24">
        <v>197.0</v>
      </c>
      <c r="H11211" s="24">
        <v>986.0</v>
      </c>
      <c r="I11211" s="24">
        <v>41.0</v>
      </c>
      <c r="J11211" s="24">
        <v>0.0</v>
      </c>
      <c r="K11211" s="23" t="s">
        <v>34</v>
      </c>
      <c r="L11211" s="25">
        <v>40320.300104166665</v>
      </c>
      <c r="M11211" s="28"/>
      <c r="N11211" s="26" t="s">
        <v>5998</v>
      </c>
      <c r="O11211" s="22" t="str">
        <f>HYPERLINK("https://pbs.twimg.com/profile_images/1267054819/R0012470-tiltshift_normal.jpg","View")</f>
        <v>View</v>
      </c>
      <c r="P11211" s="27"/>
    </row>
    <row r="11212">
      <c r="A11212" s="14">
        <v>43032.64880787037</v>
      </c>
      <c r="B11212" s="20" t="str">
        <f>HYPERLINK("https://twitter.com/unchained400","@unchained400")</f>
        <v>@unchained400</v>
      </c>
      <c r="C11212" s="21" t="s">
        <v>23582</v>
      </c>
      <c r="D11212" s="21" t="s">
        <v>23525</v>
      </c>
      <c r="E11212" s="22" t="str">
        <f>HYPERLINK("https://twitter.com/unchained400/status/922954425265786881","922954425265786881")</f>
        <v>922954425265786881</v>
      </c>
      <c r="F11212" s="23" t="s">
        <v>33</v>
      </c>
      <c r="G11212" s="24">
        <v>187.0</v>
      </c>
      <c r="H11212" s="24">
        <v>251.0</v>
      </c>
      <c r="I11212" s="24">
        <v>41.0</v>
      </c>
      <c r="J11212" s="24">
        <v>0.0</v>
      </c>
      <c r="K11212" s="23" t="s">
        <v>34</v>
      </c>
      <c r="L11212" s="25">
        <v>41308.291296296295</v>
      </c>
      <c r="M11212" s="26" t="s">
        <v>23583</v>
      </c>
      <c r="N11212" s="28"/>
      <c r="O11212" s="22" t="str">
        <f>HYPERLINK("https://pbs.twimg.com/profile_images/886881027821629441/xiWbOtKg_normal.jpg","View")</f>
        <v>View</v>
      </c>
      <c r="P11212" s="27"/>
    </row>
    <row r="11213">
      <c r="A11213" s="14">
        <v>43032.64921296296</v>
      </c>
      <c r="B11213" s="20" t="str">
        <f>HYPERLINK("https://twitter.com/RemarkableRita","@RemarkableRita")</f>
        <v>@RemarkableRita</v>
      </c>
      <c r="C11213" s="21" t="s">
        <v>23584</v>
      </c>
      <c r="D11213" s="21" t="s">
        <v>23525</v>
      </c>
      <c r="E11213" s="22" t="str">
        <f>HYPERLINK("https://twitter.com/RemarkableRita/status/922954574045966338","922954574045966338")</f>
        <v>922954574045966338</v>
      </c>
      <c r="F11213" s="23" t="s">
        <v>33</v>
      </c>
      <c r="G11213" s="24">
        <v>19.0</v>
      </c>
      <c r="H11213" s="24">
        <v>191.0</v>
      </c>
      <c r="I11213" s="24">
        <v>41.0</v>
      </c>
      <c r="J11213" s="24">
        <v>0.0</v>
      </c>
      <c r="K11213" s="23" t="s">
        <v>34</v>
      </c>
      <c r="L11213" s="25">
        <v>42851.31753472222</v>
      </c>
      <c r="M11213" s="28"/>
      <c r="N11213" s="28"/>
      <c r="O11213" s="22" t="str">
        <f>HYPERLINK("https://abs.twimg.com/sticky/default_profile_images/default_profile_normal.png","View")</f>
        <v>View</v>
      </c>
      <c r="P11213" s="27"/>
    </row>
    <row r="11214">
      <c r="A11214" s="14">
        <v>43032.650231481486</v>
      </c>
      <c r="B11214" s="20" t="str">
        <f>HYPERLINK("https://twitter.com/iKamalSilva","@iKamalSilva")</f>
        <v>@iKamalSilva</v>
      </c>
      <c r="C11214" s="21" t="s">
        <v>23585</v>
      </c>
      <c r="D11214" s="21" t="s">
        <v>23525</v>
      </c>
      <c r="E11214" s="22" t="str">
        <f>HYPERLINK("https://twitter.com/iKamalSilva/status/922954943027384320","922954943027384320")</f>
        <v>922954943027384320</v>
      </c>
      <c r="F11214" s="23" t="s">
        <v>33</v>
      </c>
      <c r="G11214" s="24">
        <v>1623.0</v>
      </c>
      <c r="H11214" s="24">
        <v>1227.0</v>
      </c>
      <c r="I11214" s="24">
        <v>41.0</v>
      </c>
      <c r="J11214" s="24">
        <v>0.0</v>
      </c>
      <c r="K11214" s="23" t="s">
        <v>34</v>
      </c>
      <c r="L11214" s="25">
        <v>40849.853055555555</v>
      </c>
      <c r="M11214" s="26" t="s">
        <v>23586</v>
      </c>
      <c r="N11214" s="26" t="s">
        <v>23587</v>
      </c>
      <c r="O11214" s="22" t="str">
        <f>HYPERLINK("https://pbs.twimg.com/profile_images/922252871369936896/sSq2RxQF_normal.jpg","View")</f>
        <v>View</v>
      </c>
      <c r="P11214" s="27"/>
    </row>
    <row r="11215">
      <c r="A11215" s="14">
        <v>43032.65032407407</v>
      </c>
      <c r="B11215" s="20" t="str">
        <f>HYPERLINK("https://twitter.com/jackfpaylor","@jackfpaylor")</f>
        <v>@jackfpaylor</v>
      </c>
      <c r="C11215" s="21" t="s">
        <v>2899</v>
      </c>
      <c r="D11215" s="21" t="s">
        <v>23588</v>
      </c>
      <c r="E11215" s="22" t="str">
        <f>HYPERLINK("https://twitter.com/jackfpaylor/status/922954973809446915","922954973809446915")</f>
        <v>922954973809446915</v>
      </c>
      <c r="F11215" s="23" t="s">
        <v>187</v>
      </c>
      <c r="G11215" s="24">
        <v>4553.0</v>
      </c>
      <c r="H11215" s="24">
        <v>5001.0</v>
      </c>
      <c r="I11215" s="24">
        <v>0.0</v>
      </c>
      <c r="J11215" s="24">
        <v>0.0</v>
      </c>
      <c r="K11215" s="23" t="s">
        <v>34</v>
      </c>
      <c r="L11215" s="25">
        <v>42880.774618055555</v>
      </c>
      <c r="M11215" s="26" t="s">
        <v>2901</v>
      </c>
      <c r="N11215" s="26" t="s">
        <v>2902</v>
      </c>
      <c r="O11215" s="22" t="str">
        <f>HYPERLINK("https://pbs.twimg.com/profile_images/911761399902334976/emBMaAAb_normal.jpg","View")</f>
        <v>View</v>
      </c>
      <c r="P11215" s="27"/>
    </row>
    <row r="11216">
      <c r="A11216" s="14">
        <v>43032.65103009259</v>
      </c>
      <c r="B11216" s="20" t="str">
        <f>HYPERLINK("https://twitter.com/yojudenz","@yojudenz")</f>
        <v>@yojudenz</v>
      </c>
      <c r="C11216" s="21" t="s">
        <v>17103</v>
      </c>
      <c r="D11216" s="21" t="s">
        <v>23589</v>
      </c>
      <c r="E11216" s="22" t="str">
        <f>HYPERLINK("https://twitter.com/yojudenz/status/922955232564297728","922955232564297728")</f>
        <v>922955232564297728</v>
      </c>
      <c r="F11216" s="23" t="s">
        <v>55</v>
      </c>
      <c r="G11216" s="24">
        <v>5391.0</v>
      </c>
      <c r="H11216" s="24">
        <v>5885.0</v>
      </c>
      <c r="I11216" s="24">
        <v>0.0</v>
      </c>
      <c r="J11216" s="24">
        <v>0.0</v>
      </c>
      <c r="K11216" s="23" t="s">
        <v>34</v>
      </c>
      <c r="L11216" s="25">
        <v>41406.882152777776</v>
      </c>
      <c r="M11216" s="26" t="s">
        <v>17105</v>
      </c>
      <c r="N11216" s="26" t="s">
        <v>17106</v>
      </c>
      <c r="O11216" s="22" t="str">
        <f>HYPERLINK("https://pbs.twimg.com/profile_images/510352834118688768/9-HfVVqa_normal.png","View")</f>
        <v>View</v>
      </c>
      <c r="P11216" s="27"/>
    </row>
    <row r="11217">
      <c r="A11217" s="14">
        <v>43032.65143518518</v>
      </c>
      <c r="B11217" s="20" t="str">
        <f>HYPERLINK("https://twitter.com/affumicator","@affumicator")</f>
        <v>@affumicator</v>
      </c>
      <c r="C11217" s="21" t="s">
        <v>23590</v>
      </c>
      <c r="D11217" s="21" t="s">
        <v>23591</v>
      </c>
      <c r="E11217" s="22" t="str">
        <f>HYPERLINK("https://twitter.com/affumicator/status/922955378920390656","922955378920390656")</f>
        <v>922955378920390656</v>
      </c>
      <c r="F11217" s="23" t="s">
        <v>23592</v>
      </c>
      <c r="G11217" s="24">
        <v>41.0</v>
      </c>
      <c r="H11217" s="24">
        <v>49.0</v>
      </c>
      <c r="I11217" s="24">
        <v>0.0</v>
      </c>
      <c r="J11217" s="24">
        <v>0.0</v>
      </c>
      <c r="K11217" s="23" t="s">
        <v>34</v>
      </c>
      <c r="L11217" s="25">
        <v>41542.80064814815</v>
      </c>
      <c r="M11217" s="26" t="s">
        <v>23593</v>
      </c>
      <c r="N11217" s="26" t="s">
        <v>23594</v>
      </c>
      <c r="O11217" s="22" t="str">
        <f>HYPERLINK("https://pbs.twimg.com/profile_images/697494509266079744/TNQGh1gP_normal.jpg","View")</f>
        <v>View</v>
      </c>
      <c r="P11217" s="27"/>
    </row>
    <row r="11218">
      <c r="A11218" s="14">
        <v>43032.65189814815</v>
      </c>
      <c r="B11218" s="20" t="str">
        <f>HYPERLINK("https://twitter.com/hakubotan0511","@hakubotan0511")</f>
        <v>@hakubotan0511</v>
      </c>
      <c r="C11218" s="21" t="s">
        <v>23595</v>
      </c>
      <c r="D11218" s="21" t="s">
        <v>23596</v>
      </c>
      <c r="E11218" s="22" t="str">
        <f>HYPERLINK("https://twitter.com/hakubotan0511/status/922955546281492480","922955546281492480")</f>
        <v>922955546281492480</v>
      </c>
      <c r="F11218" s="23" t="s">
        <v>55</v>
      </c>
      <c r="G11218" s="24">
        <v>734.0</v>
      </c>
      <c r="H11218" s="24">
        <v>346.0</v>
      </c>
      <c r="I11218" s="24">
        <v>0.0</v>
      </c>
      <c r="J11218" s="24">
        <v>0.0</v>
      </c>
      <c r="K11218" s="23" t="s">
        <v>34</v>
      </c>
      <c r="L11218" s="25">
        <v>40347.89087962963</v>
      </c>
      <c r="M11218" s="26" t="s">
        <v>23597</v>
      </c>
      <c r="N11218" s="26" t="s">
        <v>23598</v>
      </c>
      <c r="O11218" s="22" t="str">
        <f>HYPERLINK("https://pbs.twimg.com/profile_images/668334421523628032/Mf_uzwhA_normal.jpg","View")</f>
        <v>View</v>
      </c>
      <c r="P11218" s="27"/>
    </row>
    <row r="11219">
      <c r="A11219" s="14">
        <v>43032.65221064815</v>
      </c>
      <c r="B11219" s="20" t="str">
        <f>HYPERLINK("https://twitter.com/screwccp","@screwccp")</f>
        <v>@screwccp</v>
      </c>
      <c r="C11219" s="21" t="s">
        <v>23599</v>
      </c>
      <c r="D11219" s="21" t="s">
        <v>23525</v>
      </c>
      <c r="E11219" s="22" t="str">
        <f>HYPERLINK("https://twitter.com/screwccp/status/922955657128525824","922955657128525824")</f>
        <v>922955657128525824</v>
      </c>
      <c r="F11219" s="23" t="s">
        <v>55</v>
      </c>
      <c r="G11219" s="24">
        <v>1902.0</v>
      </c>
      <c r="H11219" s="24">
        <v>639.0</v>
      </c>
      <c r="I11219" s="24">
        <v>41.0</v>
      </c>
      <c r="J11219" s="24">
        <v>0.0</v>
      </c>
      <c r="K11219" s="23" t="s">
        <v>34</v>
      </c>
      <c r="L11219" s="25">
        <v>41010.917546296296</v>
      </c>
      <c r="M11219" s="28"/>
      <c r="N11219" s="26" t="s">
        <v>23600</v>
      </c>
      <c r="O11219" s="22" t="str">
        <f>HYPERLINK("https://pbs.twimg.com/profile_images/461337581444022272/wHPN6T71_normal.jpeg","View")</f>
        <v>View</v>
      </c>
      <c r="P11219" s="27"/>
    </row>
    <row r="11220">
      <c r="A11220" s="14">
        <v>43032.65232638889</v>
      </c>
      <c r="B11220" s="20" t="str">
        <f>HYPERLINK("https://twitter.com/NormanCMarvel","@NormanCMarvel")</f>
        <v>@NormanCMarvel</v>
      </c>
      <c r="C11220" s="21" t="s">
        <v>23601</v>
      </c>
      <c r="D11220" s="21" t="s">
        <v>23525</v>
      </c>
      <c r="E11220" s="22" t="str">
        <f>HYPERLINK("https://twitter.com/NormanCMarvel/status/922955700522881024","922955700522881024")</f>
        <v>922955700522881024</v>
      </c>
      <c r="F11220" s="23" t="s">
        <v>33</v>
      </c>
      <c r="G11220" s="24">
        <v>73.0</v>
      </c>
      <c r="H11220" s="24">
        <v>185.0</v>
      </c>
      <c r="I11220" s="24">
        <v>41.0</v>
      </c>
      <c r="J11220" s="24">
        <v>0.0</v>
      </c>
      <c r="K11220" s="23" t="s">
        <v>34</v>
      </c>
      <c r="L11220" s="25">
        <v>41200.58011574074</v>
      </c>
      <c r="M11220" s="26" t="s">
        <v>23602</v>
      </c>
      <c r="N11220" s="28"/>
      <c r="O11220" s="22" t="str">
        <f>HYPERLINK("https://pbs.twimg.com/profile_images/3481774111/f2eb06d9117877bdefa02bf467036e22_normal.jpeg","View")</f>
        <v>View</v>
      </c>
      <c r="P11220" s="27"/>
    </row>
    <row r="11221">
      <c r="A11221" s="14">
        <v>43032.65241898148</v>
      </c>
      <c r="B11221" s="20" t="str">
        <f>HYPERLINK("https://twitter.com/Sakhi__Baloch","@Sakhi__Baloch")</f>
        <v>@Sakhi__Baloch</v>
      </c>
      <c r="C11221" s="21" t="s">
        <v>23603</v>
      </c>
      <c r="D11221" s="21" t="s">
        <v>23525</v>
      </c>
      <c r="E11221" s="22" t="str">
        <f>HYPERLINK("https://twitter.com/Sakhi__Baloch/status/922955734375194625","922955734375194625")</f>
        <v>922955734375194625</v>
      </c>
      <c r="F11221" s="23" t="s">
        <v>39</v>
      </c>
      <c r="G11221" s="24">
        <v>1440.0</v>
      </c>
      <c r="H11221" s="24">
        <v>693.0</v>
      </c>
      <c r="I11221" s="24">
        <v>41.0</v>
      </c>
      <c r="J11221" s="24">
        <v>0.0</v>
      </c>
      <c r="K11221" s="23" t="s">
        <v>34</v>
      </c>
      <c r="L11221" s="25">
        <v>42068.0453587963</v>
      </c>
      <c r="M11221" s="32" t="s">
        <v>23604</v>
      </c>
      <c r="N11221" s="32" t="s">
        <v>23605</v>
      </c>
      <c r="O11221" s="22" t="str">
        <f>HYPERLINK("https://pbs.twimg.com/profile_images/786553812672741380/lqseoBUO_normal.jpg","View")</f>
        <v>View</v>
      </c>
      <c r="P11221" s="27"/>
    </row>
    <row r="11222">
      <c r="A11222" s="14">
        <v>43032.652719907404</v>
      </c>
      <c r="B11222" s="20" t="str">
        <f>HYPERLINK("https://twitter.com/dgtlresistance","@dgtlresistance")</f>
        <v>@dgtlresistance</v>
      </c>
      <c r="C11222" s="21" t="s">
        <v>23606</v>
      </c>
      <c r="D11222" s="21" t="s">
        <v>23607</v>
      </c>
      <c r="E11222" s="22" t="str">
        <f>HYPERLINK("https://twitter.com/dgtlresistance/status/922955842294550528","922955842294550528")</f>
        <v>922955842294550528</v>
      </c>
      <c r="F11222" s="23" t="s">
        <v>187</v>
      </c>
      <c r="G11222" s="24">
        <v>5384.0</v>
      </c>
      <c r="H11222" s="24">
        <v>46.0</v>
      </c>
      <c r="I11222" s="24">
        <v>0.0</v>
      </c>
      <c r="J11222" s="24">
        <v>0.0</v>
      </c>
      <c r="K11222" s="23" t="s">
        <v>34</v>
      </c>
      <c r="L11222" s="25">
        <v>40876.658113425925</v>
      </c>
      <c r="M11222" s="26" t="s">
        <v>23608</v>
      </c>
      <c r="N11222" s="26" t="s">
        <v>23609</v>
      </c>
      <c r="O11222" s="22" t="str">
        <f>HYPERLINK("https://pbs.twimg.com/profile_images/378800000411169156/14501a2d69ed35562590ea8c4ae57c57_normal.png","View")</f>
        <v>View</v>
      </c>
      <c r="P11222" s="27"/>
    </row>
    <row r="11223">
      <c r="A11223" s="14">
        <v>43032.65568287037</v>
      </c>
      <c r="B11223" s="20" t="str">
        <f>HYPERLINK("https://twitter.com/viam_longam","@viam_longam")</f>
        <v>@viam_longam</v>
      </c>
      <c r="C11223" s="21" t="s">
        <v>23610</v>
      </c>
      <c r="D11223" s="21" t="s">
        <v>21608</v>
      </c>
      <c r="E11223" s="22" t="str">
        <f>HYPERLINK("https://twitter.com/viam_longam/status/922956917432971266","922956917432971266")</f>
        <v>922956917432971266</v>
      </c>
      <c r="F11223" s="23" t="s">
        <v>39</v>
      </c>
      <c r="G11223" s="24">
        <v>359.0</v>
      </c>
      <c r="H11223" s="24">
        <v>265.0</v>
      </c>
      <c r="I11223" s="24">
        <v>4.0</v>
      </c>
      <c r="J11223" s="24">
        <v>0.0</v>
      </c>
      <c r="K11223" s="23" t="s">
        <v>34</v>
      </c>
      <c r="L11223" s="25">
        <v>40617.07807870371</v>
      </c>
      <c r="M11223" s="26" t="s">
        <v>23611</v>
      </c>
      <c r="N11223" s="26" t="s">
        <v>23612</v>
      </c>
      <c r="O11223" s="22" t="str">
        <f>HYPERLINK("https://pbs.twimg.com/profile_images/798805141398777856/pok_2xsj_normal.jpg","View")</f>
        <v>View</v>
      </c>
      <c r="P11223" s="27"/>
    </row>
    <row r="11224">
      <c r="A11224" s="14">
        <v>43032.655960648146</v>
      </c>
      <c r="B11224" s="20" t="str">
        <f>HYPERLINK("https://twitter.com/heyone2free","@heyone2free")</f>
        <v>@heyone2free</v>
      </c>
      <c r="C11224" s="21" t="s">
        <v>10826</v>
      </c>
      <c r="D11224" s="21" t="s">
        <v>23167</v>
      </c>
      <c r="E11224" s="22" t="str">
        <f>HYPERLINK("https://twitter.com/heyone2free/status/922957017597095936","922957017597095936")</f>
        <v>922957017597095936</v>
      </c>
      <c r="F11224" s="23" t="s">
        <v>39</v>
      </c>
      <c r="G11224" s="24">
        <v>64.0</v>
      </c>
      <c r="H11224" s="24">
        <v>365.0</v>
      </c>
      <c r="I11224" s="24">
        <v>4.0</v>
      </c>
      <c r="J11224" s="24">
        <v>0.0</v>
      </c>
      <c r="K11224" s="23" t="s">
        <v>34</v>
      </c>
      <c r="L11224" s="25">
        <v>40491.08284722222</v>
      </c>
      <c r="M11224" s="26" t="s">
        <v>271</v>
      </c>
      <c r="N11224" s="26" t="s">
        <v>10827</v>
      </c>
      <c r="O11224" s="22" t="str">
        <f>HYPERLINK("https://pbs.twimg.com/profile_images/804337840066703360/0lwyKxvn_normal.jpg","View")</f>
        <v>View</v>
      </c>
      <c r="P11224" s="27"/>
    </row>
    <row r="11225">
      <c r="A11225" s="14">
        <v>43032.65671296296</v>
      </c>
      <c r="B11225" s="20" t="str">
        <f>HYPERLINK("https://twitter.com/AmehArome","@AmehArome")</f>
        <v>@AmehArome</v>
      </c>
      <c r="C11225" s="21" t="s">
        <v>23613</v>
      </c>
      <c r="D11225" s="21" t="s">
        <v>23525</v>
      </c>
      <c r="E11225" s="22" t="str">
        <f>HYPERLINK("https://twitter.com/AmehArome/status/922957291158110209","922957291158110209")</f>
        <v>922957291158110209</v>
      </c>
      <c r="F11225" s="23" t="s">
        <v>55</v>
      </c>
      <c r="G11225" s="24">
        <v>87.0</v>
      </c>
      <c r="H11225" s="24">
        <v>363.0</v>
      </c>
      <c r="I11225" s="24">
        <v>41.0</v>
      </c>
      <c r="J11225" s="24">
        <v>0.0</v>
      </c>
      <c r="K11225" s="23" t="s">
        <v>34</v>
      </c>
      <c r="L11225" s="25">
        <v>40725.25744212963</v>
      </c>
      <c r="M11225" s="26" t="s">
        <v>17280</v>
      </c>
      <c r="N11225" s="26" t="s">
        <v>23614</v>
      </c>
      <c r="O11225" s="22" t="str">
        <f>HYPERLINK("https://pbs.twimg.com/profile_images/425003606207508480/Wy-YvU4l_normal.jpeg","View")</f>
        <v>View</v>
      </c>
      <c r="P11225" s="27"/>
    </row>
    <row r="11226">
      <c r="A11226" s="14">
        <v>43032.65959490741</v>
      </c>
      <c r="B11226" s="20" t="str">
        <f>HYPERLINK("https://twitter.com/OfeliyaDD","@OfeliyaDD")</f>
        <v>@OfeliyaDD</v>
      </c>
      <c r="C11226" s="21" t="s">
        <v>23615</v>
      </c>
      <c r="D11226" s="21" t="s">
        <v>23525</v>
      </c>
      <c r="E11226" s="22" t="str">
        <f>HYPERLINK("https://twitter.com/OfeliyaDD/status/922958333492916224","922958333492916224")</f>
        <v>922958333492916224</v>
      </c>
      <c r="F11226" s="23" t="s">
        <v>55</v>
      </c>
      <c r="G11226" s="24">
        <v>2847.0</v>
      </c>
      <c r="H11226" s="24">
        <v>2161.0</v>
      </c>
      <c r="I11226" s="24">
        <v>41.0</v>
      </c>
      <c r="J11226" s="24">
        <v>0.0</v>
      </c>
      <c r="K11226" s="23" t="s">
        <v>34</v>
      </c>
      <c r="L11226" s="25">
        <v>40610.36929398148</v>
      </c>
      <c r="M11226" s="26" t="s">
        <v>10438</v>
      </c>
      <c r="N11226" s="26" t="s">
        <v>23616</v>
      </c>
      <c r="O11226" s="22" t="str">
        <f>HYPERLINK("https://pbs.twimg.com/profile_images/1265890279/158_4c9d04d759498_normal.jpg","View")</f>
        <v>View</v>
      </c>
      <c r="P11226" s="27"/>
    </row>
    <row r="11227">
      <c r="A11227" s="14">
        <v>43032.66133101852</v>
      </c>
      <c r="B11227" s="20" t="str">
        <f>HYPERLINK("https://twitter.com/Jesse_Olivier","@Jesse_Olivier")</f>
        <v>@Jesse_Olivier</v>
      </c>
      <c r="C11227" s="21" t="s">
        <v>23617</v>
      </c>
      <c r="D11227" s="21" t="s">
        <v>23618</v>
      </c>
      <c r="E11227" s="22" t="str">
        <f>HYPERLINK("https://twitter.com/Jesse_Olivier/status/922958964748251136","922958964748251136")</f>
        <v>922958964748251136</v>
      </c>
      <c r="F11227" s="23" t="s">
        <v>33</v>
      </c>
      <c r="G11227" s="24">
        <v>49.0</v>
      </c>
      <c r="H11227" s="24">
        <v>95.0</v>
      </c>
      <c r="I11227" s="24">
        <v>1.0</v>
      </c>
      <c r="J11227" s="24">
        <v>0.0</v>
      </c>
      <c r="K11227" s="23" t="s">
        <v>34</v>
      </c>
      <c r="L11227" s="25">
        <v>42766.16059027778</v>
      </c>
      <c r="M11227" s="26" t="s">
        <v>3693</v>
      </c>
      <c r="N11227" s="26" t="s">
        <v>23619</v>
      </c>
      <c r="O11227" s="22" t="str">
        <f>HYPERLINK("https://pbs.twimg.com/profile_images/905266601653526528/20wBT0BS_normal.jpg","View")</f>
        <v>View</v>
      </c>
      <c r="P11227" s="27"/>
    </row>
    <row r="11228">
      <c r="A11228" s="14">
        <v>43032.66332175926</v>
      </c>
      <c r="B11228" s="20" t="str">
        <f>HYPERLINK("https://twitter.com/frontier2ban","@frontier2ban")</f>
        <v>@frontier2ban</v>
      </c>
      <c r="C11228" s="21" t="s">
        <v>23620</v>
      </c>
      <c r="D11228" s="21" t="s">
        <v>23621</v>
      </c>
      <c r="E11228" s="22" t="str">
        <f>HYPERLINK("https://twitter.com/frontier2ban/status/922959687330533378","922959687330533378")</f>
        <v>922959687330533378</v>
      </c>
      <c r="F11228" s="23" t="s">
        <v>55</v>
      </c>
      <c r="G11228" s="24">
        <v>1416.0</v>
      </c>
      <c r="H11228" s="24">
        <v>842.0</v>
      </c>
      <c r="I11228" s="24">
        <v>0.0</v>
      </c>
      <c r="J11228" s="24">
        <v>0.0</v>
      </c>
      <c r="K11228" s="23" t="s">
        <v>34</v>
      </c>
      <c r="L11228" s="25">
        <v>40384.56773148148</v>
      </c>
      <c r="M11228" s="26" t="s">
        <v>23622</v>
      </c>
      <c r="N11228" s="26" t="s">
        <v>23623</v>
      </c>
      <c r="O11228" s="22" t="str">
        <f>HYPERLINK("https://pbs.twimg.com/profile_images/680129166721855488/8OI73d9O_normal.jpg","View")</f>
        <v>View</v>
      </c>
      <c r="P11228" s="27"/>
    </row>
    <row r="11229">
      <c r="A11229" s="14">
        <v>43032.66428240741</v>
      </c>
      <c r="B11229" s="20" t="str">
        <f>HYPERLINK("https://twitter.com/SonnyCaf","@SonnyCaf")</f>
        <v>@SonnyCaf</v>
      </c>
      <c r="C11229" s="21" t="s">
        <v>23624</v>
      </c>
      <c r="D11229" s="21" t="s">
        <v>23525</v>
      </c>
      <c r="E11229" s="22" t="str">
        <f>HYPERLINK("https://twitter.com/SonnyCaf/status/922960032408403968","922960032408403968")</f>
        <v>922960032408403968</v>
      </c>
      <c r="F11229" s="23" t="s">
        <v>55</v>
      </c>
      <c r="G11229" s="24">
        <v>55.0</v>
      </c>
      <c r="H11229" s="24">
        <v>75.0</v>
      </c>
      <c r="I11229" s="24">
        <v>41.0</v>
      </c>
      <c r="J11229" s="24">
        <v>0.0</v>
      </c>
      <c r="K11229" s="23" t="s">
        <v>34</v>
      </c>
      <c r="L11229" s="25">
        <v>40538.76599537037</v>
      </c>
      <c r="M11229" s="28"/>
      <c r="N11229" s="28"/>
      <c r="O11229" s="22" t="str">
        <f>HYPERLINK("https://pbs.twimg.com/profile_images/768918204471279617/Hfu8Nqq5_normal.jpg","View")</f>
        <v>View</v>
      </c>
      <c r="P11229" s="27"/>
    </row>
    <row r="11230">
      <c r="A11230" s="14">
        <v>43032.665983796294</v>
      </c>
      <c r="B11230" s="20" t="str">
        <f>HYPERLINK("https://twitter.com/tomo_eng","@tomo_eng")</f>
        <v>@tomo_eng</v>
      </c>
      <c r="C11230" s="21" t="s">
        <v>23625</v>
      </c>
      <c r="D11230" s="21" t="s">
        <v>17832</v>
      </c>
      <c r="E11230" s="22" t="str">
        <f>HYPERLINK("https://twitter.com/tomo_eng/status/922960651865264128","922960651865264128")</f>
        <v>922960651865264128</v>
      </c>
      <c r="F11230" s="23" t="s">
        <v>5903</v>
      </c>
      <c r="G11230" s="24">
        <v>189.0</v>
      </c>
      <c r="H11230" s="24">
        <v>175.0</v>
      </c>
      <c r="I11230" s="24">
        <v>6.0</v>
      </c>
      <c r="J11230" s="24">
        <v>0.0</v>
      </c>
      <c r="K11230" s="23" t="s">
        <v>34</v>
      </c>
      <c r="L11230" s="25">
        <v>40134.09484953704</v>
      </c>
      <c r="M11230" s="26" t="s">
        <v>853</v>
      </c>
      <c r="N11230" s="26" t="s">
        <v>23626</v>
      </c>
      <c r="O11230" s="22" t="str">
        <f>HYPERLINK("https://pbs.twimg.com/profile_images/530785299/rio_normal.png","View")</f>
        <v>View</v>
      </c>
      <c r="P11230" s="27"/>
    </row>
    <row r="11231">
      <c r="A11231" s="14">
        <v>43032.66679398148</v>
      </c>
      <c r="B11231" s="20" t="str">
        <f>HYPERLINK("https://twitter.com/gadgetflye1","@gadgetflye1")</f>
        <v>@gadgetflye1</v>
      </c>
      <c r="C11231" s="21" t="s">
        <v>23627</v>
      </c>
      <c r="D11231" s="21" t="s">
        <v>23628</v>
      </c>
      <c r="E11231" s="22" t="str">
        <f>HYPERLINK("https://twitter.com/gadgetflye1/status/922960942844874752","922960942844874752")</f>
        <v>922960942844874752</v>
      </c>
      <c r="F11231" s="23" t="s">
        <v>23629</v>
      </c>
      <c r="G11231" s="24">
        <v>1025.0</v>
      </c>
      <c r="H11231" s="24">
        <v>5001.0</v>
      </c>
      <c r="I11231" s="24">
        <v>63.0</v>
      </c>
      <c r="J11231" s="24">
        <v>0.0</v>
      </c>
      <c r="K11231" s="23" t="s">
        <v>34</v>
      </c>
      <c r="L11231" s="25">
        <v>42464.260347222225</v>
      </c>
      <c r="M11231" s="26" t="s">
        <v>1362</v>
      </c>
      <c r="N11231" s="28"/>
      <c r="O11231" s="22" t="str">
        <f>HYPERLINK("https://pbs.twimg.com/profile_images/717769207161573376/Z1eIqTnj_normal.jpg","View")</f>
        <v>View</v>
      </c>
      <c r="P11231" s="27"/>
    </row>
    <row r="11232">
      <c r="A11232" s="14">
        <v>43032.66983796297</v>
      </c>
      <c r="B11232" s="20" t="str">
        <f>HYPERLINK("https://twitter.com/frontier2ban","@frontier2ban")</f>
        <v>@frontier2ban</v>
      </c>
      <c r="C11232" s="21" t="s">
        <v>23620</v>
      </c>
      <c r="D11232" s="21" t="s">
        <v>23630</v>
      </c>
      <c r="E11232" s="22" t="str">
        <f>HYPERLINK("https://twitter.com/frontier2ban/status/922962047796641794","922962047796641794")</f>
        <v>922962047796641794</v>
      </c>
      <c r="F11232" s="23" t="s">
        <v>55</v>
      </c>
      <c r="G11232" s="24">
        <v>1416.0</v>
      </c>
      <c r="H11232" s="24">
        <v>842.0</v>
      </c>
      <c r="I11232" s="24">
        <v>0.0</v>
      </c>
      <c r="J11232" s="24">
        <v>0.0</v>
      </c>
      <c r="K11232" s="23" t="s">
        <v>34</v>
      </c>
      <c r="L11232" s="25">
        <v>40384.56773148148</v>
      </c>
      <c r="M11232" s="26" t="s">
        <v>23622</v>
      </c>
      <c r="N11232" s="26" t="s">
        <v>23623</v>
      </c>
      <c r="O11232" s="22" t="str">
        <f>HYPERLINK("https://pbs.twimg.com/profile_images/680129166721855488/8OI73d9O_normal.jpg","View")</f>
        <v>View</v>
      </c>
      <c r="P11232" s="27"/>
    </row>
    <row r="11233">
      <c r="A11233" s="14">
        <v>43032.67055555555</v>
      </c>
      <c r="B11233" s="20" t="str">
        <f>HYPERLINK("https://twitter.com/querong92643614","@querong92643614")</f>
        <v>@querong92643614</v>
      </c>
      <c r="C11233" s="21" t="s">
        <v>23030</v>
      </c>
      <c r="D11233" s="21" t="s">
        <v>23631</v>
      </c>
      <c r="E11233" s="22" t="str">
        <f>HYPERLINK("https://twitter.com/querong92643614/status/922962307105275905","922962307105275905")</f>
        <v>922962307105275905</v>
      </c>
      <c r="F11233" s="23" t="s">
        <v>55</v>
      </c>
      <c r="G11233" s="24">
        <v>3.0</v>
      </c>
      <c r="H11233" s="24">
        <v>68.0</v>
      </c>
      <c r="I11233" s="24">
        <v>0.0</v>
      </c>
      <c r="J11233" s="24">
        <v>0.0</v>
      </c>
      <c r="K11233" s="23" t="s">
        <v>34</v>
      </c>
      <c r="L11233" s="25">
        <v>43032.28738425926</v>
      </c>
      <c r="M11233" s="28"/>
      <c r="N11233" s="28"/>
      <c r="O11233" s="22" t="str">
        <f t="shared" ref="O11233:O11237" si="283">HYPERLINK("https://abs.twimg.com/sticky/default_profile_images/default_profile_normal.png","View")</f>
        <v>View</v>
      </c>
      <c r="P11233" s="27"/>
    </row>
    <row r="11234">
      <c r="A11234" s="14">
        <v>43032.67055555555</v>
      </c>
      <c r="B11234" s="20" t="str">
        <f>HYPERLINK("https://twitter.com/yanghao291462","@yanghao291462")</f>
        <v>@yanghao291462</v>
      </c>
      <c r="C11234" s="21" t="s">
        <v>23034</v>
      </c>
      <c r="D11234" s="21" t="s">
        <v>23632</v>
      </c>
      <c r="E11234" s="22" t="str">
        <f>HYPERLINK("https://twitter.com/yanghao291462/status/922962307197542400","922962307197542400")</f>
        <v>922962307197542400</v>
      </c>
      <c r="F11234" s="23" t="s">
        <v>55</v>
      </c>
      <c r="G11234" s="24">
        <v>0.0</v>
      </c>
      <c r="H11234" s="24">
        <v>49.0</v>
      </c>
      <c r="I11234" s="24">
        <v>0.0</v>
      </c>
      <c r="J11234" s="24">
        <v>0.0</v>
      </c>
      <c r="K11234" s="23" t="s">
        <v>34</v>
      </c>
      <c r="L11234" s="25">
        <v>43032.28491898148</v>
      </c>
      <c r="M11234" s="28"/>
      <c r="N11234" s="28"/>
      <c r="O11234" s="22" t="str">
        <f t="shared" si="283"/>
        <v>View</v>
      </c>
      <c r="P11234" s="27"/>
    </row>
    <row r="11235">
      <c r="A11235" s="14">
        <v>43032.67055555555</v>
      </c>
      <c r="B11235" s="20" t="str">
        <f>HYPERLINK("https://twitter.com/bazai82620561","@bazai82620561")</f>
        <v>@bazai82620561</v>
      </c>
      <c r="C11235" s="21" t="s">
        <v>23036</v>
      </c>
      <c r="D11235" s="21" t="s">
        <v>23633</v>
      </c>
      <c r="E11235" s="22" t="str">
        <f>HYPERLINK("https://twitter.com/bazai82620561/status/922962309160484866","922962309160484866")</f>
        <v>922962309160484866</v>
      </c>
      <c r="F11235" s="23" t="s">
        <v>55</v>
      </c>
      <c r="G11235" s="24">
        <v>1.0</v>
      </c>
      <c r="H11235" s="24">
        <v>52.0</v>
      </c>
      <c r="I11235" s="24">
        <v>0.0</v>
      </c>
      <c r="J11235" s="24">
        <v>0.0</v>
      </c>
      <c r="K11235" s="23" t="s">
        <v>34</v>
      </c>
      <c r="L11235" s="25">
        <v>43032.280335648145</v>
      </c>
      <c r="M11235" s="28"/>
      <c r="N11235" s="28"/>
      <c r="O11235" s="22" t="str">
        <f t="shared" si="283"/>
        <v>View</v>
      </c>
      <c r="P11235" s="27"/>
    </row>
    <row r="11236">
      <c r="A11236" s="14">
        <v>43032.67056712963</v>
      </c>
      <c r="B11236" s="20" t="str">
        <f>HYPERLINK("https://twitter.com/muzhu37954","@muzhu37954")</f>
        <v>@muzhu37954</v>
      </c>
      <c r="C11236" s="21" t="s">
        <v>23038</v>
      </c>
      <c r="D11236" s="21" t="s">
        <v>23634</v>
      </c>
      <c r="E11236" s="22" t="str">
        <f>HYPERLINK("https://twitter.com/muzhu37954/status/922962309445644288","922962309445644288")</f>
        <v>922962309445644288</v>
      </c>
      <c r="F11236" s="23" t="s">
        <v>55</v>
      </c>
      <c r="G11236" s="24">
        <v>3.0</v>
      </c>
      <c r="H11236" s="24">
        <v>70.0</v>
      </c>
      <c r="I11236" s="24">
        <v>0.0</v>
      </c>
      <c r="J11236" s="24">
        <v>0.0</v>
      </c>
      <c r="K11236" s="23" t="s">
        <v>34</v>
      </c>
      <c r="L11236" s="25">
        <v>43032.28363425926</v>
      </c>
      <c r="M11236" s="28"/>
      <c r="N11236" s="28"/>
      <c r="O11236" s="22" t="str">
        <f t="shared" si="283"/>
        <v>View</v>
      </c>
      <c r="P11236" s="27"/>
    </row>
    <row r="11237">
      <c r="A11237" s="14">
        <v>43032.67056712963</v>
      </c>
      <c r="B11237" s="20" t="str">
        <f>HYPERLINK("https://twitter.com/pangyu55911455","@pangyu55911455")</f>
        <v>@pangyu55911455</v>
      </c>
      <c r="C11237" s="21" t="s">
        <v>23032</v>
      </c>
      <c r="D11237" s="21" t="s">
        <v>23635</v>
      </c>
      <c r="E11237" s="22" t="str">
        <f>HYPERLINK("https://twitter.com/pangyu55911455/status/922962311131807744","922962311131807744")</f>
        <v>922962311131807744</v>
      </c>
      <c r="F11237" s="23" t="s">
        <v>55</v>
      </c>
      <c r="G11237" s="24">
        <v>2.0</v>
      </c>
      <c r="H11237" s="24">
        <v>66.0</v>
      </c>
      <c r="I11237" s="24">
        <v>0.0</v>
      </c>
      <c r="J11237" s="24">
        <v>0.0</v>
      </c>
      <c r="K11237" s="23" t="s">
        <v>34</v>
      </c>
      <c r="L11237" s="25">
        <v>43032.28197916667</v>
      </c>
      <c r="M11237" s="28"/>
      <c r="N11237" s="28"/>
      <c r="O11237" s="22" t="str">
        <f t="shared" si="283"/>
        <v>View</v>
      </c>
      <c r="P11237" s="27"/>
    </row>
    <row r="11238">
      <c r="A11238" s="14">
        <v>43032.670578703706</v>
      </c>
      <c r="B11238" s="20" t="str">
        <f>HYPERLINK("https://twitter.com/MarcoNavarroLor","@MarcoNavarroLor")</f>
        <v>@MarcoNavarroLor</v>
      </c>
      <c r="C11238" s="21" t="s">
        <v>14895</v>
      </c>
      <c r="D11238" s="21" t="s">
        <v>23525</v>
      </c>
      <c r="E11238" s="22" t="str">
        <f>HYPERLINK("https://twitter.com/MarcoNavarroLor/status/922962313895956483","922962313895956483")</f>
        <v>922962313895956483</v>
      </c>
      <c r="F11238" s="23" t="s">
        <v>39</v>
      </c>
      <c r="G11238" s="24">
        <v>682.0</v>
      </c>
      <c r="H11238" s="24">
        <v>100.0</v>
      </c>
      <c r="I11238" s="24">
        <v>41.0</v>
      </c>
      <c r="J11238" s="24">
        <v>0.0</v>
      </c>
      <c r="K11238" s="23" t="s">
        <v>34</v>
      </c>
      <c r="L11238" s="25">
        <v>42314.45510416667</v>
      </c>
      <c r="M11238" s="26" t="s">
        <v>14896</v>
      </c>
      <c r="N11238" s="26" t="s">
        <v>14897</v>
      </c>
      <c r="O11238" s="22" t="str">
        <f>HYPERLINK("https://pbs.twimg.com/profile_images/913887688268402688/p4NueOZE_normal.jpg","View")</f>
        <v>View</v>
      </c>
      <c r="P11238" s="27"/>
    </row>
    <row r="11239">
      <c r="A11239" s="14">
        <v>43032.67152777778</v>
      </c>
      <c r="B11239" s="20" t="str">
        <f>HYPERLINK("https://twitter.com/CSIS","@CSIS")</f>
        <v>@CSIS</v>
      </c>
      <c r="C11239" s="21" t="s">
        <v>12198</v>
      </c>
      <c r="D11239" s="21" t="s">
        <v>23636</v>
      </c>
      <c r="E11239" s="22" t="str">
        <f>HYPERLINK("https://twitter.com/CSIS/status/922962660441968642","922962660441968642")</f>
        <v>922962660441968642</v>
      </c>
      <c r="F11239" s="23" t="s">
        <v>769</v>
      </c>
      <c r="G11239" s="24">
        <v>234457.0</v>
      </c>
      <c r="H11239" s="24">
        <v>93.0</v>
      </c>
      <c r="I11239" s="24">
        <v>5.0</v>
      </c>
      <c r="J11239" s="24">
        <v>3.0</v>
      </c>
      <c r="K11239" s="23" t="s">
        <v>34</v>
      </c>
      <c r="L11239" s="25">
        <v>40627.42355324074</v>
      </c>
      <c r="M11239" s="26" t="s">
        <v>4239</v>
      </c>
      <c r="N11239" s="26" t="s">
        <v>12200</v>
      </c>
      <c r="O11239" s="22" t="str">
        <f>HYPERLINK("https://pbs.twimg.com/profile_images/477147454463176704/CMatM8X8_normal.jpeg","View")</f>
        <v>View</v>
      </c>
      <c r="P11239" s="27"/>
    </row>
    <row r="11240">
      <c r="A11240" s="14">
        <v>43032.6725</v>
      </c>
      <c r="B11240" s="20" t="str">
        <f>HYPERLINK("https://twitter.com/YMCHOI2","@YMCHOI2")</f>
        <v>@YMCHOI2</v>
      </c>
      <c r="C11240" s="21" t="s">
        <v>8616</v>
      </c>
      <c r="D11240" s="21" t="s">
        <v>23637</v>
      </c>
      <c r="E11240" s="22" t="str">
        <f>HYPERLINK("https://twitter.com/YMCHOI2/status/922963013103075328","922963013103075328")</f>
        <v>922963013103075328</v>
      </c>
      <c r="F11240" s="23" t="s">
        <v>43</v>
      </c>
      <c r="G11240" s="24">
        <v>20858.0</v>
      </c>
      <c r="H11240" s="24">
        <v>20272.0</v>
      </c>
      <c r="I11240" s="24">
        <v>5.0</v>
      </c>
      <c r="J11240" s="24">
        <v>0.0</v>
      </c>
      <c r="K11240" s="23" t="s">
        <v>34</v>
      </c>
      <c r="L11240" s="25">
        <v>41293.257638888885</v>
      </c>
      <c r="M11240" s="28"/>
      <c r="N11240" s="26" t="s">
        <v>8617</v>
      </c>
      <c r="O11240" s="22" t="str">
        <f>HYPERLINK("https://pbs.twimg.com/profile_images/443239374944075777/W_nmvWDS_normal.png","View")</f>
        <v>View</v>
      </c>
      <c r="P11240" s="27"/>
    </row>
    <row r="11241">
      <c r="A11241" s="14">
        <v>43032.673113425924</v>
      </c>
      <c r="B11241" s="20" t="str">
        <f>HYPERLINK("https://twitter.com/tomo_eng","@tomo_eng")</f>
        <v>@tomo_eng</v>
      </c>
      <c r="C11241" s="21" t="s">
        <v>23625</v>
      </c>
      <c r="D11241" s="21" t="s">
        <v>19621</v>
      </c>
      <c r="E11241" s="22" t="str">
        <f>HYPERLINK("https://twitter.com/tomo_eng/status/922963232754561024","922963232754561024")</f>
        <v>922963232754561024</v>
      </c>
      <c r="F11241" s="23" t="s">
        <v>5903</v>
      </c>
      <c r="G11241" s="24">
        <v>189.0</v>
      </c>
      <c r="H11241" s="24">
        <v>175.0</v>
      </c>
      <c r="I11241" s="24">
        <v>18.0</v>
      </c>
      <c r="J11241" s="24">
        <v>0.0</v>
      </c>
      <c r="K11241" s="23" t="s">
        <v>34</v>
      </c>
      <c r="L11241" s="25">
        <v>40134.09484953704</v>
      </c>
      <c r="M11241" s="26" t="s">
        <v>853</v>
      </c>
      <c r="N11241" s="26" t="s">
        <v>23626</v>
      </c>
      <c r="O11241" s="22" t="str">
        <f>HYPERLINK("https://pbs.twimg.com/profile_images/530785299/rio_normal.png","View")</f>
        <v>View</v>
      </c>
      <c r="P11241" s="27"/>
    </row>
    <row r="11242">
      <c r="A11242" s="14">
        <v>43032.67328703703</v>
      </c>
      <c r="B11242" s="20" t="str">
        <f>HYPERLINK("https://twitter.com/Raziel10000","@Raziel10000")</f>
        <v>@Raziel10000</v>
      </c>
      <c r="C11242" s="21" t="s">
        <v>23638</v>
      </c>
      <c r="D11242" s="21" t="s">
        <v>18660</v>
      </c>
      <c r="E11242" s="22" t="str">
        <f>HYPERLINK("https://twitter.com/Raziel10000/status/922963297388847105","922963297388847105")</f>
        <v>922963297388847105</v>
      </c>
      <c r="F11242" s="23" t="s">
        <v>33</v>
      </c>
      <c r="G11242" s="24">
        <v>404.0</v>
      </c>
      <c r="H11242" s="24">
        <v>434.0</v>
      </c>
      <c r="I11242" s="24">
        <v>17.0</v>
      </c>
      <c r="J11242" s="24">
        <v>0.0</v>
      </c>
      <c r="K11242" s="23" t="s">
        <v>34</v>
      </c>
      <c r="L11242" s="25">
        <v>42142.74605324074</v>
      </c>
      <c r="M11242" s="26" t="s">
        <v>23639</v>
      </c>
      <c r="N11242" s="26" t="s">
        <v>23640</v>
      </c>
      <c r="O11242" s="22" t="str">
        <f>HYPERLINK("https://pbs.twimg.com/profile_images/914590971634999296/7P4nlJcE_normal.jpg","View")</f>
        <v>View</v>
      </c>
      <c r="P11242" s="27"/>
    </row>
    <row r="11243">
      <c r="A11243" s="14">
        <v>43032.67334490741</v>
      </c>
      <c r="B11243" s="20" t="str">
        <f>HYPERLINK("https://twitter.com/DonJohnstonLC","@DonJohnstonLC")</f>
        <v>@DonJohnstonLC</v>
      </c>
      <c r="C11243" s="21" t="s">
        <v>12229</v>
      </c>
      <c r="D11243" s="21" t="s">
        <v>23641</v>
      </c>
      <c r="E11243" s="22" t="str">
        <f>HYPERLINK("https://twitter.com/DonJohnstonLC/status/922963318523953154","922963318523953154")</f>
        <v>922963318523953154</v>
      </c>
      <c r="F11243" s="23" t="s">
        <v>187</v>
      </c>
      <c r="G11243" s="24">
        <v>2843.0</v>
      </c>
      <c r="H11243" s="24">
        <v>782.0</v>
      </c>
      <c r="I11243" s="24">
        <v>0.0</v>
      </c>
      <c r="J11243" s="24">
        <v>1.0</v>
      </c>
      <c r="K11243" s="23" t="s">
        <v>34</v>
      </c>
      <c r="L11243" s="25">
        <v>42518.63056712963</v>
      </c>
      <c r="M11243" s="26" t="s">
        <v>2534</v>
      </c>
      <c r="N11243" s="26" t="s">
        <v>12231</v>
      </c>
      <c r="O11243" s="22" t="str">
        <f>HYPERLINK("https://pbs.twimg.com/profile_images/899843960767643648/x30pTAZ9_normal.jpg","View")</f>
        <v>View</v>
      </c>
      <c r="P11243" s="27"/>
    </row>
    <row r="11244">
      <c r="A11244" s="14">
        <v>43032.674375</v>
      </c>
      <c r="B11244" s="20" t="str">
        <f>HYPERLINK("https://twitter.com/akko_BLEACH","@akko_BLEACH")</f>
        <v>@akko_BLEACH</v>
      </c>
      <c r="C11244" s="21" t="s">
        <v>23642</v>
      </c>
      <c r="D11244" s="21" t="s">
        <v>23637</v>
      </c>
      <c r="E11244" s="22" t="str">
        <f>HYPERLINK("https://twitter.com/akko_BLEACH/status/922963693083561984","922963693083561984")</f>
        <v>922963693083561984</v>
      </c>
      <c r="F11244" s="23" t="s">
        <v>33</v>
      </c>
      <c r="G11244" s="24">
        <v>798.0</v>
      </c>
      <c r="H11244" s="24">
        <v>748.0</v>
      </c>
      <c r="I11244" s="24">
        <v>5.0</v>
      </c>
      <c r="J11244" s="24">
        <v>0.0</v>
      </c>
      <c r="K11244" s="23" t="s">
        <v>34</v>
      </c>
      <c r="L11244" s="25">
        <v>42441.083657407406</v>
      </c>
      <c r="M11244" s="26" t="s">
        <v>23643</v>
      </c>
      <c r="N11244" s="26" t="s">
        <v>23644</v>
      </c>
      <c r="O11244" s="22" t="str">
        <f>HYPERLINK("https://pbs.twimg.com/profile_images/917719873639165952/JQxgpnFr_normal.jpg","View")</f>
        <v>View</v>
      </c>
      <c r="P11244" s="27"/>
    </row>
    <row r="11245">
      <c r="A11245" s="14">
        <v>43032.674733796295</v>
      </c>
      <c r="B11245" s="20" t="str">
        <f>HYPERLINK("https://twitter.com/KevinYu9623","@KevinYu9623")</f>
        <v>@KevinYu9623</v>
      </c>
      <c r="C11245" s="21" t="s">
        <v>23645</v>
      </c>
      <c r="D11245" s="21" t="s">
        <v>23525</v>
      </c>
      <c r="E11245" s="22" t="str">
        <f>HYPERLINK("https://twitter.com/KevinYu9623/status/922963820124844034","922963820124844034")</f>
        <v>922963820124844034</v>
      </c>
      <c r="F11245" s="23" t="s">
        <v>39</v>
      </c>
      <c r="G11245" s="24">
        <v>75.0</v>
      </c>
      <c r="H11245" s="24">
        <v>46.0</v>
      </c>
      <c r="I11245" s="24">
        <v>41.0</v>
      </c>
      <c r="J11245" s="24">
        <v>0.0</v>
      </c>
      <c r="K11245" s="23" t="s">
        <v>34</v>
      </c>
      <c r="L11245" s="25">
        <v>41620.132418981484</v>
      </c>
      <c r="M11245" s="26" t="s">
        <v>23646</v>
      </c>
      <c r="N11245" s="28"/>
      <c r="O11245" s="22" t="str">
        <f>HYPERLINK("https://abs.twimg.com/sticky/default_profile_images/default_profile_normal.png","View")</f>
        <v>View</v>
      </c>
      <c r="P11245" s="27"/>
    </row>
    <row r="11246">
      <c r="A11246" s="14">
        <v>43032.67759259259</v>
      </c>
      <c r="B11246" s="20" t="str">
        <f>HYPERLINK("https://twitter.com/PublicSituation","@PublicSituation")</f>
        <v>@PublicSituation</v>
      </c>
      <c r="C11246" s="21" t="s">
        <v>12284</v>
      </c>
      <c r="D11246" s="21" t="s">
        <v>23637</v>
      </c>
      <c r="E11246" s="22" t="str">
        <f>HYPERLINK("https://twitter.com/PublicSituation/status/922964855446999041","922964855446999041")</f>
        <v>922964855446999041</v>
      </c>
      <c r="F11246" s="23" t="s">
        <v>12285</v>
      </c>
      <c r="G11246" s="24">
        <v>3421.0</v>
      </c>
      <c r="H11246" s="24">
        <v>3219.0</v>
      </c>
      <c r="I11246" s="24">
        <v>5.0</v>
      </c>
      <c r="J11246" s="24">
        <v>0.0</v>
      </c>
      <c r="K11246" s="23" t="s">
        <v>34</v>
      </c>
      <c r="L11246" s="25">
        <v>42488.26296296297</v>
      </c>
      <c r="M11246" s="26" t="s">
        <v>12286</v>
      </c>
      <c r="N11246" s="26" t="s">
        <v>12287</v>
      </c>
      <c r="O11246" s="22" t="str">
        <f>HYPERLINK("https://pbs.twimg.com/profile_images/859458512698650625/sRsalqLV_normal.jpg","View")</f>
        <v>View</v>
      </c>
      <c r="P11246" s="27"/>
    </row>
    <row r="11247">
      <c r="A11247" s="14">
        <v>43032.68530092592</v>
      </c>
      <c r="B11247" s="20" t="str">
        <f>HYPERLINK("https://twitter.com/manjush07942316","@manjush07942316")</f>
        <v>@manjush07942316</v>
      </c>
      <c r="C11247" s="21" t="s">
        <v>23647</v>
      </c>
      <c r="D11247" s="21" t="s">
        <v>42</v>
      </c>
      <c r="E11247" s="22" t="str">
        <f>HYPERLINK("https://twitter.com/manjush07942316/status/922967651353108482","922967651353108482")</f>
        <v>922967651353108482</v>
      </c>
      <c r="F11247" s="23" t="s">
        <v>33</v>
      </c>
      <c r="G11247" s="24">
        <v>5.0</v>
      </c>
      <c r="H11247" s="24">
        <v>38.0</v>
      </c>
      <c r="I11247" s="24">
        <v>8501.0</v>
      </c>
      <c r="J11247" s="24">
        <v>0.0</v>
      </c>
      <c r="K11247" s="23" t="s">
        <v>34</v>
      </c>
      <c r="L11247" s="25">
        <v>41499.89040509259</v>
      </c>
      <c r="M11247" s="28"/>
      <c r="N11247" s="28"/>
      <c r="O11247" s="22" t="str">
        <f>HYPERLINK("https://abs.twimg.com/sticky/default_profile_images/default_profile_normal.png","View")</f>
        <v>View</v>
      </c>
      <c r="P11247" s="27"/>
    </row>
    <row r="11248">
      <c r="A11248" s="14">
        <v>43032.68650462963</v>
      </c>
      <c r="B11248" s="20" t="str">
        <f>HYPERLINK("https://twitter.com/BPerrionni","@BPerrionni")</f>
        <v>@BPerrionni</v>
      </c>
      <c r="C11248" s="21" t="s">
        <v>23648</v>
      </c>
      <c r="D11248" s="21" t="s">
        <v>17703</v>
      </c>
      <c r="E11248" s="22" t="str">
        <f>HYPERLINK("https://twitter.com/BPerrionni/status/922968087304994816","922968087304994816")</f>
        <v>922968087304994816</v>
      </c>
      <c r="F11248" s="23" t="s">
        <v>55</v>
      </c>
      <c r="G11248" s="24">
        <v>3111.0</v>
      </c>
      <c r="H11248" s="24">
        <v>346.0</v>
      </c>
      <c r="I11248" s="24">
        <v>23.0</v>
      </c>
      <c r="J11248" s="24">
        <v>0.0</v>
      </c>
      <c r="K11248" s="23" t="s">
        <v>34</v>
      </c>
      <c r="L11248" s="25">
        <v>41700.650243055556</v>
      </c>
      <c r="M11248" s="28"/>
      <c r="N11248" s="28"/>
      <c r="O11248" s="22" t="str">
        <f>HYPERLINK("https://pbs.twimg.com/profile_images/815042552030064640/AD0pxTDl_normal.jpg","View")</f>
        <v>View</v>
      </c>
      <c r="P11248" s="27"/>
    </row>
    <row r="11249">
      <c r="A11249" s="14">
        <v>43032.68659722222</v>
      </c>
      <c r="B11249" s="20" t="str">
        <f>HYPERLINK("https://twitter.com/melucky873","@melucky873")</f>
        <v>@melucky873</v>
      </c>
      <c r="C11249" s="21" t="s">
        <v>8817</v>
      </c>
      <c r="D11249" s="21" t="s">
        <v>23649</v>
      </c>
      <c r="E11249" s="22" t="str">
        <f>HYPERLINK("https://twitter.com/melucky873/status/922968120289095682","922968120289095682")</f>
        <v>922968120289095682</v>
      </c>
      <c r="F11249" s="23" t="s">
        <v>187</v>
      </c>
      <c r="G11249" s="24">
        <v>50.0</v>
      </c>
      <c r="H11249" s="24">
        <v>274.0</v>
      </c>
      <c r="I11249" s="24">
        <v>0.0</v>
      </c>
      <c r="J11249" s="24">
        <v>0.0</v>
      </c>
      <c r="K11249" s="23" t="s">
        <v>34</v>
      </c>
      <c r="L11249" s="25">
        <v>42033.07145833333</v>
      </c>
      <c r="M11249" s="26" t="s">
        <v>905</v>
      </c>
      <c r="N11249" s="26" t="s">
        <v>8819</v>
      </c>
      <c r="O11249" s="22" t="str">
        <f>HYPERLINK("https://pbs.twimg.com/profile_images/694505468601827328/pNQ72eTb_normal.jpg","View")</f>
        <v>View</v>
      </c>
      <c r="P11249" s="27"/>
    </row>
    <row r="11250">
      <c r="A11250" s="14">
        <v>43032.68677083333</v>
      </c>
      <c r="B11250" s="20" t="str">
        <f>HYPERLINK("https://twitter.com/devintstewart","@devintstewart")</f>
        <v>@devintstewart</v>
      </c>
      <c r="C11250" s="21" t="s">
        <v>23650</v>
      </c>
      <c r="D11250" s="21" t="s">
        <v>23651</v>
      </c>
      <c r="E11250" s="22" t="str">
        <f>HYPERLINK("https://twitter.com/devintstewart/status/922968181790011392","922968181790011392")</f>
        <v>922968181790011392</v>
      </c>
      <c r="F11250" s="23" t="s">
        <v>39</v>
      </c>
      <c r="G11250" s="24">
        <v>7755.0</v>
      </c>
      <c r="H11250" s="24">
        <v>5572.0</v>
      </c>
      <c r="I11250" s="24">
        <v>1.0</v>
      </c>
      <c r="J11250" s="24">
        <v>1.0</v>
      </c>
      <c r="K11250" s="23" t="s">
        <v>34</v>
      </c>
      <c r="L11250" s="25">
        <v>39864.7375</v>
      </c>
      <c r="M11250" s="26" t="s">
        <v>120</v>
      </c>
      <c r="N11250" s="26" t="s">
        <v>23652</v>
      </c>
      <c r="O11250" s="22" t="str">
        <f>HYPERLINK("https://pbs.twimg.com/profile_images/868124656682901504/gbFekPFt_normal.jpg","View")</f>
        <v>View</v>
      </c>
      <c r="P11250" s="27"/>
    </row>
    <row r="11251">
      <c r="A11251" s="14">
        <v>43032.68766203704</v>
      </c>
      <c r="B11251" s="20" t="str">
        <f>HYPERLINK("https://twitter.com/WorldNewsNgayon","@WorldNewsNgayon")</f>
        <v>@WorldNewsNgayon</v>
      </c>
      <c r="C11251" s="21" t="s">
        <v>4889</v>
      </c>
      <c r="D11251" s="21" t="s">
        <v>18709</v>
      </c>
      <c r="E11251" s="22" t="str">
        <f>HYPERLINK("https://twitter.com/WorldNewsNgayon/status/922968505615560705","922968505615560705")</f>
        <v>922968505615560705</v>
      </c>
      <c r="F11251" s="23" t="s">
        <v>187</v>
      </c>
      <c r="G11251" s="24">
        <v>1177.0</v>
      </c>
      <c r="H11251" s="24">
        <v>9.0</v>
      </c>
      <c r="I11251" s="24">
        <v>0.0</v>
      </c>
      <c r="J11251" s="24">
        <v>0.0</v>
      </c>
      <c r="K11251" s="23" t="s">
        <v>34</v>
      </c>
      <c r="L11251" s="25">
        <v>41174.847233796296</v>
      </c>
      <c r="M11251" s="26" t="s">
        <v>3507</v>
      </c>
      <c r="N11251" s="26" t="s">
        <v>4891</v>
      </c>
      <c r="O11251" s="22" t="str">
        <f>HYPERLINK("https://pbs.twimg.com/profile_images/425420772534784000/_u4Vu6V1_normal.jpeg","View")</f>
        <v>View</v>
      </c>
      <c r="P11251" s="27"/>
    </row>
    <row r="11252">
      <c r="A11252" s="14">
        <v>43032.687673611115</v>
      </c>
      <c r="B11252" s="20" t="str">
        <f>HYPERLINK("https://twitter.com/frontier2ban","@frontier2ban")</f>
        <v>@frontier2ban</v>
      </c>
      <c r="C11252" s="21" t="s">
        <v>23620</v>
      </c>
      <c r="D11252" s="21" t="s">
        <v>23653</v>
      </c>
      <c r="E11252" s="22" t="str">
        <f>HYPERLINK("https://twitter.com/frontier2ban/status/922968509436563459","922968509436563459")</f>
        <v>922968509436563459</v>
      </c>
      <c r="F11252" s="23" t="s">
        <v>55</v>
      </c>
      <c r="G11252" s="24">
        <v>1416.0</v>
      </c>
      <c r="H11252" s="24">
        <v>842.0</v>
      </c>
      <c r="I11252" s="24">
        <v>0.0</v>
      </c>
      <c r="J11252" s="24">
        <v>0.0</v>
      </c>
      <c r="K11252" s="23" t="s">
        <v>34</v>
      </c>
      <c r="L11252" s="25">
        <v>40384.56773148148</v>
      </c>
      <c r="M11252" s="26" t="s">
        <v>23622</v>
      </c>
      <c r="N11252" s="26" t="s">
        <v>23623</v>
      </c>
      <c r="O11252" s="22" t="str">
        <f>HYPERLINK("https://pbs.twimg.com/profile_images/680129166721855488/8OI73d9O_normal.jpg","View")</f>
        <v>View</v>
      </c>
      <c r="P11252" s="27"/>
    </row>
    <row r="11253">
      <c r="A11253" s="14">
        <v>43032.68824074074</v>
      </c>
      <c r="B11253" s="20" t="str">
        <f>HYPERLINK("https://twitter.com/scastaldi9","@scastaldi9")</f>
        <v>@scastaldi9</v>
      </c>
      <c r="C11253" s="21" t="s">
        <v>23654</v>
      </c>
      <c r="D11253" s="21" t="s">
        <v>17703</v>
      </c>
      <c r="E11253" s="22" t="str">
        <f>HYPERLINK("https://twitter.com/scastaldi9/status/922968717595734016","922968717595734016")</f>
        <v>922968717595734016</v>
      </c>
      <c r="F11253" s="23" t="s">
        <v>33</v>
      </c>
      <c r="G11253" s="24">
        <v>5842.0</v>
      </c>
      <c r="H11253" s="24">
        <v>406.0</v>
      </c>
      <c r="I11253" s="24">
        <v>23.0</v>
      </c>
      <c r="J11253" s="24">
        <v>0.0</v>
      </c>
      <c r="K11253" s="23" t="s">
        <v>34</v>
      </c>
      <c r="L11253" s="25">
        <v>42360.63177083334</v>
      </c>
      <c r="M11253" s="26" t="s">
        <v>23655</v>
      </c>
      <c r="N11253" s="26" t="s">
        <v>23656</v>
      </c>
      <c r="O11253" s="22" t="str">
        <f>HYPERLINK("https://pbs.twimg.com/profile_images/867163176252702721/wBgv-mOw_normal.jpg","View")</f>
        <v>View</v>
      </c>
      <c r="P11253" s="27"/>
    </row>
    <row r="11254">
      <c r="A11254" s="14">
        <v>43032.68935185185</v>
      </c>
      <c r="B11254" s="20" t="str">
        <f>HYPERLINK("https://twitter.com/PMoallemian","@PMoallemian")</f>
        <v>@PMoallemian</v>
      </c>
      <c r="C11254" s="21" t="s">
        <v>1959</v>
      </c>
      <c r="D11254" s="21" t="s">
        <v>13339</v>
      </c>
      <c r="E11254" s="22" t="str">
        <f>HYPERLINK("https://twitter.com/PMoallemian/status/922969119821062144","922969119821062144")</f>
        <v>922969119821062144</v>
      </c>
      <c r="F11254" s="23" t="s">
        <v>187</v>
      </c>
      <c r="G11254" s="24">
        <v>5102.0</v>
      </c>
      <c r="H11254" s="24">
        <v>90.0</v>
      </c>
      <c r="I11254" s="24">
        <v>0.0</v>
      </c>
      <c r="J11254" s="24">
        <v>0.0</v>
      </c>
      <c r="K11254" s="23" t="s">
        <v>34</v>
      </c>
      <c r="L11254" s="25">
        <v>39556.68920138889</v>
      </c>
      <c r="M11254" s="26" t="s">
        <v>1961</v>
      </c>
      <c r="N11254" s="26" t="s">
        <v>1962</v>
      </c>
      <c r="O11254" s="22" t="str">
        <f>HYPERLINK("https://pbs.twimg.com/profile_images/2383496814/8p8tjkit7a1nmjrarib6_normal.jpeg","View")</f>
        <v>View</v>
      </c>
      <c r="P11254" s="27"/>
    </row>
    <row r="11255">
      <c r="A11255" s="14">
        <v>43032.69225694444</v>
      </c>
      <c r="B11255" s="20" t="str">
        <f>HYPERLINK("https://twitter.com/LynneAShapiro","@LynneAShapiro")</f>
        <v>@LynneAShapiro</v>
      </c>
      <c r="C11255" s="21" t="s">
        <v>23657</v>
      </c>
      <c r="D11255" s="21" t="s">
        <v>23658</v>
      </c>
      <c r="E11255" s="22" t="str">
        <f>HYPERLINK("https://twitter.com/LynneAShapiro/status/922970171051982848","922970171051982848")</f>
        <v>922970171051982848</v>
      </c>
      <c r="F11255" s="23" t="s">
        <v>55</v>
      </c>
      <c r="G11255" s="24">
        <v>1487.0</v>
      </c>
      <c r="H11255" s="24">
        <v>2170.0</v>
      </c>
      <c r="I11255" s="24">
        <v>0.0</v>
      </c>
      <c r="J11255" s="24">
        <v>0.0</v>
      </c>
      <c r="K11255" s="23" t="s">
        <v>34</v>
      </c>
      <c r="L11255" s="25">
        <v>39856.0</v>
      </c>
      <c r="M11255" s="26" t="s">
        <v>23659</v>
      </c>
      <c r="N11255" s="26" t="s">
        <v>23660</v>
      </c>
      <c r="O11255" s="22" t="str">
        <f>HYPERLINK("https://pbs.twimg.com/profile_images/459506108181123072/16_eXo5n_normal.jpeg","View")</f>
        <v>View</v>
      </c>
      <c r="P11255" s="27"/>
    </row>
    <row r="11256">
      <c r="A11256" s="14">
        <v>43032.69241898148</v>
      </c>
      <c r="B11256" s="20" t="str">
        <f>HYPERLINK("https://twitter.com/IndianEmbTokyo","@IndianEmbTokyo")</f>
        <v>@IndianEmbTokyo</v>
      </c>
      <c r="C11256" s="21" t="s">
        <v>23661</v>
      </c>
      <c r="D11256" s="21" t="s">
        <v>22882</v>
      </c>
      <c r="E11256" s="22" t="str">
        <f>HYPERLINK("https://twitter.com/IndianEmbTokyo/status/922970230304817152","922970230304817152")</f>
        <v>922970230304817152</v>
      </c>
      <c r="F11256" s="23" t="s">
        <v>39</v>
      </c>
      <c r="G11256" s="24">
        <v>4993.0</v>
      </c>
      <c r="H11256" s="24">
        <v>173.0</v>
      </c>
      <c r="I11256" s="24">
        <v>33.0</v>
      </c>
      <c r="J11256" s="24">
        <v>0.0</v>
      </c>
      <c r="K11256" s="23" t="s">
        <v>34</v>
      </c>
      <c r="L11256" s="25">
        <v>42123.91273148148</v>
      </c>
      <c r="M11256" s="26" t="s">
        <v>23662</v>
      </c>
      <c r="N11256" s="26" t="s">
        <v>23663</v>
      </c>
      <c r="O11256" s="22" t="str">
        <f>HYPERLINK("https://pbs.twimg.com/profile_images/917944757514469376/pbFvRiQx_normal.jpg","View")</f>
        <v>View</v>
      </c>
      <c r="P11256" s="27"/>
    </row>
    <row r="11257">
      <c r="A11257" s="14">
        <v>43032.693518518514</v>
      </c>
      <c r="B11257" s="20" t="str">
        <f>HYPERLINK("https://twitter.com/Wolfsrudeltakti","@Wolfsrudeltakti")</f>
        <v>@Wolfsrudeltakti</v>
      </c>
      <c r="C11257" s="21" t="s">
        <v>23664</v>
      </c>
      <c r="D11257" s="21" t="s">
        <v>22882</v>
      </c>
      <c r="E11257" s="22" t="str">
        <f>HYPERLINK("https://twitter.com/Wolfsrudeltakti/status/922970627824160768","922970627824160768")</f>
        <v>922970627824160768</v>
      </c>
      <c r="F11257" s="23" t="s">
        <v>55</v>
      </c>
      <c r="G11257" s="24">
        <v>19.0</v>
      </c>
      <c r="H11257" s="24">
        <v>106.0</v>
      </c>
      <c r="I11257" s="24">
        <v>33.0</v>
      </c>
      <c r="J11257" s="24">
        <v>0.0</v>
      </c>
      <c r="K11257" s="23" t="s">
        <v>34</v>
      </c>
      <c r="L11257" s="25">
        <v>40217.05724537037</v>
      </c>
      <c r="M11257" s="26" t="s">
        <v>23665</v>
      </c>
      <c r="N11257" s="26" t="s">
        <v>23666</v>
      </c>
      <c r="O11257" s="22" t="str">
        <f>HYPERLINK("https://pbs.twimg.com/profile_images/683005190/190_normal.png","View")</f>
        <v>View</v>
      </c>
      <c r="P11257" s="27"/>
    </row>
    <row r="11258">
      <c r="A11258" s="14">
        <v>43032.694652777776</v>
      </c>
      <c r="B11258" s="20" t="str">
        <f>HYPERLINK("https://twitter.com/BloombergAsia","@BloombergAsia")</f>
        <v>@BloombergAsia</v>
      </c>
      <c r="C11258" s="21" t="s">
        <v>1726</v>
      </c>
      <c r="D11258" s="21" t="s">
        <v>23667</v>
      </c>
      <c r="E11258" s="22" t="str">
        <f>HYPERLINK("https://twitter.com/BloombergAsia/status/922971038459355138","922971038459355138")</f>
        <v>922971038459355138</v>
      </c>
      <c r="F11258" s="23" t="s">
        <v>1103</v>
      </c>
      <c r="G11258" s="24">
        <v>28807.0</v>
      </c>
      <c r="H11258" s="24">
        <v>97.0</v>
      </c>
      <c r="I11258" s="24">
        <v>2.0</v>
      </c>
      <c r="J11258" s="24">
        <v>2.0</v>
      </c>
      <c r="K11258" s="23" t="s">
        <v>34</v>
      </c>
      <c r="L11258" s="25">
        <v>41052.238483796296</v>
      </c>
      <c r="M11258" s="28"/>
      <c r="N11258" s="26" t="s">
        <v>1728</v>
      </c>
      <c r="O11258" s="22" t="str">
        <f>HYPERLINK("https://pbs.twimg.com/profile_images/778129630284902401/gXjFkqGM_normal.jpg","View")</f>
        <v>View</v>
      </c>
      <c r="P11258" s="27"/>
    </row>
    <row r="11259">
      <c r="A11259" s="14">
        <v>43032.695601851854</v>
      </c>
      <c r="B11259" s="20" t="str">
        <f>HYPERLINK("https://twitter.com/ALXX530","@ALXX530")</f>
        <v>@ALXX530</v>
      </c>
      <c r="C11259" s="21" t="s">
        <v>23668</v>
      </c>
      <c r="D11259" s="21" t="s">
        <v>18113</v>
      </c>
      <c r="E11259" s="22" t="str">
        <f>HYPERLINK("https://twitter.com/ALXX530/status/922971385139380224","922971385139380224")</f>
        <v>922971385139380224</v>
      </c>
      <c r="F11259" s="23" t="s">
        <v>33</v>
      </c>
      <c r="G11259" s="24">
        <v>1460.0</v>
      </c>
      <c r="H11259" s="24">
        <v>1740.0</v>
      </c>
      <c r="I11259" s="24">
        <v>18.0</v>
      </c>
      <c r="J11259" s="24">
        <v>0.0</v>
      </c>
      <c r="K11259" s="23" t="s">
        <v>34</v>
      </c>
      <c r="L11259" s="25">
        <v>41068.09394675926</v>
      </c>
      <c r="M11259" s="26" t="s">
        <v>23669</v>
      </c>
      <c r="N11259" s="26" t="s">
        <v>23670</v>
      </c>
      <c r="O11259" s="22" t="str">
        <f>HYPERLINK("https://pbs.twimg.com/profile_images/914953387422003200/OlsHGZ0W_normal.jpg","View")</f>
        <v>View</v>
      </c>
      <c r="P11259" s="27"/>
    </row>
    <row r="11260">
      <c r="A11260" s="14">
        <v>43032.696064814816</v>
      </c>
      <c r="B11260" s="20" t="str">
        <f>HYPERLINK("https://twitter.com/Neothanos","@Neothanos")</f>
        <v>@Neothanos</v>
      </c>
      <c r="C11260" s="21" t="s">
        <v>23671</v>
      </c>
      <c r="D11260" s="21" t="s">
        <v>18113</v>
      </c>
      <c r="E11260" s="22" t="str">
        <f>HYPERLINK("https://twitter.com/Neothanos/status/922971552383164416","922971552383164416")</f>
        <v>922971552383164416</v>
      </c>
      <c r="F11260" s="23" t="s">
        <v>55</v>
      </c>
      <c r="G11260" s="24">
        <v>2146.0</v>
      </c>
      <c r="H11260" s="24">
        <v>1992.0</v>
      </c>
      <c r="I11260" s="24">
        <v>18.0</v>
      </c>
      <c r="J11260" s="24">
        <v>0.0</v>
      </c>
      <c r="K11260" s="23" t="s">
        <v>34</v>
      </c>
      <c r="L11260" s="25">
        <v>40631.50361111111</v>
      </c>
      <c r="M11260" s="26" t="s">
        <v>23672</v>
      </c>
      <c r="N11260" s="26" t="s">
        <v>23673</v>
      </c>
      <c r="O11260" s="22" t="str">
        <f>HYPERLINK("https://pbs.twimg.com/profile_images/726092682771222529/J96BN8ta_normal.jpg","View")</f>
        <v>View</v>
      </c>
      <c r="P11260" s="27"/>
    </row>
    <row r="11261">
      <c r="A11261" s="14">
        <v>43032.69782407407</v>
      </c>
      <c r="B11261" s="20" t="str">
        <f>HYPERLINK("https://twitter.com/OmennBB","@OmennBB")</f>
        <v>@OmennBB</v>
      </c>
      <c r="C11261" s="21" t="s">
        <v>23674</v>
      </c>
      <c r="D11261" s="21" t="s">
        <v>18660</v>
      </c>
      <c r="E11261" s="22" t="str">
        <f>HYPERLINK("https://twitter.com/OmennBB/status/922972187220480001","922972187220480001")</f>
        <v>922972187220480001</v>
      </c>
      <c r="F11261" s="23" t="s">
        <v>33</v>
      </c>
      <c r="G11261" s="24">
        <v>120.0</v>
      </c>
      <c r="H11261" s="24">
        <v>818.0</v>
      </c>
      <c r="I11261" s="24">
        <v>17.0</v>
      </c>
      <c r="J11261" s="24">
        <v>0.0</v>
      </c>
      <c r="K11261" s="23" t="s">
        <v>34</v>
      </c>
      <c r="L11261" s="25">
        <v>42328.72929398148</v>
      </c>
      <c r="M11261" s="35" t="s">
        <v>23675</v>
      </c>
      <c r="N11261" s="26" t="s">
        <v>23676</v>
      </c>
      <c r="O11261" s="22" t="str">
        <f>HYPERLINK("https://pbs.twimg.com/profile_images/911667855485218817/Lf1iloDQ_normal.jpg","View")</f>
        <v>View</v>
      </c>
      <c r="P11261" s="27"/>
    </row>
    <row r="11262">
      <c r="A11262" s="14">
        <v>43032.6984375</v>
      </c>
      <c r="B11262" s="20" t="str">
        <f>HYPERLINK("https://twitter.com/sitifatimahnet","@sitifatimahnet")</f>
        <v>@sitifatimahnet</v>
      </c>
      <c r="C11262" s="21" t="s">
        <v>1762</v>
      </c>
      <c r="D11262" s="21" t="s">
        <v>23677</v>
      </c>
      <c r="E11262" s="22" t="str">
        <f>HYPERLINK("https://twitter.com/sitifatimahnet/status/922972412597211138","922972412597211138")</f>
        <v>922972412597211138</v>
      </c>
      <c r="F11262" s="23" t="s">
        <v>187</v>
      </c>
      <c r="G11262" s="24">
        <v>309.0</v>
      </c>
      <c r="H11262" s="24">
        <v>27.0</v>
      </c>
      <c r="I11262" s="24">
        <v>0.0</v>
      </c>
      <c r="J11262" s="24">
        <v>0.0</v>
      </c>
      <c r="K11262" s="23" t="s">
        <v>34</v>
      </c>
      <c r="L11262" s="25">
        <v>42698.43719907408</v>
      </c>
      <c r="M11262" s="26" t="s">
        <v>1764</v>
      </c>
      <c r="N11262" s="26" t="s">
        <v>1765</v>
      </c>
      <c r="O11262" s="22" t="str">
        <f>HYPERLINK("https://pbs.twimg.com/profile_images/897683241594912769/-rSDzg9T_normal.jpg","View")</f>
        <v>View</v>
      </c>
      <c r="P11262" s="27"/>
    </row>
    <row r="11263">
      <c r="A11263" s="14">
        <v>43032.69865740741</v>
      </c>
      <c r="B11263" s="20" t="str">
        <f>HYPERLINK("https://twitter.com/business","@business")</f>
        <v>@business</v>
      </c>
      <c r="C11263" s="21" t="s">
        <v>3937</v>
      </c>
      <c r="D11263" s="21" t="s">
        <v>23678</v>
      </c>
      <c r="E11263" s="22" t="str">
        <f>HYPERLINK("https://twitter.com/business/status/922972489780744192","922972489780744192")</f>
        <v>922972489780744192</v>
      </c>
      <c r="F11263" s="23" t="s">
        <v>1103</v>
      </c>
      <c r="G11263" s="24">
        <v>4337400.0</v>
      </c>
      <c r="H11263" s="24">
        <v>1088.0</v>
      </c>
      <c r="I11263" s="24">
        <v>10.0</v>
      </c>
      <c r="J11263" s="24">
        <v>21.0</v>
      </c>
      <c r="K11263" s="23" t="s">
        <v>34</v>
      </c>
      <c r="L11263" s="25">
        <v>39926.545335648145</v>
      </c>
      <c r="M11263" s="26" t="s">
        <v>3939</v>
      </c>
      <c r="N11263" s="26" t="s">
        <v>3940</v>
      </c>
      <c r="O11263" s="22" t="str">
        <f>HYPERLINK("https://pbs.twimg.com/profile_images/714946924105883648/4fgNVF4H_normal.jpg","View")</f>
        <v>View</v>
      </c>
      <c r="P11263" s="27"/>
    </row>
    <row r="11264">
      <c r="A11264" s="14">
        <v>43032.69890046296</v>
      </c>
      <c r="B11264" s="20" t="str">
        <f>HYPERLINK("https://twitter.com/shailendra_nair","@shailendra_nair")</f>
        <v>@shailendra_nair</v>
      </c>
      <c r="C11264" s="21" t="s">
        <v>4072</v>
      </c>
      <c r="D11264" s="21" t="s">
        <v>23679</v>
      </c>
      <c r="E11264" s="22" t="str">
        <f>HYPERLINK("https://twitter.com/shailendra_nair/status/922972578477756416","922972578477756416")</f>
        <v>922972578477756416</v>
      </c>
      <c r="F11264" s="23" t="s">
        <v>187</v>
      </c>
      <c r="G11264" s="24">
        <v>3990.0</v>
      </c>
      <c r="H11264" s="24">
        <v>1041.0</v>
      </c>
      <c r="I11264" s="24">
        <v>0.0</v>
      </c>
      <c r="J11264" s="24">
        <v>0.0</v>
      </c>
      <c r="K11264" s="23" t="s">
        <v>34</v>
      </c>
      <c r="L11264" s="25">
        <v>40362.43798611111</v>
      </c>
      <c r="M11264" s="26" t="s">
        <v>246</v>
      </c>
      <c r="N11264" s="26" t="s">
        <v>4074</v>
      </c>
      <c r="O11264" s="22" t="str">
        <f>HYPERLINK("https://pbs.twimg.com/profile_images/884758468879466497/M_w6UjD3_normal.jpg","View")</f>
        <v>View</v>
      </c>
      <c r="P11264" s="27"/>
    </row>
    <row r="11265">
      <c r="A11265" s="14">
        <v>43032.698958333334</v>
      </c>
      <c r="B11265" s="20" t="str">
        <f>HYPERLINK("https://twitter.com/BSAFunds","@BSAFunds")</f>
        <v>@BSAFunds</v>
      </c>
      <c r="C11265" s="21" t="s">
        <v>1248</v>
      </c>
      <c r="D11265" s="21" t="s">
        <v>23680</v>
      </c>
      <c r="E11265" s="22" t="str">
        <f>HYPERLINK("https://twitter.com/BSAFunds/status/922972600195829761","922972600195829761")</f>
        <v>922972600195829761</v>
      </c>
      <c r="F11265" s="23" t="s">
        <v>187</v>
      </c>
      <c r="G11265" s="24">
        <v>20910.0</v>
      </c>
      <c r="H11265" s="24">
        <v>8929.0</v>
      </c>
      <c r="I11265" s="24">
        <v>0.0</v>
      </c>
      <c r="J11265" s="24">
        <v>0.0</v>
      </c>
      <c r="K11265" s="23" t="s">
        <v>34</v>
      </c>
      <c r="L11265" s="25">
        <v>42601.94818287037</v>
      </c>
      <c r="M11265" s="26" t="s">
        <v>1250</v>
      </c>
      <c r="N11265" s="26" t="s">
        <v>1251</v>
      </c>
      <c r="O11265" s="22" t="str">
        <f>HYPERLINK("https://pbs.twimg.com/profile_images/912769166960033792/N4LAmrTs_normal.jpg","View")</f>
        <v>View</v>
      </c>
      <c r="P11265" s="27"/>
    </row>
    <row r="11266">
      <c r="A11266" s="14">
        <v>43032.699270833335</v>
      </c>
      <c r="B11266" s="20" t="str">
        <f>HYPERLINK("https://twitter.com/Supperdude9","@Supperdude9")</f>
        <v>@Supperdude9</v>
      </c>
      <c r="C11266" s="21" t="s">
        <v>23681</v>
      </c>
      <c r="D11266" s="21" t="s">
        <v>18113</v>
      </c>
      <c r="E11266" s="22" t="str">
        <f>HYPERLINK("https://twitter.com/Supperdude9/status/922972712401858560","922972712401858560")</f>
        <v>922972712401858560</v>
      </c>
      <c r="F11266" s="23" t="s">
        <v>55</v>
      </c>
      <c r="G11266" s="24">
        <v>4145.0</v>
      </c>
      <c r="H11266" s="24">
        <v>834.0</v>
      </c>
      <c r="I11266" s="24">
        <v>18.0</v>
      </c>
      <c r="J11266" s="24">
        <v>0.0</v>
      </c>
      <c r="K11266" s="23" t="s">
        <v>34</v>
      </c>
      <c r="L11266" s="25">
        <v>41887.842314814814</v>
      </c>
      <c r="M11266" s="26" t="s">
        <v>5724</v>
      </c>
      <c r="N11266" s="26" t="s">
        <v>23682</v>
      </c>
      <c r="O11266" s="22" t="str">
        <f>HYPERLINK("https://pbs.twimg.com/profile_images/914341315097141248/lOf_4kzg_normal.jpg","View")</f>
        <v>View</v>
      </c>
      <c r="P11266" s="27"/>
    </row>
    <row r="11267">
      <c r="A11267" s="14">
        <v>43032.69949074074</v>
      </c>
      <c r="B11267" s="20" t="str">
        <f>HYPERLINK("https://twitter.com/mlnangalama","@mlnangalama")</f>
        <v>@mlnangalama</v>
      </c>
      <c r="C11267" s="21" t="s">
        <v>925</v>
      </c>
      <c r="D11267" s="21" t="s">
        <v>23683</v>
      </c>
      <c r="E11267" s="22" t="str">
        <f>HYPERLINK("https://twitter.com/mlnangalama/status/922972791858696193","922972791858696193")</f>
        <v>922972791858696193</v>
      </c>
      <c r="F11267" s="23" t="s">
        <v>187</v>
      </c>
      <c r="G11267" s="24">
        <v>2366.0</v>
      </c>
      <c r="H11267" s="24">
        <v>1582.0</v>
      </c>
      <c r="I11267" s="24">
        <v>0.0</v>
      </c>
      <c r="J11267" s="24">
        <v>0.0</v>
      </c>
      <c r="K11267" s="23" t="s">
        <v>34</v>
      </c>
      <c r="L11267" s="25">
        <v>41041.54378472222</v>
      </c>
      <c r="M11267" s="26" t="s">
        <v>927</v>
      </c>
      <c r="N11267" s="26" t="s">
        <v>928</v>
      </c>
      <c r="O11267" s="22" t="str">
        <f>HYPERLINK("https://pbs.twimg.com/profile_images/900915882444173313/biUHzvpx_normal.jpg","View")</f>
        <v>View</v>
      </c>
      <c r="P11267" s="27"/>
    </row>
    <row r="11268">
      <c r="A11268" s="14">
        <v>43032.70034722222</v>
      </c>
      <c r="B11268" s="20" t="str">
        <f>HYPERLINK("https://twitter.com/Foxceras","@Foxceras")</f>
        <v>@Foxceras</v>
      </c>
      <c r="C11268" s="21" t="s">
        <v>23684</v>
      </c>
      <c r="D11268" s="21" t="s">
        <v>18113</v>
      </c>
      <c r="E11268" s="22" t="str">
        <f>HYPERLINK("https://twitter.com/Foxceras/status/922973103738839040","922973103738839040")</f>
        <v>922973103738839040</v>
      </c>
      <c r="F11268" s="23" t="s">
        <v>55</v>
      </c>
      <c r="G11268" s="24">
        <v>1135.0</v>
      </c>
      <c r="H11268" s="24">
        <v>1333.0</v>
      </c>
      <c r="I11268" s="24">
        <v>18.0</v>
      </c>
      <c r="J11268" s="24">
        <v>0.0</v>
      </c>
      <c r="K11268" s="23" t="s">
        <v>34</v>
      </c>
      <c r="L11268" s="25">
        <v>41886.386087962965</v>
      </c>
      <c r="M11268" s="26" t="s">
        <v>68</v>
      </c>
      <c r="N11268" s="26" t="s">
        <v>23685</v>
      </c>
      <c r="O11268" s="22" t="str">
        <f>HYPERLINK("https://pbs.twimg.com/profile_images/911083320175243264/3oJtvAmY_normal.jpg","View")</f>
        <v>View</v>
      </c>
      <c r="P11268" s="27"/>
    </row>
    <row r="11269">
      <c r="A11269" s="14">
        <v>43032.70037037037</v>
      </c>
      <c r="B11269" s="20" t="str">
        <f>HYPERLINK("https://twitter.com/ashikenshin","@ashikenshin")</f>
        <v>@ashikenshin</v>
      </c>
      <c r="C11269" s="21" t="s">
        <v>23686</v>
      </c>
      <c r="D11269" s="21" t="s">
        <v>18113</v>
      </c>
      <c r="E11269" s="22" t="str">
        <f>HYPERLINK("https://twitter.com/ashikenshin/status/922973111091376128","922973111091376128")</f>
        <v>922973111091376128</v>
      </c>
      <c r="F11269" s="23" t="s">
        <v>39</v>
      </c>
      <c r="G11269" s="24">
        <v>283.0</v>
      </c>
      <c r="H11269" s="24">
        <v>646.0</v>
      </c>
      <c r="I11269" s="24">
        <v>18.0</v>
      </c>
      <c r="J11269" s="24">
        <v>0.0</v>
      </c>
      <c r="K11269" s="23" t="s">
        <v>34</v>
      </c>
      <c r="L11269" s="25">
        <v>41053.799895833334</v>
      </c>
      <c r="M11269" s="26" t="s">
        <v>23687</v>
      </c>
      <c r="N11269" s="26" t="s">
        <v>23688</v>
      </c>
      <c r="O11269" s="22" t="str">
        <f>HYPERLINK("https://pbs.twimg.com/profile_images/464127990062776321/oZPNZ9Mq_normal.jpeg","View")</f>
        <v>View</v>
      </c>
      <c r="P11269" s="27"/>
    </row>
    <row r="11270">
      <c r="A11270" s="14">
        <v>43032.700578703705</v>
      </c>
      <c r="B11270" s="20" t="str">
        <f>HYPERLINK("https://twitter.com/AhmadAlmaa","@AhmadAlmaa")</f>
        <v>@AhmadAlmaa</v>
      </c>
      <c r="C11270" s="21" t="s">
        <v>23689</v>
      </c>
      <c r="D11270" s="21" t="s">
        <v>23690</v>
      </c>
      <c r="E11270" s="22" t="str">
        <f>HYPERLINK("https://twitter.com/AhmadAlmaa/status/922973188669272064","922973188669272064")</f>
        <v>922973188669272064</v>
      </c>
      <c r="F11270" s="23" t="s">
        <v>39</v>
      </c>
      <c r="G11270" s="24">
        <v>2246.0</v>
      </c>
      <c r="H11270" s="24">
        <v>2489.0</v>
      </c>
      <c r="I11270" s="24">
        <v>10.0</v>
      </c>
      <c r="J11270" s="24">
        <v>0.0</v>
      </c>
      <c r="K11270" s="23" t="s">
        <v>34</v>
      </c>
      <c r="L11270" s="25">
        <v>40015.56516203703</v>
      </c>
      <c r="M11270" s="26" t="s">
        <v>3604</v>
      </c>
      <c r="N11270" s="26" t="s">
        <v>23691</v>
      </c>
      <c r="O11270" s="22" t="str">
        <f>HYPERLINK("https://pbs.twimg.com/profile_images/495198750898675713/yJ2io_as_normal.jpeg","View")</f>
        <v>View</v>
      </c>
      <c r="P11270" s="27"/>
    </row>
    <row r="11271">
      <c r="A11271" s="14">
        <v>43032.700682870374</v>
      </c>
      <c r="B11271" s="20" t="str">
        <f>HYPERLINK("https://twitter.com/jeepeg","@jeepeg")</f>
        <v>@jeepeg</v>
      </c>
      <c r="C11271" s="21" t="s">
        <v>7627</v>
      </c>
      <c r="D11271" s="21" t="s">
        <v>23692</v>
      </c>
      <c r="E11271" s="22" t="str">
        <f>HYPERLINK("https://twitter.com/jeepeg/status/922973226443116544","922973226443116544")</f>
        <v>922973226443116544</v>
      </c>
      <c r="F11271" s="23" t="s">
        <v>23693</v>
      </c>
      <c r="G11271" s="24">
        <v>803.0</v>
      </c>
      <c r="H11271" s="24">
        <v>30.0</v>
      </c>
      <c r="I11271" s="24">
        <v>0.0</v>
      </c>
      <c r="J11271" s="24">
        <v>0.0</v>
      </c>
      <c r="K11271" s="23" t="s">
        <v>34</v>
      </c>
      <c r="L11271" s="25">
        <v>39907.10636574074</v>
      </c>
      <c r="M11271" s="26" t="s">
        <v>7630</v>
      </c>
      <c r="N11271" s="28"/>
      <c r="O11271" s="22" t="str">
        <f>HYPERLINK("https://abs.twimg.com/sticky/default_profile_images/default_profile_normal.png","View")</f>
        <v>View</v>
      </c>
      <c r="P11271" s="27"/>
    </row>
    <row r="11272">
      <c r="A11272" s="14">
        <v>43032.70086805556</v>
      </c>
      <c r="B11272" s="20" t="str">
        <f>HYPERLINK("https://twitter.com/AYWOLau","@AYWOLau")</f>
        <v>@AYWOLau</v>
      </c>
      <c r="C11272" s="21" t="s">
        <v>23694</v>
      </c>
      <c r="D11272" s="21" t="s">
        <v>23690</v>
      </c>
      <c r="E11272" s="22" t="str">
        <f>HYPERLINK("https://twitter.com/AYWOLau/status/922973290985013248","922973290985013248")</f>
        <v>922973290985013248</v>
      </c>
      <c r="F11272" s="23" t="s">
        <v>33</v>
      </c>
      <c r="G11272" s="24">
        <v>51.0</v>
      </c>
      <c r="H11272" s="24">
        <v>342.0</v>
      </c>
      <c r="I11272" s="24">
        <v>10.0</v>
      </c>
      <c r="J11272" s="24">
        <v>0.0</v>
      </c>
      <c r="K11272" s="23" t="s">
        <v>34</v>
      </c>
      <c r="L11272" s="25">
        <v>41535.38821759259</v>
      </c>
      <c r="M11272" s="26" t="s">
        <v>23695</v>
      </c>
      <c r="N11272" s="26" t="s">
        <v>23696</v>
      </c>
      <c r="O11272" s="22" t="str">
        <f>HYPERLINK("https://pbs.twimg.com/profile_images/918172530099216384/6Q-eSWWZ_normal.jpg","View")</f>
        <v>View</v>
      </c>
      <c r="P11272" s="27"/>
    </row>
    <row r="11273">
      <c r="A11273" s="14">
        <v>43032.700949074075</v>
      </c>
      <c r="B11273" s="20" t="str">
        <f>HYPERLINK("https://twitter.com/serge_poznanski","@serge_poznanski")</f>
        <v>@serge_poznanski</v>
      </c>
      <c r="C11273" s="21" t="s">
        <v>2763</v>
      </c>
      <c r="D11273" s="21" t="s">
        <v>23697</v>
      </c>
      <c r="E11273" s="22" t="str">
        <f>HYPERLINK("https://twitter.com/serge_poznanski/status/922973322140442624","922973322140442624")</f>
        <v>922973322140442624</v>
      </c>
      <c r="F11273" s="23" t="s">
        <v>187</v>
      </c>
      <c r="G11273" s="24">
        <v>1438.0</v>
      </c>
      <c r="H11273" s="24">
        <v>2138.0</v>
      </c>
      <c r="I11273" s="24">
        <v>0.0</v>
      </c>
      <c r="J11273" s="24">
        <v>0.0</v>
      </c>
      <c r="K11273" s="23" t="s">
        <v>34</v>
      </c>
      <c r="L11273" s="25">
        <v>42271.47445601852</v>
      </c>
      <c r="M11273" s="28"/>
      <c r="N11273" s="28"/>
      <c r="O11273" s="22" t="str">
        <f>HYPERLINK("https://pbs.twimg.com/profile_images/647277253240291328/3GezjFCJ_normal.jpg","View")</f>
        <v>View</v>
      </c>
      <c r="P11273" s="27"/>
    </row>
    <row r="11274">
      <c r="A11274" s="14">
        <v>43032.70101851852</v>
      </c>
      <c r="B11274" s="20" t="str">
        <f>HYPERLINK("https://twitter.com/anansi1191","@anansi1191")</f>
        <v>@anansi1191</v>
      </c>
      <c r="C11274" s="21" t="s">
        <v>23698</v>
      </c>
      <c r="D11274" s="21" t="s">
        <v>23690</v>
      </c>
      <c r="E11274" s="22" t="str">
        <f>HYPERLINK("https://twitter.com/anansi1191/status/922973347167612928","922973347167612928")</f>
        <v>922973347167612928</v>
      </c>
      <c r="F11274" s="23" t="s">
        <v>23699</v>
      </c>
      <c r="G11274" s="24">
        <v>188.0</v>
      </c>
      <c r="H11274" s="24">
        <v>527.0</v>
      </c>
      <c r="I11274" s="24">
        <v>10.0</v>
      </c>
      <c r="J11274" s="24">
        <v>0.0</v>
      </c>
      <c r="K11274" s="23" t="s">
        <v>34</v>
      </c>
      <c r="L11274" s="25">
        <v>40495.792337962965</v>
      </c>
      <c r="M11274" s="26" t="s">
        <v>23700</v>
      </c>
      <c r="N11274" s="26" t="s">
        <v>23701</v>
      </c>
      <c r="O11274" s="22" t="str">
        <f>HYPERLINK("https://pbs.twimg.com/profile_images/922610915698130944/hIb7XatK_normal.jpg","View")</f>
        <v>View</v>
      </c>
      <c r="P11274" s="27"/>
    </row>
    <row r="11275">
      <c r="A11275" s="14">
        <v>43032.70135416667</v>
      </c>
      <c r="B11275" s="20" t="str">
        <f>HYPERLINK("https://twitter.com/Return_Ov_Cain","@Return_Ov_Cain")</f>
        <v>@Return_Ov_Cain</v>
      </c>
      <c r="C11275" s="21" t="s">
        <v>23702</v>
      </c>
      <c r="D11275" s="21" t="s">
        <v>18113</v>
      </c>
      <c r="E11275" s="22" t="str">
        <f>HYPERLINK("https://twitter.com/Return_Ov_Cain/status/922973468777381888","922973468777381888")</f>
        <v>922973468777381888</v>
      </c>
      <c r="F11275" s="23" t="s">
        <v>55</v>
      </c>
      <c r="G11275" s="24">
        <v>107.0</v>
      </c>
      <c r="H11275" s="24">
        <v>782.0</v>
      </c>
      <c r="I11275" s="24">
        <v>18.0</v>
      </c>
      <c r="J11275" s="24">
        <v>0.0</v>
      </c>
      <c r="K11275" s="23" t="s">
        <v>34</v>
      </c>
      <c r="L11275" s="25">
        <v>42866.78230324074</v>
      </c>
      <c r="M11275" s="28"/>
      <c r="N11275" s="26" t="s">
        <v>23703</v>
      </c>
      <c r="O11275" s="22" t="str">
        <f>HYPERLINK("https://pbs.twimg.com/profile_images/865389296362049536/QeRQbAz8_normal.jpg","View")</f>
        <v>View</v>
      </c>
      <c r="P11275" s="27"/>
    </row>
    <row r="11276">
      <c r="A11276" s="14">
        <v>43032.7015162037</v>
      </c>
      <c r="B11276" s="20" t="str">
        <f>HYPERLINK("https://twitter.com/jaimeotero_","@jaimeotero_")</f>
        <v>@jaimeotero_</v>
      </c>
      <c r="C11276" s="21" t="s">
        <v>3960</v>
      </c>
      <c r="D11276" s="21" t="s">
        <v>23704</v>
      </c>
      <c r="E11276" s="22" t="str">
        <f>HYPERLINK("https://twitter.com/jaimeotero_/status/922973527900327936","922973527900327936")</f>
        <v>922973527900327936</v>
      </c>
      <c r="F11276" s="23" t="s">
        <v>187</v>
      </c>
      <c r="G11276" s="24">
        <v>34534.0</v>
      </c>
      <c r="H11276" s="24">
        <v>31264.0</v>
      </c>
      <c r="I11276" s="24">
        <v>0.0</v>
      </c>
      <c r="J11276" s="24">
        <v>1.0</v>
      </c>
      <c r="K11276" s="23" t="s">
        <v>34</v>
      </c>
      <c r="L11276" s="25">
        <v>42531.01219907407</v>
      </c>
      <c r="M11276" s="26" t="s">
        <v>3962</v>
      </c>
      <c r="N11276" s="26" t="s">
        <v>3963</v>
      </c>
      <c r="O11276" s="22" t="str">
        <f>HYPERLINK("https://pbs.twimg.com/profile_images/849817561281818626/acAU04SD_normal.jpg","View")</f>
        <v>View</v>
      </c>
      <c r="P11276" s="27"/>
    </row>
    <row r="11277">
      <c r="A11277" s="14">
        <v>43032.70203703704</v>
      </c>
      <c r="B11277" s="20" t="str">
        <f>HYPERLINK("https://twitter.com/joetrader6","@joetrader6")</f>
        <v>@joetrader6</v>
      </c>
      <c r="C11277" s="21" t="s">
        <v>19286</v>
      </c>
      <c r="D11277" s="21" t="s">
        <v>23690</v>
      </c>
      <c r="E11277" s="22" t="str">
        <f>HYPERLINK("https://twitter.com/joetrader6/status/922973714085564417","922973714085564417")</f>
        <v>922973714085564417</v>
      </c>
      <c r="F11277" s="23" t="s">
        <v>55</v>
      </c>
      <c r="G11277" s="24">
        <v>257.0</v>
      </c>
      <c r="H11277" s="24">
        <v>450.0</v>
      </c>
      <c r="I11277" s="24">
        <v>10.0</v>
      </c>
      <c r="J11277" s="24">
        <v>0.0</v>
      </c>
      <c r="K11277" s="23" t="s">
        <v>34</v>
      </c>
      <c r="L11277" s="25">
        <v>41226.43399305556</v>
      </c>
      <c r="M11277" s="28"/>
      <c r="N11277" s="26" t="s">
        <v>19287</v>
      </c>
      <c r="O11277" s="22" t="str">
        <f>HYPERLINK("https://pbs.twimg.com/profile_images/2849377721/080037e8101380451d04cb0e7f6c9621_normal.jpeg","View")</f>
        <v>View</v>
      </c>
      <c r="P11277" s="27"/>
    </row>
    <row r="11278">
      <c r="A11278" s="14">
        <v>43032.7021875</v>
      </c>
      <c r="B11278" s="20" t="str">
        <f>HYPERLINK("https://twitter.com/Tekki_VR","@Tekki_VR")</f>
        <v>@Tekki_VR</v>
      </c>
      <c r="C11278" s="21" t="s">
        <v>4050</v>
      </c>
      <c r="D11278" s="21" t="s">
        <v>23705</v>
      </c>
      <c r="E11278" s="22" t="str">
        <f>HYPERLINK("https://twitter.com/Tekki_VR/status/922973769848770561","922973769848770561")</f>
        <v>922973769848770561</v>
      </c>
      <c r="F11278" s="23" t="s">
        <v>187</v>
      </c>
      <c r="G11278" s="24">
        <v>1899.0</v>
      </c>
      <c r="H11278" s="24">
        <v>2480.0</v>
      </c>
      <c r="I11278" s="24">
        <v>0.0</v>
      </c>
      <c r="J11278" s="24">
        <v>0.0</v>
      </c>
      <c r="K11278" s="23" t="s">
        <v>34</v>
      </c>
      <c r="L11278" s="25">
        <v>42263.54553240741</v>
      </c>
      <c r="M11278" s="26" t="s">
        <v>4052</v>
      </c>
      <c r="N11278" s="26" t="s">
        <v>4053</v>
      </c>
      <c r="O11278" s="22" t="str">
        <f>HYPERLINK("https://pbs.twimg.com/profile_images/760662770694098944/h1nSBfE8_normal.jpg","View")</f>
        <v>View</v>
      </c>
      <c r="P11278" s="27"/>
    </row>
    <row r="11279">
      <c r="A11279" s="14">
        <v>43032.702372685184</v>
      </c>
      <c r="B11279" s="20" t="str">
        <f>HYPERLINK("https://twitter.com/rechykc","@rechykc")</f>
        <v>@rechykc</v>
      </c>
      <c r="C11279" s="21" t="s">
        <v>23706</v>
      </c>
      <c r="D11279" s="21" t="s">
        <v>23525</v>
      </c>
      <c r="E11279" s="22" t="str">
        <f>HYPERLINK("https://twitter.com/rechykc/status/922973839054835712","922973839054835712")</f>
        <v>922973839054835712</v>
      </c>
      <c r="F11279" s="23" t="s">
        <v>55</v>
      </c>
      <c r="G11279" s="24">
        <v>45.0</v>
      </c>
      <c r="H11279" s="24">
        <v>278.0</v>
      </c>
      <c r="I11279" s="24">
        <v>41.0</v>
      </c>
      <c r="J11279" s="24">
        <v>0.0</v>
      </c>
      <c r="K11279" s="23" t="s">
        <v>34</v>
      </c>
      <c r="L11279" s="25">
        <v>41662.77706018518</v>
      </c>
      <c r="M11279" s="26" t="s">
        <v>920</v>
      </c>
      <c r="N11279" s="26" t="s">
        <v>23707</v>
      </c>
      <c r="O11279" s="22" t="str">
        <f>HYPERLINK("https://pbs.twimg.com/profile_images/460495040410685440/TsBa8Cbv_normal.jpeg","View")</f>
        <v>View</v>
      </c>
      <c r="P11279" s="27"/>
    </row>
    <row r="11280">
      <c r="A11280" s="14">
        <v>43032.702627314815</v>
      </c>
      <c r="B11280" s="20" t="str">
        <f>HYPERLINK("https://twitter.com/MicheleTarroni","@MicheleTarroni")</f>
        <v>@MicheleTarroni</v>
      </c>
      <c r="C11280" s="21" t="s">
        <v>23530</v>
      </c>
      <c r="D11280" s="21" t="s">
        <v>23690</v>
      </c>
      <c r="E11280" s="22" t="str">
        <f>HYPERLINK("https://twitter.com/MicheleTarroni/status/922973930033483777","922973930033483777")</f>
        <v>922973930033483777</v>
      </c>
      <c r="F11280" s="23" t="s">
        <v>3895</v>
      </c>
      <c r="G11280" s="24">
        <v>72.0</v>
      </c>
      <c r="H11280" s="24">
        <v>160.0</v>
      </c>
      <c r="I11280" s="24">
        <v>10.0</v>
      </c>
      <c r="J11280" s="24">
        <v>0.0</v>
      </c>
      <c r="K11280" s="23" t="s">
        <v>34</v>
      </c>
      <c r="L11280" s="25">
        <v>42589.142696759256</v>
      </c>
      <c r="M11280" s="26" t="s">
        <v>23531</v>
      </c>
      <c r="N11280" s="26" t="s">
        <v>23532</v>
      </c>
      <c r="O11280" s="22" t="str">
        <f>HYPERLINK("https://pbs.twimg.com/profile_images/922632835508441089/rzNbOTs9_normal.jpg","View")</f>
        <v>View</v>
      </c>
      <c r="P11280" s="27"/>
    </row>
    <row r="11281">
      <c r="A11281" s="14">
        <v>43032.703414351854</v>
      </c>
      <c r="B11281" s="20" t="str">
        <f>HYPERLINK("https://twitter.com/ElNecoV3","@ElNecoV3")</f>
        <v>@ElNecoV3</v>
      </c>
      <c r="C11281" s="21" t="s">
        <v>23708</v>
      </c>
      <c r="D11281" s="21" t="s">
        <v>18113</v>
      </c>
      <c r="E11281" s="22" t="str">
        <f>HYPERLINK("https://twitter.com/ElNecoV3/status/922974213484498944","922974213484498944")</f>
        <v>922974213484498944</v>
      </c>
      <c r="F11281" s="23" t="s">
        <v>769</v>
      </c>
      <c r="G11281" s="24">
        <v>112.0</v>
      </c>
      <c r="H11281" s="24">
        <v>473.0</v>
      </c>
      <c r="I11281" s="24">
        <v>18.0</v>
      </c>
      <c r="J11281" s="24">
        <v>0.0</v>
      </c>
      <c r="K11281" s="23" t="s">
        <v>34</v>
      </c>
      <c r="L11281" s="25">
        <v>42581.63282407407</v>
      </c>
      <c r="M11281" s="26" t="s">
        <v>2041</v>
      </c>
      <c r="N11281" s="26" t="s">
        <v>23709</v>
      </c>
      <c r="O11281" s="22" t="str">
        <f>HYPERLINK("https://pbs.twimg.com/profile_images/912456778989875202/FyWDPOFN_normal.jpg","View")</f>
        <v>View</v>
      </c>
      <c r="P11281" s="27"/>
    </row>
    <row r="11282">
      <c r="A11282" s="14">
        <v>43032.703946759255</v>
      </c>
      <c r="B11282" s="20" t="str">
        <f>HYPERLINK("https://twitter.com/PaveSpike","@PaveSpike")</f>
        <v>@PaveSpike</v>
      </c>
      <c r="C11282" s="21" t="s">
        <v>23710</v>
      </c>
      <c r="D11282" s="21" t="s">
        <v>22629</v>
      </c>
      <c r="E11282" s="22" t="str">
        <f>HYPERLINK("https://twitter.com/PaveSpike/status/922974406711771137","922974406711771137")</f>
        <v>922974406711771137</v>
      </c>
      <c r="F11282" s="23" t="s">
        <v>5256</v>
      </c>
      <c r="G11282" s="24">
        <v>1905.0</v>
      </c>
      <c r="H11282" s="24">
        <v>194.0</v>
      </c>
      <c r="I11282" s="24">
        <v>14.0</v>
      </c>
      <c r="J11282" s="24">
        <v>0.0</v>
      </c>
      <c r="K11282" s="23" t="s">
        <v>34</v>
      </c>
      <c r="L11282" s="25">
        <v>40328.36373842593</v>
      </c>
      <c r="M11282" s="26" t="s">
        <v>23711</v>
      </c>
      <c r="N11282" s="26" t="s">
        <v>23712</v>
      </c>
      <c r="O11282" s="22" t="str">
        <f>HYPERLINK("https://pbs.twimg.com/profile_images/622021089657421824/1MxlZl9__normal.png","View")</f>
        <v>View</v>
      </c>
      <c r="P11282" s="27"/>
    </row>
    <row r="11283">
      <c r="A11283" s="14">
        <v>43032.703946759255</v>
      </c>
      <c r="B11283" s="20" t="str">
        <f>HYPERLINK("https://twitter.com/swissifg","@swissifg")</f>
        <v>@swissifg</v>
      </c>
      <c r="C11283" s="21" t="s">
        <v>3967</v>
      </c>
      <c r="D11283" s="21" t="s">
        <v>23713</v>
      </c>
      <c r="E11283" s="22" t="str">
        <f>HYPERLINK("https://twitter.com/swissifg/status/922974408477691904","922974408477691904")</f>
        <v>922974408477691904</v>
      </c>
      <c r="F11283" s="23" t="s">
        <v>187</v>
      </c>
      <c r="G11283" s="24">
        <v>1204.0</v>
      </c>
      <c r="H11283" s="24">
        <v>671.0</v>
      </c>
      <c r="I11283" s="24">
        <v>0.0</v>
      </c>
      <c r="J11283" s="24">
        <v>0.0</v>
      </c>
      <c r="K11283" s="23" t="s">
        <v>34</v>
      </c>
      <c r="L11283" s="25">
        <v>42499.2341087963</v>
      </c>
      <c r="M11283" s="26" t="s">
        <v>3969</v>
      </c>
      <c r="N11283" s="26" t="s">
        <v>3970</v>
      </c>
      <c r="O11283" s="22" t="str">
        <f>HYPERLINK("https://pbs.twimg.com/profile_images/729681805088063489/N4ls5vb8_normal.jpg","View")</f>
        <v>View</v>
      </c>
      <c r="P11283" s="27"/>
    </row>
    <row r="11284">
      <c r="A11284" s="14">
        <v>43032.704317129625</v>
      </c>
      <c r="B11284" s="20" t="str">
        <f>HYPERLINK("https://twitter.com/azahiga","@azahiga")</f>
        <v>@azahiga</v>
      </c>
      <c r="C11284" s="21" t="s">
        <v>23714</v>
      </c>
      <c r="D11284" s="21" t="s">
        <v>22629</v>
      </c>
      <c r="E11284" s="22" t="str">
        <f>HYPERLINK("https://twitter.com/azahiga/status/922974542632435712","922974542632435712")</f>
        <v>922974542632435712</v>
      </c>
      <c r="F11284" s="23" t="s">
        <v>23715</v>
      </c>
      <c r="G11284" s="24">
        <v>657.0</v>
      </c>
      <c r="H11284" s="24">
        <v>1027.0</v>
      </c>
      <c r="I11284" s="24">
        <v>14.0</v>
      </c>
      <c r="J11284" s="24">
        <v>0.0</v>
      </c>
      <c r="K11284" s="23" t="s">
        <v>34</v>
      </c>
      <c r="L11284" s="25">
        <v>40072.727488425924</v>
      </c>
      <c r="M11284" s="26" t="s">
        <v>660</v>
      </c>
      <c r="N11284" s="26" t="s">
        <v>23716</v>
      </c>
      <c r="O11284" s="22" t="str">
        <f>HYPERLINK("https://pbs.twimg.com/profile_images/378800000834847259/dabc313bd696f4d8b1785dd4b0d6da73_normal.jpeg","View")</f>
        <v>View</v>
      </c>
      <c r="P11284" s="27"/>
    </row>
    <row r="11285">
      <c r="A11285" s="14">
        <v>43032.704375</v>
      </c>
      <c r="B11285" s="20" t="str">
        <f>HYPERLINK("https://twitter.com/FallySomboNkhwa","@FallySomboNkhwa")</f>
        <v>@FallySomboNkhwa</v>
      </c>
      <c r="C11285" s="21" t="s">
        <v>4279</v>
      </c>
      <c r="D11285" s="21" t="s">
        <v>23717</v>
      </c>
      <c r="E11285" s="22" t="str">
        <f>HYPERLINK("https://twitter.com/FallySomboNkhwa/status/922974563004289024","922974563004289024")</f>
        <v>922974563004289024</v>
      </c>
      <c r="F11285" s="23" t="s">
        <v>187</v>
      </c>
      <c r="G11285" s="24">
        <v>406.0</v>
      </c>
      <c r="H11285" s="24">
        <v>2189.0</v>
      </c>
      <c r="I11285" s="24">
        <v>0.0</v>
      </c>
      <c r="J11285" s="24">
        <v>0.0</v>
      </c>
      <c r="K11285" s="23" t="s">
        <v>34</v>
      </c>
      <c r="L11285" s="25">
        <v>41551.82041666667</v>
      </c>
      <c r="M11285" s="26" t="s">
        <v>4281</v>
      </c>
      <c r="N11285" s="26" t="s">
        <v>4282</v>
      </c>
      <c r="O11285" s="22" t="str">
        <f>HYPERLINK("https://pbs.twimg.com/profile_images/543761133505503235/pKcg8bc2_normal.jpeg","View")</f>
        <v>View</v>
      </c>
      <c r="P11285" s="27"/>
    </row>
    <row r="11286">
      <c r="A11286" s="14">
        <v>43032.70517361111</v>
      </c>
      <c r="B11286" s="20" t="str">
        <f>HYPERLINK("https://twitter.com/Bullish","@Bullish")</f>
        <v>@Bullish</v>
      </c>
      <c r="C11286" s="21" t="s">
        <v>2943</v>
      </c>
      <c r="D11286" s="21" t="s">
        <v>23718</v>
      </c>
      <c r="E11286" s="22" t="str">
        <f>HYPERLINK("https://twitter.com/Bullish/status/922974850829967361","922974850829967361")</f>
        <v>922974850829967361</v>
      </c>
      <c r="F11286" s="23" t="s">
        <v>187</v>
      </c>
      <c r="G11286" s="24">
        <v>184.0</v>
      </c>
      <c r="H11286" s="24">
        <v>87.0</v>
      </c>
      <c r="I11286" s="24">
        <v>0.0</v>
      </c>
      <c r="J11286" s="24">
        <v>0.0</v>
      </c>
      <c r="K11286" s="23" t="s">
        <v>34</v>
      </c>
      <c r="L11286" s="25">
        <v>42618.75304398148</v>
      </c>
      <c r="M11286" s="28"/>
      <c r="N11286" s="28"/>
      <c r="O11286" s="22" t="str">
        <f>HYPERLINK("https://pbs.twimg.com/profile_images/798692093736599552/UikI9dNE_normal.jpg","View")</f>
        <v>View</v>
      </c>
      <c r="P11286" s="27"/>
    </row>
    <row r="11287">
      <c r="A11287" s="14">
        <v>43032.70563657407</v>
      </c>
      <c r="B11287" s="20" t="str">
        <f>HYPERLINK("https://twitter.com/alternative200","@alternative200")</f>
        <v>@alternative200</v>
      </c>
      <c r="C11287" s="21" t="s">
        <v>12828</v>
      </c>
      <c r="D11287" s="21" t="s">
        <v>23690</v>
      </c>
      <c r="E11287" s="22" t="str">
        <f>HYPERLINK("https://twitter.com/alternative200/status/922975019277398016","922975019277398016")</f>
        <v>922975019277398016</v>
      </c>
      <c r="F11287" s="23" t="s">
        <v>55</v>
      </c>
      <c r="G11287" s="24">
        <v>135.0</v>
      </c>
      <c r="H11287" s="24">
        <v>222.0</v>
      </c>
      <c r="I11287" s="24">
        <v>10.0</v>
      </c>
      <c r="J11287" s="24">
        <v>0.0</v>
      </c>
      <c r="K11287" s="23" t="s">
        <v>34</v>
      </c>
      <c r="L11287" s="25">
        <v>42924.48342592592</v>
      </c>
      <c r="M11287" s="26" t="s">
        <v>5050</v>
      </c>
      <c r="N11287" s="26" t="s">
        <v>12829</v>
      </c>
      <c r="O11287" s="22" t="str">
        <f>HYPERLINK("https://pbs.twimg.com/profile_images/903434851570855940/HD_ouAB4_normal.jpg","View")</f>
        <v>View</v>
      </c>
      <c r="P11287" s="27"/>
    </row>
    <row r="11288">
      <c r="A11288" s="14">
        <v>43032.70594907408</v>
      </c>
      <c r="B11288" s="20" t="str">
        <f>HYPERLINK("https://twitter.com/Umesh_Desai","@Umesh_Desai")</f>
        <v>@Umesh_Desai</v>
      </c>
      <c r="C11288" s="21" t="s">
        <v>23719</v>
      </c>
      <c r="D11288" s="21" t="s">
        <v>23720</v>
      </c>
      <c r="E11288" s="22" t="str">
        <f>HYPERLINK("https://twitter.com/Umesh_Desai/status/922975135077773312","922975135077773312")</f>
        <v>922975135077773312</v>
      </c>
      <c r="F11288" s="23" t="s">
        <v>39</v>
      </c>
      <c r="G11288" s="24">
        <v>775.0</v>
      </c>
      <c r="H11288" s="24">
        <v>95.0</v>
      </c>
      <c r="I11288" s="24">
        <v>0.0</v>
      </c>
      <c r="J11288" s="24">
        <v>0.0</v>
      </c>
      <c r="K11288" s="23" t="s">
        <v>34</v>
      </c>
      <c r="L11288" s="25">
        <v>39967.767222222225</v>
      </c>
      <c r="M11288" s="26" t="s">
        <v>2185</v>
      </c>
      <c r="N11288" s="26" t="s">
        <v>23721</v>
      </c>
      <c r="O11288" s="22" t="str">
        <f>HYPERLINK("https://pbs.twimg.com/profile_images/257240021/u1_normal.JPG","View")</f>
        <v>View</v>
      </c>
      <c r="P11288" s="27"/>
    </row>
    <row r="11289">
      <c r="A11289" s="14">
        <v>43032.70668981482</v>
      </c>
      <c r="B11289" s="20" t="str">
        <f>HYPERLINK("https://twitter.com/MarkM447","@MarkM447")</f>
        <v>@MarkM447</v>
      </c>
      <c r="C11289" s="21" t="s">
        <v>23722</v>
      </c>
      <c r="D11289" s="21" t="s">
        <v>18113</v>
      </c>
      <c r="E11289" s="22" t="str">
        <f>HYPERLINK("https://twitter.com/MarkM447/status/922975400384397312","922975400384397312")</f>
        <v>922975400384397312</v>
      </c>
      <c r="F11289" s="23" t="s">
        <v>55</v>
      </c>
      <c r="G11289" s="24">
        <v>1318.0</v>
      </c>
      <c r="H11289" s="24">
        <v>403.0</v>
      </c>
      <c r="I11289" s="24">
        <v>18.0</v>
      </c>
      <c r="J11289" s="24">
        <v>0.0</v>
      </c>
      <c r="K11289" s="23" t="s">
        <v>34</v>
      </c>
      <c r="L11289" s="25">
        <v>39924.49107638889</v>
      </c>
      <c r="M11289" s="26" t="s">
        <v>23723</v>
      </c>
      <c r="N11289" s="26" t="s">
        <v>23724</v>
      </c>
      <c r="O11289" s="22" t="str">
        <f>HYPERLINK("https://pbs.twimg.com/profile_images/921793720042733568/HC-5UduM_normal.jpg","View")</f>
        <v>View</v>
      </c>
      <c r="P11289" s="27"/>
    </row>
    <row r="11290">
      <c r="A11290" s="14">
        <v>43032.70715277777</v>
      </c>
      <c r="B11290" s="20" t="str">
        <f>HYPERLINK("https://twitter.com/Rory_Medcalf","@Rory_Medcalf")</f>
        <v>@Rory_Medcalf</v>
      </c>
      <c r="C11290" s="21" t="s">
        <v>23725</v>
      </c>
      <c r="D11290" s="21" t="s">
        <v>23726</v>
      </c>
      <c r="E11290" s="22" t="str">
        <f>HYPERLINK("https://twitter.com/Rory_Medcalf/status/922975569066598400","922975569066598400")</f>
        <v>922975569066598400</v>
      </c>
      <c r="F11290" s="23" t="s">
        <v>55</v>
      </c>
      <c r="G11290" s="24">
        <v>20778.0</v>
      </c>
      <c r="H11290" s="24">
        <v>8340.0</v>
      </c>
      <c r="I11290" s="24">
        <v>1.0</v>
      </c>
      <c r="J11290" s="24">
        <v>0.0</v>
      </c>
      <c r="K11290" s="23" t="s">
        <v>34</v>
      </c>
      <c r="L11290" s="25">
        <v>39778.81664351852</v>
      </c>
      <c r="M11290" s="26" t="s">
        <v>23727</v>
      </c>
      <c r="N11290" s="26" t="s">
        <v>23728</v>
      </c>
      <c r="O11290" s="22" t="str">
        <f>HYPERLINK("https://pbs.twimg.com/profile_images/760014760842629120/TpqTXEqa_normal.jpg","View")</f>
        <v>View</v>
      </c>
      <c r="P11290" s="27"/>
    </row>
    <row r="11291">
      <c r="A11291" s="14">
        <v>43032.70736111111</v>
      </c>
      <c r="B11291" s="20" t="str">
        <f>HYPERLINK("https://twitter.com/MageStrategies","@MageStrategies")</f>
        <v>@MageStrategies</v>
      </c>
      <c r="C11291" s="21" t="s">
        <v>23729</v>
      </c>
      <c r="D11291" s="21" t="s">
        <v>18113</v>
      </c>
      <c r="E11291" s="22" t="str">
        <f>HYPERLINK("https://twitter.com/MageStrategies/status/922975643599376384","922975643599376384")</f>
        <v>922975643599376384</v>
      </c>
      <c r="F11291" s="23" t="s">
        <v>33</v>
      </c>
      <c r="G11291" s="24">
        <v>1251.0</v>
      </c>
      <c r="H11291" s="24">
        <v>1961.0</v>
      </c>
      <c r="I11291" s="24">
        <v>18.0</v>
      </c>
      <c r="J11291" s="24">
        <v>0.0</v>
      </c>
      <c r="K11291" s="23" t="s">
        <v>34</v>
      </c>
      <c r="L11291" s="25">
        <v>40775.40583333334</v>
      </c>
      <c r="M11291" s="26" t="s">
        <v>23730</v>
      </c>
      <c r="N11291" s="26" t="s">
        <v>23731</v>
      </c>
      <c r="O11291" s="22" t="str">
        <f>HYPERLINK("https://pbs.twimg.com/profile_images/908052335980535809/XlZ6jSoZ_normal.jpg","View")</f>
        <v>View</v>
      </c>
      <c r="P11291" s="27"/>
    </row>
    <row r="11292">
      <c r="A11292" s="14">
        <v>43032.707766203705</v>
      </c>
      <c r="B11292" s="20" t="str">
        <f>HYPERLINK("https://twitter.com/BloombergTV","@BloombergTV")</f>
        <v>@BloombergTV</v>
      </c>
      <c r="C11292" s="21" t="s">
        <v>1723</v>
      </c>
      <c r="D11292" s="21" t="s">
        <v>23732</v>
      </c>
      <c r="E11292" s="22" t="str">
        <f>HYPERLINK("https://twitter.com/BloombergTV/status/922975793915056129","922975793915056129")</f>
        <v>922975793915056129</v>
      </c>
      <c r="F11292" s="23" t="s">
        <v>1103</v>
      </c>
      <c r="G11292" s="24">
        <v>452742.0</v>
      </c>
      <c r="H11292" s="24">
        <v>458.0</v>
      </c>
      <c r="I11292" s="24">
        <v>1.0</v>
      </c>
      <c r="J11292" s="24">
        <v>0.0</v>
      </c>
      <c r="K11292" s="23" t="s">
        <v>34</v>
      </c>
      <c r="L11292" s="25">
        <v>39927.48997685185</v>
      </c>
      <c r="M11292" s="26" t="s">
        <v>389</v>
      </c>
      <c r="N11292" s="26" t="s">
        <v>1725</v>
      </c>
      <c r="O11292" s="22" t="str">
        <f>HYPERLINK("https://pbs.twimg.com/profile_images/714801760632770560/7My2hMBt_normal.jpg","View")</f>
        <v>View</v>
      </c>
      <c r="P11292" s="27"/>
    </row>
    <row r="11293">
      <c r="A11293" s="14">
        <v>43032.708136574074</v>
      </c>
      <c r="B11293" s="20" t="str">
        <f>HYPERLINK("https://twitter.com/AgentandFather","@AgentandFather")</f>
        <v>@AgentandFather</v>
      </c>
      <c r="C11293" s="21" t="s">
        <v>23733</v>
      </c>
      <c r="D11293" s="21" t="s">
        <v>23734</v>
      </c>
      <c r="E11293" s="22" t="str">
        <f>HYPERLINK("https://twitter.com/AgentandFather/status/922975924013867008","922975924013867008")</f>
        <v>922975924013867008</v>
      </c>
      <c r="F11293" s="23" t="s">
        <v>55</v>
      </c>
      <c r="G11293" s="24">
        <v>264.0</v>
      </c>
      <c r="H11293" s="24">
        <v>951.0</v>
      </c>
      <c r="I11293" s="24">
        <v>1.0</v>
      </c>
      <c r="J11293" s="24">
        <v>0.0</v>
      </c>
      <c r="K11293" s="23" t="s">
        <v>34</v>
      </c>
      <c r="L11293" s="25">
        <v>41222.08488425926</v>
      </c>
      <c r="M11293" s="28"/>
      <c r="N11293" s="26" t="s">
        <v>23735</v>
      </c>
      <c r="O11293" s="22" t="str">
        <f>HYPERLINK("https://pbs.twimg.com/profile_images/2826442037/93818b5062de6014fe4b96896402efa0_normal.jpeg","View")</f>
        <v>View</v>
      </c>
      <c r="P11293" s="27"/>
    </row>
    <row r="11294">
      <c r="A11294" s="14">
        <v>43032.70842592593</v>
      </c>
      <c r="B11294" s="20" t="str">
        <f>HYPERLINK("https://twitter.com/Social_MediaNws","@Social_MediaNws")</f>
        <v>@Social_MediaNws</v>
      </c>
      <c r="C11294" s="21" t="s">
        <v>425</v>
      </c>
      <c r="D11294" s="21" t="s">
        <v>23736</v>
      </c>
      <c r="E11294" s="22" t="str">
        <f>HYPERLINK("https://twitter.com/Social_MediaNws/status/922976031618797568","922976031618797568")</f>
        <v>922976031618797568</v>
      </c>
      <c r="F11294" s="23" t="s">
        <v>1020</v>
      </c>
      <c r="G11294" s="24">
        <v>2903.0</v>
      </c>
      <c r="H11294" s="24">
        <v>2964.0</v>
      </c>
      <c r="I11294" s="24">
        <v>0.0</v>
      </c>
      <c r="J11294" s="24">
        <v>0.0</v>
      </c>
      <c r="K11294" s="23" t="s">
        <v>34</v>
      </c>
      <c r="L11294" s="25">
        <v>41150.31230324074</v>
      </c>
      <c r="M11294" s="28"/>
      <c r="N11294" s="26" t="s">
        <v>13244</v>
      </c>
      <c r="O11294" s="22" t="str">
        <f>HYPERLINK("https://pbs.twimg.com/profile_images/2555906299/2t28xm5pll2gy9p25785_normal.png","View")</f>
        <v>View</v>
      </c>
      <c r="P11294" s="27"/>
    </row>
    <row r="11295">
      <c r="A11295" s="14">
        <v>43032.7084837963</v>
      </c>
      <c r="B11295" s="20" t="str">
        <f>HYPERLINK("https://twitter.com/General_News_","@General_News_")</f>
        <v>@General_News_</v>
      </c>
      <c r="C11295" s="21" t="s">
        <v>13787</v>
      </c>
      <c r="D11295" s="21" t="s">
        <v>23737</v>
      </c>
      <c r="E11295" s="22" t="str">
        <f>HYPERLINK("https://twitter.com/General_News_/status/922976051353047040","922976051353047040")</f>
        <v>922976051353047040</v>
      </c>
      <c r="F11295" s="23" t="s">
        <v>1020</v>
      </c>
      <c r="G11295" s="24">
        <v>1982.0</v>
      </c>
      <c r="H11295" s="24">
        <v>1964.0</v>
      </c>
      <c r="I11295" s="24">
        <v>0.0</v>
      </c>
      <c r="J11295" s="24">
        <v>0.0</v>
      </c>
      <c r="K11295" s="23" t="s">
        <v>34</v>
      </c>
      <c r="L11295" s="25">
        <v>40621.34769675926</v>
      </c>
      <c r="M11295" s="26" t="s">
        <v>68</v>
      </c>
      <c r="N11295" s="26" t="s">
        <v>13789</v>
      </c>
      <c r="O11295" s="22" t="str">
        <f>HYPERLINK("https://pbs.twimg.com/profile_images/1279304346/Afbeelding_35_normal.png","View")</f>
        <v>View</v>
      </c>
      <c r="P11295" s="27"/>
    </row>
    <row r="11296">
      <c r="A11296" s="14">
        <v>43032.708495370374</v>
      </c>
      <c r="B11296" s="20" t="str">
        <f>HYPERLINK("https://twitter.com/PensionPolIntl","@PensionPolIntl")</f>
        <v>@PensionPolIntl</v>
      </c>
      <c r="C11296" s="21" t="s">
        <v>23738</v>
      </c>
      <c r="D11296" s="21" t="s">
        <v>23739</v>
      </c>
      <c r="E11296" s="22" t="str">
        <f>HYPERLINK("https://twitter.com/PensionPolIntl/status/922976055576743937","922976055576743937")</f>
        <v>922976055576743937</v>
      </c>
      <c r="F11296" s="23" t="s">
        <v>427</v>
      </c>
      <c r="G11296" s="24">
        <v>107.0</v>
      </c>
      <c r="H11296" s="24">
        <v>447.0</v>
      </c>
      <c r="I11296" s="24">
        <v>0.0</v>
      </c>
      <c r="J11296" s="24">
        <v>0.0</v>
      </c>
      <c r="K11296" s="23" t="s">
        <v>34</v>
      </c>
      <c r="L11296" s="25">
        <v>42733.302569444444</v>
      </c>
      <c r="M11296" s="28"/>
      <c r="N11296" s="26" t="s">
        <v>23740</v>
      </c>
      <c r="O11296" s="22" t="str">
        <f>HYPERLINK("https://pbs.twimg.com/profile_images/828685515113181185/01jsuyP9_normal.jpg","View")</f>
        <v>View</v>
      </c>
      <c r="P11296" s="27"/>
    </row>
    <row r="11297">
      <c r="A11297" s="14">
        <v>43032.70909722222</v>
      </c>
      <c r="B11297" s="20" t="str">
        <f>HYPERLINK("https://twitter.com/Leo_Tricia","@Leo_Tricia")</f>
        <v>@Leo_Tricia</v>
      </c>
      <c r="C11297" s="21" t="s">
        <v>23741</v>
      </c>
      <c r="D11297" s="21" t="s">
        <v>32</v>
      </c>
      <c r="E11297" s="22" t="str">
        <f>HYPERLINK("https://twitter.com/Leo_Tricia/status/922976275618324481","922976275618324481")</f>
        <v>922976275618324481</v>
      </c>
      <c r="F11297" s="23" t="s">
        <v>33</v>
      </c>
      <c r="G11297" s="24">
        <v>908.0</v>
      </c>
      <c r="H11297" s="24">
        <v>594.0</v>
      </c>
      <c r="I11297" s="24">
        <v>471.0</v>
      </c>
      <c r="J11297" s="24">
        <v>0.0</v>
      </c>
      <c r="K11297" s="23" t="s">
        <v>34</v>
      </c>
      <c r="L11297" s="25">
        <v>40950.49814814815</v>
      </c>
      <c r="M11297" s="26" t="s">
        <v>23742</v>
      </c>
      <c r="N11297" s="26" t="s">
        <v>23743</v>
      </c>
      <c r="O11297" s="22" t="str">
        <f>HYPERLINK("https://pbs.twimg.com/profile_images/898948269514121216/mlj7piLS_normal.jpg","View")</f>
        <v>View</v>
      </c>
      <c r="P11297" s="27"/>
    </row>
    <row r="11298">
      <c r="A11298" s="14">
        <v>43032.70916666667</v>
      </c>
      <c r="B11298" s="20" t="str">
        <f>HYPERLINK("https://twitter.com/sini_o","@sini_o")</f>
        <v>@sini_o</v>
      </c>
      <c r="C11298" s="21" t="s">
        <v>23744</v>
      </c>
      <c r="D11298" s="21" t="s">
        <v>18113</v>
      </c>
      <c r="E11298" s="22" t="str">
        <f>HYPERLINK("https://twitter.com/sini_o/status/922976299035000832","922976299035000832")</f>
        <v>922976299035000832</v>
      </c>
      <c r="F11298" s="23" t="s">
        <v>33</v>
      </c>
      <c r="G11298" s="24">
        <v>79.0</v>
      </c>
      <c r="H11298" s="24">
        <v>131.0</v>
      </c>
      <c r="I11298" s="24">
        <v>18.0</v>
      </c>
      <c r="J11298" s="24">
        <v>0.0</v>
      </c>
      <c r="K11298" s="23" t="s">
        <v>34</v>
      </c>
      <c r="L11298" s="25">
        <v>41928.839270833334</v>
      </c>
      <c r="M11298" s="26" t="s">
        <v>16875</v>
      </c>
      <c r="N11298" s="26" t="s">
        <v>23745</v>
      </c>
      <c r="O11298" s="22" t="str">
        <f>HYPERLINK("https://pbs.twimg.com/profile_images/914753473287204865/1L8En6T4_normal.jpg","View")</f>
        <v>View</v>
      </c>
      <c r="P11298" s="27"/>
    </row>
    <row r="11299">
      <c r="A11299" s="14">
        <v>43032.70979166667</v>
      </c>
      <c r="B11299" s="20" t="str">
        <f>HYPERLINK("https://twitter.com/LHBrok","@LHBrok")</f>
        <v>@LHBrok</v>
      </c>
      <c r="C11299" s="21" t="s">
        <v>23746</v>
      </c>
      <c r="D11299" s="21" t="s">
        <v>23747</v>
      </c>
      <c r="E11299" s="22" t="str">
        <f>HYPERLINK("https://twitter.com/LHBrok/status/922976526555140097","922976526555140097")</f>
        <v>922976526555140097</v>
      </c>
      <c r="F11299" s="23" t="s">
        <v>55</v>
      </c>
      <c r="G11299" s="24">
        <v>778.0</v>
      </c>
      <c r="H11299" s="24">
        <v>716.0</v>
      </c>
      <c r="I11299" s="24">
        <v>0.0</v>
      </c>
      <c r="J11299" s="24">
        <v>0.0</v>
      </c>
      <c r="K11299" s="23" t="s">
        <v>34</v>
      </c>
      <c r="L11299" s="25">
        <v>41713.72733796296</v>
      </c>
      <c r="M11299" s="28"/>
      <c r="N11299" s="26" t="s">
        <v>23748</v>
      </c>
      <c r="O11299" s="22" t="str">
        <f>HYPERLINK("https://pbs.twimg.com/profile_images/473595630573481984/q3xke95-_normal.jpeg","View")</f>
        <v>View</v>
      </c>
      <c r="P11299" s="27"/>
    </row>
    <row r="11300">
      <c r="A11300" s="14">
        <v>43032.71020833333</v>
      </c>
      <c r="B11300" s="20" t="str">
        <f>HYPERLINK("https://twitter.com/TokyoReview","@TokyoReview")</f>
        <v>@TokyoReview</v>
      </c>
      <c r="C11300" s="21" t="s">
        <v>23749</v>
      </c>
      <c r="D11300" s="21" t="s">
        <v>23750</v>
      </c>
      <c r="E11300" s="22" t="str">
        <f>HYPERLINK("https://twitter.com/TokyoReview/status/922976675620462592","922976675620462592")</f>
        <v>922976675620462592</v>
      </c>
      <c r="F11300" s="23" t="s">
        <v>39</v>
      </c>
      <c r="G11300" s="24">
        <v>519.0</v>
      </c>
      <c r="H11300" s="24">
        <v>6.0</v>
      </c>
      <c r="I11300" s="24">
        <v>1.0</v>
      </c>
      <c r="J11300" s="24">
        <v>0.0</v>
      </c>
      <c r="K11300" s="23" t="s">
        <v>34</v>
      </c>
      <c r="L11300" s="25">
        <v>42851.036944444444</v>
      </c>
      <c r="M11300" s="26" t="s">
        <v>271</v>
      </c>
      <c r="N11300" s="26" t="s">
        <v>23751</v>
      </c>
      <c r="O11300" s="22" t="str">
        <f>HYPERLINK("https://pbs.twimg.com/profile_images/881717439997689856/SX61O2Jq_normal.jpg","View")</f>
        <v>View</v>
      </c>
      <c r="P11300" s="27"/>
    </row>
    <row r="11301">
      <c r="A11301" s="14">
        <v>43032.71123842592</v>
      </c>
      <c r="B11301" s="20" t="str">
        <f>HYPERLINK("https://twitter.com/ponchan1791","@ponchan1791")</f>
        <v>@ponchan1791</v>
      </c>
      <c r="C11301" s="21" t="s">
        <v>23752</v>
      </c>
      <c r="D11301" s="21" t="s">
        <v>22629</v>
      </c>
      <c r="E11301" s="22" t="str">
        <f>HYPERLINK("https://twitter.com/ponchan1791/status/922977051576954880","922977051576954880")</f>
        <v>922977051576954880</v>
      </c>
      <c r="F11301" s="23" t="s">
        <v>33</v>
      </c>
      <c r="G11301" s="24">
        <v>613.0</v>
      </c>
      <c r="H11301" s="24">
        <v>1033.0</v>
      </c>
      <c r="I11301" s="24">
        <v>14.0</v>
      </c>
      <c r="J11301" s="24">
        <v>0.0</v>
      </c>
      <c r="K11301" s="23" t="s">
        <v>34</v>
      </c>
      <c r="L11301" s="25">
        <v>40492.28791666667</v>
      </c>
      <c r="M11301" s="26" t="s">
        <v>23753</v>
      </c>
      <c r="N11301" s="26" t="s">
        <v>23754</v>
      </c>
      <c r="O11301" s="22" t="str">
        <f>HYPERLINK("https://pbs.twimg.com/profile_images/876755677103902720/plNYT9gE_normal.jpg","View")</f>
        <v>View</v>
      </c>
      <c r="P11301" s="27"/>
    </row>
    <row r="11302">
      <c r="A11302" s="14">
        <v>43032.71215277778</v>
      </c>
      <c r="B11302" s="20" t="str">
        <f>HYPERLINK("https://twitter.com/VictorRey63","@VictorRey63")</f>
        <v>@VictorRey63</v>
      </c>
      <c r="C11302" s="21" t="s">
        <v>23755</v>
      </c>
      <c r="D11302" s="21" t="s">
        <v>23690</v>
      </c>
      <c r="E11302" s="22" t="str">
        <f>HYPERLINK("https://twitter.com/VictorRey63/status/922977382629347333","922977382629347333")</f>
        <v>922977382629347333</v>
      </c>
      <c r="F11302" s="23" t="s">
        <v>39</v>
      </c>
      <c r="G11302" s="24">
        <v>92.0</v>
      </c>
      <c r="H11302" s="24">
        <v>224.0</v>
      </c>
      <c r="I11302" s="24">
        <v>10.0</v>
      </c>
      <c r="J11302" s="24">
        <v>0.0</v>
      </c>
      <c r="K11302" s="23" t="s">
        <v>34</v>
      </c>
      <c r="L11302" s="25">
        <v>41377.839791666665</v>
      </c>
      <c r="M11302" s="26" t="s">
        <v>6241</v>
      </c>
      <c r="N11302" s="28"/>
      <c r="O11302" s="22" t="str">
        <f>HYPERLINK("https://pbs.twimg.com/profile_images/920084299461857280/U4hlNq1k_normal.jpg","View")</f>
        <v>View</v>
      </c>
      <c r="P11302" s="27"/>
    </row>
    <row r="11303">
      <c r="A11303" s="14">
        <v>43032.71253472222</v>
      </c>
      <c r="B11303" s="20" t="str">
        <f>HYPERLINK("https://twitter.com/narayansinghr12","@narayansinghr12")</f>
        <v>@narayansinghr12</v>
      </c>
      <c r="C11303" s="21" t="s">
        <v>23756</v>
      </c>
      <c r="D11303" s="21" t="s">
        <v>42</v>
      </c>
      <c r="E11303" s="22" t="str">
        <f>HYPERLINK("https://twitter.com/narayansinghr12/status/922977520756039680","922977520756039680")</f>
        <v>922977520756039680</v>
      </c>
      <c r="F11303" s="23" t="s">
        <v>33</v>
      </c>
      <c r="G11303" s="24">
        <v>19.0</v>
      </c>
      <c r="H11303" s="24">
        <v>50.0</v>
      </c>
      <c r="I11303" s="24">
        <v>8501.0</v>
      </c>
      <c r="J11303" s="24">
        <v>0.0</v>
      </c>
      <c r="K11303" s="23" t="s">
        <v>34</v>
      </c>
      <c r="L11303" s="25">
        <v>41483.78282407408</v>
      </c>
      <c r="M11303" s="28"/>
      <c r="N11303" s="28"/>
      <c r="O11303" s="22" t="str">
        <f>HYPERLINK("https://pbs.twimg.com/profile_images/818287786092589056/yiWg27Ei_normal.jpg","View")</f>
        <v>View</v>
      </c>
      <c r="P11303" s="27"/>
    </row>
    <row r="11304">
      <c r="A11304" s="14">
        <v>43032.714004629626</v>
      </c>
      <c r="B11304" s="20" t="str">
        <f t="shared" ref="B11304:B11305" si="284">HYPERLINK("https://twitter.com/AbolfathiSoraya","@AbolfathiSoraya")</f>
        <v>@AbolfathiSoraya</v>
      </c>
      <c r="C11304" s="21" t="s">
        <v>23757</v>
      </c>
      <c r="D11304" s="21" t="s">
        <v>21202</v>
      </c>
      <c r="E11304" s="22" t="str">
        <f>HYPERLINK("https://twitter.com/AbolfathiSoraya/status/922978052975595520","922978052975595520")</f>
        <v>922978052975595520</v>
      </c>
      <c r="F11304" s="23" t="s">
        <v>86</v>
      </c>
      <c r="G11304" s="24">
        <v>245.0</v>
      </c>
      <c r="H11304" s="24">
        <v>149.0</v>
      </c>
      <c r="I11304" s="24">
        <v>79.0</v>
      </c>
      <c r="J11304" s="24">
        <v>0.0</v>
      </c>
      <c r="K11304" s="23" t="s">
        <v>34</v>
      </c>
      <c r="L11304" s="25">
        <v>41772.30587962963</v>
      </c>
      <c r="M11304" s="26" t="s">
        <v>23758</v>
      </c>
      <c r="N11304" s="26" t="s">
        <v>23759</v>
      </c>
      <c r="O11304" s="22" t="str">
        <f t="shared" ref="O11304:O11305" si="285">HYPERLINK("https://pbs.twimg.com/profile_images/466222119274037248/7O4-BaD7_normal.jpeg","View")</f>
        <v>View</v>
      </c>
      <c r="P11304" s="27"/>
    </row>
    <row r="11305">
      <c r="A11305" s="14">
        <v>43032.71449074074</v>
      </c>
      <c r="B11305" s="20" t="str">
        <f t="shared" si="284"/>
        <v>@AbolfathiSoraya</v>
      </c>
      <c r="C11305" s="21" t="s">
        <v>23757</v>
      </c>
      <c r="D11305" s="21" t="s">
        <v>21203</v>
      </c>
      <c r="E11305" s="22" t="str">
        <f>HYPERLINK("https://twitter.com/AbolfathiSoraya/status/922978229220200448","922978229220200448")</f>
        <v>922978229220200448</v>
      </c>
      <c r="F11305" s="23" t="s">
        <v>86</v>
      </c>
      <c r="G11305" s="24">
        <v>245.0</v>
      </c>
      <c r="H11305" s="24">
        <v>149.0</v>
      </c>
      <c r="I11305" s="24">
        <v>75.0</v>
      </c>
      <c r="J11305" s="24">
        <v>0.0</v>
      </c>
      <c r="K11305" s="23" t="s">
        <v>34</v>
      </c>
      <c r="L11305" s="25">
        <v>41772.30587962963</v>
      </c>
      <c r="M11305" s="26" t="s">
        <v>23758</v>
      </c>
      <c r="N11305" s="26" t="s">
        <v>23759</v>
      </c>
      <c r="O11305" s="22" t="str">
        <f t="shared" si="285"/>
        <v>View</v>
      </c>
      <c r="P11305" s="27"/>
    </row>
    <row r="11306">
      <c r="A11306" s="14">
        <v>43032.71466435185</v>
      </c>
      <c r="B11306" s="20" t="str">
        <f>HYPERLINK("https://twitter.com/sleep_sheep2010","@sleep_sheep2010")</f>
        <v>@sleep_sheep2010</v>
      </c>
      <c r="C11306" s="21" t="s">
        <v>23760</v>
      </c>
      <c r="D11306" s="21" t="s">
        <v>11750</v>
      </c>
      <c r="E11306" s="22" t="str">
        <f>HYPERLINK("https://twitter.com/sleep_sheep2010/status/922978290654093312","922978290654093312")</f>
        <v>922978290654093312</v>
      </c>
      <c r="F11306" s="23" t="s">
        <v>6588</v>
      </c>
      <c r="G11306" s="24">
        <v>1877.0</v>
      </c>
      <c r="H11306" s="24">
        <v>222.0</v>
      </c>
      <c r="I11306" s="24">
        <v>35.0</v>
      </c>
      <c r="J11306" s="24">
        <v>0.0</v>
      </c>
      <c r="K11306" s="23" t="s">
        <v>34</v>
      </c>
      <c r="L11306" s="25">
        <v>40031.71865740741</v>
      </c>
      <c r="M11306" s="26" t="s">
        <v>23761</v>
      </c>
      <c r="N11306" s="26" t="s">
        <v>23762</v>
      </c>
      <c r="O11306" s="22" t="str">
        <f>HYPERLINK("https://pbs.twimg.com/profile_images/1587610371/__normal.png","View")</f>
        <v>View</v>
      </c>
      <c r="P11306" s="27"/>
    </row>
    <row r="11307">
      <c r="A11307" s="14">
        <v>43032.71497685185</v>
      </c>
      <c r="B11307" s="20" t="str">
        <f>HYPERLINK("https://twitter.com/AbolfathiSoraya","@AbolfathiSoraya")</f>
        <v>@AbolfathiSoraya</v>
      </c>
      <c r="C11307" s="21" t="s">
        <v>23757</v>
      </c>
      <c r="D11307" s="21" t="s">
        <v>21243</v>
      </c>
      <c r="E11307" s="22" t="str">
        <f>HYPERLINK("https://twitter.com/AbolfathiSoraya/status/922978405271908352","922978405271908352")</f>
        <v>922978405271908352</v>
      </c>
      <c r="F11307" s="23" t="s">
        <v>86</v>
      </c>
      <c r="G11307" s="24">
        <v>245.0</v>
      </c>
      <c r="H11307" s="24">
        <v>149.0</v>
      </c>
      <c r="I11307" s="24">
        <v>41.0</v>
      </c>
      <c r="J11307" s="24">
        <v>0.0</v>
      </c>
      <c r="K11307" s="23" t="s">
        <v>34</v>
      </c>
      <c r="L11307" s="25">
        <v>41772.30587962963</v>
      </c>
      <c r="M11307" s="26" t="s">
        <v>23758</v>
      </c>
      <c r="N11307" s="26" t="s">
        <v>23759</v>
      </c>
      <c r="O11307" s="22" t="str">
        <f>HYPERLINK("https://pbs.twimg.com/profile_images/466222119274037248/7O4-BaD7_normal.jpeg","View")</f>
        <v>View</v>
      </c>
      <c r="P11307" s="27"/>
    </row>
    <row r="11308">
      <c r="A11308" s="14">
        <v>43032.71636574074</v>
      </c>
      <c r="B11308" s="20" t="str">
        <f t="shared" ref="B11308:B11309" si="286">HYPERLINK("https://twitter.com/leonlaiming","@leonlaiming")</f>
        <v>@leonlaiming</v>
      </c>
      <c r="C11308" s="21" t="s">
        <v>23763</v>
      </c>
      <c r="D11308" s="21" t="s">
        <v>6403</v>
      </c>
      <c r="E11308" s="22" t="str">
        <f>HYPERLINK("https://twitter.com/leonlaiming/status/922978907925626881","922978907925626881")</f>
        <v>922978907925626881</v>
      </c>
      <c r="F11308" s="23" t="s">
        <v>230</v>
      </c>
      <c r="G11308" s="24">
        <v>1545.0</v>
      </c>
      <c r="H11308" s="24">
        <v>1636.0</v>
      </c>
      <c r="I11308" s="24">
        <v>97.0</v>
      </c>
      <c r="J11308" s="24">
        <v>0.0</v>
      </c>
      <c r="K11308" s="23" t="s">
        <v>34</v>
      </c>
      <c r="L11308" s="25">
        <v>41912.931967592594</v>
      </c>
      <c r="M11308" s="28"/>
      <c r="N11308" s="26" t="s">
        <v>23764</v>
      </c>
      <c r="O11308" s="22" t="str">
        <f t="shared" ref="O11308:O11309" si="287">HYPERLINK("https://pbs.twimg.com/profile_images/713002362856562688/T85bM_hi_normal.jpg","View")</f>
        <v>View</v>
      </c>
      <c r="P11308" s="27"/>
    </row>
    <row r="11309">
      <c r="A11309" s="14">
        <v>43032.71748842593</v>
      </c>
      <c r="B11309" s="20" t="str">
        <f t="shared" si="286"/>
        <v>@leonlaiming</v>
      </c>
      <c r="C11309" s="21" t="s">
        <v>23763</v>
      </c>
      <c r="D11309" s="21" t="s">
        <v>16537</v>
      </c>
      <c r="E11309" s="22" t="str">
        <f>HYPERLINK("https://twitter.com/leonlaiming/status/922979314374664192","922979314374664192")</f>
        <v>922979314374664192</v>
      </c>
      <c r="F11309" s="23" t="s">
        <v>230</v>
      </c>
      <c r="G11309" s="24">
        <v>1545.0</v>
      </c>
      <c r="H11309" s="24">
        <v>1636.0</v>
      </c>
      <c r="I11309" s="24">
        <v>242.0</v>
      </c>
      <c r="J11309" s="24">
        <v>0.0</v>
      </c>
      <c r="K11309" s="23" t="s">
        <v>34</v>
      </c>
      <c r="L11309" s="25">
        <v>41912.931967592594</v>
      </c>
      <c r="M11309" s="28"/>
      <c r="N11309" s="26" t="s">
        <v>23764</v>
      </c>
      <c r="O11309" s="22" t="str">
        <f t="shared" si="287"/>
        <v>View</v>
      </c>
      <c r="P11309" s="27"/>
    </row>
    <row r="11310">
      <c r="A11310" s="14">
        <v>43032.72378472222</v>
      </c>
      <c r="B11310" s="20" t="str">
        <f>HYPERLINK("https://twitter.com/DaCandyDandy","@DaCandyDandy")</f>
        <v>@DaCandyDandy</v>
      </c>
      <c r="C11310" s="21" t="s">
        <v>23765</v>
      </c>
      <c r="D11310" s="21" t="s">
        <v>18113</v>
      </c>
      <c r="E11310" s="22" t="str">
        <f>HYPERLINK("https://twitter.com/DaCandyDandy/status/922981596147224576","922981596147224576")</f>
        <v>922981596147224576</v>
      </c>
      <c r="F11310" s="23" t="s">
        <v>33</v>
      </c>
      <c r="G11310" s="24">
        <v>965.0</v>
      </c>
      <c r="H11310" s="24">
        <v>718.0</v>
      </c>
      <c r="I11310" s="24">
        <v>18.0</v>
      </c>
      <c r="J11310" s="24">
        <v>0.0</v>
      </c>
      <c r="K11310" s="23" t="s">
        <v>34</v>
      </c>
      <c r="L11310" s="25">
        <v>40736.99155092593</v>
      </c>
      <c r="M11310" s="26" t="s">
        <v>23766</v>
      </c>
      <c r="N11310" s="26" t="s">
        <v>23767</v>
      </c>
      <c r="O11310" s="22" t="str">
        <f>HYPERLINK("https://pbs.twimg.com/profile_images/882384827000930305/cEKFHr3X_normal.jpg","View")</f>
        <v>View</v>
      </c>
      <c r="P11310" s="27"/>
    </row>
    <row r="11311">
      <c r="A11311" s="14">
        <v>43032.72400462963</v>
      </c>
      <c r="B11311" s="20" t="str">
        <f>HYPERLINK("https://twitter.com/Jaikrishnashree","@Jaikrishnashree")</f>
        <v>@Jaikrishnashree</v>
      </c>
      <c r="C11311" s="21" t="s">
        <v>23768</v>
      </c>
      <c r="D11311" s="21" t="s">
        <v>42</v>
      </c>
      <c r="E11311" s="22" t="str">
        <f>HYPERLINK("https://twitter.com/Jaikrishnashree/status/922981675126046720","922981675126046720")</f>
        <v>922981675126046720</v>
      </c>
      <c r="F11311" s="23" t="s">
        <v>33</v>
      </c>
      <c r="G11311" s="24">
        <v>3216.0</v>
      </c>
      <c r="H11311" s="24">
        <v>3501.0</v>
      </c>
      <c r="I11311" s="24">
        <v>8501.0</v>
      </c>
      <c r="J11311" s="24">
        <v>0.0</v>
      </c>
      <c r="K11311" s="23" t="s">
        <v>34</v>
      </c>
      <c r="L11311" s="25">
        <v>41595.74412037037</v>
      </c>
      <c r="M11311" s="26" t="s">
        <v>23769</v>
      </c>
      <c r="N11311" s="26" t="s">
        <v>23770</v>
      </c>
      <c r="O11311" s="22" t="str">
        <f>HYPERLINK("https://pbs.twimg.com/profile_images/786219073231134720/wodOHuiC_normal.jpg","View")</f>
        <v>View</v>
      </c>
      <c r="P11311" s="27"/>
    </row>
    <row r="11312">
      <c r="A11312" s="14">
        <v>43032.72400462963</v>
      </c>
      <c r="B11312" s="20" t="str">
        <f>HYPERLINK("https://twitter.com/michel_kabongo","@michel_kabongo")</f>
        <v>@michel_kabongo</v>
      </c>
      <c r="C11312" s="21" t="s">
        <v>23771</v>
      </c>
      <c r="D11312" s="21" t="s">
        <v>23690</v>
      </c>
      <c r="E11312" s="22" t="str">
        <f>HYPERLINK("https://twitter.com/michel_kabongo/status/922981676145356800","922981676145356800")</f>
        <v>922981676145356800</v>
      </c>
      <c r="F11312" s="23" t="s">
        <v>33</v>
      </c>
      <c r="G11312" s="24">
        <v>123.0</v>
      </c>
      <c r="H11312" s="24">
        <v>600.0</v>
      </c>
      <c r="I11312" s="24">
        <v>10.0</v>
      </c>
      <c r="J11312" s="24">
        <v>0.0</v>
      </c>
      <c r="K11312" s="23" t="s">
        <v>34</v>
      </c>
      <c r="L11312" s="25">
        <v>41485.791493055556</v>
      </c>
      <c r="M11312" s="26" t="s">
        <v>96</v>
      </c>
      <c r="N11312" s="26" t="s">
        <v>23772</v>
      </c>
      <c r="O11312" s="22" t="str">
        <f>HYPERLINK("https://pbs.twimg.com/profile_images/647697143109554176/yb1A9Byq_normal.jpg","View")</f>
        <v>View</v>
      </c>
      <c r="P11312" s="27"/>
    </row>
    <row r="11313">
      <c r="A11313" s="14">
        <v>43032.72547453704</v>
      </c>
      <c r="B11313" s="20" t="str">
        <f>HYPERLINK("https://twitter.com/satomisugawara2","@satomisugawara2")</f>
        <v>@satomisugawara2</v>
      </c>
      <c r="C11313" s="21" t="s">
        <v>23773</v>
      </c>
      <c r="D11313" s="21" t="s">
        <v>23774</v>
      </c>
      <c r="E11313" s="22" t="str">
        <f>HYPERLINK("https://twitter.com/satomisugawara2/status/922982210977722368","922982210977722368")</f>
        <v>922982210977722368</v>
      </c>
      <c r="F11313" s="23" t="s">
        <v>55</v>
      </c>
      <c r="G11313" s="24">
        <v>558.0</v>
      </c>
      <c r="H11313" s="24">
        <v>937.0</v>
      </c>
      <c r="I11313" s="24">
        <v>1.0</v>
      </c>
      <c r="J11313" s="24">
        <v>1.0</v>
      </c>
      <c r="K11313" s="23" t="s">
        <v>34</v>
      </c>
      <c r="L11313" s="25">
        <v>41441.70186342593</v>
      </c>
      <c r="M11313" s="28"/>
      <c r="N11313" s="26" t="s">
        <v>23775</v>
      </c>
      <c r="O11313" s="22" t="str">
        <f>HYPERLINK("https://abs.twimg.com/sticky/default_profile_images/default_profile_normal.png","View")</f>
        <v>View</v>
      </c>
      <c r="P11313" s="27"/>
    </row>
    <row r="11314">
      <c r="A11314" s="14">
        <v>43032.72550925926</v>
      </c>
      <c r="B11314" s="20" t="str">
        <f>HYPERLINK("https://twitter.com/balaramsucess","@balaramsucess")</f>
        <v>@balaramsucess</v>
      </c>
      <c r="C11314" s="21" t="s">
        <v>23776</v>
      </c>
      <c r="D11314" s="21" t="s">
        <v>23777</v>
      </c>
      <c r="E11314" s="22" t="str">
        <f>HYPERLINK("https://twitter.com/balaramsucess/status/922982221790683136","922982221790683136")</f>
        <v>922982221790683136</v>
      </c>
      <c r="F11314" s="23" t="s">
        <v>39</v>
      </c>
      <c r="G11314" s="24">
        <v>47.0</v>
      </c>
      <c r="H11314" s="24">
        <v>84.0</v>
      </c>
      <c r="I11314" s="24">
        <v>0.0</v>
      </c>
      <c r="J11314" s="24">
        <v>0.0</v>
      </c>
      <c r="K11314" s="23" t="s">
        <v>34</v>
      </c>
      <c r="L11314" s="25">
        <v>40895.78635416667</v>
      </c>
      <c r="M11314" s="26" t="s">
        <v>853</v>
      </c>
      <c r="N11314" s="26" t="s">
        <v>23778</v>
      </c>
      <c r="O11314" s="22" t="str">
        <f>HYPERLINK("https://pbs.twimg.com/profile_images/922171735943798784/bvhYgWB6_normal.jpg","View")</f>
        <v>View</v>
      </c>
      <c r="P11314" s="27"/>
    </row>
    <row r="11315">
      <c r="A11315" s="14">
        <v>43032.727013888885</v>
      </c>
      <c r="B11315" s="20" t="str">
        <f>HYPERLINK("https://twitter.com/drsatya74","@drsatya74")</f>
        <v>@drsatya74</v>
      </c>
      <c r="C11315" s="21" t="s">
        <v>19639</v>
      </c>
      <c r="D11315" s="21" t="s">
        <v>54</v>
      </c>
      <c r="E11315" s="22" t="str">
        <f>HYPERLINK("https://twitter.com/drsatya74/status/922982765955551232","922982765955551232")</f>
        <v>922982765955551232</v>
      </c>
      <c r="F11315" s="23" t="s">
        <v>43</v>
      </c>
      <c r="G11315" s="24">
        <v>398.0</v>
      </c>
      <c r="H11315" s="24">
        <v>205.0</v>
      </c>
      <c r="I11315" s="24">
        <v>21.0</v>
      </c>
      <c r="J11315" s="24">
        <v>0.0</v>
      </c>
      <c r="K11315" s="23" t="s">
        <v>34</v>
      </c>
      <c r="L11315" s="25">
        <v>40465.66628472222</v>
      </c>
      <c r="M11315" s="26" t="s">
        <v>19640</v>
      </c>
      <c r="N11315" s="26" t="s">
        <v>19641</v>
      </c>
      <c r="O11315" s="22" t="str">
        <f>HYPERLINK("https://pbs.twimg.com/profile_images/3406909126/186230421b2fc0584994dc9dafd3617d_normal.jpeg","View")</f>
        <v>View</v>
      </c>
      <c r="P11315" s="27"/>
    </row>
    <row r="11316">
      <c r="A11316" s="14">
        <v>43032.731041666666</v>
      </c>
      <c r="B11316" s="20" t="str">
        <f t="shared" ref="B11316:B11317" si="288">HYPERLINK("https://twitter.com/dontiko4","@dontiko4")</f>
        <v>@dontiko4</v>
      </c>
      <c r="C11316" s="21" t="s">
        <v>23779</v>
      </c>
      <c r="D11316" s="21" t="s">
        <v>23780</v>
      </c>
      <c r="E11316" s="22" t="str">
        <f>HYPERLINK("https://twitter.com/dontiko4/status/922984225158193157","922984225158193157")</f>
        <v>922984225158193157</v>
      </c>
      <c r="F11316" s="23" t="s">
        <v>55</v>
      </c>
      <c r="G11316" s="24">
        <v>2.0</v>
      </c>
      <c r="H11316" s="24">
        <v>146.0</v>
      </c>
      <c r="I11316" s="24">
        <v>0.0</v>
      </c>
      <c r="J11316" s="24">
        <v>0.0</v>
      </c>
      <c r="K11316" s="23" t="s">
        <v>34</v>
      </c>
      <c r="L11316" s="25">
        <v>42795.66082175926</v>
      </c>
      <c r="M11316" s="28"/>
      <c r="N11316" s="28"/>
      <c r="O11316" s="22" t="str">
        <f t="shared" ref="O11316:O11317" si="289">HYPERLINK("https://pbs.twimg.com/profile_images/844120342121644033/3PlaZTXI_normal.jpg","View")</f>
        <v>View</v>
      </c>
      <c r="P11316" s="27"/>
    </row>
    <row r="11317">
      <c r="A11317" s="14">
        <v>43032.73127314815</v>
      </c>
      <c r="B11317" s="20" t="str">
        <f t="shared" si="288"/>
        <v>@dontiko4</v>
      </c>
      <c r="C11317" s="21" t="s">
        <v>23779</v>
      </c>
      <c r="D11317" s="21" t="s">
        <v>23781</v>
      </c>
      <c r="E11317" s="22" t="str">
        <f>HYPERLINK("https://twitter.com/dontiko4/status/922984308616454145","922984308616454145")</f>
        <v>922984308616454145</v>
      </c>
      <c r="F11317" s="23" t="s">
        <v>48</v>
      </c>
      <c r="G11317" s="24">
        <v>2.0</v>
      </c>
      <c r="H11317" s="24">
        <v>146.0</v>
      </c>
      <c r="I11317" s="24">
        <v>0.0</v>
      </c>
      <c r="J11317" s="24">
        <v>0.0</v>
      </c>
      <c r="K11317" s="23" t="s">
        <v>34</v>
      </c>
      <c r="L11317" s="25">
        <v>42795.66082175926</v>
      </c>
      <c r="M11317" s="28"/>
      <c r="N11317" s="28"/>
      <c r="O11317" s="22" t="str">
        <f t="shared" si="289"/>
        <v>View</v>
      </c>
      <c r="P11317" s="27"/>
    </row>
    <row r="11318">
      <c r="A11318" s="14">
        <v>43032.73165509259</v>
      </c>
      <c r="B11318" s="20" t="str">
        <f>HYPERLINK("https://twitter.com/Cheers_TokyoJPN","@Cheers_TokyoJPN")</f>
        <v>@Cheers_TokyoJPN</v>
      </c>
      <c r="C11318" s="21" t="s">
        <v>8011</v>
      </c>
      <c r="D11318" s="21" t="s">
        <v>21559</v>
      </c>
      <c r="E11318" s="22" t="str">
        <f>HYPERLINK("https://twitter.com/Cheers_TokyoJPN/status/922984449029021696","922984449029021696")</f>
        <v>922984449029021696</v>
      </c>
      <c r="F11318" s="23" t="s">
        <v>33</v>
      </c>
      <c r="G11318" s="24">
        <v>230.0</v>
      </c>
      <c r="H11318" s="24">
        <v>277.0</v>
      </c>
      <c r="I11318" s="24">
        <v>9.0</v>
      </c>
      <c r="J11318" s="24">
        <v>0.0</v>
      </c>
      <c r="K11318" s="23" t="s">
        <v>34</v>
      </c>
      <c r="L11318" s="25">
        <v>42981.327303240745</v>
      </c>
      <c r="M11318" s="26" t="s">
        <v>8012</v>
      </c>
      <c r="N11318" s="26" t="s">
        <v>8013</v>
      </c>
      <c r="O11318" s="22" t="str">
        <f>HYPERLINK("https://pbs.twimg.com/profile_images/904670646927466496/Q0GF83u2_normal.jpg","View")</f>
        <v>View</v>
      </c>
      <c r="P11318" s="27"/>
    </row>
    <row r="11319">
      <c r="A11319" s="14">
        <v>43032.73269675926</v>
      </c>
      <c r="B11319" s="20" t="str">
        <f>HYPERLINK("https://twitter.com/kz_rshass","@kz_rshass")</f>
        <v>@kz_rshass</v>
      </c>
      <c r="C11319" s="21" t="s">
        <v>18065</v>
      </c>
      <c r="D11319" s="21" t="s">
        <v>82</v>
      </c>
      <c r="E11319" s="22" t="str">
        <f>HYPERLINK("https://twitter.com/kz_rshass/status/922984825878822912","922984825878822912")</f>
        <v>922984825878822912</v>
      </c>
      <c r="F11319" s="23" t="s">
        <v>18066</v>
      </c>
      <c r="G11319" s="24">
        <v>409.0</v>
      </c>
      <c r="H11319" s="24">
        <v>404.0</v>
      </c>
      <c r="I11319" s="24">
        <v>38.0</v>
      </c>
      <c r="J11319" s="24">
        <v>0.0</v>
      </c>
      <c r="K11319" s="23" t="s">
        <v>34</v>
      </c>
      <c r="L11319" s="25">
        <v>41162.079409722224</v>
      </c>
      <c r="M11319" s="26" t="s">
        <v>18067</v>
      </c>
      <c r="N11319" s="26" t="s">
        <v>18068</v>
      </c>
      <c r="O11319" s="22" t="str">
        <f>HYPERLINK("https://pbs.twimg.com/profile_images/682586586320515072/QFIwiKR4_normal.jpg","View")</f>
        <v>View</v>
      </c>
      <c r="P11319" s="27"/>
    </row>
    <row r="11320">
      <c r="A11320" s="14">
        <v>43032.73365740741</v>
      </c>
      <c r="B11320" s="20" t="str">
        <f>HYPERLINK("https://twitter.com/LOrcpfh6N7xP5ji","@LOrcpfh6N7xP5ji")</f>
        <v>@LOrcpfh6N7xP5ji</v>
      </c>
      <c r="C11320" s="21" t="s">
        <v>23782</v>
      </c>
      <c r="D11320" s="21" t="s">
        <v>42</v>
      </c>
      <c r="E11320" s="22" t="str">
        <f>HYPERLINK("https://twitter.com/LOrcpfh6N7xP5ji/status/922985173913821184","922985173913821184")</f>
        <v>922985173913821184</v>
      </c>
      <c r="F11320" s="23" t="s">
        <v>33</v>
      </c>
      <c r="G11320" s="24">
        <v>54.0</v>
      </c>
      <c r="H11320" s="24">
        <v>274.0</v>
      </c>
      <c r="I11320" s="24">
        <v>8501.0</v>
      </c>
      <c r="J11320" s="24">
        <v>0.0</v>
      </c>
      <c r="K11320" s="23" t="s">
        <v>34</v>
      </c>
      <c r="L11320" s="25">
        <v>42957.296435185184</v>
      </c>
      <c r="M11320" s="26" t="s">
        <v>23783</v>
      </c>
      <c r="N11320" s="26" t="s">
        <v>23784</v>
      </c>
      <c r="O11320" s="22" t="str">
        <f>HYPERLINK("https://pbs.twimg.com/profile_images/920620765854154757/Pioo1bFQ_normal.jpg","View")</f>
        <v>View</v>
      </c>
      <c r="P11320" s="27"/>
    </row>
    <row r="11321">
      <c r="A11321" s="14">
        <v>43032.73622685185</v>
      </c>
      <c r="B11321" s="20" t="str">
        <f>HYPERLINK("https://twitter.com/na9191","@na9191")</f>
        <v>@na9191</v>
      </c>
      <c r="C11321" s="21" t="s">
        <v>23785</v>
      </c>
      <c r="D11321" s="21" t="s">
        <v>1642</v>
      </c>
      <c r="E11321" s="22" t="str">
        <f>HYPERLINK("https://twitter.com/na9191/status/922986107750326272","922986107750326272")</f>
        <v>922986107750326272</v>
      </c>
      <c r="F11321" s="23" t="s">
        <v>33</v>
      </c>
      <c r="G11321" s="24">
        <v>1483.0</v>
      </c>
      <c r="H11321" s="24">
        <v>1367.0</v>
      </c>
      <c r="I11321" s="24">
        <v>199.0</v>
      </c>
      <c r="J11321" s="24">
        <v>0.0</v>
      </c>
      <c r="K11321" s="23" t="s">
        <v>34</v>
      </c>
      <c r="L11321" s="25">
        <v>40291.88162037037</v>
      </c>
      <c r="M11321" s="28"/>
      <c r="N11321" s="26" t="s">
        <v>23786</v>
      </c>
      <c r="O11321" s="22" t="str">
        <f>HYPERLINK("https://pbs.twimg.com/profile_images/867636701442826240/l0pE-_Fj_normal.jpg","View")</f>
        <v>View</v>
      </c>
      <c r="P11321" s="27"/>
    </row>
    <row r="11322">
      <c r="A11322" s="14">
        <v>43032.73627314815</v>
      </c>
      <c r="B11322" s="20" t="str">
        <f>HYPERLINK("https://twitter.com/yusribinjamal","@yusribinjamal")</f>
        <v>@yusribinjamal</v>
      </c>
      <c r="C11322" s="21" t="s">
        <v>23787</v>
      </c>
      <c r="D11322" s="21" t="s">
        <v>23788</v>
      </c>
      <c r="E11322" s="22" t="str">
        <f>HYPERLINK("https://twitter.com/yusribinjamal/status/922986120987656192","922986120987656192")</f>
        <v>922986120987656192</v>
      </c>
      <c r="F11322" s="23" t="s">
        <v>39</v>
      </c>
      <c r="G11322" s="24">
        <v>7.0</v>
      </c>
      <c r="H11322" s="24">
        <v>13.0</v>
      </c>
      <c r="I11322" s="24">
        <v>4.0</v>
      </c>
      <c r="J11322" s="24">
        <v>0.0</v>
      </c>
      <c r="K11322" s="23" t="s">
        <v>34</v>
      </c>
      <c r="L11322" s="25">
        <v>42941.26969907407</v>
      </c>
      <c r="M11322" s="26" t="s">
        <v>271</v>
      </c>
      <c r="N11322" s="28"/>
      <c r="O11322" s="22" t="str">
        <f>HYPERLINK("https://pbs.twimg.com/profile_images/889869655979900928/AFxvLPFQ_normal.jpg","View")</f>
        <v>View</v>
      </c>
      <c r="P11322" s="27"/>
    </row>
    <row r="11323">
      <c r="A11323" s="14">
        <v>43032.73685185185</v>
      </c>
      <c r="B11323" s="20" t="str">
        <f>HYPERLINK("https://twitter.com/davidvolodzko","@davidvolodzko")</f>
        <v>@davidvolodzko</v>
      </c>
      <c r="C11323" s="21" t="s">
        <v>23789</v>
      </c>
      <c r="D11323" s="21" t="s">
        <v>21625</v>
      </c>
      <c r="E11323" s="22" t="str">
        <f>HYPERLINK("https://twitter.com/davidvolodzko/status/922986334045683712","922986334045683712")</f>
        <v>922986334045683712</v>
      </c>
      <c r="F11323" s="23" t="s">
        <v>33</v>
      </c>
      <c r="G11323" s="24">
        <v>12377.0</v>
      </c>
      <c r="H11323" s="24">
        <v>748.0</v>
      </c>
      <c r="I11323" s="24">
        <v>122.0</v>
      </c>
      <c r="J11323" s="24">
        <v>0.0</v>
      </c>
      <c r="K11323" s="23" t="s">
        <v>34</v>
      </c>
      <c r="L11323" s="25">
        <v>41816.819444444445</v>
      </c>
      <c r="M11323" s="26" t="s">
        <v>23790</v>
      </c>
      <c r="N11323" s="26" t="s">
        <v>23791</v>
      </c>
      <c r="O11323" s="22" t="str">
        <f>HYPERLINK("https://pbs.twimg.com/profile_images/599415510590095360/ys8QEURh_normal.jpg","View")</f>
        <v>View</v>
      </c>
      <c r="P11323" s="27"/>
    </row>
    <row r="11324">
      <c r="A11324" s="14">
        <v>43032.737650462965</v>
      </c>
      <c r="B11324" s="20" t="str">
        <f>HYPERLINK("https://twitter.com/adamsarhan","@adamsarhan")</f>
        <v>@adamsarhan</v>
      </c>
      <c r="C11324" s="21" t="s">
        <v>15259</v>
      </c>
      <c r="D11324" s="21" t="s">
        <v>8493</v>
      </c>
      <c r="E11324" s="22" t="str">
        <f>HYPERLINK("https://twitter.com/adamsarhan/status/922986619795369984","922986619795369984")</f>
        <v>922986619795369984</v>
      </c>
      <c r="F11324" s="23" t="s">
        <v>39</v>
      </c>
      <c r="G11324" s="24">
        <v>34690.0</v>
      </c>
      <c r="H11324" s="24">
        <v>4716.0</v>
      </c>
      <c r="I11324" s="24">
        <v>10.0</v>
      </c>
      <c r="J11324" s="24">
        <v>0.0</v>
      </c>
      <c r="K11324" s="23" t="s">
        <v>34</v>
      </c>
      <c r="L11324" s="25">
        <v>40057.497037037036</v>
      </c>
      <c r="M11324" s="26" t="s">
        <v>68</v>
      </c>
      <c r="N11324" s="26" t="s">
        <v>15260</v>
      </c>
      <c r="O11324" s="22" t="str">
        <f>HYPERLINK("https://pbs.twimg.com/profile_images/865297565981581313/I88T-z3T_normal.jpg","View")</f>
        <v>View</v>
      </c>
      <c r="P11324" s="27"/>
    </row>
    <row r="11325">
      <c r="A11325" s="14">
        <v>43032.738229166665</v>
      </c>
      <c r="B11325" s="20" t="str">
        <f>HYPERLINK("https://twitter.com/ttahbvurhd","@ttahbvurhd")</f>
        <v>@ttahbvurhd</v>
      </c>
      <c r="C11325" s="21" t="s">
        <v>23792</v>
      </c>
      <c r="D11325" s="21" t="s">
        <v>22882</v>
      </c>
      <c r="E11325" s="22" t="str">
        <f>HYPERLINK("https://twitter.com/ttahbvurhd/status/922986829288230913","922986829288230913")</f>
        <v>922986829288230913</v>
      </c>
      <c r="F11325" s="23" t="s">
        <v>39</v>
      </c>
      <c r="G11325" s="24">
        <v>152.0</v>
      </c>
      <c r="H11325" s="24">
        <v>130.0</v>
      </c>
      <c r="I11325" s="24">
        <v>33.0</v>
      </c>
      <c r="J11325" s="24">
        <v>0.0</v>
      </c>
      <c r="K11325" s="23" t="s">
        <v>34</v>
      </c>
      <c r="L11325" s="25">
        <v>41489.52983796296</v>
      </c>
      <c r="M11325" s="26" t="s">
        <v>23793</v>
      </c>
      <c r="N11325" s="26" t="s">
        <v>23794</v>
      </c>
      <c r="O11325" s="22" t="str">
        <f>HYPERLINK("https://pbs.twimg.com/profile_images/854516308850954241/qRnAoajg_normal.jpg","View")</f>
        <v>View</v>
      </c>
      <c r="P11325" s="27"/>
    </row>
    <row r="11326">
      <c r="A11326" s="14">
        <v>43032.7394212963</v>
      </c>
      <c r="B11326" s="20" t="str">
        <f>HYPERLINK("https://twitter.com/Akinmeto","@Akinmeto")</f>
        <v>@Akinmeto</v>
      </c>
      <c r="C11326" s="21" t="s">
        <v>23795</v>
      </c>
      <c r="D11326" s="21" t="s">
        <v>16537</v>
      </c>
      <c r="E11326" s="22" t="str">
        <f>HYPERLINK("https://twitter.com/Akinmeto/status/922987262534606848","922987262534606848")</f>
        <v>922987262534606848</v>
      </c>
      <c r="F11326" s="23" t="s">
        <v>33</v>
      </c>
      <c r="G11326" s="24">
        <v>36.0</v>
      </c>
      <c r="H11326" s="24">
        <v>232.0</v>
      </c>
      <c r="I11326" s="24">
        <v>242.0</v>
      </c>
      <c r="J11326" s="24">
        <v>0.0</v>
      </c>
      <c r="K11326" s="23" t="s">
        <v>34</v>
      </c>
      <c r="L11326" s="25">
        <v>42968.16678240741</v>
      </c>
      <c r="M11326" s="28"/>
      <c r="N11326" s="28"/>
      <c r="O11326" s="22" t="str">
        <f>HYPERLINK("https://pbs.twimg.com/profile_images/899591536370831360/hnisTFcn_normal.jpg","View")</f>
        <v>View</v>
      </c>
      <c r="P11326" s="27"/>
    </row>
    <row r="11327">
      <c r="A11327" s="14">
        <v>43032.73949074074</v>
      </c>
      <c r="B11327" s="20" t="str">
        <f>HYPERLINK("https://twitter.com/GreenToneEnviro","@GreenToneEnviro")</f>
        <v>@GreenToneEnviro</v>
      </c>
      <c r="C11327" s="21" t="s">
        <v>23796</v>
      </c>
      <c r="D11327" s="21" t="s">
        <v>21625</v>
      </c>
      <c r="E11327" s="22" t="str">
        <f>HYPERLINK("https://twitter.com/GreenToneEnviro/status/922987290120675328","922987290120675328")</f>
        <v>922987290120675328</v>
      </c>
      <c r="F11327" s="23" t="s">
        <v>33</v>
      </c>
      <c r="G11327" s="24">
        <v>2741.0</v>
      </c>
      <c r="H11327" s="24">
        <v>4509.0</v>
      </c>
      <c r="I11327" s="24">
        <v>122.0</v>
      </c>
      <c r="J11327" s="24">
        <v>0.0</v>
      </c>
      <c r="K11327" s="23" t="s">
        <v>34</v>
      </c>
      <c r="L11327" s="25">
        <v>40282.420902777776</v>
      </c>
      <c r="M11327" s="26" t="s">
        <v>23797</v>
      </c>
      <c r="N11327" s="26" t="s">
        <v>23798</v>
      </c>
      <c r="O11327" s="22" t="str">
        <f>HYPERLINK("https://pbs.twimg.com/profile_images/787013597851332608/ZvAcpx7n_normal.jpg","View")</f>
        <v>View</v>
      </c>
      <c r="P11327" s="27"/>
    </row>
    <row r="11328">
      <c r="A11328" s="14">
        <v>43032.74046296296</v>
      </c>
      <c r="B11328" s="20" t="str">
        <f>HYPERLINK("https://twitter.com/RLDarbyJRICONS","@RLDarbyJRICONS")</f>
        <v>@RLDarbyJRICONS</v>
      </c>
      <c r="C11328" s="21" t="s">
        <v>23799</v>
      </c>
      <c r="D11328" s="21" t="s">
        <v>1474</v>
      </c>
      <c r="E11328" s="22" t="str">
        <f>HYPERLINK("https://twitter.com/RLDarbyJRICONS/status/922987642517630981","922987642517630981")</f>
        <v>922987642517630981</v>
      </c>
      <c r="F11328" s="23" t="s">
        <v>43</v>
      </c>
      <c r="G11328" s="24">
        <v>2134.0</v>
      </c>
      <c r="H11328" s="24">
        <v>4652.0</v>
      </c>
      <c r="I11328" s="24">
        <v>29.0</v>
      </c>
      <c r="J11328" s="24">
        <v>0.0</v>
      </c>
      <c r="K11328" s="23" t="s">
        <v>34</v>
      </c>
      <c r="L11328" s="25">
        <v>40787.676145833335</v>
      </c>
      <c r="M11328" s="28"/>
      <c r="N11328" s="26" t="s">
        <v>23800</v>
      </c>
      <c r="O11328" s="22" t="str">
        <f>HYPERLINK("https://pbs.twimg.com/profile_images/918962344784429056/M1gywKeJ_normal.jpg","View")</f>
        <v>View</v>
      </c>
      <c r="P11328" s="27"/>
    </row>
    <row r="11329">
      <c r="A11329" s="14">
        <v>43032.740648148145</v>
      </c>
      <c r="B11329" s="20" t="str">
        <f>HYPERLINK("https://twitter.com/Lucy736694411","@Lucy736694411")</f>
        <v>@Lucy736694411</v>
      </c>
      <c r="C11329" s="21" t="s">
        <v>23801</v>
      </c>
      <c r="D11329" s="21" t="s">
        <v>23525</v>
      </c>
      <c r="E11329" s="22" t="str">
        <f>HYPERLINK("https://twitter.com/Lucy736694411/status/922987708376641536","922987708376641536")</f>
        <v>922987708376641536</v>
      </c>
      <c r="F11329" s="23" t="s">
        <v>39</v>
      </c>
      <c r="G11329" s="24">
        <v>170.0</v>
      </c>
      <c r="H11329" s="24">
        <v>81.0</v>
      </c>
      <c r="I11329" s="24">
        <v>41.0</v>
      </c>
      <c r="J11329" s="24">
        <v>0.0</v>
      </c>
      <c r="K11329" s="23" t="s">
        <v>34</v>
      </c>
      <c r="L11329" s="25">
        <v>42321.63668981481</v>
      </c>
      <c r="M11329" s="28"/>
      <c r="N11329" s="28"/>
      <c r="O11329" s="22" t="str">
        <f>HYPERLINK("https://pbs.twimg.com/profile_images/665311260557250563/BLe_yDiV_normal.jpg","View")</f>
        <v>View</v>
      </c>
      <c r="P11329" s="27"/>
    </row>
    <row r="11330">
      <c r="A11330" s="14">
        <v>43032.742106481484</v>
      </c>
      <c r="B11330" s="20" t="str">
        <f>HYPERLINK("https://twitter.com/Rosamexican01","@Rosamexican01")</f>
        <v>@Rosamexican01</v>
      </c>
      <c r="C11330" s="21" t="s">
        <v>15508</v>
      </c>
      <c r="D11330" s="21" t="s">
        <v>23802</v>
      </c>
      <c r="E11330" s="22" t="str">
        <f>HYPERLINK("https://twitter.com/Rosamexican01/status/922988236624072705","922988236624072705")</f>
        <v>922988236624072705</v>
      </c>
      <c r="F11330" s="23" t="s">
        <v>55</v>
      </c>
      <c r="G11330" s="24">
        <v>3293.0</v>
      </c>
      <c r="H11330" s="24">
        <v>2352.0</v>
      </c>
      <c r="I11330" s="24">
        <v>0.0</v>
      </c>
      <c r="J11330" s="24">
        <v>0.0</v>
      </c>
      <c r="K11330" s="23" t="s">
        <v>34</v>
      </c>
      <c r="L11330" s="25">
        <v>40305.516863425924</v>
      </c>
      <c r="M11330" s="26" t="s">
        <v>15510</v>
      </c>
      <c r="N11330" s="26" t="s">
        <v>15511</v>
      </c>
      <c r="O11330" s="22" t="str">
        <f>HYPERLINK("https://pbs.twimg.com/profile_images/881508681/Juergen100-4_normal.jpg","View")</f>
        <v>View</v>
      </c>
      <c r="P11330" s="27"/>
    </row>
    <row r="11331">
      <c r="A11331" s="14">
        <v>43032.742384259254</v>
      </c>
      <c r="B11331" s="20" t="str">
        <f>HYPERLINK("https://twitter.com/Shantha00748402","@Shantha00748402")</f>
        <v>@Shantha00748402</v>
      </c>
      <c r="C11331" s="21" t="s">
        <v>23803</v>
      </c>
      <c r="D11331" s="21" t="s">
        <v>42</v>
      </c>
      <c r="E11331" s="22" t="str">
        <f>HYPERLINK("https://twitter.com/Shantha00748402/status/922988336058269696","922988336058269696")</f>
        <v>922988336058269696</v>
      </c>
      <c r="F11331" s="23" t="s">
        <v>55</v>
      </c>
      <c r="G11331" s="24">
        <v>23.0</v>
      </c>
      <c r="H11331" s="24">
        <v>497.0</v>
      </c>
      <c r="I11331" s="24">
        <v>8501.0</v>
      </c>
      <c r="J11331" s="24">
        <v>0.0</v>
      </c>
      <c r="K11331" s="23" t="s">
        <v>34</v>
      </c>
      <c r="L11331" s="25">
        <v>42674.72633101852</v>
      </c>
      <c r="M11331" s="28"/>
      <c r="N11331" s="28"/>
      <c r="O11331" s="22" t="str">
        <f>HYPERLINK("https://pbs.twimg.com/profile_images/908979316515495936/SSmcxsQC_normal.jpg","View")</f>
        <v>View</v>
      </c>
      <c r="P11331" s="27"/>
    </row>
    <row r="11332">
      <c r="A11332" s="14">
        <v>43032.74282407407</v>
      </c>
      <c r="B11332" s="20" t="str">
        <f>HYPERLINK("https://twitter.com/NewsBossIndia","@NewsBossIndia")</f>
        <v>@NewsBossIndia</v>
      </c>
      <c r="C11332" s="29" t="s">
        <v>148</v>
      </c>
      <c r="D11332" s="21" t="s">
        <v>23804</v>
      </c>
      <c r="E11332" s="22" t="str">
        <f>HYPERLINK("https://twitter.com/NewsBossIndia/status/922988498344296448","922988498344296448")</f>
        <v>922988498344296448</v>
      </c>
      <c r="F11332" s="30" t="s">
        <v>148</v>
      </c>
      <c r="G11332" s="24">
        <v>991.0</v>
      </c>
      <c r="H11332" s="24">
        <v>1.0</v>
      </c>
      <c r="I11332" s="24">
        <v>0.0</v>
      </c>
      <c r="J11332" s="24">
        <v>0.0</v>
      </c>
      <c r="K11332" s="23" t="s">
        <v>34</v>
      </c>
      <c r="L11332" s="25">
        <v>42564.38061342592</v>
      </c>
      <c r="M11332" s="28"/>
      <c r="N11332" s="26" t="s">
        <v>150</v>
      </c>
      <c r="O11332" s="22" t="str">
        <f>HYPERLINK("https://pbs.twimg.com/profile_images/753260679692333057/AS4Xiw4q_normal.jpg","View")</f>
        <v>View</v>
      </c>
      <c r="P11332" s="27"/>
    </row>
    <row r="11333">
      <c r="A11333" s="14">
        <v>43032.74340277778</v>
      </c>
      <c r="B11333" s="20" t="str">
        <f>HYPERLINK("https://twitter.com/SXMAltScene","@SXMAltScene")</f>
        <v>@SXMAltScene</v>
      </c>
      <c r="C11333" s="21" t="s">
        <v>23805</v>
      </c>
      <c r="D11333" s="21" t="s">
        <v>1474</v>
      </c>
      <c r="E11333" s="22" t="str">
        <f>HYPERLINK("https://twitter.com/SXMAltScene/status/922988705928839169","922988705928839169")</f>
        <v>922988705928839169</v>
      </c>
      <c r="F11333" s="23" t="s">
        <v>43</v>
      </c>
      <c r="G11333" s="24">
        <v>1298.0</v>
      </c>
      <c r="H11333" s="24">
        <v>5000.0</v>
      </c>
      <c r="I11333" s="24">
        <v>29.0</v>
      </c>
      <c r="J11333" s="24">
        <v>0.0</v>
      </c>
      <c r="K11333" s="23" t="s">
        <v>34</v>
      </c>
      <c r="L11333" s="25">
        <v>42017.99253472222</v>
      </c>
      <c r="M11333" s="28"/>
      <c r="N11333" s="26" t="s">
        <v>23806</v>
      </c>
      <c r="O11333" s="22" t="str">
        <f>HYPERLINK("https://pbs.twimg.com/profile_images/918962755255914496/7x2iWuLb_normal.jpg","View")</f>
        <v>View</v>
      </c>
      <c r="P11333" s="27"/>
    </row>
    <row r="11334">
      <c r="A11334" s="14">
        <v>43032.74501157408</v>
      </c>
      <c r="B11334" s="20" t="str">
        <f>HYPERLINK("https://twitter.com/jljzen","@jljzen")</f>
        <v>@jljzen</v>
      </c>
      <c r="C11334" s="21" t="s">
        <v>3696</v>
      </c>
      <c r="D11334" s="21" t="s">
        <v>23807</v>
      </c>
      <c r="E11334" s="22" t="str">
        <f>HYPERLINK("https://twitter.com/jljzen/status/922989289759059968","922989289759059968")</f>
        <v>922989289759059968</v>
      </c>
      <c r="F11334" s="23" t="s">
        <v>55</v>
      </c>
      <c r="G11334" s="24">
        <v>4332.0</v>
      </c>
      <c r="H11334" s="24">
        <v>2013.0</v>
      </c>
      <c r="I11334" s="24">
        <v>2.0</v>
      </c>
      <c r="J11334" s="24">
        <v>1.0</v>
      </c>
      <c r="K11334" s="23" t="s">
        <v>34</v>
      </c>
      <c r="L11334" s="25">
        <v>39635.071608796294</v>
      </c>
      <c r="M11334" s="26" t="s">
        <v>3693</v>
      </c>
      <c r="N11334" s="26" t="s">
        <v>3698</v>
      </c>
      <c r="O11334" s="22" t="str">
        <f>HYPERLINK("https://pbs.twimg.com/profile_images/917531279632900096/6oc5ihff_normal.jpg","View")</f>
        <v>View</v>
      </c>
      <c r="P11334" s="27"/>
    </row>
    <row r="11335">
      <c r="A11335" s="14">
        <v>43032.74501157408</v>
      </c>
      <c r="B11335" s="20" t="str">
        <f>HYPERLINK("https://twitter.com/krishvarad14","@krishvarad14")</f>
        <v>@krishvarad14</v>
      </c>
      <c r="C11335" s="21" t="s">
        <v>23808</v>
      </c>
      <c r="D11335" s="21" t="s">
        <v>163</v>
      </c>
      <c r="E11335" s="22" t="str">
        <f>HYPERLINK("https://twitter.com/krishvarad14/status/922989290446974976","922989290446974976")</f>
        <v>922989290446974976</v>
      </c>
      <c r="F11335" s="23" t="s">
        <v>33</v>
      </c>
      <c r="G11335" s="24">
        <v>25.0</v>
      </c>
      <c r="H11335" s="24">
        <v>170.0</v>
      </c>
      <c r="I11335" s="24">
        <v>1005.0</v>
      </c>
      <c r="J11335" s="24">
        <v>0.0</v>
      </c>
      <c r="K11335" s="23" t="s">
        <v>34</v>
      </c>
      <c r="L11335" s="25">
        <v>41843.12341435185</v>
      </c>
      <c r="M11335" s="28"/>
      <c r="N11335" s="28"/>
      <c r="O11335" s="22" t="str">
        <f>HYPERLINK("https://abs.twimg.com/sticky/default_profile_images/default_profile_normal.png","View")</f>
        <v>View</v>
      </c>
      <c r="P11335" s="27"/>
    </row>
    <row r="11336">
      <c r="A11336" s="14">
        <v>43032.74555555556</v>
      </c>
      <c r="B11336" s="20" t="str">
        <f>HYPERLINK("https://twitter.com/henrirouen","@henrirouen")</f>
        <v>@henrirouen</v>
      </c>
      <c r="C11336" s="21" t="s">
        <v>17808</v>
      </c>
      <c r="D11336" s="21" t="s">
        <v>17703</v>
      </c>
      <c r="E11336" s="22" t="str">
        <f>HYPERLINK("https://twitter.com/henrirouen/status/922989484416913409","922989484416913409")</f>
        <v>922989484416913409</v>
      </c>
      <c r="F11336" s="23" t="s">
        <v>33</v>
      </c>
      <c r="G11336" s="24">
        <v>29978.0</v>
      </c>
      <c r="H11336" s="24">
        <v>27379.0</v>
      </c>
      <c r="I11336" s="24">
        <v>23.0</v>
      </c>
      <c r="J11336" s="24">
        <v>0.0</v>
      </c>
      <c r="K11336" s="23" t="s">
        <v>34</v>
      </c>
      <c r="L11336" s="25">
        <v>40245.434328703705</v>
      </c>
      <c r="M11336" s="26" t="s">
        <v>17809</v>
      </c>
      <c r="N11336" s="26" t="s">
        <v>17810</v>
      </c>
      <c r="O11336" s="22" t="str">
        <f>HYPERLINK("https://pbs.twimg.com/profile_images/750440709/Image_1_normal.jpg","View")</f>
        <v>View</v>
      </c>
      <c r="P11336" s="27"/>
    </row>
    <row r="11337">
      <c r="A11337" s="14">
        <v>43032.74879629629</v>
      </c>
      <c r="B11337" s="20" t="str">
        <f>HYPERLINK("https://twitter.com/junepark","@junepark")</f>
        <v>@junepark</v>
      </c>
      <c r="C11337" s="21" t="s">
        <v>23809</v>
      </c>
      <c r="D11337" s="21" t="s">
        <v>23810</v>
      </c>
      <c r="E11337" s="22" t="str">
        <f>HYPERLINK("https://twitter.com/junepark/status/922990658763112450","922990658763112450")</f>
        <v>922990658763112450</v>
      </c>
      <c r="F11337" s="23" t="s">
        <v>39</v>
      </c>
      <c r="G11337" s="24">
        <v>325.0</v>
      </c>
      <c r="H11337" s="24">
        <v>2701.0</v>
      </c>
      <c r="I11337" s="24">
        <v>2.0</v>
      </c>
      <c r="J11337" s="24">
        <v>0.0</v>
      </c>
      <c r="K11337" s="23" t="s">
        <v>34</v>
      </c>
      <c r="L11337" s="25">
        <v>40206.724756944444</v>
      </c>
      <c r="M11337" s="26" t="s">
        <v>23811</v>
      </c>
      <c r="N11337" s="33" t="s">
        <v>23812</v>
      </c>
      <c r="O11337" s="22" t="str">
        <f>HYPERLINK("https://pbs.twimg.com/profile_images/882580119847436288/0plSl4Xg_normal.jpg","View")</f>
        <v>View</v>
      </c>
      <c r="P11337" s="27"/>
    </row>
    <row r="11338">
      <c r="A11338" s="14">
        <v>43032.75072916667</v>
      </c>
      <c r="B11338" s="20" t="str">
        <f>HYPERLINK("https://twitter.com/ravidhillon888","@ravidhillon888")</f>
        <v>@ravidhillon888</v>
      </c>
      <c r="C11338" s="21" t="s">
        <v>23813</v>
      </c>
      <c r="D11338" s="21" t="s">
        <v>42</v>
      </c>
      <c r="E11338" s="22" t="str">
        <f>HYPERLINK("https://twitter.com/ravidhillon888/status/922991359077822465","922991359077822465")</f>
        <v>922991359077822465</v>
      </c>
      <c r="F11338" s="23" t="s">
        <v>33</v>
      </c>
      <c r="G11338" s="24">
        <v>58.0</v>
      </c>
      <c r="H11338" s="24">
        <v>66.0</v>
      </c>
      <c r="I11338" s="24">
        <v>8501.0</v>
      </c>
      <c r="J11338" s="24">
        <v>0.0</v>
      </c>
      <c r="K11338" s="23" t="s">
        <v>34</v>
      </c>
      <c r="L11338" s="25">
        <v>42500.266597222224</v>
      </c>
      <c r="M11338" s="28"/>
      <c r="N11338" s="26" t="s">
        <v>23814</v>
      </c>
      <c r="O11338" s="22" t="str">
        <f>HYPERLINK("https://pbs.twimg.com/profile_images/871280361539424257/42UGQbRJ_normal.jpg","View")</f>
        <v>View</v>
      </c>
      <c r="P11338" s="27"/>
    </row>
    <row r="11339">
      <c r="A11339" s="14">
        <v>43032.7508912037</v>
      </c>
      <c r="B11339" s="20" t="str">
        <f>HYPERLINK("https://twitter.com/kittysummer07","@kittysummer07")</f>
        <v>@kittysummer07</v>
      </c>
      <c r="C11339" s="21" t="s">
        <v>23815</v>
      </c>
      <c r="D11339" s="21" t="s">
        <v>23525</v>
      </c>
      <c r="E11339" s="22" t="str">
        <f>HYPERLINK("https://twitter.com/kittysummer07/status/922991420314607616","922991420314607616")</f>
        <v>922991420314607616</v>
      </c>
      <c r="F11339" s="23" t="s">
        <v>39</v>
      </c>
      <c r="G11339" s="24">
        <v>136.0</v>
      </c>
      <c r="H11339" s="24">
        <v>452.0</v>
      </c>
      <c r="I11339" s="24">
        <v>41.0</v>
      </c>
      <c r="J11339" s="24">
        <v>0.0</v>
      </c>
      <c r="K11339" s="23" t="s">
        <v>34</v>
      </c>
      <c r="L11339" s="25">
        <v>42156.40173611111</v>
      </c>
      <c r="M11339" s="28"/>
      <c r="N11339" s="26" t="s">
        <v>23816</v>
      </c>
      <c r="O11339" s="22" t="str">
        <f>HYPERLINK("https://pbs.twimg.com/profile_images/887606638697263104/BoZrwNx0_normal.jpg","View")</f>
        <v>View</v>
      </c>
      <c r="P11339" s="27"/>
    </row>
    <row r="11340">
      <c r="A11340" s="14">
        <v>43032.75159722222</v>
      </c>
      <c r="B11340" s="20" t="str">
        <f>HYPERLINK("https://twitter.com/BloombergAsia","@BloombergAsia")</f>
        <v>@BloombergAsia</v>
      </c>
      <c r="C11340" s="21" t="s">
        <v>1726</v>
      </c>
      <c r="D11340" s="21" t="s">
        <v>23817</v>
      </c>
      <c r="E11340" s="22" t="str">
        <f>HYPERLINK("https://twitter.com/BloombergAsia/status/922991675831672832","922991675831672832")</f>
        <v>922991675831672832</v>
      </c>
      <c r="F11340" s="23" t="s">
        <v>1103</v>
      </c>
      <c r="G11340" s="24">
        <v>28807.0</v>
      </c>
      <c r="H11340" s="24">
        <v>97.0</v>
      </c>
      <c r="I11340" s="24">
        <v>1.0</v>
      </c>
      <c r="J11340" s="24">
        <v>1.0</v>
      </c>
      <c r="K11340" s="23" t="s">
        <v>34</v>
      </c>
      <c r="L11340" s="25">
        <v>41052.238483796296</v>
      </c>
      <c r="M11340" s="28"/>
      <c r="N11340" s="26" t="s">
        <v>1728</v>
      </c>
      <c r="O11340" s="22" t="str">
        <f>HYPERLINK("https://pbs.twimg.com/profile_images/778129630284902401/gXjFkqGM_normal.jpg","View")</f>
        <v>View</v>
      </c>
      <c r="P11340" s="27"/>
    </row>
    <row r="11341">
      <c r="A11341" s="14">
        <v>43032.751817129625</v>
      </c>
      <c r="B11341" s="20" t="str">
        <f>HYPERLINK("https://twitter.com/smaslow_japan","@smaslow_japan")</f>
        <v>@smaslow_japan</v>
      </c>
      <c r="C11341" s="21" t="s">
        <v>23818</v>
      </c>
      <c r="D11341" s="21" t="s">
        <v>23810</v>
      </c>
      <c r="E11341" s="22" t="str">
        <f>HYPERLINK("https://twitter.com/smaslow_japan/status/922991755380760576","922991755380760576")</f>
        <v>922991755380760576</v>
      </c>
      <c r="F11341" s="23" t="s">
        <v>3572</v>
      </c>
      <c r="G11341" s="24">
        <v>944.0</v>
      </c>
      <c r="H11341" s="24">
        <v>1004.0</v>
      </c>
      <c r="I11341" s="24">
        <v>2.0</v>
      </c>
      <c r="J11341" s="24">
        <v>0.0</v>
      </c>
      <c r="K11341" s="23" t="s">
        <v>34</v>
      </c>
      <c r="L11341" s="25">
        <v>40819.51488425926</v>
      </c>
      <c r="M11341" s="26" t="s">
        <v>23819</v>
      </c>
      <c r="N11341" s="26" t="s">
        <v>23820</v>
      </c>
      <c r="O11341" s="22" t="str">
        <f>HYPERLINK("https://pbs.twimg.com/profile_images/849146726124462081/_QHQQVA2_normal.jpg","View")</f>
        <v>View</v>
      </c>
      <c r="P11341" s="27"/>
    </row>
    <row r="11342">
      <c r="A11342" s="14">
        <v>43032.75226851852</v>
      </c>
      <c r="B11342" s="20" t="str">
        <f>HYPERLINK("https://twitter.com/YuzuhaOka","@YuzuhaOka")</f>
        <v>@YuzuhaOka</v>
      </c>
      <c r="C11342" s="21" t="s">
        <v>23821</v>
      </c>
      <c r="D11342" s="21" t="s">
        <v>23822</v>
      </c>
      <c r="E11342" s="22" t="str">
        <f>HYPERLINK("https://twitter.com/YuzuhaOka/status/922991918451122177","922991918451122177")</f>
        <v>922991918451122177</v>
      </c>
      <c r="F11342" s="23" t="s">
        <v>55</v>
      </c>
      <c r="G11342" s="24">
        <v>770.0</v>
      </c>
      <c r="H11342" s="24">
        <v>3252.0</v>
      </c>
      <c r="I11342" s="24">
        <v>0.0</v>
      </c>
      <c r="J11342" s="24">
        <v>3.0</v>
      </c>
      <c r="K11342" s="23" t="s">
        <v>34</v>
      </c>
      <c r="L11342" s="25">
        <v>41789.16638888889</v>
      </c>
      <c r="M11342" s="26" t="s">
        <v>23823</v>
      </c>
      <c r="N11342" s="26" t="s">
        <v>23824</v>
      </c>
      <c r="O11342" s="22" t="str">
        <f>HYPERLINK("https://pbs.twimg.com/profile_images/675087618426732544/Tu2807hg_normal.jpg","View")</f>
        <v>View</v>
      </c>
      <c r="P11342" s="27"/>
    </row>
    <row r="11343">
      <c r="A11343" s="14">
        <v>43032.753541666665</v>
      </c>
      <c r="B11343" s="20" t="str">
        <f>HYPERLINK("https://twitter.com/sitifatimahnet","@sitifatimahnet")</f>
        <v>@sitifatimahnet</v>
      </c>
      <c r="C11343" s="21" t="s">
        <v>1762</v>
      </c>
      <c r="D11343" s="21" t="s">
        <v>23825</v>
      </c>
      <c r="E11343" s="22" t="str">
        <f>HYPERLINK("https://twitter.com/sitifatimahnet/status/922992382139879430","922992382139879430")</f>
        <v>922992382139879430</v>
      </c>
      <c r="F11343" s="23" t="s">
        <v>187</v>
      </c>
      <c r="G11343" s="24">
        <v>309.0</v>
      </c>
      <c r="H11343" s="24">
        <v>27.0</v>
      </c>
      <c r="I11343" s="24">
        <v>0.0</v>
      </c>
      <c r="J11343" s="24">
        <v>0.0</v>
      </c>
      <c r="K11343" s="23" t="s">
        <v>34</v>
      </c>
      <c r="L11343" s="25">
        <v>42698.43719907408</v>
      </c>
      <c r="M11343" s="26" t="s">
        <v>1764</v>
      </c>
      <c r="N11343" s="26" t="s">
        <v>1765</v>
      </c>
      <c r="O11343" s="22" t="str">
        <f>HYPERLINK("https://pbs.twimg.com/profile_images/897683241594912769/-rSDzg9T_normal.jpg","View")</f>
        <v>View</v>
      </c>
      <c r="P11343" s="27"/>
    </row>
    <row r="11344">
      <c r="A11344" s="14">
        <v>43032.75693287037</v>
      </c>
      <c r="B11344" s="20" t="str">
        <f>HYPERLINK("https://twitter.com/thekosmicball","@thekosmicball")</f>
        <v>@thekosmicball</v>
      </c>
      <c r="C11344" s="21" t="s">
        <v>23826</v>
      </c>
      <c r="D11344" s="21" t="s">
        <v>18113</v>
      </c>
      <c r="E11344" s="22" t="str">
        <f>HYPERLINK("https://twitter.com/thekosmicball/status/922993610299203584","922993610299203584")</f>
        <v>922993610299203584</v>
      </c>
      <c r="F11344" s="23" t="s">
        <v>33</v>
      </c>
      <c r="G11344" s="24">
        <v>29.0</v>
      </c>
      <c r="H11344" s="24">
        <v>113.0</v>
      </c>
      <c r="I11344" s="24">
        <v>18.0</v>
      </c>
      <c r="J11344" s="24">
        <v>0.0</v>
      </c>
      <c r="K11344" s="23" t="s">
        <v>34</v>
      </c>
      <c r="L11344" s="25">
        <v>42627.683020833334</v>
      </c>
      <c r="M11344" s="26" t="s">
        <v>23827</v>
      </c>
      <c r="N11344" s="26" t="s">
        <v>23828</v>
      </c>
      <c r="O11344" s="22" t="str">
        <f>HYPERLINK("https://pbs.twimg.com/profile_images/919716877055791104/Fr4i53S__normal.jpg","View")</f>
        <v>View</v>
      </c>
      <c r="P11344" s="27"/>
    </row>
    <row r="11345">
      <c r="A11345" s="14">
        <v>43032.75722222222</v>
      </c>
      <c r="B11345" s="20" t="str">
        <f>HYPERLINK("https://twitter.com/dr_ranawat","@dr_ranawat")</f>
        <v>@dr_ranawat</v>
      </c>
      <c r="C11345" s="21" t="s">
        <v>23829</v>
      </c>
      <c r="D11345" s="21" t="s">
        <v>23830</v>
      </c>
      <c r="E11345" s="22" t="str">
        <f>HYPERLINK("https://twitter.com/dr_ranawat/status/922993714405957632","922993714405957632")</f>
        <v>922993714405957632</v>
      </c>
      <c r="F11345" s="23" t="s">
        <v>33</v>
      </c>
      <c r="G11345" s="24">
        <v>351.0</v>
      </c>
      <c r="H11345" s="24">
        <v>184.0</v>
      </c>
      <c r="I11345" s="24">
        <v>0.0</v>
      </c>
      <c r="J11345" s="24">
        <v>0.0</v>
      </c>
      <c r="K11345" s="23" t="s">
        <v>34</v>
      </c>
      <c r="L11345" s="25">
        <v>41387.25251157407</v>
      </c>
      <c r="M11345" s="26" t="s">
        <v>23831</v>
      </c>
      <c r="N11345" s="26" t="s">
        <v>23832</v>
      </c>
      <c r="O11345" s="22" t="str">
        <f>HYPERLINK("https://pbs.twimg.com/profile_images/748127984381374464/1stH_KU__normal.jpg","View")</f>
        <v>View</v>
      </c>
      <c r="P11345" s="27"/>
    </row>
    <row r="11346">
      <c r="A11346" s="14">
        <v>43032.75791666667</v>
      </c>
      <c r="B11346" s="20" t="str">
        <f>HYPERLINK("https://twitter.com/mridupawandas4","@mridupawandas4")</f>
        <v>@mridupawandas4</v>
      </c>
      <c r="C11346" s="21" t="s">
        <v>23833</v>
      </c>
      <c r="D11346" s="21" t="s">
        <v>42</v>
      </c>
      <c r="E11346" s="22" t="str">
        <f>HYPERLINK("https://twitter.com/mridupawandas4/status/922993965996978176","922993965996978176")</f>
        <v>922993965996978176</v>
      </c>
      <c r="F11346" s="23" t="s">
        <v>39</v>
      </c>
      <c r="G11346" s="24">
        <v>129.0</v>
      </c>
      <c r="H11346" s="24">
        <v>539.0</v>
      </c>
      <c r="I11346" s="24">
        <v>8501.0</v>
      </c>
      <c r="J11346" s="24">
        <v>0.0</v>
      </c>
      <c r="K11346" s="23" t="s">
        <v>34</v>
      </c>
      <c r="L11346" s="25">
        <v>42347.97106481482</v>
      </c>
      <c r="M11346" s="26" t="s">
        <v>7811</v>
      </c>
      <c r="N11346" s="26" t="s">
        <v>23834</v>
      </c>
      <c r="O11346" s="22" t="str">
        <f>HYPERLINK("https://pbs.twimg.com/profile_images/876502951153422336/b8TPUN-i_normal.jpg","View")</f>
        <v>View</v>
      </c>
      <c r="P11346" s="27"/>
    </row>
    <row r="11347">
      <c r="A11347" s="14">
        <v>43032.75989583333</v>
      </c>
      <c r="B11347" s="20" t="str">
        <f>HYPERLINK("https://twitter.com/Lightn1ngHand","@Lightn1ngHand")</f>
        <v>@Lightn1ngHand</v>
      </c>
      <c r="C11347" s="21" t="s">
        <v>23835</v>
      </c>
      <c r="D11347" s="21" t="s">
        <v>18113</v>
      </c>
      <c r="E11347" s="22" t="str">
        <f>HYPERLINK("https://twitter.com/Lightn1ngHand/status/922994681671172096","922994681671172096")</f>
        <v>922994681671172096</v>
      </c>
      <c r="F11347" s="23" t="s">
        <v>33</v>
      </c>
      <c r="G11347" s="24">
        <v>817.0</v>
      </c>
      <c r="H11347" s="24">
        <v>413.0</v>
      </c>
      <c r="I11347" s="24">
        <v>18.0</v>
      </c>
      <c r="J11347" s="24">
        <v>0.0</v>
      </c>
      <c r="K11347" s="23" t="s">
        <v>34</v>
      </c>
      <c r="L11347" s="25">
        <v>41911.4919212963</v>
      </c>
      <c r="M11347" s="26" t="s">
        <v>4480</v>
      </c>
      <c r="N11347" s="26" t="s">
        <v>23836</v>
      </c>
      <c r="O11347" s="22" t="str">
        <f>HYPERLINK("https://pbs.twimg.com/profile_images/910640659593297920/k-Zze2dB_normal.jpg","View")</f>
        <v>View</v>
      </c>
      <c r="P11347" s="27"/>
    </row>
    <row r="11348">
      <c r="A11348" s="14">
        <v>43032.76123842593</v>
      </c>
      <c r="B11348" s="20" t="str">
        <f>HYPERLINK("https://twitter.com/LFabrication","@LFabrication")</f>
        <v>@LFabrication</v>
      </c>
      <c r="C11348" s="21" t="s">
        <v>23837</v>
      </c>
      <c r="D11348" s="21" t="s">
        <v>42</v>
      </c>
      <c r="E11348" s="22" t="str">
        <f>HYPERLINK("https://twitter.com/LFabrication/status/922995171129573376","922995171129573376")</f>
        <v>922995171129573376</v>
      </c>
      <c r="F11348" s="23" t="s">
        <v>33</v>
      </c>
      <c r="G11348" s="24">
        <v>77.0</v>
      </c>
      <c r="H11348" s="24">
        <v>3.0</v>
      </c>
      <c r="I11348" s="24">
        <v>8501.0</v>
      </c>
      <c r="J11348" s="24">
        <v>0.0</v>
      </c>
      <c r="K11348" s="23" t="s">
        <v>34</v>
      </c>
      <c r="L11348" s="25">
        <v>41947.08951388889</v>
      </c>
      <c r="M11348" s="28"/>
      <c r="N11348" s="28"/>
      <c r="O11348" s="22" t="str">
        <f>HYPERLINK("https://pbs.twimg.com/profile_images/800327641412685825/iKQQMYZi_normal.jpg","View")</f>
        <v>View</v>
      </c>
      <c r="P11348" s="27"/>
    </row>
    <row r="11349">
      <c r="A11349" s="14">
        <v>43032.76524305556</v>
      </c>
      <c r="B11349" s="20" t="str">
        <f>HYPERLINK("https://twitter.com/kamezuki","@kamezuki")</f>
        <v>@kamezuki</v>
      </c>
      <c r="C11349" s="21" t="s">
        <v>23838</v>
      </c>
      <c r="D11349" s="21" t="s">
        <v>23839</v>
      </c>
      <c r="E11349" s="22" t="str">
        <f>HYPERLINK("https://twitter.com/kamezuki/status/922996620207177728","922996620207177728")</f>
        <v>922996620207177728</v>
      </c>
      <c r="F11349" s="23" t="s">
        <v>55</v>
      </c>
      <c r="G11349" s="24">
        <v>5722.0</v>
      </c>
      <c r="H11349" s="24">
        <v>6089.0</v>
      </c>
      <c r="I11349" s="24">
        <v>4.0</v>
      </c>
      <c r="J11349" s="24">
        <v>0.0</v>
      </c>
      <c r="K11349" s="23" t="s">
        <v>34</v>
      </c>
      <c r="L11349" s="25">
        <v>40156.67686342593</v>
      </c>
      <c r="M11349" s="26" t="s">
        <v>23840</v>
      </c>
      <c r="N11349" s="26" t="s">
        <v>23841</v>
      </c>
      <c r="O11349" s="22" t="str">
        <f>HYPERLINK("https://pbs.twimg.com/profile_images/378800000847648985/20db913425f22742bbef68ae9a994e83_normal.jpeg","View")</f>
        <v>View</v>
      </c>
      <c r="P11349" s="27"/>
    </row>
    <row r="11350">
      <c r="A11350" s="14">
        <v>43032.76567129629</v>
      </c>
      <c r="B11350" s="20" t="str">
        <f>HYPERLINK("https://twitter.com/PSaharov2","@PSaharov2")</f>
        <v>@PSaharov2</v>
      </c>
      <c r="C11350" s="21" t="s">
        <v>23842</v>
      </c>
      <c r="D11350" s="21" t="s">
        <v>22925</v>
      </c>
      <c r="E11350" s="22" t="str">
        <f>HYPERLINK("https://twitter.com/PSaharov2/status/922996773995528193","922996773995528193")</f>
        <v>922996773995528193</v>
      </c>
      <c r="F11350" s="23" t="s">
        <v>39</v>
      </c>
      <c r="G11350" s="24">
        <v>672.0</v>
      </c>
      <c r="H11350" s="24">
        <v>1726.0</v>
      </c>
      <c r="I11350" s="24">
        <v>6.0</v>
      </c>
      <c r="J11350" s="24">
        <v>0.0</v>
      </c>
      <c r="K11350" s="23" t="s">
        <v>34</v>
      </c>
      <c r="L11350" s="25">
        <v>42877.24942129629</v>
      </c>
      <c r="M11350" s="26" t="s">
        <v>3011</v>
      </c>
      <c r="N11350" s="28"/>
      <c r="O11350" s="22" t="str">
        <f>HYPERLINK("https://pbs.twimg.com/profile_images/914049575056400384/AOsm_xgA_normal.jpg","View")</f>
        <v>View</v>
      </c>
      <c r="P11350" s="27"/>
    </row>
    <row r="11351">
      <c r="A11351" s="14">
        <v>43032.766701388886</v>
      </c>
      <c r="B11351" s="20" t="str">
        <f>HYPERLINK("https://twitter.com/arrgelegipcio","@arrgelegipcio")</f>
        <v>@arrgelegipcio</v>
      </c>
      <c r="C11351" s="21" t="s">
        <v>23843</v>
      </c>
      <c r="D11351" s="21" t="s">
        <v>23844</v>
      </c>
      <c r="E11351" s="22" t="str">
        <f>HYPERLINK("https://twitter.com/arrgelegipcio/status/922997149536681984","922997149536681984")</f>
        <v>922997149536681984</v>
      </c>
      <c r="F11351" s="23" t="s">
        <v>33</v>
      </c>
      <c r="G11351" s="24">
        <v>477.0</v>
      </c>
      <c r="H11351" s="24">
        <v>518.0</v>
      </c>
      <c r="I11351" s="24">
        <v>1.0</v>
      </c>
      <c r="J11351" s="24">
        <v>0.0</v>
      </c>
      <c r="K11351" s="23" t="s">
        <v>34</v>
      </c>
      <c r="L11351" s="25">
        <v>40325.923043981486</v>
      </c>
      <c r="M11351" s="26" t="s">
        <v>23845</v>
      </c>
      <c r="N11351" s="26" t="s">
        <v>23846</v>
      </c>
      <c r="O11351" s="22" t="str">
        <f>HYPERLINK("https://pbs.twimg.com/profile_images/831518368482066435/8Mf3VMFM_normal.jpg","View")</f>
        <v>View</v>
      </c>
      <c r="P11351" s="27"/>
    </row>
    <row r="11352">
      <c r="A11352" s="14">
        <v>43032.76762731481</v>
      </c>
      <c r="B11352" s="20" t="str">
        <f>HYPERLINK("https://twitter.com/fatimaalisheikh","@fatimaalisheikh")</f>
        <v>@fatimaalisheikh</v>
      </c>
      <c r="C11352" s="21" t="s">
        <v>6228</v>
      </c>
      <c r="D11352" s="21" t="s">
        <v>23637</v>
      </c>
      <c r="E11352" s="22" t="str">
        <f>HYPERLINK("https://twitter.com/fatimaalisheikh/status/922997486637199360","922997486637199360")</f>
        <v>922997486637199360</v>
      </c>
      <c r="F11352" s="23" t="s">
        <v>33</v>
      </c>
      <c r="G11352" s="24">
        <v>171.0</v>
      </c>
      <c r="H11352" s="24">
        <v>1449.0</v>
      </c>
      <c r="I11352" s="24">
        <v>5.0</v>
      </c>
      <c r="J11352" s="24">
        <v>0.0</v>
      </c>
      <c r="K11352" s="23" t="s">
        <v>34</v>
      </c>
      <c r="L11352" s="25">
        <v>40943.30571759259</v>
      </c>
      <c r="M11352" s="26" t="s">
        <v>6229</v>
      </c>
      <c r="N11352" s="26" t="s">
        <v>6230</v>
      </c>
      <c r="O11352" s="22" t="str">
        <f>HYPERLINK("https://pbs.twimg.com/profile_images/891111642376884224/L1BiaesX_normal.jpg","View")</f>
        <v>View</v>
      </c>
      <c r="P11352" s="27"/>
    </row>
    <row r="11353">
      <c r="A11353" s="14">
        <v>43032.76899305556</v>
      </c>
      <c r="B11353" s="20" t="str">
        <f>HYPERLINK("https://twitter.com/PSaharov2","@PSaharov2")</f>
        <v>@PSaharov2</v>
      </c>
      <c r="C11353" s="21" t="s">
        <v>23842</v>
      </c>
      <c r="D11353" s="21" t="s">
        <v>3205</v>
      </c>
      <c r="E11353" s="22" t="str">
        <f>HYPERLINK("https://twitter.com/PSaharov2/status/922997981330018304","922997981330018304")</f>
        <v>922997981330018304</v>
      </c>
      <c r="F11353" s="23" t="s">
        <v>39</v>
      </c>
      <c r="G11353" s="24">
        <v>672.0</v>
      </c>
      <c r="H11353" s="24">
        <v>1726.0</v>
      </c>
      <c r="I11353" s="24">
        <v>13.0</v>
      </c>
      <c r="J11353" s="24">
        <v>0.0</v>
      </c>
      <c r="K11353" s="23" t="s">
        <v>34</v>
      </c>
      <c r="L11353" s="25">
        <v>42877.24942129629</v>
      </c>
      <c r="M11353" s="26" t="s">
        <v>3011</v>
      </c>
      <c r="N11353" s="28"/>
      <c r="O11353" s="22" t="str">
        <f>HYPERLINK("https://pbs.twimg.com/profile_images/914049575056400384/AOsm_xgA_normal.jpg","View")</f>
        <v>View</v>
      </c>
      <c r="P11353" s="27"/>
    </row>
    <row r="11354">
      <c r="A11354" s="14">
        <v>43032.77043981482</v>
      </c>
      <c r="B11354" s="20" t="str">
        <f>HYPERLINK("https://twitter.com/FedEdJill","@FedEdJill")</f>
        <v>@FedEdJill</v>
      </c>
      <c r="C11354" s="21" t="s">
        <v>23847</v>
      </c>
      <c r="D11354" s="21" t="s">
        <v>22629</v>
      </c>
      <c r="E11354" s="22" t="str">
        <f>HYPERLINK("https://twitter.com/FedEdJill/status/922998505693696006","922998505693696006")</f>
        <v>922998505693696006</v>
      </c>
      <c r="F11354" s="23" t="s">
        <v>39</v>
      </c>
      <c r="G11354" s="24">
        <v>1387.0</v>
      </c>
      <c r="H11354" s="24">
        <v>924.0</v>
      </c>
      <c r="I11354" s="24">
        <v>14.0</v>
      </c>
      <c r="J11354" s="24">
        <v>0.0</v>
      </c>
      <c r="K11354" s="23" t="s">
        <v>34</v>
      </c>
      <c r="L11354" s="25">
        <v>42168.26760416667</v>
      </c>
      <c r="M11354" s="28"/>
      <c r="N11354" s="26" t="s">
        <v>23848</v>
      </c>
      <c r="O11354" s="22" t="str">
        <f>HYPERLINK("https://pbs.twimg.com/profile_images/753604441287241730/QOrKbIO9_normal.jpg","View")</f>
        <v>View</v>
      </c>
      <c r="P11354" s="27"/>
    </row>
    <row r="11355">
      <c r="A11355" s="14">
        <v>43032.77203703704</v>
      </c>
      <c r="B11355" s="20" t="str">
        <f>HYPERLINK("https://twitter.com/kanazawakyoko","@kanazawakyoko")</f>
        <v>@kanazawakyoko</v>
      </c>
      <c r="C11355" s="21" t="s">
        <v>23849</v>
      </c>
      <c r="D11355" s="21" t="s">
        <v>22598</v>
      </c>
      <c r="E11355" s="22" t="str">
        <f>HYPERLINK("https://twitter.com/kanazawakyoko/status/922999081219235840","922999081219235840")</f>
        <v>922999081219235840</v>
      </c>
      <c r="F11355" s="23" t="s">
        <v>55</v>
      </c>
      <c r="G11355" s="24">
        <v>4942.0</v>
      </c>
      <c r="H11355" s="24">
        <v>5165.0</v>
      </c>
      <c r="I11355" s="24">
        <v>5.0</v>
      </c>
      <c r="J11355" s="24">
        <v>0.0</v>
      </c>
      <c r="K11355" s="23" t="s">
        <v>34</v>
      </c>
      <c r="L11355" s="25">
        <v>40743.82388888889</v>
      </c>
      <c r="M11355" s="26" t="s">
        <v>23850</v>
      </c>
      <c r="N11355" s="26" t="s">
        <v>23851</v>
      </c>
      <c r="O11355" s="22" t="str">
        <f>HYPERLINK("https://pbs.twimg.com/profile_images/922345590519762944/OIoxCx_h_normal.jpg","View")</f>
        <v>View</v>
      </c>
      <c r="P11355" s="27"/>
    </row>
    <row r="11356">
      <c r="A11356" s="14">
        <v>43032.77267361111</v>
      </c>
      <c r="B11356" s="20" t="str">
        <f>HYPERLINK("https://twitter.com/business","@business")</f>
        <v>@business</v>
      </c>
      <c r="C11356" s="21" t="s">
        <v>3937</v>
      </c>
      <c r="D11356" s="21" t="s">
        <v>23852</v>
      </c>
      <c r="E11356" s="22" t="str">
        <f>HYPERLINK("https://twitter.com/business/status/922999315240325121","922999315240325121")</f>
        <v>922999315240325121</v>
      </c>
      <c r="F11356" s="23" t="s">
        <v>1103</v>
      </c>
      <c r="G11356" s="24">
        <v>4337400.0</v>
      </c>
      <c r="H11356" s="24">
        <v>1088.0</v>
      </c>
      <c r="I11356" s="24">
        <v>18.0</v>
      </c>
      <c r="J11356" s="24">
        <v>31.0</v>
      </c>
      <c r="K11356" s="23" t="s">
        <v>34</v>
      </c>
      <c r="L11356" s="25">
        <v>39926.545335648145</v>
      </c>
      <c r="M11356" s="26" t="s">
        <v>3939</v>
      </c>
      <c r="N11356" s="26" t="s">
        <v>3940</v>
      </c>
      <c r="O11356" s="22" t="str">
        <f>HYPERLINK("https://pbs.twimg.com/profile_images/714946924105883648/4fgNVF4H_normal.jpg","View")</f>
        <v>View</v>
      </c>
      <c r="P11356" s="27"/>
    </row>
    <row r="11357">
      <c r="A11357" s="14">
        <v>43032.772939814815</v>
      </c>
      <c r="B11357" s="20" t="str">
        <f>HYPERLINK("https://twitter.com/weemai","@weemai")</f>
        <v>@weemai</v>
      </c>
      <c r="C11357" s="21" t="s">
        <v>23853</v>
      </c>
      <c r="D11357" s="21" t="s">
        <v>23854</v>
      </c>
      <c r="E11357" s="22" t="str">
        <f>HYPERLINK("https://twitter.com/weemai/status/922999410648219649","922999410648219649")</f>
        <v>922999410648219649</v>
      </c>
      <c r="F11357" s="23" t="s">
        <v>33</v>
      </c>
      <c r="G11357" s="24">
        <v>295.0</v>
      </c>
      <c r="H11357" s="24">
        <v>358.0</v>
      </c>
      <c r="I11357" s="24">
        <v>0.0</v>
      </c>
      <c r="J11357" s="24">
        <v>0.0</v>
      </c>
      <c r="K11357" s="23" t="s">
        <v>34</v>
      </c>
      <c r="L11357" s="25">
        <v>40793.35821759259</v>
      </c>
      <c r="M11357" s="26" t="s">
        <v>23855</v>
      </c>
      <c r="N11357" s="26" t="s">
        <v>23856</v>
      </c>
      <c r="O11357" s="22" t="str">
        <f>HYPERLINK("https://pbs.twimg.com/profile_images/1544118631/twitter_normal.jpg","View")</f>
        <v>View</v>
      </c>
      <c r="P11357" s="27"/>
    </row>
    <row r="11358">
      <c r="A11358" s="14">
        <v>43032.77296296296</v>
      </c>
      <c r="B11358" s="20" t="str">
        <f>HYPERLINK("https://twitter.com/Kose4by4","@Kose4by4")</f>
        <v>@Kose4by4</v>
      </c>
      <c r="C11358" s="21" t="s">
        <v>23857</v>
      </c>
      <c r="D11358" s="21" t="s">
        <v>23858</v>
      </c>
      <c r="E11358" s="22" t="str">
        <f>HYPERLINK("https://twitter.com/Kose4by4/status/922999418801946624","922999418801946624")</f>
        <v>922999418801946624</v>
      </c>
      <c r="F11358" s="23" t="s">
        <v>33</v>
      </c>
      <c r="G11358" s="24">
        <v>515.0</v>
      </c>
      <c r="H11358" s="24">
        <v>529.0</v>
      </c>
      <c r="I11358" s="24">
        <v>18.0</v>
      </c>
      <c r="J11358" s="24">
        <v>0.0</v>
      </c>
      <c r="K11358" s="23" t="s">
        <v>34</v>
      </c>
      <c r="L11358" s="25">
        <v>39861.71942129629</v>
      </c>
      <c r="M11358" s="28"/>
      <c r="N11358" s="26" t="s">
        <v>23859</v>
      </c>
      <c r="O11358" s="22" t="str">
        <f>HYPERLINK("https://pbs.twimg.com/profile_images/1842919047/image_normal.jpg","View")</f>
        <v>View</v>
      </c>
      <c r="P11358" s="27"/>
    </row>
    <row r="11359">
      <c r="A11359" s="14">
        <v>43032.77304398148</v>
      </c>
      <c r="B11359" s="20" t="str">
        <f>HYPERLINK("https://twitter.com/jucheismo","@jucheismo")</f>
        <v>@jucheismo</v>
      </c>
      <c r="C11359" s="21" t="s">
        <v>23860</v>
      </c>
      <c r="D11359" s="21" t="s">
        <v>23858</v>
      </c>
      <c r="E11359" s="22" t="str">
        <f>HYPERLINK("https://twitter.com/jucheismo/status/922999449088962560","922999449088962560")</f>
        <v>922999449088962560</v>
      </c>
      <c r="F11359" s="23" t="s">
        <v>55</v>
      </c>
      <c r="G11359" s="24">
        <v>1188.0</v>
      </c>
      <c r="H11359" s="24">
        <v>2404.0</v>
      </c>
      <c r="I11359" s="24">
        <v>18.0</v>
      </c>
      <c r="J11359" s="24">
        <v>0.0</v>
      </c>
      <c r="K11359" s="23" t="s">
        <v>34</v>
      </c>
      <c r="L11359" s="25">
        <v>40724.795324074075</v>
      </c>
      <c r="M11359" s="26" t="s">
        <v>23861</v>
      </c>
      <c r="N11359" s="26" t="s">
        <v>23862</v>
      </c>
      <c r="O11359" s="22" t="str">
        <f>HYPERLINK("https://pbs.twimg.com/profile_images/834758263690387456/NaRE1kPX_normal.jpg","View")</f>
        <v>View</v>
      </c>
      <c r="P11359" s="27"/>
    </row>
    <row r="11360">
      <c r="A11360" s="14">
        <v>43032.77309027778</v>
      </c>
      <c r="B11360" s="20" t="str">
        <f>HYPERLINK("https://twitter.com/HAYAtomoyuki","@HAYAtomoyuki")</f>
        <v>@HAYAtomoyuki</v>
      </c>
      <c r="C11360" s="21" t="s">
        <v>23863</v>
      </c>
      <c r="D11360" s="21" t="s">
        <v>23858</v>
      </c>
      <c r="E11360" s="22" t="str">
        <f>HYPERLINK("https://twitter.com/HAYAtomoyuki/status/922999462686998528","922999462686998528")</f>
        <v>922999462686998528</v>
      </c>
      <c r="F11360" s="23" t="s">
        <v>39</v>
      </c>
      <c r="G11360" s="24">
        <v>227.0</v>
      </c>
      <c r="H11360" s="24">
        <v>800.0</v>
      </c>
      <c r="I11360" s="24">
        <v>18.0</v>
      </c>
      <c r="J11360" s="24">
        <v>0.0</v>
      </c>
      <c r="K11360" s="23" t="s">
        <v>34</v>
      </c>
      <c r="L11360" s="25">
        <v>40980.341099537036</v>
      </c>
      <c r="M11360" s="26" t="s">
        <v>23864</v>
      </c>
      <c r="N11360" s="26" t="s">
        <v>23865</v>
      </c>
      <c r="O11360" s="22" t="str">
        <f>HYPERLINK("https://pbs.twimg.com/profile_images/2493827993/63ppfi7y0b5pw5a8jjbz_normal.jpeg","View")</f>
        <v>View</v>
      </c>
      <c r="P11360" s="27"/>
    </row>
    <row r="11361">
      <c r="A11361" s="14">
        <v>43032.77313657408</v>
      </c>
      <c r="B11361" s="20" t="str">
        <f>HYPERLINK("https://twitter.com/swissifg","@swissifg")</f>
        <v>@swissifg</v>
      </c>
      <c r="C11361" s="21" t="s">
        <v>3967</v>
      </c>
      <c r="D11361" s="21" t="s">
        <v>23866</v>
      </c>
      <c r="E11361" s="22" t="str">
        <f>HYPERLINK("https://twitter.com/swissifg/status/922999482605645824","922999482605645824")</f>
        <v>922999482605645824</v>
      </c>
      <c r="F11361" s="23" t="s">
        <v>187</v>
      </c>
      <c r="G11361" s="24">
        <v>1204.0</v>
      </c>
      <c r="H11361" s="24">
        <v>671.0</v>
      </c>
      <c r="I11361" s="24">
        <v>0.0</v>
      </c>
      <c r="J11361" s="24">
        <v>0.0</v>
      </c>
      <c r="K11361" s="23" t="s">
        <v>34</v>
      </c>
      <c r="L11361" s="25">
        <v>42499.2341087963</v>
      </c>
      <c r="M11361" s="26" t="s">
        <v>3969</v>
      </c>
      <c r="N11361" s="26" t="s">
        <v>3970</v>
      </c>
      <c r="O11361" s="22" t="str">
        <f>HYPERLINK("https://pbs.twimg.com/profile_images/729681805088063489/N4ls5vb8_normal.jpg","View")</f>
        <v>View</v>
      </c>
      <c r="P11361" s="27"/>
    </row>
    <row r="11362">
      <c r="A11362" s="14">
        <v>43032.77320601852</v>
      </c>
      <c r="B11362" s="20" t="str">
        <f>HYPERLINK("https://twitter.com/kanazawakyoko","@kanazawakyoko")</f>
        <v>@kanazawakyoko</v>
      </c>
      <c r="C11362" s="21" t="s">
        <v>23849</v>
      </c>
      <c r="D11362" s="21" t="s">
        <v>23867</v>
      </c>
      <c r="E11362" s="22" t="str">
        <f>HYPERLINK("https://twitter.com/kanazawakyoko/status/922999506827853824","922999506827853824")</f>
        <v>922999506827853824</v>
      </c>
      <c r="F11362" s="23" t="s">
        <v>55</v>
      </c>
      <c r="G11362" s="24">
        <v>4942.0</v>
      </c>
      <c r="H11362" s="24">
        <v>5165.0</v>
      </c>
      <c r="I11362" s="24">
        <v>0.0</v>
      </c>
      <c r="J11362" s="24">
        <v>0.0</v>
      </c>
      <c r="K11362" s="23" t="s">
        <v>34</v>
      </c>
      <c r="L11362" s="25">
        <v>40743.82388888889</v>
      </c>
      <c r="M11362" s="26" t="s">
        <v>23850</v>
      </c>
      <c r="N11362" s="26" t="s">
        <v>23851</v>
      </c>
      <c r="O11362" s="22" t="str">
        <f>HYPERLINK("https://pbs.twimg.com/profile_images/922345590519762944/OIoxCx_h_normal.jpg","View")</f>
        <v>View</v>
      </c>
      <c r="P11362" s="27"/>
    </row>
    <row r="11363">
      <c r="A11363" s="14">
        <v>43032.77337962963</v>
      </c>
      <c r="B11363" s="20" t="str">
        <f>HYPERLINK("https://twitter.com/KarrenEricson","@KarrenEricson")</f>
        <v>@KarrenEricson</v>
      </c>
      <c r="C11363" s="21" t="s">
        <v>23868</v>
      </c>
      <c r="D11363" s="21" t="s">
        <v>23858</v>
      </c>
      <c r="E11363" s="22" t="str">
        <f>HYPERLINK("https://twitter.com/KarrenEricson/status/922999568953892864","922999568953892864")</f>
        <v>922999568953892864</v>
      </c>
      <c r="F11363" s="23" t="s">
        <v>39</v>
      </c>
      <c r="G11363" s="24">
        <v>79.0</v>
      </c>
      <c r="H11363" s="24">
        <v>107.0</v>
      </c>
      <c r="I11363" s="24">
        <v>18.0</v>
      </c>
      <c r="J11363" s="24">
        <v>0.0</v>
      </c>
      <c r="K11363" s="23" t="s">
        <v>34</v>
      </c>
      <c r="L11363" s="25">
        <v>41320.54189814815</v>
      </c>
      <c r="M11363" s="26" t="s">
        <v>4587</v>
      </c>
      <c r="N11363" s="26" t="s">
        <v>23869</v>
      </c>
      <c r="O11363" s="22" t="str">
        <f>HYPERLINK("https://pbs.twimg.com/profile_images/378800000700646625/89486383562871c73d632803670c74d1_normal.jpeg","View")</f>
        <v>View</v>
      </c>
      <c r="P11363" s="27"/>
    </row>
    <row r="11364">
      <c r="A11364" s="14">
        <v>43032.7734375</v>
      </c>
      <c r="B11364" s="20" t="str">
        <f>HYPERLINK("https://twitter.com/ameenusnasidi1","@ameenusnasidi1")</f>
        <v>@ameenusnasidi1</v>
      </c>
      <c r="C11364" s="21" t="s">
        <v>23870</v>
      </c>
      <c r="D11364" s="21" t="s">
        <v>23858</v>
      </c>
      <c r="E11364" s="22" t="str">
        <f>HYPERLINK("https://twitter.com/ameenusnasidi1/status/922999589359173632","922999589359173632")</f>
        <v>922999589359173632</v>
      </c>
      <c r="F11364" s="23" t="s">
        <v>39</v>
      </c>
      <c r="G11364" s="24">
        <v>76.0</v>
      </c>
      <c r="H11364" s="24">
        <v>313.0</v>
      </c>
      <c r="I11364" s="24">
        <v>18.0</v>
      </c>
      <c r="J11364" s="24">
        <v>0.0</v>
      </c>
      <c r="K11364" s="23" t="s">
        <v>34</v>
      </c>
      <c r="L11364" s="25">
        <v>42655.75199074074</v>
      </c>
      <c r="M11364" s="28"/>
      <c r="N11364" s="28"/>
      <c r="O11364" s="22" t="str">
        <f>HYPERLINK("https://pbs.twimg.com/profile_images/893632936645406720/hZqBAkC0_normal.jpg","View")</f>
        <v>View</v>
      </c>
      <c r="P11364" s="27"/>
    </row>
    <row r="11365">
      <c r="A11365" s="14">
        <v>43032.77375</v>
      </c>
      <c r="B11365" s="20" t="str">
        <f>HYPERLINK("https://twitter.com/bdnews24","@bdnews24")</f>
        <v>@bdnews24</v>
      </c>
      <c r="C11365" s="21" t="s">
        <v>831</v>
      </c>
      <c r="D11365" s="21" t="s">
        <v>23871</v>
      </c>
      <c r="E11365" s="22" t="str">
        <f>HYPERLINK("https://twitter.com/bdnews24/status/922999701997158400","922999701997158400")</f>
        <v>922999701997158400</v>
      </c>
      <c r="F11365" s="23" t="s">
        <v>187</v>
      </c>
      <c r="G11365" s="24">
        <v>215300.0</v>
      </c>
      <c r="H11365" s="24">
        <v>67843.0</v>
      </c>
      <c r="I11365" s="24">
        <v>0.0</v>
      </c>
      <c r="J11365" s="24">
        <v>0.0</v>
      </c>
      <c r="K11365" s="23" t="s">
        <v>34</v>
      </c>
      <c r="L11365" s="25">
        <v>39844.468043981484</v>
      </c>
      <c r="M11365" s="26" t="s">
        <v>833</v>
      </c>
      <c r="N11365" s="26" t="s">
        <v>834</v>
      </c>
      <c r="O11365" s="22" t="str">
        <f>HYPERLINK("https://pbs.twimg.com/profile_images/718433521509994497/4iW9RC_r_normal.jpg","View")</f>
        <v>View</v>
      </c>
      <c r="P11365" s="27"/>
    </row>
    <row r="11366">
      <c r="A11366" s="14">
        <v>43032.77400462963</v>
      </c>
      <c r="B11366" s="20" t="str">
        <f>HYPERLINK("https://twitter.com/prepzilla","@prepzilla")</f>
        <v>@prepzilla</v>
      </c>
      <c r="C11366" s="21" t="s">
        <v>4010</v>
      </c>
      <c r="D11366" s="21" t="s">
        <v>23872</v>
      </c>
      <c r="E11366" s="22" t="str">
        <f>HYPERLINK("https://twitter.com/prepzilla/status/922999794569580544","922999794569580544")</f>
        <v>922999794569580544</v>
      </c>
      <c r="F11366" s="23" t="s">
        <v>187</v>
      </c>
      <c r="G11366" s="24">
        <v>7689.0</v>
      </c>
      <c r="H11366" s="24">
        <v>476.0</v>
      </c>
      <c r="I11366" s="24">
        <v>0.0</v>
      </c>
      <c r="J11366" s="24">
        <v>0.0</v>
      </c>
      <c r="K11366" s="23" t="s">
        <v>34</v>
      </c>
      <c r="L11366" s="25">
        <v>41299.741736111115</v>
      </c>
      <c r="M11366" s="26" t="s">
        <v>4012</v>
      </c>
      <c r="N11366" s="26" t="s">
        <v>4013</v>
      </c>
      <c r="O11366" s="22" t="str">
        <f>HYPERLINK("https://pbs.twimg.com/profile_images/900797880516005888/1bWN5qbC_normal.jpg","View")</f>
        <v>View</v>
      </c>
      <c r="P11366" s="27"/>
    </row>
    <row r="11367">
      <c r="A11367" s="14">
        <v>43032.77400462963</v>
      </c>
      <c r="B11367" s="20" t="str">
        <f>HYPERLINK("https://twitter.com/FallySomboNkhwa","@FallySomboNkhwa")</f>
        <v>@FallySomboNkhwa</v>
      </c>
      <c r="C11367" s="21" t="s">
        <v>4279</v>
      </c>
      <c r="D11367" s="21" t="s">
        <v>23873</v>
      </c>
      <c r="E11367" s="22" t="str">
        <f>HYPERLINK("https://twitter.com/FallySomboNkhwa/status/922999796834582528","922999796834582528")</f>
        <v>922999796834582528</v>
      </c>
      <c r="F11367" s="23" t="s">
        <v>187</v>
      </c>
      <c r="G11367" s="24">
        <v>406.0</v>
      </c>
      <c r="H11367" s="24">
        <v>2189.0</v>
      </c>
      <c r="I11367" s="24">
        <v>0.0</v>
      </c>
      <c r="J11367" s="24">
        <v>0.0</v>
      </c>
      <c r="K11367" s="23" t="s">
        <v>34</v>
      </c>
      <c r="L11367" s="25">
        <v>41551.82041666667</v>
      </c>
      <c r="M11367" s="26" t="s">
        <v>4281</v>
      </c>
      <c r="N11367" s="26" t="s">
        <v>4282</v>
      </c>
      <c r="O11367" s="22" t="str">
        <f>HYPERLINK("https://pbs.twimg.com/profile_images/543761133505503235/pKcg8bc2_normal.jpeg","View")</f>
        <v>View</v>
      </c>
      <c r="P11367" s="27"/>
    </row>
    <row r="11368">
      <c r="A11368" s="14">
        <v>43032.774351851855</v>
      </c>
      <c r="B11368" s="20" t="str">
        <f>HYPERLINK("https://twitter.com/tejana227","@tejana227")</f>
        <v>@tejana227</v>
      </c>
      <c r="C11368" s="21" t="s">
        <v>23874</v>
      </c>
      <c r="D11368" s="21" t="s">
        <v>10614</v>
      </c>
      <c r="E11368" s="22" t="str">
        <f>HYPERLINK("https://twitter.com/tejana227/status/922999922521120769","922999922521120769")</f>
        <v>922999922521120769</v>
      </c>
      <c r="F11368" s="23" t="s">
        <v>55</v>
      </c>
      <c r="G11368" s="24">
        <v>440.0</v>
      </c>
      <c r="H11368" s="24">
        <v>1162.0</v>
      </c>
      <c r="I11368" s="24">
        <v>159.0</v>
      </c>
      <c r="J11368" s="24">
        <v>0.0</v>
      </c>
      <c r="K11368" s="23" t="s">
        <v>34</v>
      </c>
      <c r="L11368" s="25">
        <v>41964.625868055555</v>
      </c>
      <c r="M11368" s="26" t="s">
        <v>23875</v>
      </c>
      <c r="N11368" s="28"/>
      <c r="O11368" s="22" t="str">
        <f>HYPERLINK("https://pbs.twimg.com/profile_images/913565376742432768/50_PUN6y_normal.jpg","View")</f>
        <v>View</v>
      </c>
      <c r="P11368" s="27"/>
    </row>
    <row r="11369">
      <c r="A11369" s="14">
        <v>43032.774722222224</v>
      </c>
      <c r="B11369" s="20" t="str">
        <f>HYPERLINK("https://twitter.com/331107adp1","@331107adp1")</f>
        <v>@331107adp1</v>
      </c>
      <c r="C11369" s="21" t="s">
        <v>13197</v>
      </c>
      <c r="D11369" s="21" t="s">
        <v>13198</v>
      </c>
      <c r="E11369" s="22" t="str">
        <f>HYPERLINK("https://twitter.com/331107adp1/status/923000054046121984","923000054046121984")</f>
        <v>923000054046121984</v>
      </c>
      <c r="F11369" s="30" t="s">
        <v>659</v>
      </c>
      <c r="G11369" s="24">
        <v>5.0</v>
      </c>
      <c r="H11369" s="24">
        <v>0.0</v>
      </c>
      <c r="I11369" s="24">
        <v>0.0</v>
      </c>
      <c r="J11369" s="24">
        <v>0.0</v>
      </c>
      <c r="K11369" s="23" t="s">
        <v>34</v>
      </c>
      <c r="L11369" s="25">
        <v>42351.960069444445</v>
      </c>
      <c r="M11369" s="28"/>
      <c r="N11369" s="28"/>
      <c r="O11369" s="22" t="str">
        <f>HYPERLINK("https://abs.twimg.com/sticky/default_profile_images/default_profile_normal.png","View")</f>
        <v>View</v>
      </c>
      <c r="P11369" s="27"/>
    </row>
    <row r="11370">
      <c r="A11370" s="14">
        <v>43032.774733796294</v>
      </c>
      <c r="B11370" s="20" t="str">
        <f>HYPERLINK("https://twitter.com/jaimeotero_","@jaimeotero_")</f>
        <v>@jaimeotero_</v>
      </c>
      <c r="C11370" s="21" t="s">
        <v>3960</v>
      </c>
      <c r="D11370" s="21" t="s">
        <v>23876</v>
      </c>
      <c r="E11370" s="22" t="str">
        <f>HYPERLINK("https://twitter.com/jaimeotero_/status/923000059473543168","923000059473543168")</f>
        <v>923000059473543168</v>
      </c>
      <c r="F11370" s="23" t="s">
        <v>187</v>
      </c>
      <c r="G11370" s="24">
        <v>34534.0</v>
      </c>
      <c r="H11370" s="24">
        <v>31264.0</v>
      </c>
      <c r="I11370" s="24">
        <v>0.0</v>
      </c>
      <c r="J11370" s="24">
        <v>0.0</v>
      </c>
      <c r="K11370" s="23" t="s">
        <v>34</v>
      </c>
      <c r="L11370" s="25">
        <v>42531.01219907407</v>
      </c>
      <c r="M11370" s="26" t="s">
        <v>3962</v>
      </c>
      <c r="N11370" s="26" t="s">
        <v>3963</v>
      </c>
      <c r="O11370" s="22" t="str">
        <f>HYPERLINK("https://pbs.twimg.com/profile_images/849817561281818626/acAU04SD_normal.jpg","View")</f>
        <v>View</v>
      </c>
      <c r="P11370" s="27"/>
    </row>
    <row r="11371">
      <c r="A11371" s="14">
        <v>43032.77517361111</v>
      </c>
      <c r="B11371" s="20" t="str">
        <f>HYPERLINK("https://twitter.com/Pintu77646278","@Pintu77646278")</f>
        <v>@Pintu77646278</v>
      </c>
      <c r="C11371" s="21" t="s">
        <v>23877</v>
      </c>
      <c r="D11371" s="21" t="s">
        <v>42</v>
      </c>
      <c r="E11371" s="22" t="str">
        <f>HYPERLINK("https://twitter.com/Pintu77646278/status/923000217988874241","923000217988874241")</f>
        <v>923000217988874241</v>
      </c>
      <c r="F11371" s="23" t="s">
        <v>33</v>
      </c>
      <c r="G11371" s="24">
        <v>0.0</v>
      </c>
      <c r="H11371" s="24">
        <v>87.0</v>
      </c>
      <c r="I11371" s="24">
        <v>8501.0</v>
      </c>
      <c r="J11371" s="24">
        <v>0.0</v>
      </c>
      <c r="K11371" s="23" t="s">
        <v>34</v>
      </c>
      <c r="L11371" s="25">
        <v>42905.834965277776</v>
      </c>
      <c r="M11371" s="26" t="s">
        <v>575</v>
      </c>
      <c r="N11371" s="26" t="s">
        <v>3757</v>
      </c>
      <c r="O11371" s="22" t="str">
        <f>HYPERLINK("https://pbs.twimg.com/profile_images/881743838561226752/Z4O5RTnI_normal.jpg","View")</f>
        <v>View</v>
      </c>
      <c r="P11371" s="27"/>
    </row>
    <row r="11372">
      <c r="A11372" s="14">
        <v>43032.77517361111</v>
      </c>
      <c r="B11372" s="20" t="str">
        <f>HYPERLINK("https://twitter.com/shailendra_nair","@shailendra_nair")</f>
        <v>@shailendra_nair</v>
      </c>
      <c r="C11372" s="21" t="s">
        <v>4072</v>
      </c>
      <c r="D11372" s="21" t="s">
        <v>23878</v>
      </c>
      <c r="E11372" s="22" t="str">
        <f>HYPERLINK("https://twitter.com/shailendra_nair/status/923000221377888256","923000221377888256")</f>
        <v>923000221377888256</v>
      </c>
      <c r="F11372" s="23" t="s">
        <v>187</v>
      </c>
      <c r="G11372" s="24">
        <v>3990.0</v>
      </c>
      <c r="H11372" s="24">
        <v>1041.0</v>
      </c>
      <c r="I11372" s="24">
        <v>0.0</v>
      </c>
      <c r="J11372" s="24">
        <v>0.0</v>
      </c>
      <c r="K11372" s="23" t="s">
        <v>34</v>
      </c>
      <c r="L11372" s="25">
        <v>40362.43798611111</v>
      </c>
      <c r="M11372" s="26" t="s">
        <v>246</v>
      </c>
      <c r="N11372" s="26" t="s">
        <v>4074</v>
      </c>
      <c r="O11372" s="22" t="str">
        <f>HYPERLINK("https://pbs.twimg.com/profile_images/884758468879466497/M_w6UjD3_normal.jpg","View")</f>
        <v>View</v>
      </c>
      <c r="P11372" s="27"/>
    </row>
    <row r="11373">
      <c r="A11373" s="14">
        <v>43032.775185185186</v>
      </c>
      <c r="B11373" s="20" t="str">
        <f>HYPERLINK("https://twitter.com/gianlucagdc","@gianlucagdc")</f>
        <v>@gianlucagdc</v>
      </c>
      <c r="C11373" s="21" t="s">
        <v>23879</v>
      </c>
      <c r="D11373" s="21" t="s">
        <v>23858</v>
      </c>
      <c r="E11373" s="22" t="str">
        <f>HYPERLINK("https://twitter.com/gianlucagdc/status/923000222984306688","923000222984306688")</f>
        <v>923000222984306688</v>
      </c>
      <c r="F11373" s="23" t="s">
        <v>39</v>
      </c>
      <c r="G11373" s="24">
        <v>961.0</v>
      </c>
      <c r="H11373" s="24">
        <v>222.0</v>
      </c>
      <c r="I11373" s="24">
        <v>18.0</v>
      </c>
      <c r="J11373" s="24">
        <v>0.0</v>
      </c>
      <c r="K11373" s="23" t="s">
        <v>34</v>
      </c>
      <c r="L11373" s="25">
        <v>40831.36765046296</v>
      </c>
      <c r="M11373" s="26" t="s">
        <v>23880</v>
      </c>
      <c r="N11373" s="26" t="s">
        <v>23881</v>
      </c>
      <c r="O11373" s="22" t="str">
        <f>HYPERLINK("https://pbs.twimg.com/profile_images/791353203933741057/qGDlZjB4_normal.jpg","View")</f>
        <v>View</v>
      </c>
      <c r="P11373" s="27"/>
    </row>
    <row r="11374">
      <c r="A11374" s="14">
        <v>43032.7758912037</v>
      </c>
      <c r="B11374" s="20" t="str">
        <f>HYPERLINK("https://twitter.com/mlnangalama","@mlnangalama")</f>
        <v>@mlnangalama</v>
      </c>
      <c r="C11374" s="21" t="s">
        <v>925</v>
      </c>
      <c r="D11374" s="21" t="s">
        <v>23882</v>
      </c>
      <c r="E11374" s="22" t="str">
        <f>HYPERLINK("https://twitter.com/mlnangalama/status/923000479256231936","923000479256231936")</f>
        <v>923000479256231936</v>
      </c>
      <c r="F11374" s="23" t="s">
        <v>187</v>
      </c>
      <c r="G11374" s="24">
        <v>2366.0</v>
      </c>
      <c r="H11374" s="24">
        <v>1582.0</v>
      </c>
      <c r="I11374" s="24">
        <v>0.0</v>
      </c>
      <c r="J11374" s="24">
        <v>0.0</v>
      </c>
      <c r="K11374" s="23" t="s">
        <v>34</v>
      </c>
      <c r="L11374" s="25">
        <v>41041.54378472222</v>
      </c>
      <c r="M11374" s="26" t="s">
        <v>927</v>
      </c>
      <c r="N11374" s="26" t="s">
        <v>928</v>
      </c>
      <c r="O11374" s="22" t="str">
        <f>HYPERLINK("https://pbs.twimg.com/profile_images/900915882444173313/biUHzvpx_normal.jpg","View")</f>
        <v>View</v>
      </c>
      <c r="P11374" s="27"/>
    </row>
    <row r="11375">
      <c r="A11375" s="14">
        <v>43032.777233796296</v>
      </c>
      <c r="B11375" s="20" t="str">
        <f>HYPERLINK("https://twitter.com/Dlap17","@Dlap17")</f>
        <v>@Dlap17</v>
      </c>
      <c r="C11375" s="21" t="s">
        <v>23883</v>
      </c>
      <c r="D11375" s="21" t="s">
        <v>23884</v>
      </c>
      <c r="E11375" s="22" t="str">
        <f>HYPERLINK("https://twitter.com/Dlap17/status/923000965858582528","923000965858582528")</f>
        <v>923000965858582528</v>
      </c>
      <c r="F11375" s="23" t="s">
        <v>635</v>
      </c>
      <c r="G11375" s="24">
        <v>57.0</v>
      </c>
      <c r="H11375" s="24">
        <v>86.0</v>
      </c>
      <c r="I11375" s="24">
        <v>0.0</v>
      </c>
      <c r="J11375" s="24">
        <v>0.0</v>
      </c>
      <c r="K11375" s="23" t="s">
        <v>34</v>
      </c>
      <c r="L11375" s="25">
        <v>42821.133981481486</v>
      </c>
      <c r="M11375" s="26" t="s">
        <v>10713</v>
      </c>
      <c r="N11375" s="26" t="s">
        <v>23885</v>
      </c>
      <c r="O11375" s="22" t="str">
        <f>HYPERLINK("https://pbs.twimg.com/profile_images/846697703929233408/CBrGPpYV_normal.jpg","View")</f>
        <v>View</v>
      </c>
      <c r="P11375" s="27"/>
    </row>
    <row r="11376">
      <c r="A11376" s="14">
        <v>43032.77804398148</v>
      </c>
      <c r="B11376" s="20" t="str">
        <f>HYPERLINK("https://twitter.com/Tekki_VR","@Tekki_VR")</f>
        <v>@Tekki_VR</v>
      </c>
      <c r="C11376" s="21" t="s">
        <v>4050</v>
      </c>
      <c r="D11376" s="21" t="s">
        <v>23886</v>
      </c>
      <c r="E11376" s="22" t="str">
        <f>HYPERLINK("https://twitter.com/Tekki_VR/status/923001258859827200","923001258859827200")</f>
        <v>923001258859827200</v>
      </c>
      <c r="F11376" s="23" t="s">
        <v>187</v>
      </c>
      <c r="G11376" s="24">
        <v>1899.0</v>
      </c>
      <c r="H11376" s="24">
        <v>2480.0</v>
      </c>
      <c r="I11376" s="24">
        <v>0.0</v>
      </c>
      <c r="J11376" s="24">
        <v>0.0</v>
      </c>
      <c r="K11376" s="23" t="s">
        <v>34</v>
      </c>
      <c r="L11376" s="25">
        <v>42263.54553240741</v>
      </c>
      <c r="M11376" s="26" t="s">
        <v>4052</v>
      </c>
      <c r="N11376" s="26" t="s">
        <v>4053</v>
      </c>
      <c r="O11376" s="22" t="str">
        <f>HYPERLINK("https://pbs.twimg.com/profile_images/760662770694098944/h1nSBfE8_normal.jpg","View")</f>
        <v>View</v>
      </c>
      <c r="P11376" s="27"/>
    </row>
    <row r="11377">
      <c r="A11377" s="14">
        <v>43032.778182870374</v>
      </c>
      <c r="B11377" s="20" t="str">
        <f>HYPERLINK("https://twitter.com/Bullish","@Bullish")</f>
        <v>@Bullish</v>
      </c>
      <c r="C11377" s="21" t="s">
        <v>2943</v>
      </c>
      <c r="D11377" s="21" t="s">
        <v>23887</v>
      </c>
      <c r="E11377" s="22" t="str">
        <f>HYPERLINK("https://twitter.com/Bullish/status/923001308293996544","923001308293996544")</f>
        <v>923001308293996544</v>
      </c>
      <c r="F11377" s="23" t="s">
        <v>187</v>
      </c>
      <c r="G11377" s="24">
        <v>184.0</v>
      </c>
      <c r="H11377" s="24">
        <v>87.0</v>
      </c>
      <c r="I11377" s="24">
        <v>0.0</v>
      </c>
      <c r="J11377" s="24">
        <v>0.0</v>
      </c>
      <c r="K11377" s="23" t="s">
        <v>34</v>
      </c>
      <c r="L11377" s="25">
        <v>42618.75304398148</v>
      </c>
      <c r="M11377" s="28"/>
      <c r="N11377" s="28"/>
      <c r="O11377" s="22" t="str">
        <f>HYPERLINK("https://pbs.twimg.com/profile_images/798692093736599552/UikI9dNE_normal.jpg","View")</f>
        <v>View</v>
      </c>
      <c r="P11377" s="27"/>
    </row>
    <row r="11378">
      <c r="A11378" s="14">
        <v>43032.78039351852</v>
      </c>
      <c r="B11378" s="20" t="str">
        <f>HYPERLINK("https://twitter.com/AnneKMcCurdy","@AnneKMcCurdy")</f>
        <v>@AnneKMcCurdy</v>
      </c>
      <c r="C11378" s="21" t="s">
        <v>23888</v>
      </c>
      <c r="D11378" s="21" t="s">
        <v>23858</v>
      </c>
      <c r="E11378" s="22" t="str">
        <f>HYPERLINK("https://twitter.com/AnneKMcCurdy/status/923002109871529984","923002109871529984")</f>
        <v>923002109871529984</v>
      </c>
      <c r="F11378" s="23" t="s">
        <v>3895</v>
      </c>
      <c r="G11378" s="24">
        <v>88.0</v>
      </c>
      <c r="H11378" s="24">
        <v>117.0</v>
      </c>
      <c r="I11378" s="24">
        <v>18.0</v>
      </c>
      <c r="J11378" s="24">
        <v>0.0</v>
      </c>
      <c r="K11378" s="23" t="s">
        <v>34</v>
      </c>
      <c r="L11378" s="25">
        <v>41430.27609953703</v>
      </c>
      <c r="M11378" s="26" t="s">
        <v>23889</v>
      </c>
      <c r="N11378" s="26" t="s">
        <v>23890</v>
      </c>
      <c r="O11378" s="22" t="str">
        <f>HYPERLINK("https://pbs.twimg.com/profile_images/856220332688101376/XPwGF1vE_normal.jpg","View")</f>
        <v>View</v>
      </c>
      <c r="P11378" s="27"/>
    </row>
    <row r="11379">
      <c r="A11379" s="14">
        <v>43032.780810185184</v>
      </c>
      <c r="B11379" s="20" t="str">
        <f>HYPERLINK("https://twitter.com/miriamroiz","@miriamroiz")</f>
        <v>@miriamroiz</v>
      </c>
      <c r="C11379" s="21" t="s">
        <v>23891</v>
      </c>
      <c r="D11379" s="21" t="s">
        <v>23858</v>
      </c>
      <c r="E11379" s="22" t="str">
        <f>HYPERLINK("https://twitter.com/miriamroiz/status/923002260379938816","923002260379938816")</f>
        <v>923002260379938816</v>
      </c>
      <c r="F11379" s="23" t="s">
        <v>33</v>
      </c>
      <c r="G11379" s="24">
        <v>815.0</v>
      </c>
      <c r="H11379" s="24">
        <v>1945.0</v>
      </c>
      <c r="I11379" s="24">
        <v>18.0</v>
      </c>
      <c r="J11379" s="24">
        <v>0.0</v>
      </c>
      <c r="K11379" s="23" t="s">
        <v>34</v>
      </c>
      <c r="L11379" s="25">
        <v>40510.48861111111</v>
      </c>
      <c r="M11379" s="26" t="s">
        <v>23892</v>
      </c>
      <c r="N11379" s="26" t="s">
        <v>23893</v>
      </c>
      <c r="O11379" s="22" t="str">
        <f>HYPERLINK("https://pbs.twimg.com/profile_images/919621740950687744/lmVBDBxq_normal.jpg","View")</f>
        <v>View</v>
      </c>
      <c r="P11379" s="27"/>
    </row>
    <row r="11380">
      <c r="A11380" s="14">
        <v>43032.78203703703</v>
      </c>
      <c r="B11380" s="20" t="str">
        <f>HYPERLINK("https://twitter.com/BloombergTV","@BloombergTV")</f>
        <v>@BloombergTV</v>
      </c>
      <c r="C11380" s="21" t="s">
        <v>1723</v>
      </c>
      <c r="D11380" s="21" t="s">
        <v>23894</v>
      </c>
      <c r="E11380" s="22" t="str">
        <f>HYPERLINK("https://twitter.com/BloombergTV/status/923002708331810816","923002708331810816")</f>
        <v>923002708331810816</v>
      </c>
      <c r="F11380" s="23" t="s">
        <v>1103</v>
      </c>
      <c r="G11380" s="24">
        <v>452742.0</v>
      </c>
      <c r="H11380" s="24">
        <v>458.0</v>
      </c>
      <c r="I11380" s="24">
        <v>5.0</v>
      </c>
      <c r="J11380" s="24">
        <v>6.0</v>
      </c>
      <c r="K11380" s="23" t="s">
        <v>34</v>
      </c>
      <c r="L11380" s="25">
        <v>39927.48997685185</v>
      </c>
      <c r="M11380" s="26" t="s">
        <v>389</v>
      </c>
      <c r="N11380" s="26" t="s">
        <v>1725</v>
      </c>
      <c r="O11380" s="22" t="str">
        <f>HYPERLINK("https://pbs.twimg.com/profile_images/714801760632770560/7My2hMBt_normal.jpg","View")</f>
        <v>View</v>
      </c>
      <c r="P11380" s="27"/>
    </row>
    <row r="11381">
      <c r="A11381" s="14">
        <v>43032.78310185185</v>
      </c>
      <c r="B11381" s="20" t="str">
        <f>HYPERLINK("https://twitter.com/batt1972","@batt1972")</f>
        <v>@batt1972</v>
      </c>
      <c r="C11381" s="21" t="s">
        <v>22741</v>
      </c>
      <c r="D11381" s="21" t="s">
        <v>23895</v>
      </c>
      <c r="E11381" s="22" t="str">
        <f>HYPERLINK("https://twitter.com/batt1972/status/923003092034994176","923003092034994176")</f>
        <v>923003092034994176</v>
      </c>
      <c r="F11381" s="23" t="s">
        <v>39</v>
      </c>
      <c r="G11381" s="24">
        <v>11036.0</v>
      </c>
      <c r="H11381" s="24">
        <v>271.0</v>
      </c>
      <c r="I11381" s="24">
        <v>5.0</v>
      </c>
      <c r="J11381" s="24">
        <v>0.0</v>
      </c>
      <c r="K11381" s="23" t="s">
        <v>34</v>
      </c>
      <c r="L11381" s="25">
        <v>41296.712685185186</v>
      </c>
      <c r="M11381" s="26" t="s">
        <v>18994</v>
      </c>
      <c r="N11381" s="26" t="s">
        <v>22742</v>
      </c>
      <c r="O11381" s="22" t="str">
        <f>HYPERLINK("https://pbs.twimg.com/profile_images/912977788424011776/vDE1yxVm_normal.jpg","View")</f>
        <v>View</v>
      </c>
      <c r="P11381" s="27"/>
    </row>
    <row r="11382">
      <c r="A11382" s="14">
        <v>43032.78310185185</v>
      </c>
      <c r="B11382" s="20" t="str">
        <f>HYPERLINK("https://twitter.com/KimiAdvanced","@KimiAdvanced")</f>
        <v>@KimiAdvanced</v>
      </c>
      <c r="C11382" s="21" t="s">
        <v>23896</v>
      </c>
      <c r="D11382" s="21" t="s">
        <v>430</v>
      </c>
      <c r="E11382" s="22" t="str">
        <f>HYPERLINK("https://twitter.com/KimiAdvanced/status/923003092131442690","923003092131442690")</f>
        <v>923003092131442690</v>
      </c>
      <c r="F11382" s="23" t="s">
        <v>55</v>
      </c>
      <c r="G11382" s="24">
        <v>95.0</v>
      </c>
      <c r="H11382" s="24">
        <v>420.0</v>
      </c>
      <c r="I11382" s="24">
        <v>62.0</v>
      </c>
      <c r="J11382" s="24">
        <v>0.0</v>
      </c>
      <c r="K11382" s="23" t="s">
        <v>34</v>
      </c>
      <c r="L11382" s="25">
        <v>42683.65</v>
      </c>
      <c r="M11382" s="28"/>
      <c r="N11382" s="26" t="s">
        <v>23897</v>
      </c>
      <c r="O11382" s="22" t="str">
        <f>HYPERLINK("https://pbs.twimg.com/profile_images/921916453481103361/0_DM3qRG_normal.jpg","View")</f>
        <v>View</v>
      </c>
      <c r="P11382" s="27"/>
    </row>
    <row r="11383">
      <c r="A11383" s="14">
        <v>43032.784050925926</v>
      </c>
      <c r="B11383" s="20" t="str">
        <f>HYPERLINK("https://twitter.com/art_radnaa","@art_radnaa")</f>
        <v>@art_radnaa</v>
      </c>
      <c r="C11383" s="21" t="s">
        <v>23898</v>
      </c>
      <c r="D11383" s="21" t="s">
        <v>23858</v>
      </c>
      <c r="E11383" s="22" t="str">
        <f>HYPERLINK("https://twitter.com/art_radnaa/status/923003435607138304","923003435607138304")</f>
        <v>923003435607138304</v>
      </c>
      <c r="F11383" s="23" t="s">
        <v>43</v>
      </c>
      <c r="G11383" s="24">
        <v>7835.0</v>
      </c>
      <c r="H11383" s="24">
        <v>600.0</v>
      </c>
      <c r="I11383" s="24">
        <v>18.0</v>
      </c>
      <c r="J11383" s="24">
        <v>0.0</v>
      </c>
      <c r="K11383" s="23" t="s">
        <v>34</v>
      </c>
      <c r="L11383" s="25">
        <v>40913.83712962963</v>
      </c>
      <c r="M11383" s="26" t="s">
        <v>8688</v>
      </c>
      <c r="N11383" s="26" t="s">
        <v>23899</v>
      </c>
      <c r="O11383" s="22" t="str">
        <f>HYPERLINK("https://pbs.twimg.com/profile_images/482072945657782272/D7v-D_Q2_normal.jpeg","View")</f>
        <v>View</v>
      </c>
      <c r="P11383" s="27"/>
    </row>
    <row r="11384">
      <c r="A11384" s="14">
        <v>43032.78417824074</v>
      </c>
      <c r="B11384" s="20" t="str">
        <f>HYPERLINK("https://twitter.com/HotHonduran","@HotHonduran")</f>
        <v>@HotHonduran</v>
      </c>
      <c r="C11384" s="21" t="s">
        <v>23900</v>
      </c>
      <c r="D11384" s="21" t="s">
        <v>23895</v>
      </c>
      <c r="E11384" s="22" t="str">
        <f>HYPERLINK("https://twitter.com/HotHonduran/status/923003482457612291","923003482457612291")</f>
        <v>923003482457612291</v>
      </c>
      <c r="F11384" s="23" t="s">
        <v>33</v>
      </c>
      <c r="G11384" s="24">
        <v>1312.0</v>
      </c>
      <c r="H11384" s="24">
        <v>4001.0</v>
      </c>
      <c r="I11384" s="24">
        <v>5.0</v>
      </c>
      <c r="J11384" s="24">
        <v>0.0</v>
      </c>
      <c r="K11384" s="23" t="s">
        <v>34</v>
      </c>
      <c r="L11384" s="25">
        <v>40854.311053240745</v>
      </c>
      <c r="M11384" s="28"/>
      <c r="N11384" s="26" t="s">
        <v>23901</v>
      </c>
      <c r="O11384" s="22" t="str">
        <f>HYPERLINK("https://pbs.twimg.com/profile_images/378800000303690874/b240639c784f5801645ea4fbda859da0_normal.jpeg","View")</f>
        <v>View</v>
      </c>
      <c r="P11384" s="27"/>
    </row>
    <row r="11385">
      <c r="A11385" s="14">
        <v>43032.78471064815</v>
      </c>
      <c r="B11385" s="20" t="str">
        <f>HYPERLINK("https://twitter.com/exceed007","@exceed007")</f>
        <v>@exceed007</v>
      </c>
      <c r="C11385" s="21" t="s">
        <v>23902</v>
      </c>
      <c r="D11385" s="21" t="s">
        <v>23525</v>
      </c>
      <c r="E11385" s="22" t="str">
        <f>HYPERLINK("https://twitter.com/exceed007/status/923003675424862210","923003675424862210")</f>
        <v>923003675424862210</v>
      </c>
      <c r="F11385" s="23" t="s">
        <v>39</v>
      </c>
      <c r="G11385" s="24">
        <v>78.0</v>
      </c>
      <c r="H11385" s="24">
        <v>140.0</v>
      </c>
      <c r="I11385" s="24">
        <v>41.0</v>
      </c>
      <c r="J11385" s="24">
        <v>0.0</v>
      </c>
      <c r="K11385" s="23" t="s">
        <v>34</v>
      </c>
      <c r="L11385" s="25">
        <v>41897.95136574074</v>
      </c>
      <c r="M11385" s="26" t="s">
        <v>6684</v>
      </c>
      <c r="N11385" s="26" t="s">
        <v>23903</v>
      </c>
      <c r="O11385" s="22" t="str">
        <f>HYPERLINK("https://pbs.twimg.com/profile_images/511757977015959552/2ib27XFg_normal.jpeg","View")</f>
        <v>View</v>
      </c>
      <c r="P11385" s="27"/>
    </row>
    <row r="11386">
      <c r="A11386" s="14">
        <v>43032.785208333335</v>
      </c>
      <c r="B11386" s="20" t="str">
        <f>HYPERLINK("https://twitter.com/Endtime_Tribune","@Endtime_Tribune")</f>
        <v>@Endtime_Tribune</v>
      </c>
      <c r="C11386" s="21" t="s">
        <v>23904</v>
      </c>
      <c r="D11386" s="21" t="s">
        <v>82</v>
      </c>
      <c r="E11386" s="22" t="str">
        <f>HYPERLINK("https://twitter.com/Endtime_Tribune/status/923003855696039936","923003855696039936")</f>
        <v>923003855696039936</v>
      </c>
      <c r="F11386" s="23" t="s">
        <v>55</v>
      </c>
      <c r="G11386" s="24">
        <v>205.0</v>
      </c>
      <c r="H11386" s="24">
        <v>153.0</v>
      </c>
      <c r="I11386" s="24">
        <v>38.0</v>
      </c>
      <c r="J11386" s="24">
        <v>0.0</v>
      </c>
      <c r="K11386" s="23" t="s">
        <v>34</v>
      </c>
      <c r="L11386" s="25">
        <v>40420.71876157408</v>
      </c>
      <c r="M11386" s="28"/>
      <c r="N11386" s="26" t="s">
        <v>23905</v>
      </c>
      <c r="O11386" s="22" t="str">
        <f>HYPERLINK("https://pbs.twimg.com/profile_images/1114173180/A_ICON_normal.JPG","View")</f>
        <v>View</v>
      </c>
      <c r="P11386" s="27"/>
    </row>
    <row r="11387">
      <c r="A11387" s="14">
        <v>43032.785358796296</v>
      </c>
      <c r="B11387" s="20" t="str">
        <f>HYPERLINK("https://twitter.com/BeYour0wnLeader","@BeYour0wnLeader")</f>
        <v>@BeYour0wnLeader</v>
      </c>
      <c r="C11387" s="21" t="s">
        <v>23906</v>
      </c>
      <c r="D11387" s="21" t="s">
        <v>23895</v>
      </c>
      <c r="E11387" s="22" t="str">
        <f>HYPERLINK("https://twitter.com/BeYour0wnLeader/status/923003910557646849","923003910557646849")</f>
        <v>923003910557646849</v>
      </c>
      <c r="F11387" s="23" t="s">
        <v>769</v>
      </c>
      <c r="G11387" s="24">
        <v>2528.0</v>
      </c>
      <c r="H11387" s="24">
        <v>4117.0</v>
      </c>
      <c r="I11387" s="24">
        <v>5.0</v>
      </c>
      <c r="J11387" s="24">
        <v>0.0</v>
      </c>
      <c r="K11387" s="23" t="s">
        <v>34</v>
      </c>
      <c r="L11387" s="25">
        <v>41547.77028935185</v>
      </c>
      <c r="M11387" s="26" t="s">
        <v>23907</v>
      </c>
      <c r="N11387" s="26" t="s">
        <v>23908</v>
      </c>
      <c r="O11387" s="22" t="str">
        <f>HYPERLINK("https://pbs.twimg.com/profile_images/825161812098158592/6_G2Gcq__normal.jpg","View")</f>
        <v>View</v>
      </c>
      <c r="P11387" s="27"/>
    </row>
    <row r="11388">
      <c r="A11388" s="14">
        <v>43032.7866087963</v>
      </c>
      <c r="B11388" s="20" t="str">
        <f>HYPERLINK("https://twitter.com/RaunakAJoshi","@RaunakAJoshi")</f>
        <v>@RaunakAJoshi</v>
      </c>
      <c r="C11388" s="21" t="s">
        <v>23909</v>
      </c>
      <c r="D11388" s="21" t="s">
        <v>42</v>
      </c>
      <c r="E11388" s="22" t="str">
        <f>HYPERLINK("https://twitter.com/RaunakAJoshi/status/923004363831894016","923004363831894016")</f>
        <v>923004363831894016</v>
      </c>
      <c r="F11388" s="23" t="s">
        <v>33</v>
      </c>
      <c r="G11388" s="24">
        <v>499.0</v>
      </c>
      <c r="H11388" s="24">
        <v>5001.0</v>
      </c>
      <c r="I11388" s="24">
        <v>8501.0</v>
      </c>
      <c r="J11388" s="24">
        <v>0.0</v>
      </c>
      <c r="K11388" s="23" t="s">
        <v>34</v>
      </c>
      <c r="L11388" s="25">
        <v>42276.23826388889</v>
      </c>
      <c r="M11388" s="26" t="s">
        <v>2356</v>
      </c>
      <c r="N11388" s="26" t="s">
        <v>23910</v>
      </c>
      <c r="O11388" s="22" t="str">
        <f>HYPERLINK("https://pbs.twimg.com/profile_images/648843555423649792/DQX5yGUz_normal.jpg","View")</f>
        <v>View</v>
      </c>
      <c r="P11388" s="27"/>
    </row>
    <row r="11389">
      <c r="A11389" s="14">
        <v>43032.78684027778</v>
      </c>
      <c r="B11389" s="20" t="str">
        <f>HYPERLINK("https://twitter.com/vrai777","@vrai777")</f>
        <v>@vrai777</v>
      </c>
      <c r="C11389" s="21" t="s">
        <v>1770</v>
      </c>
      <c r="D11389" s="21" t="s">
        <v>23911</v>
      </c>
      <c r="E11389" s="22" t="str">
        <f>HYPERLINK("https://twitter.com/vrai777/status/923004447319506944","923004447319506944")</f>
        <v>923004447319506944</v>
      </c>
      <c r="F11389" s="23" t="s">
        <v>187</v>
      </c>
      <c r="G11389" s="24">
        <v>7944.0</v>
      </c>
      <c r="H11389" s="24">
        <v>71.0</v>
      </c>
      <c r="I11389" s="24">
        <v>0.0</v>
      </c>
      <c r="J11389" s="24">
        <v>0.0</v>
      </c>
      <c r="K11389" s="23" t="s">
        <v>34</v>
      </c>
      <c r="L11389" s="25">
        <v>39878.7593287037</v>
      </c>
      <c r="M11389" s="26" t="s">
        <v>1024</v>
      </c>
      <c r="N11389" s="26" t="s">
        <v>1772</v>
      </c>
      <c r="O11389" s="22" t="str">
        <f>HYPERLINK("https://pbs.twimg.com/profile_images/688775800284266496/qhWTo08H_normal.png","View")</f>
        <v>View</v>
      </c>
      <c r="P11389" s="27"/>
    </row>
    <row r="11390">
      <c r="A11390" s="14">
        <v>43032.787766203706</v>
      </c>
      <c r="B11390" s="20" t="str">
        <f>HYPERLINK("https://twitter.com/TFTCS","@TFTCS")</f>
        <v>@TFTCS</v>
      </c>
      <c r="C11390" s="21" t="s">
        <v>1851</v>
      </c>
      <c r="D11390" s="21" t="s">
        <v>23912</v>
      </c>
      <c r="E11390" s="22" t="str">
        <f>HYPERLINK("https://twitter.com/TFTCS/status/923004783715172357","923004783715172357")</f>
        <v>923004783715172357</v>
      </c>
      <c r="F11390" s="23" t="s">
        <v>187</v>
      </c>
      <c r="G11390" s="24">
        <v>4389.0</v>
      </c>
      <c r="H11390" s="24">
        <v>4555.0</v>
      </c>
      <c r="I11390" s="24">
        <v>0.0</v>
      </c>
      <c r="J11390" s="24">
        <v>0.0</v>
      </c>
      <c r="K11390" s="23" t="s">
        <v>34</v>
      </c>
      <c r="L11390" s="25">
        <v>41868.76810185185</v>
      </c>
      <c r="M11390" s="26" t="s">
        <v>1853</v>
      </c>
      <c r="N11390" s="26" t="s">
        <v>1854</v>
      </c>
      <c r="O11390" s="22" t="str">
        <f>HYPERLINK("https://pbs.twimg.com/profile_images/736027772800368640/DdLGgNNU_normal.jpg","View")</f>
        <v>View</v>
      </c>
      <c r="P11390" s="27"/>
    </row>
    <row r="11391">
      <c r="A11391" s="14">
        <v>43032.787893518514</v>
      </c>
      <c r="B11391" s="20" t="str">
        <f>HYPERLINK("https://twitter.com/Amitvishnoiavr","@Amitvishnoiavr")</f>
        <v>@Amitvishnoiavr</v>
      </c>
      <c r="C11391" s="21" t="s">
        <v>23913</v>
      </c>
      <c r="D11391" s="21" t="s">
        <v>42</v>
      </c>
      <c r="E11391" s="22" t="str">
        <f>HYPERLINK("https://twitter.com/Amitvishnoiavr/status/923004828548079616","923004828548079616")</f>
        <v>923004828548079616</v>
      </c>
      <c r="F11391" s="23" t="s">
        <v>33</v>
      </c>
      <c r="G11391" s="24">
        <v>186.0</v>
      </c>
      <c r="H11391" s="24">
        <v>378.0</v>
      </c>
      <c r="I11391" s="24">
        <v>8501.0</v>
      </c>
      <c r="J11391" s="24">
        <v>0.0</v>
      </c>
      <c r="K11391" s="23" t="s">
        <v>34</v>
      </c>
      <c r="L11391" s="25">
        <v>42983.03964120371</v>
      </c>
      <c r="M11391" s="26" t="s">
        <v>204</v>
      </c>
      <c r="N11391" s="26" t="s">
        <v>23914</v>
      </c>
      <c r="O11391" s="22" t="str">
        <f>HYPERLINK("https://pbs.twimg.com/profile_images/905045414750990337/6hx8O0Rc_normal.jpg","View")</f>
        <v>View</v>
      </c>
      <c r="P11391" s="27"/>
    </row>
    <row r="11392">
      <c r="A11392" s="14">
        <v>43032.78803240741</v>
      </c>
      <c r="B11392" s="20" t="str">
        <f>HYPERLINK("https://twitter.com/rajivtrip","@rajivtrip")</f>
        <v>@rajivtrip</v>
      </c>
      <c r="C11392" s="21" t="s">
        <v>23915</v>
      </c>
      <c r="D11392" s="21" t="s">
        <v>42</v>
      </c>
      <c r="E11392" s="22" t="str">
        <f>HYPERLINK("https://twitter.com/rajivtrip/status/923004880440004608","923004880440004608")</f>
        <v>923004880440004608</v>
      </c>
      <c r="F11392" s="23" t="s">
        <v>39</v>
      </c>
      <c r="G11392" s="24">
        <v>2385.0</v>
      </c>
      <c r="H11392" s="24">
        <v>2136.0</v>
      </c>
      <c r="I11392" s="24">
        <v>8501.0</v>
      </c>
      <c r="J11392" s="24">
        <v>0.0</v>
      </c>
      <c r="K11392" s="23" t="s">
        <v>34</v>
      </c>
      <c r="L11392" s="25">
        <v>40602.28554398148</v>
      </c>
      <c r="M11392" s="26" t="s">
        <v>23916</v>
      </c>
      <c r="N11392" s="26" t="s">
        <v>23917</v>
      </c>
      <c r="O11392" s="22" t="str">
        <f>HYPERLINK("https://pbs.twimg.com/profile_images/764850650622599172/Ec9me9Bg_normal.jpg","View")</f>
        <v>View</v>
      </c>
      <c r="P11392" s="27"/>
    </row>
    <row r="11393">
      <c r="A11393" s="14">
        <v>43032.788240740745</v>
      </c>
      <c r="B11393" s="20" t="str">
        <f>HYPERLINK("https://twitter.com/DebtConsol2u","@DebtConsol2u")</f>
        <v>@DebtConsol2u</v>
      </c>
      <c r="C11393" s="21" t="s">
        <v>23918</v>
      </c>
      <c r="D11393" s="21" t="s">
        <v>23919</v>
      </c>
      <c r="E11393" s="22" t="str">
        <f>HYPERLINK("https://twitter.com/DebtConsol2u/status/923004954796744704","923004954796744704")</f>
        <v>923004954796744704</v>
      </c>
      <c r="F11393" s="30" t="s">
        <v>411</v>
      </c>
      <c r="G11393" s="24">
        <v>580.0</v>
      </c>
      <c r="H11393" s="24">
        <v>210.0</v>
      </c>
      <c r="I11393" s="24">
        <v>0.0</v>
      </c>
      <c r="J11393" s="24">
        <v>0.0</v>
      </c>
      <c r="K11393" s="23" t="s">
        <v>34</v>
      </c>
      <c r="L11393" s="25">
        <v>41586.81265046296</v>
      </c>
      <c r="M11393" s="28"/>
      <c r="N11393" s="26" t="s">
        <v>23920</v>
      </c>
      <c r="O11393" s="22" t="str">
        <f>HYPERLINK("https://pbs.twimg.com/profile_images/378800000714041385/8c652670585769fe33e356c984a49ff2_normal.jpeg","View")</f>
        <v>View</v>
      </c>
      <c r="P11393" s="27"/>
    </row>
    <row r="11394">
      <c r="A11394" s="14">
        <v>43032.78875</v>
      </c>
      <c r="B11394" s="20" t="str">
        <f t="shared" ref="B11394:B11395" si="290">HYPERLINK("https://twitter.com/TopFiveTraders","@TopFiveTraders")</f>
        <v>@TopFiveTraders</v>
      </c>
      <c r="C11394" s="21" t="s">
        <v>1984</v>
      </c>
      <c r="D11394" s="21" t="s">
        <v>23921</v>
      </c>
      <c r="E11394" s="22" t="str">
        <f>HYPERLINK("https://twitter.com/TopFiveTraders/status/923005139199258624","923005139199258624")</f>
        <v>923005139199258624</v>
      </c>
      <c r="F11394" s="23" t="s">
        <v>187</v>
      </c>
      <c r="G11394" s="24">
        <v>8168.0</v>
      </c>
      <c r="H11394" s="24">
        <v>6711.0</v>
      </c>
      <c r="I11394" s="24">
        <v>0.0</v>
      </c>
      <c r="J11394" s="24">
        <v>0.0</v>
      </c>
      <c r="K11394" s="23" t="s">
        <v>34</v>
      </c>
      <c r="L11394" s="25">
        <v>41573.484201388885</v>
      </c>
      <c r="M11394" s="26" t="s">
        <v>1986</v>
      </c>
      <c r="N11394" s="26" t="s">
        <v>1987</v>
      </c>
      <c r="O11394" s="22" t="str">
        <f t="shared" ref="O11394:O11395" si="291">HYPERLINK("https://pbs.twimg.com/profile_images/729113141444026370/hi202Ffp_normal.jpg","View")</f>
        <v>View</v>
      </c>
      <c r="P11394" s="27"/>
    </row>
    <row r="11395">
      <c r="A11395" s="14">
        <v>43032.78905092593</v>
      </c>
      <c r="B11395" s="20" t="str">
        <f t="shared" si="290"/>
        <v>@TopFiveTraders</v>
      </c>
      <c r="C11395" s="21" t="s">
        <v>1984</v>
      </c>
      <c r="D11395" s="21" t="s">
        <v>23922</v>
      </c>
      <c r="E11395" s="22" t="str">
        <f>HYPERLINK("https://twitter.com/TopFiveTraders/status/923005249152884736","923005249152884736")</f>
        <v>923005249152884736</v>
      </c>
      <c r="F11395" s="23" t="s">
        <v>187</v>
      </c>
      <c r="G11395" s="24">
        <v>8168.0</v>
      </c>
      <c r="H11395" s="24">
        <v>6711.0</v>
      </c>
      <c r="I11395" s="24">
        <v>0.0</v>
      </c>
      <c r="J11395" s="24">
        <v>0.0</v>
      </c>
      <c r="K11395" s="23" t="s">
        <v>34</v>
      </c>
      <c r="L11395" s="25">
        <v>41573.484201388885</v>
      </c>
      <c r="M11395" s="26" t="s">
        <v>1986</v>
      </c>
      <c r="N11395" s="26" t="s">
        <v>1987</v>
      </c>
      <c r="O11395" s="22" t="str">
        <f t="shared" si="291"/>
        <v>View</v>
      </c>
      <c r="P11395" s="27"/>
    </row>
    <row r="11396">
      <c r="A11396" s="14">
        <v>43032.78958333333</v>
      </c>
      <c r="B11396" s="20" t="str">
        <f>HYPERLINK("https://twitter.com/DavidPapp","@DavidPapp")</f>
        <v>@DavidPapp</v>
      </c>
      <c r="C11396" s="21" t="s">
        <v>8773</v>
      </c>
      <c r="D11396" s="21" t="s">
        <v>23923</v>
      </c>
      <c r="E11396" s="22" t="str">
        <f>HYPERLINK("https://twitter.com/DavidPapp/status/923005441017200641","923005441017200641")</f>
        <v>923005441017200641</v>
      </c>
      <c r="F11396" s="23" t="s">
        <v>4619</v>
      </c>
      <c r="G11396" s="24">
        <v>166662.0</v>
      </c>
      <c r="H11396" s="24">
        <v>34468.0</v>
      </c>
      <c r="I11396" s="24">
        <v>5.0</v>
      </c>
      <c r="J11396" s="24">
        <v>4.0</v>
      </c>
      <c r="K11396" s="23" t="s">
        <v>34</v>
      </c>
      <c r="L11396" s="25">
        <v>40200.631736111114</v>
      </c>
      <c r="M11396" s="26" t="s">
        <v>8775</v>
      </c>
      <c r="N11396" s="26" t="s">
        <v>8776</v>
      </c>
      <c r="O11396" s="22" t="str">
        <f>HYPERLINK("https://pbs.twimg.com/profile_images/900849692803702784/c152hboP_normal.jpg","View")</f>
        <v>View</v>
      </c>
      <c r="P11396" s="27"/>
    </row>
    <row r="11397">
      <c r="A11397" s="14">
        <v>43032.789606481485</v>
      </c>
      <c r="B11397" s="20" t="str">
        <f>HYPERLINK("https://twitter.com/Snapzu","@Snapzu")</f>
        <v>@Snapzu</v>
      </c>
      <c r="C11397" s="21" t="s">
        <v>23924</v>
      </c>
      <c r="D11397" s="21" t="s">
        <v>23925</v>
      </c>
      <c r="E11397" s="22" t="str">
        <f>HYPERLINK("https://twitter.com/Snapzu/status/923005447862476805","923005447862476805")</f>
        <v>923005447862476805</v>
      </c>
      <c r="F11397" s="23" t="s">
        <v>23926</v>
      </c>
      <c r="G11397" s="24">
        <v>1324.0</v>
      </c>
      <c r="H11397" s="24">
        <v>416.0</v>
      </c>
      <c r="I11397" s="24">
        <v>0.0</v>
      </c>
      <c r="J11397" s="24">
        <v>0.0</v>
      </c>
      <c r="K11397" s="23" t="s">
        <v>34</v>
      </c>
      <c r="L11397" s="25">
        <v>40172.32303240741</v>
      </c>
      <c r="M11397" s="26" t="s">
        <v>23927</v>
      </c>
      <c r="N11397" s="26" t="s">
        <v>23928</v>
      </c>
      <c r="O11397" s="22" t="str">
        <f>HYPERLINK("https://pbs.twimg.com/profile_images/495315366826893312/WRBdkabE_normal.jpeg","View")</f>
        <v>View</v>
      </c>
      <c r="P11397" s="27"/>
    </row>
    <row r="11398">
      <c r="A11398" s="14">
        <v>43032.791030092594</v>
      </c>
      <c r="B11398" s="20" t="str">
        <f>HYPERLINK("https://twitter.com/CNBCTradersFan","@CNBCTradersFan")</f>
        <v>@CNBCTradersFan</v>
      </c>
      <c r="C11398" s="21" t="s">
        <v>1945</v>
      </c>
      <c r="D11398" s="21" t="s">
        <v>23929</v>
      </c>
      <c r="E11398" s="22" t="str">
        <f>HYPERLINK("https://twitter.com/CNBCTradersFan/status/923005965699444736","923005965699444736")</f>
        <v>923005965699444736</v>
      </c>
      <c r="F11398" s="23" t="s">
        <v>187</v>
      </c>
      <c r="G11398" s="24">
        <v>17128.0</v>
      </c>
      <c r="H11398" s="24">
        <v>11615.0</v>
      </c>
      <c r="I11398" s="24">
        <v>0.0</v>
      </c>
      <c r="J11398" s="24">
        <v>0.0</v>
      </c>
      <c r="K11398" s="23" t="s">
        <v>34</v>
      </c>
      <c r="L11398" s="25">
        <v>40922.50542824074</v>
      </c>
      <c r="M11398" s="26" t="s">
        <v>1947</v>
      </c>
      <c r="N11398" s="26" t="s">
        <v>1948</v>
      </c>
      <c r="O11398" s="22" t="str">
        <f>HYPERLINK("https://pbs.twimg.com/profile_images/731870469318684672/Ckf7rDdJ_normal.jpg","View")</f>
        <v>View</v>
      </c>
      <c r="P11398" s="27"/>
    </row>
    <row r="11399">
      <c r="A11399" s="14">
        <v>43032.791134259256</v>
      </c>
      <c r="B11399" s="20" t="str">
        <f>HYPERLINK("https://twitter.com/serge_poznanski","@serge_poznanski")</f>
        <v>@serge_poznanski</v>
      </c>
      <c r="C11399" s="21" t="s">
        <v>2763</v>
      </c>
      <c r="D11399" s="21" t="s">
        <v>23930</v>
      </c>
      <c r="E11399" s="22" t="str">
        <f>HYPERLINK("https://twitter.com/serge_poznanski/status/923006004635111424","923006004635111424")</f>
        <v>923006004635111424</v>
      </c>
      <c r="F11399" s="23" t="s">
        <v>187</v>
      </c>
      <c r="G11399" s="24">
        <v>1438.0</v>
      </c>
      <c r="H11399" s="24">
        <v>2138.0</v>
      </c>
      <c r="I11399" s="24">
        <v>0.0</v>
      </c>
      <c r="J11399" s="24">
        <v>0.0</v>
      </c>
      <c r="K11399" s="23" t="s">
        <v>34</v>
      </c>
      <c r="L11399" s="25">
        <v>42271.47445601852</v>
      </c>
      <c r="M11399" s="28"/>
      <c r="N11399" s="28"/>
      <c r="O11399" s="22" t="str">
        <f>HYPERLINK("https://pbs.twimg.com/profile_images/647277253240291328/3GezjFCJ_normal.jpg","View")</f>
        <v>View</v>
      </c>
      <c r="P11399" s="27"/>
    </row>
    <row r="11400">
      <c r="A11400" s="14">
        <v>43032.791342592594</v>
      </c>
      <c r="B11400" s="20" t="str">
        <f>HYPERLINK("https://twitter.com/SherryFLRealtor","@SherryFLRealtor")</f>
        <v>@SherryFLRealtor</v>
      </c>
      <c r="C11400" s="21" t="s">
        <v>18830</v>
      </c>
      <c r="D11400" s="21" t="s">
        <v>23895</v>
      </c>
      <c r="E11400" s="22" t="str">
        <f>HYPERLINK("https://twitter.com/SherryFLRealtor/status/923006080275267584","923006080275267584")</f>
        <v>923006080275267584</v>
      </c>
      <c r="F11400" s="23" t="s">
        <v>39</v>
      </c>
      <c r="G11400" s="24">
        <v>2247.0</v>
      </c>
      <c r="H11400" s="24">
        <v>3582.0</v>
      </c>
      <c r="I11400" s="24">
        <v>5.0</v>
      </c>
      <c r="J11400" s="24">
        <v>0.0</v>
      </c>
      <c r="K11400" s="23" t="s">
        <v>34</v>
      </c>
      <c r="L11400" s="25">
        <v>40542.55136574074</v>
      </c>
      <c r="M11400" s="26" t="s">
        <v>18831</v>
      </c>
      <c r="N11400" s="26" t="s">
        <v>18832</v>
      </c>
      <c r="O11400" s="22" t="str">
        <f>HYPERLINK("https://pbs.twimg.com/profile_images/669668454505426944/UdLi3uJg_normal.jpg","View")</f>
        <v>View</v>
      </c>
      <c r="P11400" s="27"/>
    </row>
    <row r="11401">
      <c r="A11401" s="14">
        <v>43032.79174768519</v>
      </c>
      <c r="B11401" s="20" t="str">
        <f>HYPERLINK("https://twitter.com/Zarren364","@Zarren364")</f>
        <v>@Zarren364</v>
      </c>
      <c r="C11401" s="21" t="s">
        <v>23931</v>
      </c>
      <c r="D11401" s="21" t="s">
        <v>18113</v>
      </c>
      <c r="E11401" s="22" t="str">
        <f>HYPERLINK("https://twitter.com/Zarren364/status/923006227692605442","923006227692605442")</f>
        <v>923006227692605442</v>
      </c>
      <c r="F11401" s="23" t="s">
        <v>33</v>
      </c>
      <c r="G11401" s="24">
        <v>264.0</v>
      </c>
      <c r="H11401" s="24">
        <v>442.0</v>
      </c>
      <c r="I11401" s="24">
        <v>18.0</v>
      </c>
      <c r="J11401" s="24">
        <v>0.0</v>
      </c>
      <c r="K11401" s="23" t="s">
        <v>34</v>
      </c>
      <c r="L11401" s="25">
        <v>41927.016064814816</v>
      </c>
      <c r="M11401" s="28"/>
      <c r="N11401" s="26" t="s">
        <v>23932</v>
      </c>
      <c r="O11401" s="22" t="str">
        <f>HYPERLINK("https://pbs.twimg.com/profile_images/686870601256943616/0ZMXeA0X_normal.png","View")</f>
        <v>View</v>
      </c>
      <c r="P11401" s="27"/>
    </row>
    <row r="11402">
      <c r="A11402" s="14">
        <v>43032.79179398148</v>
      </c>
      <c r="B11402" s="20" t="str">
        <f>HYPERLINK("https://twitter.com/bpolitics","@bpolitics")</f>
        <v>@bpolitics</v>
      </c>
      <c r="C11402" s="21" t="s">
        <v>3445</v>
      </c>
      <c r="D11402" s="21" t="s">
        <v>23933</v>
      </c>
      <c r="E11402" s="22" t="str">
        <f>HYPERLINK("https://twitter.com/bpolitics/status/923006244109008896","923006244109008896")</f>
        <v>923006244109008896</v>
      </c>
      <c r="F11402" s="23" t="s">
        <v>1103</v>
      </c>
      <c r="G11402" s="24">
        <v>221050.0</v>
      </c>
      <c r="H11402" s="24">
        <v>865.0</v>
      </c>
      <c r="I11402" s="24">
        <v>1.0</v>
      </c>
      <c r="J11402" s="24">
        <v>3.0</v>
      </c>
      <c r="K11402" s="23" t="s">
        <v>34</v>
      </c>
      <c r="L11402" s="25">
        <v>41025.57640046296</v>
      </c>
      <c r="M11402" s="28"/>
      <c r="N11402" s="26" t="s">
        <v>3447</v>
      </c>
      <c r="O11402" s="22" t="str">
        <f>HYPERLINK("https://pbs.twimg.com/profile_images/714804098890133504/cUO4gD1A_normal.jpg","View")</f>
        <v>View</v>
      </c>
      <c r="P11402" s="27"/>
    </row>
    <row r="11403">
      <c r="A11403" s="14">
        <v>43032.7920949074</v>
      </c>
      <c r="B11403" s="20" t="str">
        <f>HYPERLINK("https://twitter.com/dogstar7tweets","@dogstar7tweets")</f>
        <v>@dogstar7tweets</v>
      </c>
      <c r="C11403" s="21" t="s">
        <v>23934</v>
      </c>
      <c r="D11403" s="21" t="s">
        <v>23935</v>
      </c>
      <c r="E11403" s="22" t="str">
        <f>HYPERLINK("https://twitter.com/dogstar7tweets/status/923006351051247622","923006351051247622")</f>
        <v>923006351051247622</v>
      </c>
      <c r="F11403" s="23" t="s">
        <v>33</v>
      </c>
      <c r="G11403" s="24">
        <v>2420.0</v>
      </c>
      <c r="H11403" s="24">
        <v>3012.0</v>
      </c>
      <c r="I11403" s="24">
        <v>5.0</v>
      </c>
      <c r="J11403" s="24">
        <v>0.0</v>
      </c>
      <c r="K11403" s="23" t="s">
        <v>34</v>
      </c>
      <c r="L11403" s="25">
        <v>39159.80336805555</v>
      </c>
      <c r="M11403" s="26" t="s">
        <v>5557</v>
      </c>
      <c r="N11403" s="26" t="s">
        <v>23936</v>
      </c>
      <c r="O11403" s="22" t="str">
        <f>HYPERLINK("https://pbs.twimg.com/profile_images/918997630524432384/D0l896NK_normal.jpg","View")</f>
        <v>View</v>
      </c>
      <c r="P11403" s="27"/>
    </row>
    <row r="11404">
      <c r="A11404" s="14">
        <v>43032.79263888889</v>
      </c>
      <c r="B11404" s="20" t="str">
        <f>HYPERLINK("https://twitter.com/Ultima_Helz","@Ultima_Helz")</f>
        <v>@Ultima_Helz</v>
      </c>
      <c r="C11404" s="21" t="s">
        <v>23937</v>
      </c>
      <c r="D11404" s="21" t="s">
        <v>18113</v>
      </c>
      <c r="E11404" s="22" t="str">
        <f>HYPERLINK("https://twitter.com/Ultima_Helz/status/923006550427316224","923006550427316224")</f>
        <v>923006550427316224</v>
      </c>
      <c r="F11404" s="23" t="s">
        <v>55</v>
      </c>
      <c r="G11404" s="24">
        <v>12.0</v>
      </c>
      <c r="H11404" s="24">
        <v>52.0</v>
      </c>
      <c r="I11404" s="24">
        <v>18.0</v>
      </c>
      <c r="J11404" s="24">
        <v>0.0</v>
      </c>
      <c r="K11404" s="23" t="s">
        <v>34</v>
      </c>
      <c r="L11404" s="25">
        <v>40981.06300925926</v>
      </c>
      <c r="M11404" s="28"/>
      <c r="N11404" s="28"/>
      <c r="O11404" s="22" t="str">
        <f>HYPERLINK("https://pbs.twimg.com/profile_images/913471941796696064/dg2YLjNG_normal.jpg","View")</f>
        <v>View</v>
      </c>
      <c r="P11404" s="27"/>
    </row>
    <row r="11405">
      <c r="A11405" s="14">
        <v>43032.79283564815</v>
      </c>
      <c r="B11405" s="20" t="str">
        <f>HYPERLINK("https://twitter.com/NTKRNow","@NTKRNow")</f>
        <v>@NTKRNow</v>
      </c>
      <c r="C11405" s="21" t="s">
        <v>14875</v>
      </c>
      <c r="D11405" s="21" t="s">
        <v>23938</v>
      </c>
      <c r="E11405" s="22" t="str">
        <f>HYPERLINK("https://twitter.com/NTKRNow/status/923006621038419968","923006621038419968")</f>
        <v>923006621038419968</v>
      </c>
      <c r="F11405" s="23" t="s">
        <v>187</v>
      </c>
      <c r="G11405" s="24">
        <v>605.0</v>
      </c>
      <c r="H11405" s="24">
        <v>4.0</v>
      </c>
      <c r="I11405" s="24">
        <v>0.0</v>
      </c>
      <c r="J11405" s="24">
        <v>0.0</v>
      </c>
      <c r="K11405" s="23" t="s">
        <v>34</v>
      </c>
      <c r="L11405" s="25">
        <v>42402.810625</v>
      </c>
      <c r="M11405" s="28"/>
      <c r="N11405" s="28"/>
      <c r="O11405" s="22" t="str">
        <f>HYPERLINK("https://abs.twimg.com/sticky/default_profile_images/default_profile_normal.png","View")</f>
        <v>View</v>
      </c>
      <c r="P11405" s="27"/>
    </row>
    <row r="11406">
      <c r="A11406" s="14">
        <v>43032.79378472222</v>
      </c>
      <c r="B11406" s="20" t="str">
        <f>HYPERLINK("https://twitter.com/lalauraru777","@lalauraru777")</f>
        <v>@lalauraru777</v>
      </c>
      <c r="C11406" s="21" t="s">
        <v>12212</v>
      </c>
      <c r="D11406" s="21" t="s">
        <v>23439</v>
      </c>
      <c r="E11406" s="22" t="str">
        <f>HYPERLINK("https://twitter.com/lalauraru777/status/923006965298683905","923006965298683905")</f>
        <v>923006965298683905</v>
      </c>
      <c r="F11406" s="23" t="s">
        <v>55</v>
      </c>
      <c r="G11406" s="24">
        <v>4324.0</v>
      </c>
      <c r="H11406" s="24">
        <v>4990.0</v>
      </c>
      <c r="I11406" s="24">
        <v>11.0</v>
      </c>
      <c r="J11406" s="24">
        <v>0.0</v>
      </c>
      <c r="K11406" s="23" t="s">
        <v>34</v>
      </c>
      <c r="L11406" s="25">
        <v>41619.802777777775</v>
      </c>
      <c r="M11406" s="28"/>
      <c r="N11406" s="26" t="s">
        <v>12213</v>
      </c>
      <c r="O11406" s="22" t="str">
        <f>HYPERLINK("https://pbs.twimg.com/profile_images/755876074467258368/KAOHKqKc_normal.jpg","View")</f>
        <v>View</v>
      </c>
      <c r="P11406" s="27"/>
    </row>
    <row r="11407">
      <c r="A11407" s="14">
        <v>43032.7937962963</v>
      </c>
      <c r="B11407" s="20" t="str">
        <f>HYPERLINK("https://twitter.com/EY_Transactions","@EY_Transactions")</f>
        <v>@EY_Transactions</v>
      </c>
      <c r="C11407" s="21" t="s">
        <v>23939</v>
      </c>
      <c r="D11407" s="21" t="s">
        <v>23940</v>
      </c>
      <c r="E11407" s="22" t="str">
        <f>HYPERLINK("https://twitter.com/EY_Transactions/status/923006969341886464","923006969341886464")</f>
        <v>923006969341886464</v>
      </c>
      <c r="F11407" s="30" t="s">
        <v>411</v>
      </c>
      <c r="G11407" s="24">
        <v>12.0</v>
      </c>
      <c r="H11407" s="24">
        <v>21.0</v>
      </c>
      <c r="I11407" s="24">
        <v>0.0</v>
      </c>
      <c r="J11407" s="24">
        <v>0.0</v>
      </c>
      <c r="K11407" s="23" t="s">
        <v>34</v>
      </c>
      <c r="L11407" s="25">
        <v>42782.376655092594</v>
      </c>
      <c r="M11407" s="26" t="s">
        <v>23941</v>
      </c>
      <c r="N11407" s="28"/>
      <c r="O11407" s="22" t="str">
        <f>HYPERLINK("https://pbs.twimg.com/profile_images/832276296193474560/lgpZgQ69_normal.jpg","View")</f>
        <v>View</v>
      </c>
      <c r="P11407" s="27"/>
    </row>
    <row r="11408">
      <c r="A11408" s="14">
        <v>43032.79440972222</v>
      </c>
      <c r="B11408" s="20" t="str">
        <f>HYPERLINK("https://twitter.com/cuencanaENtokio","@cuencanaENtokio")</f>
        <v>@cuencanaENtokio</v>
      </c>
      <c r="C11408" s="21" t="s">
        <v>23942</v>
      </c>
      <c r="D11408" s="21" t="s">
        <v>23943</v>
      </c>
      <c r="E11408" s="22" t="str">
        <f>HYPERLINK("https://twitter.com/cuencanaENtokio/status/923007191442907138","923007191442907138")</f>
        <v>923007191442907138</v>
      </c>
      <c r="F11408" s="23" t="s">
        <v>39</v>
      </c>
      <c r="G11408" s="24">
        <v>260.0</v>
      </c>
      <c r="H11408" s="24">
        <v>598.0</v>
      </c>
      <c r="I11408" s="24">
        <v>1.0</v>
      </c>
      <c r="J11408" s="24">
        <v>0.0</v>
      </c>
      <c r="K11408" s="23" t="s">
        <v>34</v>
      </c>
      <c r="L11408" s="25">
        <v>39870.86195601852</v>
      </c>
      <c r="M11408" s="26" t="s">
        <v>23944</v>
      </c>
      <c r="N11408" s="26" t="s">
        <v>23945</v>
      </c>
      <c r="O11408" s="22" t="str">
        <f>HYPERLINK("https://pbs.twimg.com/profile_images/592746560192159744/H-xIVkz3_normal.jpg","View")</f>
        <v>View</v>
      </c>
      <c r="P11408" s="27"/>
    </row>
    <row r="11409">
      <c r="A11409" s="14">
        <v>43032.79461805556</v>
      </c>
      <c r="B11409" s="20" t="str">
        <f>HYPERLINK("https://twitter.com/EEERepoter","@EEERepoter")</f>
        <v>@EEERepoter</v>
      </c>
      <c r="C11409" s="21" t="s">
        <v>23946</v>
      </c>
      <c r="D11409" s="21" t="s">
        <v>23947</v>
      </c>
      <c r="E11409" s="22" t="str">
        <f>HYPERLINK("https://twitter.com/EEERepoter/status/923007266457915394","923007266457915394")</f>
        <v>923007266457915394</v>
      </c>
      <c r="F11409" s="23" t="s">
        <v>55</v>
      </c>
      <c r="G11409" s="24">
        <v>611.0</v>
      </c>
      <c r="H11409" s="24">
        <v>1015.0</v>
      </c>
      <c r="I11409" s="24">
        <v>0.0</v>
      </c>
      <c r="J11409" s="24">
        <v>0.0</v>
      </c>
      <c r="K11409" s="23" t="s">
        <v>34</v>
      </c>
      <c r="L11409" s="25">
        <v>40568.87342592592</v>
      </c>
      <c r="M11409" s="28"/>
      <c r="N11409" s="28"/>
      <c r="O11409" s="22" t="str">
        <f>HYPERLINK("https://pbs.twimg.com/profile_images/1236130219/01EEE339_normal.jpg","View")</f>
        <v>View</v>
      </c>
      <c r="P11409" s="27"/>
    </row>
    <row r="11410">
      <c r="A11410" s="14">
        <v>43032.79619212963</v>
      </c>
      <c r="B11410" s="20" t="str">
        <f>HYPERLINK("https://twitter.com/andrewzuniga65","@andrewzuniga65")</f>
        <v>@andrewzuniga65</v>
      </c>
      <c r="C11410" s="21" t="s">
        <v>23948</v>
      </c>
      <c r="D11410" s="21" t="s">
        <v>23935</v>
      </c>
      <c r="E11410" s="22" t="str">
        <f>HYPERLINK("https://twitter.com/andrewzuniga65/status/923007836019343365","923007836019343365")</f>
        <v>923007836019343365</v>
      </c>
      <c r="F11410" s="23" t="s">
        <v>33</v>
      </c>
      <c r="G11410" s="24">
        <v>34.0</v>
      </c>
      <c r="H11410" s="24">
        <v>1497.0</v>
      </c>
      <c r="I11410" s="24">
        <v>5.0</v>
      </c>
      <c r="J11410" s="24">
        <v>0.0</v>
      </c>
      <c r="K11410" s="23" t="s">
        <v>34</v>
      </c>
      <c r="L11410" s="25">
        <v>41743.274050925924</v>
      </c>
      <c r="M11410" s="26" t="s">
        <v>23949</v>
      </c>
      <c r="N11410" s="26" t="s">
        <v>23950</v>
      </c>
      <c r="O11410" s="22" t="str">
        <f>HYPERLINK("https://pbs.twimg.com/profile_images/749764622308237312/NOZrfd0S_normal.jpg","View")</f>
        <v>View</v>
      </c>
      <c r="P11410" s="27"/>
    </row>
    <row r="11411">
      <c r="A11411" s="14">
        <v>43032.79625</v>
      </c>
      <c r="B11411" s="20" t="str">
        <f>HYPERLINK("https://twitter.com/ArmorCavSpin","@ArmorCavSpin")</f>
        <v>@ArmorCavSpin</v>
      </c>
      <c r="C11411" s="21" t="s">
        <v>17799</v>
      </c>
      <c r="D11411" s="21" t="s">
        <v>23951</v>
      </c>
      <c r="E11411" s="22" t="str">
        <f>HYPERLINK("https://twitter.com/ArmorCavSpin/status/923007856021868545","923007856021868545")</f>
        <v>923007856021868545</v>
      </c>
      <c r="F11411" s="23" t="s">
        <v>55</v>
      </c>
      <c r="G11411" s="24">
        <v>13838.0</v>
      </c>
      <c r="H11411" s="24">
        <v>12346.0</v>
      </c>
      <c r="I11411" s="24">
        <v>1.0</v>
      </c>
      <c r="J11411" s="24">
        <v>0.0</v>
      </c>
      <c r="K11411" s="23" t="s">
        <v>34</v>
      </c>
      <c r="L11411" s="25">
        <v>39948.59069444444</v>
      </c>
      <c r="M11411" s="26" t="s">
        <v>17801</v>
      </c>
      <c r="N11411" s="26" t="s">
        <v>17802</v>
      </c>
      <c r="O11411" s="22" t="str">
        <f>HYPERLINK("https://pbs.twimg.com/profile_images/2761357740/ea6911700058c078018367dea110654c_normal.jpeg","View")</f>
        <v>View</v>
      </c>
      <c r="P11411" s="27"/>
    </row>
    <row r="11412">
      <c r="A11412" s="14">
        <v>43032.79775462963</v>
      </c>
      <c r="B11412" s="20" t="str">
        <f>HYPERLINK("https://twitter.com/Mariatweets3","@Mariatweets3")</f>
        <v>@Mariatweets3</v>
      </c>
      <c r="C11412" s="21" t="s">
        <v>23952</v>
      </c>
      <c r="D11412" s="21" t="s">
        <v>21417</v>
      </c>
      <c r="E11412" s="22" t="str">
        <f>HYPERLINK("https://twitter.com/Mariatweets3/status/923008400727924736","923008400727924736")</f>
        <v>923008400727924736</v>
      </c>
      <c r="F11412" s="23" t="s">
        <v>33</v>
      </c>
      <c r="G11412" s="24">
        <v>4945.0</v>
      </c>
      <c r="H11412" s="24">
        <v>5410.0</v>
      </c>
      <c r="I11412" s="24">
        <v>16.0</v>
      </c>
      <c r="J11412" s="24">
        <v>0.0</v>
      </c>
      <c r="K11412" s="23" t="s">
        <v>34</v>
      </c>
      <c r="L11412" s="25">
        <v>42095.83337962963</v>
      </c>
      <c r="M11412" s="28"/>
      <c r="N11412" s="26" t="s">
        <v>23953</v>
      </c>
      <c r="O11412" s="22" t="str">
        <f>HYPERLINK("https://pbs.twimg.com/profile_images/863185159016685568/qhQV3lru_normal.jpg","View")</f>
        <v>View</v>
      </c>
      <c r="P11412" s="27"/>
    </row>
    <row r="11413">
      <c r="A11413" s="14">
        <v>43032.797847222224</v>
      </c>
      <c r="B11413" s="20" t="str">
        <f>HYPERLINK("https://twitter.com/sangameshtotapp","@sangameshtotapp")</f>
        <v>@sangameshtotapp</v>
      </c>
      <c r="C11413" s="21" t="s">
        <v>23954</v>
      </c>
      <c r="D11413" s="21" t="s">
        <v>163</v>
      </c>
      <c r="E11413" s="22" t="str">
        <f>HYPERLINK("https://twitter.com/sangameshtotapp/status/923008434382954496","923008434382954496")</f>
        <v>923008434382954496</v>
      </c>
      <c r="F11413" s="23" t="s">
        <v>33</v>
      </c>
      <c r="G11413" s="24">
        <v>250.0</v>
      </c>
      <c r="H11413" s="24">
        <v>694.0</v>
      </c>
      <c r="I11413" s="24">
        <v>1005.0</v>
      </c>
      <c r="J11413" s="24">
        <v>0.0</v>
      </c>
      <c r="K11413" s="23" t="s">
        <v>34</v>
      </c>
      <c r="L11413" s="25">
        <v>42244.13160879629</v>
      </c>
      <c r="M11413" s="26" t="s">
        <v>14055</v>
      </c>
      <c r="N11413" s="26" t="s">
        <v>23955</v>
      </c>
      <c r="O11413" s="22" t="str">
        <f>HYPERLINK("https://pbs.twimg.com/profile_images/904009118934982656/jVmgaJh3_normal.jpg","View")</f>
        <v>View</v>
      </c>
      <c r="P11413" s="27"/>
    </row>
    <row r="11414">
      <c r="A11414" s="14">
        <v>43032.798668981486</v>
      </c>
      <c r="B11414" s="20" t="str">
        <f>HYPERLINK("https://twitter.com/usworldpress","@usworldpress")</f>
        <v>@usworldpress</v>
      </c>
      <c r="C11414" s="21" t="s">
        <v>16997</v>
      </c>
      <c r="D11414" s="21" t="s">
        <v>6222</v>
      </c>
      <c r="E11414" s="22" t="str">
        <f>HYPERLINK("https://twitter.com/usworldpress/status/923008731918434305","923008731918434305")</f>
        <v>923008731918434305</v>
      </c>
      <c r="F11414" s="23" t="s">
        <v>16999</v>
      </c>
      <c r="G11414" s="24">
        <v>69.0</v>
      </c>
      <c r="H11414" s="24">
        <v>9.0</v>
      </c>
      <c r="I11414" s="24">
        <v>0.0</v>
      </c>
      <c r="J11414" s="24">
        <v>0.0</v>
      </c>
      <c r="K11414" s="23" t="s">
        <v>34</v>
      </c>
      <c r="L11414" s="25">
        <v>42422.888807870375</v>
      </c>
      <c r="M11414" s="28"/>
      <c r="N11414" s="28"/>
      <c r="O11414" s="22" t="str">
        <f>HYPERLINK("https://pbs.twimg.com/profile_images/702001695329492992/2rOtokYL_normal.jpg","View")</f>
        <v>View</v>
      </c>
      <c r="P11414" s="27"/>
    </row>
    <row r="11415">
      <c r="A11415" s="14">
        <v>43032.800729166665</v>
      </c>
      <c r="B11415" s="20" t="str">
        <f>HYPERLINK("https://twitter.com/PrabaKa99128821","@PrabaKa99128821")</f>
        <v>@PrabaKa99128821</v>
      </c>
      <c r="C11415" s="21" t="s">
        <v>23956</v>
      </c>
      <c r="D11415" s="21" t="s">
        <v>42</v>
      </c>
      <c r="E11415" s="22" t="str">
        <f>HYPERLINK("https://twitter.com/PrabaKa99128821/status/923009480102572033","923009480102572033")</f>
        <v>923009480102572033</v>
      </c>
      <c r="F11415" s="23" t="s">
        <v>33</v>
      </c>
      <c r="G11415" s="24">
        <v>0.0</v>
      </c>
      <c r="H11415" s="24">
        <v>27.0</v>
      </c>
      <c r="I11415" s="24">
        <v>8501.0</v>
      </c>
      <c r="J11415" s="24">
        <v>0.0</v>
      </c>
      <c r="K11415" s="23" t="s">
        <v>34</v>
      </c>
      <c r="L11415" s="25">
        <v>43017.752546296295</v>
      </c>
      <c r="M11415" s="28"/>
      <c r="N11415" s="28"/>
      <c r="O11415" s="22" t="str">
        <f>HYPERLINK("https://abs.twimg.com/sticky/default_profile_images/default_profile_normal.png","View")</f>
        <v>View</v>
      </c>
      <c r="P11415" s="27"/>
    </row>
    <row r="11416">
      <c r="A11416" s="14">
        <v>43032.801030092596</v>
      </c>
      <c r="B11416" s="20" t="str">
        <f>HYPERLINK("https://twitter.com/satyajit1986","@satyajit1986")</f>
        <v>@satyajit1986</v>
      </c>
      <c r="C11416" s="21" t="s">
        <v>23957</v>
      </c>
      <c r="D11416" s="21" t="s">
        <v>23958</v>
      </c>
      <c r="E11416" s="22" t="str">
        <f>HYPERLINK("https://twitter.com/satyajit1986/status/923009588324048897","923009588324048897")</f>
        <v>923009588324048897</v>
      </c>
      <c r="F11416" s="23" t="s">
        <v>3813</v>
      </c>
      <c r="G11416" s="24">
        <v>1.0</v>
      </c>
      <c r="H11416" s="24">
        <v>3.0</v>
      </c>
      <c r="I11416" s="24">
        <v>2.0</v>
      </c>
      <c r="J11416" s="24">
        <v>0.0</v>
      </c>
      <c r="K11416" s="23" t="s">
        <v>34</v>
      </c>
      <c r="L11416" s="25">
        <v>40161.85952546296</v>
      </c>
      <c r="M11416" s="26" t="s">
        <v>23959</v>
      </c>
      <c r="N11416" s="28"/>
      <c r="O11416" s="22" t="str">
        <f>HYPERLINK("https://pbs.twimg.com/profile_images/919842966272802816/vvPcHUZz_normal.jpg","View")</f>
        <v>View</v>
      </c>
      <c r="P11416" s="27"/>
    </row>
    <row r="11417">
      <c r="A11417" s="14">
        <v>43032.80148148148</v>
      </c>
      <c r="B11417" s="20" t="str">
        <f>HYPERLINK("https://twitter.com/gloriaminott","@gloriaminott")</f>
        <v>@gloriaminott</v>
      </c>
      <c r="C11417" s="21" t="s">
        <v>18496</v>
      </c>
      <c r="D11417" s="21" t="s">
        <v>23858</v>
      </c>
      <c r="E11417" s="22" t="str">
        <f>HYPERLINK("https://twitter.com/gloriaminott/status/923009752048721920","923009752048721920")</f>
        <v>923009752048721920</v>
      </c>
      <c r="F11417" s="23" t="s">
        <v>39</v>
      </c>
      <c r="G11417" s="24">
        <v>672.0</v>
      </c>
      <c r="H11417" s="24">
        <v>240.0</v>
      </c>
      <c r="I11417" s="24">
        <v>18.0</v>
      </c>
      <c r="J11417" s="24">
        <v>0.0</v>
      </c>
      <c r="K11417" s="23" t="s">
        <v>34</v>
      </c>
      <c r="L11417" s="25">
        <v>41748.211018518516</v>
      </c>
      <c r="M11417" s="26" t="s">
        <v>4239</v>
      </c>
      <c r="N11417" s="26" t="s">
        <v>18497</v>
      </c>
      <c r="O11417" s="22" t="str">
        <f>HYPERLINK("https://pbs.twimg.com/profile_images/457497550438678528/M3VM3sE6_normal.png","View")</f>
        <v>View</v>
      </c>
      <c r="P11417" s="27"/>
    </row>
    <row r="11418">
      <c r="A11418" s="14">
        <v>43032.80226851851</v>
      </c>
      <c r="B11418" s="20" t="str">
        <f>HYPERLINK("https://twitter.com/Liam254","@Liam254")</f>
        <v>@Liam254</v>
      </c>
      <c r="C11418" s="21" t="s">
        <v>23960</v>
      </c>
      <c r="D11418" s="21" t="s">
        <v>32</v>
      </c>
      <c r="E11418" s="22" t="str">
        <f>HYPERLINK("https://twitter.com/Liam254/status/923010039501041664","923010039501041664")</f>
        <v>923010039501041664</v>
      </c>
      <c r="F11418" s="23" t="s">
        <v>33</v>
      </c>
      <c r="G11418" s="24">
        <v>4290.0</v>
      </c>
      <c r="H11418" s="24">
        <v>638.0</v>
      </c>
      <c r="I11418" s="24">
        <v>471.0</v>
      </c>
      <c r="J11418" s="24">
        <v>0.0</v>
      </c>
      <c r="K11418" s="23" t="s">
        <v>34</v>
      </c>
      <c r="L11418" s="25">
        <v>41757.36796296296</v>
      </c>
      <c r="M11418" s="26" t="s">
        <v>114</v>
      </c>
      <c r="N11418" s="26" t="s">
        <v>23961</v>
      </c>
      <c r="O11418" s="22" t="str">
        <f>HYPERLINK("https://pbs.twimg.com/profile_images/916222315658084352/apRQdrsE_normal.jpg","View")</f>
        <v>View</v>
      </c>
      <c r="P11418" s="27"/>
    </row>
    <row r="11419">
      <c r="A11419" s="14">
        <v>43032.80237268518</v>
      </c>
      <c r="B11419" s="20" t="str">
        <f>HYPERLINK("https://twitter.com/LolShuAngelsOFC","@LolShuAngelsOFC")</f>
        <v>@LolShuAngelsOFC</v>
      </c>
      <c r="C11419" s="21" t="s">
        <v>23962</v>
      </c>
      <c r="D11419" s="21" t="s">
        <v>23935</v>
      </c>
      <c r="E11419" s="22" t="str">
        <f>HYPERLINK("https://twitter.com/LolShuAngelsOFC/status/923010077472071682","923010077472071682")</f>
        <v>923010077472071682</v>
      </c>
      <c r="F11419" s="23" t="s">
        <v>33</v>
      </c>
      <c r="G11419" s="24">
        <v>50.0</v>
      </c>
      <c r="H11419" s="24">
        <v>2183.0</v>
      </c>
      <c r="I11419" s="24">
        <v>5.0</v>
      </c>
      <c r="J11419" s="24">
        <v>0.0</v>
      </c>
      <c r="K11419" s="23" t="s">
        <v>34</v>
      </c>
      <c r="L11419" s="25">
        <v>41086.30923611111</v>
      </c>
      <c r="M11419" s="26" t="s">
        <v>23963</v>
      </c>
      <c r="N11419" s="26" t="s">
        <v>23964</v>
      </c>
      <c r="O11419" s="22" t="str">
        <f>HYPERLINK("https://pbs.twimg.com/profile_images/751516828585828352/ocjtvdDK_normal.jpg","View")</f>
        <v>View</v>
      </c>
      <c r="P11419" s="27"/>
    </row>
    <row r="11420">
      <c r="A11420" s="14">
        <v>43032.80347222222</v>
      </c>
      <c r="B11420" s="20" t="str">
        <f>HYPERLINK("https://twitter.com/9DashLine","@9DashLine")</f>
        <v>@9DashLine</v>
      </c>
      <c r="C11420" s="21" t="s">
        <v>23965</v>
      </c>
      <c r="D11420" s="21" t="s">
        <v>23966</v>
      </c>
      <c r="E11420" s="22" t="str">
        <f>HYPERLINK("https://twitter.com/9DashLine/status/923010474374864897","923010474374864897")</f>
        <v>923010474374864897</v>
      </c>
      <c r="F11420" s="23" t="s">
        <v>4619</v>
      </c>
      <c r="G11420" s="24">
        <v>8696.0</v>
      </c>
      <c r="H11420" s="24">
        <v>2110.0</v>
      </c>
      <c r="I11420" s="24">
        <v>4.0</v>
      </c>
      <c r="J11420" s="24">
        <v>2.0</v>
      </c>
      <c r="K11420" s="23" t="s">
        <v>34</v>
      </c>
      <c r="L11420" s="25">
        <v>41939.593125</v>
      </c>
      <c r="M11420" s="28"/>
      <c r="N11420" s="26" t="s">
        <v>23967</v>
      </c>
      <c r="O11420" s="22" t="str">
        <f>HYPERLINK("https://pbs.twimg.com/profile_images/545724611950678018/rwdvgMdk_normal.jpeg","View")</f>
        <v>View</v>
      </c>
      <c r="P11420" s="27"/>
    </row>
    <row r="11421">
      <c r="A11421" s="14">
        <v>43032.8044212963</v>
      </c>
      <c r="B11421" s="20" t="str">
        <f>HYPERLINK("https://twitter.com/anthraxxxx","@anthraxxxx")</f>
        <v>@anthraxxxx</v>
      </c>
      <c r="C11421" s="21" t="s">
        <v>23968</v>
      </c>
      <c r="D11421" s="21" t="s">
        <v>23969</v>
      </c>
      <c r="E11421" s="22" t="str">
        <f>HYPERLINK("https://twitter.com/anthraxxxx/status/923010817976557568","923010817976557568")</f>
        <v>923010817976557568</v>
      </c>
      <c r="F11421" s="23" t="s">
        <v>55</v>
      </c>
      <c r="G11421" s="24">
        <v>5949.0</v>
      </c>
      <c r="H11421" s="24">
        <v>2123.0</v>
      </c>
      <c r="I11421" s="24">
        <v>4.0</v>
      </c>
      <c r="J11421" s="24">
        <v>0.0</v>
      </c>
      <c r="K11421" s="23" t="s">
        <v>34</v>
      </c>
      <c r="L11421" s="25">
        <v>39913.15819444445</v>
      </c>
      <c r="M11421" s="26" t="s">
        <v>23970</v>
      </c>
      <c r="N11421" s="26" t="s">
        <v>23971</v>
      </c>
      <c r="O11421" s="22" t="str">
        <f>HYPERLINK("https://pbs.twimg.com/profile_images/756474844544311296/h4lVJf2H_normal.jpg","View")</f>
        <v>View</v>
      </c>
      <c r="P11421" s="27"/>
    </row>
    <row r="11422">
      <c r="A11422" s="14">
        <v>43032.80547453703</v>
      </c>
      <c r="B11422" s="20" t="str">
        <f>HYPERLINK("https://twitter.com/LauraLeeLashes9","@LauraLeeLashes9")</f>
        <v>@LauraLeeLashes9</v>
      </c>
      <c r="C11422" s="21" t="s">
        <v>23972</v>
      </c>
      <c r="D11422" s="21" t="s">
        <v>23935</v>
      </c>
      <c r="E11422" s="22" t="str">
        <f>HYPERLINK("https://twitter.com/LauraLeeLashes9/status/923011201625239553","923011201625239553")</f>
        <v>923011201625239553</v>
      </c>
      <c r="F11422" s="23" t="s">
        <v>33</v>
      </c>
      <c r="G11422" s="24">
        <v>32.0</v>
      </c>
      <c r="H11422" s="24">
        <v>928.0</v>
      </c>
      <c r="I11422" s="24">
        <v>5.0</v>
      </c>
      <c r="J11422" s="24">
        <v>0.0</v>
      </c>
      <c r="K11422" s="23" t="s">
        <v>34</v>
      </c>
      <c r="L11422" s="25">
        <v>41724.28333333333</v>
      </c>
      <c r="M11422" s="26" t="s">
        <v>1186</v>
      </c>
      <c r="N11422" s="28"/>
      <c r="O11422" s="22" t="str">
        <f>HYPERLINK("https://pbs.twimg.com/profile_images/750415158284091393/ZH7_CTwR_normal.jpg","View")</f>
        <v>View</v>
      </c>
      <c r="P11422" s="27"/>
    </row>
    <row r="11423">
      <c r="A11423" s="14">
        <v>43032.80621527778</v>
      </c>
      <c r="B11423" s="20" t="str">
        <f>HYPERLINK("https://twitter.com/Casimira8651Har","@Casimira8651Har")</f>
        <v>@Casimira8651Har</v>
      </c>
      <c r="C11423" s="21" t="s">
        <v>23973</v>
      </c>
      <c r="D11423" s="21" t="s">
        <v>23935</v>
      </c>
      <c r="E11423" s="22" t="str">
        <f>HYPERLINK("https://twitter.com/Casimira8651Har/status/923011469599424512","923011469599424512")</f>
        <v>923011469599424512</v>
      </c>
      <c r="F11423" s="23" t="s">
        <v>33</v>
      </c>
      <c r="G11423" s="24">
        <v>53.0</v>
      </c>
      <c r="H11423" s="24">
        <v>2285.0</v>
      </c>
      <c r="I11423" s="24">
        <v>5.0</v>
      </c>
      <c r="J11423" s="24">
        <v>0.0</v>
      </c>
      <c r="K11423" s="23" t="s">
        <v>34</v>
      </c>
      <c r="L11423" s="25">
        <v>40901.781909722224</v>
      </c>
      <c r="M11423" s="26" t="s">
        <v>23974</v>
      </c>
      <c r="N11423" s="26" t="s">
        <v>23975</v>
      </c>
      <c r="O11423" s="22" t="str">
        <f>HYPERLINK("https://pbs.twimg.com/profile_images/763017837539647488/KKB4p9vq_normal.jpg","View")</f>
        <v>View</v>
      </c>
      <c r="P11423" s="27"/>
    </row>
    <row r="11424">
      <c r="A11424" s="14">
        <v>43032.80700231482</v>
      </c>
      <c r="B11424" s="20" t="str">
        <f>HYPERLINK("https://twitter.com/PMoallemian","@PMoallemian")</f>
        <v>@PMoallemian</v>
      </c>
      <c r="C11424" s="21" t="s">
        <v>1959</v>
      </c>
      <c r="D11424" s="21" t="s">
        <v>21478</v>
      </c>
      <c r="E11424" s="22" t="str">
        <f>HYPERLINK("https://twitter.com/PMoallemian/status/923011755386609664","923011755386609664")</f>
        <v>923011755386609664</v>
      </c>
      <c r="F11424" s="23" t="s">
        <v>187</v>
      </c>
      <c r="G11424" s="24">
        <v>5102.0</v>
      </c>
      <c r="H11424" s="24">
        <v>90.0</v>
      </c>
      <c r="I11424" s="24">
        <v>0.0</v>
      </c>
      <c r="J11424" s="24">
        <v>0.0</v>
      </c>
      <c r="K11424" s="23" t="s">
        <v>34</v>
      </c>
      <c r="L11424" s="25">
        <v>39556.68920138889</v>
      </c>
      <c r="M11424" s="26" t="s">
        <v>1961</v>
      </c>
      <c r="N11424" s="26" t="s">
        <v>1962</v>
      </c>
      <c r="O11424" s="22" t="str">
        <f>HYPERLINK("https://pbs.twimg.com/profile_images/2383496814/8p8tjkit7a1nmjrarib6_normal.jpeg","View")</f>
        <v>View</v>
      </c>
      <c r="P11424" s="27"/>
    </row>
    <row r="11425">
      <c r="A11425" s="14">
        <v>43032.80719907407</v>
      </c>
      <c r="B11425" s="20" t="str">
        <f>HYPERLINK("https://twitter.com/SilverSilverBlu","@SilverSilverBlu")</f>
        <v>@SilverSilverBlu</v>
      </c>
      <c r="C11425" s="21" t="s">
        <v>23976</v>
      </c>
      <c r="D11425" s="21" t="s">
        <v>23969</v>
      </c>
      <c r="E11425" s="22" t="str">
        <f>HYPERLINK("https://twitter.com/SilverSilverBlu/status/923011824152281088","923011824152281088")</f>
        <v>923011824152281088</v>
      </c>
      <c r="F11425" s="23" t="s">
        <v>55</v>
      </c>
      <c r="G11425" s="24">
        <v>524.0</v>
      </c>
      <c r="H11425" s="24">
        <v>1497.0</v>
      </c>
      <c r="I11425" s="24">
        <v>4.0</v>
      </c>
      <c r="J11425" s="24">
        <v>0.0</v>
      </c>
      <c r="K11425" s="23" t="s">
        <v>34</v>
      </c>
      <c r="L11425" s="25">
        <v>42852.43892361112</v>
      </c>
      <c r="M11425" s="26" t="s">
        <v>4536</v>
      </c>
      <c r="N11425" s="26" t="s">
        <v>18025</v>
      </c>
      <c r="O11425" s="22" t="str">
        <f>HYPERLINK("https://pbs.twimg.com/profile_images/885347289006448640/2Mcy_tA__normal.jpg","View")</f>
        <v>View</v>
      </c>
      <c r="P11425" s="27"/>
    </row>
    <row r="11426">
      <c r="A11426" s="14">
        <v>43032.80791666667</v>
      </c>
      <c r="B11426" s="20" t="str">
        <f>HYPERLINK("https://twitter.com/i__Global","@i__Global")</f>
        <v>@i__Global</v>
      </c>
      <c r="C11426" s="21" t="s">
        <v>9685</v>
      </c>
      <c r="D11426" s="21" t="s">
        <v>23977</v>
      </c>
      <c r="E11426" s="22" t="str">
        <f>HYPERLINK("https://twitter.com/i__Global/status/923012085407137793","923012085407137793")</f>
        <v>923012085407137793</v>
      </c>
      <c r="F11426" s="23" t="s">
        <v>187</v>
      </c>
      <c r="G11426" s="24">
        <v>320.0</v>
      </c>
      <c r="H11426" s="24">
        <v>541.0</v>
      </c>
      <c r="I11426" s="24">
        <v>0.0</v>
      </c>
      <c r="J11426" s="24">
        <v>0.0</v>
      </c>
      <c r="K11426" s="23" t="s">
        <v>34</v>
      </c>
      <c r="L11426" s="25">
        <v>41975.42964120371</v>
      </c>
      <c r="M11426" s="26" t="s">
        <v>2068</v>
      </c>
      <c r="N11426" s="28"/>
      <c r="O11426" s="22" t="str">
        <f>HYPERLINK("https://pbs.twimg.com/profile_images/539846499421532160/RQ0XgLb__normal.png","View")</f>
        <v>View</v>
      </c>
      <c r="P11426" s="27"/>
    </row>
    <row r="11427">
      <c r="A11427" s="14">
        <v>43032.808020833334</v>
      </c>
      <c r="B11427" s="20" t="str">
        <f>HYPERLINK("https://twitter.com/mariamumoki","@mariamumoki")</f>
        <v>@mariamumoki</v>
      </c>
      <c r="C11427" s="21" t="s">
        <v>23978</v>
      </c>
      <c r="D11427" s="21" t="s">
        <v>32</v>
      </c>
      <c r="E11427" s="22" t="str">
        <f>HYPERLINK("https://twitter.com/mariamumoki/status/923012121075445761","923012121075445761")</f>
        <v>923012121075445761</v>
      </c>
      <c r="F11427" s="23" t="s">
        <v>33</v>
      </c>
      <c r="G11427" s="24">
        <v>572.0</v>
      </c>
      <c r="H11427" s="24">
        <v>290.0</v>
      </c>
      <c r="I11427" s="24">
        <v>471.0</v>
      </c>
      <c r="J11427" s="24">
        <v>0.0</v>
      </c>
      <c r="K11427" s="23" t="s">
        <v>34</v>
      </c>
      <c r="L11427" s="25">
        <v>40928.16704861111</v>
      </c>
      <c r="M11427" s="26" t="s">
        <v>282</v>
      </c>
      <c r="N11427" s="26" t="s">
        <v>23979</v>
      </c>
      <c r="O11427" s="22" t="str">
        <f>HYPERLINK("https://pbs.twimg.com/profile_images/731835138825433088/wCMpstPA_normal.jpg","View")</f>
        <v>View</v>
      </c>
      <c r="P11427" s="27"/>
    </row>
    <row r="11428">
      <c r="A11428" s="14">
        <v>43032.80880787037</v>
      </c>
      <c r="B11428" s="20" t="str">
        <f>HYPERLINK("https://twitter.com/zeeshan_shah_dc","@zeeshan_shah_dc")</f>
        <v>@zeeshan_shah_dc</v>
      </c>
      <c r="C11428" s="21" t="s">
        <v>4238</v>
      </c>
      <c r="D11428" s="21" t="s">
        <v>23525</v>
      </c>
      <c r="E11428" s="22" t="str">
        <f>HYPERLINK("https://twitter.com/zeeshan_shah_dc/status/923012409282871296","923012409282871296")</f>
        <v>923012409282871296</v>
      </c>
      <c r="F11428" s="23" t="s">
        <v>39</v>
      </c>
      <c r="G11428" s="24">
        <v>2073.0</v>
      </c>
      <c r="H11428" s="24">
        <v>278.0</v>
      </c>
      <c r="I11428" s="24">
        <v>41.0</v>
      </c>
      <c r="J11428" s="24">
        <v>0.0</v>
      </c>
      <c r="K11428" s="23" t="s">
        <v>34</v>
      </c>
      <c r="L11428" s="25">
        <v>41057.880277777775</v>
      </c>
      <c r="M11428" s="26" t="s">
        <v>4239</v>
      </c>
      <c r="N11428" s="26" t="s">
        <v>4240</v>
      </c>
      <c r="O11428" s="22" t="str">
        <f>HYPERLINK("https://pbs.twimg.com/profile_images/915766155373170688/aHIu0lVW_normal.jpg","View")</f>
        <v>View</v>
      </c>
      <c r="P11428" s="27"/>
    </row>
    <row r="11429">
      <c r="A11429" s="14">
        <v>43032.80881944444</v>
      </c>
      <c r="B11429" s="20" t="str">
        <f>HYPERLINK("https://twitter.com/Koizumi01","@Koizumi01")</f>
        <v>@Koizumi01</v>
      </c>
      <c r="C11429" s="21" t="s">
        <v>23980</v>
      </c>
      <c r="D11429" s="21" t="s">
        <v>6403</v>
      </c>
      <c r="E11429" s="22" t="str">
        <f>HYPERLINK("https://twitter.com/Koizumi01/status/923012411791106048","923012411791106048")</f>
        <v>923012411791106048</v>
      </c>
      <c r="F11429" s="23" t="s">
        <v>55</v>
      </c>
      <c r="G11429" s="24">
        <v>462.0</v>
      </c>
      <c r="H11429" s="24">
        <v>550.0</v>
      </c>
      <c r="I11429" s="24">
        <v>97.0</v>
      </c>
      <c r="J11429" s="24">
        <v>0.0</v>
      </c>
      <c r="K11429" s="23" t="s">
        <v>34</v>
      </c>
      <c r="L11429" s="25">
        <v>41793.183124999996</v>
      </c>
      <c r="M11429" s="28"/>
      <c r="N11429" s="26" t="s">
        <v>23981</v>
      </c>
      <c r="O11429" s="22" t="str">
        <f>HYPERLINK("https://pbs.twimg.com/profile_images/922960876813955072/dMYKUPuN_normal.jpg","View")</f>
        <v>View</v>
      </c>
      <c r="P11429" s="27"/>
    </row>
    <row r="11430">
      <c r="A11430" s="14">
        <v>43032.80914351852</v>
      </c>
      <c r="B11430" s="20" t="str">
        <f>HYPERLINK("https://twitter.com/inews2day","@inews2day")</f>
        <v>@inews2day</v>
      </c>
      <c r="C11430" s="21" t="s">
        <v>539</v>
      </c>
      <c r="D11430" s="21" t="s">
        <v>23982</v>
      </c>
      <c r="E11430" s="22" t="str">
        <f>HYPERLINK("https://twitter.com/inews2day/status/923012531110649864","923012531110649864")</f>
        <v>923012531110649864</v>
      </c>
      <c r="F11430" s="23" t="s">
        <v>187</v>
      </c>
      <c r="G11430" s="24">
        <v>487.0</v>
      </c>
      <c r="H11430" s="24">
        <v>0.0</v>
      </c>
      <c r="I11430" s="24">
        <v>0.0</v>
      </c>
      <c r="J11430" s="24">
        <v>0.0</v>
      </c>
      <c r="K11430" s="23" t="s">
        <v>34</v>
      </c>
      <c r="L11430" s="25">
        <v>42055.11097222222</v>
      </c>
      <c r="M11430" s="26" t="s">
        <v>541</v>
      </c>
      <c r="N11430" s="26" t="s">
        <v>542</v>
      </c>
      <c r="O11430" s="22" t="str">
        <f>HYPERLINK("https://pbs.twimg.com/profile_images/568731081323466752/-oyEQpj9_normal.jpeg","View")</f>
        <v>View</v>
      </c>
      <c r="P11430" s="27"/>
    </row>
    <row r="11431">
      <c r="A11431" s="14">
        <v>43032.809166666666</v>
      </c>
      <c r="B11431" s="20" t="str">
        <f>HYPERLINK("https://twitter.com/akshayalladi","@akshayalladi")</f>
        <v>@akshayalladi</v>
      </c>
      <c r="C11431" s="21" t="s">
        <v>23983</v>
      </c>
      <c r="D11431" s="21" t="s">
        <v>23969</v>
      </c>
      <c r="E11431" s="22" t="str">
        <f>HYPERLINK("https://twitter.com/akshayalladi/status/923012536617680896","923012536617680896")</f>
        <v>923012536617680896</v>
      </c>
      <c r="F11431" s="23" t="s">
        <v>39</v>
      </c>
      <c r="G11431" s="24">
        <v>258.0</v>
      </c>
      <c r="H11431" s="24">
        <v>494.0</v>
      </c>
      <c r="I11431" s="24">
        <v>4.0</v>
      </c>
      <c r="J11431" s="24">
        <v>0.0</v>
      </c>
      <c r="K11431" s="23" t="s">
        <v>34</v>
      </c>
      <c r="L11431" s="25">
        <v>39645.95554398148</v>
      </c>
      <c r="M11431" s="26" t="s">
        <v>207</v>
      </c>
      <c r="N11431" s="28"/>
      <c r="O11431" s="22" t="str">
        <f>HYPERLINK("https://pbs.twimg.com/profile_images/782649075007049728/tOSoqzWC_normal.jpg","View")</f>
        <v>View</v>
      </c>
      <c r="P11431" s="27"/>
    </row>
    <row r="11432">
      <c r="A11432" s="14">
        <v>43032.80981481481</v>
      </c>
      <c r="B11432" s="20" t="str">
        <f>HYPERLINK("https://twitter.com/ggnewsus","@ggnewsus")</f>
        <v>@ggnewsus</v>
      </c>
      <c r="C11432" s="21" t="s">
        <v>13409</v>
      </c>
      <c r="D11432" s="21" t="s">
        <v>23984</v>
      </c>
      <c r="E11432" s="22" t="str">
        <f>HYPERLINK("https://twitter.com/ggnewsus/status/923012774061412352","923012774061412352")</f>
        <v>923012774061412352</v>
      </c>
      <c r="F11432" s="23" t="s">
        <v>187</v>
      </c>
      <c r="G11432" s="24">
        <v>862.0</v>
      </c>
      <c r="H11432" s="24">
        <v>143.0</v>
      </c>
      <c r="I11432" s="24">
        <v>0.0</v>
      </c>
      <c r="J11432" s="24">
        <v>0.0</v>
      </c>
      <c r="K11432" s="23" t="s">
        <v>34</v>
      </c>
      <c r="L11432" s="25">
        <v>41679.77077546297</v>
      </c>
      <c r="M11432" s="26" t="s">
        <v>13411</v>
      </c>
      <c r="N11432" s="26" t="s">
        <v>874</v>
      </c>
      <c r="O11432" s="22" t="str">
        <f>HYPERLINK("https://pbs.twimg.com/profile_images/432706003285450752/IHK6C475_normal.png","View")</f>
        <v>View</v>
      </c>
      <c r="P11432" s="27"/>
    </row>
    <row r="11433">
      <c r="A11433" s="14">
        <v>43032.8108912037</v>
      </c>
      <c r="B11433" s="20" t="str">
        <f>HYPERLINK("https://twitter.com/JapanPress_wky","@JapanPress_wky")</f>
        <v>@JapanPress_wky</v>
      </c>
      <c r="C11433" s="21" t="s">
        <v>13033</v>
      </c>
      <c r="D11433" s="21" t="s">
        <v>13034</v>
      </c>
      <c r="E11433" s="22" t="str">
        <f>HYPERLINK("https://twitter.com/JapanPress_wky/status/923013163552931840","923013163552931840")</f>
        <v>923013163552931840</v>
      </c>
      <c r="F11433" s="30" t="s">
        <v>659</v>
      </c>
      <c r="G11433" s="24">
        <v>1253.0</v>
      </c>
      <c r="H11433" s="24">
        <v>176.0</v>
      </c>
      <c r="I11433" s="24">
        <v>0.0</v>
      </c>
      <c r="J11433" s="24">
        <v>0.0</v>
      </c>
      <c r="K11433" s="23" t="s">
        <v>34</v>
      </c>
      <c r="L11433" s="25">
        <v>40821.911782407406</v>
      </c>
      <c r="M11433" s="26" t="s">
        <v>923</v>
      </c>
      <c r="N11433" s="26" t="s">
        <v>13035</v>
      </c>
      <c r="O11433" s="22" t="str">
        <f>HYPERLINK("https://pbs.twimg.com/profile_images/1595831534/JapanPress_wky_normal.jpg","View")</f>
        <v>View</v>
      </c>
      <c r="P11433" s="27"/>
    </row>
    <row r="11434">
      <c r="A11434" s="14">
        <v>43032.81270833334</v>
      </c>
      <c r="B11434" s="20" t="str">
        <f>HYPERLINK("https://twitter.com/Grown_up254","@Grown_up254")</f>
        <v>@Grown_up254</v>
      </c>
      <c r="C11434" s="21" t="s">
        <v>23985</v>
      </c>
      <c r="D11434" s="21" t="s">
        <v>32</v>
      </c>
      <c r="E11434" s="22" t="str">
        <f>HYPERLINK("https://twitter.com/Grown_up254/status/923013822557933568","923013822557933568")</f>
        <v>923013822557933568</v>
      </c>
      <c r="F11434" s="23" t="s">
        <v>33</v>
      </c>
      <c r="G11434" s="24">
        <v>584.0</v>
      </c>
      <c r="H11434" s="24">
        <v>21.0</v>
      </c>
      <c r="I11434" s="24">
        <v>471.0</v>
      </c>
      <c r="J11434" s="24">
        <v>0.0</v>
      </c>
      <c r="K11434" s="23" t="s">
        <v>34</v>
      </c>
      <c r="L11434" s="25">
        <v>40853.29109953703</v>
      </c>
      <c r="M11434" s="26" t="s">
        <v>114</v>
      </c>
      <c r="N11434" s="26" t="s">
        <v>23986</v>
      </c>
      <c r="O11434" s="22" t="str">
        <f>HYPERLINK("https://pbs.twimg.com/profile_images/919610167989293060/SKAx5vFN_normal.jpg","View")</f>
        <v>View</v>
      </c>
      <c r="P11434" s="27"/>
    </row>
    <row r="11435">
      <c r="A11435" s="14">
        <v>43032.81454861111</v>
      </c>
      <c r="B11435" s="20" t="str">
        <f>HYPERLINK("https://twitter.com/NeedsNewName","@NeedsNewName")</f>
        <v>@NeedsNewName</v>
      </c>
      <c r="C11435" s="21" t="s">
        <v>23987</v>
      </c>
      <c r="D11435" s="21" t="s">
        <v>18660</v>
      </c>
      <c r="E11435" s="22" t="str">
        <f>HYPERLINK("https://twitter.com/NeedsNewName/status/923014486507773952","923014486507773952")</f>
        <v>923014486507773952</v>
      </c>
      <c r="F11435" s="23" t="s">
        <v>230</v>
      </c>
      <c r="G11435" s="24">
        <v>47.0</v>
      </c>
      <c r="H11435" s="24">
        <v>255.0</v>
      </c>
      <c r="I11435" s="24">
        <v>17.0</v>
      </c>
      <c r="J11435" s="24">
        <v>0.0</v>
      </c>
      <c r="K11435" s="23" t="s">
        <v>34</v>
      </c>
      <c r="L11435" s="25">
        <v>42131.080138888894</v>
      </c>
      <c r="M11435" s="26" t="s">
        <v>23988</v>
      </c>
      <c r="N11435" s="26" t="s">
        <v>23989</v>
      </c>
      <c r="O11435" s="22" t="str">
        <f>HYPERLINK("https://pbs.twimg.com/profile_images/777302088111882240/_R7Mk-NY_normal.jpg","View")</f>
        <v>View</v>
      </c>
      <c r="P11435" s="27"/>
    </row>
    <row r="11436">
      <c r="A11436" s="14">
        <v>43032.81465277778</v>
      </c>
      <c r="B11436" s="20" t="str">
        <f>HYPERLINK("https://twitter.com/GRLSTEM","@GRLSTEM")</f>
        <v>@GRLSTEM</v>
      </c>
      <c r="C11436" s="21" t="s">
        <v>23990</v>
      </c>
      <c r="D11436" s="21" t="s">
        <v>23991</v>
      </c>
      <c r="E11436" s="22" t="str">
        <f>HYPERLINK("https://twitter.com/GRLSTEM/status/923014527029055488","923014527029055488")</f>
        <v>923014527029055488</v>
      </c>
      <c r="F11436" s="23" t="s">
        <v>769</v>
      </c>
      <c r="G11436" s="24">
        <v>442.0</v>
      </c>
      <c r="H11436" s="24">
        <v>2021.0</v>
      </c>
      <c r="I11436" s="24">
        <v>1.0</v>
      </c>
      <c r="J11436" s="24">
        <v>0.0</v>
      </c>
      <c r="K11436" s="23" t="s">
        <v>34</v>
      </c>
      <c r="L11436" s="25">
        <v>42996.70978009259</v>
      </c>
      <c r="M11436" s="26" t="s">
        <v>2534</v>
      </c>
      <c r="N11436" s="26" t="s">
        <v>23992</v>
      </c>
      <c r="O11436" s="22" t="str">
        <f>HYPERLINK("https://pbs.twimg.com/profile_images/909974258985684998/RPB7nqWR_normal.jpg","View")</f>
        <v>View</v>
      </c>
      <c r="P11436" s="27"/>
    </row>
    <row r="11437">
      <c r="A11437" s="14">
        <v>43032.81903935185</v>
      </c>
      <c r="B11437" s="20" t="str">
        <f>HYPERLINK("https://twitter.com/market4justice","@market4justice")</f>
        <v>@market4justice</v>
      </c>
      <c r="C11437" s="21" t="s">
        <v>15630</v>
      </c>
      <c r="D11437" s="21" t="s">
        <v>23993</v>
      </c>
      <c r="E11437" s="22" t="str">
        <f>HYPERLINK("https://twitter.com/market4justice/status/923016117748105216","923016117748105216")</f>
        <v>923016117748105216</v>
      </c>
      <c r="F11437" s="23" t="s">
        <v>187</v>
      </c>
      <c r="G11437" s="24">
        <v>436.0</v>
      </c>
      <c r="H11437" s="24">
        <v>137.0</v>
      </c>
      <c r="I11437" s="24">
        <v>0.0</v>
      </c>
      <c r="J11437" s="24">
        <v>0.0</v>
      </c>
      <c r="K11437" s="23" t="s">
        <v>34</v>
      </c>
      <c r="L11437" s="25">
        <v>42184.44244212963</v>
      </c>
      <c r="M11437" s="26" t="s">
        <v>1961</v>
      </c>
      <c r="N11437" s="26" t="s">
        <v>15632</v>
      </c>
      <c r="O11437" s="22" t="str">
        <f>HYPERLINK("https://pbs.twimg.com/profile_images/615577051399983104/1B-CM5fS_normal.jpg","View")</f>
        <v>View</v>
      </c>
      <c r="P11437" s="27"/>
    </row>
    <row r="11438">
      <c r="A11438" s="14">
        <v>43032.82025462963</v>
      </c>
      <c r="B11438" s="20" t="str">
        <f>HYPERLINK("https://twitter.com/MrRafiqIslamRo1","@MrRafiqIslamRo1")</f>
        <v>@MrRafiqIslamRo1</v>
      </c>
      <c r="C11438" s="21" t="s">
        <v>23994</v>
      </c>
      <c r="D11438" s="21" t="s">
        <v>23995</v>
      </c>
      <c r="E11438" s="22" t="str">
        <f>HYPERLINK("https://twitter.com/MrRafiqIslamRo1/status/923016555553636352","923016555553636352")</f>
        <v>923016555553636352</v>
      </c>
      <c r="F11438" s="23" t="s">
        <v>33</v>
      </c>
      <c r="G11438" s="24">
        <v>974.0</v>
      </c>
      <c r="H11438" s="24">
        <v>4981.0</v>
      </c>
      <c r="I11438" s="24">
        <v>0.0</v>
      </c>
      <c r="J11438" s="24">
        <v>0.0</v>
      </c>
      <c r="K11438" s="23" t="s">
        <v>34</v>
      </c>
      <c r="L11438" s="25">
        <v>42773.30729166667</v>
      </c>
      <c r="M11438" s="26" t="s">
        <v>7210</v>
      </c>
      <c r="N11438" s="26" t="s">
        <v>1279</v>
      </c>
      <c r="O11438" s="22" t="str">
        <f>HYPERLINK("https://pbs.twimg.com/profile_images/849474066130112512/n0jUEsfw_normal.jpg","View")</f>
        <v>View</v>
      </c>
      <c r="P11438" s="27"/>
    </row>
    <row r="11439">
      <c r="A11439" s="14">
        <v>43032.821759259255</v>
      </c>
      <c r="B11439" s="20" t="str">
        <f>HYPERLINK("https://twitter.com/RavishankarHR4","@RavishankarHR4")</f>
        <v>@RavishankarHR4</v>
      </c>
      <c r="C11439" s="21" t="s">
        <v>23996</v>
      </c>
      <c r="D11439" s="21" t="s">
        <v>42</v>
      </c>
      <c r="E11439" s="22" t="str">
        <f>HYPERLINK("https://twitter.com/RavishankarHR4/status/923017100356022273","923017100356022273")</f>
        <v>923017100356022273</v>
      </c>
      <c r="F11439" s="23" t="s">
        <v>33</v>
      </c>
      <c r="G11439" s="24">
        <v>12.0</v>
      </c>
      <c r="H11439" s="24">
        <v>210.0</v>
      </c>
      <c r="I11439" s="24">
        <v>8501.0</v>
      </c>
      <c r="J11439" s="24">
        <v>0.0</v>
      </c>
      <c r="K11439" s="23" t="s">
        <v>34</v>
      </c>
      <c r="L11439" s="25">
        <v>42978.84186342593</v>
      </c>
      <c r="M11439" s="28"/>
      <c r="N11439" s="28"/>
      <c r="O11439" s="22" t="str">
        <f>HYPERLINK("https://abs.twimg.com/sticky/default_profile_images/default_profile_normal.png","View")</f>
        <v>View</v>
      </c>
      <c r="P11439" s="27"/>
    </row>
    <row r="11440">
      <c r="A11440" s="14">
        <v>43032.822604166664</v>
      </c>
      <c r="B11440" s="20" t="str">
        <f>HYPERLINK("https://twitter.com/walkileaks","@walkileaks")</f>
        <v>@walkileaks</v>
      </c>
      <c r="C11440" s="21" t="s">
        <v>3306</v>
      </c>
      <c r="D11440" s="21" t="s">
        <v>23997</v>
      </c>
      <c r="E11440" s="22" t="str">
        <f>HYPERLINK("https://twitter.com/walkileaks/status/923017408608112640","923017408608112640")</f>
        <v>923017408608112640</v>
      </c>
      <c r="F11440" s="30" t="s">
        <v>191</v>
      </c>
      <c r="G11440" s="24">
        <v>530.0</v>
      </c>
      <c r="H11440" s="24">
        <v>739.0</v>
      </c>
      <c r="I11440" s="24">
        <v>0.0</v>
      </c>
      <c r="J11440" s="24">
        <v>0.0</v>
      </c>
      <c r="K11440" s="23" t="s">
        <v>34</v>
      </c>
      <c r="L11440" s="25">
        <v>41239.39423611111</v>
      </c>
      <c r="M11440" s="26" t="s">
        <v>68</v>
      </c>
      <c r="N11440" s="26" t="s">
        <v>3308</v>
      </c>
      <c r="O11440" s="22" t="str">
        <f>HYPERLINK("https://pbs.twimg.com/profile_images/782945569501286401/BOfnIaHw_normal.jpg","View")</f>
        <v>View</v>
      </c>
      <c r="P11440" s="27"/>
    </row>
    <row r="11441">
      <c r="A11441" s="14">
        <v>43032.8228125</v>
      </c>
      <c r="B11441" s="20" t="str">
        <f>HYPERLINK("https://twitter.com/GonzaloBarria","@GonzaloBarria")</f>
        <v>@GonzaloBarria</v>
      </c>
      <c r="C11441" s="21" t="s">
        <v>23998</v>
      </c>
      <c r="D11441" s="21" t="s">
        <v>23858</v>
      </c>
      <c r="E11441" s="22" t="str">
        <f>HYPERLINK("https://twitter.com/GonzaloBarria/status/923017485137346560","923017485137346560")</f>
        <v>923017485137346560</v>
      </c>
      <c r="F11441" s="23" t="s">
        <v>39</v>
      </c>
      <c r="G11441" s="24">
        <v>696.0</v>
      </c>
      <c r="H11441" s="24">
        <v>78.0</v>
      </c>
      <c r="I11441" s="24">
        <v>18.0</v>
      </c>
      <c r="J11441" s="24">
        <v>0.0</v>
      </c>
      <c r="K11441" s="23" t="s">
        <v>34</v>
      </c>
      <c r="L11441" s="25">
        <v>40072.72545138889</v>
      </c>
      <c r="M11441" s="26" t="s">
        <v>23999</v>
      </c>
      <c r="N11441" s="26" t="s">
        <v>24000</v>
      </c>
      <c r="O11441" s="22" t="str">
        <f>HYPERLINK("https://pbs.twimg.com/profile_images/626154286410502144/7JdPKeap_normal.jpg","View")</f>
        <v>View</v>
      </c>
      <c r="P11441" s="27"/>
    </row>
    <row r="11442">
      <c r="A11442" s="14">
        <v>43032.824965277774</v>
      </c>
      <c r="B11442" s="20" t="str">
        <f>HYPERLINK("https://twitter.com/Reuters","@Reuters")</f>
        <v>@Reuters</v>
      </c>
      <c r="C11442" s="21" t="s">
        <v>754</v>
      </c>
      <c r="D11442" s="21" t="s">
        <v>24001</v>
      </c>
      <c r="E11442" s="22" t="str">
        <f>HYPERLINK("https://twitter.com/Reuters/status/923018264086761478","923018264086761478")</f>
        <v>923018264086761478</v>
      </c>
      <c r="F11442" s="23" t="s">
        <v>1103</v>
      </c>
      <c r="G11442" s="24">
        <v>1.8914221E7</v>
      </c>
      <c r="H11442" s="24">
        <v>1063.0</v>
      </c>
      <c r="I11442" s="24">
        <v>122.0</v>
      </c>
      <c r="J11442" s="24">
        <v>102.0</v>
      </c>
      <c r="K11442" s="23" t="s">
        <v>34</v>
      </c>
      <c r="L11442" s="25">
        <v>39161.44866898148</v>
      </c>
      <c r="M11442" s="26" t="s">
        <v>757</v>
      </c>
      <c r="N11442" s="26" t="s">
        <v>758</v>
      </c>
      <c r="O11442" s="22" t="str">
        <f>HYPERLINK("https://pbs.twimg.com/profile_images/877554927932891136/ZBEs235N_normal.jpg","View")</f>
        <v>View</v>
      </c>
      <c r="P11442" s="27"/>
    </row>
    <row r="11443">
      <c r="A11443" s="14">
        <v>43032.825104166666</v>
      </c>
      <c r="B11443" s="20" t="str">
        <f>HYPERLINK("https://twitter.com/clevelandmq","@clevelandmq")</f>
        <v>@clevelandmq</v>
      </c>
      <c r="C11443" s="21" t="s">
        <v>24002</v>
      </c>
      <c r="D11443" s="21" t="s">
        <v>24003</v>
      </c>
      <c r="E11443" s="22" t="str">
        <f>HYPERLINK("https://twitter.com/clevelandmq/status/923018313738936323","923018313738936323")</f>
        <v>923018313738936323</v>
      </c>
      <c r="F11443" s="23" t="s">
        <v>187</v>
      </c>
      <c r="G11443" s="24">
        <v>577.0</v>
      </c>
      <c r="H11443" s="24">
        <v>407.0</v>
      </c>
      <c r="I11443" s="24">
        <v>0.0</v>
      </c>
      <c r="J11443" s="24">
        <v>0.0</v>
      </c>
      <c r="K11443" s="23" t="s">
        <v>34</v>
      </c>
      <c r="L11443" s="25">
        <v>41205.28991898148</v>
      </c>
      <c r="M11443" s="26" t="s">
        <v>24004</v>
      </c>
      <c r="N11443" s="26" t="s">
        <v>24005</v>
      </c>
      <c r="O11443" s="22" t="str">
        <f>HYPERLINK("https://pbs.twimg.com/profile_images/2754688326/2e3c3440c5c21677c4d10a65cfb0dc73_normal.jpeg","View")</f>
        <v>View</v>
      </c>
      <c r="P11443" s="27"/>
    </row>
    <row r="11444">
      <c r="A11444" s="14">
        <v>43032.82527777778</v>
      </c>
      <c r="B11444" s="20" t="str">
        <f>HYPERLINK("https://twitter.com/fxzoneofficial","@fxzoneofficial")</f>
        <v>@fxzoneofficial</v>
      </c>
      <c r="C11444" s="21" t="s">
        <v>1326</v>
      </c>
      <c r="D11444" s="21" t="s">
        <v>24006</v>
      </c>
      <c r="E11444" s="22" t="str">
        <f>HYPERLINK("https://twitter.com/fxzoneofficial/status/923018375114174464","923018375114174464")</f>
        <v>923018375114174464</v>
      </c>
      <c r="F11444" s="23" t="s">
        <v>1328</v>
      </c>
      <c r="G11444" s="24">
        <v>496.0</v>
      </c>
      <c r="H11444" s="24">
        <v>209.0</v>
      </c>
      <c r="I11444" s="24">
        <v>0.0</v>
      </c>
      <c r="J11444" s="24">
        <v>0.0</v>
      </c>
      <c r="K11444" s="23" t="s">
        <v>34</v>
      </c>
      <c r="L11444" s="25">
        <v>41987.21666666667</v>
      </c>
      <c r="M11444" s="28"/>
      <c r="N11444" s="26" t="s">
        <v>1329</v>
      </c>
      <c r="O11444" s="22" t="str">
        <f>HYPERLINK("https://pbs.twimg.com/profile_images/898679417635045376/0ecZuQDQ_normal.jpg","View")</f>
        <v>View</v>
      </c>
      <c r="P11444" s="27"/>
    </row>
    <row r="11445">
      <c r="A11445" s="14">
        <v>43032.82530092592</v>
      </c>
      <c r="B11445" s="20" t="str">
        <f>HYPERLINK("https://twitter.com/Alex_Dix","@Alex_Dix")</f>
        <v>@Alex_Dix</v>
      </c>
      <c r="C11445" s="21" t="s">
        <v>9199</v>
      </c>
      <c r="D11445" s="21" t="s">
        <v>24007</v>
      </c>
      <c r="E11445" s="22" t="str">
        <f>HYPERLINK("https://twitter.com/Alex_Dix/status/923018383863492609","923018383863492609")</f>
        <v>923018383863492609</v>
      </c>
      <c r="F11445" s="23" t="s">
        <v>33</v>
      </c>
      <c r="G11445" s="24">
        <v>593.0</v>
      </c>
      <c r="H11445" s="24">
        <v>2394.0</v>
      </c>
      <c r="I11445" s="24">
        <v>122.0</v>
      </c>
      <c r="J11445" s="24">
        <v>0.0</v>
      </c>
      <c r="K11445" s="23" t="s">
        <v>34</v>
      </c>
      <c r="L11445" s="25">
        <v>40570.54908564815</v>
      </c>
      <c r="M11445" s="26" t="s">
        <v>9200</v>
      </c>
      <c r="N11445" s="26" t="s">
        <v>9201</v>
      </c>
      <c r="O11445" s="22" t="str">
        <f>HYPERLINK("https://pbs.twimg.com/profile_images/3075265298/1d30fc217186eadede8533eb353e6108_normal.jpeg","View")</f>
        <v>View</v>
      </c>
      <c r="P11445" s="27"/>
    </row>
    <row r="11446">
      <c r="A11446" s="14">
        <v>43032.825312500005</v>
      </c>
      <c r="B11446" s="20" t="str">
        <f>HYPERLINK("https://twitter.com/dibakarme","@dibakarme")</f>
        <v>@dibakarme</v>
      </c>
      <c r="C11446" s="21" t="s">
        <v>949</v>
      </c>
      <c r="D11446" s="21" t="s">
        <v>24008</v>
      </c>
      <c r="E11446" s="22" t="str">
        <f>HYPERLINK("https://twitter.com/dibakarme/status/923018387890102272","923018387890102272")</f>
        <v>923018387890102272</v>
      </c>
      <c r="F11446" s="23" t="s">
        <v>187</v>
      </c>
      <c r="G11446" s="24">
        <v>1414.0</v>
      </c>
      <c r="H11446" s="24">
        <v>4850.0</v>
      </c>
      <c r="I11446" s="24">
        <v>0.0</v>
      </c>
      <c r="J11446" s="24">
        <v>0.0</v>
      </c>
      <c r="K11446" s="23" t="s">
        <v>34</v>
      </c>
      <c r="L11446" s="25">
        <v>41314.12306712963</v>
      </c>
      <c r="M11446" s="26" t="s">
        <v>951</v>
      </c>
      <c r="N11446" s="26" t="s">
        <v>952</v>
      </c>
      <c r="O11446" s="22" t="str">
        <f>HYPERLINK("https://pbs.twimg.com/profile_images/916070941481951232/hiUaouzl_normal.jpg","View")</f>
        <v>View</v>
      </c>
      <c r="P11446" s="27"/>
    </row>
    <row r="11447">
      <c r="A11447" s="14">
        <v>43032.82541666667</v>
      </c>
      <c r="B11447" s="20" t="str">
        <f>HYPERLINK("https://twitter.com/TheBFRoom","@TheBFRoom")</f>
        <v>@TheBFRoom</v>
      </c>
      <c r="C11447" s="21" t="s">
        <v>943</v>
      </c>
      <c r="D11447" s="21" t="s">
        <v>24009</v>
      </c>
      <c r="E11447" s="22" t="str">
        <f>HYPERLINK("https://twitter.com/TheBFRoom/status/923018425877893120","923018425877893120")</f>
        <v>923018425877893120</v>
      </c>
      <c r="F11447" s="23" t="s">
        <v>187</v>
      </c>
      <c r="G11447" s="24">
        <v>3193.0</v>
      </c>
      <c r="H11447" s="24">
        <v>3873.0</v>
      </c>
      <c r="I11447" s="24">
        <v>0.0</v>
      </c>
      <c r="J11447" s="24">
        <v>0.0</v>
      </c>
      <c r="K11447" s="23" t="s">
        <v>34</v>
      </c>
      <c r="L11447" s="25">
        <v>42761.325162037036</v>
      </c>
      <c r="M11447" s="26" t="s">
        <v>68</v>
      </c>
      <c r="N11447" s="26" t="s">
        <v>945</v>
      </c>
      <c r="O11447" s="22" t="str">
        <f>HYPERLINK("https://pbs.twimg.com/profile_images/898379268778020864/0u1zlj_B_normal.jpg","View")</f>
        <v>View</v>
      </c>
      <c r="P11447" s="27"/>
    </row>
    <row r="11448">
      <c r="A11448" s="14">
        <v>43032.82542824074</v>
      </c>
      <c r="B11448" s="20" t="str">
        <f>HYPERLINK("https://twitter.com/Bruno_J_Navarro","@Bruno_J_Navarro")</f>
        <v>@Bruno_J_Navarro</v>
      </c>
      <c r="C11448" s="21" t="s">
        <v>24010</v>
      </c>
      <c r="D11448" s="21" t="s">
        <v>24007</v>
      </c>
      <c r="E11448" s="22" t="str">
        <f>HYPERLINK("https://twitter.com/Bruno_J_Navarro/status/923018432953618432","923018432953618432")</f>
        <v>923018432953618432</v>
      </c>
      <c r="F11448" s="23" t="s">
        <v>33</v>
      </c>
      <c r="G11448" s="24">
        <v>3304.0</v>
      </c>
      <c r="H11448" s="24">
        <v>4981.0</v>
      </c>
      <c r="I11448" s="24">
        <v>122.0</v>
      </c>
      <c r="J11448" s="24">
        <v>0.0</v>
      </c>
      <c r="K11448" s="23" t="s">
        <v>34</v>
      </c>
      <c r="L11448" s="25">
        <v>40332.55284722222</v>
      </c>
      <c r="M11448" s="26" t="s">
        <v>389</v>
      </c>
      <c r="N11448" s="26" t="s">
        <v>24011</v>
      </c>
      <c r="O11448" s="22" t="str">
        <f>HYPERLINK("https://pbs.twimg.com/profile_images/461605613487681536/joeSJPqF_normal.jpeg","View")</f>
        <v>View</v>
      </c>
      <c r="P11448" s="27"/>
    </row>
    <row r="11449">
      <c r="A11449" s="14">
        <v>43032.82546296297</v>
      </c>
      <c r="B11449" s="20" t="str">
        <f>HYPERLINK("https://twitter.com/SoClaimon","@SoClaimon")</f>
        <v>@SoClaimon</v>
      </c>
      <c r="C11449" s="21" t="s">
        <v>24012</v>
      </c>
      <c r="D11449" s="21" t="s">
        <v>24013</v>
      </c>
      <c r="E11449" s="22" t="str">
        <f>HYPERLINK("https://twitter.com/SoClaimon/status/923018442223030272","923018442223030272")</f>
        <v>923018442223030272</v>
      </c>
      <c r="F11449" s="30" t="s">
        <v>191</v>
      </c>
      <c r="G11449" s="24">
        <v>4768.0</v>
      </c>
      <c r="H11449" s="24">
        <v>4729.0</v>
      </c>
      <c r="I11449" s="24">
        <v>0.0</v>
      </c>
      <c r="J11449" s="24">
        <v>0.0</v>
      </c>
      <c r="K11449" s="23" t="s">
        <v>34</v>
      </c>
      <c r="L11449" s="25">
        <v>40051.82059027778</v>
      </c>
      <c r="M11449" s="26" t="s">
        <v>1735</v>
      </c>
      <c r="N11449" s="26" t="s">
        <v>24014</v>
      </c>
      <c r="O11449" s="22" t="str">
        <f>HYPERLINK("https://pbs.twimg.com/profile_images/889683699028996096/LjsYjfiT_normal.jpg","View")</f>
        <v>View</v>
      </c>
      <c r="P11449" s="27"/>
    </row>
    <row r="11450">
      <c r="A11450" s="14">
        <v>43032.82546296297</v>
      </c>
      <c r="B11450" s="20" t="str">
        <f>HYPERLINK("https://twitter.com/reuters_once","@reuters_once")</f>
        <v>@reuters_once</v>
      </c>
      <c r="C11450" s="21" t="s">
        <v>1575</v>
      </c>
      <c r="D11450" s="21" t="s">
        <v>24007</v>
      </c>
      <c r="E11450" s="22" t="str">
        <f>HYPERLINK("https://twitter.com/reuters_once/status/923018442365652992","923018442365652992")</f>
        <v>923018442365652992</v>
      </c>
      <c r="F11450" s="23" t="s">
        <v>1576</v>
      </c>
      <c r="G11450" s="24">
        <v>89.0</v>
      </c>
      <c r="H11450" s="24">
        <v>0.0</v>
      </c>
      <c r="I11450" s="24">
        <v>122.0</v>
      </c>
      <c r="J11450" s="24">
        <v>0.0</v>
      </c>
      <c r="K11450" s="23" t="s">
        <v>34</v>
      </c>
      <c r="L11450" s="25">
        <v>42767.84443287037</v>
      </c>
      <c r="M11450" s="28"/>
      <c r="N11450" s="26" t="s">
        <v>1577</v>
      </c>
      <c r="O11450" s="22" t="str">
        <f>HYPERLINK("https://pbs.twimg.com/profile_images/827009244520148996/PpVBEKC2_normal.jpg","View")</f>
        <v>View</v>
      </c>
      <c r="P11450" s="27"/>
    </row>
    <row r="11451">
      <c r="A11451" s="14">
        <v>43032.82549768519</v>
      </c>
      <c r="B11451" s="20" t="str">
        <f>HYPERLINK("https://twitter.com/wakatiaumono","@wakatiaumono")</f>
        <v>@wakatiaumono</v>
      </c>
      <c r="C11451" s="21" t="s">
        <v>24015</v>
      </c>
      <c r="D11451" s="21" t="s">
        <v>24007</v>
      </c>
      <c r="E11451" s="22" t="str">
        <f>HYPERLINK("https://twitter.com/wakatiaumono/status/923018455921520640","923018455921520640")</f>
        <v>923018455921520640</v>
      </c>
      <c r="F11451" s="23" t="s">
        <v>39</v>
      </c>
      <c r="G11451" s="24">
        <v>345.0</v>
      </c>
      <c r="H11451" s="24">
        <v>340.0</v>
      </c>
      <c r="I11451" s="24">
        <v>122.0</v>
      </c>
      <c r="J11451" s="24">
        <v>0.0</v>
      </c>
      <c r="K11451" s="23" t="s">
        <v>34</v>
      </c>
      <c r="L11451" s="25">
        <v>41957.74623842593</v>
      </c>
      <c r="M11451" s="28"/>
      <c r="N11451" s="26" t="s">
        <v>24016</v>
      </c>
      <c r="O11451" s="22" t="str">
        <f>HYPERLINK("https://pbs.twimg.com/profile_images/810722706882629633/yFuh_5Jf_normal.jpg","View")</f>
        <v>View</v>
      </c>
      <c r="P11451" s="27"/>
    </row>
    <row r="11452">
      <c r="A11452" s="14">
        <v>43032.82553240741</v>
      </c>
      <c r="B11452" s="20" t="str">
        <f>HYPERLINK("https://twitter.com/SoClaimon","@SoClaimon")</f>
        <v>@SoClaimon</v>
      </c>
      <c r="C11452" s="21" t="s">
        <v>24012</v>
      </c>
      <c r="D11452" s="21" t="s">
        <v>24017</v>
      </c>
      <c r="E11452" s="22" t="str">
        <f>HYPERLINK("https://twitter.com/SoClaimon/status/923018468164763648","923018468164763648")</f>
        <v>923018468164763648</v>
      </c>
      <c r="F11452" s="23" t="s">
        <v>48</v>
      </c>
      <c r="G11452" s="24">
        <v>4768.0</v>
      </c>
      <c r="H11452" s="24">
        <v>4729.0</v>
      </c>
      <c r="I11452" s="24">
        <v>0.0</v>
      </c>
      <c r="J11452" s="24">
        <v>0.0</v>
      </c>
      <c r="K11452" s="23" t="s">
        <v>34</v>
      </c>
      <c r="L11452" s="25">
        <v>40051.82059027778</v>
      </c>
      <c r="M11452" s="26" t="s">
        <v>1735</v>
      </c>
      <c r="N11452" s="26" t="s">
        <v>24014</v>
      </c>
      <c r="O11452" s="22" t="str">
        <f>HYPERLINK("https://pbs.twimg.com/profile_images/889683699028996096/LjsYjfiT_normal.jpg","View")</f>
        <v>View</v>
      </c>
      <c r="P11452" s="27"/>
    </row>
    <row r="11453">
      <c r="A11453" s="14">
        <v>43032.82564814815</v>
      </c>
      <c r="B11453" s="20" t="str">
        <f>HYPERLINK("https://twitter.com/thomassylver","@thomassylver")</f>
        <v>@thomassylver</v>
      </c>
      <c r="C11453" s="21" t="s">
        <v>24018</v>
      </c>
      <c r="D11453" s="21" t="s">
        <v>24007</v>
      </c>
      <c r="E11453" s="22" t="str">
        <f>HYPERLINK("https://twitter.com/thomassylver/status/923018509524848640","923018509524848640")</f>
        <v>923018509524848640</v>
      </c>
      <c r="F11453" s="23" t="s">
        <v>33</v>
      </c>
      <c r="G11453" s="24">
        <v>623.0</v>
      </c>
      <c r="H11453" s="24">
        <v>666.0</v>
      </c>
      <c r="I11453" s="24">
        <v>122.0</v>
      </c>
      <c r="J11453" s="24">
        <v>0.0</v>
      </c>
      <c r="K11453" s="23" t="s">
        <v>34</v>
      </c>
      <c r="L11453" s="25">
        <v>40913.36355324074</v>
      </c>
      <c r="M11453" s="26" t="s">
        <v>3331</v>
      </c>
      <c r="N11453" s="26" t="s">
        <v>24019</v>
      </c>
      <c r="O11453" s="22" t="str">
        <f>HYPERLINK("https://pbs.twimg.com/profile_images/911830818343018496/Ls03RJIc_normal.jpg","View")</f>
        <v>View</v>
      </c>
      <c r="P11453" s="27"/>
    </row>
    <row r="11454">
      <c r="A11454" s="14">
        <v>43032.82574074074</v>
      </c>
      <c r="B11454" s="20" t="str">
        <f>HYPERLINK("https://twitter.com/takasaka393","@takasaka393")</f>
        <v>@takasaka393</v>
      </c>
      <c r="C11454" s="21" t="s">
        <v>24020</v>
      </c>
      <c r="D11454" s="21" t="s">
        <v>24007</v>
      </c>
      <c r="E11454" s="22" t="str">
        <f>HYPERLINK("https://twitter.com/takasaka393/status/923018543204986882","923018543204986882")</f>
        <v>923018543204986882</v>
      </c>
      <c r="F11454" s="23" t="s">
        <v>43</v>
      </c>
      <c r="G11454" s="24">
        <v>2041.0</v>
      </c>
      <c r="H11454" s="24">
        <v>900.0</v>
      </c>
      <c r="I11454" s="24">
        <v>122.0</v>
      </c>
      <c r="J11454" s="24">
        <v>0.0</v>
      </c>
      <c r="K11454" s="23" t="s">
        <v>34</v>
      </c>
      <c r="L11454" s="25">
        <v>40815.29798611111</v>
      </c>
      <c r="M11454" s="26" t="s">
        <v>24021</v>
      </c>
      <c r="N11454" s="26" t="s">
        <v>24022</v>
      </c>
      <c r="O11454" s="22" t="str">
        <f>HYPERLINK("https://pbs.twimg.com/profile_images/622676555764903936/J1kBh4c0_normal.png","View")</f>
        <v>View</v>
      </c>
      <c r="P11454" s="27"/>
    </row>
    <row r="11455">
      <c r="A11455" s="14">
        <v>43032.82579861111</v>
      </c>
      <c r="B11455" s="20" t="str">
        <f>HYPERLINK("https://twitter.com/choonsikyoo","@choonsikyoo")</f>
        <v>@choonsikyoo</v>
      </c>
      <c r="C11455" s="21" t="s">
        <v>847</v>
      </c>
      <c r="D11455" s="21" t="s">
        <v>24023</v>
      </c>
      <c r="E11455" s="22" t="str">
        <f>HYPERLINK("https://twitter.com/choonsikyoo/status/923018567020359681","923018567020359681")</f>
        <v>923018567020359681</v>
      </c>
      <c r="F11455" s="23" t="s">
        <v>187</v>
      </c>
      <c r="G11455" s="24">
        <v>1709.0</v>
      </c>
      <c r="H11455" s="24">
        <v>1891.0</v>
      </c>
      <c r="I11455" s="24">
        <v>1.0</v>
      </c>
      <c r="J11455" s="24">
        <v>0.0</v>
      </c>
      <c r="K11455" s="23" t="s">
        <v>34</v>
      </c>
      <c r="L11455" s="25">
        <v>40224.817523148144</v>
      </c>
      <c r="M11455" s="26" t="s">
        <v>849</v>
      </c>
      <c r="N11455" s="26" t="s">
        <v>850</v>
      </c>
      <c r="O11455" s="22" t="str">
        <f>HYPERLINK("https://pbs.twimg.com/profile_images/2545270141/dwadjp2rsl27tumivfew_normal.jpeg","View")</f>
        <v>View</v>
      </c>
      <c r="P11455" s="27"/>
    </row>
    <row r="11456">
      <c r="A11456" s="14">
        <v>43032.82591435185</v>
      </c>
      <c r="B11456" s="20" t="str">
        <f>HYPERLINK("https://twitter.com/mlnangalama","@mlnangalama")</f>
        <v>@mlnangalama</v>
      </c>
      <c r="C11456" s="21" t="s">
        <v>925</v>
      </c>
      <c r="D11456" s="21" t="s">
        <v>24024</v>
      </c>
      <c r="E11456" s="22" t="str">
        <f>HYPERLINK("https://twitter.com/mlnangalama/status/923018605343723520","923018605343723520")</f>
        <v>923018605343723520</v>
      </c>
      <c r="F11456" s="23" t="s">
        <v>187</v>
      </c>
      <c r="G11456" s="24">
        <v>2366.0</v>
      </c>
      <c r="H11456" s="24">
        <v>1582.0</v>
      </c>
      <c r="I11456" s="24">
        <v>0.0</v>
      </c>
      <c r="J11456" s="24">
        <v>0.0</v>
      </c>
      <c r="K11456" s="23" t="s">
        <v>34</v>
      </c>
      <c r="L11456" s="25">
        <v>41041.54378472222</v>
      </c>
      <c r="M11456" s="26" t="s">
        <v>927</v>
      </c>
      <c r="N11456" s="26" t="s">
        <v>928</v>
      </c>
      <c r="O11456" s="22" t="str">
        <f>HYPERLINK("https://pbs.twimg.com/profile_images/900915882444173313/biUHzvpx_normal.jpg","View")</f>
        <v>View</v>
      </c>
      <c r="P11456" s="27"/>
    </row>
    <row r="11457">
      <c r="A11457" s="14">
        <v>43032.82603009259</v>
      </c>
      <c r="B11457" s="20" t="str">
        <f>HYPERLINK("https://twitter.com/the__himanish","@the__himanish")</f>
        <v>@the__himanish</v>
      </c>
      <c r="C11457" s="21" t="s">
        <v>2612</v>
      </c>
      <c r="D11457" s="21" t="s">
        <v>24025</v>
      </c>
      <c r="E11457" s="22" t="str">
        <f>HYPERLINK("https://twitter.com/the__himanish/status/923018648838696961","923018648838696961")</f>
        <v>923018648838696961</v>
      </c>
      <c r="F11457" s="23" t="s">
        <v>187</v>
      </c>
      <c r="G11457" s="24">
        <v>1822.0</v>
      </c>
      <c r="H11457" s="24">
        <v>1621.0</v>
      </c>
      <c r="I11457" s="24">
        <v>0.0</v>
      </c>
      <c r="J11457" s="24">
        <v>0.0</v>
      </c>
      <c r="K11457" s="23" t="s">
        <v>34</v>
      </c>
      <c r="L11457" s="25">
        <v>40222.15178240741</v>
      </c>
      <c r="M11457" s="26" t="s">
        <v>96</v>
      </c>
      <c r="N11457" s="26" t="s">
        <v>2614</v>
      </c>
      <c r="O11457" s="22" t="str">
        <f>HYPERLINK("https://pbs.twimg.com/profile_images/914165533918015489/A6iR_gz2_normal.jpg","View")</f>
        <v>View</v>
      </c>
      <c r="P11457" s="27"/>
    </row>
    <row r="11458">
      <c r="A11458" s="14">
        <v>43032.82608796297</v>
      </c>
      <c r="B11458" s="20" t="str">
        <f>HYPERLINK("https://twitter.com/NewsAssistant","@NewsAssistant")</f>
        <v>@NewsAssistant</v>
      </c>
      <c r="C11458" s="21" t="s">
        <v>24026</v>
      </c>
      <c r="D11458" s="21" t="s">
        <v>24007</v>
      </c>
      <c r="E11458" s="22" t="str">
        <f>HYPERLINK("https://twitter.com/NewsAssistant/status/923018671643136000","923018671643136000")</f>
        <v>923018671643136000</v>
      </c>
      <c r="F11458" s="23" t="s">
        <v>55</v>
      </c>
      <c r="G11458" s="24">
        <v>5.0</v>
      </c>
      <c r="H11458" s="24">
        <v>68.0</v>
      </c>
      <c r="I11458" s="24">
        <v>122.0</v>
      </c>
      <c r="J11458" s="24">
        <v>0.0</v>
      </c>
      <c r="K11458" s="23" t="s">
        <v>34</v>
      </c>
      <c r="L11458" s="25">
        <v>43032.10905092592</v>
      </c>
      <c r="M11458" s="26" t="s">
        <v>24027</v>
      </c>
      <c r="N11458" s="26" t="s">
        <v>24028</v>
      </c>
      <c r="O11458" s="22" t="str">
        <f>HYPERLINK("https://pbs.twimg.com/profile_images/922759806418542592/uXqf4K1o_normal.jpg","View")</f>
        <v>View</v>
      </c>
      <c r="P11458" s="27"/>
    </row>
    <row r="11459">
      <c r="A11459" s="14">
        <v>43032.82609953704</v>
      </c>
      <c r="B11459" s="20" t="str">
        <f>HYPERLINK("https://twitter.com/BSAFunds","@BSAFunds")</f>
        <v>@BSAFunds</v>
      </c>
      <c r="C11459" s="21" t="s">
        <v>1248</v>
      </c>
      <c r="D11459" s="21" t="s">
        <v>24029</v>
      </c>
      <c r="E11459" s="22" t="str">
        <f>HYPERLINK("https://twitter.com/BSAFunds/status/923018673614413824","923018673614413824")</f>
        <v>923018673614413824</v>
      </c>
      <c r="F11459" s="23" t="s">
        <v>187</v>
      </c>
      <c r="G11459" s="24">
        <v>20910.0</v>
      </c>
      <c r="H11459" s="24">
        <v>8929.0</v>
      </c>
      <c r="I11459" s="24">
        <v>0.0</v>
      </c>
      <c r="J11459" s="24">
        <v>0.0</v>
      </c>
      <c r="K11459" s="23" t="s">
        <v>34</v>
      </c>
      <c r="L11459" s="25">
        <v>42601.94818287037</v>
      </c>
      <c r="M11459" s="26" t="s">
        <v>1250</v>
      </c>
      <c r="N11459" s="26" t="s">
        <v>1251</v>
      </c>
      <c r="O11459" s="22" t="str">
        <f>HYPERLINK("https://pbs.twimg.com/profile_images/912769166960033792/N4LAmrTs_normal.jpg","View")</f>
        <v>View</v>
      </c>
      <c r="P11459" s="27"/>
    </row>
    <row r="11460">
      <c r="A11460" s="14">
        <v>43032.82612268519</v>
      </c>
      <c r="B11460" s="20" t="str">
        <f>HYPERLINK("https://twitter.com/kukukku9","@kukukku9")</f>
        <v>@kukukku9</v>
      </c>
      <c r="C11460" s="21" t="s">
        <v>24030</v>
      </c>
      <c r="D11460" s="21" t="s">
        <v>24007</v>
      </c>
      <c r="E11460" s="22" t="str">
        <f>HYPERLINK("https://twitter.com/kukukku9/status/923018684469096448","923018684469096448")</f>
        <v>923018684469096448</v>
      </c>
      <c r="F11460" s="23" t="s">
        <v>43</v>
      </c>
      <c r="G11460" s="24">
        <v>90.0</v>
      </c>
      <c r="H11460" s="24">
        <v>490.0</v>
      </c>
      <c r="I11460" s="24">
        <v>122.0</v>
      </c>
      <c r="J11460" s="24">
        <v>0.0</v>
      </c>
      <c r="K11460" s="23" t="s">
        <v>34</v>
      </c>
      <c r="L11460" s="25">
        <v>42120.00769675926</v>
      </c>
      <c r="M11460" s="28"/>
      <c r="N11460" s="26" t="s">
        <v>24031</v>
      </c>
      <c r="O11460" s="22" t="str">
        <f>HYPERLINK("https://pbs.twimg.com/profile_images/890919068974276608/VZTRrA7V_normal.jpg","View")</f>
        <v>View</v>
      </c>
      <c r="P11460" s="27"/>
    </row>
    <row r="11461">
      <c r="A11461" s="14">
        <v>43032.82613425926</v>
      </c>
      <c r="B11461" s="20" t="str">
        <f>HYPERLINK("https://twitter.com/CabbagesKingsNg","@CabbagesKingsNg")</f>
        <v>@CabbagesKingsNg</v>
      </c>
      <c r="C11461" s="21" t="s">
        <v>24032</v>
      </c>
      <c r="D11461" s="21" t="s">
        <v>24033</v>
      </c>
      <c r="E11461" s="22" t="str">
        <f>HYPERLINK("https://twitter.com/CabbagesKingsNg/status/923018688407785472","923018688407785472")</f>
        <v>923018688407785472</v>
      </c>
      <c r="F11461" s="23" t="s">
        <v>187</v>
      </c>
      <c r="G11461" s="24">
        <v>40.0</v>
      </c>
      <c r="H11461" s="24">
        <v>153.0</v>
      </c>
      <c r="I11461" s="24">
        <v>0.0</v>
      </c>
      <c r="J11461" s="24">
        <v>0.0</v>
      </c>
      <c r="K11461" s="23" t="s">
        <v>34</v>
      </c>
      <c r="L11461" s="25">
        <v>42713.76645833333</v>
      </c>
      <c r="M11461" s="28"/>
      <c r="N11461" s="28"/>
      <c r="O11461" s="22" t="str">
        <f>HYPERLINK("https://pbs.twimg.com/profile_images/807411491498577920/AddMjKL9_normal.jpg","View")</f>
        <v>View</v>
      </c>
      <c r="P11461" s="27"/>
    </row>
    <row r="11462">
      <c r="A11462" s="14">
        <v>43032.826215277775</v>
      </c>
      <c r="B11462" s="20" t="str">
        <f>HYPERLINK("https://twitter.com/MBE90","@MBE90")</f>
        <v>@MBE90</v>
      </c>
      <c r="C11462" s="21" t="s">
        <v>24034</v>
      </c>
      <c r="D11462" s="21" t="s">
        <v>24007</v>
      </c>
      <c r="E11462" s="22" t="str">
        <f>HYPERLINK("https://twitter.com/MBE90/status/923018716358545408","923018716358545408")</f>
        <v>923018716358545408</v>
      </c>
      <c r="F11462" s="23" t="s">
        <v>55</v>
      </c>
      <c r="G11462" s="24">
        <v>393.0</v>
      </c>
      <c r="H11462" s="24">
        <v>339.0</v>
      </c>
      <c r="I11462" s="24">
        <v>122.0</v>
      </c>
      <c r="J11462" s="24">
        <v>0.0</v>
      </c>
      <c r="K11462" s="23" t="s">
        <v>34</v>
      </c>
      <c r="L11462" s="25">
        <v>40093.395370370374</v>
      </c>
      <c r="M11462" s="26" t="s">
        <v>24035</v>
      </c>
      <c r="N11462" s="26" t="s">
        <v>24036</v>
      </c>
      <c r="O11462" s="22" t="str">
        <f>HYPERLINK("https://pbs.twimg.com/profile_images/455473116181852160/j9YQLuOf_normal.jpeg","View")</f>
        <v>View</v>
      </c>
      <c r="P11462" s="27"/>
    </row>
    <row r="11463">
      <c r="A11463" s="14">
        <v>43032.826377314814</v>
      </c>
      <c r="B11463" s="20" t="str">
        <f>HYPERLINK("https://twitter.com/jondon_silly","@jondon_silly")</f>
        <v>@jondon_silly</v>
      </c>
      <c r="C11463" s="21" t="s">
        <v>24037</v>
      </c>
      <c r="D11463" s="21" t="s">
        <v>24007</v>
      </c>
      <c r="E11463" s="22" t="str">
        <f>HYPERLINK("https://twitter.com/jondon_silly/status/923018776093908992","923018776093908992")</f>
        <v>923018776093908992</v>
      </c>
      <c r="F11463" s="23" t="s">
        <v>39</v>
      </c>
      <c r="G11463" s="24">
        <v>4.0</v>
      </c>
      <c r="H11463" s="24">
        <v>62.0</v>
      </c>
      <c r="I11463" s="24">
        <v>122.0</v>
      </c>
      <c r="J11463" s="24">
        <v>0.0</v>
      </c>
      <c r="K11463" s="23" t="s">
        <v>34</v>
      </c>
      <c r="L11463" s="25">
        <v>42899.56547453704</v>
      </c>
      <c r="M11463" s="26" t="s">
        <v>567</v>
      </c>
      <c r="N11463" s="26" t="s">
        <v>24038</v>
      </c>
      <c r="O11463" s="22" t="str">
        <f>HYPERLINK("https://pbs.twimg.com/profile_images/874730486505119745/vnShCNoO_normal.jpg","View")</f>
        <v>View</v>
      </c>
      <c r="P11463" s="27"/>
    </row>
    <row r="11464">
      <c r="A11464" s="14">
        <v>43032.82644675926</v>
      </c>
      <c r="B11464" s="20" t="str">
        <f>HYPERLINK("https://twitter.com/fareedaasf","@fareedaasf")</f>
        <v>@fareedaasf</v>
      </c>
      <c r="C11464" s="21" t="s">
        <v>24039</v>
      </c>
      <c r="D11464" s="21" t="s">
        <v>24040</v>
      </c>
      <c r="E11464" s="22" t="str">
        <f>HYPERLINK("https://twitter.com/fareedaasf/status/923018798252269569","923018798252269569")</f>
        <v>923018798252269569</v>
      </c>
      <c r="F11464" s="23" t="s">
        <v>33</v>
      </c>
      <c r="G11464" s="24">
        <v>994.0</v>
      </c>
      <c r="H11464" s="24">
        <v>3293.0</v>
      </c>
      <c r="I11464" s="24">
        <v>1.0</v>
      </c>
      <c r="J11464" s="24">
        <v>0.0</v>
      </c>
      <c r="K11464" s="23" t="s">
        <v>34</v>
      </c>
      <c r="L11464" s="25">
        <v>42124.38929398148</v>
      </c>
      <c r="M11464" s="28"/>
      <c r="N11464" s="26" t="s">
        <v>24041</v>
      </c>
      <c r="O11464" s="22" t="str">
        <f>HYPERLINK("https://pbs.twimg.com/profile_images/922056659857371143/G-tljGtD_normal.jpg","View")</f>
        <v>View</v>
      </c>
      <c r="P11464" s="27"/>
    </row>
    <row r="11465">
      <c r="A11465" s="14">
        <v>43032.826469907406</v>
      </c>
      <c r="B11465" s="20" t="str">
        <f>HYPERLINK("https://twitter.com/DaleyDaley09","@DaleyDaley09")</f>
        <v>@DaleyDaley09</v>
      </c>
      <c r="C11465" s="21" t="s">
        <v>24042</v>
      </c>
      <c r="D11465" s="21" t="s">
        <v>24007</v>
      </c>
      <c r="E11465" s="22" t="str">
        <f>HYPERLINK("https://twitter.com/DaleyDaley09/status/923018810034216961","923018810034216961")</f>
        <v>923018810034216961</v>
      </c>
      <c r="F11465" s="23" t="s">
        <v>39</v>
      </c>
      <c r="G11465" s="24">
        <v>557.0</v>
      </c>
      <c r="H11465" s="24">
        <v>753.0</v>
      </c>
      <c r="I11465" s="24">
        <v>122.0</v>
      </c>
      <c r="J11465" s="24">
        <v>0.0</v>
      </c>
      <c r="K11465" s="23" t="s">
        <v>34</v>
      </c>
      <c r="L11465" s="25">
        <v>42790.57726851852</v>
      </c>
      <c r="M11465" s="26" t="s">
        <v>6241</v>
      </c>
      <c r="N11465" s="26" t="s">
        <v>24043</v>
      </c>
      <c r="O11465" s="22" t="str">
        <f>HYPERLINK("https://pbs.twimg.com/profile_images/922258266972938240/imiu-2LO_normal.jpg","View")</f>
        <v>View</v>
      </c>
      <c r="P11465" s="27"/>
    </row>
    <row r="11466">
      <c r="A11466" s="14">
        <v>43032.82652777778</v>
      </c>
      <c r="B11466" s="20" t="str">
        <f>HYPERLINK("https://twitter.com/TheNewsGlobe","@TheNewsGlobe")</f>
        <v>@TheNewsGlobe</v>
      </c>
      <c r="C11466" s="21" t="s">
        <v>1836</v>
      </c>
      <c r="D11466" s="21" t="s">
        <v>24044</v>
      </c>
      <c r="E11466" s="22" t="str">
        <f>HYPERLINK("https://twitter.com/TheNewsGlobe/status/923018828744937472","923018828744937472")</f>
        <v>923018828744937472</v>
      </c>
      <c r="F11466" s="23" t="s">
        <v>1836</v>
      </c>
      <c r="G11466" s="24">
        <v>2712.0</v>
      </c>
      <c r="H11466" s="24">
        <v>1771.0</v>
      </c>
      <c r="I11466" s="24">
        <v>0.0</v>
      </c>
      <c r="J11466" s="24">
        <v>0.0</v>
      </c>
      <c r="K11466" s="23" t="s">
        <v>34</v>
      </c>
      <c r="L11466" s="25">
        <v>41092.105520833335</v>
      </c>
      <c r="M11466" s="28"/>
      <c r="N11466" s="26" t="s">
        <v>1838</v>
      </c>
      <c r="O11466" s="22" t="str">
        <f>HYPERLINK("https://pbs.twimg.com/profile_images/2360227980/lvt33yxxfyarwobshu9k_normal.jpeg","View")</f>
        <v>View</v>
      </c>
      <c r="P11466" s="27"/>
    </row>
    <row r="11467">
      <c r="A11467" s="14">
        <v>43032.82655092592</v>
      </c>
      <c r="B11467" s="20" t="str">
        <f>HYPERLINK("https://twitter.com/Frauwoo","@Frauwoo")</f>
        <v>@Frauwoo</v>
      </c>
      <c r="C11467" s="21" t="s">
        <v>24045</v>
      </c>
      <c r="D11467" s="21" t="s">
        <v>24007</v>
      </c>
      <c r="E11467" s="22" t="str">
        <f>HYPERLINK("https://twitter.com/Frauwoo/status/923018836567244800","923018836567244800")</f>
        <v>923018836567244800</v>
      </c>
      <c r="F11467" s="23" t="s">
        <v>33</v>
      </c>
      <c r="G11467" s="24">
        <v>587.0</v>
      </c>
      <c r="H11467" s="24">
        <v>547.0</v>
      </c>
      <c r="I11467" s="24">
        <v>122.0</v>
      </c>
      <c r="J11467" s="24">
        <v>0.0</v>
      </c>
      <c r="K11467" s="23" t="s">
        <v>34</v>
      </c>
      <c r="L11467" s="25">
        <v>40511.176828703705</v>
      </c>
      <c r="M11467" s="26" t="s">
        <v>24046</v>
      </c>
      <c r="N11467" s="26" t="s">
        <v>24047</v>
      </c>
      <c r="O11467" s="22" t="str">
        <f>HYPERLINK("https://pbs.twimg.com/profile_images/810828929007091712/HGekxk-V_normal.jpg","View")</f>
        <v>View</v>
      </c>
      <c r="P11467" s="27"/>
    </row>
    <row r="11468">
      <c r="A11468" s="14">
        <v>43032.826631944445</v>
      </c>
      <c r="B11468" s="20" t="str">
        <f>HYPERLINK("https://twitter.com/mocchy99","@mocchy99")</f>
        <v>@mocchy99</v>
      </c>
      <c r="C11468" s="21" t="s">
        <v>24048</v>
      </c>
      <c r="D11468" s="21" t="s">
        <v>24007</v>
      </c>
      <c r="E11468" s="22" t="str">
        <f>HYPERLINK("https://twitter.com/mocchy99/status/923018866296373249","923018866296373249")</f>
        <v>923018866296373249</v>
      </c>
      <c r="F11468" s="23" t="s">
        <v>55</v>
      </c>
      <c r="G11468" s="24">
        <v>1450.0</v>
      </c>
      <c r="H11468" s="24">
        <v>1833.0</v>
      </c>
      <c r="I11468" s="24">
        <v>122.0</v>
      </c>
      <c r="J11468" s="24">
        <v>0.0</v>
      </c>
      <c r="K11468" s="23" t="s">
        <v>34</v>
      </c>
      <c r="L11468" s="25">
        <v>40068.59090277778</v>
      </c>
      <c r="M11468" s="26" t="s">
        <v>10404</v>
      </c>
      <c r="N11468" s="26" t="s">
        <v>24049</v>
      </c>
      <c r="O11468" s="22" t="str">
        <f>HYPERLINK("https://pbs.twimg.com/profile_images/726165488/a60885_normal.jpg","View")</f>
        <v>View</v>
      </c>
      <c r="P11468" s="27"/>
    </row>
    <row r="11469">
      <c r="A11469" s="14">
        <v>43032.82665509259</v>
      </c>
      <c r="B11469" s="20" t="str">
        <f>HYPERLINK("https://twitter.com/asuka_250","@asuka_250")</f>
        <v>@asuka_250</v>
      </c>
      <c r="C11469" s="21" t="s">
        <v>8584</v>
      </c>
      <c r="D11469" s="21" t="s">
        <v>23525</v>
      </c>
      <c r="E11469" s="22" t="str">
        <f>HYPERLINK("https://twitter.com/asuka_250/status/923018877679763457","923018877679763457")</f>
        <v>923018877679763457</v>
      </c>
      <c r="F11469" s="23" t="s">
        <v>33</v>
      </c>
      <c r="G11469" s="24">
        <v>30812.0</v>
      </c>
      <c r="H11469" s="24">
        <v>30482.0</v>
      </c>
      <c r="I11469" s="24">
        <v>41.0</v>
      </c>
      <c r="J11469" s="24">
        <v>0.0</v>
      </c>
      <c r="K11469" s="23" t="s">
        <v>34</v>
      </c>
      <c r="L11469" s="25">
        <v>41943.172476851854</v>
      </c>
      <c r="M11469" s="26" t="s">
        <v>1224</v>
      </c>
      <c r="N11469" s="26" t="s">
        <v>8586</v>
      </c>
      <c r="O11469" s="22" t="str">
        <f>HYPERLINK("https://pbs.twimg.com/profile_images/576284037486014464/dhYtI1qZ_normal.jpeg","View")</f>
        <v>View</v>
      </c>
      <c r="P11469" s="27"/>
    </row>
    <row r="11470">
      <c r="A11470" s="14">
        <v>43032.82673611111</v>
      </c>
      <c r="B11470" s="20" t="str">
        <f>HYPERLINK("https://twitter.com/bdNewsTweet","@bdNewsTweet")</f>
        <v>@bdNewsTweet</v>
      </c>
      <c r="C11470" s="21" t="s">
        <v>1066</v>
      </c>
      <c r="D11470" s="21" t="s">
        <v>24050</v>
      </c>
      <c r="E11470" s="22" t="str">
        <f>HYPERLINK("https://twitter.com/bdNewsTweet/status/923018904737406976","923018904737406976")</f>
        <v>923018904737406976</v>
      </c>
      <c r="F11470" s="23" t="s">
        <v>187</v>
      </c>
      <c r="G11470" s="24">
        <v>77.0</v>
      </c>
      <c r="H11470" s="24">
        <v>25.0</v>
      </c>
      <c r="I11470" s="24">
        <v>0.0</v>
      </c>
      <c r="J11470" s="24">
        <v>0.0</v>
      </c>
      <c r="K11470" s="23" t="s">
        <v>34</v>
      </c>
      <c r="L11470" s="25">
        <v>42516.37630787037</v>
      </c>
      <c r="M11470" s="26" t="s">
        <v>747</v>
      </c>
      <c r="N11470" s="26" t="s">
        <v>1068</v>
      </c>
      <c r="O11470" s="22" t="str">
        <f>HYPERLINK("https://pbs.twimg.com/profile_images/902421074008084481/fXS9jF8X_normal.jpg","View")</f>
        <v>View</v>
      </c>
      <c r="P11470" s="27"/>
    </row>
    <row r="11471">
      <c r="A11471" s="14">
        <v>43032.82678240741</v>
      </c>
      <c r="B11471" s="20" t="str">
        <f>HYPERLINK("https://twitter.com/Awara_san","@Awara_san")</f>
        <v>@Awara_san</v>
      </c>
      <c r="C11471" s="21" t="s">
        <v>24051</v>
      </c>
      <c r="D11471" s="21" t="s">
        <v>24007</v>
      </c>
      <c r="E11471" s="22" t="str">
        <f>HYPERLINK("https://twitter.com/Awara_san/status/923018922546282496","923018922546282496")</f>
        <v>923018922546282496</v>
      </c>
      <c r="F11471" s="23" t="s">
        <v>55</v>
      </c>
      <c r="G11471" s="24">
        <v>352.0</v>
      </c>
      <c r="H11471" s="24">
        <v>330.0</v>
      </c>
      <c r="I11471" s="24">
        <v>122.0</v>
      </c>
      <c r="J11471" s="24">
        <v>0.0</v>
      </c>
      <c r="K11471" s="23" t="s">
        <v>34</v>
      </c>
      <c r="L11471" s="25">
        <v>41811.949525462966</v>
      </c>
      <c r="M11471" s="26" t="s">
        <v>24052</v>
      </c>
      <c r="N11471" s="26" t="s">
        <v>24053</v>
      </c>
      <c r="O11471" s="22" t="str">
        <f>HYPERLINK("https://pbs.twimg.com/profile_images/734324286949720064/z05zpxz5_normal.jpg","View")</f>
        <v>View</v>
      </c>
      <c r="P11471" s="27"/>
    </row>
    <row r="11472">
      <c r="A11472" s="14">
        <v>43032.826828703706</v>
      </c>
      <c r="B11472" s="20" t="str">
        <f>HYPERLINK("https://twitter.com/MediaGuerrillaV","@MediaGuerrillaV")</f>
        <v>@MediaGuerrillaV</v>
      </c>
      <c r="C11472" s="21" t="s">
        <v>24054</v>
      </c>
      <c r="D11472" s="21" t="s">
        <v>24007</v>
      </c>
      <c r="E11472" s="22" t="str">
        <f>HYPERLINK("https://twitter.com/MediaGuerrillaV/status/923018940485394437","923018940485394437")</f>
        <v>923018940485394437</v>
      </c>
      <c r="F11472" s="23" t="s">
        <v>24055</v>
      </c>
      <c r="G11472" s="24">
        <v>5020.0</v>
      </c>
      <c r="H11472" s="24">
        <v>4702.0</v>
      </c>
      <c r="I11472" s="24">
        <v>122.0</v>
      </c>
      <c r="J11472" s="24">
        <v>0.0</v>
      </c>
      <c r="K11472" s="23" t="s">
        <v>34</v>
      </c>
      <c r="L11472" s="25">
        <v>39926.36854166667</v>
      </c>
      <c r="M11472" s="26" t="s">
        <v>24056</v>
      </c>
      <c r="N11472" s="26" t="s">
        <v>24057</v>
      </c>
      <c r="O11472" s="22" t="str">
        <f>HYPERLINK("https://pbs.twimg.com/profile_images/732429330869948416/MnUd2wB0_normal.jpg","View")</f>
        <v>View</v>
      </c>
      <c r="P11472" s="27"/>
    </row>
    <row r="11473">
      <c r="A11473" s="14">
        <v>43032.826956018514</v>
      </c>
      <c r="B11473" s="20" t="str">
        <f>HYPERLINK("https://twitter.com/SivapalaniS","@SivapalaniS")</f>
        <v>@SivapalaniS</v>
      </c>
      <c r="C11473" s="21" t="s">
        <v>24058</v>
      </c>
      <c r="D11473" s="21" t="s">
        <v>42</v>
      </c>
      <c r="E11473" s="22" t="str">
        <f>HYPERLINK("https://twitter.com/SivapalaniS/status/923018985221656576","923018985221656576")</f>
        <v>923018985221656576</v>
      </c>
      <c r="F11473" s="23" t="s">
        <v>33</v>
      </c>
      <c r="G11473" s="24">
        <v>66.0</v>
      </c>
      <c r="H11473" s="24">
        <v>94.0</v>
      </c>
      <c r="I11473" s="24">
        <v>8501.0</v>
      </c>
      <c r="J11473" s="24">
        <v>0.0</v>
      </c>
      <c r="K11473" s="23" t="s">
        <v>34</v>
      </c>
      <c r="L11473" s="25">
        <v>42963.46452546296</v>
      </c>
      <c r="M11473" s="28"/>
      <c r="N11473" s="28"/>
      <c r="O11473" s="22" t="str">
        <f>HYPERLINK("https://pbs.twimg.com/profile_images/922071770923876352/NZ_00o0n_normal.jpg","View")</f>
        <v>View</v>
      </c>
      <c r="P11473" s="27"/>
    </row>
    <row r="11474">
      <c r="A11474" s="14">
        <v>43032.82696759259</v>
      </c>
      <c r="B11474" s="20" t="str">
        <f>HYPERLINK("https://twitter.com/CollectedN","@CollectedN")</f>
        <v>@CollectedN</v>
      </c>
      <c r="C11474" s="21" t="s">
        <v>3553</v>
      </c>
      <c r="D11474" s="21" t="s">
        <v>24059</v>
      </c>
      <c r="E11474" s="22" t="str">
        <f>HYPERLINK("https://twitter.com/CollectedN/status/923018987419701248","923018987419701248")</f>
        <v>923018987419701248</v>
      </c>
      <c r="F11474" s="23" t="s">
        <v>187</v>
      </c>
      <c r="G11474" s="24">
        <v>21993.0</v>
      </c>
      <c r="H11474" s="24">
        <v>16541.0</v>
      </c>
      <c r="I11474" s="24">
        <v>0.0</v>
      </c>
      <c r="J11474" s="24">
        <v>0.0</v>
      </c>
      <c r="K11474" s="23" t="s">
        <v>34</v>
      </c>
      <c r="L11474" s="25">
        <v>41333.76840277778</v>
      </c>
      <c r="M11474" s="28"/>
      <c r="N11474" s="26" t="s">
        <v>3555</v>
      </c>
      <c r="O11474" s="22" t="str">
        <f>HYPERLINK("https://pbs.twimg.com/profile_images/705925817277108224/nGS1Ko7F_normal.jpg","View")</f>
        <v>View</v>
      </c>
      <c r="P11474" s="27"/>
    </row>
    <row r="11475">
      <c r="A11475" s="14">
        <v>43032.827002314814</v>
      </c>
      <c r="B11475" s="20" t="str">
        <f>HYPERLINK("https://twitter.com/sk_ut","@sk_ut")</f>
        <v>@sk_ut</v>
      </c>
      <c r="C11475" s="21" t="s">
        <v>24060</v>
      </c>
      <c r="D11475" s="21" t="s">
        <v>24007</v>
      </c>
      <c r="E11475" s="22" t="str">
        <f>HYPERLINK("https://twitter.com/sk_ut/status/923019000992301056","923019000992301056")</f>
        <v>923019000992301056</v>
      </c>
      <c r="F11475" s="23" t="s">
        <v>55</v>
      </c>
      <c r="G11475" s="24">
        <v>350.0</v>
      </c>
      <c r="H11475" s="24">
        <v>566.0</v>
      </c>
      <c r="I11475" s="24">
        <v>122.0</v>
      </c>
      <c r="J11475" s="24">
        <v>0.0</v>
      </c>
      <c r="K11475" s="23" t="s">
        <v>34</v>
      </c>
      <c r="L11475" s="25">
        <v>40149.2972337963</v>
      </c>
      <c r="M11475" s="26" t="s">
        <v>5401</v>
      </c>
      <c r="N11475" s="26" t="s">
        <v>24061</v>
      </c>
      <c r="O11475" s="22" t="str">
        <f>HYPERLINK("https://pbs.twimg.com/profile_images/921198939247742976/GxOgzCVX_normal.jpg","View")</f>
        <v>View</v>
      </c>
      <c r="P11475" s="27"/>
    </row>
    <row r="11476">
      <c r="A11476" s="14">
        <v>43032.8271412037</v>
      </c>
      <c r="B11476" s="20" t="str">
        <f>HYPERLINK("https://twitter.com/ibex35_pro","@ibex35_pro")</f>
        <v>@ibex35_pro</v>
      </c>
      <c r="C11476" s="21" t="s">
        <v>24062</v>
      </c>
      <c r="D11476" s="21" t="s">
        <v>24063</v>
      </c>
      <c r="E11476" s="22" t="str">
        <f>HYPERLINK("https://twitter.com/ibex35_pro/status/923019051189731328","923019051189731328")</f>
        <v>923019051189731328</v>
      </c>
      <c r="F11476" s="30" t="s">
        <v>411</v>
      </c>
      <c r="G11476" s="24">
        <v>2410.0</v>
      </c>
      <c r="H11476" s="24">
        <v>387.0</v>
      </c>
      <c r="I11476" s="24">
        <v>0.0</v>
      </c>
      <c r="J11476" s="24">
        <v>0.0</v>
      </c>
      <c r="K11476" s="23" t="s">
        <v>34</v>
      </c>
      <c r="L11476" s="25">
        <v>41294.394155092596</v>
      </c>
      <c r="M11476" s="26" t="s">
        <v>24064</v>
      </c>
      <c r="N11476" s="26" t="s">
        <v>24065</v>
      </c>
      <c r="O11476" s="22" t="str">
        <f>HYPERLINK("https://pbs.twimg.com/profile_images/788394880410214400/Cz06Fc4V_normal.jpg","View")</f>
        <v>View</v>
      </c>
      <c r="P11476" s="27"/>
    </row>
    <row r="11477">
      <c r="A11477" s="14">
        <v>43032.8271412037</v>
      </c>
      <c r="B11477" s="20" t="str">
        <f>HYPERLINK("https://twitter.com/Rouletteberater","@Rouletteberater")</f>
        <v>@Rouletteberater</v>
      </c>
      <c r="C11477" s="21" t="s">
        <v>24066</v>
      </c>
      <c r="D11477" s="21" t="s">
        <v>24067</v>
      </c>
      <c r="E11477" s="22" t="str">
        <f>HYPERLINK("https://twitter.com/Rouletteberater/status/923019051533713408","923019051533713408")</f>
        <v>923019051533713408</v>
      </c>
      <c r="F11477" s="30" t="s">
        <v>411</v>
      </c>
      <c r="G11477" s="24">
        <v>5312.0</v>
      </c>
      <c r="H11477" s="24">
        <v>5814.0</v>
      </c>
      <c r="I11477" s="24">
        <v>0.0</v>
      </c>
      <c r="J11477" s="24">
        <v>0.0</v>
      </c>
      <c r="K11477" s="23" t="s">
        <v>34</v>
      </c>
      <c r="L11477" s="25">
        <v>40564.24486111111</v>
      </c>
      <c r="M11477" s="26" t="s">
        <v>1835</v>
      </c>
      <c r="N11477" s="26" t="s">
        <v>24068</v>
      </c>
      <c r="O11477" s="22" t="str">
        <f>HYPERLINK("https://pbs.twimg.com/profile_images/1358083711/Facebook_normal.jpg","View")</f>
        <v>View</v>
      </c>
      <c r="P11477" s="27"/>
    </row>
    <row r="11478">
      <c r="A11478" s="14">
        <v>43032.8271412037</v>
      </c>
      <c r="B11478" s="20" t="str">
        <f>HYPERLINK("https://twitter.com/davemasters","@davemasters")</f>
        <v>@davemasters</v>
      </c>
      <c r="C11478" s="21" t="s">
        <v>24069</v>
      </c>
      <c r="D11478" s="21" t="s">
        <v>24070</v>
      </c>
      <c r="E11478" s="22" t="str">
        <f>HYPERLINK("https://twitter.com/davemasters/status/923019051655241728","923019051655241728")</f>
        <v>923019051655241728</v>
      </c>
      <c r="F11478" s="30" t="s">
        <v>411</v>
      </c>
      <c r="G11478" s="24">
        <v>17545.0</v>
      </c>
      <c r="H11478" s="24">
        <v>11708.0</v>
      </c>
      <c r="I11478" s="24">
        <v>0.0</v>
      </c>
      <c r="J11478" s="24">
        <v>1.0</v>
      </c>
      <c r="K11478" s="23" t="s">
        <v>34</v>
      </c>
      <c r="L11478" s="25">
        <v>39899.273888888885</v>
      </c>
      <c r="M11478" s="26" t="s">
        <v>24071</v>
      </c>
      <c r="N11478" s="26" t="s">
        <v>24072</v>
      </c>
      <c r="O11478" s="22" t="str">
        <f>HYPERLINK("https://pbs.twimg.com/profile_images/778544636834873344/KGDBrRMY_normal.jpg","View")</f>
        <v>View</v>
      </c>
      <c r="P11478" s="27"/>
    </row>
    <row r="11479">
      <c r="A11479" s="14">
        <v>43032.8271412037</v>
      </c>
      <c r="B11479" s="20" t="str">
        <f>HYPERLINK("https://twitter.com/stevenacurtis","@stevenacurtis")</f>
        <v>@stevenacurtis</v>
      </c>
      <c r="C11479" s="21" t="s">
        <v>24073</v>
      </c>
      <c r="D11479" s="21" t="s">
        <v>24074</v>
      </c>
      <c r="E11479" s="22" t="str">
        <f>HYPERLINK("https://twitter.com/stevenacurtis/status/923019052167061504","923019052167061504")</f>
        <v>923019052167061504</v>
      </c>
      <c r="F11479" s="30" t="s">
        <v>411</v>
      </c>
      <c r="G11479" s="24">
        <v>3856.0</v>
      </c>
      <c r="H11479" s="24">
        <v>3732.0</v>
      </c>
      <c r="I11479" s="24">
        <v>0.0</v>
      </c>
      <c r="J11479" s="24">
        <v>0.0</v>
      </c>
      <c r="K11479" s="23" t="s">
        <v>34</v>
      </c>
      <c r="L11479" s="25">
        <v>39845.90263888889</v>
      </c>
      <c r="M11479" s="26" t="s">
        <v>24075</v>
      </c>
      <c r="N11479" s="26" t="s">
        <v>24076</v>
      </c>
      <c r="O11479" s="22" t="str">
        <f>HYPERLINK("https://pbs.twimg.com/profile_images/825733412040409088/R8opUW6U_normal.jpg","View")</f>
        <v>View</v>
      </c>
      <c r="P11479" s="27"/>
    </row>
    <row r="11480">
      <c r="A11480" s="14">
        <v>43032.8271412037</v>
      </c>
      <c r="B11480" s="20" t="str">
        <f>HYPERLINK("https://twitter.com/BretCarbone","@BretCarbone")</f>
        <v>@BretCarbone</v>
      </c>
      <c r="C11480" s="21" t="s">
        <v>24077</v>
      </c>
      <c r="D11480" s="21" t="s">
        <v>24078</v>
      </c>
      <c r="E11480" s="22" t="str">
        <f>HYPERLINK("https://twitter.com/BretCarbone/status/923019052246745089","923019052246745089")</f>
        <v>923019052246745089</v>
      </c>
      <c r="F11480" s="30" t="s">
        <v>411</v>
      </c>
      <c r="G11480" s="24">
        <v>445.0</v>
      </c>
      <c r="H11480" s="24">
        <v>379.0</v>
      </c>
      <c r="I11480" s="24">
        <v>0.0</v>
      </c>
      <c r="J11480" s="24">
        <v>0.0</v>
      </c>
      <c r="K11480" s="23" t="s">
        <v>34</v>
      </c>
      <c r="L11480" s="25">
        <v>41796.54449074074</v>
      </c>
      <c r="M11480" s="28"/>
      <c r="N11480" s="26" t="s">
        <v>24079</v>
      </c>
      <c r="O11480" s="22" t="str">
        <f>HYPERLINK("https://pbs.twimg.com/profile_images/475009052095692802/Q02LK-pi_normal.jpeg","View")</f>
        <v>View</v>
      </c>
      <c r="P11480" s="27"/>
    </row>
    <row r="11481">
      <c r="A11481" s="14">
        <v>43032.8271412037</v>
      </c>
      <c r="B11481" s="20" t="str">
        <f>HYPERLINK("https://twitter.com/crewislife","@crewislife")</f>
        <v>@crewislife</v>
      </c>
      <c r="C11481" s="21" t="s">
        <v>24080</v>
      </c>
      <c r="D11481" s="21" t="s">
        <v>24081</v>
      </c>
      <c r="E11481" s="22" t="str">
        <f>HYPERLINK("https://twitter.com/crewislife/status/923019052523458562","923019052523458562")</f>
        <v>923019052523458562</v>
      </c>
      <c r="F11481" s="30" t="s">
        <v>411</v>
      </c>
      <c r="G11481" s="24">
        <v>7172.0</v>
      </c>
      <c r="H11481" s="24">
        <v>7172.0</v>
      </c>
      <c r="I11481" s="24">
        <v>1.0</v>
      </c>
      <c r="J11481" s="24">
        <v>0.0</v>
      </c>
      <c r="K11481" s="23" t="s">
        <v>34</v>
      </c>
      <c r="L11481" s="25">
        <v>39777.91527777778</v>
      </c>
      <c r="M11481" s="26" t="s">
        <v>24082</v>
      </c>
      <c r="N11481" s="26" t="s">
        <v>24083</v>
      </c>
      <c r="O11481" s="22" t="str">
        <f>HYPERLINK("https://pbs.twimg.com/profile_images/912148508999786496/DYWWvmCA_normal.jpg","View")</f>
        <v>View</v>
      </c>
      <c r="P11481" s="27"/>
    </row>
    <row r="11482">
      <c r="A11482" s="14">
        <v>43032.8271412037</v>
      </c>
      <c r="B11482" s="20" t="str">
        <f>HYPERLINK("https://twitter.com/BK_News_","@BK_News_")</f>
        <v>@BK_News_</v>
      </c>
      <c r="C11482" s="21" t="s">
        <v>24084</v>
      </c>
      <c r="D11482" s="21" t="s">
        <v>24085</v>
      </c>
      <c r="E11482" s="22" t="str">
        <f>HYPERLINK("https://twitter.com/BK_News_/status/923019052821372929","923019052821372929")</f>
        <v>923019052821372929</v>
      </c>
      <c r="F11482" s="30" t="s">
        <v>411</v>
      </c>
      <c r="G11482" s="24">
        <v>548.0</v>
      </c>
      <c r="H11482" s="24">
        <v>4379.0</v>
      </c>
      <c r="I11482" s="24">
        <v>0.0</v>
      </c>
      <c r="J11482" s="24">
        <v>0.0</v>
      </c>
      <c r="K11482" s="23" t="s">
        <v>34</v>
      </c>
      <c r="L11482" s="25">
        <v>42713.80384259259</v>
      </c>
      <c r="M11482" s="26" t="s">
        <v>24086</v>
      </c>
      <c r="N11482" s="28"/>
      <c r="O11482" s="22" t="str">
        <f>HYPERLINK("https://pbs.twimg.com/profile_images/816629982986387456/fdNkNLlq_normal.jpg","View")</f>
        <v>View</v>
      </c>
      <c r="P11482" s="27"/>
    </row>
    <row r="11483">
      <c r="A11483" s="14">
        <v>43032.8271412037</v>
      </c>
      <c r="B11483" s="20" t="str">
        <f>HYPERLINK("https://twitter.com/Daily_AUS","@Daily_AUS")</f>
        <v>@Daily_AUS</v>
      </c>
      <c r="C11483" s="21" t="s">
        <v>24087</v>
      </c>
      <c r="D11483" s="21" t="s">
        <v>24088</v>
      </c>
      <c r="E11483" s="22" t="str">
        <f>HYPERLINK("https://twitter.com/Daily_AUS/status/923019052896763905","923019052896763905")</f>
        <v>923019052896763905</v>
      </c>
      <c r="F11483" s="30" t="s">
        <v>411</v>
      </c>
      <c r="G11483" s="24">
        <v>2126.0</v>
      </c>
      <c r="H11483" s="24">
        <v>1432.0</v>
      </c>
      <c r="I11483" s="24">
        <v>0.0</v>
      </c>
      <c r="J11483" s="24">
        <v>0.0</v>
      </c>
      <c r="K11483" s="23" t="s">
        <v>34</v>
      </c>
      <c r="L11483" s="25">
        <v>42713.39015046296</v>
      </c>
      <c r="M11483" s="26" t="s">
        <v>12145</v>
      </c>
      <c r="N11483" s="26" t="s">
        <v>15081</v>
      </c>
      <c r="O11483" s="22" t="str">
        <f>HYPERLINK("https://pbs.twimg.com/profile_images/839627330402283524/RVSwql5P_normal.jpg","View")</f>
        <v>View</v>
      </c>
      <c r="P11483" s="27"/>
    </row>
    <row r="11484">
      <c r="A11484" s="14">
        <v>43032.8271412037</v>
      </c>
      <c r="B11484" s="20" t="str">
        <f>HYPERLINK("https://twitter.com/Daily_KWP","@Daily_KWP")</f>
        <v>@Daily_KWP</v>
      </c>
      <c r="C11484" s="21" t="s">
        <v>24089</v>
      </c>
      <c r="D11484" s="21" t="s">
        <v>24090</v>
      </c>
      <c r="E11484" s="22" t="str">
        <f>HYPERLINK("https://twitter.com/Daily_KWP/status/923019052938797056","923019052938797056")</f>
        <v>923019052938797056</v>
      </c>
      <c r="F11484" s="30" t="s">
        <v>411</v>
      </c>
      <c r="G11484" s="24">
        <v>1376.0</v>
      </c>
      <c r="H11484" s="24">
        <v>720.0</v>
      </c>
      <c r="I11484" s="24">
        <v>0.0</v>
      </c>
      <c r="J11484" s="24">
        <v>0.0</v>
      </c>
      <c r="K11484" s="23" t="s">
        <v>34</v>
      </c>
      <c r="L11484" s="25">
        <v>42712.74784722222</v>
      </c>
      <c r="M11484" s="26" t="s">
        <v>24086</v>
      </c>
      <c r="N11484" s="26" t="s">
        <v>15081</v>
      </c>
      <c r="O11484" s="22" t="str">
        <f>HYPERLINK("https://pbs.twimg.com/profile_images/839621301790724096/iOg62_gg_normal.jpg","View")</f>
        <v>View</v>
      </c>
      <c r="P11484" s="27"/>
    </row>
    <row r="11485">
      <c r="A11485" s="14">
        <v>43032.8271412037</v>
      </c>
      <c r="B11485" s="20" t="str">
        <f>HYPERLINK("https://twitter.com/Daily_SFN","@Daily_SFN")</f>
        <v>@Daily_SFN</v>
      </c>
      <c r="C11485" s="21" t="s">
        <v>24091</v>
      </c>
      <c r="D11485" s="21" t="s">
        <v>24092</v>
      </c>
      <c r="E11485" s="22" t="str">
        <f>HYPERLINK("https://twitter.com/Daily_SFN/status/923019052951285765","923019052951285765")</f>
        <v>923019052951285765</v>
      </c>
      <c r="F11485" s="30" t="s">
        <v>411</v>
      </c>
      <c r="G11485" s="24">
        <v>2128.0</v>
      </c>
      <c r="H11485" s="24">
        <v>2073.0</v>
      </c>
      <c r="I11485" s="24">
        <v>0.0</v>
      </c>
      <c r="J11485" s="24">
        <v>0.0</v>
      </c>
      <c r="K11485" s="23" t="s">
        <v>34</v>
      </c>
      <c r="L11485" s="25">
        <v>42712.40733796296</v>
      </c>
      <c r="M11485" s="26" t="s">
        <v>24086</v>
      </c>
      <c r="N11485" s="26" t="s">
        <v>15081</v>
      </c>
      <c r="O11485" s="22" t="str">
        <f>HYPERLINK("https://pbs.twimg.com/profile_images/839620894494445569/lLg6nlbr_normal.jpg","View")</f>
        <v>View</v>
      </c>
      <c r="P11485" s="27"/>
    </row>
    <row r="11486">
      <c r="A11486" s="14">
        <v>43032.8271412037</v>
      </c>
      <c r="B11486" s="20" t="str">
        <f>HYPERLINK("https://twitter.com/Resona_DaiIchi","@Resona_DaiIchi")</f>
        <v>@Resona_DaiIchi</v>
      </c>
      <c r="C11486" s="21" t="s">
        <v>10749</v>
      </c>
      <c r="D11486" s="21" t="s">
        <v>24093</v>
      </c>
      <c r="E11486" s="22" t="str">
        <f>HYPERLINK("https://twitter.com/Resona_DaiIchi/status/923019052951285766","923019052951285766")</f>
        <v>923019052951285766</v>
      </c>
      <c r="F11486" s="30" t="s">
        <v>411</v>
      </c>
      <c r="G11486" s="24">
        <v>2663.0</v>
      </c>
      <c r="H11486" s="24">
        <v>15.0</v>
      </c>
      <c r="I11486" s="24">
        <v>0.0</v>
      </c>
      <c r="J11486" s="24">
        <v>0.0</v>
      </c>
      <c r="K11486" s="23" t="s">
        <v>34</v>
      </c>
      <c r="L11486" s="25">
        <v>43017.123206018514</v>
      </c>
      <c r="M11486" s="26" t="s">
        <v>10751</v>
      </c>
      <c r="N11486" s="26" t="s">
        <v>10752</v>
      </c>
      <c r="O11486" s="22" t="str">
        <f>HYPERLINK("https://pbs.twimg.com/profile_images/917328620883865600/qYFeY0Jh_normal.jpg","View")</f>
        <v>View</v>
      </c>
      <c r="P11486" s="27"/>
    </row>
    <row r="11487">
      <c r="A11487" s="14">
        <v>43032.8271412037</v>
      </c>
      <c r="B11487" s="20" t="str">
        <f>HYPERLINK("https://twitter.com/Daily_KNYT","@Daily_KNYT")</f>
        <v>@Daily_KNYT</v>
      </c>
      <c r="C11487" s="21" t="s">
        <v>24094</v>
      </c>
      <c r="D11487" s="21" t="s">
        <v>24095</v>
      </c>
      <c r="E11487" s="22" t="str">
        <f>HYPERLINK("https://twitter.com/Daily_KNYT/status/923019053299523585","923019053299523585")</f>
        <v>923019053299523585</v>
      </c>
      <c r="F11487" s="30" t="s">
        <v>411</v>
      </c>
      <c r="G11487" s="24">
        <v>1845.0</v>
      </c>
      <c r="H11487" s="24">
        <v>622.0</v>
      </c>
      <c r="I11487" s="24">
        <v>0.0</v>
      </c>
      <c r="J11487" s="24">
        <v>0.0</v>
      </c>
      <c r="K11487" s="23" t="s">
        <v>34</v>
      </c>
      <c r="L11487" s="25">
        <v>42713.31255787037</v>
      </c>
      <c r="M11487" s="26" t="s">
        <v>1250</v>
      </c>
      <c r="N11487" s="26" t="s">
        <v>15081</v>
      </c>
      <c r="O11487" s="22" t="str">
        <f>HYPERLINK("https://pbs.twimg.com/profile_images/839623192939462660/oPXuB5PF_normal.jpg","View")</f>
        <v>View</v>
      </c>
      <c r="P11487" s="27"/>
    </row>
    <row r="11488">
      <c r="A11488" s="14">
        <v>43032.8271412037</v>
      </c>
      <c r="B11488" s="20" t="str">
        <f>HYPERLINK("https://twitter.com/poli_newss","@poli_newss")</f>
        <v>@poli_newss</v>
      </c>
      <c r="C11488" s="21" t="s">
        <v>24096</v>
      </c>
      <c r="D11488" s="21" t="s">
        <v>24097</v>
      </c>
      <c r="E11488" s="22" t="str">
        <f>HYPERLINK("https://twitter.com/poli_newss/status/923019053463060481","923019053463060481")</f>
        <v>923019053463060481</v>
      </c>
      <c r="F11488" s="30" t="s">
        <v>411</v>
      </c>
      <c r="G11488" s="24">
        <v>984.0</v>
      </c>
      <c r="H11488" s="24">
        <v>4087.0</v>
      </c>
      <c r="I11488" s="24">
        <v>0.0</v>
      </c>
      <c r="J11488" s="24">
        <v>0.0</v>
      </c>
      <c r="K11488" s="23" t="s">
        <v>34</v>
      </c>
      <c r="L11488" s="25">
        <v>42706.31684027778</v>
      </c>
      <c r="M11488" s="26" t="s">
        <v>6241</v>
      </c>
      <c r="N11488" s="28"/>
      <c r="O11488" s="22" t="str">
        <f>HYPERLINK("https://pbs.twimg.com/profile_images/822696527017689088/0woI0yye_normal.jpg","View")</f>
        <v>View</v>
      </c>
      <c r="P11488" s="27"/>
    </row>
    <row r="11489">
      <c r="A11489" s="14">
        <v>43032.8271412037</v>
      </c>
      <c r="B11489" s="20" t="str">
        <f>HYPERLINK("https://twitter.com/Daily_Polius","@Daily_Polius")</f>
        <v>@Daily_Polius</v>
      </c>
      <c r="C11489" s="21" t="s">
        <v>24098</v>
      </c>
      <c r="D11489" s="21" t="s">
        <v>24099</v>
      </c>
      <c r="E11489" s="22" t="str">
        <f>HYPERLINK("https://twitter.com/Daily_Polius/status/923019053752467456","923019053752467456")</f>
        <v>923019053752467456</v>
      </c>
      <c r="F11489" s="30" t="s">
        <v>411</v>
      </c>
      <c r="G11489" s="24">
        <v>2602.0</v>
      </c>
      <c r="H11489" s="24">
        <v>4619.0</v>
      </c>
      <c r="I11489" s="24">
        <v>0.0</v>
      </c>
      <c r="J11489" s="24">
        <v>0.0</v>
      </c>
      <c r="K11489" s="23" t="s">
        <v>34</v>
      </c>
      <c r="L11489" s="25">
        <v>42688.337743055556</v>
      </c>
      <c r="M11489" s="26" t="s">
        <v>4924</v>
      </c>
      <c r="N11489" s="26" t="s">
        <v>24100</v>
      </c>
      <c r="O11489" s="22" t="str">
        <f>HYPERLINK("https://pbs.twimg.com/profile_images/840021979835035648/AXatrut0_normal.jpg","View")</f>
        <v>View</v>
      </c>
      <c r="P11489" s="27"/>
    </row>
    <row r="11490">
      <c r="A11490" s="14">
        <v>43032.827152777776</v>
      </c>
      <c r="B11490" s="20" t="str">
        <f>HYPERLINK("https://twitter.com/Daily_ECNN","@Daily_ECNN")</f>
        <v>@Daily_ECNN</v>
      </c>
      <c r="C11490" s="21" t="s">
        <v>24101</v>
      </c>
      <c r="D11490" s="21" t="s">
        <v>24102</v>
      </c>
      <c r="E11490" s="22" t="str">
        <f>HYPERLINK("https://twitter.com/Daily_ECNN/status/923019054113202177","923019054113202177")</f>
        <v>923019054113202177</v>
      </c>
      <c r="F11490" s="30" t="s">
        <v>411</v>
      </c>
      <c r="G11490" s="24">
        <v>2344.0</v>
      </c>
      <c r="H11490" s="24">
        <v>669.0</v>
      </c>
      <c r="I11490" s="24">
        <v>0.0</v>
      </c>
      <c r="J11490" s="24">
        <v>0.0</v>
      </c>
      <c r="K11490" s="23" t="s">
        <v>34</v>
      </c>
      <c r="L11490" s="25">
        <v>42712.253530092596</v>
      </c>
      <c r="M11490" s="26" t="s">
        <v>24086</v>
      </c>
      <c r="N11490" s="26" t="s">
        <v>24103</v>
      </c>
      <c r="O11490" s="22" t="str">
        <f>HYPERLINK("https://pbs.twimg.com/profile_images/837129692142534658/82I93LsZ_normal.jpg","View")</f>
        <v>View</v>
      </c>
      <c r="P11490" s="27"/>
    </row>
    <row r="11491">
      <c r="A11491" s="14">
        <v>43032.827152777776</v>
      </c>
      <c r="B11491" s="20" t="str">
        <f>HYPERLINK("https://twitter.com/Healthy_TA","@Healthy_TA")</f>
        <v>@Healthy_TA</v>
      </c>
      <c r="C11491" s="21" t="s">
        <v>24104</v>
      </c>
      <c r="D11491" s="21" t="s">
        <v>24105</v>
      </c>
      <c r="E11491" s="22" t="str">
        <f>HYPERLINK("https://twitter.com/Healthy_TA/status/923019054465425408","923019054465425408")</f>
        <v>923019054465425408</v>
      </c>
      <c r="F11491" s="30" t="s">
        <v>411</v>
      </c>
      <c r="G11491" s="24">
        <v>1447.0</v>
      </c>
      <c r="H11491" s="24">
        <v>775.0</v>
      </c>
      <c r="I11491" s="24">
        <v>0.0</v>
      </c>
      <c r="J11491" s="24">
        <v>0.0</v>
      </c>
      <c r="K11491" s="23" t="s">
        <v>34</v>
      </c>
      <c r="L11491" s="25">
        <v>42713.4025</v>
      </c>
      <c r="M11491" s="26" t="s">
        <v>24086</v>
      </c>
      <c r="N11491" s="26" t="s">
        <v>24106</v>
      </c>
      <c r="O11491" s="22" t="str">
        <f>HYPERLINK("https://pbs.twimg.com/profile_images/840045328808214528/t-sszn91_normal.jpg","View")</f>
        <v>View</v>
      </c>
      <c r="P11491" s="27"/>
    </row>
    <row r="11492">
      <c r="A11492" s="14">
        <v>43032.827152777776</v>
      </c>
      <c r="B11492" s="20" t="str">
        <f>HYPERLINK("https://twitter.com/Blaiserboy","@Blaiserboy")</f>
        <v>@Blaiserboy</v>
      </c>
      <c r="C11492" s="21" t="s">
        <v>24107</v>
      </c>
      <c r="D11492" s="21" t="s">
        <v>24108</v>
      </c>
      <c r="E11492" s="22" t="str">
        <f>HYPERLINK("https://twitter.com/Blaiserboy/status/923019054733860864","923019054733860864")</f>
        <v>923019054733860864</v>
      </c>
      <c r="F11492" s="30" t="s">
        <v>411</v>
      </c>
      <c r="G11492" s="24">
        <v>2407.0</v>
      </c>
      <c r="H11492" s="24">
        <v>551.0</v>
      </c>
      <c r="I11492" s="24">
        <v>0.0</v>
      </c>
      <c r="J11492" s="24">
        <v>0.0</v>
      </c>
      <c r="K11492" s="23" t="s">
        <v>34</v>
      </c>
      <c r="L11492" s="25">
        <v>40000.1337962963</v>
      </c>
      <c r="M11492" s="26" t="s">
        <v>920</v>
      </c>
      <c r="N11492" s="26" t="s">
        <v>24109</v>
      </c>
      <c r="O11492" s="22" t="str">
        <f>HYPERLINK("https://pbs.twimg.com/profile_images/534793235634216960/rKIHcTlG_normal.jpeg","View")</f>
        <v>View</v>
      </c>
      <c r="P11492" s="27"/>
    </row>
    <row r="11493">
      <c r="A11493" s="14">
        <v>43032.82716435185</v>
      </c>
      <c r="B11493" s="20" t="str">
        <f>HYPERLINK("https://twitter.com/Jerichomarch","@Jerichomarch")</f>
        <v>@Jerichomarch</v>
      </c>
      <c r="C11493" s="21" t="s">
        <v>24110</v>
      </c>
      <c r="D11493" s="21" t="s">
        <v>24111</v>
      </c>
      <c r="E11493" s="22" t="str">
        <f>HYPERLINK("https://twitter.com/Jerichomarch/status/923019060320673792","923019060320673792")</f>
        <v>923019060320673792</v>
      </c>
      <c r="F11493" s="30" t="s">
        <v>411</v>
      </c>
      <c r="G11493" s="24">
        <v>652.0</v>
      </c>
      <c r="H11493" s="24">
        <v>11.0</v>
      </c>
      <c r="I11493" s="24">
        <v>0.0</v>
      </c>
      <c r="J11493" s="24">
        <v>0.0</v>
      </c>
      <c r="K11493" s="23" t="s">
        <v>34</v>
      </c>
      <c r="L11493" s="25">
        <v>40166.71408564815</v>
      </c>
      <c r="M11493" s="28"/>
      <c r="N11493" s="26" t="s">
        <v>24112</v>
      </c>
      <c r="O11493" s="22" t="str">
        <f>HYPERLINK("https://pbs.twimg.com/profile_images/631711298/Evangelism1_normal.jpg","View")</f>
        <v>View</v>
      </c>
      <c r="P11493" s="27"/>
    </row>
    <row r="11494">
      <c r="A11494" s="14">
        <v>43032.82717592592</v>
      </c>
      <c r="B11494" s="20" t="str">
        <f>HYPERLINK("https://twitter.com/AbbiejAbbieja","@AbbiejAbbieja")</f>
        <v>@AbbiejAbbieja</v>
      </c>
      <c r="C11494" s="21" t="s">
        <v>979</v>
      </c>
      <c r="D11494" s="21" t="s">
        <v>24113</v>
      </c>
      <c r="E11494" s="22" t="str">
        <f>HYPERLINK("https://twitter.com/AbbiejAbbieja/status/923019065274314752","923019065274314752")</f>
        <v>923019065274314752</v>
      </c>
      <c r="F11494" s="23" t="s">
        <v>187</v>
      </c>
      <c r="G11494" s="24">
        <v>1293.0</v>
      </c>
      <c r="H11494" s="24">
        <v>1320.0</v>
      </c>
      <c r="I11494" s="24">
        <v>0.0</v>
      </c>
      <c r="J11494" s="24">
        <v>0.0</v>
      </c>
      <c r="K11494" s="23" t="s">
        <v>34</v>
      </c>
      <c r="L11494" s="25">
        <v>42803.79164351852</v>
      </c>
      <c r="M11494" s="26" t="s">
        <v>920</v>
      </c>
      <c r="N11494" s="26" t="s">
        <v>981</v>
      </c>
      <c r="O11494" s="22" t="str">
        <f>HYPERLINK("https://pbs.twimg.com/profile_images/860496478065774593/Ti_AHgwa_normal.jpg","View")</f>
        <v>View</v>
      </c>
      <c r="P11494" s="27"/>
    </row>
    <row r="11495">
      <c r="A11495" s="14">
        <v>43032.82728009259</v>
      </c>
      <c r="B11495" s="20" t="str">
        <f>HYPERLINK("https://twitter.com/xochitlcarrasco","@xochitlcarrasco")</f>
        <v>@xochitlcarrasco</v>
      </c>
      <c r="C11495" s="21" t="s">
        <v>24114</v>
      </c>
      <c r="D11495" s="21" t="s">
        <v>24007</v>
      </c>
      <c r="E11495" s="22" t="str">
        <f>HYPERLINK("https://twitter.com/xochitlcarrasco/status/923019100837826566","923019100837826566")</f>
        <v>923019100837826566</v>
      </c>
      <c r="F11495" s="23" t="s">
        <v>43</v>
      </c>
      <c r="G11495" s="24">
        <v>39.0</v>
      </c>
      <c r="H11495" s="24">
        <v>156.0</v>
      </c>
      <c r="I11495" s="24">
        <v>122.0</v>
      </c>
      <c r="J11495" s="24">
        <v>0.0</v>
      </c>
      <c r="K11495" s="23" t="s">
        <v>34</v>
      </c>
      <c r="L11495" s="25">
        <v>40865.6865162037</v>
      </c>
      <c r="M11495" s="28"/>
      <c r="N11495" s="28"/>
      <c r="O11495" s="22" t="str">
        <f>HYPERLINK("https://pbs.twimg.com/profile_images/906280667440308224/tGziNALo_normal.jpg","View")</f>
        <v>View</v>
      </c>
      <c r="P11495" s="27"/>
    </row>
    <row r="11496">
      <c r="A11496" s="14">
        <v>43032.82729166667</v>
      </c>
      <c r="B11496" s="20" t="str">
        <f>HYPERLINK("https://twitter.com/fareedaasf","@fareedaasf")</f>
        <v>@fareedaasf</v>
      </c>
      <c r="C11496" s="21" t="s">
        <v>24039</v>
      </c>
      <c r="D11496" s="21" t="s">
        <v>24007</v>
      </c>
      <c r="E11496" s="22" t="str">
        <f>HYPERLINK("https://twitter.com/fareedaasf/status/923019104918822912","923019104918822912")</f>
        <v>923019104918822912</v>
      </c>
      <c r="F11496" s="23" t="s">
        <v>33</v>
      </c>
      <c r="G11496" s="24">
        <v>994.0</v>
      </c>
      <c r="H11496" s="24">
        <v>3293.0</v>
      </c>
      <c r="I11496" s="24">
        <v>122.0</v>
      </c>
      <c r="J11496" s="24">
        <v>0.0</v>
      </c>
      <c r="K11496" s="23" t="s">
        <v>34</v>
      </c>
      <c r="L11496" s="25">
        <v>42124.38929398148</v>
      </c>
      <c r="M11496" s="28"/>
      <c r="N11496" s="26" t="s">
        <v>24041</v>
      </c>
      <c r="O11496" s="22" t="str">
        <f>HYPERLINK("https://pbs.twimg.com/profile_images/922056659857371143/G-tljGtD_normal.jpg","View")</f>
        <v>View</v>
      </c>
      <c r="P11496" s="27"/>
    </row>
    <row r="11497">
      <c r="A11497" s="14">
        <v>43032.82739583333</v>
      </c>
      <c r="B11497" s="20" t="str">
        <f>HYPERLINK("https://twitter.com/manisha_111","@manisha_111")</f>
        <v>@manisha_111</v>
      </c>
      <c r="C11497" s="21" t="s">
        <v>24115</v>
      </c>
      <c r="D11497" s="21" t="s">
        <v>42</v>
      </c>
      <c r="E11497" s="22" t="str">
        <f>HYPERLINK("https://twitter.com/manisha_111/status/923019143095267328","923019143095267328")</f>
        <v>923019143095267328</v>
      </c>
      <c r="F11497" s="23" t="s">
        <v>33</v>
      </c>
      <c r="G11497" s="24">
        <v>47890.0</v>
      </c>
      <c r="H11497" s="24">
        <v>517.0</v>
      </c>
      <c r="I11497" s="24">
        <v>8501.0</v>
      </c>
      <c r="J11497" s="24">
        <v>0.0</v>
      </c>
      <c r="K11497" s="23" t="s">
        <v>34</v>
      </c>
      <c r="L11497" s="25">
        <v>41406.25775462963</v>
      </c>
      <c r="M11497" s="26" t="s">
        <v>1354</v>
      </c>
      <c r="N11497" s="26" t="s">
        <v>24116</v>
      </c>
      <c r="O11497" s="22" t="str">
        <f>HYPERLINK("https://pbs.twimg.com/profile_images/891619955371913216/GjgiiibZ_normal.jpg","View")</f>
        <v>View</v>
      </c>
      <c r="P11497" s="27"/>
    </row>
    <row r="11498">
      <c r="A11498" s="14">
        <v>43032.82748842593</v>
      </c>
      <c r="B11498" s="20" t="str">
        <f>HYPERLINK("https://twitter.com/milou1st","@milou1st")</f>
        <v>@milou1st</v>
      </c>
      <c r="C11498" s="21" t="s">
        <v>18375</v>
      </c>
      <c r="D11498" s="21" t="s">
        <v>24117</v>
      </c>
      <c r="E11498" s="22" t="str">
        <f>HYPERLINK("https://twitter.com/milou1st/status/923019177455210496","923019177455210496")</f>
        <v>923019177455210496</v>
      </c>
      <c r="F11498" s="23" t="s">
        <v>187</v>
      </c>
      <c r="G11498" s="24">
        <v>6608.0</v>
      </c>
      <c r="H11498" s="24">
        <v>7694.0</v>
      </c>
      <c r="I11498" s="24">
        <v>0.0</v>
      </c>
      <c r="J11498" s="24">
        <v>0.0</v>
      </c>
      <c r="K11498" s="23" t="s">
        <v>34</v>
      </c>
      <c r="L11498" s="25">
        <v>40836.52827546296</v>
      </c>
      <c r="M11498" s="26" t="s">
        <v>18377</v>
      </c>
      <c r="N11498" s="26" t="s">
        <v>18378</v>
      </c>
      <c r="O11498" s="22" t="str">
        <f>HYPERLINK("https://pbs.twimg.com/profile_images/886522125682692096/ui0Xp0E1_normal.jpg","View")</f>
        <v>View</v>
      </c>
      <c r="P11498" s="27"/>
    </row>
    <row r="11499">
      <c r="A11499" s="14">
        <v>43032.82763888889</v>
      </c>
      <c r="B11499" s="20" t="str">
        <f>HYPERLINK("https://twitter.com/SinosinonosinoS","@SinosinonosinoS")</f>
        <v>@SinosinonosinoS</v>
      </c>
      <c r="C11499" s="21" t="s">
        <v>24118</v>
      </c>
      <c r="D11499" s="21" t="s">
        <v>24007</v>
      </c>
      <c r="E11499" s="22" t="str">
        <f>HYPERLINK("https://twitter.com/SinosinonosinoS/status/923019230626246656","923019230626246656")</f>
        <v>923019230626246656</v>
      </c>
      <c r="F11499" s="23" t="s">
        <v>39</v>
      </c>
      <c r="G11499" s="24">
        <v>97.0</v>
      </c>
      <c r="H11499" s="24">
        <v>290.0</v>
      </c>
      <c r="I11499" s="24">
        <v>122.0</v>
      </c>
      <c r="J11499" s="24">
        <v>0.0</v>
      </c>
      <c r="K11499" s="23" t="s">
        <v>34</v>
      </c>
      <c r="L11499" s="25">
        <v>42198.08969907407</v>
      </c>
      <c r="M11499" s="26" t="s">
        <v>210</v>
      </c>
      <c r="N11499" s="26" t="s">
        <v>24119</v>
      </c>
      <c r="O11499" s="22" t="str">
        <f>HYPERLINK("https://pbs.twimg.com/profile_images/643073749391048704/BjYiLM1k_normal.jpg","View")</f>
        <v>View</v>
      </c>
      <c r="P11499" s="27"/>
    </row>
    <row r="11500">
      <c r="A11500" s="14">
        <v>43032.827881944446</v>
      </c>
      <c r="B11500" s="20" t="str">
        <f>HYPERLINK("https://twitter.com/crjacob333","@crjacob333")</f>
        <v>@crjacob333</v>
      </c>
      <c r="C11500" s="21" t="s">
        <v>24120</v>
      </c>
      <c r="D11500" s="21" t="s">
        <v>24007</v>
      </c>
      <c r="E11500" s="22" t="str">
        <f>HYPERLINK("https://twitter.com/crjacob333/status/923019319260450821","923019319260450821")</f>
        <v>923019319260450821</v>
      </c>
      <c r="F11500" s="23" t="s">
        <v>39</v>
      </c>
      <c r="G11500" s="24">
        <v>520.0</v>
      </c>
      <c r="H11500" s="24">
        <v>1634.0</v>
      </c>
      <c r="I11500" s="24">
        <v>122.0</v>
      </c>
      <c r="J11500" s="24">
        <v>0.0</v>
      </c>
      <c r="K11500" s="23" t="s">
        <v>34</v>
      </c>
      <c r="L11500" s="25">
        <v>40281.4083912037</v>
      </c>
      <c r="M11500" s="26" t="s">
        <v>4411</v>
      </c>
      <c r="N11500" s="26" t="s">
        <v>24121</v>
      </c>
      <c r="O11500" s="22" t="str">
        <f>HYPERLINK("https://pbs.twimg.com/profile_images/881024196222046208/gaDKt2fI_normal.jpg","View")</f>
        <v>View</v>
      </c>
      <c r="P11500" s="27"/>
    </row>
    <row r="11501">
      <c r="A11501" s="14">
        <v>43032.827951388885</v>
      </c>
      <c r="B11501" s="20" t="str">
        <f>HYPERLINK("https://twitter.com/Sorgitzak","@Sorgitzak")</f>
        <v>@Sorgitzak</v>
      </c>
      <c r="C11501" s="21" t="s">
        <v>1122</v>
      </c>
      <c r="D11501" s="21" t="s">
        <v>24122</v>
      </c>
      <c r="E11501" s="22" t="str">
        <f>HYPERLINK("https://twitter.com/Sorgitzak/status/923019343457325056","923019343457325056")</f>
        <v>923019343457325056</v>
      </c>
      <c r="F11501" s="23" t="s">
        <v>187</v>
      </c>
      <c r="G11501" s="24">
        <v>723.0</v>
      </c>
      <c r="H11501" s="24">
        <v>1309.0</v>
      </c>
      <c r="I11501" s="24">
        <v>0.0</v>
      </c>
      <c r="J11501" s="24">
        <v>0.0</v>
      </c>
      <c r="K11501" s="23" t="s">
        <v>34</v>
      </c>
      <c r="L11501" s="25">
        <v>39990.552152777775</v>
      </c>
      <c r="M11501" s="26" t="s">
        <v>1124</v>
      </c>
      <c r="N11501" s="28"/>
      <c r="O11501" s="22" t="str">
        <f>HYPERLINK("https://pbs.twimg.com/profile_images/284404970/sorgitzak_normal.JPG","View")</f>
        <v>View</v>
      </c>
      <c r="P11501" s="27"/>
    </row>
    <row r="11502">
      <c r="A11502" s="14">
        <v>43032.828043981484</v>
      </c>
      <c r="B11502" s="20" t="str">
        <f>HYPERLINK("https://twitter.com/SahelHKJ","@SahelHKJ")</f>
        <v>@SahelHKJ</v>
      </c>
      <c r="C11502" s="21" t="s">
        <v>6092</v>
      </c>
      <c r="D11502" s="21" t="s">
        <v>24123</v>
      </c>
      <c r="E11502" s="22" t="str">
        <f>HYPERLINK("https://twitter.com/SahelHKJ/status/923019378110730240","923019378110730240")</f>
        <v>923019378110730240</v>
      </c>
      <c r="F11502" s="23" t="s">
        <v>187</v>
      </c>
      <c r="G11502" s="24">
        <v>49116.0</v>
      </c>
      <c r="H11502" s="24">
        <v>632.0</v>
      </c>
      <c r="I11502" s="24">
        <v>0.0</v>
      </c>
      <c r="J11502" s="24">
        <v>0.0</v>
      </c>
      <c r="K11502" s="23" t="s">
        <v>34</v>
      </c>
      <c r="L11502" s="25">
        <v>40640.52108796296</v>
      </c>
      <c r="M11502" s="26" t="s">
        <v>6094</v>
      </c>
      <c r="N11502" s="26" t="s">
        <v>6095</v>
      </c>
      <c r="O11502" s="22" t="str">
        <f>HYPERLINK("https://pbs.twimg.com/profile_images/908288635841150978/Et2ENdHX_normal.jpg","View")</f>
        <v>View</v>
      </c>
      <c r="P11502" s="27"/>
    </row>
    <row r="11503">
      <c r="A11503" s="14">
        <v>43032.82817129629</v>
      </c>
      <c r="B11503" s="20" t="str">
        <f>HYPERLINK("https://twitter.com/satyuki_","@satyuki_")</f>
        <v>@satyuki_</v>
      </c>
      <c r="C11503" s="21" t="s">
        <v>24124</v>
      </c>
      <c r="D11503" s="21" t="s">
        <v>24007</v>
      </c>
      <c r="E11503" s="22" t="str">
        <f>HYPERLINK("https://twitter.com/satyuki_/status/923019426458243072","923019426458243072")</f>
        <v>923019426458243072</v>
      </c>
      <c r="F11503" s="23" t="s">
        <v>3884</v>
      </c>
      <c r="G11503" s="24">
        <v>73.0</v>
      </c>
      <c r="H11503" s="24">
        <v>488.0</v>
      </c>
      <c r="I11503" s="24">
        <v>122.0</v>
      </c>
      <c r="J11503" s="24">
        <v>0.0</v>
      </c>
      <c r="K11503" s="23" t="s">
        <v>34</v>
      </c>
      <c r="L11503" s="25">
        <v>40407.46795138889</v>
      </c>
      <c r="M11503" s="26" t="s">
        <v>24125</v>
      </c>
      <c r="N11503" s="26" t="s">
        <v>24126</v>
      </c>
      <c r="O11503" s="22" t="str">
        <f>HYPERLINK("https://pbs.twimg.com/profile_images/848417542280323072/v5WFz7KT_normal.jpg","View")</f>
        <v>View</v>
      </c>
      <c r="P11503" s="27"/>
    </row>
    <row r="11504">
      <c r="A11504" s="14">
        <v>43032.82818287037</v>
      </c>
      <c r="B11504" s="20" t="str">
        <f>HYPERLINK("https://twitter.com/espo0222","@espo0222")</f>
        <v>@espo0222</v>
      </c>
      <c r="C11504" s="21" t="s">
        <v>24127</v>
      </c>
      <c r="D11504" s="21" t="s">
        <v>24007</v>
      </c>
      <c r="E11504" s="22" t="str">
        <f>HYPERLINK("https://twitter.com/espo0222/status/923019429469810688","923019429469810688")</f>
        <v>923019429469810688</v>
      </c>
      <c r="F11504" s="23" t="s">
        <v>33</v>
      </c>
      <c r="G11504" s="24">
        <v>128.0</v>
      </c>
      <c r="H11504" s="24">
        <v>236.0</v>
      </c>
      <c r="I11504" s="24">
        <v>122.0</v>
      </c>
      <c r="J11504" s="24">
        <v>0.0</v>
      </c>
      <c r="K11504" s="23" t="s">
        <v>34</v>
      </c>
      <c r="L11504" s="25">
        <v>41415.20842592593</v>
      </c>
      <c r="M11504" s="28"/>
      <c r="N11504" s="26" t="s">
        <v>24128</v>
      </c>
      <c r="O11504" s="22" t="str">
        <f>HYPERLINK("https://pbs.twimg.com/profile_images/3735711095/5ba5ef5e4aa4720a88e4ee2578258ea8_normal.jpeg","View")</f>
        <v>View</v>
      </c>
      <c r="P11504" s="27"/>
    </row>
    <row r="11505">
      <c r="A11505" s="14">
        <v>43032.828321759254</v>
      </c>
      <c r="B11505" s="20" t="str">
        <f>HYPERLINK("https://twitter.com/koichi_kawakami","@koichi_kawakami")</f>
        <v>@koichi_kawakami</v>
      </c>
      <c r="C11505" s="21" t="s">
        <v>24129</v>
      </c>
      <c r="D11505" s="21" t="s">
        <v>23525</v>
      </c>
      <c r="E11505" s="22" t="str">
        <f>HYPERLINK("https://twitter.com/koichi_kawakami/status/923019481730793472","923019481730793472")</f>
        <v>923019481730793472</v>
      </c>
      <c r="F11505" s="23" t="s">
        <v>55</v>
      </c>
      <c r="G11505" s="24">
        <v>2668.0</v>
      </c>
      <c r="H11505" s="24">
        <v>669.0</v>
      </c>
      <c r="I11505" s="24">
        <v>41.0</v>
      </c>
      <c r="J11505" s="24">
        <v>0.0</v>
      </c>
      <c r="K11505" s="23" t="s">
        <v>34</v>
      </c>
      <c r="L11505" s="25">
        <v>40237.42863425926</v>
      </c>
      <c r="M11505" s="26" t="s">
        <v>24130</v>
      </c>
      <c r="N11505" s="26" t="s">
        <v>24131</v>
      </c>
      <c r="O11505" s="22" t="str">
        <f>HYPERLINK("https://pbs.twimg.com/profile_images/838049255063343105/UlizplYa_normal.jpg","View")</f>
        <v>View</v>
      </c>
      <c r="P11505" s="27"/>
    </row>
    <row r="11506">
      <c r="A11506" s="14">
        <v>43032.8283912037</v>
      </c>
      <c r="B11506" s="20" t="str">
        <f>HYPERLINK("https://twitter.com/SherryFLRealtor","@SherryFLRealtor")</f>
        <v>@SherryFLRealtor</v>
      </c>
      <c r="C11506" s="21" t="s">
        <v>18830</v>
      </c>
      <c r="D11506" s="21" t="s">
        <v>24007</v>
      </c>
      <c r="E11506" s="22" t="str">
        <f>HYPERLINK("https://twitter.com/SherryFLRealtor/status/923019503272976385","923019503272976385")</f>
        <v>923019503272976385</v>
      </c>
      <c r="F11506" s="23" t="s">
        <v>39</v>
      </c>
      <c r="G11506" s="24">
        <v>2247.0</v>
      </c>
      <c r="H11506" s="24">
        <v>3582.0</v>
      </c>
      <c r="I11506" s="24">
        <v>122.0</v>
      </c>
      <c r="J11506" s="24">
        <v>0.0</v>
      </c>
      <c r="K11506" s="23" t="s">
        <v>34</v>
      </c>
      <c r="L11506" s="25">
        <v>40542.55136574074</v>
      </c>
      <c r="M11506" s="26" t="s">
        <v>18831</v>
      </c>
      <c r="N11506" s="26" t="s">
        <v>18832</v>
      </c>
      <c r="O11506" s="22" t="str">
        <f>HYPERLINK("https://pbs.twimg.com/profile_images/669668454505426944/UdLi3uJg_normal.jpg","View")</f>
        <v>View</v>
      </c>
      <c r="P11506" s="27"/>
    </row>
    <row r="11507">
      <c r="A11507" s="14">
        <v>43032.82844907408</v>
      </c>
      <c r="B11507" s="20" t="str">
        <f>HYPERLINK("https://twitter.com/kaorumikeko","@kaorumikeko")</f>
        <v>@kaorumikeko</v>
      </c>
      <c r="C11507" s="21" t="s">
        <v>24132</v>
      </c>
      <c r="D11507" s="21" t="s">
        <v>23525</v>
      </c>
      <c r="E11507" s="22" t="str">
        <f>HYPERLINK("https://twitter.com/kaorumikeko/status/923019526983184384","923019526983184384")</f>
        <v>923019526983184384</v>
      </c>
      <c r="F11507" s="23" t="s">
        <v>39</v>
      </c>
      <c r="G11507" s="24">
        <v>462.0</v>
      </c>
      <c r="H11507" s="24">
        <v>1034.0</v>
      </c>
      <c r="I11507" s="24">
        <v>41.0</v>
      </c>
      <c r="J11507" s="24">
        <v>0.0</v>
      </c>
      <c r="K11507" s="23" t="s">
        <v>34</v>
      </c>
      <c r="L11507" s="25">
        <v>41441.21865740741</v>
      </c>
      <c r="M11507" s="28"/>
      <c r="N11507" s="26" t="s">
        <v>24133</v>
      </c>
      <c r="O11507" s="22" t="str">
        <f>HYPERLINK("https://pbs.twimg.com/profile_images/830274600416088064/T6lZJifF_normal.jpg","View")</f>
        <v>View</v>
      </c>
      <c r="P11507" s="27"/>
    </row>
    <row r="11508">
      <c r="A11508" s="14">
        <v>43032.82854166666</v>
      </c>
      <c r="B11508" s="20" t="str">
        <f>HYPERLINK("https://twitter.com/Shopall3","@Shopall3")</f>
        <v>@Shopall3</v>
      </c>
      <c r="C11508" s="21" t="s">
        <v>24134</v>
      </c>
      <c r="D11508" s="21" t="s">
        <v>24135</v>
      </c>
      <c r="E11508" s="22" t="str">
        <f>HYPERLINK("https://twitter.com/Shopall3/status/923019559455600640","923019559455600640")</f>
        <v>923019559455600640</v>
      </c>
      <c r="F11508" s="23" t="s">
        <v>24136</v>
      </c>
      <c r="G11508" s="24">
        <v>713.0</v>
      </c>
      <c r="H11508" s="24">
        <v>17.0</v>
      </c>
      <c r="I11508" s="24">
        <v>0.0</v>
      </c>
      <c r="J11508" s="24">
        <v>0.0</v>
      </c>
      <c r="K11508" s="23" t="s">
        <v>34</v>
      </c>
      <c r="L11508" s="25">
        <v>42299.65230324074</v>
      </c>
      <c r="M11508" s="28"/>
      <c r="N11508" s="28"/>
      <c r="O11508" s="22" t="str">
        <f>HYPERLINK("https://pbs.twimg.com/profile_images/663617884665618432/D9P9B9pu_normal.png","View")</f>
        <v>View</v>
      </c>
      <c r="P11508" s="27"/>
    </row>
    <row r="11509">
      <c r="A11509" s="14">
        <v>43032.82855324074</v>
      </c>
      <c r="B11509" s="20" t="str">
        <f>HYPERLINK("https://twitter.com/geanra3","@geanra3")</f>
        <v>@geanra3</v>
      </c>
      <c r="C11509" s="21" t="s">
        <v>24137</v>
      </c>
      <c r="D11509" s="21" t="s">
        <v>24138</v>
      </c>
      <c r="E11509" s="22" t="str">
        <f>HYPERLINK("https://twitter.com/geanra3/status/923019565034098688","923019565034098688")</f>
        <v>923019565034098688</v>
      </c>
      <c r="F11509" s="23" t="s">
        <v>24139</v>
      </c>
      <c r="G11509" s="24">
        <v>48.0</v>
      </c>
      <c r="H11509" s="24">
        <v>2.0</v>
      </c>
      <c r="I11509" s="24">
        <v>0.0</v>
      </c>
      <c r="J11509" s="24">
        <v>0.0</v>
      </c>
      <c r="K11509" s="23" t="s">
        <v>34</v>
      </c>
      <c r="L11509" s="25">
        <v>42943.079571759255</v>
      </c>
      <c r="M11509" s="26" t="s">
        <v>68</v>
      </c>
      <c r="N11509" s="26" t="s">
        <v>2275</v>
      </c>
      <c r="O11509" s="22" t="str">
        <f>HYPERLINK("https://pbs.twimg.com/profile_images/890500247306293248/5l7F-Thy_normal.jpg","View")</f>
        <v>View</v>
      </c>
      <c r="P11509" s="27"/>
    </row>
    <row r="11510">
      <c r="A11510" s="14">
        <v>43032.82861111111</v>
      </c>
      <c r="B11510" s="20" t="str">
        <f>HYPERLINK("https://twitter.com/TopNyt","@TopNyt")</f>
        <v>@TopNyt</v>
      </c>
      <c r="C11510" s="21" t="s">
        <v>24140</v>
      </c>
      <c r="D11510" s="21" t="s">
        <v>24141</v>
      </c>
      <c r="E11510" s="22" t="str">
        <f>HYPERLINK("https://twitter.com/TopNyt/status/923019584554364933","923019584554364933")</f>
        <v>923019584554364933</v>
      </c>
      <c r="F11510" s="23" t="s">
        <v>187</v>
      </c>
      <c r="G11510" s="24">
        <v>83.0</v>
      </c>
      <c r="H11510" s="24">
        <v>18.0</v>
      </c>
      <c r="I11510" s="24">
        <v>0.0</v>
      </c>
      <c r="J11510" s="24">
        <v>0.0</v>
      </c>
      <c r="K11510" s="23" t="s">
        <v>34</v>
      </c>
      <c r="L11510" s="25">
        <v>41913.226643518516</v>
      </c>
      <c r="M11510" s="26" t="s">
        <v>24142</v>
      </c>
      <c r="N11510" s="26" t="s">
        <v>24143</v>
      </c>
      <c r="O11510" s="22" t="str">
        <f>HYPERLINK("https://pbs.twimg.com/profile_images/517316825961357312/ApgK9wz-_normal.jpeg","View")</f>
        <v>View</v>
      </c>
      <c r="P11510" s="27"/>
    </row>
    <row r="11511">
      <c r="A11511" s="14">
        <v>43032.828680555554</v>
      </c>
      <c r="B11511" s="20" t="str">
        <f>HYPERLINK("https://twitter.com/SimplexBreaking","@SimplexBreaking")</f>
        <v>@SimplexBreaking</v>
      </c>
      <c r="C11511" s="21" t="s">
        <v>24144</v>
      </c>
      <c r="D11511" s="21" t="s">
        <v>24145</v>
      </c>
      <c r="E11511" s="22" t="str">
        <f>HYPERLINK("https://twitter.com/SimplexBreaking/status/923019609686663168","923019609686663168")</f>
        <v>923019609686663168</v>
      </c>
      <c r="F11511" s="23" t="s">
        <v>187</v>
      </c>
      <c r="G11511" s="24">
        <v>47.0</v>
      </c>
      <c r="H11511" s="24">
        <v>100.0</v>
      </c>
      <c r="I11511" s="24">
        <v>0.0</v>
      </c>
      <c r="J11511" s="24">
        <v>0.0</v>
      </c>
      <c r="K11511" s="23" t="s">
        <v>34</v>
      </c>
      <c r="L11511" s="25">
        <v>42765.710069444445</v>
      </c>
      <c r="M11511" s="28"/>
      <c r="N11511" s="28"/>
      <c r="O11511" s="22" t="str">
        <f>HYPERLINK("https://pbs.twimg.com/profile_images/826234735227699200/T8o_QzeR_normal.jpg","View")</f>
        <v>View</v>
      </c>
      <c r="P11511" s="27"/>
    </row>
    <row r="11512">
      <c r="A11512" s="14">
        <v>43032.82880787037</v>
      </c>
      <c r="B11512" s="20" t="str">
        <f>HYPERLINK("https://twitter.com/sueavery829r","@sueavery829r")</f>
        <v>@sueavery829r</v>
      </c>
      <c r="C11512" s="21" t="s">
        <v>24146</v>
      </c>
      <c r="D11512" s="21" t="s">
        <v>24147</v>
      </c>
      <c r="E11512" s="22" t="str">
        <f>HYPERLINK("https://twitter.com/sueavery829r/status/923019656629235712","923019656629235712")</f>
        <v>923019656629235712</v>
      </c>
      <c r="F11512" s="23" t="s">
        <v>187</v>
      </c>
      <c r="G11512" s="24">
        <v>2.0</v>
      </c>
      <c r="H11512" s="24">
        <v>0.0</v>
      </c>
      <c r="I11512" s="24">
        <v>0.0</v>
      </c>
      <c r="J11512" s="24">
        <v>0.0</v>
      </c>
      <c r="K11512" s="23" t="s">
        <v>34</v>
      </c>
      <c r="L11512" s="25">
        <v>42950.87228009259</v>
      </c>
      <c r="M11512" s="28"/>
      <c r="N11512" s="28"/>
      <c r="O11512" s="22" t="str">
        <f>HYPERLINK("https://pbs.twimg.com/profile_images/897118970838265856/3YmNlIwu_normal.jpg","View")</f>
        <v>View</v>
      </c>
      <c r="P11512" s="27"/>
    </row>
    <row r="11513">
      <c r="A11513" s="14">
        <v>43032.82890046296</v>
      </c>
      <c r="B11513" s="20" t="str">
        <f>HYPERLINK("https://twitter.com/bmw_free","@bmw_free")</f>
        <v>@bmw_free</v>
      </c>
      <c r="C11513" s="21" t="s">
        <v>9036</v>
      </c>
      <c r="D11513" s="21" t="s">
        <v>24148</v>
      </c>
      <c r="E11513" s="22" t="str">
        <f>HYPERLINK("https://twitter.com/bmw_free/status/923019690783531008","923019690783531008")</f>
        <v>923019690783531008</v>
      </c>
      <c r="F11513" s="23" t="s">
        <v>187</v>
      </c>
      <c r="G11513" s="24">
        <v>9221.0</v>
      </c>
      <c r="H11513" s="24">
        <v>7032.0</v>
      </c>
      <c r="I11513" s="24">
        <v>0.0</v>
      </c>
      <c r="J11513" s="24">
        <v>0.0</v>
      </c>
      <c r="K11513" s="23" t="s">
        <v>34</v>
      </c>
      <c r="L11513" s="25">
        <v>40673.59517361111</v>
      </c>
      <c r="M11513" s="26" t="s">
        <v>24149</v>
      </c>
      <c r="N11513" s="26" t="s">
        <v>24150</v>
      </c>
      <c r="O11513" s="22" t="str">
        <f>HYPERLINK("https://pbs.twimg.com/profile_images/1348268229/bmwfree_normal.jpg","View")</f>
        <v>View</v>
      </c>
      <c r="P11513" s="27"/>
    </row>
    <row r="11514">
      <c r="A11514" s="14">
        <v>43032.82898148148</v>
      </c>
      <c r="B11514" s="20" t="str">
        <f>HYPERLINK("https://twitter.com/TheNewsAlerts","@TheNewsAlerts")</f>
        <v>@TheNewsAlerts</v>
      </c>
      <c r="C11514" s="21" t="s">
        <v>827</v>
      </c>
      <c r="D11514" s="21" t="s">
        <v>24151</v>
      </c>
      <c r="E11514" s="22" t="str">
        <f>HYPERLINK("https://twitter.com/TheNewsAlerts/status/923019719472500736","923019719472500736")</f>
        <v>923019719472500736</v>
      </c>
      <c r="F11514" s="23" t="s">
        <v>187</v>
      </c>
      <c r="G11514" s="24">
        <v>705.0</v>
      </c>
      <c r="H11514" s="24">
        <v>566.0</v>
      </c>
      <c r="I11514" s="24">
        <v>0.0</v>
      </c>
      <c r="J11514" s="24">
        <v>0.0</v>
      </c>
      <c r="K11514" s="23" t="s">
        <v>34</v>
      </c>
      <c r="L11514" s="25">
        <v>40368.59261574074</v>
      </c>
      <c r="M11514" s="26" t="s">
        <v>829</v>
      </c>
      <c r="N11514" s="26" t="s">
        <v>830</v>
      </c>
      <c r="O11514" s="22" t="str">
        <f>HYPERLINK("https://pbs.twimg.com/profile_images/824973109522464768/RosVlZDx_normal.jpg","View")</f>
        <v>View</v>
      </c>
      <c r="P11514" s="27"/>
    </row>
    <row r="11515">
      <c r="A11515" s="14">
        <v>43032.82917824074</v>
      </c>
      <c r="B11515" s="20" t="str">
        <f>HYPERLINK("https://twitter.com/falconhamada_90","@falconhamada_90")</f>
        <v>@falconhamada_90</v>
      </c>
      <c r="C11515" s="21" t="s">
        <v>24152</v>
      </c>
      <c r="D11515" s="21" t="s">
        <v>24007</v>
      </c>
      <c r="E11515" s="22" t="str">
        <f>HYPERLINK("https://twitter.com/falconhamada_90/status/923019790956027904","923019790956027904")</f>
        <v>923019790956027904</v>
      </c>
      <c r="F11515" s="23" t="s">
        <v>33</v>
      </c>
      <c r="G11515" s="24">
        <v>2099.0</v>
      </c>
      <c r="H11515" s="24">
        <v>1137.0</v>
      </c>
      <c r="I11515" s="24">
        <v>122.0</v>
      </c>
      <c r="J11515" s="24">
        <v>0.0</v>
      </c>
      <c r="K11515" s="23" t="s">
        <v>34</v>
      </c>
      <c r="L11515" s="25">
        <v>41793.474594907406</v>
      </c>
      <c r="M11515" s="26" t="s">
        <v>24153</v>
      </c>
      <c r="N11515" s="26" t="s">
        <v>24154</v>
      </c>
      <c r="O11515" s="22" t="str">
        <f>HYPERLINK("https://pbs.twimg.com/profile_images/807689016925650944/O9eTA4qp_normal.jpg","View")</f>
        <v>View</v>
      </c>
      <c r="P11515" s="27"/>
    </row>
    <row r="11516">
      <c r="A11516" s="14">
        <v>43032.82921296296</v>
      </c>
      <c r="B11516" s="20" t="str">
        <f>HYPERLINK("https://twitter.com/Newsofthehour1","@Newsofthehour1")</f>
        <v>@Newsofthehour1</v>
      </c>
      <c r="C11516" s="21" t="s">
        <v>20417</v>
      </c>
      <c r="D11516" s="21" t="s">
        <v>24155</v>
      </c>
      <c r="E11516" s="22" t="str">
        <f>HYPERLINK("https://twitter.com/Newsofthehour1/status/923019801173331968","923019801173331968")</f>
        <v>923019801173331968</v>
      </c>
      <c r="F11516" s="23" t="s">
        <v>20419</v>
      </c>
      <c r="G11516" s="24">
        <v>3176.0</v>
      </c>
      <c r="H11516" s="24">
        <v>2083.0</v>
      </c>
      <c r="I11516" s="24">
        <v>0.0</v>
      </c>
      <c r="J11516" s="24">
        <v>0.0</v>
      </c>
      <c r="K11516" s="23" t="s">
        <v>34</v>
      </c>
      <c r="L11516" s="25">
        <v>42705.30894675926</v>
      </c>
      <c r="M11516" s="26" t="s">
        <v>20420</v>
      </c>
      <c r="N11516" s="26" t="s">
        <v>20421</v>
      </c>
      <c r="O11516" s="22" t="str">
        <f>HYPERLINK("https://pbs.twimg.com/profile_images/843085226956017664/a44A_YmK_normal.jpg","View")</f>
        <v>View</v>
      </c>
      <c r="P11516" s="27"/>
    </row>
    <row r="11517">
      <c r="A11517" s="14">
        <v>43032.82923611111</v>
      </c>
      <c r="B11517" s="20" t="str">
        <f>HYPERLINK("https://twitter.com/xavvypls","@xavvypls")</f>
        <v>@xavvypls</v>
      </c>
      <c r="C11517" s="21" t="s">
        <v>985</v>
      </c>
      <c r="D11517" s="21" t="s">
        <v>24156</v>
      </c>
      <c r="E11517" s="22" t="str">
        <f>HYPERLINK("https://twitter.com/xavvypls/status/923019811319418881","923019811319418881")</f>
        <v>923019811319418881</v>
      </c>
      <c r="F11517" s="23" t="s">
        <v>187</v>
      </c>
      <c r="G11517" s="24">
        <v>2703.0</v>
      </c>
      <c r="H11517" s="24">
        <v>2991.0</v>
      </c>
      <c r="I11517" s="24">
        <v>0.0</v>
      </c>
      <c r="J11517" s="24">
        <v>0.0</v>
      </c>
      <c r="K11517" s="23" t="s">
        <v>34</v>
      </c>
      <c r="L11517" s="25">
        <v>40108.985497685186</v>
      </c>
      <c r="M11517" s="26" t="s">
        <v>987</v>
      </c>
      <c r="N11517" s="26" t="s">
        <v>988</v>
      </c>
      <c r="O11517" s="22" t="str">
        <f>HYPERLINK("https://pbs.twimg.com/profile_images/730121330276892672/QGTLrj5q_normal.jpg","View")</f>
        <v>View</v>
      </c>
      <c r="P11517" s="27"/>
    </row>
    <row r="11518">
      <c r="A11518" s="14">
        <v>43032.82925925926</v>
      </c>
      <c r="B11518" s="20" t="str">
        <f>HYPERLINK("https://twitter.com/Taro_7604","@Taro_7604")</f>
        <v>@Taro_7604</v>
      </c>
      <c r="C11518" s="21" t="s">
        <v>24157</v>
      </c>
      <c r="D11518" s="21" t="s">
        <v>23858</v>
      </c>
      <c r="E11518" s="22" t="str">
        <f>HYPERLINK("https://twitter.com/Taro_7604/status/923019817896030208","923019817896030208")</f>
        <v>923019817896030208</v>
      </c>
      <c r="F11518" s="23" t="s">
        <v>39</v>
      </c>
      <c r="G11518" s="24">
        <v>9.0</v>
      </c>
      <c r="H11518" s="24">
        <v>15.0</v>
      </c>
      <c r="I11518" s="24">
        <v>18.0</v>
      </c>
      <c r="J11518" s="24">
        <v>0.0</v>
      </c>
      <c r="K11518" s="23" t="s">
        <v>34</v>
      </c>
      <c r="L11518" s="25">
        <v>42955.682118055556</v>
      </c>
      <c r="M11518" s="26" t="s">
        <v>2534</v>
      </c>
      <c r="N11518" s="26" t="s">
        <v>24158</v>
      </c>
      <c r="O11518" s="22" t="str">
        <f>HYPERLINK("https://abs.twimg.com/sticky/default_profile_images/default_profile_normal.png","View")</f>
        <v>View</v>
      </c>
      <c r="P11518" s="27"/>
    </row>
    <row r="11519">
      <c r="A11519" s="14">
        <v>43032.829409722224</v>
      </c>
      <c r="B11519" s="20" t="str">
        <f>HYPERLINK("https://twitter.com/LloydZiel","@LloydZiel")</f>
        <v>@LloydZiel</v>
      </c>
      <c r="C11519" s="21" t="s">
        <v>1049</v>
      </c>
      <c r="D11519" s="21" t="s">
        <v>24159</v>
      </c>
      <c r="E11519" s="22" t="str">
        <f>HYPERLINK("https://twitter.com/LloydZiel/status/923019875135651842","923019875135651842")</f>
        <v>923019875135651842</v>
      </c>
      <c r="F11519" s="23" t="s">
        <v>187</v>
      </c>
      <c r="G11519" s="24">
        <v>757.0</v>
      </c>
      <c r="H11519" s="24">
        <v>843.0</v>
      </c>
      <c r="I11519" s="24">
        <v>0.0</v>
      </c>
      <c r="J11519" s="24">
        <v>0.0</v>
      </c>
      <c r="K11519" s="23" t="s">
        <v>34</v>
      </c>
      <c r="L11519" s="25">
        <v>40816.290509259255</v>
      </c>
      <c r="M11519" s="26" t="s">
        <v>435</v>
      </c>
      <c r="N11519" s="26" t="s">
        <v>1051</v>
      </c>
      <c r="O11519" s="22" t="str">
        <f>HYPERLINK("https://pbs.twimg.com/profile_images/378800000163294226/f9483ee13c6a6f32086253635d758cc6_normal.jpeg","View")</f>
        <v>View</v>
      </c>
      <c r="P11519" s="27"/>
    </row>
    <row r="11520">
      <c r="A11520" s="14">
        <v>43032.829675925925</v>
      </c>
      <c r="B11520" s="20" t="str">
        <f>HYPERLINK("https://twitter.com/jon4stall","@jon4stall")</f>
        <v>@jon4stall</v>
      </c>
      <c r="C11520" s="21" t="s">
        <v>24160</v>
      </c>
      <c r="D11520" s="21" t="s">
        <v>24161</v>
      </c>
      <c r="E11520" s="22" t="str">
        <f>HYPERLINK("https://twitter.com/jon4stall/status/923019968798707717","923019968798707717")</f>
        <v>923019968798707717</v>
      </c>
      <c r="F11520" s="23" t="s">
        <v>187</v>
      </c>
      <c r="G11520" s="24">
        <v>54.0</v>
      </c>
      <c r="H11520" s="24">
        <v>167.0</v>
      </c>
      <c r="I11520" s="24">
        <v>0.0</v>
      </c>
      <c r="J11520" s="24">
        <v>0.0</v>
      </c>
      <c r="K11520" s="23" t="s">
        <v>34</v>
      </c>
      <c r="L11520" s="25">
        <v>42021.77465277778</v>
      </c>
      <c r="M11520" s="28"/>
      <c r="N11520" s="28"/>
      <c r="O11520" s="22" t="str">
        <f>HYPERLINK("https://pbs.twimg.com/profile_images/558082745587343360/Gf7pXKAq_normal.jpeg","View")</f>
        <v>View</v>
      </c>
      <c r="P11520" s="27"/>
    </row>
    <row r="11521">
      <c r="A11521" s="14">
        <v>43032.829872685186</v>
      </c>
      <c r="B11521" s="20" t="str">
        <f>HYPERLINK("https://twitter.com/ken_0628","@ken_0628")</f>
        <v>@ken_0628</v>
      </c>
      <c r="C11521" s="21" t="s">
        <v>24162</v>
      </c>
      <c r="D11521" s="21" t="s">
        <v>24007</v>
      </c>
      <c r="E11521" s="22" t="str">
        <f>HYPERLINK("https://twitter.com/ken_0628/status/923020043062886401","923020043062886401")</f>
        <v>923020043062886401</v>
      </c>
      <c r="F11521" s="23" t="s">
        <v>39</v>
      </c>
      <c r="G11521" s="24">
        <v>398.0</v>
      </c>
      <c r="H11521" s="24">
        <v>405.0</v>
      </c>
      <c r="I11521" s="24">
        <v>122.0</v>
      </c>
      <c r="J11521" s="24">
        <v>0.0</v>
      </c>
      <c r="K11521" s="23" t="s">
        <v>34</v>
      </c>
      <c r="L11521" s="25">
        <v>40269.17129629629</v>
      </c>
      <c r="M11521" s="28"/>
      <c r="N11521" s="26" t="s">
        <v>24163</v>
      </c>
      <c r="O11521" s="22" t="str">
        <f>HYPERLINK("https://pbs.twimg.com/profile_images/880764309264941057/Bv0GITaz_normal.jpg","View")</f>
        <v>View</v>
      </c>
      <c r="P11521" s="27"/>
    </row>
    <row r="11522">
      <c r="A11522" s="14">
        <v>43032.82989583333</v>
      </c>
      <c r="B11522" s="20" t="str">
        <f>HYPERLINK("https://twitter.com/torapocodan","@torapocodan")</f>
        <v>@torapocodan</v>
      </c>
      <c r="C11522" s="21" t="s">
        <v>24164</v>
      </c>
      <c r="D11522" s="21" t="s">
        <v>24165</v>
      </c>
      <c r="E11522" s="22" t="str">
        <f>HYPERLINK("https://twitter.com/torapocodan/status/923020049106984960","923020049106984960")</f>
        <v>923020049106984960</v>
      </c>
      <c r="F11522" s="23" t="s">
        <v>75</v>
      </c>
      <c r="G11522" s="24">
        <v>5460.0</v>
      </c>
      <c r="H11522" s="24">
        <v>994.0</v>
      </c>
      <c r="I11522" s="24">
        <v>0.0</v>
      </c>
      <c r="J11522" s="24">
        <v>0.0</v>
      </c>
      <c r="K11522" s="23" t="s">
        <v>34</v>
      </c>
      <c r="L11522" s="25">
        <v>40716.28456018519</v>
      </c>
      <c r="M11522" s="26" t="s">
        <v>10404</v>
      </c>
      <c r="N11522" s="26" t="s">
        <v>24166</v>
      </c>
      <c r="O11522" s="22" t="str">
        <f>HYPERLINK("https://pbs.twimg.com/profile_images/915570506719412225/z4oYnRK__normal.jpg","View")</f>
        <v>View</v>
      </c>
      <c r="P11522" s="27"/>
    </row>
    <row r="11523">
      <c r="A11523" s="14">
        <v>43032.829930555556</v>
      </c>
      <c r="B11523" s="20" t="str">
        <f>HYPERLINK("https://twitter.com/News247WorldPre","@News247WorldPre")</f>
        <v>@News247WorldPre</v>
      </c>
      <c r="C11523" s="21" t="s">
        <v>11200</v>
      </c>
      <c r="D11523" s="21" t="s">
        <v>24007</v>
      </c>
      <c r="E11523" s="22" t="str">
        <f>HYPERLINK("https://twitter.com/News247WorldPre/status/923020061836824576","923020061836824576")</f>
        <v>923020061836824576</v>
      </c>
      <c r="F11523" s="23" t="s">
        <v>55</v>
      </c>
      <c r="G11523" s="24">
        <v>272.0</v>
      </c>
      <c r="H11523" s="24">
        <v>340.0</v>
      </c>
      <c r="I11523" s="24">
        <v>122.0</v>
      </c>
      <c r="J11523" s="24">
        <v>0.0</v>
      </c>
      <c r="K11523" s="23" t="s">
        <v>34</v>
      </c>
      <c r="L11523" s="25">
        <v>41979.56165509259</v>
      </c>
      <c r="M11523" s="26" t="s">
        <v>40</v>
      </c>
      <c r="N11523" s="26" t="s">
        <v>11202</v>
      </c>
      <c r="O11523" s="22" t="str">
        <f>HYPERLINK("https://pbs.twimg.com/profile_images/541343662672588800/g6RS79lu_normal.jpeg","View")</f>
        <v>View</v>
      </c>
      <c r="P11523" s="27"/>
    </row>
    <row r="11524">
      <c r="A11524" s="14">
        <v>43032.829942129625</v>
      </c>
      <c r="B11524" s="20" t="str">
        <f>HYPERLINK("https://twitter.com/jeetrainers","@jeetrainers")</f>
        <v>@jeetrainers</v>
      </c>
      <c r="C11524" s="21" t="s">
        <v>24167</v>
      </c>
      <c r="D11524" s="21" t="s">
        <v>24168</v>
      </c>
      <c r="E11524" s="22" t="str">
        <f>HYPERLINK("https://twitter.com/jeetrainers/status/923020068568440832","923020068568440832")</f>
        <v>923020068568440832</v>
      </c>
      <c r="F11524" s="30" t="s">
        <v>411</v>
      </c>
      <c r="G11524" s="24">
        <v>6378.0</v>
      </c>
      <c r="H11524" s="24">
        <v>5969.0</v>
      </c>
      <c r="I11524" s="24">
        <v>0.0</v>
      </c>
      <c r="J11524" s="24">
        <v>0.0</v>
      </c>
      <c r="K11524" s="23" t="s">
        <v>34</v>
      </c>
      <c r="L11524" s="25">
        <v>40293.66168981481</v>
      </c>
      <c r="M11524" s="26" t="s">
        <v>24169</v>
      </c>
      <c r="N11524" s="26" t="s">
        <v>24170</v>
      </c>
      <c r="O11524" s="22" t="str">
        <f>HYPERLINK("https://pbs.twimg.com/profile_images/712789345456021504/kqg5zoF8_normal.jpg","View")</f>
        <v>View</v>
      </c>
      <c r="P11524" s="27"/>
    </row>
    <row r="11525">
      <c r="A11525" s="14">
        <v>43032.830034722225</v>
      </c>
      <c r="B11525" s="20" t="str">
        <f>HYPERLINK("https://twitter.com/Ron_Bourne","@Ron_Bourne")</f>
        <v>@Ron_Bourne</v>
      </c>
      <c r="C11525" s="21" t="s">
        <v>821</v>
      </c>
      <c r="D11525" s="21" t="s">
        <v>24171</v>
      </c>
      <c r="E11525" s="22" t="str">
        <f>HYPERLINK("https://twitter.com/Ron_Bourne/status/923020100701126656","923020100701126656")</f>
        <v>923020100701126656</v>
      </c>
      <c r="F11525" s="23" t="s">
        <v>187</v>
      </c>
      <c r="G11525" s="24">
        <v>352.0</v>
      </c>
      <c r="H11525" s="24">
        <v>240.0</v>
      </c>
      <c r="I11525" s="24">
        <v>0.0</v>
      </c>
      <c r="J11525" s="24">
        <v>0.0</v>
      </c>
      <c r="K11525" s="23" t="s">
        <v>34</v>
      </c>
      <c r="L11525" s="25">
        <v>39367.5259375</v>
      </c>
      <c r="M11525" s="26" t="s">
        <v>590</v>
      </c>
      <c r="N11525" s="26" t="s">
        <v>823</v>
      </c>
      <c r="O11525" s="22" t="str">
        <f>HYPERLINK("https://pbs.twimg.com/profile_images/922533323825664000/DLCEnlTy_normal.jpg","View")</f>
        <v>View</v>
      </c>
      <c r="P11525" s="27"/>
    </row>
    <row r="11526">
      <c r="A11526" s="14">
        <v>43032.83016203703</v>
      </c>
      <c r="B11526" s="20" t="str">
        <f>HYPERLINK("https://twitter.com/NarrendraM","@NarrendraM")</f>
        <v>@NarrendraM</v>
      </c>
      <c r="C11526" s="21" t="s">
        <v>2654</v>
      </c>
      <c r="D11526" s="21" t="s">
        <v>24172</v>
      </c>
      <c r="E11526" s="22" t="str">
        <f>HYPERLINK("https://twitter.com/NarrendraM/status/923020148122013696","923020148122013696")</f>
        <v>923020148122013696</v>
      </c>
      <c r="F11526" s="23" t="s">
        <v>187</v>
      </c>
      <c r="G11526" s="24">
        <v>2003.0</v>
      </c>
      <c r="H11526" s="24">
        <v>252.0</v>
      </c>
      <c r="I11526" s="24">
        <v>0.0</v>
      </c>
      <c r="J11526" s="24">
        <v>0.0</v>
      </c>
      <c r="K11526" s="23" t="s">
        <v>34</v>
      </c>
      <c r="L11526" s="25">
        <v>42471.0737037037</v>
      </c>
      <c r="M11526" s="26" t="s">
        <v>246</v>
      </c>
      <c r="N11526" s="26" t="s">
        <v>2656</v>
      </c>
      <c r="O11526" s="22" t="str">
        <f>HYPERLINK("https://pbs.twimg.com/profile_images/743939643738034176/WkGloI0u_normal.jpg","View")</f>
        <v>View</v>
      </c>
      <c r="P11526" s="27"/>
    </row>
    <row r="11527">
      <c r="A11527" s="14">
        <v>43032.83018518519</v>
      </c>
      <c r="B11527" s="20" t="str">
        <f>HYPERLINK("https://twitter.com/EBertolaccini","@EBertolaccini")</f>
        <v>@EBertolaccini</v>
      </c>
      <c r="C11527" s="21" t="s">
        <v>764</v>
      </c>
      <c r="D11527" s="21" t="s">
        <v>24173</v>
      </c>
      <c r="E11527" s="22" t="str">
        <f>HYPERLINK("https://twitter.com/EBertolaccini/status/923020156040818688","923020156040818688")</f>
        <v>923020156040818688</v>
      </c>
      <c r="F11527" s="23" t="s">
        <v>187</v>
      </c>
      <c r="G11527" s="24">
        <v>1179.0</v>
      </c>
      <c r="H11527" s="24">
        <v>1881.0</v>
      </c>
      <c r="I11527" s="24">
        <v>0.0</v>
      </c>
      <c r="J11527" s="24">
        <v>0.0</v>
      </c>
      <c r="K11527" s="23" t="s">
        <v>34</v>
      </c>
      <c r="L11527" s="25">
        <v>40636.36203703703</v>
      </c>
      <c r="M11527" s="26" t="s">
        <v>766</v>
      </c>
      <c r="N11527" s="26" t="s">
        <v>767</v>
      </c>
      <c r="O11527" s="22" t="str">
        <f>HYPERLINK("https://pbs.twimg.com/profile_images/522805721537466368/cbIOXjsD_normal.jpeg","View")</f>
        <v>View</v>
      </c>
      <c r="P11527" s="27"/>
    </row>
    <row r="11528">
      <c r="A11528" s="14">
        <v>43032.83033564815</v>
      </c>
      <c r="B11528" s="20" t="str">
        <f>HYPERLINK("https://twitter.com/nnnrannn","@nnnrannn")</f>
        <v>@nnnrannn</v>
      </c>
      <c r="C11528" s="21" t="s">
        <v>24174</v>
      </c>
      <c r="D11528" s="21" t="s">
        <v>24007</v>
      </c>
      <c r="E11528" s="22" t="str">
        <f>HYPERLINK("https://twitter.com/nnnrannn/status/923020211187363840","923020211187363840")</f>
        <v>923020211187363840</v>
      </c>
      <c r="F11528" s="23" t="s">
        <v>39</v>
      </c>
      <c r="G11528" s="24">
        <v>161.0</v>
      </c>
      <c r="H11528" s="24">
        <v>295.0</v>
      </c>
      <c r="I11528" s="24">
        <v>122.0</v>
      </c>
      <c r="J11528" s="24">
        <v>0.0</v>
      </c>
      <c r="K11528" s="23" t="s">
        <v>34</v>
      </c>
      <c r="L11528" s="25">
        <v>39943.372083333335</v>
      </c>
      <c r="M11528" s="28"/>
      <c r="N11528" s="26" t="s">
        <v>24175</v>
      </c>
      <c r="O11528" s="22" t="str">
        <f>HYPERLINK("https://pbs.twimg.com/profile_images/1273187741/__________normal.jpg","View")</f>
        <v>View</v>
      </c>
      <c r="P11528" s="27"/>
    </row>
    <row r="11529">
      <c r="A11529" s="14">
        <v>43032.83050925926</v>
      </c>
      <c r="B11529" s="20" t="str">
        <f>HYPERLINK("https://twitter.com/messagesplaceco","@messagesplaceco")</f>
        <v>@messagesplaceco</v>
      </c>
      <c r="C11529" s="21" t="s">
        <v>24176</v>
      </c>
      <c r="D11529" s="21" t="s">
        <v>24177</v>
      </c>
      <c r="E11529" s="22" t="str">
        <f>HYPERLINK("https://twitter.com/messagesplaceco/status/923020273888116736","923020273888116736")</f>
        <v>923020273888116736</v>
      </c>
      <c r="F11529" s="23" t="s">
        <v>24176</v>
      </c>
      <c r="G11529" s="24">
        <v>1721.0</v>
      </c>
      <c r="H11529" s="24">
        <v>28.0</v>
      </c>
      <c r="I11529" s="24">
        <v>0.0</v>
      </c>
      <c r="J11529" s="24">
        <v>0.0</v>
      </c>
      <c r="K11529" s="23" t="s">
        <v>34</v>
      </c>
      <c r="L11529" s="25">
        <v>42459.25822916666</v>
      </c>
      <c r="M11529" s="28"/>
      <c r="N11529" s="26" t="s">
        <v>24178</v>
      </c>
      <c r="O11529" s="22" t="str">
        <f>HYPERLINK("https://pbs.twimg.com/profile_images/715165463391682560/KI-ANPLo_normal.jpg","View")</f>
        <v>View</v>
      </c>
      <c r="P11529" s="27"/>
    </row>
    <row r="11530">
      <c r="A11530" s="14">
        <v>43032.830613425926</v>
      </c>
      <c r="B11530" s="20" t="str">
        <f>HYPERLINK("https://twitter.com/Phillip_Bauer","@Phillip_Bauer")</f>
        <v>@Phillip_Bauer</v>
      </c>
      <c r="C11530" s="21" t="s">
        <v>22040</v>
      </c>
      <c r="D11530" s="21" t="s">
        <v>24179</v>
      </c>
      <c r="E11530" s="22" t="str">
        <f>HYPERLINK("https://twitter.com/Phillip_Bauer/status/923020310357483520","923020310357483520")</f>
        <v>923020310357483520</v>
      </c>
      <c r="F11530" s="23" t="s">
        <v>55</v>
      </c>
      <c r="G11530" s="24">
        <v>14.0</v>
      </c>
      <c r="H11530" s="24">
        <v>47.0</v>
      </c>
      <c r="I11530" s="24">
        <v>0.0</v>
      </c>
      <c r="J11530" s="24">
        <v>0.0</v>
      </c>
      <c r="K11530" s="23" t="s">
        <v>34</v>
      </c>
      <c r="L11530" s="25">
        <v>41714.83565972222</v>
      </c>
      <c r="M11530" s="28"/>
      <c r="N11530" s="26" t="s">
        <v>22042</v>
      </c>
      <c r="O11530" s="22" t="str">
        <f>HYPERLINK("https://pbs.twimg.com/profile_images/682794426150694912/pNPi9zc7_normal.jpg","View")</f>
        <v>View</v>
      </c>
      <c r="P11530" s="27"/>
    </row>
    <row r="11531">
      <c r="A11531" s="14">
        <v>43032.83064814815</v>
      </c>
      <c r="B11531" s="20" t="str">
        <f>HYPERLINK("https://twitter.com/CamilleJaye1","@CamilleJaye1")</f>
        <v>@CamilleJaye1</v>
      </c>
      <c r="C11531" s="21" t="s">
        <v>24180</v>
      </c>
      <c r="D11531" s="21" t="s">
        <v>24181</v>
      </c>
      <c r="E11531" s="22" t="str">
        <f>HYPERLINK("https://twitter.com/CamilleJaye1/status/923020322722500608","923020322722500608")</f>
        <v>923020322722500608</v>
      </c>
      <c r="F11531" s="23" t="s">
        <v>187</v>
      </c>
      <c r="G11531" s="24">
        <v>0.0</v>
      </c>
      <c r="H11531" s="24">
        <v>0.0</v>
      </c>
      <c r="I11531" s="24">
        <v>0.0</v>
      </c>
      <c r="J11531" s="24">
        <v>0.0</v>
      </c>
      <c r="K11531" s="23" t="s">
        <v>34</v>
      </c>
      <c r="L11531" s="25">
        <v>43021.946851851855</v>
      </c>
      <c r="M11531" s="26" t="s">
        <v>1024</v>
      </c>
      <c r="N11531" s="26" t="s">
        <v>24182</v>
      </c>
      <c r="O11531" s="22" t="str">
        <f>HYPERLINK("https://pbs.twimg.com/profile_images/921410858936254464/wbJDkw53_normal.jpg","View")</f>
        <v>View</v>
      </c>
      <c r="P11531" s="27"/>
    </row>
    <row r="11532">
      <c r="A11532" s="14">
        <v>43032.83068287037</v>
      </c>
      <c r="B11532" s="20" t="str">
        <f>HYPERLINK("https://twitter.com/FXstreetNews","@FXstreetNews")</f>
        <v>@FXstreetNews</v>
      </c>
      <c r="C11532" s="21" t="s">
        <v>20216</v>
      </c>
      <c r="D11532" s="21" t="s">
        <v>24183</v>
      </c>
      <c r="E11532" s="22" t="str">
        <f>HYPERLINK("https://twitter.com/FXstreetNews/status/923020334923739136","923020334923739136")</f>
        <v>923020334923739136</v>
      </c>
      <c r="F11532" s="30" t="s">
        <v>20218</v>
      </c>
      <c r="G11532" s="24">
        <v>114460.0</v>
      </c>
      <c r="H11532" s="24">
        <v>255.0</v>
      </c>
      <c r="I11532" s="24">
        <v>0.0</v>
      </c>
      <c r="J11532" s="24">
        <v>0.0</v>
      </c>
      <c r="K11532" s="23" t="s">
        <v>34</v>
      </c>
      <c r="L11532" s="25">
        <v>39902.33741898148</v>
      </c>
      <c r="M11532" s="26" t="s">
        <v>13543</v>
      </c>
      <c r="N11532" s="26" t="s">
        <v>20219</v>
      </c>
      <c r="O11532" s="22" t="str">
        <f>HYPERLINK("https://pbs.twimg.com/profile_images/900669341171056640/06pIS4h4_normal.jpg","View")</f>
        <v>View</v>
      </c>
      <c r="P11532" s="27"/>
    </row>
    <row r="11533">
      <c r="A11533" s="14">
        <v>43032.83074074074</v>
      </c>
      <c r="B11533" s="20" t="str">
        <f>HYPERLINK("https://twitter.com/53xee","@53xee")</f>
        <v>@53xee</v>
      </c>
      <c r="C11533" s="21" t="s">
        <v>10790</v>
      </c>
      <c r="D11533" s="21" t="s">
        <v>24184</v>
      </c>
      <c r="E11533" s="22" t="str">
        <f>HYPERLINK("https://twitter.com/53xee/status/923020357812015105","923020357812015105")</f>
        <v>923020357812015105</v>
      </c>
      <c r="F11533" s="23" t="s">
        <v>187</v>
      </c>
      <c r="G11533" s="24">
        <v>142.0</v>
      </c>
      <c r="H11533" s="24">
        <v>167.0</v>
      </c>
      <c r="I11533" s="24">
        <v>0.0</v>
      </c>
      <c r="J11533" s="24">
        <v>0.0</v>
      </c>
      <c r="K11533" s="23" t="s">
        <v>34</v>
      </c>
      <c r="L11533" s="25">
        <v>42935.15537037037</v>
      </c>
      <c r="M11533" s="26" t="s">
        <v>4549</v>
      </c>
      <c r="N11533" s="26" t="s">
        <v>10792</v>
      </c>
      <c r="O11533" s="22" t="str">
        <f>HYPERLINK("https://pbs.twimg.com/profile_images/887633098590101504/4C9kPDS9_normal.jpg","View")</f>
        <v>View</v>
      </c>
      <c r="P11533" s="27"/>
    </row>
    <row r="11534">
      <c r="A11534" s="14">
        <v>43032.83075231481</v>
      </c>
      <c r="B11534" s="20" t="str">
        <f>HYPERLINK("https://twitter.com/k3shtk4r","@k3shtk4r")</f>
        <v>@k3shtk4r</v>
      </c>
      <c r="C11534" s="21" t="s">
        <v>13403</v>
      </c>
      <c r="D11534" s="21" t="s">
        <v>24185</v>
      </c>
      <c r="E11534" s="22" t="str">
        <f>HYPERLINK("https://twitter.com/k3shtk4r/status/923020359628152832","923020359628152832")</f>
        <v>923020359628152832</v>
      </c>
      <c r="F11534" s="23" t="s">
        <v>187</v>
      </c>
      <c r="G11534" s="24">
        <v>373.0</v>
      </c>
      <c r="H11534" s="24">
        <v>99.0</v>
      </c>
      <c r="I11534" s="24">
        <v>0.0</v>
      </c>
      <c r="J11534" s="24">
        <v>0.0</v>
      </c>
      <c r="K11534" s="23" t="s">
        <v>34</v>
      </c>
      <c r="L11534" s="25">
        <v>40445.06240740741</v>
      </c>
      <c r="M11534" s="28"/>
      <c r="N11534" s="26" t="s">
        <v>13405</v>
      </c>
      <c r="O11534" s="22" t="str">
        <f>HYPERLINK("https://pbs.twimg.com/profile_images/1643334812/1_normal.jpg","View")</f>
        <v>View</v>
      </c>
      <c r="P11534" s="27"/>
    </row>
    <row r="11535">
      <c r="A11535" s="14">
        <v>43032.830775462964</v>
      </c>
      <c r="B11535" s="20" t="str">
        <f>HYPERLINK("https://twitter.com/EBertolaccini","@EBertolaccini")</f>
        <v>@EBertolaccini</v>
      </c>
      <c r="C11535" s="21" t="s">
        <v>764</v>
      </c>
      <c r="D11535" s="21" t="s">
        <v>24186</v>
      </c>
      <c r="E11535" s="22" t="str">
        <f>HYPERLINK("https://twitter.com/EBertolaccini/status/923020368201371648","923020368201371648")</f>
        <v>923020368201371648</v>
      </c>
      <c r="F11535" s="23" t="s">
        <v>187</v>
      </c>
      <c r="G11535" s="24">
        <v>1179.0</v>
      </c>
      <c r="H11535" s="24">
        <v>1881.0</v>
      </c>
      <c r="I11535" s="24">
        <v>0.0</v>
      </c>
      <c r="J11535" s="24">
        <v>0.0</v>
      </c>
      <c r="K11535" s="23" t="s">
        <v>34</v>
      </c>
      <c r="L11535" s="25">
        <v>40636.36203703703</v>
      </c>
      <c r="M11535" s="26" t="s">
        <v>766</v>
      </c>
      <c r="N11535" s="26" t="s">
        <v>767</v>
      </c>
      <c r="O11535" s="22" t="str">
        <f>HYPERLINK("https://pbs.twimg.com/profile_images/522805721537466368/cbIOXjsD_normal.jpeg","View")</f>
        <v>View</v>
      </c>
      <c r="P11535" s="27"/>
    </row>
    <row r="11536">
      <c r="A11536" s="14">
        <v>43032.83078703703</v>
      </c>
      <c r="B11536" s="20" t="str">
        <f>HYPERLINK("https://twitter.com/DavidThinkr","@DavidThinkr")</f>
        <v>@DavidThinkr</v>
      </c>
      <c r="C11536" s="21" t="s">
        <v>24187</v>
      </c>
      <c r="D11536" s="21" t="s">
        <v>24188</v>
      </c>
      <c r="E11536" s="22" t="str">
        <f>HYPERLINK("https://twitter.com/DavidThinkr/status/923020373234475008","923020373234475008")</f>
        <v>923020373234475008</v>
      </c>
      <c r="F11536" s="23" t="s">
        <v>187</v>
      </c>
      <c r="G11536" s="24">
        <v>258.0</v>
      </c>
      <c r="H11536" s="24">
        <v>141.0</v>
      </c>
      <c r="I11536" s="24">
        <v>0.0</v>
      </c>
      <c r="J11536" s="24">
        <v>0.0</v>
      </c>
      <c r="K11536" s="23" t="s">
        <v>34</v>
      </c>
      <c r="L11536" s="25">
        <v>39864.68509259259</v>
      </c>
      <c r="M11536" s="26" t="s">
        <v>24075</v>
      </c>
      <c r="N11536" s="26" t="s">
        <v>24189</v>
      </c>
      <c r="O11536" s="22" t="str">
        <f>HYPERLINK("https://pbs.twimg.com/profile_images/80870517/Photo_12_normal.jpg","View")</f>
        <v>View</v>
      </c>
      <c r="P11536" s="27"/>
    </row>
    <row r="11537">
      <c r="A11537" s="14">
        <v>43032.83083333333</v>
      </c>
      <c r="B11537" s="20" t="str">
        <f>HYPERLINK("https://twitter.com/EarlOfCornwall","@EarlOfCornwall")</f>
        <v>@EarlOfCornwall</v>
      </c>
      <c r="C11537" s="21" t="s">
        <v>868</v>
      </c>
      <c r="D11537" s="21" t="s">
        <v>24190</v>
      </c>
      <c r="E11537" s="22" t="str">
        <f>HYPERLINK("https://twitter.com/EarlOfCornwall/status/923020388665380864","923020388665380864")</f>
        <v>923020388665380864</v>
      </c>
      <c r="F11537" s="23" t="s">
        <v>187</v>
      </c>
      <c r="G11537" s="24">
        <v>355.0</v>
      </c>
      <c r="H11537" s="24">
        <v>269.0</v>
      </c>
      <c r="I11537" s="24">
        <v>0.0</v>
      </c>
      <c r="J11537" s="24">
        <v>0.0</v>
      </c>
      <c r="K11537" s="23" t="s">
        <v>34</v>
      </c>
      <c r="L11537" s="25">
        <v>42139.73423611111</v>
      </c>
      <c r="M11537" s="26" t="s">
        <v>870</v>
      </c>
      <c r="N11537" s="26" t="s">
        <v>871</v>
      </c>
      <c r="O11537" s="22" t="str">
        <f>HYPERLINK("https://pbs.twimg.com/profile_images/599373664975343616/f36YKczK_normal.jpg","View")</f>
        <v>View</v>
      </c>
      <c r="P11537" s="27"/>
    </row>
    <row r="11538">
      <c r="A11538" s="14">
        <v>43032.83087962963</v>
      </c>
      <c r="B11538" s="20" t="str">
        <f>HYPERLINK("https://twitter.com/aqytha_joobjip","@aqytha_joobjip")</f>
        <v>@aqytha_joobjip</v>
      </c>
      <c r="C11538" s="21" t="s">
        <v>1094</v>
      </c>
      <c r="D11538" s="21" t="s">
        <v>24191</v>
      </c>
      <c r="E11538" s="22" t="str">
        <f>HYPERLINK("https://twitter.com/aqytha_joobjip/status/923020406382039044","923020406382039044")</f>
        <v>923020406382039044</v>
      </c>
      <c r="F11538" s="23" t="s">
        <v>187</v>
      </c>
      <c r="G11538" s="24">
        <v>1336.0</v>
      </c>
      <c r="H11538" s="24">
        <v>1329.0</v>
      </c>
      <c r="I11538" s="24">
        <v>0.0</v>
      </c>
      <c r="J11538" s="24">
        <v>0.0</v>
      </c>
      <c r="K11538" s="23" t="s">
        <v>34</v>
      </c>
      <c r="L11538" s="25">
        <v>42816.851064814815</v>
      </c>
      <c r="M11538" s="26" t="s">
        <v>1096</v>
      </c>
      <c r="N11538" s="26" t="s">
        <v>1097</v>
      </c>
      <c r="O11538" s="22" t="str">
        <f>HYPERLINK("https://pbs.twimg.com/profile_images/858603371510542336/I0ZwCR8u_normal.jpg","View")</f>
        <v>View</v>
      </c>
      <c r="P11538" s="27"/>
    </row>
    <row r="11539">
      <c r="A11539" s="14">
        <v>43032.830914351856</v>
      </c>
      <c r="B11539" s="20" t="str">
        <f>HYPERLINK("https://twitter.com/karzidaniq","@karzidaniq")</f>
        <v>@karzidaniq</v>
      </c>
      <c r="C11539" s="21" t="s">
        <v>24192</v>
      </c>
      <c r="D11539" s="21" t="s">
        <v>24007</v>
      </c>
      <c r="E11539" s="22" t="str">
        <f>HYPERLINK("https://twitter.com/karzidaniq/status/923020417492697089","923020417492697089")</f>
        <v>923020417492697089</v>
      </c>
      <c r="F11539" s="23" t="s">
        <v>39</v>
      </c>
      <c r="G11539" s="24">
        <v>676.0</v>
      </c>
      <c r="H11539" s="24">
        <v>327.0</v>
      </c>
      <c r="I11539" s="24">
        <v>122.0</v>
      </c>
      <c r="J11539" s="24">
        <v>0.0</v>
      </c>
      <c r="K11539" s="23" t="s">
        <v>34</v>
      </c>
      <c r="L11539" s="25">
        <v>41667.02559027778</v>
      </c>
      <c r="M11539" s="28"/>
      <c r="N11539" s="28"/>
      <c r="O11539" s="22" t="str">
        <f>HYPERLINK("https://pbs.twimg.com/profile_images/741147171676905472/ZT9yC863_normal.jpg","View")</f>
        <v>View</v>
      </c>
      <c r="P11539" s="27"/>
    </row>
    <row r="11540">
      <c r="A11540" s="14">
        <v>43032.83127314815</v>
      </c>
      <c r="B11540" s="20" t="str">
        <f>HYPERLINK("https://twitter.com/fxzoneofficial","@fxzoneofficial")</f>
        <v>@fxzoneofficial</v>
      </c>
      <c r="C11540" s="21" t="s">
        <v>1326</v>
      </c>
      <c r="D11540" s="21" t="s">
        <v>24193</v>
      </c>
      <c r="E11540" s="22" t="str">
        <f>HYPERLINK("https://twitter.com/fxzoneofficial/status/923020550129246208","923020550129246208")</f>
        <v>923020550129246208</v>
      </c>
      <c r="F11540" s="23" t="s">
        <v>1328</v>
      </c>
      <c r="G11540" s="24">
        <v>496.0</v>
      </c>
      <c r="H11540" s="24">
        <v>209.0</v>
      </c>
      <c r="I11540" s="24">
        <v>0.0</v>
      </c>
      <c r="J11540" s="24">
        <v>0.0</v>
      </c>
      <c r="K11540" s="23" t="s">
        <v>34</v>
      </c>
      <c r="L11540" s="25">
        <v>41987.21666666667</v>
      </c>
      <c r="M11540" s="28"/>
      <c r="N11540" s="26" t="s">
        <v>1329</v>
      </c>
      <c r="O11540" s="22" t="str">
        <f>HYPERLINK("https://pbs.twimg.com/profile_images/898679417635045376/0ecZuQDQ_normal.jpg","View")</f>
        <v>View</v>
      </c>
      <c r="P11540" s="27"/>
    </row>
    <row r="11541">
      <c r="A11541" s="14">
        <v>43032.831307870365</v>
      </c>
      <c r="B11541" s="20" t="str">
        <f>HYPERLINK("https://twitter.com/qwerty_sg","@qwerty_sg")</f>
        <v>@qwerty_sg</v>
      </c>
      <c r="C11541" s="21" t="s">
        <v>24194</v>
      </c>
      <c r="D11541" s="21" t="s">
        <v>24195</v>
      </c>
      <c r="E11541" s="22" t="str">
        <f>HYPERLINK("https://twitter.com/qwerty_sg/status/923020560971587585","923020560971587585")</f>
        <v>923020560971587585</v>
      </c>
      <c r="F11541" s="23" t="s">
        <v>187</v>
      </c>
      <c r="G11541" s="24">
        <v>282.0</v>
      </c>
      <c r="H11541" s="24">
        <v>260.0</v>
      </c>
      <c r="I11541" s="24">
        <v>0.0</v>
      </c>
      <c r="J11541" s="24">
        <v>0.0</v>
      </c>
      <c r="K11541" s="23" t="s">
        <v>34</v>
      </c>
      <c r="L11541" s="25">
        <v>39975.16079861111</v>
      </c>
      <c r="M11541" s="26" t="s">
        <v>531</v>
      </c>
      <c r="N11541" s="26" t="s">
        <v>24196</v>
      </c>
      <c r="O11541" s="22" t="str">
        <f>HYPERLINK("https://pbs.twimg.com/profile_images/713389705367130112/-2Zuy39S_normal.jpg","View")</f>
        <v>View</v>
      </c>
      <c r="P11541" s="27"/>
    </row>
    <row r="11542">
      <c r="A11542" s="14">
        <v>43032.83135416667</v>
      </c>
      <c r="B11542" s="20" t="str">
        <f>HYPERLINK("https://twitter.com/SHIVAM_SHELAT","@SHIVAM_SHELAT")</f>
        <v>@SHIVAM_SHELAT</v>
      </c>
      <c r="C11542" s="21" t="s">
        <v>24197</v>
      </c>
      <c r="D11542" s="21" t="s">
        <v>42</v>
      </c>
      <c r="E11542" s="22" t="str">
        <f>HYPERLINK("https://twitter.com/SHIVAM_SHELAT/status/923020577815670785","923020577815670785")</f>
        <v>923020577815670785</v>
      </c>
      <c r="F11542" s="23" t="s">
        <v>33</v>
      </c>
      <c r="G11542" s="24">
        <v>220.0</v>
      </c>
      <c r="H11542" s="24">
        <v>1641.0</v>
      </c>
      <c r="I11542" s="24">
        <v>8501.0</v>
      </c>
      <c r="J11542" s="24">
        <v>0.0</v>
      </c>
      <c r="K11542" s="23" t="s">
        <v>34</v>
      </c>
      <c r="L11542" s="25">
        <v>41670.128645833334</v>
      </c>
      <c r="M11542" s="26" t="s">
        <v>24198</v>
      </c>
      <c r="N11542" s="26" t="s">
        <v>24199</v>
      </c>
      <c r="O11542" s="22" t="str">
        <f>HYPERLINK("https://pbs.twimg.com/profile_images/911272525157474304/VbPTul-W_normal.jpg","View")</f>
        <v>View</v>
      </c>
      <c r="P11542" s="27"/>
    </row>
    <row r="11543">
      <c r="A11543" s="14">
        <v>43032.831400462965</v>
      </c>
      <c r="B11543" s="20" t="str">
        <f>HYPERLINK("https://twitter.com/CoppedNews","@CoppedNews")</f>
        <v>@CoppedNews</v>
      </c>
      <c r="C11543" s="21" t="s">
        <v>24200</v>
      </c>
      <c r="D11543" s="21" t="s">
        <v>24201</v>
      </c>
      <c r="E11543" s="22" t="str">
        <f>HYPERLINK("https://twitter.com/CoppedNews/status/923020595679432705","923020595679432705")</f>
        <v>923020595679432705</v>
      </c>
      <c r="F11543" s="23" t="s">
        <v>187</v>
      </c>
      <c r="G11543" s="24">
        <v>266.0</v>
      </c>
      <c r="H11543" s="24">
        <v>52.0</v>
      </c>
      <c r="I11543" s="24">
        <v>0.0</v>
      </c>
      <c r="J11543" s="24">
        <v>0.0</v>
      </c>
      <c r="K11543" s="23" t="s">
        <v>34</v>
      </c>
      <c r="L11543" s="25">
        <v>41487.416342592594</v>
      </c>
      <c r="M11543" s="28"/>
      <c r="N11543" s="26" t="s">
        <v>24202</v>
      </c>
      <c r="O11543" s="22" t="str">
        <f>HYPERLINK("https://pbs.twimg.com/profile_images/378800000225959612/a395e73e814b74727123f8f58b689d39_normal.jpeg","View")</f>
        <v>View</v>
      </c>
      <c r="P11543" s="27"/>
    </row>
    <row r="11544">
      <c r="A11544" s="14">
        <v>43032.831400462965</v>
      </c>
      <c r="B11544" s="20" t="str">
        <f>HYPERLINK("https://twitter.com/thaar","@thaar")</f>
        <v>@thaar</v>
      </c>
      <c r="C11544" s="21" t="s">
        <v>1914</v>
      </c>
      <c r="D11544" s="21" t="s">
        <v>24203</v>
      </c>
      <c r="E11544" s="22" t="str">
        <f>HYPERLINK("https://twitter.com/thaar/status/923020596245614592","923020596245614592")</f>
        <v>923020596245614592</v>
      </c>
      <c r="F11544" s="23" t="s">
        <v>187</v>
      </c>
      <c r="G11544" s="24">
        <v>29338.0</v>
      </c>
      <c r="H11544" s="24">
        <v>31097.0</v>
      </c>
      <c r="I11544" s="24">
        <v>0.0</v>
      </c>
      <c r="J11544" s="24">
        <v>0.0</v>
      </c>
      <c r="K11544" s="23" t="s">
        <v>34</v>
      </c>
      <c r="L11544" s="25">
        <v>39912.589849537035</v>
      </c>
      <c r="M11544" s="26" t="s">
        <v>68</v>
      </c>
      <c r="N11544" s="26" t="s">
        <v>1916</v>
      </c>
      <c r="O11544" s="22" t="str">
        <f>HYPERLINK("https://pbs.twimg.com/profile_images/835478043569307648/RNv4z1CE_normal.jpg","View")</f>
        <v>View</v>
      </c>
      <c r="P11544" s="27"/>
    </row>
    <row r="11545">
      <c r="A11545" s="14">
        <v>43032.831412037034</v>
      </c>
      <c r="B11545" s="20" t="str">
        <f>HYPERLINK("https://twitter.com/bdnews24","@bdnews24")</f>
        <v>@bdnews24</v>
      </c>
      <c r="C11545" s="21" t="s">
        <v>831</v>
      </c>
      <c r="D11545" s="21" t="s">
        <v>24204</v>
      </c>
      <c r="E11545" s="22" t="str">
        <f>HYPERLINK("https://twitter.com/bdnews24/status/923020600230187008","923020600230187008")</f>
        <v>923020600230187008</v>
      </c>
      <c r="F11545" s="23" t="s">
        <v>187</v>
      </c>
      <c r="G11545" s="24">
        <v>215300.0</v>
      </c>
      <c r="H11545" s="24">
        <v>67843.0</v>
      </c>
      <c r="I11545" s="24">
        <v>0.0</v>
      </c>
      <c r="J11545" s="24">
        <v>0.0</v>
      </c>
      <c r="K11545" s="23" t="s">
        <v>34</v>
      </c>
      <c r="L11545" s="25">
        <v>39844.468043981484</v>
      </c>
      <c r="M11545" s="26" t="s">
        <v>833</v>
      </c>
      <c r="N11545" s="26" t="s">
        <v>834</v>
      </c>
      <c r="O11545" s="22" t="str">
        <f>HYPERLINK("https://pbs.twimg.com/profile_images/718433521509994497/4iW9RC_r_normal.jpg","View")</f>
        <v>View</v>
      </c>
      <c r="P11545" s="27"/>
    </row>
    <row r="11546">
      <c r="A11546" s="14">
        <v>43032.83142361111</v>
      </c>
      <c r="B11546" s="20" t="str">
        <f>HYPERLINK("https://twitter.com/RealTimeHack","@RealTimeHack")</f>
        <v>@RealTimeHack</v>
      </c>
      <c r="C11546" s="21" t="s">
        <v>3773</v>
      </c>
      <c r="D11546" s="21" t="s">
        <v>24205</v>
      </c>
      <c r="E11546" s="22" t="str">
        <f>HYPERLINK("https://twitter.com/RealTimeHack/status/923020602897727488","923020602897727488")</f>
        <v>923020602897727488</v>
      </c>
      <c r="F11546" s="23" t="s">
        <v>187</v>
      </c>
      <c r="G11546" s="24">
        <v>2189.0</v>
      </c>
      <c r="H11546" s="24">
        <v>1282.0</v>
      </c>
      <c r="I11546" s="24">
        <v>0.0</v>
      </c>
      <c r="J11546" s="24">
        <v>0.0</v>
      </c>
      <c r="K11546" s="23" t="s">
        <v>34</v>
      </c>
      <c r="L11546" s="25">
        <v>40641.39920138889</v>
      </c>
      <c r="M11546" s="26" t="s">
        <v>3775</v>
      </c>
      <c r="N11546" s="26" t="s">
        <v>3776</v>
      </c>
      <c r="O11546" s="22" t="str">
        <f>HYPERLINK("https://pbs.twimg.com/profile_images/1304602852/Nuke_Egg_normal.gif","View")</f>
        <v>View</v>
      </c>
      <c r="P11546" s="27"/>
    </row>
    <row r="11547">
      <c r="A11547" s="14">
        <v>43032.83142361111</v>
      </c>
      <c r="B11547" s="20" t="str">
        <f>HYPERLINK("https://twitter.com/ReutersWorld","@ReutersWorld")</f>
        <v>@ReutersWorld</v>
      </c>
      <c r="C11547" s="21" t="s">
        <v>1303</v>
      </c>
      <c r="D11547" s="21" t="s">
        <v>24206</v>
      </c>
      <c r="E11547" s="22" t="str">
        <f>HYPERLINK("https://twitter.com/ReutersWorld/status/923020605720547329","923020605720547329")</f>
        <v>923020605720547329</v>
      </c>
      <c r="F11547" s="23" t="s">
        <v>1103</v>
      </c>
      <c r="G11547" s="24">
        <v>228027.0</v>
      </c>
      <c r="H11547" s="24">
        <v>170.0</v>
      </c>
      <c r="I11547" s="24">
        <v>2.0</v>
      </c>
      <c r="J11547" s="24">
        <v>4.0</v>
      </c>
      <c r="K11547" s="23" t="s">
        <v>34</v>
      </c>
      <c r="L11547" s="25">
        <v>40738.472650462965</v>
      </c>
      <c r="M11547" s="26" t="s">
        <v>974</v>
      </c>
      <c r="N11547" s="26" t="s">
        <v>1305</v>
      </c>
      <c r="O11547" s="22" t="str">
        <f>HYPERLINK("https://pbs.twimg.com/profile_images/877266356730712064/FmOQMMyG_normal.jpg","View")</f>
        <v>View</v>
      </c>
      <c r="P11547" s="27"/>
    </row>
    <row r="11548">
      <c r="A11548" s="14">
        <v>43032.831458333334</v>
      </c>
      <c r="B11548" s="20" t="str">
        <f>HYPERLINK("https://twitter.com/phaxyn","@phaxyn")</f>
        <v>@phaxyn</v>
      </c>
      <c r="C11548" s="21" t="s">
        <v>895</v>
      </c>
      <c r="D11548" s="21" t="s">
        <v>24207</v>
      </c>
      <c r="E11548" s="22" t="str">
        <f>HYPERLINK("https://twitter.com/phaxyn/status/923020616726466560","923020616726466560")</f>
        <v>923020616726466560</v>
      </c>
      <c r="F11548" s="23" t="s">
        <v>187</v>
      </c>
      <c r="G11548" s="24">
        <v>2543.0</v>
      </c>
      <c r="H11548" s="24">
        <v>2019.0</v>
      </c>
      <c r="I11548" s="24">
        <v>0.0</v>
      </c>
      <c r="J11548" s="24">
        <v>0.0</v>
      </c>
      <c r="K11548" s="23" t="s">
        <v>34</v>
      </c>
      <c r="L11548" s="25">
        <v>39990.304861111115</v>
      </c>
      <c r="M11548" s="26" t="s">
        <v>897</v>
      </c>
      <c r="N11548" s="26" t="s">
        <v>898</v>
      </c>
      <c r="O11548" s="22" t="str">
        <f>HYPERLINK("https://pbs.twimg.com/profile_images/823182659983736832/XAaQ7I1U_normal.jpg","View")</f>
        <v>View</v>
      </c>
      <c r="P11548" s="27"/>
    </row>
    <row r="11549">
      <c r="A11549" s="14">
        <v>43032.831458333334</v>
      </c>
      <c r="B11549" s="20" t="str">
        <f>HYPERLINK("https://twitter.com/MlaysiaUpdate","@MlaysiaUpdate")</f>
        <v>@MlaysiaUpdate</v>
      </c>
      <c r="C11549" s="21" t="s">
        <v>24208</v>
      </c>
      <c r="D11549" s="21" t="s">
        <v>24209</v>
      </c>
      <c r="E11549" s="22" t="str">
        <f>HYPERLINK("https://twitter.com/MlaysiaUpdate/status/923020617259147265","923020617259147265")</f>
        <v>923020617259147265</v>
      </c>
      <c r="F11549" s="23" t="s">
        <v>187</v>
      </c>
      <c r="G11549" s="24">
        <v>224.0</v>
      </c>
      <c r="H11549" s="24">
        <v>45.0</v>
      </c>
      <c r="I11549" s="24">
        <v>0.0</v>
      </c>
      <c r="J11549" s="24">
        <v>0.0</v>
      </c>
      <c r="K11549" s="23" t="s">
        <v>34</v>
      </c>
      <c r="L11549" s="25">
        <v>42701.31759259259</v>
      </c>
      <c r="M11549" s="26" t="s">
        <v>24210</v>
      </c>
      <c r="N11549" s="26" t="s">
        <v>24211</v>
      </c>
      <c r="O11549" s="22" t="str">
        <f>HYPERLINK("https://pbs.twimg.com/profile_images/802914557479899136/pWZi6R7P_normal.jpg","View")</f>
        <v>View</v>
      </c>
      <c r="P11549" s="27"/>
    </row>
    <row r="11550">
      <c r="A11550" s="14">
        <v>43032.83159722222</v>
      </c>
      <c r="B11550" s="20" t="str">
        <f>HYPERLINK("https://twitter.com/JapanPress_wky","@JapanPress_wky")</f>
        <v>@JapanPress_wky</v>
      </c>
      <c r="C11550" s="21" t="s">
        <v>13033</v>
      </c>
      <c r="D11550" s="21" t="s">
        <v>14999</v>
      </c>
      <c r="E11550" s="22" t="str">
        <f>HYPERLINK("https://twitter.com/JapanPress_wky/status/923020668182061057","923020668182061057")</f>
        <v>923020668182061057</v>
      </c>
      <c r="F11550" s="30" t="s">
        <v>659</v>
      </c>
      <c r="G11550" s="24">
        <v>1253.0</v>
      </c>
      <c r="H11550" s="24">
        <v>176.0</v>
      </c>
      <c r="I11550" s="24">
        <v>0.0</v>
      </c>
      <c r="J11550" s="24">
        <v>0.0</v>
      </c>
      <c r="K11550" s="23" t="s">
        <v>34</v>
      </c>
      <c r="L11550" s="25">
        <v>40821.911782407406</v>
      </c>
      <c r="M11550" s="26" t="s">
        <v>923</v>
      </c>
      <c r="N11550" s="26" t="s">
        <v>13035</v>
      </c>
      <c r="O11550" s="22" t="str">
        <f>HYPERLINK("https://pbs.twimg.com/profile_images/1595831534/JapanPress_wky_normal.jpg","View")</f>
        <v>View</v>
      </c>
      <c r="P11550" s="27"/>
    </row>
    <row r="11551">
      <c r="A11551" s="14">
        <v>43032.83162037037</v>
      </c>
      <c r="B11551" s="20" t="str">
        <f>HYPERLINK("https://twitter.com/ketsuaru","@ketsuaru")</f>
        <v>@ketsuaru</v>
      </c>
      <c r="C11551" s="21" t="s">
        <v>24212</v>
      </c>
      <c r="D11551" s="21" t="s">
        <v>24213</v>
      </c>
      <c r="E11551" s="22" t="str">
        <f>HYPERLINK("https://twitter.com/ketsuaru/status/923020676700823553","923020676700823553")</f>
        <v>923020676700823553</v>
      </c>
      <c r="F11551" s="23" t="s">
        <v>187</v>
      </c>
      <c r="G11551" s="24">
        <v>4526.0</v>
      </c>
      <c r="H11551" s="24">
        <v>5001.0</v>
      </c>
      <c r="I11551" s="24">
        <v>0.0</v>
      </c>
      <c r="J11551" s="24">
        <v>0.0</v>
      </c>
      <c r="K11551" s="23" t="s">
        <v>34</v>
      </c>
      <c r="L11551" s="25">
        <v>40859.90725694445</v>
      </c>
      <c r="M11551" s="28"/>
      <c r="N11551" s="26" t="s">
        <v>24214</v>
      </c>
      <c r="O11551" s="22" t="str">
        <f>HYPERLINK("https://pbs.twimg.com/profile_images/596930542978797568/DER8Yztf_normal.jpg","View")</f>
        <v>View</v>
      </c>
      <c r="P11551" s="27"/>
    </row>
    <row r="11552">
      <c r="A11552" s="14">
        <v>43032.83164351852</v>
      </c>
      <c r="B11552" s="20" t="str">
        <f>HYPERLINK("https://twitter.com/Essay_Lords","@Essay_Lords")</f>
        <v>@Essay_Lords</v>
      </c>
      <c r="C11552" s="21" t="s">
        <v>773</v>
      </c>
      <c r="D11552" s="21" t="s">
        <v>24215</v>
      </c>
      <c r="E11552" s="22" t="str">
        <f>HYPERLINK("https://twitter.com/Essay_Lords/status/923020685567516672","923020685567516672")</f>
        <v>923020685567516672</v>
      </c>
      <c r="F11552" s="23" t="s">
        <v>187</v>
      </c>
      <c r="G11552" s="24">
        <v>4311.0</v>
      </c>
      <c r="H11552" s="24">
        <v>3617.0</v>
      </c>
      <c r="I11552" s="24">
        <v>0.0</v>
      </c>
      <c r="J11552" s="24">
        <v>0.0</v>
      </c>
      <c r="K11552" s="23" t="s">
        <v>34</v>
      </c>
      <c r="L11552" s="25">
        <v>41982.42165509259</v>
      </c>
      <c r="M11552" s="26" t="s">
        <v>567</v>
      </c>
      <c r="N11552" s="26" t="s">
        <v>775</v>
      </c>
      <c r="O11552" s="22" t="str">
        <f>HYPERLINK("https://pbs.twimg.com/profile_images/722066414362894336/kHUvL0fA_normal.jpg","View")</f>
        <v>View</v>
      </c>
      <c r="P11552" s="27"/>
    </row>
    <row r="11553">
      <c r="A11553" s="14">
        <v>43032.831921296296</v>
      </c>
      <c r="B11553" s="20" t="str">
        <f>HYPERLINK("https://twitter.com/channel1america","@channel1america")</f>
        <v>@channel1america</v>
      </c>
      <c r="C11553" s="21" t="s">
        <v>903</v>
      </c>
      <c r="D11553" s="21" t="s">
        <v>24216</v>
      </c>
      <c r="E11553" s="22" t="str">
        <f>HYPERLINK("https://twitter.com/channel1america/status/923020785870098432","923020785870098432")</f>
        <v>923020785870098432</v>
      </c>
      <c r="F11553" s="23" t="s">
        <v>187</v>
      </c>
      <c r="G11553" s="24">
        <v>574.0</v>
      </c>
      <c r="H11553" s="24">
        <v>1093.0</v>
      </c>
      <c r="I11553" s="24">
        <v>0.0</v>
      </c>
      <c r="J11553" s="24">
        <v>0.0</v>
      </c>
      <c r="K11553" s="23" t="s">
        <v>34</v>
      </c>
      <c r="L11553" s="25">
        <v>41490.48872685185</v>
      </c>
      <c r="M11553" s="26" t="s">
        <v>905</v>
      </c>
      <c r="N11553" s="26" t="s">
        <v>906</v>
      </c>
      <c r="O11553" s="22" t="str">
        <f>HYPERLINK("https://pbs.twimg.com/profile_images/419040982844207104/Rlky9pGx_normal.jpeg","View")</f>
        <v>View</v>
      </c>
      <c r="P11553" s="27"/>
    </row>
    <row r="11554">
      <c r="A11554" s="14">
        <v>43032.832037037035</v>
      </c>
      <c r="B11554" s="20" t="str">
        <f>HYPERLINK("https://twitter.com/TsewolePanseh","@TsewolePanseh")</f>
        <v>@TsewolePanseh</v>
      </c>
      <c r="C11554" s="21" t="s">
        <v>5934</v>
      </c>
      <c r="D11554" s="21" t="s">
        <v>24217</v>
      </c>
      <c r="E11554" s="22" t="str">
        <f>HYPERLINK("https://twitter.com/TsewolePanseh/status/923020825879392256","923020825879392256")</f>
        <v>923020825879392256</v>
      </c>
      <c r="F11554" s="30" t="s">
        <v>411</v>
      </c>
      <c r="G11554" s="24">
        <v>469.0</v>
      </c>
      <c r="H11554" s="24">
        <v>15.0</v>
      </c>
      <c r="I11554" s="24">
        <v>0.0</v>
      </c>
      <c r="J11554" s="24">
        <v>0.0</v>
      </c>
      <c r="K11554" s="23" t="s">
        <v>34</v>
      </c>
      <c r="L11554" s="25">
        <v>41764.49532407407</v>
      </c>
      <c r="M11554" s="28"/>
      <c r="N11554" s="26" t="s">
        <v>5936</v>
      </c>
      <c r="O11554" s="22" t="str">
        <f>HYPERLINK("https://abs.twimg.com/sticky/default_profile_images/default_profile_normal.png","View")</f>
        <v>View</v>
      </c>
      <c r="P11554" s="27"/>
    </row>
    <row r="11555">
      <c r="A11555" s="14">
        <v>43032.832083333335</v>
      </c>
      <c r="B11555" s="20" t="str">
        <f>HYPERLINK("https://twitter.com/thepharaohc3","@thepharaohc3")</f>
        <v>@thepharaohc3</v>
      </c>
      <c r="C11555" s="21" t="s">
        <v>24218</v>
      </c>
      <c r="D11555" s="21" t="s">
        <v>24007</v>
      </c>
      <c r="E11555" s="22" t="str">
        <f>HYPERLINK("https://twitter.com/thepharaohc3/status/923020844204462080","923020844204462080")</f>
        <v>923020844204462080</v>
      </c>
      <c r="F11555" s="23" t="s">
        <v>33</v>
      </c>
      <c r="G11555" s="24">
        <v>37874.0</v>
      </c>
      <c r="H11555" s="24">
        <v>3824.0</v>
      </c>
      <c r="I11555" s="24">
        <v>122.0</v>
      </c>
      <c r="J11555" s="24">
        <v>0.0</v>
      </c>
      <c r="K11555" s="23" t="s">
        <v>34</v>
      </c>
      <c r="L11555" s="25">
        <v>40644.562106481484</v>
      </c>
      <c r="M11555" s="28"/>
      <c r="N11555" s="26" t="s">
        <v>24219</v>
      </c>
      <c r="O11555" s="22" t="str">
        <f>HYPERLINK("https://pbs.twimg.com/profile_images/907489255253053440/UVGsSt93_normal.jpg","View")</f>
        <v>View</v>
      </c>
      <c r="P11555" s="27"/>
    </row>
    <row r="11556">
      <c r="A11556" s="14">
        <v>43032.83210648148</v>
      </c>
      <c r="B11556" s="20" t="str">
        <f>HYPERLINK("https://twitter.com/supra1Bqteam","@supra1Bqteam")</f>
        <v>@supra1Bqteam</v>
      </c>
      <c r="C11556" s="21" t="s">
        <v>5922</v>
      </c>
      <c r="D11556" s="21" t="s">
        <v>24220</v>
      </c>
      <c r="E11556" s="22" t="str">
        <f>HYPERLINK("https://twitter.com/supra1Bqteam/status/923020849636048897","923020849636048897")</f>
        <v>923020849636048897</v>
      </c>
      <c r="F11556" s="23" t="s">
        <v>187</v>
      </c>
      <c r="G11556" s="24">
        <v>29126.0</v>
      </c>
      <c r="H11556" s="24">
        <v>27638.0</v>
      </c>
      <c r="I11556" s="24">
        <v>0.0</v>
      </c>
      <c r="J11556" s="24">
        <v>0.0</v>
      </c>
      <c r="K11556" s="23" t="s">
        <v>34</v>
      </c>
      <c r="L11556" s="25">
        <v>40930.46928240741</v>
      </c>
      <c r="M11556" s="26" t="s">
        <v>5924</v>
      </c>
      <c r="N11556" s="26" t="s">
        <v>5925</v>
      </c>
      <c r="O11556" s="22" t="str">
        <f>HYPERLINK("https://pbs.twimg.com/profile_images/752065571068444672/dkKCTbsg_normal.jpg","View")</f>
        <v>View</v>
      </c>
      <c r="P11556" s="27"/>
    </row>
    <row r="11557">
      <c r="A11557" s="14">
        <v>43032.832141203704</v>
      </c>
      <c r="B11557" s="20" t="str">
        <f>HYPERLINK("https://twitter.com/LongElizabeth2","@LongElizabeth2")</f>
        <v>@LongElizabeth2</v>
      </c>
      <c r="C11557" s="21" t="s">
        <v>24221</v>
      </c>
      <c r="D11557" s="21" t="s">
        <v>24222</v>
      </c>
      <c r="E11557" s="22" t="str">
        <f>HYPERLINK("https://twitter.com/LongElizabeth2/status/923020865280839680","923020865280839680")</f>
        <v>923020865280839680</v>
      </c>
      <c r="F11557" s="23" t="s">
        <v>187</v>
      </c>
      <c r="G11557" s="24">
        <v>1.0</v>
      </c>
      <c r="H11557" s="24">
        <v>0.0</v>
      </c>
      <c r="I11557" s="24">
        <v>0.0</v>
      </c>
      <c r="J11557" s="24">
        <v>0.0</v>
      </c>
      <c r="K11557" s="23" t="s">
        <v>34</v>
      </c>
      <c r="L11557" s="25">
        <v>42950.98798611111</v>
      </c>
      <c r="M11557" s="28"/>
      <c r="N11557" s="28"/>
      <c r="O11557" s="22" t="str">
        <f>HYPERLINK("https://pbs.twimg.com/profile_images/903180286564777984/4ucg_-hc_normal.jpg","View")</f>
        <v>View</v>
      </c>
      <c r="P11557" s="27"/>
    </row>
    <row r="11558">
      <c r="A11558" s="14">
        <v>43032.83216435185</v>
      </c>
      <c r="B11558" s="20" t="str">
        <f>HYPERLINK("https://twitter.com/WY_Butler","@WY_Butler")</f>
        <v>@WY_Butler</v>
      </c>
      <c r="C11558" s="21" t="s">
        <v>24223</v>
      </c>
      <c r="D11558" s="21" t="s">
        <v>24224</v>
      </c>
      <c r="E11558" s="22" t="str">
        <f>HYPERLINK("https://twitter.com/WY_Butler/status/923020872599740417","923020872599740417")</f>
        <v>923020872599740417</v>
      </c>
      <c r="F11558" s="23" t="s">
        <v>24223</v>
      </c>
      <c r="G11558" s="24">
        <v>36.0</v>
      </c>
      <c r="H11558" s="24">
        <v>0.0</v>
      </c>
      <c r="I11558" s="24">
        <v>0.0</v>
      </c>
      <c r="J11558" s="24">
        <v>0.0</v>
      </c>
      <c r="K11558" s="23" t="s">
        <v>34</v>
      </c>
      <c r="L11558" s="25">
        <v>42729.975590277776</v>
      </c>
      <c r="M11558" s="28"/>
      <c r="N11558" s="28"/>
      <c r="O11558" s="22" t="str">
        <f>HYPERLINK("https://abs.twimg.com/sticky/default_profile_images/default_profile_normal.png","View")</f>
        <v>View</v>
      </c>
      <c r="P11558" s="27"/>
    </row>
    <row r="11559">
      <c r="A11559" s="14">
        <v>43032.83217592593</v>
      </c>
      <c r="B11559" s="20" t="str">
        <f>HYPERLINK("https://twitter.com/WMN4SRVL","@WMN4SRVL")</f>
        <v>@WMN4SRVL</v>
      </c>
      <c r="C11559" s="21" t="s">
        <v>24225</v>
      </c>
      <c r="D11559" s="21" t="s">
        <v>24226</v>
      </c>
      <c r="E11559" s="22" t="str">
        <f>HYPERLINK("https://twitter.com/WMN4SRVL/status/923020875598827520","923020875598827520")</f>
        <v>923020875598827520</v>
      </c>
      <c r="F11559" s="23" t="s">
        <v>55</v>
      </c>
      <c r="G11559" s="24">
        <v>8220.0</v>
      </c>
      <c r="H11559" s="24">
        <v>9009.0</v>
      </c>
      <c r="I11559" s="24">
        <v>2.0</v>
      </c>
      <c r="J11559" s="24">
        <v>0.0</v>
      </c>
      <c r="K11559" s="23" t="s">
        <v>34</v>
      </c>
      <c r="L11559" s="25">
        <v>41871.51976851852</v>
      </c>
      <c r="M11559" s="26" t="s">
        <v>24227</v>
      </c>
      <c r="N11559" s="26" t="s">
        <v>24228</v>
      </c>
      <c r="O11559" s="22" t="str">
        <f>HYPERLINK("https://pbs.twimg.com/profile_images/879548591265775618/4YKYrdo9_normal.jpg","View")</f>
        <v>View</v>
      </c>
      <c r="P11559" s="27"/>
    </row>
    <row r="11560">
      <c r="A11560" s="14">
        <v>43032.83222222222</v>
      </c>
      <c r="B11560" s="20" t="str">
        <f>HYPERLINK("https://twitter.com/SHasheemme","@SHasheemme")</f>
        <v>@SHasheemme</v>
      </c>
      <c r="C11560" s="21" t="s">
        <v>24229</v>
      </c>
      <c r="D11560" s="21" t="s">
        <v>24230</v>
      </c>
      <c r="E11560" s="22" t="str">
        <f>HYPERLINK("https://twitter.com/SHasheemme/status/923020894959751168","923020894959751168")</f>
        <v>923020894959751168</v>
      </c>
      <c r="F11560" s="23" t="s">
        <v>187</v>
      </c>
      <c r="G11560" s="24">
        <v>11.0</v>
      </c>
      <c r="H11560" s="24">
        <v>88.0</v>
      </c>
      <c r="I11560" s="24">
        <v>0.0</v>
      </c>
      <c r="J11560" s="24">
        <v>0.0</v>
      </c>
      <c r="K11560" s="23" t="s">
        <v>34</v>
      </c>
      <c r="L11560" s="25">
        <v>42724.84759259259</v>
      </c>
      <c r="M11560" s="26" t="s">
        <v>7811</v>
      </c>
      <c r="N11560" s="26" t="s">
        <v>24231</v>
      </c>
      <c r="O11560" s="22" t="str">
        <f>HYPERLINK("https://pbs.twimg.com/profile_images/818289348076453888/WvLNkAFQ_normal.jpg","View")</f>
        <v>View</v>
      </c>
      <c r="P11560" s="27"/>
    </row>
    <row r="11561">
      <c r="A11561" s="14">
        <v>43032.832233796296</v>
      </c>
      <c r="B11561" s="20" t="str">
        <f>HYPERLINK("https://twitter.com/RichardLeong2","@RichardLeong2")</f>
        <v>@RichardLeong2</v>
      </c>
      <c r="C11561" s="21" t="s">
        <v>24232</v>
      </c>
      <c r="D11561" s="21" t="s">
        <v>24007</v>
      </c>
      <c r="E11561" s="22" t="str">
        <f>HYPERLINK("https://twitter.com/RichardLeong2/status/923020898965311488","923020898965311488")</f>
        <v>923020898965311488</v>
      </c>
      <c r="F11561" s="23" t="s">
        <v>39</v>
      </c>
      <c r="G11561" s="24">
        <v>1084.0</v>
      </c>
      <c r="H11561" s="24">
        <v>568.0</v>
      </c>
      <c r="I11561" s="24">
        <v>122.0</v>
      </c>
      <c r="J11561" s="24">
        <v>0.0</v>
      </c>
      <c r="K11561" s="23" t="s">
        <v>34</v>
      </c>
      <c r="L11561" s="25">
        <v>40994.479837962965</v>
      </c>
      <c r="M11561" s="26" t="s">
        <v>12012</v>
      </c>
      <c r="N11561" s="26" t="s">
        <v>24233</v>
      </c>
      <c r="O11561" s="22" t="str">
        <f>HYPERLINK("https://pbs.twimg.com/profile_images/733826285890207746/T19TEO8d_normal.jpg","View")</f>
        <v>View</v>
      </c>
      <c r="P11561" s="27"/>
    </row>
    <row r="11562">
      <c r="A11562" s="14">
        <v>43032.83226851852</v>
      </c>
      <c r="B11562" s="20" t="str">
        <f>HYPERLINK("https://twitter.com/myrichtraders","@myrichtraders")</f>
        <v>@myrichtraders</v>
      </c>
      <c r="C11562" s="21" t="s">
        <v>24234</v>
      </c>
      <c r="D11562" s="21" t="s">
        <v>24235</v>
      </c>
      <c r="E11562" s="22" t="str">
        <f>HYPERLINK("https://twitter.com/myrichtraders/status/923020911502032897","923020911502032897")</f>
        <v>923020911502032897</v>
      </c>
      <c r="F11562" s="23" t="s">
        <v>187</v>
      </c>
      <c r="G11562" s="24">
        <v>765.0</v>
      </c>
      <c r="H11562" s="24">
        <v>27.0</v>
      </c>
      <c r="I11562" s="24">
        <v>0.0</v>
      </c>
      <c r="J11562" s="24">
        <v>0.0</v>
      </c>
      <c r="K11562" s="23" t="s">
        <v>34</v>
      </c>
      <c r="L11562" s="25">
        <v>41783.57916666666</v>
      </c>
      <c r="M11562" s="28"/>
      <c r="N11562" s="28"/>
      <c r="O11562" s="22" t="str">
        <f>HYPERLINK("https://pbs.twimg.com/profile_images/470307263177949184/0KMvPg0T_normal.png","View")</f>
        <v>View</v>
      </c>
      <c r="P11562" s="27"/>
    </row>
    <row r="11563">
      <c r="A11563" s="14">
        <v>43032.83230324074</v>
      </c>
      <c r="B11563" s="20" t="str">
        <f>HYPERLINK("https://twitter.com/WorldNews7777","@WorldNews7777")</f>
        <v>@WorldNews7777</v>
      </c>
      <c r="C11563" s="21" t="s">
        <v>1400</v>
      </c>
      <c r="D11563" s="21" t="s">
        <v>24236</v>
      </c>
      <c r="E11563" s="22" t="str">
        <f>HYPERLINK("https://twitter.com/WorldNews7777/status/923020922856071168","923020922856071168")</f>
        <v>923020922856071168</v>
      </c>
      <c r="F11563" s="23" t="s">
        <v>187</v>
      </c>
      <c r="G11563" s="24">
        <v>6454.0</v>
      </c>
      <c r="H11563" s="24">
        <v>6322.0</v>
      </c>
      <c r="I11563" s="24">
        <v>0.0</v>
      </c>
      <c r="J11563" s="24">
        <v>0.0</v>
      </c>
      <c r="K11563" s="23" t="s">
        <v>34</v>
      </c>
      <c r="L11563" s="25">
        <v>42489.131944444445</v>
      </c>
      <c r="M11563" s="26" t="s">
        <v>68</v>
      </c>
      <c r="N11563" s="26" t="s">
        <v>1402</v>
      </c>
      <c r="O11563" s="22" t="str">
        <f>HYPERLINK("https://pbs.twimg.com/profile_images/736884749566889984/BtAvBgS4_normal.jpg","View")</f>
        <v>View</v>
      </c>
      <c r="P11563" s="27"/>
    </row>
    <row r="11564">
      <c r="A11564" s="14">
        <v>43032.83243055556</v>
      </c>
      <c r="B11564" s="20" t="str">
        <f>HYPERLINK("https://twitter.com/RJBurland","@RJBurland")</f>
        <v>@RJBurland</v>
      </c>
      <c r="C11564" s="21" t="s">
        <v>24237</v>
      </c>
      <c r="D11564" s="21" t="s">
        <v>24238</v>
      </c>
      <c r="E11564" s="22" t="str">
        <f>HYPERLINK("https://twitter.com/RJBurland/status/923020968871825408","923020968871825408")</f>
        <v>923020968871825408</v>
      </c>
      <c r="F11564" s="23" t="s">
        <v>187</v>
      </c>
      <c r="G11564" s="24">
        <v>98.0</v>
      </c>
      <c r="H11564" s="24">
        <v>13.0</v>
      </c>
      <c r="I11564" s="24">
        <v>0.0</v>
      </c>
      <c r="J11564" s="24">
        <v>0.0</v>
      </c>
      <c r="K11564" s="23" t="s">
        <v>34</v>
      </c>
      <c r="L11564" s="25">
        <v>42149.56971064815</v>
      </c>
      <c r="M11564" s="26" t="s">
        <v>24239</v>
      </c>
      <c r="N11564" s="26" t="s">
        <v>24240</v>
      </c>
      <c r="O11564" s="22" t="str">
        <f>HYPERLINK("https://pbs.twimg.com/profile_images/603345160055947264/SPovXUpN_normal.jpg","View")</f>
        <v>View</v>
      </c>
      <c r="P11564" s="27"/>
    </row>
    <row r="11565">
      <c r="A11565" s="14">
        <v>43032.8325462963</v>
      </c>
      <c r="B11565" s="20" t="str">
        <f>HYPERLINK("https://twitter.com/CynthiaKaump","@CynthiaKaump")</f>
        <v>@CynthiaKaump</v>
      </c>
      <c r="C11565" s="21" t="s">
        <v>24241</v>
      </c>
      <c r="D11565" s="21" t="s">
        <v>24007</v>
      </c>
      <c r="E11565" s="22" t="str">
        <f>HYPERLINK("https://twitter.com/CynthiaKaump/status/923021010491924482","923021010491924482")</f>
        <v>923021010491924482</v>
      </c>
      <c r="F11565" s="23" t="s">
        <v>39</v>
      </c>
      <c r="G11565" s="24">
        <v>258.0</v>
      </c>
      <c r="H11565" s="24">
        <v>597.0</v>
      </c>
      <c r="I11565" s="24">
        <v>122.0</v>
      </c>
      <c r="J11565" s="24">
        <v>0.0</v>
      </c>
      <c r="K11565" s="23" t="s">
        <v>34</v>
      </c>
      <c r="L11565" s="25">
        <v>40393.35888888889</v>
      </c>
      <c r="M11565" s="28"/>
      <c r="N11565" s="28"/>
      <c r="O11565" s="22" t="str">
        <f>HYPERLINK("https://pbs.twimg.com/profile_images/872292130609299456/dWiJmsr0_normal.jpg","View")</f>
        <v>View</v>
      </c>
      <c r="P11565" s="27"/>
    </row>
    <row r="11566">
      <c r="A11566" s="14">
        <v>43032.83278935185</v>
      </c>
      <c r="B11566" s="20" t="str">
        <f>HYPERLINK("https://twitter.com/RTGWorld","@RTGWorld")</f>
        <v>@RTGWorld</v>
      </c>
      <c r="C11566" s="21" t="s">
        <v>6267</v>
      </c>
      <c r="D11566" s="21" t="s">
        <v>24242</v>
      </c>
      <c r="E11566" s="22" t="str">
        <f>HYPERLINK("https://twitter.com/RTGWorld/status/923021099515990016","923021099515990016")</f>
        <v>923021099515990016</v>
      </c>
      <c r="F11566" s="23" t="s">
        <v>187</v>
      </c>
      <c r="G11566" s="24">
        <v>350.0</v>
      </c>
      <c r="H11566" s="24">
        <v>5.0</v>
      </c>
      <c r="I11566" s="24">
        <v>0.0</v>
      </c>
      <c r="J11566" s="24">
        <v>0.0</v>
      </c>
      <c r="K11566" s="23" t="s">
        <v>34</v>
      </c>
      <c r="L11566" s="25">
        <v>42111.125497685185</v>
      </c>
      <c r="M11566" s="28"/>
      <c r="N11566" s="28"/>
      <c r="O11566" s="22" t="str">
        <f>HYPERLINK("https://pbs.twimg.com/profile_images/621177630109249536/Dn9SiFvI_normal.png","View")</f>
        <v>View</v>
      </c>
      <c r="P11566" s="27"/>
    </row>
    <row r="11567">
      <c r="A11567" s="14">
        <v>43032.83293981482</v>
      </c>
      <c r="B11567" s="20" t="str">
        <f>HYPERLINK("https://twitter.com/IsabelitaSibyl","@IsabelitaSibyl")</f>
        <v>@IsabelitaSibyl</v>
      </c>
      <c r="C11567" s="21" t="s">
        <v>24243</v>
      </c>
      <c r="D11567" s="21" t="s">
        <v>24244</v>
      </c>
      <c r="E11567" s="22" t="str">
        <f>HYPERLINK("https://twitter.com/IsabelitaSibyl/status/923021151646953472","923021151646953472")</f>
        <v>923021151646953472</v>
      </c>
      <c r="F11567" s="23" t="s">
        <v>187</v>
      </c>
      <c r="G11567" s="24">
        <v>0.0</v>
      </c>
      <c r="H11567" s="24">
        <v>0.0</v>
      </c>
      <c r="I11567" s="24">
        <v>0.0</v>
      </c>
      <c r="J11567" s="24">
        <v>0.0</v>
      </c>
      <c r="K11567" s="23" t="s">
        <v>34</v>
      </c>
      <c r="L11567" s="25">
        <v>43021.960856481484</v>
      </c>
      <c r="M11567" s="26" t="s">
        <v>1024</v>
      </c>
      <c r="N11567" s="26" t="s">
        <v>4356</v>
      </c>
      <c r="O11567" s="22" t="str">
        <f>HYPERLINK("https://pbs.twimg.com/profile_images/921590929420468224/J3jrKzQs_normal.jpg","View")</f>
        <v>View</v>
      </c>
      <c r="P11567" s="27"/>
    </row>
    <row r="11568">
      <c r="A11568" s="14">
        <v>43032.832974537036</v>
      </c>
      <c r="B11568" s="20" t="str">
        <f>HYPERLINK("https://twitter.com/Algerie_Infos","@Algerie_Infos")</f>
        <v>@Algerie_Infos</v>
      </c>
      <c r="C11568" s="21" t="s">
        <v>5987</v>
      </c>
      <c r="D11568" s="21" t="s">
        <v>24245</v>
      </c>
      <c r="E11568" s="22" t="str">
        <f>HYPERLINK("https://twitter.com/Algerie_Infos/status/923021166809362435","923021166809362435")</f>
        <v>923021166809362435</v>
      </c>
      <c r="F11568" s="30" t="s">
        <v>3839</v>
      </c>
      <c r="G11568" s="24">
        <v>3650.0</v>
      </c>
      <c r="H11568" s="24">
        <v>146.0</v>
      </c>
      <c r="I11568" s="24">
        <v>0.0</v>
      </c>
      <c r="J11568" s="24">
        <v>0.0</v>
      </c>
      <c r="K11568" s="23" t="s">
        <v>34</v>
      </c>
      <c r="L11568" s="25">
        <v>41467.57237268519</v>
      </c>
      <c r="M11568" s="26" t="s">
        <v>5989</v>
      </c>
      <c r="N11568" s="26" t="s">
        <v>5990</v>
      </c>
      <c r="O11568" s="22" t="str">
        <f>HYPERLINK("https://pbs.twimg.com/profile_images/429118996479082496/JmTyp43i_normal.jpeg","View")</f>
        <v>View</v>
      </c>
      <c r="P11568" s="27"/>
    </row>
    <row r="11569">
      <c r="A11569" s="14">
        <v>43032.8331712963</v>
      </c>
      <c r="B11569" s="20" t="str">
        <f>HYPERLINK("https://twitter.com/FX14AU","@FX14AU")</f>
        <v>@FX14AU</v>
      </c>
      <c r="C11569" s="29" t="s">
        <v>20247</v>
      </c>
      <c r="D11569" s="21" t="s">
        <v>24246</v>
      </c>
      <c r="E11569" s="22" t="str">
        <f>HYPERLINK("https://twitter.com/FX14AU/status/923021236657061889","923021236657061889")</f>
        <v>923021236657061889</v>
      </c>
      <c r="F11569" s="23" t="s">
        <v>187</v>
      </c>
      <c r="G11569" s="24">
        <v>2607.0</v>
      </c>
      <c r="H11569" s="24">
        <v>276.0</v>
      </c>
      <c r="I11569" s="24">
        <v>0.0</v>
      </c>
      <c r="J11569" s="24">
        <v>0.0</v>
      </c>
      <c r="K11569" s="23" t="s">
        <v>34</v>
      </c>
      <c r="L11569" s="25">
        <v>40727.92193287037</v>
      </c>
      <c r="M11569" s="26" t="s">
        <v>20249</v>
      </c>
      <c r="N11569" s="28"/>
      <c r="O11569" s="22" t="str">
        <f>HYPERLINK("https://pbs.twimg.com/profile_images/844502595825651713/UV4A3yJK_normal.jpg","View")</f>
        <v>View</v>
      </c>
      <c r="P11569" s="27"/>
    </row>
    <row r="11570">
      <c r="A11570" s="14">
        <v>43032.83320601852</v>
      </c>
      <c r="B11570" s="20" t="str">
        <f>HYPERLINK("https://twitter.com/JonCWentzel","@JonCWentzel")</f>
        <v>@JonCWentzel</v>
      </c>
      <c r="C11570" s="21" t="s">
        <v>24247</v>
      </c>
      <c r="D11570" s="21" t="s">
        <v>23401</v>
      </c>
      <c r="E11570" s="22" t="str">
        <f>HYPERLINK("https://twitter.com/JonCWentzel/status/923021250708066304","923021250708066304")</f>
        <v>923021250708066304</v>
      </c>
      <c r="F11570" s="23" t="s">
        <v>39</v>
      </c>
      <c r="G11570" s="24">
        <v>7.0</v>
      </c>
      <c r="H11570" s="24">
        <v>11.0</v>
      </c>
      <c r="I11570" s="24">
        <v>7.0</v>
      </c>
      <c r="J11570" s="24">
        <v>0.0</v>
      </c>
      <c r="K11570" s="23" t="s">
        <v>34</v>
      </c>
      <c r="L11570" s="25">
        <v>39686.55506944445</v>
      </c>
      <c r="M11570" s="26" t="s">
        <v>4239</v>
      </c>
      <c r="N11570" s="28"/>
      <c r="O11570" s="22" t="str">
        <f>HYPERLINK("https://abs.twimg.com/sticky/default_profile_images/default_profile_normal.png","View")</f>
        <v>View</v>
      </c>
      <c r="P11570" s="27"/>
    </row>
    <row r="11571">
      <c r="A11571" s="14">
        <v>43032.83324074074</v>
      </c>
      <c r="B11571" s="20" t="str">
        <f>HYPERLINK("https://twitter.com/Forex_warrior","@Forex_warrior")</f>
        <v>@Forex_warrior</v>
      </c>
      <c r="C11571" s="21" t="s">
        <v>24248</v>
      </c>
      <c r="D11571" s="21" t="s">
        <v>24249</v>
      </c>
      <c r="E11571" s="22" t="str">
        <f>HYPERLINK("https://twitter.com/Forex_warrior/status/923021263009968128","923021263009968128")</f>
        <v>923021263009968128</v>
      </c>
      <c r="F11571" s="23" t="s">
        <v>91</v>
      </c>
      <c r="G11571" s="24">
        <v>1721.0</v>
      </c>
      <c r="H11571" s="24">
        <v>26.0</v>
      </c>
      <c r="I11571" s="24">
        <v>0.0</v>
      </c>
      <c r="J11571" s="24">
        <v>0.0</v>
      </c>
      <c r="K11571" s="23" t="s">
        <v>34</v>
      </c>
      <c r="L11571" s="25">
        <v>41051.28228009259</v>
      </c>
      <c r="M11571" s="26" t="s">
        <v>13331</v>
      </c>
      <c r="N11571" s="26" t="s">
        <v>24250</v>
      </c>
      <c r="O11571" s="22" t="str">
        <f>HYPERLINK("https://pbs.twimg.com/profile_images/591477445829660673/csEYEomk_normal.png","View")</f>
        <v>View</v>
      </c>
      <c r="P11571" s="27"/>
    </row>
    <row r="11572">
      <c r="A11572" s="14">
        <v>43032.83342592593</v>
      </c>
      <c r="B11572" s="20" t="str">
        <f>HYPERLINK("https://twitter.com/Fabiolucv","@Fabiolucv")</f>
        <v>@Fabiolucv</v>
      </c>
      <c r="C11572" s="21" t="s">
        <v>5945</v>
      </c>
      <c r="D11572" s="21" t="s">
        <v>24251</v>
      </c>
      <c r="E11572" s="22" t="str">
        <f>HYPERLINK("https://twitter.com/Fabiolucv/status/923021330080862209","923021330080862209")</f>
        <v>923021330080862209</v>
      </c>
      <c r="F11572" s="30" t="s">
        <v>411</v>
      </c>
      <c r="G11572" s="24">
        <v>634.0</v>
      </c>
      <c r="H11572" s="24">
        <v>335.0</v>
      </c>
      <c r="I11572" s="24">
        <v>0.0</v>
      </c>
      <c r="J11572" s="24">
        <v>0.0</v>
      </c>
      <c r="K11572" s="23" t="s">
        <v>34</v>
      </c>
      <c r="L11572" s="25">
        <v>40199.413993055554</v>
      </c>
      <c r="M11572" s="26" t="s">
        <v>1419</v>
      </c>
      <c r="N11572" s="26" t="s">
        <v>5947</v>
      </c>
      <c r="O11572" s="22" t="str">
        <f>HYPERLINK("https://pbs.twimg.com/profile_images/915201585290072064/BufUp5rz_normal.jpg","View")</f>
        <v>View</v>
      </c>
      <c r="P11572" s="27"/>
    </row>
    <row r="11573">
      <c r="A11573" s="14">
        <v>43032.83342592593</v>
      </c>
      <c r="B11573" s="20" t="str">
        <f>HYPERLINK("https://twitter.com/notiven","@notiven")</f>
        <v>@notiven</v>
      </c>
      <c r="C11573" s="21" t="s">
        <v>1012</v>
      </c>
      <c r="D11573" s="21" t="s">
        <v>24252</v>
      </c>
      <c r="E11573" s="22" t="str">
        <f>HYPERLINK("https://twitter.com/notiven/status/923021330106155009","923021330106155009")</f>
        <v>923021330106155009</v>
      </c>
      <c r="F11573" s="23" t="s">
        <v>1014</v>
      </c>
      <c r="G11573" s="24">
        <v>51323.0</v>
      </c>
      <c r="H11573" s="24">
        <v>194.0</v>
      </c>
      <c r="I11573" s="24">
        <v>0.0</v>
      </c>
      <c r="J11573" s="24">
        <v>0.0</v>
      </c>
      <c r="K11573" s="23" t="s">
        <v>34</v>
      </c>
      <c r="L11573" s="25">
        <v>39235.5805787037</v>
      </c>
      <c r="M11573" s="26" t="s">
        <v>1015</v>
      </c>
      <c r="N11573" s="26" t="s">
        <v>1016</v>
      </c>
      <c r="O11573" s="22" t="str">
        <f>HYPERLINK("https://pbs.twimg.com/profile_images/799317731648606208/vbXQCdts_normal.jpg","View")</f>
        <v>View</v>
      </c>
      <c r="P11573" s="27"/>
    </row>
    <row r="11574">
      <c r="A11574" s="14">
        <v>43032.8334375</v>
      </c>
      <c r="B11574" s="20" t="str">
        <f>HYPERLINK("https://twitter.com/amandasome","@amandasome")</f>
        <v>@amandasome</v>
      </c>
      <c r="C11574" s="21" t="s">
        <v>2205</v>
      </c>
      <c r="D11574" s="21" t="s">
        <v>24253</v>
      </c>
      <c r="E11574" s="22" t="str">
        <f>HYPERLINK("https://twitter.com/amandasome/status/923021332731670528","923021332731670528")</f>
        <v>923021332731670528</v>
      </c>
      <c r="F11574" s="30" t="s">
        <v>411</v>
      </c>
      <c r="G11574" s="24">
        <v>1048.0</v>
      </c>
      <c r="H11574" s="24">
        <v>777.0</v>
      </c>
      <c r="I11574" s="24">
        <v>0.0</v>
      </c>
      <c r="J11574" s="24">
        <v>0.0</v>
      </c>
      <c r="K11574" s="23" t="s">
        <v>34</v>
      </c>
      <c r="L11574" s="25">
        <v>40458.66741898148</v>
      </c>
      <c r="M11574" s="26" t="s">
        <v>1961</v>
      </c>
      <c r="N11574" s="26" t="s">
        <v>2207</v>
      </c>
      <c r="O11574" s="22" t="str">
        <f>HYPERLINK("https://pbs.twimg.com/profile_images/768972424645898240/_AtgZ0os_normal.jpg","View")</f>
        <v>View</v>
      </c>
      <c r="P11574" s="27"/>
    </row>
    <row r="11575">
      <c r="A11575" s="14">
        <v>43032.833449074074</v>
      </c>
      <c r="B11575" s="20" t="str">
        <f>HYPERLINK("https://twitter.com/SelmaAlbert18","@SelmaAlbert18")</f>
        <v>@SelmaAlbert18</v>
      </c>
      <c r="C11575" s="21" t="s">
        <v>24254</v>
      </c>
      <c r="D11575" s="21" t="s">
        <v>24255</v>
      </c>
      <c r="E11575" s="22" t="str">
        <f>HYPERLINK("https://twitter.com/SelmaAlbert18/status/923021338914193408","923021338914193408")</f>
        <v>923021338914193408</v>
      </c>
      <c r="F11575" s="23" t="s">
        <v>187</v>
      </c>
      <c r="G11575" s="24">
        <v>0.0</v>
      </c>
      <c r="H11575" s="24">
        <v>0.0</v>
      </c>
      <c r="I11575" s="24">
        <v>0.0</v>
      </c>
      <c r="J11575" s="24">
        <v>0.0</v>
      </c>
      <c r="K11575" s="23" t="s">
        <v>34</v>
      </c>
      <c r="L11575" s="25">
        <v>43000.88313657408</v>
      </c>
      <c r="M11575" s="26" t="s">
        <v>1024</v>
      </c>
      <c r="N11575" s="26" t="s">
        <v>24256</v>
      </c>
      <c r="O11575" s="22" t="str">
        <f>HYPERLINK("https://pbs.twimg.com/profile_images/921577215912849408/lSHj5VzG_normal.jpg","View")</f>
        <v>View</v>
      </c>
      <c r="P11575" s="27"/>
    </row>
    <row r="11576">
      <c r="A11576" s="14">
        <v>43032.8334837963</v>
      </c>
      <c r="B11576" s="20" t="str">
        <f>HYPERLINK("https://twitter.com/alt_media_today","@alt_media_today")</f>
        <v>@alt_media_today</v>
      </c>
      <c r="C11576" s="21" t="s">
        <v>4304</v>
      </c>
      <c r="D11576" s="21" t="s">
        <v>24257</v>
      </c>
      <c r="E11576" s="22" t="str">
        <f>HYPERLINK("https://twitter.com/alt_media_today/status/923021352331657216","923021352331657216")</f>
        <v>923021352331657216</v>
      </c>
      <c r="F11576" s="30" t="s">
        <v>411</v>
      </c>
      <c r="G11576" s="24">
        <v>8748.0</v>
      </c>
      <c r="H11576" s="24">
        <v>4962.0</v>
      </c>
      <c r="I11576" s="24">
        <v>1.0</v>
      </c>
      <c r="J11576" s="24">
        <v>0.0</v>
      </c>
      <c r="K11576" s="23" t="s">
        <v>34</v>
      </c>
      <c r="L11576" s="25">
        <v>42287.68697916667</v>
      </c>
      <c r="M11576" s="28"/>
      <c r="N11576" s="26" t="s">
        <v>4306</v>
      </c>
      <c r="O11576" s="22" t="str">
        <f>HYPERLINK("https://pbs.twimg.com/profile_images/652996185901260801/KqCtDZcN_normal.jpg","View")</f>
        <v>View</v>
      </c>
      <c r="P11576" s="27"/>
    </row>
    <row r="11577">
      <c r="A11577" s="14">
        <v>43032.83355324074</v>
      </c>
      <c r="B11577" s="20" t="str">
        <f>HYPERLINK("https://twitter.com/Norb007","@Norb007")</f>
        <v>@Norb007</v>
      </c>
      <c r="C11577" s="21" t="s">
        <v>24258</v>
      </c>
      <c r="D11577" s="21" t="s">
        <v>24007</v>
      </c>
      <c r="E11577" s="22" t="str">
        <f>HYPERLINK("https://twitter.com/Norb007/status/923021377564581888","923021377564581888")</f>
        <v>923021377564581888</v>
      </c>
      <c r="F11577" s="23" t="s">
        <v>43</v>
      </c>
      <c r="G11577" s="24">
        <v>166.0</v>
      </c>
      <c r="H11577" s="24">
        <v>382.0</v>
      </c>
      <c r="I11577" s="24">
        <v>122.0</v>
      </c>
      <c r="J11577" s="24">
        <v>0.0</v>
      </c>
      <c r="K11577" s="23" t="s">
        <v>34</v>
      </c>
      <c r="L11577" s="25">
        <v>40234.82045138889</v>
      </c>
      <c r="M11577" s="26" t="s">
        <v>1563</v>
      </c>
      <c r="N11577" s="26" t="s">
        <v>24259</v>
      </c>
      <c r="O11577" s="22" t="str">
        <f>HYPERLINK("https://pbs.twimg.com/profile_images/737267723/Mepic_normal.jpg","View")</f>
        <v>View</v>
      </c>
      <c r="P11577" s="27"/>
    </row>
    <row r="11578">
      <c r="A11578" s="14">
        <v>43032.83361111111</v>
      </c>
      <c r="B11578" s="20" t="str">
        <f>HYPERLINK("https://twitter.com/xBot","@xBot")</f>
        <v>@xBot</v>
      </c>
      <c r="C11578" s="21" t="s">
        <v>5811</v>
      </c>
      <c r="D11578" s="21" t="s">
        <v>24260</v>
      </c>
      <c r="E11578" s="22" t="str">
        <f>HYPERLINK("https://twitter.com/xBot/status/923021397508620289","923021397508620289")</f>
        <v>923021397508620289</v>
      </c>
      <c r="F11578" s="23" t="s">
        <v>427</v>
      </c>
      <c r="G11578" s="24">
        <v>7707.0</v>
      </c>
      <c r="H11578" s="24">
        <v>0.0</v>
      </c>
      <c r="I11578" s="24">
        <v>0.0</v>
      </c>
      <c r="J11578" s="24">
        <v>0.0</v>
      </c>
      <c r="K11578" s="23" t="s">
        <v>34</v>
      </c>
      <c r="L11578" s="25">
        <v>41163.11077546296</v>
      </c>
      <c r="M11578" s="28"/>
      <c r="N11578" s="26" t="s">
        <v>5813</v>
      </c>
      <c r="O11578" s="22" t="str">
        <f>HYPERLINK("https://pbs.twimg.com/profile_images/378800000089450123/db5336aaa36bcdea3b2473f8c8e3dbb2_normal.jpeg","View")</f>
        <v>View</v>
      </c>
      <c r="P11578" s="27"/>
    </row>
    <row r="11579">
      <c r="A11579" s="14">
        <v>43032.833761574075</v>
      </c>
      <c r="B11579" s="20" t="str">
        <f>HYPERLINK("https://twitter.com/bonniemck3","@bonniemck3")</f>
        <v>@bonniemck3</v>
      </c>
      <c r="C11579" s="21" t="s">
        <v>24261</v>
      </c>
      <c r="D11579" s="21" t="s">
        <v>24262</v>
      </c>
      <c r="E11579" s="22" t="str">
        <f>HYPERLINK("https://twitter.com/bonniemck3/status/923021451640410113","923021451640410113")</f>
        <v>923021451640410113</v>
      </c>
      <c r="F11579" s="23" t="s">
        <v>187</v>
      </c>
      <c r="G11579" s="24">
        <v>349.0</v>
      </c>
      <c r="H11579" s="24">
        <v>39.0</v>
      </c>
      <c r="I11579" s="24">
        <v>0.0</v>
      </c>
      <c r="J11579" s="24">
        <v>0.0</v>
      </c>
      <c r="K11579" s="23" t="s">
        <v>34</v>
      </c>
      <c r="L11579" s="25">
        <v>41896.09396990741</v>
      </c>
      <c r="M11579" s="26" t="s">
        <v>24263</v>
      </c>
      <c r="N11579" s="26" t="s">
        <v>24264</v>
      </c>
      <c r="O11579" s="22" t="str">
        <f>HYPERLINK("https://pbs.twimg.com/profile_images/636373429327921152/NEjxda2H_normal.jpg","View")</f>
        <v>View</v>
      </c>
      <c r="P11579" s="27"/>
    </row>
    <row r="11580">
      <c r="A11580" s="14">
        <v>43032.833865740744</v>
      </c>
      <c r="B11580" s="20" t="str">
        <f>HYPERLINK("https://twitter.com/OnlBreakingNews","@OnlBreakingNews")</f>
        <v>@OnlBreakingNews</v>
      </c>
      <c r="C11580" s="21" t="s">
        <v>5830</v>
      </c>
      <c r="D11580" s="21" t="s">
        <v>24265</v>
      </c>
      <c r="E11580" s="22" t="str">
        <f>HYPERLINK("https://twitter.com/OnlBreakingNews/status/923021487447134209","923021487447134209")</f>
        <v>923021487447134209</v>
      </c>
      <c r="F11580" s="23" t="s">
        <v>427</v>
      </c>
      <c r="G11580" s="24">
        <v>482.0</v>
      </c>
      <c r="H11580" s="24">
        <v>1598.0</v>
      </c>
      <c r="I11580" s="24">
        <v>0.0</v>
      </c>
      <c r="J11580" s="24">
        <v>0.0</v>
      </c>
      <c r="K11580" s="23" t="s">
        <v>34</v>
      </c>
      <c r="L11580" s="25">
        <v>42737.97990740741</v>
      </c>
      <c r="M11580" s="26" t="s">
        <v>1250</v>
      </c>
      <c r="N11580" s="26" t="s">
        <v>5832</v>
      </c>
      <c r="O11580" s="22" t="str">
        <f>HYPERLINK("https://pbs.twimg.com/profile_images/816193432410591232/Sjz4Kaqf_normal.jpg","View")</f>
        <v>View</v>
      </c>
      <c r="P11580" s="27"/>
    </row>
    <row r="11581">
      <c r="A11581" s="14">
        <v>43032.83391203704</v>
      </c>
      <c r="B11581" s="20" t="str">
        <f>HYPERLINK("https://twitter.com/usyername","@usyername")</f>
        <v>@usyername</v>
      </c>
      <c r="C11581" s="21" t="s">
        <v>1279</v>
      </c>
      <c r="D11581" s="21" t="s">
        <v>24266</v>
      </c>
      <c r="E11581" s="22" t="str">
        <f>HYPERLINK("https://twitter.com/usyername/status/923021504090198018","923021504090198018")</f>
        <v>923021504090198018</v>
      </c>
      <c r="F11581" s="23" t="s">
        <v>187</v>
      </c>
      <c r="G11581" s="24">
        <v>8.0</v>
      </c>
      <c r="H11581" s="24">
        <v>0.0</v>
      </c>
      <c r="I11581" s="24">
        <v>0.0</v>
      </c>
      <c r="J11581" s="24">
        <v>0.0</v>
      </c>
      <c r="K11581" s="23" t="s">
        <v>34</v>
      </c>
      <c r="L11581" s="25">
        <v>43009.781076388885</v>
      </c>
      <c r="M11581" s="28"/>
      <c r="N11581" s="28"/>
      <c r="O11581" s="22" t="str">
        <f>HYPERLINK("https://pbs.twimg.com/profile_images/916502409580392448/6PpLTsL5_normal.jpg","View")</f>
        <v>View</v>
      </c>
      <c r="P11581" s="27"/>
    </row>
    <row r="11582">
      <c r="A11582" s="14">
        <v>43032.834074074075</v>
      </c>
      <c r="B11582" s="20" t="str">
        <f>HYPERLINK("https://twitter.com/giri_ish","@giri_ish")</f>
        <v>@giri_ish</v>
      </c>
      <c r="C11582" s="21" t="s">
        <v>24267</v>
      </c>
      <c r="D11582" s="21" t="s">
        <v>42</v>
      </c>
      <c r="E11582" s="22" t="str">
        <f>HYPERLINK("https://twitter.com/giri_ish/status/923021563393216512","923021563393216512")</f>
        <v>923021563393216512</v>
      </c>
      <c r="F11582" s="23" t="s">
        <v>33</v>
      </c>
      <c r="G11582" s="24">
        <v>168.0</v>
      </c>
      <c r="H11582" s="24">
        <v>486.0</v>
      </c>
      <c r="I11582" s="24">
        <v>8501.0</v>
      </c>
      <c r="J11582" s="24">
        <v>0.0</v>
      </c>
      <c r="K11582" s="23" t="s">
        <v>34</v>
      </c>
      <c r="L11582" s="25">
        <v>40861.34650462963</v>
      </c>
      <c r="M11582" s="26" t="s">
        <v>24268</v>
      </c>
      <c r="N11582" s="26" t="s">
        <v>24269</v>
      </c>
      <c r="O11582" s="22" t="str">
        <f>HYPERLINK("https://pbs.twimg.com/profile_images/776673936612347904/7qHzWRgY_normal.jpg","View")</f>
        <v>View</v>
      </c>
      <c r="P11582" s="27"/>
    </row>
    <row r="11583">
      <c r="A11583" s="14">
        <v>43032.834074074075</v>
      </c>
      <c r="B11583" s="20" t="str">
        <f>HYPERLINK("https://twitter.com/BreakingNewss3","@BreakingNewss3")</f>
        <v>@BreakingNewss3</v>
      </c>
      <c r="C11583" s="21" t="s">
        <v>5830</v>
      </c>
      <c r="D11583" s="21" t="s">
        <v>24270</v>
      </c>
      <c r="E11583" s="22" t="str">
        <f>HYPERLINK("https://twitter.com/BreakingNewss3/status/923021564647534598","923021564647534598")</f>
        <v>923021564647534598</v>
      </c>
      <c r="F11583" s="23" t="s">
        <v>187</v>
      </c>
      <c r="G11583" s="24">
        <v>650.0</v>
      </c>
      <c r="H11583" s="24">
        <v>0.0</v>
      </c>
      <c r="I11583" s="24">
        <v>0.0</v>
      </c>
      <c r="J11583" s="24">
        <v>0.0</v>
      </c>
      <c r="K11583" s="23" t="s">
        <v>34</v>
      </c>
      <c r="L11583" s="25">
        <v>42440.172164351854</v>
      </c>
      <c r="M11583" s="28"/>
      <c r="N11583" s="26" t="s">
        <v>24271</v>
      </c>
      <c r="O11583" s="22" t="str">
        <f>HYPERLINK("https://pbs.twimg.com/profile_images/708263927298154496/Ql9mPtxJ_normal.jpg","View")</f>
        <v>View</v>
      </c>
      <c r="P11583" s="27"/>
    </row>
    <row r="11584">
      <c r="A11584" s="14">
        <v>43032.83417824074</v>
      </c>
      <c r="B11584" s="20" t="str">
        <f>HYPERLINK("https://twitter.com/mariabuckland61","@mariabuckland61")</f>
        <v>@mariabuckland61</v>
      </c>
      <c r="C11584" s="21" t="s">
        <v>24272</v>
      </c>
      <c r="D11584" s="21" t="s">
        <v>24273</v>
      </c>
      <c r="E11584" s="22" t="str">
        <f>HYPERLINK("https://twitter.com/mariabuckland61/status/923021600047460353","923021600047460353")</f>
        <v>923021600047460353</v>
      </c>
      <c r="F11584" s="23" t="s">
        <v>187</v>
      </c>
      <c r="G11584" s="24">
        <v>0.0</v>
      </c>
      <c r="H11584" s="24">
        <v>35.0</v>
      </c>
      <c r="I11584" s="24">
        <v>0.0</v>
      </c>
      <c r="J11584" s="24">
        <v>0.0</v>
      </c>
      <c r="K11584" s="23" t="s">
        <v>34</v>
      </c>
      <c r="L11584" s="25">
        <v>42950.89658564815</v>
      </c>
      <c r="M11584" s="28"/>
      <c r="N11584" s="28"/>
      <c r="O11584" s="22" t="str">
        <f>HYPERLINK("https://pbs.twimg.com/profile_images/897689879877996545/2XFFzsZs_normal.jpg","View")</f>
        <v>View</v>
      </c>
      <c r="P11584" s="27"/>
    </row>
    <row r="11585">
      <c r="A11585" s="14">
        <v>43032.834189814814</v>
      </c>
      <c r="B11585" s="20" t="str">
        <f>HYPERLINK("https://twitter.com/worldnewsbox","@worldnewsbox")</f>
        <v>@worldnewsbox</v>
      </c>
      <c r="C11585" s="21" t="s">
        <v>6020</v>
      </c>
      <c r="D11585" s="21" t="s">
        <v>24274</v>
      </c>
      <c r="E11585" s="22" t="str">
        <f>HYPERLINK("https://twitter.com/worldnewsbox/status/923021605319708672","923021605319708672")</f>
        <v>923021605319708672</v>
      </c>
      <c r="F11585" s="23" t="s">
        <v>187</v>
      </c>
      <c r="G11585" s="24">
        <v>139.0</v>
      </c>
      <c r="H11585" s="24">
        <v>0.0</v>
      </c>
      <c r="I11585" s="24">
        <v>0.0</v>
      </c>
      <c r="J11585" s="24">
        <v>0.0</v>
      </c>
      <c r="K11585" s="23" t="s">
        <v>34</v>
      </c>
      <c r="L11585" s="25">
        <v>42048.44263888889</v>
      </c>
      <c r="M11585" s="26" t="s">
        <v>6022</v>
      </c>
      <c r="N11585" s="28"/>
      <c r="O11585" s="22" t="str">
        <f>HYPERLINK("https://pbs.twimg.com/profile_images/566373479780347904/cRWsNt3U_normal.png","View")</f>
        <v>View</v>
      </c>
      <c r="P11585" s="27"/>
    </row>
    <row r="11586">
      <c r="A11586" s="14">
        <v>43032.83435185185</v>
      </c>
      <c r="B11586" s="20" t="str">
        <f>HYPERLINK("https://twitter.com/FrancoisGeneva","@FrancoisGeneva")</f>
        <v>@FrancoisGeneva</v>
      </c>
      <c r="C11586" s="21" t="s">
        <v>24275</v>
      </c>
      <c r="D11586" s="21" t="s">
        <v>24276</v>
      </c>
      <c r="E11586" s="22" t="str">
        <f>HYPERLINK("https://twitter.com/FrancoisGeneva/status/923021665675763712","923021665675763712")</f>
        <v>923021665675763712</v>
      </c>
      <c r="F11586" s="23" t="s">
        <v>187</v>
      </c>
      <c r="G11586" s="24">
        <v>0.0</v>
      </c>
      <c r="H11586" s="24">
        <v>0.0</v>
      </c>
      <c r="I11586" s="24">
        <v>0.0</v>
      </c>
      <c r="J11586" s="24">
        <v>0.0</v>
      </c>
      <c r="K11586" s="23" t="s">
        <v>34</v>
      </c>
      <c r="L11586" s="25">
        <v>43000.89145833333</v>
      </c>
      <c r="M11586" s="26" t="s">
        <v>7551</v>
      </c>
      <c r="N11586" s="26" t="s">
        <v>24277</v>
      </c>
      <c r="O11586" s="22" t="str">
        <f>HYPERLINK("https://pbs.twimg.com/profile_images/922080785263292417/7nu70ZJr_normal.jpg","View")</f>
        <v>View</v>
      </c>
      <c r="P11586" s="27"/>
    </row>
    <row r="11587">
      <c r="A11587" s="14">
        <v>43032.83443287037</v>
      </c>
      <c r="B11587" s="20" t="str">
        <f>HYPERLINK("https://twitter.com/Global____News","@Global____News")</f>
        <v>@Global____News</v>
      </c>
      <c r="C11587" s="21" t="s">
        <v>6062</v>
      </c>
      <c r="D11587" s="21" t="s">
        <v>24278</v>
      </c>
      <c r="E11587" s="22" t="str">
        <f>HYPERLINK("https://twitter.com/Global____News/status/923021695446913025","923021695446913025")</f>
        <v>923021695446913025</v>
      </c>
      <c r="F11587" s="23" t="s">
        <v>187</v>
      </c>
      <c r="G11587" s="24">
        <v>5788.0</v>
      </c>
      <c r="H11587" s="24">
        <v>2904.0</v>
      </c>
      <c r="I11587" s="24">
        <v>0.0</v>
      </c>
      <c r="J11587" s="24">
        <v>0.0</v>
      </c>
      <c r="K11587" s="23" t="s">
        <v>34</v>
      </c>
      <c r="L11587" s="25">
        <v>42003.52075231481</v>
      </c>
      <c r="M11587" s="26" t="s">
        <v>6064</v>
      </c>
      <c r="N11587" s="26" t="s">
        <v>6065</v>
      </c>
      <c r="O11587" s="22" t="str">
        <f>HYPERLINK("https://pbs.twimg.com/profile_images/553154855804481537/PP1npsIT_normal.jpeg","View")</f>
        <v>View</v>
      </c>
      <c r="P11587" s="27"/>
    </row>
    <row r="11588">
      <c r="A11588" s="14">
        <v>43032.834652777776</v>
      </c>
      <c r="B11588" s="20" t="str">
        <f>HYPERLINK("https://twitter.com/ForexUpSignals","@ForexUpSignals")</f>
        <v>@ForexUpSignals</v>
      </c>
      <c r="C11588" s="21" t="s">
        <v>20484</v>
      </c>
      <c r="D11588" s="21" t="s">
        <v>24279</v>
      </c>
      <c r="E11588" s="22" t="str">
        <f>HYPERLINK("https://twitter.com/ForexUpSignals/status/923021774664630272","923021774664630272")</f>
        <v>923021774664630272</v>
      </c>
      <c r="F11588" s="23" t="s">
        <v>187</v>
      </c>
      <c r="G11588" s="24">
        <v>178.0</v>
      </c>
      <c r="H11588" s="24">
        <v>161.0</v>
      </c>
      <c r="I11588" s="24">
        <v>0.0</v>
      </c>
      <c r="J11588" s="24">
        <v>0.0</v>
      </c>
      <c r="K11588" s="23" t="s">
        <v>34</v>
      </c>
      <c r="L11588" s="25">
        <v>41803.01390046296</v>
      </c>
      <c r="M11588" s="28"/>
      <c r="N11588" s="28"/>
      <c r="O11588" s="22" t="str">
        <f>HYPERLINK("https://pbs.twimg.com/profile_images/787625228503552000/-Q2SY-dU_normal.jpg","View")</f>
        <v>View</v>
      </c>
      <c r="P11588" s="27"/>
    </row>
    <row r="11589">
      <c r="A11589" s="14">
        <v>43032.8346875</v>
      </c>
      <c r="B11589" s="20" t="str">
        <f>HYPERLINK("https://twitter.com/fiverr_girl","@fiverr_girl")</f>
        <v>@fiverr_girl</v>
      </c>
      <c r="C11589" s="21" t="s">
        <v>24280</v>
      </c>
      <c r="D11589" s="21" t="s">
        <v>24281</v>
      </c>
      <c r="E11589" s="22" t="str">
        <f>HYPERLINK("https://twitter.com/fiverr_girl/status/923021788317089793","923021788317089793")</f>
        <v>923021788317089793</v>
      </c>
      <c r="F11589" s="23" t="s">
        <v>187</v>
      </c>
      <c r="G11589" s="24">
        <v>2014.0</v>
      </c>
      <c r="H11589" s="24">
        <v>1221.0</v>
      </c>
      <c r="I11589" s="24">
        <v>0.0</v>
      </c>
      <c r="J11589" s="24">
        <v>0.0</v>
      </c>
      <c r="K11589" s="23" t="s">
        <v>34</v>
      </c>
      <c r="L11589" s="25">
        <v>41208.669224537036</v>
      </c>
      <c r="M11589" s="26" t="s">
        <v>13759</v>
      </c>
      <c r="N11589" s="26" t="s">
        <v>24282</v>
      </c>
      <c r="O11589" s="22" t="str">
        <f>HYPERLINK("https://pbs.twimg.com/profile_images/2768595138/269907a1237c7ef5780d245327a6c6c3_normal.jpeg","View")</f>
        <v>View</v>
      </c>
      <c r="P11589" s="27"/>
    </row>
    <row r="11590">
      <c r="A11590" s="14">
        <v>43032.83480324074</v>
      </c>
      <c r="B11590" s="20" t="str">
        <f>HYPERLINK("https://twitter.com/kerry_leilah","@kerry_leilah")</f>
        <v>@kerry_leilah</v>
      </c>
      <c r="C11590" s="21" t="s">
        <v>24283</v>
      </c>
      <c r="D11590" s="21" t="s">
        <v>24284</v>
      </c>
      <c r="E11590" s="22" t="str">
        <f>HYPERLINK("https://twitter.com/kerry_leilah/status/923021826900594688","923021826900594688")</f>
        <v>923021826900594688</v>
      </c>
      <c r="F11590" s="23" t="s">
        <v>187</v>
      </c>
      <c r="G11590" s="24">
        <v>6.0</v>
      </c>
      <c r="H11590" s="24">
        <v>40.0</v>
      </c>
      <c r="I11590" s="24">
        <v>0.0</v>
      </c>
      <c r="J11590" s="24">
        <v>0.0</v>
      </c>
      <c r="K11590" s="23" t="s">
        <v>34</v>
      </c>
      <c r="L11590" s="25">
        <v>42725.88649305556</v>
      </c>
      <c r="M11590" s="26" t="s">
        <v>5557</v>
      </c>
      <c r="N11590" s="26" t="s">
        <v>24285</v>
      </c>
      <c r="O11590" s="22" t="str">
        <f>HYPERLINK("https://pbs.twimg.com/profile_images/829640429834424320/oWtrQwmN_normal.jpg","View")</f>
        <v>View</v>
      </c>
      <c r="P11590" s="27"/>
    </row>
    <row r="11591">
      <c r="A11591" s="14">
        <v>43032.834814814814</v>
      </c>
      <c r="B11591" s="20" t="str">
        <f>HYPERLINK("https://twitter.com/Harrys1AEmpire","@Harrys1AEmpire")</f>
        <v>@Harrys1AEmpire</v>
      </c>
      <c r="C11591" s="21" t="s">
        <v>24286</v>
      </c>
      <c r="D11591" s="21" t="s">
        <v>42</v>
      </c>
      <c r="E11591" s="22" t="str">
        <f>HYPERLINK("https://twitter.com/Harrys1AEmpire/status/923021834341179392","923021834341179392")</f>
        <v>923021834341179392</v>
      </c>
      <c r="F11591" s="23" t="s">
        <v>33</v>
      </c>
      <c r="G11591" s="24">
        <v>3859.0</v>
      </c>
      <c r="H11591" s="24">
        <v>3454.0</v>
      </c>
      <c r="I11591" s="24">
        <v>8501.0</v>
      </c>
      <c r="J11591" s="24">
        <v>0.0</v>
      </c>
      <c r="K11591" s="23" t="s">
        <v>34</v>
      </c>
      <c r="L11591" s="25">
        <v>42867.56153935185</v>
      </c>
      <c r="M11591" s="26" t="s">
        <v>24287</v>
      </c>
      <c r="N11591" s="26" t="s">
        <v>24288</v>
      </c>
      <c r="O11591" s="22" t="str">
        <f>HYPERLINK("https://pbs.twimg.com/profile_images/923069681161740288/AsV9e2IE_normal.jpg","View")</f>
        <v>View</v>
      </c>
      <c r="P11591" s="27"/>
    </row>
    <row r="11592">
      <c r="A11592" s="14">
        <v>43032.834872685184</v>
      </c>
      <c r="B11592" s="20" t="str">
        <f>HYPERLINK("https://twitter.com/rogswabot","@rogswabot")</f>
        <v>@rogswabot</v>
      </c>
      <c r="C11592" s="21" t="s">
        <v>6069</v>
      </c>
      <c r="D11592" s="21" t="s">
        <v>24289</v>
      </c>
      <c r="E11592" s="22" t="str">
        <f>HYPERLINK("https://twitter.com/rogswabot/status/923021853853192193","923021853853192193")</f>
        <v>923021853853192193</v>
      </c>
      <c r="F11592" s="23" t="s">
        <v>187</v>
      </c>
      <c r="G11592" s="24">
        <v>170.0</v>
      </c>
      <c r="H11592" s="24">
        <v>39.0</v>
      </c>
      <c r="I11592" s="24">
        <v>0.0</v>
      </c>
      <c r="J11592" s="24">
        <v>0.0</v>
      </c>
      <c r="K11592" s="23" t="s">
        <v>34</v>
      </c>
      <c r="L11592" s="25">
        <v>42659.36556712963</v>
      </c>
      <c r="M11592" s="28"/>
      <c r="N11592" s="26" t="s">
        <v>6071</v>
      </c>
      <c r="O11592" s="22" t="str">
        <f>HYPERLINK("https://pbs.twimg.com/profile_images/787687252197597185/K2CcBrKH_normal.jpg","View")</f>
        <v>View</v>
      </c>
      <c r="P11592" s="27"/>
    </row>
    <row r="11593">
      <c r="A11593" s="14">
        <v>43032.83493055556</v>
      </c>
      <c r="B11593" s="20" t="str">
        <f>HYPERLINK("https://twitter.com/NewsUpdate24Int","@NewsUpdate24Int")</f>
        <v>@NewsUpdate24Int</v>
      </c>
      <c r="C11593" s="21" t="s">
        <v>6417</v>
      </c>
      <c r="D11593" s="21" t="s">
        <v>24290</v>
      </c>
      <c r="E11593" s="22" t="str">
        <f>HYPERLINK("https://twitter.com/NewsUpdate24Int/status/923021873914564608","923021873914564608")</f>
        <v>923021873914564608</v>
      </c>
      <c r="F11593" s="23" t="s">
        <v>187</v>
      </c>
      <c r="G11593" s="24">
        <v>1282.0</v>
      </c>
      <c r="H11593" s="24">
        <v>54.0</v>
      </c>
      <c r="I11593" s="24">
        <v>0.0</v>
      </c>
      <c r="J11593" s="24">
        <v>0.0</v>
      </c>
      <c r="K11593" s="23" t="s">
        <v>34</v>
      </c>
      <c r="L11593" s="25">
        <v>42142.58181712963</v>
      </c>
      <c r="M11593" s="26" t="s">
        <v>6419</v>
      </c>
      <c r="N11593" s="26" t="s">
        <v>6420</v>
      </c>
      <c r="O11593" s="22" t="str">
        <f>HYPERLINK("https://pbs.twimg.com/profile_images/858443073717764096/OPmPGIMa_normal.jpg","View")</f>
        <v>View</v>
      </c>
      <c r="P11593" s="27"/>
    </row>
    <row r="11594">
      <c r="A11594" s="14">
        <v>43032.83493055556</v>
      </c>
      <c r="B11594" s="20" t="str">
        <f>HYPERLINK("https://twitter.com/BotSaigai","@BotSaigai")</f>
        <v>@BotSaigai</v>
      </c>
      <c r="C11594" s="21" t="s">
        <v>5889</v>
      </c>
      <c r="D11594" s="21" t="s">
        <v>24291</v>
      </c>
      <c r="E11594" s="22" t="str">
        <f>HYPERLINK("https://twitter.com/BotSaigai/status/923021875558699013","923021875558699013")</f>
        <v>923021875558699013</v>
      </c>
      <c r="F11594" s="23" t="s">
        <v>187</v>
      </c>
      <c r="G11594" s="24">
        <v>65.0</v>
      </c>
      <c r="H11594" s="24">
        <v>34.0</v>
      </c>
      <c r="I11594" s="24">
        <v>0.0</v>
      </c>
      <c r="J11594" s="24">
        <v>0.0</v>
      </c>
      <c r="K11594" s="23" t="s">
        <v>34</v>
      </c>
      <c r="L11594" s="25">
        <v>41607.83005787037</v>
      </c>
      <c r="M11594" s="26" t="s">
        <v>5891</v>
      </c>
      <c r="N11594" s="26" t="s">
        <v>5892</v>
      </c>
      <c r="O11594" s="22" t="str">
        <f>HYPERLINK("https://pbs.twimg.com/profile_images/915317589747703808/oJeD7pWD_normal.jpg","View")</f>
        <v>View</v>
      </c>
      <c r="P11594" s="27"/>
    </row>
    <row r="11595">
      <c r="A11595" s="14">
        <v>43032.835</v>
      </c>
      <c r="B11595" s="20" t="str">
        <f>HYPERLINK("https://twitter.com/WorldNewsNgayon","@WorldNewsNgayon")</f>
        <v>@WorldNewsNgayon</v>
      </c>
      <c r="C11595" s="21" t="s">
        <v>4889</v>
      </c>
      <c r="D11595" s="21" t="s">
        <v>24292</v>
      </c>
      <c r="E11595" s="22" t="str">
        <f>HYPERLINK("https://twitter.com/WorldNewsNgayon/status/923021901810855937","923021901810855937")</f>
        <v>923021901810855937</v>
      </c>
      <c r="F11595" s="23" t="s">
        <v>187</v>
      </c>
      <c r="G11595" s="24">
        <v>1177.0</v>
      </c>
      <c r="H11595" s="24">
        <v>9.0</v>
      </c>
      <c r="I11595" s="24">
        <v>0.0</v>
      </c>
      <c r="J11595" s="24">
        <v>0.0</v>
      </c>
      <c r="K11595" s="23" t="s">
        <v>34</v>
      </c>
      <c r="L11595" s="25">
        <v>41174.847233796296</v>
      </c>
      <c r="M11595" s="26" t="s">
        <v>3507</v>
      </c>
      <c r="N11595" s="26" t="s">
        <v>4891</v>
      </c>
      <c r="O11595" s="22" t="str">
        <f>HYPERLINK("https://pbs.twimg.com/profile_images/425420772534784000/_u4Vu6V1_normal.jpeg","View")</f>
        <v>View</v>
      </c>
      <c r="P11595" s="27"/>
    </row>
    <row r="11596">
      <c r="A11596" s="14">
        <v>43032.83503472222</v>
      </c>
      <c r="B11596" s="20" t="str">
        <f>HYPERLINK("https://twitter.com/marvellous997","@marvellous997")</f>
        <v>@marvellous997</v>
      </c>
      <c r="C11596" s="21" t="s">
        <v>3335</v>
      </c>
      <c r="D11596" s="21" t="s">
        <v>24293</v>
      </c>
      <c r="E11596" s="22" t="str">
        <f>HYPERLINK("https://twitter.com/marvellous997/status/923021912053346304","923021912053346304")</f>
        <v>923021912053346304</v>
      </c>
      <c r="F11596" s="23" t="s">
        <v>91</v>
      </c>
      <c r="G11596" s="24">
        <v>793.0</v>
      </c>
      <c r="H11596" s="24">
        <v>59.0</v>
      </c>
      <c r="I11596" s="24">
        <v>0.0</v>
      </c>
      <c r="J11596" s="24">
        <v>0.0</v>
      </c>
      <c r="K11596" s="23" t="s">
        <v>34</v>
      </c>
      <c r="L11596" s="25">
        <v>41334.15880787037</v>
      </c>
      <c r="M11596" s="26" t="s">
        <v>3337</v>
      </c>
      <c r="N11596" s="26" t="s">
        <v>3338</v>
      </c>
      <c r="O11596" s="22" t="str">
        <f>HYPERLINK("https://pbs.twimg.com/profile_images/765082261150720000/AKwZsJGh_normal.jpg","View")</f>
        <v>View</v>
      </c>
      <c r="P11596" s="27"/>
    </row>
    <row r="11597">
      <c r="A11597" s="14">
        <v>43032.835127314815</v>
      </c>
      <c r="B11597" s="20" t="str">
        <f>HYPERLINK("https://twitter.com/mbwManzoni","@mbwManzoni")</f>
        <v>@mbwManzoni</v>
      </c>
      <c r="C11597" s="21" t="s">
        <v>6085</v>
      </c>
      <c r="D11597" s="21" t="s">
        <v>24294</v>
      </c>
      <c r="E11597" s="22" t="str">
        <f>HYPERLINK("https://twitter.com/mbwManzoni/status/923021946119491585","923021946119491585")</f>
        <v>923021946119491585</v>
      </c>
      <c r="F11597" s="23" t="s">
        <v>48</v>
      </c>
      <c r="G11597" s="24">
        <v>495.0</v>
      </c>
      <c r="H11597" s="24">
        <v>1160.0</v>
      </c>
      <c r="I11597" s="24">
        <v>0.0</v>
      </c>
      <c r="J11597" s="24">
        <v>0.0</v>
      </c>
      <c r="K11597" s="23" t="s">
        <v>34</v>
      </c>
      <c r="L11597" s="25">
        <v>40440.49842592592</v>
      </c>
      <c r="M11597" s="26" t="s">
        <v>6087</v>
      </c>
      <c r="N11597" s="26" t="s">
        <v>6088</v>
      </c>
      <c r="O11597" s="22" t="str">
        <f>HYPERLINK("https://pbs.twimg.com/profile_images/876267141082861569/P5HrOcEH_normal.jpg","View")</f>
        <v>View</v>
      </c>
      <c r="P11597" s="27"/>
    </row>
    <row r="11598">
      <c r="A11598" s="14">
        <v>43032.83537037037</v>
      </c>
      <c r="B11598" s="20" t="str">
        <f>HYPERLINK("https://twitter.com/V2FzaGluZ3Rvbg","@V2FzaGluZ3Rvbg")</f>
        <v>@V2FzaGluZ3Rvbg</v>
      </c>
      <c r="C11598" s="21" t="s">
        <v>24295</v>
      </c>
      <c r="D11598" s="21" t="s">
        <v>24296</v>
      </c>
      <c r="E11598" s="22" t="str">
        <f>HYPERLINK("https://twitter.com/V2FzaGluZ3Rvbg/status/923022034111746048","923022034111746048")</f>
        <v>923022034111746048</v>
      </c>
      <c r="F11598" s="23" t="s">
        <v>187</v>
      </c>
      <c r="G11598" s="24">
        <v>153.0</v>
      </c>
      <c r="H11598" s="24">
        <v>2.0</v>
      </c>
      <c r="I11598" s="24">
        <v>0.0</v>
      </c>
      <c r="J11598" s="24">
        <v>0.0</v>
      </c>
      <c r="K11598" s="23" t="s">
        <v>34</v>
      </c>
      <c r="L11598" s="25">
        <v>42415.90987268518</v>
      </c>
      <c r="M11598" s="26" t="s">
        <v>4239</v>
      </c>
      <c r="N11598" s="26" t="s">
        <v>24297</v>
      </c>
      <c r="O11598" s="22" t="str">
        <f>HYPERLINK("https://pbs.twimg.com/profile_images/923066860999970816/sGdAt4Lu_normal.jpg","View")</f>
        <v>View</v>
      </c>
      <c r="P11598" s="27"/>
    </row>
    <row r="11599">
      <c r="A11599" s="14">
        <v>43032.83552083334</v>
      </c>
      <c r="B11599" s="20" t="str">
        <f>HYPERLINK("https://twitter.com/LondonJumper","@LondonJumper")</f>
        <v>@LondonJumper</v>
      </c>
      <c r="C11599" s="21" t="s">
        <v>24298</v>
      </c>
      <c r="D11599" s="21" t="s">
        <v>24299</v>
      </c>
      <c r="E11599" s="22" t="str">
        <f>HYPERLINK("https://twitter.com/LondonJumper/status/923022086888570880","923022086888570880")</f>
        <v>923022086888570880</v>
      </c>
      <c r="F11599" s="30" t="s">
        <v>411</v>
      </c>
      <c r="G11599" s="24">
        <v>508.0</v>
      </c>
      <c r="H11599" s="24">
        <v>632.0</v>
      </c>
      <c r="I11599" s="24">
        <v>0.0</v>
      </c>
      <c r="J11599" s="24">
        <v>0.0</v>
      </c>
      <c r="K11599" s="23" t="s">
        <v>34</v>
      </c>
      <c r="L11599" s="25">
        <v>40771.72814814815</v>
      </c>
      <c r="M11599" s="26" t="s">
        <v>24300</v>
      </c>
      <c r="N11599" s="26" t="s">
        <v>24301</v>
      </c>
      <c r="O11599" s="22" t="str">
        <f>HYPERLINK("https://pbs.twimg.com/profile_images/914258742010454016/ai6mKXJZ_normal.jpg","View")</f>
        <v>View</v>
      </c>
      <c r="P11599" s="27"/>
    </row>
    <row r="11600">
      <c r="A11600" s="14">
        <v>43032.83554398148</v>
      </c>
      <c r="B11600" s="20" t="str">
        <f>HYPERLINK("https://twitter.com/Global____News","@Global____News")</f>
        <v>@Global____News</v>
      </c>
      <c r="C11600" s="21" t="s">
        <v>6062</v>
      </c>
      <c r="D11600" s="21" t="s">
        <v>24302</v>
      </c>
      <c r="E11600" s="22" t="str">
        <f>HYPERLINK("https://twitter.com/Global____News/status/923022098829905921","923022098829905921")</f>
        <v>923022098829905921</v>
      </c>
      <c r="F11600" s="23" t="s">
        <v>187</v>
      </c>
      <c r="G11600" s="24">
        <v>5788.0</v>
      </c>
      <c r="H11600" s="24">
        <v>2904.0</v>
      </c>
      <c r="I11600" s="24">
        <v>0.0</v>
      </c>
      <c r="J11600" s="24">
        <v>0.0</v>
      </c>
      <c r="K11600" s="23" t="s">
        <v>34</v>
      </c>
      <c r="L11600" s="25">
        <v>42003.52075231481</v>
      </c>
      <c r="M11600" s="26" t="s">
        <v>6064</v>
      </c>
      <c r="N11600" s="26" t="s">
        <v>6065</v>
      </c>
      <c r="O11600" s="22" t="str">
        <f>HYPERLINK("https://pbs.twimg.com/profile_images/553154855804481537/PP1npsIT_normal.jpeg","View")</f>
        <v>View</v>
      </c>
      <c r="P11600" s="27"/>
    </row>
    <row r="11601">
      <c r="A11601" s="14">
        <v>43032.83559027778</v>
      </c>
      <c r="B11601" s="20" t="str">
        <f>HYPERLINK("https://twitter.com/sr99news","@sr99news")</f>
        <v>@sr99news</v>
      </c>
      <c r="C11601" s="21" t="s">
        <v>15594</v>
      </c>
      <c r="D11601" s="21" t="s">
        <v>24303</v>
      </c>
      <c r="E11601" s="22" t="str">
        <f>HYPERLINK("https://twitter.com/sr99news/status/923022115678298113","923022115678298113")</f>
        <v>923022115678298113</v>
      </c>
      <c r="F11601" s="30" t="s">
        <v>411</v>
      </c>
      <c r="G11601" s="24">
        <v>573.0</v>
      </c>
      <c r="H11601" s="24">
        <v>952.0</v>
      </c>
      <c r="I11601" s="24">
        <v>0.0</v>
      </c>
      <c r="J11601" s="24">
        <v>0.0</v>
      </c>
      <c r="K11601" s="23" t="s">
        <v>34</v>
      </c>
      <c r="L11601" s="25">
        <v>41100.049166666664</v>
      </c>
      <c r="M11601" s="28"/>
      <c r="N11601" s="26" t="s">
        <v>15596</v>
      </c>
      <c r="O11601" s="22" t="str">
        <f>HYPERLINK("https://pbs.twimg.com/profile_images/2384492336/167468_453137031381197_1173533582_n_normal.jpg","View")</f>
        <v>View</v>
      </c>
      <c r="P11601" s="27"/>
    </row>
    <row r="11602">
      <c r="A11602" s="14">
        <v>43032.835625</v>
      </c>
      <c r="B11602" s="20" t="str">
        <f>HYPERLINK("https://twitter.com/Akumaburn","@Akumaburn")</f>
        <v>@Akumaburn</v>
      </c>
      <c r="C11602" s="21" t="s">
        <v>24304</v>
      </c>
      <c r="D11602" s="21" t="s">
        <v>24305</v>
      </c>
      <c r="E11602" s="22" t="str">
        <f>HYPERLINK("https://twitter.com/Akumaburn/status/923022127841689600","923022127841689600")</f>
        <v>923022127841689600</v>
      </c>
      <c r="F11602" s="30" t="s">
        <v>411</v>
      </c>
      <c r="G11602" s="24">
        <v>267.0</v>
      </c>
      <c r="H11602" s="24">
        <v>179.0</v>
      </c>
      <c r="I11602" s="24">
        <v>0.0</v>
      </c>
      <c r="J11602" s="24">
        <v>0.0</v>
      </c>
      <c r="K11602" s="23" t="s">
        <v>34</v>
      </c>
      <c r="L11602" s="25">
        <v>41192.48232638889</v>
      </c>
      <c r="M11602" s="26" t="s">
        <v>11738</v>
      </c>
      <c r="N11602" s="26" t="s">
        <v>24306</v>
      </c>
      <c r="O11602" s="22" t="str">
        <f>HYPERLINK("https://pbs.twimg.com/profile_images/689604707791147008/icY4Fneu_normal.jpg","View")</f>
        <v>View</v>
      </c>
      <c r="P11602" s="27"/>
    </row>
    <row r="11603">
      <c r="A11603" s="14">
        <v>43032.83563657408</v>
      </c>
      <c r="B11603" s="20" t="str">
        <f>HYPERLINK("https://twitter.com/luxuryliaisons_","@luxuryliaisons_")</f>
        <v>@luxuryliaisons_</v>
      </c>
      <c r="C11603" s="21" t="s">
        <v>24307</v>
      </c>
      <c r="D11603" s="21" t="s">
        <v>24308</v>
      </c>
      <c r="E11603" s="22" t="str">
        <f>HYPERLINK("https://twitter.com/luxuryliaisons_/status/923022129343299586","923022129343299586")</f>
        <v>923022129343299586</v>
      </c>
      <c r="F11603" s="30" t="s">
        <v>411</v>
      </c>
      <c r="G11603" s="24">
        <v>183469.0</v>
      </c>
      <c r="H11603" s="24">
        <v>455.0</v>
      </c>
      <c r="I11603" s="24">
        <v>0.0</v>
      </c>
      <c r="J11603" s="24">
        <v>0.0</v>
      </c>
      <c r="K11603" s="23" t="s">
        <v>34</v>
      </c>
      <c r="L11603" s="25">
        <v>40679.269907407404</v>
      </c>
      <c r="M11603" s="28"/>
      <c r="N11603" s="26" t="s">
        <v>24309</v>
      </c>
      <c r="O11603" s="22" t="str">
        <f>HYPERLINK("https://pbs.twimg.com/profile_images/912669145073889281/NgqHNSz6_normal.jpg","View")</f>
        <v>View</v>
      </c>
      <c r="P11603" s="27"/>
    </row>
    <row r="11604">
      <c r="A11604" s="14">
        <v>43032.83563657408</v>
      </c>
      <c r="B11604" s="20" t="str">
        <f>HYPERLINK("https://twitter.com/Anon_Eu","@Anon_Eu")</f>
        <v>@Anon_Eu</v>
      </c>
      <c r="C11604" s="21" t="s">
        <v>3473</v>
      </c>
      <c r="D11604" s="21" t="s">
        <v>24310</v>
      </c>
      <c r="E11604" s="22" t="str">
        <f>HYPERLINK("https://twitter.com/Anon_Eu/status/923022130899427328","923022130899427328")</f>
        <v>923022130899427328</v>
      </c>
      <c r="F11604" s="30" t="s">
        <v>411</v>
      </c>
      <c r="G11604" s="24">
        <v>13134.0</v>
      </c>
      <c r="H11604" s="24">
        <v>6958.0</v>
      </c>
      <c r="I11604" s="24">
        <v>0.0</v>
      </c>
      <c r="J11604" s="24">
        <v>0.0</v>
      </c>
      <c r="K11604" s="23" t="s">
        <v>34</v>
      </c>
      <c r="L11604" s="25">
        <v>41161.59104166667</v>
      </c>
      <c r="M11604" s="26" t="s">
        <v>3475</v>
      </c>
      <c r="N11604" s="26" t="s">
        <v>3476</v>
      </c>
      <c r="O11604" s="22" t="str">
        <f>HYPERLINK("https://pbs.twimg.com/profile_images/839870179282669570/K5jLYmlF_normal.jpg","View")</f>
        <v>View</v>
      </c>
      <c r="P11604" s="27"/>
    </row>
    <row r="11605">
      <c r="A11605" s="14">
        <v>43032.835648148146</v>
      </c>
      <c r="B11605" s="20" t="str">
        <f>HYPERLINK("https://twitter.com/TrudieMerwin","@TrudieMerwin")</f>
        <v>@TrudieMerwin</v>
      </c>
      <c r="C11605" s="21" t="s">
        <v>6154</v>
      </c>
      <c r="D11605" s="21" t="s">
        <v>24311</v>
      </c>
      <c r="E11605" s="22" t="str">
        <f>HYPERLINK("https://twitter.com/TrudieMerwin/status/923022133286096896","923022133286096896")</f>
        <v>923022133286096896</v>
      </c>
      <c r="F11605" s="23" t="s">
        <v>187</v>
      </c>
      <c r="G11605" s="24">
        <v>12.0</v>
      </c>
      <c r="H11605" s="24">
        <v>60.0</v>
      </c>
      <c r="I11605" s="24">
        <v>0.0</v>
      </c>
      <c r="J11605" s="24">
        <v>0.0</v>
      </c>
      <c r="K11605" s="23" t="s">
        <v>34</v>
      </c>
      <c r="L11605" s="25">
        <v>42725.8915625</v>
      </c>
      <c r="M11605" s="26" t="s">
        <v>6156</v>
      </c>
      <c r="N11605" s="26" t="s">
        <v>6157</v>
      </c>
      <c r="O11605" s="22" t="str">
        <f>HYPERLINK("https://pbs.twimg.com/profile_images/827036635422351362/w3kC3t7T_normal.jpg","View")</f>
        <v>View</v>
      </c>
      <c r="P11605" s="27"/>
    </row>
    <row r="11606">
      <c r="A11606" s="14">
        <v>43032.83578703704</v>
      </c>
      <c r="B11606" s="20" t="str">
        <f>HYPERLINK("https://twitter.com/expertraders","@expertraders")</f>
        <v>@expertraders</v>
      </c>
      <c r="C11606" s="21" t="s">
        <v>24312</v>
      </c>
      <c r="D11606" s="21" t="s">
        <v>24313</v>
      </c>
      <c r="E11606" s="22" t="str">
        <f>HYPERLINK("https://twitter.com/expertraders/status/923022186062974976","923022186062974976")</f>
        <v>923022186062974976</v>
      </c>
      <c r="F11606" s="23" t="s">
        <v>187</v>
      </c>
      <c r="G11606" s="24">
        <v>317.0</v>
      </c>
      <c r="H11606" s="24">
        <v>0.0</v>
      </c>
      <c r="I11606" s="24">
        <v>0.0</v>
      </c>
      <c r="J11606" s="24">
        <v>0.0</v>
      </c>
      <c r="K11606" s="23" t="s">
        <v>34</v>
      </c>
      <c r="L11606" s="25">
        <v>42072.20761574074</v>
      </c>
      <c r="M11606" s="26" t="s">
        <v>24314</v>
      </c>
      <c r="N11606" s="26" t="s">
        <v>24315</v>
      </c>
      <c r="O11606" s="22" t="str">
        <f>HYPERLINK("https://pbs.twimg.com/profile_images/675961335147061249/UvQu9Xen_normal.jpg","View")</f>
        <v>View</v>
      </c>
      <c r="P11606" s="27"/>
    </row>
    <row r="11607">
      <c r="A11607" s="14">
        <v>43032.83579861111</v>
      </c>
      <c r="B11607" s="20" t="str">
        <f>HYPERLINK("https://twitter.com/bobsmithwind1","@bobsmithwind1")</f>
        <v>@bobsmithwind1</v>
      </c>
      <c r="C11607" s="21" t="s">
        <v>6152</v>
      </c>
      <c r="D11607" s="21" t="s">
        <v>24316</v>
      </c>
      <c r="E11607" s="22" t="str">
        <f>HYPERLINK("https://twitter.com/bobsmithwind1/status/923022191125499905","923022191125499905")</f>
        <v>923022191125499905</v>
      </c>
      <c r="F11607" s="23" t="s">
        <v>187</v>
      </c>
      <c r="G11607" s="24">
        <v>17.0</v>
      </c>
      <c r="H11607" s="24">
        <v>28.0</v>
      </c>
      <c r="I11607" s="24">
        <v>0.0</v>
      </c>
      <c r="J11607" s="24">
        <v>0.0</v>
      </c>
      <c r="K11607" s="23" t="s">
        <v>34</v>
      </c>
      <c r="L11607" s="25">
        <v>42371.56224537037</v>
      </c>
      <c r="M11607" s="28"/>
      <c r="N11607" s="28"/>
      <c r="O11607" s="22" t="str">
        <f>HYPERLINK("https://abs.twimg.com/sticky/default_profile_images/default_profile_normal.png","View")</f>
        <v>View</v>
      </c>
      <c r="P11607" s="27"/>
    </row>
    <row r="11608">
      <c r="A11608" s="14">
        <v>43032.83596064815</v>
      </c>
      <c r="B11608" s="20" t="str">
        <f>HYPERLINK("https://twitter.com/Politics_Nature","@Politics_Nature")</f>
        <v>@Politics_Nature</v>
      </c>
      <c r="C11608" s="21" t="s">
        <v>24317</v>
      </c>
      <c r="D11608" s="21" t="s">
        <v>17887</v>
      </c>
      <c r="E11608" s="22" t="str">
        <f>HYPERLINK("https://twitter.com/Politics_Nature/status/923022246934757377","923022246934757377")</f>
        <v>923022246934757377</v>
      </c>
      <c r="F11608" s="23" t="s">
        <v>33</v>
      </c>
      <c r="G11608" s="24">
        <v>1079.0</v>
      </c>
      <c r="H11608" s="24">
        <v>4998.0</v>
      </c>
      <c r="I11608" s="24">
        <v>3.0</v>
      </c>
      <c r="J11608" s="24">
        <v>0.0</v>
      </c>
      <c r="K11608" s="23" t="s">
        <v>34</v>
      </c>
      <c r="L11608" s="25">
        <v>42611.577002314814</v>
      </c>
      <c r="M11608" s="26" t="s">
        <v>24318</v>
      </c>
      <c r="N11608" s="26" t="s">
        <v>24319</v>
      </c>
      <c r="O11608" s="22" t="str">
        <f>HYPERLINK("https://pbs.twimg.com/profile_images/886364899126853632/BNc71cZ1_normal.jpg","View")</f>
        <v>View</v>
      </c>
      <c r="P11608" s="27"/>
    </row>
    <row r="11609">
      <c r="A11609" s="14">
        <v>43032.83628472222</v>
      </c>
      <c r="B11609" s="20" t="str">
        <f>HYPERLINK("https://twitter.com/JapanNewsApp","@JapanNewsApp")</f>
        <v>@JapanNewsApp</v>
      </c>
      <c r="C11609" s="21" t="s">
        <v>16832</v>
      </c>
      <c r="D11609" s="21" t="s">
        <v>24320</v>
      </c>
      <c r="E11609" s="22" t="str">
        <f>HYPERLINK("https://twitter.com/JapanNewsApp/status/923022363788304384","923022363788304384")</f>
        <v>923022363788304384</v>
      </c>
      <c r="F11609" s="23" t="s">
        <v>24321</v>
      </c>
      <c r="G11609" s="24">
        <v>71.0</v>
      </c>
      <c r="H11609" s="24">
        <v>9.0</v>
      </c>
      <c r="I11609" s="24">
        <v>0.0</v>
      </c>
      <c r="J11609" s="24">
        <v>0.0</v>
      </c>
      <c r="K11609" s="23" t="s">
        <v>34</v>
      </c>
      <c r="L11609" s="25">
        <v>42744.716631944444</v>
      </c>
      <c r="M11609" s="28"/>
      <c r="N11609" s="26" t="s">
        <v>24322</v>
      </c>
      <c r="O11609" s="22" t="str">
        <f>HYPERLINK("https://pbs.twimg.com/profile_images/818626936230416384/AzibSl1X_normal.jpg","View")</f>
        <v>View</v>
      </c>
      <c r="P11609" s="27"/>
    </row>
    <row r="11610">
      <c r="A11610" s="14">
        <v>43032.83633101852</v>
      </c>
      <c r="B11610" s="20" t="str">
        <f>HYPERLINK("https://twitter.com/BlackCentaurFX","@BlackCentaurFX")</f>
        <v>@BlackCentaurFX</v>
      </c>
      <c r="C11610" s="21" t="s">
        <v>24323</v>
      </c>
      <c r="D11610" s="21" t="s">
        <v>24324</v>
      </c>
      <c r="E11610" s="22" t="str">
        <f>HYPERLINK("https://twitter.com/BlackCentaurFX/status/923022381857288193","923022381857288193")</f>
        <v>923022381857288193</v>
      </c>
      <c r="F11610" s="23" t="s">
        <v>187</v>
      </c>
      <c r="G11610" s="24">
        <v>1491.0</v>
      </c>
      <c r="H11610" s="24">
        <v>0.0</v>
      </c>
      <c r="I11610" s="24">
        <v>0.0</v>
      </c>
      <c r="J11610" s="24">
        <v>0.0</v>
      </c>
      <c r="K11610" s="23" t="s">
        <v>34</v>
      </c>
      <c r="L11610" s="25">
        <v>40888.13413194445</v>
      </c>
      <c r="M11610" s="28"/>
      <c r="N11610" s="26" t="s">
        <v>24325</v>
      </c>
      <c r="O11610" s="22" t="str">
        <f>HYPERLINK("https://pbs.twimg.com/profile_images/671222468170809344/Hzs7aUhi_normal.jpg","View")</f>
        <v>View</v>
      </c>
      <c r="P11610" s="27"/>
    </row>
    <row r="11611">
      <c r="A11611" s="14">
        <v>43032.836388888885</v>
      </c>
      <c r="B11611" s="20" t="str">
        <f>HYPERLINK("https://twitter.com/kamoljojoo111","@kamoljojoo111")</f>
        <v>@kamoljojoo111</v>
      </c>
      <c r="C11611" s="21" t="s">
        <v>1360</v>
      </c>
      <c r="D11611" s="21" t="s">
        <v>24326</v>
      </c>
      <c r="E11611" s="22" t="str">
        <f>HYPERLINK("https://twitter.com/kamoljojoo111/status/923022401465708544","923022401465708544")</f>
        <v>923022401465708544</v>
      </c>
      <c r="F11611" s="23" t="s">
        <v>187</v>
      </c>
      <c r="G11611" s="24">
        <v>1882.0</v>
      </c>
      <c r="H11611" s="24">
        <v>2159.0</v>
      </c>
      <c r="I11611" s="24">
        <v>0.0</v>
      </c>
      <c r="J11611" s="24">
        <v>0.0</v>
      </c>
      <c r="K11611" s="23" t="s">
        <v>34</v>
      </c>
      <c r="L11611" s="25">
        <v>42431.02429398148</v>
      </c>
      <c r="M11611" s="26" t="s">
        <v>1362</v>
      </c>
      <c r="N11611" s="26" t="s">
        <v>1363</v>
      </c>
      <c r="O11611" s="22" t="str">
        <f>HYPERLINK("https://pbs.twimg.com/profile_images/853604509477519360/aC9IzpuY_normal.jpg","View")</f>
        <v>View</v>
      </c>
      <c r="P11611" s="27"/>
    </row>
    <row r="11612">
      <c r="A11612" s="14">
        <v>43032.83642361111</v>
      </c>
      <c r="B11612" s="20" t="str">
        <f>HYPERLINK("https://twitter.com/CityofInvestmnt","@CityofInvestmnt")</f>
        <v>@CityofInvestmnt</v>
      </c>
      <c r="C11612" s="21" t="s">
        <v>20220</v>
      </c>
      <c r="D11612" s="21" t="s">
        <v>24327</v>
      </c>
      <c r="E11612" s="22" t="str">
        <f>HYPERLINK("https://twitter.com/CityofInvestmnt/status/923022414707089408","923022414707089408")</f>
        <v>923022414707089408</v>
      </c>
      <c r="F11612" s="23" t="s">
        <v>187</v>
      </c>
      <c r="G11612" s="24">
        <v>156.0</v>
      </c>
      <c r="H11612" s="24">
        <v>612.0</v>
      </c>
      <c r="I11612" s="24">
        <v>0.0</v>
      </c>
      <c r="J11612" s="24">
        <v>1.0</v>
      </c>
      <c r="K11612" s="23" t="s">
        <v>34</v>
      </c>
      <c r="L11612" s="25">
        <v>42821.447858796295</v>
      </c>
      <c r="M11612" s="26" t="s">
        <v>11949</v>
      </c>
      <c r="N11612" s="26" t="s">
        <v>20222</v>
      </c>
      <c r="O11612" s="22" t="str">
        <f>HYPERLINK("https://pbs.twimg.com/profile_images/887079869196185604/oGmO0xwi_normal.jpg","View")</f>
        <v>View</v>
      </c>
      <c r="P11612" s="27"/>
    </row>
    <row r="11613">
      <c r="A11613" s="14">
        <v>43032.83671296296</v>
      </c>
      <c r="B11613" s="20" t="str">
        <f>HYPERLINK("https://twitter.com/CPTMONEYGANG__H","@CPTMONEYGANG__H")</f>
        <v>@CPTMONEYGANG__H</v>
      </c>
      <c r="C11613" s="21" t="s">
        <v>24328</v>
      </c>
      <c r="D11613" s="21" t="s">
        <v>24329</v>
      </c>
      <c r="E11613" s="22" t="str">
        <f>HYPERLINK("https://twitter.com/CPTMONEYGANG__H/status/923022520504156160","923022520504156160")</f>
        <v>923022520504156160</v>
      </c>
      <c r="F11613" s="23" t="s">
        <v>33</v>
      </c>
      <c r="G11613" s="24">
        <v>76.0</v>
      </c>
      <c r="H11613" s="24">
        <v>2259.0</v>
      </c>
      <c r="I11613" s="24">
        <v>1.0</v>
      </c>
      <c r="J11613" s="24">
        <v>0.0</v>
      </c>
      <c r="K11613" s="23" t="s">
        <v>34</v>
      </c>
      <c r="L11613" s="25">
        <v>40643.265439814815</v>
      </c>
      <c r="M11613" s="26" t="s">
        <v>24330</v>
      </c>
      <c r="N11613" s="26" t="s">
        <v>24331</v>
      </c>
      <c r="O11613" s="22" t="str">
        <f>HYPERLINK("https://pbs.twimg.com/profile_images/764944934877204480/D3GbjyO8_normal.jpg","View")</f>
        <v>View</v>
      </c>
      <c r="P11613" s="27"/>
    </row>
    <row r="11614">
      <c r="A11614" s="14">
        <v>43032.8368287037</v>
      </c>
      <c r="B11614" s="20" t="str">
        <f>HYPERLINK("https://twitter.com/FxBookLTTG","@FxBookLTTG")</f>
        <v>@FxBookLTTG</v>
      </c>
      <c r="C11614" s="21" t="s">
        <v>24332</v>
      </c>
      <c r="D11614" s="21" t="s">
        <v>24333</v>
      </c>
      <c r="E11614" s="22" t="str">
        <f>HYPERLINK("https://twitter.com/FxBookLTTG/status/923022562640134144","923022562640134144")</f>
        <v>923022562640134144</v>
      </c>
      <c r="F11614" s="23" t="s">
        <v>24334</v>
      </c>
      <c r="G11614" s="24">
        <v>439.0</v>
      </c>
      <c r="H11614" s="24">
        <v>44.0</v>
      </c>
      <c r="I11614" s="24">
        <v>0.0</v>
      </c>
      <c r="J11614" s="24">
        <v>0.0</v>
      </c>
      <c r="K11614" s="23" t="s">
        <v>34</v>
      </c>
      <c r="L11614" s="25">
        <v>41244.642534722225</v>
      </c>
      <c r="M11614" s="26" t="s">
        <v>24335</v>
      </c>
      <c r="N11614" s="26" t="s">
        <v>24336</v>
      </c>
      <c r="O11614" s="22" t="str">
        <f>HYPERLINK("https://pbs.twimg.com/profile_images/537829734688624640/Zd8-reO6_normal.png","View")</f>
        <v>View</v>
      </c>
      <c r="P11614" s="27"/>
    </row>
    <row r="11615">
      <c r="A11615" s="14">
        <v>43032.83697916666</v>
      </c>
      <c r="B11615" s="20" t="str">
        <f>HYPERLINK("https://twitter.com/mizuse2017","@mizuse2017")</f>
        <v>@mizuse2017</v>
      </c>
      <c r="C11615" s="21" t="s">
        <v>24337</v>
      </c>
      <c r="D11615" s="21" t="s">
        <v>24338</v>
      </c>
      <c r="E11615" s="22" t="str">
        <f>HYPERLINK("https://twitter.com/mizuse2017/status/923022616159539200","923022616159539200")</f>
        <v>923022616159539200</v>
      </c>
      <c r="F11615" s="23" t="s">
        <v>187</v>
      </c>
      <c r="G11615" s="24">
        <v>329.0</v>
      </c>
      <c r="H11615" s="24">
        <v>1670.0</v>
      </c>
      <c r="I11615" s="24">
        <v>0.0</v>
      </c>
      <c r="J11615" s="24">
        <v>0.0</v>
      </c>
      <c r="K11615" s="23" t="s">
        <v>34</v>
      </c>
      <c r="L11615" s="25">
        <v>42840.79420138889</v>
      </c>
      <c r="M11615" s="28"/>
      <c r="N11615" s="26" t="s">
        <v>24339</v>
      </c>
      <c r="O11615" s="22" t="str">
        <f>HYPERLINK("https://pbs.twimg.com/profile_images/858985760820572160/1HfipqhJ_normal.jpg","View")</f>
        <v>View</v>
      </c>
      <c r="P11615" s="27"/>
    </row>
    <row r="11616">
      <c r="A11616" s="14">
        <v>43032.837002314816</v>
      </c>
      <c r="B11616" s="20" t="str">
        <f>HYPERLINK("https://twitter.com/AraoLeroy","@AraoLeroy")</f>
        <v>@AraoLeroy</v>
      </c>
      <c r="C11616" s="21" t="s">
        <v>12694</v>
      </c>
      <c r="D11616" s="21" t="s">
        <v>24007</v>
      </c>
      <c r="E11616" s="22" t="str">
        <f>HYPERLINK("https://twitter.com/AraoLeroy/status/923022627479924736","923022627479924736")</f>
        <v>923022627479924736</v>
      </c>
      <c r="F11616" s="23" t="s">
        <v>33</v>
      </c>
      <c r="G11616" s="24">
        <v>320.0</v>
      </c>
      <c r="H11616" s="24">
        <v>794.0</v>
      </c>
      <c r="I11616" s="24">
        <v>122.0</v>
      </c>
      <c r="J11616" s="24">
        <v>0.0</v>
      </c>
      <c r="K11616" s="23" t="s">
        <v>34</v>
      </c>
      <c r="L11616" s="25">
        <v>41613.58398148148</v>
      </c>
      <c r="M11616" s="28"/>
      <c r="N11616" s="28"/>
      <c r="O11616" s="22" t="str">
        <f>HYPERLINK("https://pbs.twimg.com/profile_images/662300524654538753/_bgdj586_normal.jpg","View")</f>
        <v>View</v>
      </c>
      <c r="P11616" s="27"/>
    </row>
    <row r="11617">
      <c r="A11617" s="14">
        <v>43032.837013888886</v>
      </c>
      <c r="B11617" s="20" t="str">
        <f>HYPERLINK("https://twitter.com/TradingintheZen","@TradingintheZen")</f>
        <v>@TradingintheZen</v>
      </c>
      <c r="C11617" s="21" t="s">
        <v>20223</v>
      </c>
      <c r="D11617" s="21" t="s">
        <v>24340</v>
      </c>
      <c r="E11617" s="22" t="str">
        <f>HYPERLINK("https://twitter.com/TradingintheZen/status/923022627719012352","923022627719012352")</f>
        <v>923022627719012352</v>
      </c>
      <c r="F11617" s="23" t="s">
        <v>187</v>
      </c>
      <c r="G11617" s="24">
        <v>715.0</v>
      </c>
      <c r="H11617" s="24">
        <v>532.0</v>
      </c>
      <c r="I11617" s="24">
        <v>0.0</v>
      </c>
      <c r="J11617" s="24">
        <v>0.0</v>
      </c>
      <c r="K11617" s="23" t="s">
        <v>34</v>
      </c>
      <c r="L11617" s="25">
        <v>42695.34732638889</v>
      </c>
      <c r="M11617" s="26" t="s">
        <v>2448</v>
      </c>
      <c r="N11617" s="26" t="s">
        <v>20225</v>
      </c>
      <c r="O11617" s="22" t="str">
        <f>HYPERLINK("https://pbs.twimg.com/profile_images/801756434044252160/0C_eYQBy_normal.jpg","View")</f>
        <v>View</v>
      </c>
      <c r="P11617" s="27"/>
    </row>
    <row r="11618">
      <c r="A11618" s="14">
        <v>43032.83707175926</v>
      </c>
      <c r="B11618" s="20" t="str">
        <f>HYPERLINK("https://twitter.com/phwoarx","@phwoarx")</f>
        <v>@phwoarx</v>
      </c>
      <c r="C11618" s="21" t="s">
        <v>24341</v>
      </c>
      <c r="D11618" s="21" t="s">
        <v>24342</v>
      </c>
      <c r="E11618" s="22" t="str">
        <f>HYPERLINK("https://twitter.com/phwoarx/status/923022648661168133","923022648661168133")</f>
        <v>923022648661168133</v>
      </c>
      <c r="F11618" s="23" t="s">
        <v>187</v>
      </c>
      <c r="G11618" s="24">
        <v>320.0</v>
      </c>
      <c r="H11618" s="24">
        <v>0.0</v>
      </c>
      <c r="I11618" s="24">
        <v>0.0</v>
      </c>
      <c r="J11618" s="24">
        <v>0.0</v>
      </c>
      <c r="K11618" s="23" t="s">
        <v>34</v>
      </c>
      <c r="L11618" s="25">
        <v>42041.556874999995</v>
      </c>
      <c r="M11618" s="28"/>
      <c r="N11618" s="28"/>
      <c r="O11618" s="22" t="str">
        <f>HYPERLINK("https://pbs.twimg.com/profile_images/563811184135008259/gjxWab_V_normal.png","View")</f>
        <v>View</v>
      </c>
      <c r="P11618" s="27"/>
    </row>
    <row r="11619">
      <c r="A11619" s="14">
        <v>43032.837129629625</v>
      </c>
      <c r="B11619" s="20" t="str">
        <f>HYPERLINK("https://twitter.com/sportalaw","@sportalaw")</f>
        <v>@sportalaw</v>
      </c>
      <c r="C11619" s="21" t="s">
        <v>24343</v>
      </c>
      <c r="D11619" s="21" t="s">
        <v>24344</v>
      </c>
      <c r="E11619" s="22" t="str">
        <f>HYPERLINK("https://twitter.com/sportalaw/status/923022673512460293","923022673512460293")</f>
        <v>923022673512460293</v>
      </c>
      <c r="F11619" s="23" t="s">
        <v>187</v>
      </c>
      <c r="G11619" s="24">
        <v>965.0</v>
      </c>
      <c r="H11619" s="24">
        <v>4916.0</v>
      </c>
      <c r="I11619" s="24">
        <v>0.0</v>
      </c>
      <c r="J11619" s="24">
        <v>0.0</v>
      </c>
      <c r="K11619" s="23" t="s">
        <v>34</v>
      </c>
      <c r="L11619" s="25">
        <v>42334.09674768518</v>
      </c>
      <c r="M11619" s="26" t="s">
        <v>1250</v>
      </c>
      <c r="N11619" s="32" t="s">
        <v>24345</v>
      </c>
      <c r="O11619" s="22" t="str">
        <f>HYPERLINK("https://pbs.twimg.com/profile_images/869698090931847168/smCvmx-z_normal.jpg","View")</f>
        <v>View</v>
      </c>
      <c r="P11619" s="27"/>
    </row>
    <row r="11620">
      <c r="A11620" s="14">
        <v>43032.837592592594</v>
      </c>
      <c r="B11620" s="20" t="str">
        <f>HYPERLINK("https://twitter.com/FXinEffect1","@FXinEffect1")</f>
        <v>@FXinEffect1</v>
      </c>
      <c r="C11620" s="21" t="s">
        <v>5497</v>
      </c>
      <c r="D11620" s="21" t="s">
        <v>24346</v>
      </c>
      <c r="E11620" s="22" t="str">
        <f>HYPERLINK("https://twitter.com/FXinEffect1/status/923022839153938432","923022839153938432")</f>
        <v>923022839153938432</v>
      </c>
      <c r="F11620" s="23" t="s">
        <v>187</v>
      </c>
      <c r="G11620" s="24">
        <v>1243.0</v>
      </c>
      <c r="H11620" s="24">
        <v>1747.0</v>
      </c>
      <c r="I11620" s="24">
        <v>0.0</v>
      </c>
      <c r="J11620" s="24">
        <v>0.0</v>
      </c>
      <c r="K11620" s="23" t="s">
        <v>34</v>
      </c>
      <c r="L11620" s="25">
        <v>41693.44121527778</v>
      </c>
      <c r="M11620" s="26" t="s">
        <v>1246</v>
      </c>
      <c r="N11620" s="26" t="s">
        <v>5499</v>
      </c>
      <c r="O11620" s="22" t="str">
        <f>HYPERLINK("https://pbs.twimg.com/profile_images/796842238114402304/OdWQ06xI_normal.jpg","View")</f>
        <v>View</v>
      </c>
      <c r="P11620" s="27"/>
    </row>
    <row r="11621">
      <c r="A11621" s="14">
        <v>43032.83760416666</v>
      </c>
      <c r="B11621" s="20" t="str">
        <f>HYPERLINK("https://twitter.com/ChannelNewsAsia","@ChannelNewsAsia")</f>
        <v>@ChannelNewsAsia</v>
      </c>
      <c r="C11621" s="21" t="s">
        <v>24347</v>
      </c>
      <c r="D11621" s="21" t="s">
        <v>24348</v>
      </c>
      <c r="E11621" s="22" t="str">
        <f>HYPERLINK("https://twitter.com/ChannelNewsAsia/status/923022843650088960","923022843650088960")</f>
        <v>923022843650088960</v>
      </c>
      <c r="F11621" s="30" t="s">
        <v>411</v>
      </c>
      <c r="G11621" s="24">
        <v>843350.0</v>
      </c>
      <c r="H11621" s="24">
        <v>181.0</v>
      </c>
      <c r="I11621" s="24">
        <v>1.0</v>
      </c>
      <c r="J11621" s="24">
        <v>7.0</v>
      </c>
      <c r="K11621" s="23" t="s">
        <v>34</v>
      </c>
      <c r="L11621" s="25">
        <v>39940.09355324074</v>
      </c>
      <c r="M11621" s="26" t="s">
        <v>1224</v>
      </c>
      <c r="N11621" s="26" t="s">
        <v>24349</v>
      </c>
      <c r="O11621" s="22" t="str">
        <f>HYPERLINK("https://pbs.twimg.com/profile_images/876772485215141889/k58i8c8N_normal.jpg","View")</f>
        <v>View</v>
      </c>
      <c r="P11621" s="27"/>
    </row>
    <row r="11622">
      <c r="A11622" s="14">
        <v>43032.83766203704</v>
      </c>
      <c r="B11622" s="20" t="str">
        <f>HYPERLINK("https://twitter.com/NewzInJapan","@NewzInJapan")</f>
        <v>@NewzInJapan</v>
      </c>
      <c r="C11622" s="21" t="s">
        <v>24350</v>
      </c>
      <c r="D11622" s="21" t="s">
        <v>24351</v>
      </c>
      <c r="E11622" s="22" t="str">
        <f>HYPERLINK("https://twitter.com/NewzInJapan/status/923022865003245568","923022865003245568")</f>
        <v>923022865003245568</v>
      </c>
      <c r="F11622" s="30" t="s">
        <v>411</v>
      </c>
      <c r="G11622" s="24">
        <v>708.0</v>
      </c>
      <c r="H11622" s="24">
        <v>12.0</v>
      </c>
      <c r="I11622" s="24">
        <v>1.0</v>
      </c>
      <c r="J11622" s="24">
        <v>0.0</v>
      </c>
      <c r="K11622" s="23" t="s">
        <v>34</v>
      </c>
      <c r="L11622" s="25">
        <v>40617.52371527778</v>
      </c>
      <c r="M11622" s="28"/>
      <c r="N11622" s="26" t="s">
        <v>24352</v>
      </c>
      <c r="O11622" s="22" t="str">
        <f>HYPERLINK("https://pbs.twimg.com/profile_images/1274469745/news_logo_normal.png","View")</f>
        <v>View</v>
      </c>
      <c r="P11622" s="27"/>
    </row>
    <row r="11623">
      <c r="A11623" s="14">
        <v>43032.83769675926</v>
      </c>
      <c r="B11623" s="20" t="str">
        <f>HYPERLINK("https://twitter.com/seniormacuser","@seniormacuser")</f>
        <v>@seniormacuser</v>
      </c>
      <c r="C11623" s="21" t="s">
        <v>6066</v>
      </c>
      <c r="D11623" s="21" t="s">
        <v>24353</v>
      </c>
      <c r="E11623" s="22" t="str">
        <f>HYPERLINK("https://twitter.com/seniormacuser/status/923022877741461504","923022877741461504")</f>
        <v>923022877741461504</v>
      </c>
      <c r="F11623" s="23" t="s">
        <v>187</v>
      </c>
      <c r="G11623" s="24">
        <v>427.0</v>
      </c>
      <c r="H11623" s="24">
        <v>77.0</v>
      </c>
      <c r="I11623" s="24">
        <v>0.0</v>
      </c>
      <c r="J11623" s="24">
        <v>0.0</v>
      </c>
      <c r="K11623" s="23" t="s">
        <v>34</v>
      </c>
      <c r="L11623" s="25">
        <v>40668.107777777775</v>
      </c>
      <c r="M11623" s="28"/>
      <c r="N11623" s="26" t="s">
        <v>6068</v>
      </c>
      <c r="O11623" s="22" t="str">
        <f>HYPERLINK("https://pbs.twimg.com/profile_images/464104865279385600/9iXELFL1_normal.png","View")</f>
        <v>View</v>
      </c>
      <c r="P11623" s="27"/>
    </row>
    <row r="11624">
      <c r="A11624" s="14">
        <v>43032.837731481486</v>
      </c>
      <c r="B11624" s="20" t="str">
        <f>HYPERLINK("https://twitter.com/newsly","@newsly")</f>
        <v>@newsly</v>
      </c>
      <c r="C11624" s="21" t="s">
        <v>3559</v>
      </c>
      <c r="D11624" s="21" t="s">
        <v>24354</v>
      </c>
      <c r="E11624" s="22" t="str">
        <f>HYPERLINK("https://twitter.com/newsly/status/923022890756464645","923022890756464645")</f>
        <v>923022890756464645</v>
      </c>
      <c r="F11624" s="23" t="s">
        <v>187</v>
      </c>
      <c r="G11624" s="24">
        <v>307.0</v>
      </c>
      <c r="H11624" s="24">
        <v>2.0</v>
      </c>
      <c r="I11624" s="24">
        <v>0.0</v>
      </c>
      <c r="J11624" s="24">
        <v>0.0</v>
      </c>
      <c r="K11624" s="23" t="s">
        <v>34</v>
      </c>
      <c r="L11624" s="25">
        <v>42393.464224537034</v>
      </c>
      <c r="M11624" s="26" t="s">
        <v>708</v>
      </c>
      <c r="N11624" s="26" t="s">
        <v>3561</v>
      </c>
      <c r="O11624" s="22" t="str">
        <f>HYPERLINK("https://pbs.twimg.com/profile_images/776195317549105152/HsppNplW_normal.jpg","View")</f>
        <v>View</v>
      </c>
      <c r="P11624" s="27"/>
    </row>
    <row r="11625">
      <c r="A11625" s="14">
        <v>43032.837743055556</v>
      </c>
      <c r="B11625" s="20" t="str">
        <f>HYPERLINK("https://twitter.com/DexterMosul","@DexterMosul")</f>
        <v>@DexterMosul</v>
      </c>
      <c r="C11625" s="21" t="s">
        <v>24355</v>
      </c>
      <c r="D11625" s="21" t="s">
        <v>24356</v>
      </c>
      <c r="E11625" s="22" t="str">
        <f>HYPERLINK("https://twitter.com/DexterMosul/status/923022892383817733","923022892383817733")</f>
        <v>923022892383817733</v>
      </c>
      <c r="F11625" s="23" t="s">
        <v>187</v>
      </c>
      <c r="G11625" s="24">
        <v>1084.0</v>
      </c>
      <c r="H11625" s="24">
        <v>1994.0</v>
      </c>
      <c r="I11625" s="24">
        <v>0.0</v>
      </c>
      <c r="J11625" s="24">
        <v>0.0</v>
      </c>
      <c r="K11625" s="23" t="s">
        <v>34</v>
      </c>
      <c r="L11625" s="25">
        <v>40245.46775462963</v>
      </c>
      <c r="M11625" s="28"/>
      <c r="N11625" s="26" t="s">
        <v>24357</v>
      </c>
      <c r="O11625" s="22" t="str">
        <f>HYPERLINK("https://pbs.twimg.com/profile_images/842002289015574528/bvwZHUuk_normal.jpg","View")</f>
        <v>View</v>
      </c>
      <c r="P11625" s="27"/>
    </row>
    <row r="11626">
      <c r="A11626" s="14">
        <v>43032.8377662037</v>
      </c>
      <c r="B11626" s="20" t="str">
        <f>HYPERLINK("https://twitter.com/PNNHQ","@PNNHQ")</f>
        <v>@PNNHQ</v>
      </c>
      <c r="C11626" s="21" t="s">
        <v>24358</v>
      </c>
      <c r="D11626" s="21" t="s">
        <v>24359</v>
      </c>
      <c r="E11626" s="22" t="str">
        <f>HYPERLINK("https://twitter.com/PNNHQ/status/923022904236834816","923022904236834816")</f>
        <v>923022904236834816</v>
      </c>
      <c r="F11626" s="23" t="s">
        <v>187</v>
      </c>
      <c r="G11626" s="24">
        <v>183.0</v>
      </c>
      <c r="H11626" s="24">
        <v>622.0</v>
      </c>
      <c r="I11626" s="24">
        <v>0.0</v>
      </c>
      <c r="J11626" s="24">
        <v>0.0</v>
      </c>
      <c r="K11626" s="23" t="s">
        <v>34</v>
      </c>
      <c r="L11626" s="25">
        <v>42787.489398148144</v>
      </c>
      <c r="M11626" s="26" t="s">
        <v>3507</v>
      </c>
      <c r="N11626" s="26" t="s">
        <v>24360</v>
      </c>
      <c r="O11626" s="22" t="str">
        <f>HYPERLINK("https://pbs.twimg.com/profile_images/895307743665545216/S7HwVm0z_normal.jpg","View")</f>
        <v>View</v>
      </c>
      <c r="P11626" s="27"/>
    </row>
    <row r="11627">
      <c r="A11627" s="14">
        <v>43032.838009259256</v>
      </c>
      <c r="B11627" s="20" t="str">
        <f>HYPERLINK("https://twitter.com/oke_tara","@oke_tara")</f>
        <v>@oke_tara</v>
      </c>
      <c r="C11627" s="21" t="s">
        <v>24361</v>
      </c>
      <c r="D11627" s="21" t="s">
        <v>23525</v>
      </c>
      <c r="E11627" s="22" t="str">
        <f>HYPERLINK("https://twitter.com/oke_tara/status/923022992375824384","923022992375824384")</f>
        <v>923022992375824384</v>
      </c>
      <c r="F11627" s="23" t="s">
        <v>43</v>
      </c>
      <c r="G11627" s="24">
        <v>44.0</v>
      </c>
      <c r="H11627" s="24">
        <v>182.0</v>
      </c>
      <c r="I11627" s="24">
        <v>41.0</v>
      </c>
      <c r="J11627" s="24">
        <v>0.0</v>
      </c>
      <c r="K11627" s="23" t="s">
        <v>34</v>
      </c>
      <c r="L11627" s="25">
        <v>42258.561203703706</v>
      </c>
      <c r="M11627" s="28"/>
      <c r="N11627" s="28"/>
      <c r="O11627" s="22" t="str">
        <f>HYPERLINK("https://abs.twimg.com/sticky/default_profile_images/default_profile_normal.png","View")</f>
        <v>View</v>
      </c>
      <c r="P11627" s="27"/>
    </row>
    <row r="11628">
      <c r="A11628" s="14">
        <v>43032.83818287037</v>
      </c>
      <c r="B11628" s="20" t="str">
        <f>HYPERLINK("https://twitter.com/Naominakata","@Naominakata")</f>
        <v>@Naominakata</v>
      </c>
      <c r="C11628" s="21" t="s">
        <v>24362</v>
      </c>
      <c r="D11628" s="21" t="s">
        <v>22629</v>
      </c>
      <c r="E11628" s="22" t="str">
        <f>HYPERLINK("https://twitter.com/Naominakata/status/923023053780533249","923023053780533249")</f>
        <v>923023053780533249</v>
      </c>
      <c r="F11628" s="23" t="s">
        <v>33</v>
      </c>
      <c r="G11628" s="24">
        <v>181.0</v>
      </c>
      <c r="H11628" s="24">
        <v>118.0</v>
      </c>
      <c r="I11628" s="24">
        <v>14.0</v>
      </c>
      <c r="J11628" s="24">
        <v>0.0</v>
      </c>
      <c r="K11628" s="23" t="s">
        <v>34</v>
      </c>
      <c r="L11628" s="25">
        <v>40416.72828703704</v>
      </c>
      <c r="M11628" s="26" t="s">
        <v>24363</v>
      </c>
      <c r="N11628" s="26" t="s">
        <v>24364</v>
      </c>
      <c r="O11628" s="22" t="str">
        <f>HYPERLINK("https://pbs.twimg.com/profile_images/918063431609040897/9Dy2dl_9_normal.jpg","View")</f>
        <v>View</v>
      </c>
      <c r="P11628" s="27"/>
    </row>
    <row r="11629">
      <c r="A11629" s="14">
        <v>43032.8383912037</v>
      </c>
      <c r="B11629" s="20" t="str">
        <f>HYPERLINK("https://twitter.com/RoseHameilton","@RoseHameilton")</f>
        <v>@RoseHameilton</v>
      </c>
      <c r="C11629" s="21" t="s">
        <v>24365</v>
      </c>
      <c r="D11629" s="21" t="s">
        <v>24366</v>
      </c>
      <c r="E11629" s="22" t="str">
        <f>HYPERLINK("https://twitter.com/RoseHameilton/status/923023126824398848","923023126824398848")</f>
        <v>923023126824398848</v>
      </c>
      <c r="F11629" s="23" t="s">
        <v>187</v>
      </c>
      <c r="G11629" s="24">
        <v>0.0</v>
      </c>
      <c r="H11629" s="24">
        <v>8.0</v>
      </c>
      <c r="I11629" s="24">
        <v>0.0</v>
      </c>
      <c r="J11629" s="24">
        <v>0.0</v>
      </c>
      <c r="K11629" s="23" t="s">
        <v>34</v>
      </c>
      <c r="L11629" s="25">
        <v>43011.1375925926</v>
      </c>
      <c r="M11629" s="26" t="s">
        <v>68</v>
      </c>
      <c r="N11629" s="26" t="s">
        <v>24367</v>
      </c>
      <c r="O11629" s="22" t="str">
        <f>HYPERLINK("https://pbs.twimg.com/profile_images/917116419862519813/6IWL6P3t_normal.jpg","View")</f>
        <v>View</v>
      </c>
      <c r="P11629" s="27"/>
    </row>
    <row r="11630">
      <c r="A11630" s="14">
        <v>43032.83841435185</v>
      </c>
      <c r="B11630" s="20" t="str">
        <f>HYPERLINK("https://twitter.com/3X04N0N","@3X04N0N")</f>
        <v>@3X04N0N</v>
      </c>
      <c r="C11630" s="21" t="s">
        <v>3927</v>
      </c>
      <c r="D11630" s="21" t="s">
        <v>24368</v>
      </c>
      <c r="E11630" s="22" t="str">
        <f>HYPERLINK("https://twitter.com/3X04N0N/status/923023135389167617","923023135389167617")</f>
        <v>923023135389167617</v>
      </c>
      <c r="F11630" s="23" t="s">
        <v>187</v>
      </c>
      <c r="G11630" s="24">
        <v>915.0</v>
      </c>
      <c r="H11630" s="24">
        <v>295.0</v>
      </c>
      <c r="I11630" s="24">
        <v>0.0</v>
      </c>
      <c r="J11630" s="24">
        <v>0.0</v>
      </c>
      <c r="K11630" s="23" t="s">
        <v>34</v>
      </c>
      <c r="L11630" s="25">
        <v>42066.56685185185</v>
      </c>
      <c r="M11630" s="28"/>
      <c r="N11630" s="26" t="s">
        <v>3929</v>
      </c>
      <c r="O11630" s="22" t="str">
        <f>HYPERLINK("https://pbs.twimg.com/profile_images/793550507205914625/qBVxzsrU_normal.jpg","View")</f>
        <v>View</v>
      </c>
      <c r="P11630" s="27"/>
    </row>
    <row r="11631">
      <c r="A11631" s="14">
        <v>43032.83841435185</v>
      </c>
      <c r="B11631" s="20" t="str">
        <f>HYPERLINK("https://twitter.com/jftankoua","@jftankoua")</f>
        <v>@jftankoua</v>
      </c>
      <c r="C11631" s="21" t="s">
        <v>24369</v>
      </c>
      <c r="D11631" s="21" t="s">
        <v>24370</v>
      </c>
      <c r="E11631" s="22" t="str">
        <f>HYPERLINK("https://twitter.com/jftankoua/status/923023136739782656","923023136739782656")</f>
        <v>923023136739782656</v>
      </c>
      <c r="F11631" s="23" t="s">
        <v>187</v>
      </c>
      <c r="G11631" s="24">
        <v>574.0</v>
      </c>
      <c r="H11631" s="24">
        <v>489.0</v>
      </c>
      <c r="I11631" s="24">
        <v>0.0</v>
      </c>
      <c r="J11631" s="24">
        <v>0.0</v>
      </c>
      <c r="K11631" s="23" t="s">
        <v>34</v>
      </c>
      <c r="L11631" s="25">
        <v>41069.43232638889</v>
      </c>
      <c r="M11631" s="28"/>
      <c r="N11631" s="26" t="s">
        <v>24371</v>
      </c>
      <c r="O11631" s="22" t="str">
        <f>HYPERLINK("https://pbs.twimg.com/profile_images/816090839327838208/cXhKiISd_normal.jpg","View")</f>
        <v>View</v>
      </c>
      <c r="P11631" s="27"/>
    </row>
    <row r="11632">
      <c r="A11632" s="14">
        <v>43032.8384375</v>
      </c>
      <c r="B11632" s="20" t="str">
        <f>HYPERLINK("https://twitter.com/parishatzi","@parishatzi")</f>
        <v>@parishatzi</v>
      </c>
      <c r="C11632" s="21" t="s">
        <v>7899</v>
      </c>
      <c r="D11632" s="21" t="s">
        <v>24372</v>
      </c>
      <c r="E11632" s="22" t="str">
        <f>HYPERLINK("https://twitter.com/parishatzi/status/923023147447783425","923023147447783425")</f>
        <v>923023147447783425</v>
      </c>
      <c r="F11632" s="23" t="s">
        <v>187</v>
      </c>
      <c r="G11632" s="24">
        <v>1558.0</v>
      </c>
      <c r="H11632" s="24">
        <v>136.0</v>
      </c>
      <c r="I11632" s="24">
        <v>0.0</v>
      </c>
      <c r="J11632" s="24">
        <v>0.0</v>
      </c>
      <c r="K11632" s="23" t="s">
        <v>34</v>
      </c>
      <c r="L11632" s="25">
        <v>40791.05965277778</v>
      </c>
      <c r="M11632" s="26" t="s">
        <v>7901</v>
      </c>
      <c r="N11632" s="26" t="s">
        <v>7902</v>
      </c>
      <c r="O11632" s="22" t="str">
        <f>HYPERLINK("https://pbs.twimg.com/profile_images/557473320635887617/zTZTQoxj_normal.jpeg","View")</f>
        <v>View</v>
      </c>
      <c r="P11632" s="27"/>
    </row>
    <row r="11633">
      <c r="A11633" s="14">
        <v>43032.83846064815</v>
      </c>
      <c r="B11633" s="20" t="str">
        <f>HYPERLINK("https://twitter.com/Erick_Martie23","@Erick_Martie23")</f>
        <v>@Erick_Martie23</v>
      </c>
      <c r="C11633" s="21" t="s">
        <v>24373</v>
      </c>
      <c r="D11633" s="21" t="s">
        <v>24374</v>
      </c>
      <c r="E11633" s="22" t="str">
        <f>HYPERLINK("https://twitter.com/Erick_Martie23/status/923023152623636480","923023152623636480")</f>
        <v>923023152623636480</v>
      </c>
      <c r="F11633" s="23" t="s">
        <v>187</v>
      </c>
      <c r="G11633" s="24">
        <v>1836.0</v>
      </c>
      <c r="H11633" s="24">
        <v>2457.0</v>
      </c>
      <c r="I11633" s="24">
        <v>0.0</v>
      </c>
      <c r="J11633" s="24">
        <v>0.0</v>
      </c>
      <c r="K11633" s="23" t="s">
        <v>34</v>
      </c>
      <c r="L11633" s="25">
        <v>40830.333761574075</v>
      </c>
      <c r="M11633" s="26" t="s">
        <v>24375</v>
      </c>
      <c r="N11633" s="26" t="s">
        <v>24376</v>
      </c>
      <c r="O11633" s="22" t="str">
        <f>HYPERLINK("https://pbs.twimg.com/profile_images/824199741181493248/5HP9q0uv_normal.jpg","View")</f>
        <v>View</v>
      </c>
      <c r="P11633" s="27"/>
    </row>
    <row r="11634">
      <c r="A11634" s="14">
        <v>43032.83849537037</v>
      </c>
      <c r="B11634" s="20" t="str">
        <f>HYPERLINK("https://twitter.com/thaitvnews","@thaitvnews")</f>
        <v>@thaitvnews</v>
      </c>
      <c r="C11634" s="21" t="s">
        <v>1683</v>
      </c>
      <c r="D11634" s="21" t="s">
        <v>24377</v>
      </c>
      <c r="E11634" s="22" t="str">
        <f>HYPERLINK("https://twitter.com/thaitvnews/status/923023167777591296","923023167777591296")</f>
        <v>923023167777591296</v>
      </c>
      <c r="F11634" s="23" t="s">
        <v>187</v>
      </c>
      <c r="G11634" s="24">
        <v>34592.0</v>
      </c>
      <c r="H11634" s="24">
        <v>21909.0</v>
      </c>
      <c r="I11634" s="24">
        <v>0.0</v>
      </c>
      <c r="J11634" s="24">
        <v>0.0</v>
      </c>
      <c r="K11634" s="23" t="s">
        <v>34</v>
      </c>
      <c r="L11634" s="25">
        <v>40210.80048611111</v>
      </c>
      <c r="M11634" s="28"/>
      <c r="N11634" s="26" t="s">
        <v>1685</v>
      </c>
      <c r="O11634" s="22" t="str">
        <f>HYPERLINK("https://pbs.twimg.com/profile_images/867228703096532994/JD5niRf4_normal.jpg","View")</f>
        <v>View</v>
      </c>
      <c r="P11634" s="27"/>
    </row>
    <row r="11635">
      <c r="A11635" s="14">
        <v>43032.839120370365</v>
      </c>
      <c r="B11635" s="20" t="str">
        <f>HYPERLINK("https://twitter.com/iHdzx__","@iHdzx__")</f>
        <v>@iHdzx__</v>
      </c>
      <c r="C11635" s="31" t="s">
        <v>24378</v>
      </c>
      <c r="D11635" s="21" t="s">
        <v>24007</v>
      </c>
      <c r="E11635" s="22" t="str">
        <f>HYPERLINK("https://twitter.com/iHdzx__/status/923023391917043712","923023391917043712")</f>
        <v>923023391917043712</v>
      </c>
      <c r="F11635" s="23" t="s">
        <v>33</v>
      </c>
      <c r="G11635" s="24">
        <v>79.0</v>
      </c>
      <c r="H11635" s="24">
        <v>2220.0</v>
      </c>
      <c r="I11635" s="24">
        <v>122.0</v>
      </c>
      <c r="J11635" s="24">
        <v>0.0</v>
      </c>
      <c r="K11635" s="23" t="s">
        <v>34</v>
      </c>
      <c r="L11635" s="25">
        <v>40643.18466435185</v>
      </c>
      <c r="M11635" s="28"/>
      <c r="N11635" s="28"/>
      <c r="O11635" s="22" t="str">
        <f>HYPERLINK("https://pbs.twimg.com/profile_images/764953688217706496/ZU4WvFYl_normal.jpg","View")</f>
        <v>View</v>
      </c>
      <c r="P11635" s="27"/>
    </row>
    <row r="11636">
      <c r="A11636" s="14">
        <v>43032.839374999996</v>
      </c>
      <c r="B11636" s="20" t="str">
        <f>HYPERLINK("https://twitter.com/georgebkk","@georgebkk")</f>
        <v>@georgebkk</v>
      </c>
      <c r="C11636" s="21" t="s">
        <v>24379</v>
      </c>
      <c r="D11636" s="21" t="s">
        <v>24380</v>
      </c>
      <c r="E11636" s="22" t="str">
        <f>HYPERLINK("https://twitter.com/georgebkk/status/923023483428331520","923023483428331520")</f>
        <v>923023483428331520</v>
      </c>
      <c r="F11636" s="23" t="s">
        <v>10415</v>
      </c>
      <c r="G11636" s="24">
        <v>27048.0</v>
      </c>
      <c r="H11636" s="24">
        <v>362.0</v>
      </c>
      <c r="I11636" s="24">
        <v>1.0</v>
      </c>
      <c r="J11636" s="24">
        <v>0.0</v>
      </c>
      <c r="K11636" s="23" t="s">
        <v>34</v>
      </c>
      <c r="L11636" s="25">
        <v>39850.879641203705</v>
      </c>
      <c r="M11636" s="26" t="s">
        <v>24381</v>
      </c>
      <c r="N11636" s="26" t="s">
        <v>24382</v>
      </c>
      <c r="O11636" s="22" t="str">
        <f>HYPERLINK("https://pbs.twimg.com/profile_images/841919785852108800/QKTIUPs2_normal.jpg","View")</f>
        <v>View</v>
      </c>
      <c r="P11636" s="27"/>
    </row>
    <row r="11637">
      <c r="A11637" s="14">
        <v>43032.83940972222</v>
      </c>
      <c r="B11637" s="20" t="str">
        <f>HYPERLINK("https://twitter.com/SpotForexGuru","@SpotForexGuru")</f>
        <v>@SpotForexGuru</v>
      </c>
      <c r="C11637" s="21" t="s">
        <v>24383</v>
      </c>
      <c r="D11637" s="21" t="s">
        <v>24384</v>
      </c>
      <c r="E11637" s="22" t="str">
        <f>HYPERLINK("https://twitter.com/SpotForexGuru/status/923023497428733952","923023497428733952")</f>
        <v>923023497428733952</v>
      </c>
      <c r="F11637" s="23" t="s">
        <v>24385</v>
      </c>
      <c r="G11637" s="24">
        <v>150.0</v>
      </c>
      <c r="H11637" s="24">
        <v>209.0</v>
      </c>
      <c r="I11637" s="24">
        <v>0.0</v>
      </c>
      <c r="J11637" s="24">
        <v>0.0</v>
      </c>
      <c r="K11637" s="23" t="s">
        <v>34</v>
      </c>
      <c r="L11637" s="25">
        <v>42517.18502314815</v>
      </c>
      <c r="M11637" s="26" t="s">
        <v>24386</v>
      </c>
      <c r="N11637" s="26" t="s">
        <v>24387</v>
      </c>
      <c r="O11637" s="22" t="str">
        <f>HYPERLINK("https://pbs.twimg.com/profile_images/789031553460477952/81rCEjeG_normal.jpg","View")</f>
        <v>View</v>
      </c>
      <c r="P11637" s="27"/>
    </row>
    <row r="11638">
      <c r="A11638" s="14">
        <v>43032.83944444444</v>
      </c>
      <c r="B11638" s="20" t="str">
        <f>HYPERLINK("https://twitter.com/jostaryoutube40","@jostaryoutube40")</f>
        <v>@jostaryoutube40</v>
      </c>
      <c r="C11638" s="21" t="s">
        <v>703</v>
      </c>
      <c r="D11638" s="21" t="s">
        <v>24388</v>
      </c>
      <c r="E11638" s="22" t="str">
        <f>HYPERLINK("https://twitter.com/jostaryoutube40/status/923023510762430464","923023510762430464")</f>
        <v>923023510762430464</v>
      </c>
      <c r="F11638" s="30" t="s">
        <v>659</v>
      </c>
      <c r="G11638" s="24">
        <v>63.0</v>
      </c>
      <c r="H11638" s="24">
        <v>41.0</v>
      </c>
      <c r="I11638" s="24">
        <v>0.0</v>
      </c>
      <c r="J11638" s="24">
        <v>0.0</v>
      </c>
      <c r="K11638" s="23" t="s">
        <v>34</v>
      </c>
      <c r="L11638" s="25">
        <v>42687.98856481482</v>
      </c>
      <c r="M11638" s="26" t="s">
        <v>660</v>
      </c>
      <c r="N11638" s="26" t="s">
        <v>705</v>
      </c>
      <c r="O11638" s="22" t="str">
        <f>HYPERLINK("https://pbs.twimg.com/profile_images/798078516680007680/lIGUVhuP_normal.jpg","View")</f>
        <v>View</v>
      </c>
      <c r="P11638" s="27"/>
    </row>
    <row r="11639">
      <c r="A11639" s="14">
        <v>43032.83978009259</v>
      </c>
      <c r="B11639" s="20" t="str">
        <f>HYPERLINK("https://twitter.com/KTa_brasil","@KTa_brasil")</f>
        <v>@KTa_brasil</v>
      </c>
      <c r="C11639" s="21" t="s">
        <v>24389</v>
      </c>
      <c r="D11639" s="21" t="s">
        <v>24007</v>
      </c>
      <c r="E11639" s="22" t="str">
        <f>HYPERLINK("https://twitter.com/KTa_brasil/status/923023630681882624","923023630681882624")</f>
        <v>923023630681882624</v>
      </c>
      <c r="F11639" s="23" t="s">
        <v>39</v>
      </c>
      <c r="G11639" s="24">
        <v>1692.0</v>
      </c>
      <c r="H11639" s="24">
        <v>485.0</v>
      </c>
      <c r="I11639" s="24">
        <v>122.0</v>
      </c>
      <c r="J11639" s="24">
        <v>0.0</v>
      </c>
      <c r="K11639" s="23" t="s">
        <v>34</v>
      </c>
      <c r="L11639" s="25">
        <v>40199.88141203704</v>
      </c>
      <c r="M11639" s="26" t="s">
        <v>24390</v>
      </c>
      <c r="N11639" s="26" t="s">
        <v>24391</v>
      </c>
      <c r="O11639" s="22" t="str">
        <f>HYPERLINK("https://pbs.twimg.com/profile_images/914509718365679616/pWTcCIQH_normal.jpg","View")</f>
        <v>View</v>
      </c>
      <c r="P11639" s="27"/>
    </row>
    <row r="11640">
      <c r="A11640" s="14">
        <v>43032.83982638889</v>
      </c>
      <c r="B11640" s="20" t="str">
        <f>HYPERLINK("https://twitter.com/TehMafiaJoe","@TehMafiaJoe")</f>
        <v>@TehMafiaJoe</v>
      </c>
      <c r="C11640" s="21" t="s">
        <v>5964</v>
      </c>
      <c r="D11640" s="21" t="s">
        <v>24392</v>
      </c>
      <c r="E11640" s="22" t="str">
        <f>HYPERLINK("https://twitter.com/TehMafiaJoe/status/923023649711542272","923023649711542272")</f>
        <v>923023649711542272</v>
      </c>
      <c r="F11640" s="23" t="s">
        <v>187</v>
      </c>
      <c r="G11640" s="24">
        <v>897.0</v>
      </c>
      <c r="H11640" s="24">
        <v>915.0</v>
      </c>
      <c r="I11640" s="24">
        <v>0.0</v>
      </c>
      <c r="J11640" s="24">
        <v>0.0</v>
      </c>
      <c r="K11640" s="23" t="s">
        <v>34</v>
      </c>
      <c r="L11640" s="25">
        <v>42382.6534837963</v>
      </c>
      <c r="M11640" s="28"/>
      <c r="N11640" s="26" t="s">
        <v>5966</v>
      </c>
      <c r="O11640" s="22" t="str">
        <f>HYPERLINK("https://pbs.twimg.com/profile_images/687419585000247296/v8zT8eEf_normal.jpg","View")</f>
        <v>View</v>
      </c>
      <c r="P11640" s="27"/>
    </row>
    <row r="11641">
      <c r="A11641" s="14">
        <v>43032.83986111111</v>
      </c>
      <c r="B11641" s="20" t="str">
        <f>HYPERLINK("https://twitter.com/FitchRatings","@FitchRatings")</f>
        <v>@FitchRatings</v>
      </c>
      <c r="C11641" s="21" t="s">
        <v>20152</v>
      </c>
      <c r="D11641" s="21" t="s">
        <v>24393</v>
      </c>
      <c r="E11641" s="22" t="str">
        <f>HYPERLINK("https://twitter.com/FitchRatings/status/923023660281053184","923023660281053184")</f>
        <v>923023660281053184</v>
      </c>
      <c r="F11641" s="23" t="s">
        <v>55</v>
      </c>
      <c r="G11641" s="24">
        <v>118199.0</v>
      </c>
      <c r="H11641" s="24">
        <v>3800.0</v>
      </c>
      <c r="I11641" s="24">
        <v>0.0</v>
      </c>
      <c r="J11641" s="24">
        <v>2.0</v>
      </c>
      <c r="K11641" s="23" t="s">
        <v>34</v>
      </c>
      <c r="L11641" s="25">
        <v>40019.109351851854</v>
      </c>
      <c r="M11641" s="26" t="s">
        <v>20154</v>
      </c>
      <c r="N11641" s="26" t="s">
        <v>20155</v>
      </c>
      <c r="O11641" s="22" t="str">
        <f>HYPERLINK("https://pbs.twimg.com/profile_images/539805534547767298/9yhNW72E_normal.jpeg","View")</f>
        <v>View</v>
      </c>
      <c r="P11641" s="27"/>
    </row>
    <row r="11642">
      <c r="A11642" s="14">
        <v>43032.839895833335</v>
      </c>
      <c r="B11642" s="20" t="str">
        <f>HYPERLINK("https://twitter.com/SahelHKJ","@SahelHKJ")</f>
        <v>@SahelHKJ</v>
      </c>
      <c r="C11642" s="21" t="s">
        <v>6092</v>
      </c>
      <c r="D11642" s="21" t="s">
        <v>24394</v>
      </c>
      <c r="E11642" s="22" t="str">
        <f>HYPERLINK("https://twitter.com/SahelHKJ/status/923023674227249152","923023674227249152")</f>
        <v>923023674227249152</v>
      </c>
      <c r="F11642" s="23" t="s">
        <v>187</v>
      </c>
      <c r="G11642" s="24">
        <v>49116.0</v>
      </c>
      <c r="H11642" s="24">
        <v>632.0</v>
      </c>
      <c r="I11642" s="24">
        <v>0.0</v>
      </c>
      <c r="J11642" s="24">
        <v>0.0</v>
      </c>
      <c r="K11642" s="23" t="s">
        <v>34</v>
      </c>
      <c r="L11642" s="25">
        <v>40640.52108796296</v>
      </c>
      <c r="M11642" s="26" t="s">
        <v>6094</v>
      </c>
      <c r="N11642" s="26" t="s">
        <v>6095</v>
      </c>
      <c r="O11642" s="22" t="str">
        <f>HYPERLINK("https://pbs.twimg.com/profile_images/908288635841150978/Et2ENdHX_normal.jpg","View")</f>
        <v>View</v>
      </c>
      <c r="P11642" s="27"/>
    </row>
    <row r="11643">
      <c r="A11643" s="14">
        <v>43032.839942129634</v>
      </c>
      <c r="B11643" s="20" t="str">
        <f>HYPERLINK("https://twitter.com/FitchRatings","@FitchRatings")</f>
        <v>@FitchRatings</v>
      </c>
      <c r="C11643" s="21" t="s">
        <v>20152</v>
      </c>
      <c r="D11643" s="21" t="s">
        <v>24395</v>
      </c>
      <c r="E11643" s="22" t="str">
        <f>HYPERLINK("https://twitter.com/FitchRatings/status/923023691578982400","923023691578982400")</f>
        <v>923023691578982400</v>
      </c>
      <c r="F11643" s="23" t="s">
        <v>55</v>
      </c>
      <c r="G11643" s="24">
        <v>118199.0</v>
      </c>
      <c r="H11643" s="24">
        <v>3800.0</v>
      </c>
      <c r="I11643" s="24">
        <v>1.0</v>
      </c>
      <c r="J11643" s="24">
        <v>0.0</v>
      </c>
      <c r="K11643" s="23" t="s">
        <v>34</v>
      </c>
      <c r="L11643" s="25">
        <v>40019.109351851854</v>
      </c>
      <c r="M11643" s="26" t="s">
        <v>20154</v>
      </c>
      <c r="N11643" s="26" t="s">
        <v>20155</v>
      </c>
      <c r="O11643" s="22" t="str">
        <f>HYPERLINK("https://pbs.twimg.com/profile_images/539805534547767298/9yhNW72E_normal.jpeg","View")</f>
        <v>View</v>
      </c>
      <c r="P11643" s="27"/>
    </row>
    <row r="11644">
      <c r="A11644" s="14">
        <v>43032.83997685185</v>
      </c>
      <c r="B11644" s="20" t="str">
        <f>HYPERLINK("https://twitter.com/STcom","@STcom")</f>
        <v>@STcom</v>
      </c>
      <c r="C11644" s="21" t="s">
        <v>10338</v>
      </c>
      <c r="D11644" s="21" t="s">
        <v>24396</v>
      </c>
      <c r="E11644" s="22" t="str">
        <f>HYPERLINK("https://twitter.com/STcom/status/923023702853279744","923023702853279744")</f>
        <v>923023702853279744</v>
      </c>
      <c r="F11644" s="23" t="s">
        <v>769</v>
      </c>
      <c r="G11644" s="24">
        <v>956291.0</v>
      </c>
      <c r="H11644" s="24">
        <v>126.0</v>
      </c>
      <c r="I11644" s="24">
        <v>1.0</v>
      </c>
      <c r="J11644" s="24">
        <v>9.0</v>
      </c>
      <c r="K11644" s="23" t="s">
        <v>34</v>
      </c>
      <c r="L11644" s="25">
        <v>39937.99193287037</v>
      </c>
      <c r="M11644" s="26" t="s">
        <v>1224</v>
      </c>
      <c r="N11644" s="26" t="s">
        <v>10340</v>
      </c>
      <c r="O11644" s="22" t="str">
        <f>HYPERLINK("https://pbs.twimg.com/profile_images/630988935720648704/HkmsHBTM_normal.jpg","View")</f>
        <v>View</v>
      </c>
      <c r="P11644" s="27"/>
    </row>
    <row r="11645">
      <c r="A11645" s="14">
        <v>43032.840092592596</v>
      </c>
      <c r="B11645" s="20" t="str">
        <f>HYPERLINK("https://twitter.com/anthraxxxx","@anthraxxxx")</f>
        <v>@anthraxxxx</v>
      </c>
      <c r="C11645" s="21" t="s">
        <v>23968</v>
      </c>
      <c r="D11645" s="21" t="s">
        <v>24397</v>
      </c>
      <c r="E11645" s="22" t="str">
        <f>HYPERLINK("https://twitter.com/anthraxxxx/status/923023746935308288","923023746935308288")</f>
        <v>923023746935308288</v>
      </c>
      <c r="F11645" s="23" t="s">
        <v>55</v>
      </c>
      <c r="G11645" s="24">
        <v>5949.0</v>
      </c>
      <c r="H11645" s="24">
        <v>2123.0</v>
      </c>
      <c r="I11645" s="24">
        <v>1.0</v>
      </c>
      <c r="J11645" s="24">
        <v>0.0</v>
      </c>
      <c r="K11645" s="23" t="s">
        <v>34</v>
      </c>
      <c r="L11645" s="25">
        <v>39913.15819444445</v>
      </c>
      <c r="M11645" s="26" t="s">
        <v>23970</v>
      </c>
      <c r="N11645" s="26" t="s">
        <v>23971</v>
      </c>
      <c r="O11645" s="22" t="str">
        <f>HYPERLINK("https://pbs.twimg.com/profile_images/756474844544311296/h4lVJf2H_normal.jpg","View")</f>
        <v>View</v>
      </c>
      <c r="P11645" s="27"/>
    </row>
    <row r="11646">
      <c r="A11646" s="14">
        <v>43032.84032407407</v>
      </c>
      <c r="B11646" s="20" t="str">
        <f>HYPERLINK("https://twitter.com/zuleydi_perez","@zuleydi_perez")</f>
        <v>@zuleydi_perez</v>
      </c>
      <c r="C11646" s="21" t="s">
        <v>24398</v>
      </c>
      <c r="D11646" s="21" t="s">
        <v>24399</v>
      </c>
      <c r="E11646" s="22" t="str">
        <f>HYPERLINK("https://twitter.com/zuleydi_perez/status/923023830242639872","923023830242639872")</f>
        <v>923023830242639872</v>
      </c>
      <c r="F11646" s="30" t="s">
        <v>411</v>
      </c>
      <c r="G11646" s="24">
        <v>3874.0</v>
      </c>
      <c r="H11646" s="24">
        <v>3872.0</v>
      </c>
      <c r="I11646" s="24">
        <v>0.0</v>
      </c>
      <c r="J11646" s="24">
        <v>0.0</v>
      </c>
      <c r="K11646" s="23" t="s">
        <v>34</v>
      </c>
      <c r="L11646" s="25">
        <v>42032.34409722222</v>
      </c>
      <c r="M11646" s="26" t="s">
        <v>24400</v>
      </c>
      <c r="N11646" s="26" t="s">
        <v>24401</v>
      </c>
      <c r="O11646" s="22" t="str">
        <f>HYPERLINK("https://pbs.twimg.com/profile_images/778624949288374272/ZYp272A__normal.jpg","View")</f>
        <v>View</v>
      </c>
      <c r="P11646" s="27"/>
    </row>
    <row r="11647">
      <c r="A11647" s="14">
        <v>43032.84034722223</v>
      </c>
      <c r="B11647" s="20" t="str">
        <f>HYPERLINK("https://twitter.com/TeeKay118","@TeeKay118")</f>
        <v>@TeeKay118</v>
      </c>
      <c r="C11647" s="21" t="s">
        <v>3197</v>
      </c>
      <c r="D11647" s="21" t="s">
        <v>23525</v>
      </c>
      <c r="E11647" s="22" t="str">
        <f>HYPERLINK("https://twitter.com/TeeKay118/status/923023839692386304","923023839692386304")</f>
        <v>923023839692386304</v>
      </c>
      <c r="F11647" s="23" t="s">
        <v>39</v>
      </c>
      <c r="G11647" s="24">
        <v>2255.0</v>
      </c>
      <c r="H11647" s="24">
        <v>3022.0</v>
      </c>
      <c r="I11647" s="24">
        <v>41.0</v>
      </c>
      <c r="J11647" s="24">
        <v>0.0</v>
      </c>
      <c r="K11647" s="23" t="s">
        <v>34</v>
      </c>
      <c r="L11647" s="25">
        <v>39931.77858796297</v>
      </c>
      <c r="M11647" s="26" t="s">
        <v>3198</v>
      </c>
      <c r="N11647" s="26" t="s">
        <v>3199</v>
      </c>
      <c r="O11647" s="22" t="str">
        <f>HYPERLINK("https://pbs.twimg.com/profile_images/797953344778051586/gC2nA4YE_normal.jpg","View")</f>
        <v>View</v>
      </c>
      <c r="P11647" s="27"/>
    </row>
    <row r="11648">
      <c r="A11648" s="14">
        <v>43032.8403587963</v>
      </c>
      <c r="B11648" s="20" t="str">
        <f>HYPERLINK("https://twitter.com/nakhon224","@nakhon224")</f>
        <v>@nakhon224</v>
      </c>
      <c r="C11648" s="21" t="s">
        <v>1594</v>
      </c>
      <c r="D11648" s="21" t="s">
        <v>24402</v>
      </c>
      <c r="E11648" s="22" t="str">
        <f>HYPERLINK("https://twitter.com/nakhon224/status/923023842464985088","923023842464985088")</f>
        <v>923023842464985088</v>
      </c>
      <c r="F11648" s="23" t="s">
        <v>187</v>
      </c>
      <c r="G11648" s="24">
        <v>16960.0</v>
      </c>
      <c r="H11648" s="24">
        <v>5083.0</v>
      </c>
      <c r="I11648" s="24">
        <v>0.0</v>
      </c>
      <c r="J11648" s="24">
        <v>0.0</v>
      </c>
      <c r="K11648" s="23" t="s">
        <v>34</v>
      </c>
      <c r="L11648" s="25">
        <v>40115.902094907404</v>
      </c>
      <c r="M11648" s="26" t="s">
        <v>1596</v>
      </c>
      <c r="N11648" s="26" t="s">
        <v>1597</v>
      </c>
      <c r="O11648" s="22" t="str">
        <f>HYPERLINK("https://pbs.twimg.com/profile_images/2399245020/niwo2t05j664oldr5izd_normal.gif","View")</f>
        <v>View</v>
      </c>
      <c r="P11648" s="27"/>
    </row>
    <row r="11649">
      <c r="A11649" s="14">
        <v>43032.84040509259</v>
      </c>
      <c r="B11649" s="20" t="str">
        <f>HYPERLINK("https://twitter.com/kristoferkawas","@kristoferkawas")</f>
        <v>@kristoferkawas</v>
      </c>
      <c r="C11649" s="21" t="s">
        <v>24403</v>
      </c>
      <c r="D11649" s="21" t="s">
        <v>24404</v>
      </c>
      <c r="E11649" s="22" t="str">
        <f>HYPERLINK("https://twitter.com/kristoferkawas/status/923023857149206528","923023857149206528")</f>
        <v>923023857149206528</v>
      </c>
      <c r="F11649" s="23" t="s">
        <v>187</v>
      </c>
      <c r="G11649" s="24">
        <v>3079.0</v>
      </c>
      <c r="H11649" s="24">
        <v>14.0</v>
      </c>
      <c r="I11649" s="24">
        <v>0.0</v>
      </c>
      <c r="J11649" s="24">
        <v>0.0</v>
      </c>
      <c r="K11649" s="23" t="s">
        <v>34</v>
      </c>
      <c r="L11649" s="25">
        <v>40432.41568287037</v>
      </c>
      <c r="M11649" s="26" t="s">
        <v>24405</v>
      </c>
      <c r="N11649" s="26" t="s">
        <v>24406</v>
      </c>
      <c r="O11649" s="22" t="str">
        <f>HYPERLINK("https://pbs.twimg.com/profile_images/662564447542636544/LvMoxlK3_normal.jpg","View")</f>
        <v>View</v>
      </c>
      <c r="P11649" s="27"/>
    </row>
    <row r="11650">
      <c r="A11650" s="14">
        <v>43032.84054398148</v>
      </c>
      <c r="B11650" s="20" t="str">
        <f>HYPERLINK("https://twitter.com/parishatzi","@parishatzi")</f>
        <v>@parishatzi</v>
      </c>
      <c r="C11650" s="21" t="s">
        <v>7899</v>
      </c>
      <c r="D11650" s="21" t="s">
        <v>24407</v>
      </c>
      <c r="E11650" s="22" t="str">
        <f>HYPERLINK("https://twitter.com/parishatzi/status/923023907275333633","923023907275333633")</f>
        <v>923023907275333633</v>
      </c>
      <c r="F11650" s="23" t="s">
        <v>187</v>
      </c>
      <c r="G11650" s="24">
        <v>1558.0</v>
      </c>
      <c r="H11650" s="24">
        <v>136.0</v>
      </c>
      <c r="I11650" s="24">
        <v>0.0</v>
      </c>
      <c r="J11650" s="24">
        <v>0.0</v>
      </c>
      <c r="K11650" s="23" t="s">
        <v>34</v>
      </c>
      <c r="L11650" s="25">
        <v>40791.05965277778</v>
      </c>
      <c r="M11650" s="26" t="s">
        <v>7901</v>
      </c>
      <c r="N11650" s="26" t="s">
        <v>7902</v>
      </c>
      <c r="O11650" s="22" t="str">
        <f>HYPERLINK("https://pbs.twimg.com/profile_images/557473320635887617/zTZTQoxj_normal.jpeg","View")</f>
        <v>View</v>
      </c>
      <c r="P11650" s="27"/>
    </row>
    <row r="11651">
      <c r="A11651" s="14">
        <v>43032.840682870374</v>
      </c>
      <c r="B11651" s="20" t="str">
        <f>HYPERLINK("https://twitter.com/RadioLondra_","@RadioLondra_")</f>
        <v>@RadioLondra_</v>
      </c>
      <c r="C11651" s="21" t="s">
        <v>6053</v>
      </c>
      <c r="D11651" s="21" t="s">
        <v>24408</v>
      </c>
      <c r="E11651" s="22" t="str">
        <f>HYPERLINK("https://twitter.com/RadioLondra_/status/923023959116873733","923023959116873733")</f>
        <v>923023959116873733</v>
      </c>
      <c r="F11651" s="23" t="s">
        <v>187</v>
      </c>
      <c r="G11651" s="24">
        <v>9655.0</v>
      </c>
      <c r="H11651" s="24">
        <v>3695.0</v>
      </c>
      <c r="I11651" s="24">
        <v>0.0</v>
      </c>
      <c r="J11651" s="24">
        <v>0.0</v>
      </c>
      <c r="K11651" s="23" t="s">
        <v>34</v>
      </c>
      <c r="L11651" s="25">
        <v>41468.141226851854</v>
      </c>
      <c r="M11651" s="26" t="s">
        <v>6055</v>
      </c>
      <c r="N11651" s="26" t="s">
        <v>6056</v>
      </c>
      <c r="O11651" s="22" t="str">
        <f>HYPERLINK("https://pbs.twimg.com/profile_images/441863978172436480/0W69MoDX_normal.jpeg","View")</f>
        <v>View</v>
      </c>
      <c r="P11651" s="27"/>
    </row>
    <row r="11652">
      <c r="A11652" s="14">
        <v>43032.840787037036</v>
      </c>
      <c r="B11652" s="20" t="str">
        <f>HYPERLINK("https://twitter.com/STForeignDesk","@STForeignDesk")</f>
        <v>@STForeignDesk</v>
      </c>
      <c r="C11652" s="21" t="s">
        <v>10341</v>
      </c>
      <c r="D11652" s="21" t="s">
        <v>24409</v>
      </c>
      <c r="E11652" s="22" t="str">
        <f>HYPERLINK("https://twitter.com/STForeignDesk/status/923023996320235521","923023996320235521")</f>
        <v>923023996320235521</v>
      </c>
      <c r="F11652" s="23" t="s">
        <v>769</v>
      </c>
      <c r="G11652" s="24">
        <v>39365.0</v>
      </c>
      <c r="H11652" s="24">
        <v>109.0</v>
      </c>
      <c r="I11652" s="24">
        <v>0.0</v>
      </c>
      <c r="J11652" s="24">
        <v>0.0</v>
      </c>
      <c r="K11652" s="23" t="s">
        <v>34</v>
      </c>
      <c r="L11652" s="25">
        <v>41303.31202546296</v>
      </c>
      <c r="M11652" s="26" t="s">
        <v>1224</v>
      </c>
      <c r="N11652" s="26" t="s">
        <v>10343</v>
      </c>
      <c r="O11652" s="22" t="str">
        <f>HYPERLINK("https://pbs.twimg.com/profile_images/616014877300142080/6I99bogh_normal.jpg","View")</f>
        <v>View</v>
      </c>
      <c r="P11652" s="27"/>
    </row>
    <row r="11653">
      <c r="A11653" s="14">
        <v>43032.84085648148</v>
      </c>
      <c r="B11653" s="20" t="str">
        <f>HYPERLINK("https://twitter.com/inews2day","@inews2day")</f>
        <v>@inews2day</v>
      </c>
      <c r="C11653" s="21" t="s">
        <v>539</v>
      </c>
      <c r="D11653" s="21" t="s">
        <v>24410</v>
      </c>
      <c r="E11653" s="22" t="str">
        <f>HYPERLINK("https://twitter.com/inews2day/status/923024021435899904","923024021435899904")</f>
        <v>923024021435899904</v>
      </c>
      <c r="F11653" s="23" t="s">
        <v>187</v>
      </c>
      <c r="G11653" s="24">
        <v>487.0</v>
      </c>
      <c r="H11653" s="24">
        <v>0.0</v>
      </c>
      <c r="I11653" s="24">
        <v>0.0</v>
      </c>
      <c r="J11653" s="24">
        <v>0.0</v>
      </c>
      <c r="K11653" s="23" t="s">
        <v>34</v>
      </c>
      <c r="L11653" s="25">
        <v>42055.11097222222</v>
      </c>
      <c r="M11653" s="26" t="s">
        <v>541</v>
      </c>
      <c r="N11653" s="26" t="s">
        <v>542</v>
      </c>
      <c r="O11653" s="22" t="str">
        <f>HYPERLINK("https://pbs.twimg.com/profile_images/568731081323466752/-oyEQpj9_normal.jpeg","View")</f>
        <v>View</v>
      </c>
      <c r="P11653" s="27"/>
    </row>
    <row r="11654">
      <c r="A11654" s="14">
        <v>43032.840891203705</v>
      </c>
      <c r="B11654" s="20" t="str">
        <f>HYPERLINK("https://twitter.com/ramblinfish","@ramblinfish")</f>
        <v>@ramblinfish</v>
      </c>
      <c r="C11654" s="21" t="s">
        <v>24411</v>
      </c>
      <c r="D11654" s="21" t="s">
        <v>24007</v>
      </c>
      <c r="E11654" s="22" t="str">
        <f>HYPERLINK("https://twitter.com/ramblinfish/status/923024035079897088","923024035079897088")</f>
        <v>923024035079897088</v>
      </c>
      <c r="F11654" s="23" t="s">
        <v>39</v>
      </c>
      <c r="G11654" s="24">
        <v>171.0</v>
      </c>
      <c r="H11654" s="24">
        <v>543.0</v>
      </c>
      <c r="I11654" s="24">
        <v>122.0</v>
      </c>
      <c r="J11654" s="24">
        <v>0.0</v>
      </c>
      <c r="K11654" s="23" t="s">
        <v>34</v>
      </c>
      <c r="L11654" s="25">
        <v>39947.810011574074</v>
      </c>
      <c r="M11654" s="26" t="s">
        <v>923</v>
      </c>
      <c r="N11654" s="28"/>
      <c r="O11654" s="22" t="str">
        <f>HYPERLINK("https://pbs.twimg.com/profile_images/870420733561716736/riH8Lj0Z_normal.jpg","View")</f>
        <v>View</v>
      </c>
      <c r="P11654" s="27"/>
    </row>
    <row r="11655">
      <c r="A11655" s="14">
        <v>43032.84104166667</v>
      </c>
      <c r="B11655" s="20" t="str">
        <f>HYPERLINK("https://twitter.com/liquidskydesign","@liquidskydesign")</f>
        <v>@liquidskydesign</v>
      </c>
      <c r="C11655" s="21" t="s">
        <v>3377</v>
      </c>
      <c r="D11655" s="21" t="s">
        <v>24412</v>
      </c>
      <c r="E11655" s="22" t="str">
        <f>HYPERLINK("https://twitter.com/liquidskydesign/status/923024088649621505","923024088649621505")</f>
        <v>923024088649621505</v>
      </c>
      <c r="F11655" s="23" t="s">
        <v>187</v>
      </c>
      <c r="G11655" s="24">
        <v>1634.0</v>
      </c>
      <c r="H11655" s="24">
        <v>796.0</v>
      </c>
      <c r="I11655" s="24">
        <v>0.0</v>
      </c>
      <c r="J11655" s="24">
        <v>0.0</v>
      </c>
      <c r="K11655" s="23" t="s">
        <v>34</v>
      </c>
      <c r="L11655" s="25">
        <v>39900.46163194445</v>
      </c>
      <c r="M11655" s="26" t="s">
        <v>3379</v>
      </c>
      <c r="N11655" s="26" t="s">
        <v>3380</v>
      </c>
      <c r="O11655" s="22" t="str">
        <f>HYPERLINK("https://pbs.twimg.com/profile_images/791418013107032064/bXRIcy4-_normal.jpg","View")</f>
        <v>View</v>
      </c>
      <c r="P11655" s="27"/>
    </row>
    <row r="11656">
      <c r="A11656" s="14">
        <v>43032.84106481481</v>
      </c>
      <c r="B11656" s="20" t="str">
        <f>HYPERLINK("https://twitter.com/NTKRNow","@NTKRNow")</f>
        <v>@NTKRNow</v>
      </c>
      <c r="C11656" s="21" t="s">
        <v>14875</v>
      </c>
      <c r="D11656" s="21" t="s">
        <v>24413</v>
      </c>
      <c r="E11656" s="22" t="str">
        <f>HYPERLINK("https://twitter.com/NTKRNow/status/923024098015531008","923024098015531008")</f>
        <v>923024098015531008</v>
      </c>
      <c r="F11656" s="23" t="s">
        <v>187</v>
      </c>
      <c r="G11656" s="24">
        <v>605.0</v>
      </c>
      <c r="H11656" s="24">
        <v>4.0</v>
      </c>
      <c r="I11656" s="24">
        <v>0.0</v>
      </c>
      <c r="J11656" s="24">
        <v>0.0</v>
      </c>
      <c r="K11656" s="23" t="s">
        <v>34</v>
      </c>
      <c r="L11656" s="25">
        <v>42402.810625</v>
      </c>
      <c r="M11656" s="28"/>
      <c r="N11656" s="28"/>
      <c r="O11656" s="22" t="str">
        <f>HYPERLINK("https://abs.twimg.com/sticky/default_profile_images/default_profile_normal.png","View")</f>
        <v>View</v>
      </c>
      <c r="P11656" s="27"/>
    </row>
    <row r="11657">
      <c r="A11657" s="14">
        <v>43032.84112268519</v>
      </c>
      <c r="B11657" s="20" t="str">
        <f>HYPERLINK("https://twitter.com/renewableworks","@renewableworks")</f>
        <v>@renewableworks</v>
      </c>
      <c r="C11657" s="21" t="s">
        <v>24414</v>
      </c>
      <c r="D11657" s="21" t="s">
        <v>24415</v>
      </c>
      <c r="E11657" s="22" t="str">
        <f>HYPERLINK("https://twitter.com/renewableworks/status/923024116550111232","923024116550111232")</f>
        <v>923024116550111232</v>
      </c>
      <c r="F11657" s="23" t="s">
        <v>230</v>
      </c>
      <c r="G11657" s="24">
        <v>580.0</v>
      </c>
      <c r="H11657" s="24">
        <v>788.0</v>
      </c>
      <c r="I11657" s="24">
        <v>1.0</v>
      </c>
      <c r="J11657" s="24">
        <v>0.0</v>
      </c>
      <c r="K11657" s="23" t="s">
        <v>34</v>
      </c>
      <c r="L11657" s="25">
        <v>40321.16315972222</v>
      </c>
      <c r="M11657" s="26" t="s">
        <v>24416</v>
      </c>
      <c r="N11657" s="26" t="s">
        <v>24417</v>
      </c>
      <c r="O11657" s="22" t="str">
        <f>HYPERLINK("https://pbs.twimg.com/profile_images/877516582838317057/w_F8eZM6_normal.jpg","View")</f>
        <v>View</v>
      </c>
      <c r="P11657" s="27"/>
    </row>
    <row r="11658">
      <c r="A11658" s="14">
        <v>43032.84125</v>
      </c>
      <c r="B11658" s="20" t="str">
        <f>HYPERLINK("https://twitter.com/Bangkok_Tourism","@Bangkok_Tourism")</f>
        <v>@Bangkok_Tourism</v>
      </c>
      <c r="C11658" s="21" t="s">
        <v>24418</v>
      </c>
      <c r="D11658" s="21" t="s">
        <v>24419</v>
      </c>
      <c r="E11658" s="22" t="str">
        <f>HYPERLINK("https://twitter.com/Bangkok_Tourism/status/923024164625223680","923024164625223680")</f>
        <v>923024164625223680</v>
      </c>
      <c r="F11658" s="23" t="s">
        <v>187</v>
      </c>
      <c r="G11658" s="24">
        <v>2819.0</v>
      </c>
      <c r="H11658" s="24">
        <v>1872.0</v>
      </c>
      <c r="I11658" s="24">
        <v>0.0</v>
      </c>
      <c r="J11658" s="24">
        <v>0.0</v>
      </c>
      <c r="K11658" s="23" t="s">
        <v>34</v>
      </c>
      <c r="L11658" s="25">
        <v>42805.00703703704</v>
      </c>
      <c r="M11658" s="28"/>
      <c r="N11658" s="26" t="s">
        <v>24420</v>
      </c>
      <c r="O11658" s="22" t="str">
        <f>HYPERLINK("https://pbs.twimg.com/profile_images/840626382610788352/XSHrZWk1_normal.jpg","View")</f>
        <v>View</v>
      </c>
      <c r="P11658" s="27"/>
    </row>
    <row r="11659">
      <c r="A11659" s="14">
        <v>43032.841307870374</v>
      </c>
      <c r="B11659" s="20" t="str">
        <f>HYPERLINK("https://twitter.com/DBirich","@DBirich")</f>
        <v>@DBirich</v>
      </c>
      <c r="C11659" s="21" t="s">
        <v>7331</v>
      </c>
      <c r="D11659" s="21" t="s">
        <v>24421</v>
      </c>
      <c r="E11659" s="22" t="str">
        <f>HYPERLINK("https://twitter.com/DBirich/status/923024185479147520","923024185479147520")</f>
        <v>923024185479147520</v>
      </c>
      <c r="F11659" s="23" t="s">
        <v>39</v>
      </c>
      <c r="G11659" s="24">
        <v>9.0</v>
      </c>
      <c r="H11659" s="24">
        <v>67.0</v>
      </c>
      <c r="I11659" s="24">
        <v>1.0</v>
      </c>
      <c r="J11659" s="24">
        <v>0.0</v>
      </c>
      <c r="K11659" s="23" t="s">
        <v>34</v>
      </c>
      <c r="L11659" s="25">
        <v>40951.50546296296</v>
      </c>
      <c r="M11659" s="26" t="s">
        <v>7333</v>
      </c>
      <c r="N11659" s="26" t="s">
        <v>7334</v>
      </c>
      <c r="O11659" s="22" t="str">
        <f>HYPERLINK("https://abs.twimg.com/sticky/default_profile_images/default_profile_normal.png","View")</f>
        <v>View</v>
      </c>
      <c r="P11659" s="27"/>
    </row>
    <row r="11660">
      <c r="A11660" s="14">
        <v>43032.84136574074</v>
      </c>
      <c r="B11660" s="20" t="str">
        <f>HYPERLINK("https://twitter.com/kkalmes2","@kkalmes2")</f>
        <v>@kkalmes2</v>
      </c>
      <c r="C11660" s="21" t="s">
        <v>24422</v>
      </c>
      <c r="D11660" s="21" t="s">
        <v>24423</v>
      </c>
      <c r="E11660" s="22" t="str">
        <f>HYPERLINK("https://twitter.com/kkalmes2/status/923024207939887104","923024207939887104")</f>
        <v>923024207939887104</v>
      </c>
      <c r="F11660" s="23" t="s">
        <v>55</v>
      </c>
      <c r="G11660" s="24">
        <v>5061.0</v>
      </c>
      <c r="H11660" s="24">
        <v>5327.0</v>
      </c>
      <c r="I11660" s="24">
        <v>0.0</v>
      </c>
      <c r="J11660" s="24">
        <v>0.0</v>
      </c>
      <c r="K11660" s="23" t="s">
        <v>34</v>
      </c>
      <c r="L11660" s="25">
        <v>40336.72310185185</v>
      </c>
      <c r="M11660" s="26" t="s">
        <v>478</v>
      </c>
      <c r="N11660" s="26" t="s">
        <v>24424</v>
      </c>
      <c r="O11660" s="22" t="str">
        <f>HYPERLINK("https://pbs.twimg.com/profile_images/917857993101856768/gSmuFwRd_normal.jpg","View")</f>
        <v>View</v>
      </c>
      <c r="P11660" s="27"/>
    </row>
    <row r="11661">
      <c r="A11661" s="14">
        <v>43032.84142361111</v>
      </c>
      <c r="B11661" s="20" t="str">
        <f>HYPERLINK("https://twitter.com/Hannakisslips","@Hannakisslips")</f>
        <v>@Hannakisslips</v>
      </c>
      <c r="C11661" s="21" t="s">
        <v>24425</v>
      </c>
      <c r="D11661" s="21" t="s">
        <v>24426</v>
      </c>
      <c r="E11661" s="22" t="str">
        <f>HYPERLINK("https://twitter.com/Hannakisslips/status/923024228827275265","923024228827275265")</f>
        <v>923024228827275265</v>
      </c>
      <c r="F11661" s="23" t="s">
        <v>33</v>
      </c>
      <c r="G11661" s="24">
        <v>489.0</v>
      </c>
      <c r="H11661" s="24">
        <v>1580.0</v>
      </c>
      <c r="I11661" s="24">
        <v>1.0</v>
      </c>
      <c r="J11661" s="24">
        <v>0.0</v>
      </c>
      <c r="K11661" s="23" t="s">
        <v>34</v>
      </c>
      <c r="L11661" s="25">
        <v>40875.21324074074</v>
      </c>
      <c r="M11661" s="28"/>
      <c r="N11661" s="26" t="s">
        <v>24427</v>
      </c>
      <c r="O11661" s="22" t="str">
        <f>HYPERLINK("https://pbs.twimg.com/profile_images/920839425554243584/gJyKBxCP_normal.jpg","View")</f>
        <v>View</v>
      </c>
      <c r="P11661" s="27"/>
    </row>
    <row r="11662">
      <c r="A11662" s="14">
        <v>43032.841469907406</v>
      </c>
      <c r="B11662" s="20" t="str">
        <f>HYPERLINK("https://twitter.com/shyamdhulkhed","@shyamdhulkhed")</f>
        <v>@shyamdhulkhed</v>
      </c>
      <c r="C11662" s="21" t="s">
        <v>24428</v>
      </c>
      <c r="D11662" s="21" t="s">
        <v>42</v>
      </c>
      <c r="E11662" s="22" t="str">
        <f>HYPERLINK("https://twitter.com/shyamdhulkhed/status/923024244073693184","923024244073693184")</f>
        <v>923024244073693184</v>
      </c>
      <c r="F11662" s="23" t="s">
        <v>55</v>
      </c>
      <c r="G11662" s="24">
        <v>951.0</v>
      </c>
      <c r="H11662" s="24">
        <v>864.0</v>
      </c>
      <c r="I11662" s="24">
        <v>8501.0</v>
      </c>
      <c r="J11662" s="24">
        <v>0.0</v>
      </c>
      <c r="K11662" s="23" t="s">
        <v>34</v>
      </c>
      <c r="L11662" s="25">
        <v>40068.88995370371</v>
      </c>
      <c r="M11662" s="26" t="s">
        <v>24429</v>
      </c>
      <c r="N11662" s="26" t="s">
        <v>24430</v>
      </c>
      <c r="O11662" s="22" t="str">
        <f>HYPERLINK("https://pbs.twimg.com/profile_images/665236856414609408/vUHUX-YS_normal.jpg","View")</f>
        <v>View</v>
      </c>
      <c r="P11662" s="27"/>
    </row>
    <row r="11663">
      <c r="A11663" s="14">
        <v>43032.84153935185</v>
      </c>
      <c r="B11663" s="20" t="str">
        <f>HYPERLINK("https://twitter.com/ForexUpSignals","@ForexUpSignals")</f>
        <v>@ForexUpSignals</v>
      </c>
      <c r="C11663" s="21" t="s">
        <v>20484</v>
      </c>
      <c r="D11663" s="21" t="s">
        <v>24431</v>
      </c>
      <c r="E11663" s="22" t="str">
        <f>HYPERLINK("https://twitter.com/ForexUpSignals/status/923024270560817152","923024270560817152")</f>
        <v>923024270560817152</v>
      </c>
      <c r="F11663" s="23" t="s">
        <v>187</v>
      </c>
      <c r="G11663" s="24">
        <v>178.0</v>
      </c>
      <c r="H11663" s="24">
        <v>161.0</v>
      </c>
      <c r="I11663" s="24">
        <v>0.0</v>
      </c>
      <c r="J11663" s="24">
        <v>0.0</v>
      </c>
      <c r="K11663" s="23" t="s">
        <v>34</v>
      </c>
      <c r="L11663" s="25">
        <v>41803.01390046296</v>
      </c>
      <c r="M11663" s="28"/>
      <c r="N11663" s="28"/>
      <c r="O11663" s="22" t="str">
        <f>HYPERLINK("https://pbs.twimg.com/profile_images/787625228503552000/-Q2SY-dU_normal.jpg","View")</f>
        <v>View</v>
      </c>
      <c r="P11663" s="27"/>
    </row>
    <row r="11664">
      <c r="A11664" s="14">
        <v>43032.84155092592</v>
      </c>
      <c r="B11664" s="20" t="str">
        <f>HYPERLINK("https://twitter.com/macbeestje","@macbeestje")</f>
        <v>@macbeestje</v>
      </c>
      <c r="C11664" s="21" t="s">
        <v>24432</v>
      </c>
      <c r="D11664" s="21" t="s">
        <v>24433</v>
      </c>
      <c r="E11664" s="22" t="str">
        <f>HYPERLINK("https://twitter.com/macbeestje/status/923024273467359232","923024273467359232")</f>
        <v>923024273467359232</v>
      </c>
      <c r="F11664" s="23" t="s">
        <v>55</v>
      </c>
      <c r="G11664" s="24">
        <v>751.0</v>
      </c>
      <c r="H11664" s="24">
        <v>504.0</v>
      </c>
      <c r="I11664" s="24">
        <v>0.0</v>
      </c>
      <c r="J11664" s="24">
        <v>0.0</v>
      </c>
      <c r="K11664" s="23" t="s">
        <v>34</v>
      </c>
      <c r="L11664" s="25">
        <v>40251.53952546296</v>
      </c>
      <c r="M11664" s="28"/>
      <c r="N11664" s="26" t="s">
        <v>24434</v>
      </c>
      <c r="O11664" s="22" t="str">
        <f>HYPERLINK("https://pbs.twimg.com/profile_images/760542530018553857/o6gd_RbR_normal.jpg","View")</f>
        <v>View</v>
      </c>
      <c r="P11664" s="27"/>
    </row>
    <row r="11665">
      <c r="A11665" s="14">
        <v>43032.84174768519</v>
      </c>
      <c r="B11665" s="20" t="str">
        <f>HYPERLINK("https://twitter.com/noikeanolife","@noikeanolife")</f>
        <v>@noikeanolife</v>
      </c>
      <c r="C11665" s="21" t="s">
        <v>21206</v>
      </c>
      <c r="D11665" s="21" t="s">
        <v>24435</v>
      </c>
      <c r="E11665" s="22" t="str">
        <f>HYPERLINK("https://twitter.com/noikeanolife/status/923024346238435329","923024346238435329")</f>
        <v>923024346238435329</v>
      </c>
      <c r="F11665" s="23" t="s">
        <v>55</v>
      </c>
      <c r="G11665" s="24">
        <v>3760.0</v>
      </c>
      <c r="H11665" s="24">
        <v>3355.0</v>
      </c>
      <c r="I11665" s="24">
        <v>2.0</v>
      </c>
      <c r="J11665" s="24">
        <v>0.0</v>
      </c>
      <c r="K11665" s="23" t="s">
        <v>34</v>
      </c>
      <c r="L11665" s="25">
        <v>40354.9662962963</v>
      </c>
      <c r="M11665" s="26" t="s">
        <v>21207</v>
      </c>
      <c r="N11665" s="26" t="s">
        <v>21208</v>
      </c>
      <c r="O11665" s="22" t="str">
        <f>HYPERLINK("https://pbs.twimg.com/profile_images/479755170314604545/3XyKdzvj_normal.png","View")</f>
        <v>View</v>
      </c>
      <c r="P11665" s="27"/>
    </row>
    <row r="11666">
      <c r="A11666" s="14">
        <v>43032.84175925926</v>
      </c>
      <c r="B11666" s="20" t="str">
        <f>HYPERLINK("https://twitter.com/datascience499","@datascience499")</f>
        <v>@datascience499</v>
      </c>
      <c r="C11666" s="21" t="s">
        <v>24436</v>
      </c>
      <c r="D11666" s="21" t="s">
        <v>24437</v>
      </c>
      <c r="E11666" s="22" t="str">
        <f>HYPERLINK("https://twitter.com/datascience499/status/923024349271126016","923024349271126016")</f>
        <v>923024349271126016</v>
      </c>
      <c r="F11666" s="23" t="s">
        <v>24438</v>
      </c>
      <c r="G11666" s="24">
        <v>111.0</v>
      </c>
      <c r="H11666" s="24">
        <v>0.0</v>
      </c>
      <c r="I11666" s="24">
        <v>2.0</v>
      </c>
      <c r="J11666" s="24">
        <v>0.0</v>
      </c>
      <c r="K11666" s="23" t="s">
        <v>34</v>
      </c>
      <c r="L11666" s="25">
        <v>43025.2605787037</v>
      </c>
      <c r="M11666" s="26" t="s">
        <v>204</v>
      </c>
      <c r="N11666" s="26" t="s">
        <v>24439</v>
      </c>
      <c r="O11666" s="22" t="str">
        <f>HYPERLINK("https://pbs.twimg.com/profile_images/921052497241817088/NQXLhm9Y_normal.jpg","View")</f>
        <v>View</v>
      </c>
      <c r="P11666" s="27"/>
    </row>
    <row r="11667">
      <c r="A11667" s="14">
        <v>43032.842094907406</v>
      </c>
      <c r="B11667" s="20" t="str">
        <f>HYPERLINK("https://twitter.com/soleil82639","@soleil82639")</f>
        <v>@soleil82639</v>
      </c>
      <c r="C11667" s="21" t="s">
        <v>24440</v>
      </c>
      <c r="D11667" s="21" t="s">
        <v>24007</v>
      </c>
      <c r="E11667" s="22" t="str">
        <f>HYPERLINK("https://twitter.com/soleil82639/status/923024470570287104","923024470570287104")</f>
        <v>923024470570287104</v>
      </c>
      <c r="F11667" s="23" t="s">
        <v>33</v>
      </c>
      <c r="G11667" s="24">
        <v>795.0</v>
      </c>
      <c r="H11667" s="24">
        <v>935.0</v>
      </c>
      <c r="I11667" s="24">
        <v>122.0</v>
      </c>
      <c r="J11667" s="24">
        <v>0.0</v>
      </c>
      <c r="K11667" s="23" t="s">
        <v>34</v>
      </c>
      <c r="L11667" s="25">
        <v>42084.03314814815</v>
      </c>
      <c r="M11667" s="26" t="s">
        <v>271</v>
      </c>
      <c r="N11667" s="26" t="s">
        <v>24441</v>
      </c>
      <c r="O11667" s="22" t="str">
        <f>HYPERLINK("https://pbs.twimg.com/profile_images/579224764671135744/k-DPUWom_normal.jpg","View")</f>
        <v>View</v>
      </c>
      <c r="P11667" s="27"/>
    </row>
    <row r="11668">
      <c r="A11668" s="14">
        <v>43032.84291666667</v>
      </c>
      <c r="B11668" s="20" t="str">
        <f>HYPERLINK("https://twitter.com/WorldRumors","@WorldRumors")</f>
        <v>@WorldRumors</v>
      </c>
      <c r="C11668" s="21" t="s">
        <v>2253</v>
      </c>
      <c r="D11668" s="21" t="s">
        <v>24442</v>
      </c>
      <c r="E11668" s="22" t="str">
        <f>HYPERLINK("https://twitter.com/WorldRumors/status/923024766772097025","923024766772097025")</f>
        <v>923024766772097025</v>
      </c>
      <c r="F11668" s="23" t="s">
        <v>2255</v>
      </c>
      <c r="G11668" s="24">
        <v>174.0</v>
      </c>
      <c r="H11668" s="24">
        <v>3.0</v>
      </c>
      <c r="I11668" s="24">
        <v>0.0</v>
      </c>
      <c r="J11668" s="24">
        <v>0.0</v>
      </c>
      <c r="K11668" s="23" t="s">
        <v>34</v>
      </c>
      <c r="L11668" s="25">
        <v>39507.452685185184</v>
      </c>
      <c r="M11668" s="26" t="s">
        <v>2256</v>
      </c>
      <c r="N11668" s="26" t="s">
        <v>2257</v>
      </c>
      <c r="O11668" s="22" t="str">
        <f>HYPERLINK("https://pbs.twimg.com/profile_images/840632682623225856/Jwl5sWEV_normal.jpg","View")</f>
        <v>View</v>
      </c>
      <c r="P11668" s="27"/>
    </row>
    <row r="11669">
      <c r="A11669" s="14">
        <v>43032.84305555555</v>
      </c>
      <c r="B11669" s="20" t="str">
        <f>HYPERLINK("https://twitter.com/condorUD","@condorUD")</f>
        <v>@condorUD</v>
      </c>
      <c r="C11669" s="21" t="s">
        <v>24443</v>
      </c>
      <c r="D11669" s="21" t="s">
        <v>23525</v>
      </c>
      <c r="E11669" s="22" t="str">
        <f>HYPERLINK("https://twitter.com/condorUD/status/923024820077342721","923024820077342721")</f>
        <v>923024820077342721</v>
      </c>
      <c r="F11669" s="23" t="s">
        <v>55</v>
      </c>
      <c r="G11669" s="24">
        <v>1922.0</v>
      </c>
      <c r="H11669" s="24">
        <v>1143.0</v>
      </c>
      <c r="I11669" s="24">
        <v>41.0</v>
      </c>
      <c r="J11669" s="24">
        <v>0.0</v>
      </c>
      <c r="K11669" s="23" t="s">
        <v>34</v>
      </c>
      <c r="L11669" s="25">
        <v>40647.11177083333</v>
      </c>
      <c r="M11669" s="26" t="s">
        <v>2238</v>
      </c>
      <c r="N11669" s="26" t="s">
        <v>24444</v>
      </c>
      <c r="O11669" s="22" t="str">
        <f>HYPERLINK("https://pbs.twimg.com/profile_images/900368676246888448/UhpOaTLr_normal.jpg","View")</f>
        <v>View</v>
      </c>
      <c r="P11669" s="27"/>
    </row>
    <row r="11670">
      <c r="A11670" s="14">
        <v>43032.843194444446</v>
      </c>
      <c r="B11670" s="20" t="str">
        <f t="shared" ref="B11670:B11671" si="292">HYPERLINK("https://twitter.com/FedReserveRelay","@FedReserveRelay")</f>
        <v>@FedReserveRelay</v>
      </c>
      <c r="C11670" s="21" t="s">
        <v>20177</v>
      </c>
      <c r="D11670" s="21" t="s">
        <v>24445</v>
      </c>
      <c r="E11670" s="22" t="str">
        <f>HYPERLINK("https://twitter.com/FedReserveRelay/status/923024870396411904","923024870396411904")</f>
        <v>923024870396411904</v>
      </c>
      <c r="F11670" s="23" t="s">
        <v>187</v>
      </c>
      <c r="G11670" s="24">
        <v>37.0</v>
      </c>
      <c r="H11670" s="24">
        <v>3.0</v>
      </c>
      <c r="I11670" s="24">
        <v>0.0</v>
      </c>
      <c r="J11670" s="24">
        <v>0.0</v>
      </c>
      <c r="K11670" s="23" t="s">
        <v>34</v>
      </c>
      <c r="L11670" s="25">
        <v>42965.512349537035</v>
      </c>
      <c r="M11670" s="26" t="s">
        <v>20179</v>
      </c>
      <c r="N11670" s="26" t="s">
        <v>20180</v>
      </c>
      <c r="O11670" s="22" t="str">
        <f t="shared" ref="O11670:O11671" si="293">HYPERLINK("https://pbs.twimg.com/profile_images/908964920942874625/MbwepoHm_normal.jpg","View")</f>
        <v>View</v>
      </c>
      <c r="P11670" s="27"/>
    </row>
    <row r="11671">
      <c r="A11671" s="14">
        <v>43032.843206018515</v>
      </c>
      <c r="B11671" s="20" t="str">
        <f t="shared" si="292"/>
        <v>@FedReserveRelay</v>
      </c>
      <c r="C11671" s="21" t="s">
        <v>20177</v>
      </c>
      <c r="D11671" s="21" t="s">
        <v>24446</v>
      </c>
      <c r="E11671" s="22" t="str">
        <f>HYPERLINK("https://twitter.com/FedReserveRelay/status/923024873307496448","923024873307496448")</f>
        <v>923024873307496448</v>
      </c>
      <c r="F11671" s="23" t="s">
        <v>187</v>
      </c>
      <c r="G11671" s="24">
        <v>37.0</v>
      </c>
      <c r="H11671" s="24">
        <v>3.0</v>
      </c>
      <c r="I11671" s="24">
        <v>0.0</v>
      </c>
      <c r="J11671" s="24">
        <v>0.0</v>
      </c>
      <c r="K11671" s="23" t="s">
        <v>34</v>
      </c>
      <c r="L11671" s="25">
        <v>42965.512349537035</v>
      </c>
      <c r="M11671" s="26" t="s">
        <v>20179</v>
      </c>
      <c r="N11671" s="26" t="s">
        <v>20180</v>
      </c>
      <c r="O11671" s="22" t="str">
        <f t="shared" si="293"/>
        <v>View</v>
      </c>
      <c r="P11671" s="27"/>
    </row>
    <row r="11672">
      <c r="A11672" s="14">
        <v>43032.84336805556</v>
      </c>
      <c r="B11672" s="20" t="str">
        <f>HYPERLINK("https://twitter.com/BiedexTrading","@BiedexTrading")</f>
        <v>@BiedexTrading</v>
      </c>
      <c r="C11672" s="21" t="s">
        <v>7665</v>
      </c>
      <c r="D11672" s="21" t="s">
        <v>24447</v>
      </c>
      <c r="E11672" s="22" t="str">
        <f>HYPERLINK("https://twitter.com/BiedexTrading/status/923024933718036480","923024933718036480")</f>
        <v>923024933718036480</v>
      </c>
      <c r="F11672" s="23" t="s">
        <v>7667</v>
      </c>
      <c r="G11672" s="24">
        <v>3326.0</v>
      </c>
      <c r="H11672" s="24">
        <v>4986.0</v>
      </c>
      <c r="I11672" s="24">
        <v>0.0</v>
      </c>
      <c r="J11672" s="24">
        <v>0.0</v>
      </c>
      <c r="K11672" s="23" t="s">
        <v>34</v>
      </c>
      <c r="L11672" s="25">
        <v>39857.33493055555</v>
      </c>
      <c r="M11672" s="26" t="s">
        <v>7668</v>
      </c>
      <c r="N11672" s="26" t="s">
        <v>7669</v>
      </c>
      <c r="O11672" s="22" t="str">
        <f>HYPERLINK("https://pbs.twimg.com/profile_images/440566971260604416/FG_EX0Zc_normal.png","View")</f>
        <v>View</v>
      </c>
      <c r="P11672" s="27"/>
    </row>
    <row r="11673">
      <c r="A11673" s="14">
        <v>43032.8434375</v>
      </c>
      <c r="B11673" s="20" t="str">
        <f>HYPERLINK("https://twitter.com/TotalNewsMedia","@TotalNewsMedia")</f>
        <v>@TotalNewsMedia</v>
      </c>
      <c r="C11673" s="21" t="s">
        <v>24448</v>
      </c>
      <c r="D11673" s="21" t="s">
        <v>24449</v>
      </c>
      <c r="E11673" s="22" t="str">
        <f>HYPERLINK("https://twitter.com/TotalNewsMedia/status/923024956719374336","923024956719374336")</f>
        <v>923024956719374336</v>
      </c>
      <c r="F11673" s="30" t="s">
        <v>411</v>
      </c>
      <c r="G11673" s="24">
        <v>91.0</v>
      </c>
      <c r="H11673" s="24">
        <v>44.0</v>
      </c>
      <c r="I11673" s="24">
        <v>0.0</v>
      </c>
      <c r="J11673" s="24">
        <v>0.0</v>
      </c>
      <c r="K11673" s="23" t="s">
        <v>34</v>
      </c>
      <c r="L11673" s="25">
        <v>41186.50090277778</v>
      </c>
      <c r="M11673" s="26" t="s">
        <v>762</v>
      </c>
      <c r="N11673" s="26" t="s">
        <v>24450</v>
      </c>
      <c r="O11673" s="22" t="str">
        <f>HYPERLINK("https://pbs.twimg.com/profile_images/2681507678/772e7b97bf3a988d4f926571af5dc8a0_normal.png","View")</f>
        <v>View</v>
      </c>
      <c r="P11673" s="27"/>
    </row>
    <row r="11674">
      <c r="A11674" s="14">
        <v>43032.84358796296</v>
      </c>
      <c r="B11674" s="20" t="str">
        <f>HYPERLINK("https://twitter.com/1DieReportage","@1DieReportage")</f>
        <v>@1DieReportage</v>
      </c>
      <c r="C11674" s="21" t="s">
        <v>24451</v>
      </c>
      <c r="D11674" s="21" t="s">
        <v>24452</v>
      </c>
      <c r="E11674" s="22" t="str">
        <f>HYPERLINK("https://twitter.com/1DieReportage/status/923025012906385408","923025012906385408")</f>
        <v>923025012906385408</v>
      </c>
      <c r="F11674" s="30" t="s">
        <v>411</v>
      </c>
      <c r="G11674" s="24">
        <v>208.0</v>
      </c>
      <c r="H11674" s="24">
        <v>1224.0</v>
      </c>
      <c r="I11674" s="24">
        <v>0.0</v>
      </c>
      <c r="J11674" s="24">
        <v>0.0</v>
      </c>
      <c r="K11674" s="23" t="s">
        <v>34</v>
      </c>
      <c r="L11674" s="25">
        <v>42487.100740740745</v>
      </c>
      <c r="M11674" s="26" t="s">
        <v>24453</v>
      </c>
      <c r="N11674" s="26" t="s">
        <v>24454</v>
      </c>
      <c r="O11674" s="22" t="str">
        <f>HYPERLINK("https://pbs.twimg.com/profile_images/725303533638135810/Nz_tPywD_normal.jpg","View")</f>
        <v>View</v>
      </c>
      <c r="P11674" s="27"/>
    </row>
    <row r="11675">
      <c r="A11675" s="14">
        <v>43032.84359953704</v>
      </c>
      <c r="B11675" s="20" t="str">
        <f>HYPERLINK("https://twitter.com/kiran_guruswamy","@kiran_guruswamy")</f>
        <v>@kiran_guruswamy</v>
      </c>
      <c r="C11675" s="21" t="s">
        <v>24455</v>
      </c>
      <c r="D11675" s="21" t="s">
        <v>42</v>
      </c>
      <c r="E11675" s="22" t="str">
        <f>HYPERLINK("https://twitter.com/kiran_guruswamy/status/923025014701436929","923025014701436929")</f>
        <v>923025014701436929</v>
      </c>
      <c r="F11675" s="23" t="s">
        <v>33</v>
      </c>
      <c r="G11675" s="24">
        <v>26.0</v>
      </c>
      <c r="H11675" s="24">
        <v>122.0</v>
      </c>
      <c r="I11675" s="24">
        <v>8501.0</v>
      </c>
      <c r="J11675" s="24">
        <v>0.0</v>
      </c>
      <c r="K11675" s="23" t="s">
        <v>34</v>
      </c>
      <c r="L11675" s="25">
        <v>40516.55662037037</v>
      </c>
      <c r="M11675" s="28"/>
      <c r="N11675" s="28"/>
      <c r="O11675" s="22" t="str">
        <f>HYPERLINK("https://pbs.twimg.com/profile_images/806606052158414848/V1Uw7Xz1_normal.jpg","View")</f>
        <v>View</v>
      </c>
      <c r="P11675" s="27"/>
    </row>
    <row r="11676">
      <c r="A11676" s="14">
        <v>43032.84363425926</v>
      </c>
      <c r="B11676" s="20" t="str">
        <f>HYPERLINK("https://twitter.com/wittich","@wittich")</f>
        <v>@wittich</v>
      </c>
      <c r="C11676" s="21" t="s">
        <v>2340</v>
      </c>
      <c r="D11676" s="21" t="s">
        <v>24456</v>
      </c>
      <c r="E11676" s="22" t="str">
        <f>HYPERLINK("https://twitter.com/wittich/status/923025030610669568","923025030610669568")</f>
        <v>923025030610669568</v>
      </c>
      <c r="F11676" s="23" t="s">
        <v>91</v>
      </c>
      <c r="G11676" s="24">
        <v>2600.0</v>
      </c>
      <c r="H11676" s="24">
        <v>1727.0</v>
      </c>
      <c r="I11676" s="24">
        <v>0.0</v>
      </c>
      <c r="J11676" s="24">
        <v>0.0</v>
      </c>
      <c r="K11676" s="23" t="s">
        <v>34</v>
      </c>
      <c r="L11676" s="25">
        <v>39375.524976851855</v>
      </c>
      <c r="M11676" s="26" t="s">
        <v>2342</v>
      </c>
      <c r="N11676" s="26" t="s">
        <v>2343</v>
      </c>
      <c r="O11676" s="22" t="str">
        <f>HYPERLINK("https://pbs.twimg.com/profile_images/840685455729446912/M8OlVjm3_normal.jpg","View")</f>
        <v>View</v>
      </c>
      <c r="P11676" s="27"/>
    </row>
    <row r="11677">
      <c r="A11677" s="14">
        <v>43032.843819444446</v>
      </c>
      <c r="B11677" s="20" t="str">
        <f>HYPERLINK("https://twitter.com/vogue_co","@vogue_co")</f>
        <v>@vogue_co</v>
      </c>
      <c r="C11677" s="29" t="s">
        <v>24457</v>
      </c>
      <c r="D11677" s="21" t="s">
        <v>24458</v>
      </c>
      <c r="E11677" s="22" t="str">
        <f>HYPERLINK("https://twitter.com/vogue_co/status/923025095219601408","923025095219601408")</f>
        <v>923025095219601408</v>
      </c>
      <c r="F11677" s="30" t="s">
        <v>411</v>
      </c>
      <c r="G11677" s="24">
        <v>19.0</v>
      </c>
      <c r="H11677" s="24">
        <v>82.0</v>
      </c>
      <c r="I11677" s="24">
        <v>0.0</v>
      </c>
      <c r="J11677" s="24">
        <v>0.0</v>
      </c>
      <c r="K11677" s="23" t="s">
        <v>34</v>
      </c>
      <c r="L11677" s="25">
        <v>41901.060428240744</v>
      </c>
      <c r="M11677" s="28"/>
      <c r="N11677" s="28"/>
      <c r="O11677" s="22" t="str">
        <f>HYPERLINK("https://pbs.twimg.com/profile_images/512883949861756928/XbYQekgW_normal.jpeg","View")</f>
        <v>View</v>
      </c>
      <c r="P11677" s="27"/>
    </row>
    <row r="11678">
      <c r="A11678" s="14">
        <v>43032.84386574074</v>
      </c>
      <c r="B11678" s="20" t="str">
        <f>HYPERLINK("https://twitter.com/KkimooK","@KkimooK")</f>
        <v>@KkimooK</v>
      </c>
      <c r="C11678" s="21" t="s">
        <v>9451</v>
      </c>
      <c r="D11678" s="21" t="s">
        <v>24459</v>
      </c>
      <c r="E11678" s="22" t="str">
        <f>HYPERLINK("https://twitter.com/KkimooK/status/923025114551029761","923025114551029761")</f>
        <v>923025114551029761</v>
      </c>
      <c r="F11678" s="23" t="s">
        <v>9453</v>
      </c>
      <c r="G11678" s="24">
        <v>465.0</v>
      </c>
      <c r="H11678" s="24">
        <v>2.0</v>
      </c>
      <c r="I11678" s="24">
        <v>0.0</v>
      </c>
      <c r="J11678" s="24">
        <v>0.0</v>
      </c>
      <c r="K11678" s="23" t="s">
        <v>34</v>
      </c>
      <c r="L11678" s="25">
        <v>41582.09607638889</v>
      </c>
      <c r="M11678" s="28"/>
      <c r="N11678" s="26" t="s">
        <v>9454</v>
      </c>
      <c r="O11678" s="22" t="str">
        <f>HYPERLINK("https://pbs.twimg.com/profile_images/378800000692850571/0e43c8832a899f7cc2fa5556fa545211_normal.jpeg","View")</f>
        <v>View</v>
      </c>
      <c r="P11678" s="27"/>
    </row>
    <row r="11679">
      <c r="A11679" s="14">
        <v>43032.843923611115</v>
      </c>
      <c r="B11679" s="20" t="str">
        <f>HYPERLINK("https://twitter.com/CarlyleFX","@CarlyleFX")</f>
        <v>@CarlyleFX</v>
      </c>
      <c r="C11679" s="21" t="s">
        <v>24460</v>
      </c>
      <c r="D11679" s="21" t="s">
        <v>24461</v>
      </c>
      <c r="E11679" s="22" t="str">
        <f>HYPERLINK("https://twitter.com/CarlyleFX/status/923025133639479296","923025133639479296")</f>
        <v>923025133639479296</v>
      </c>
      <c r="F11679" s="30" t="s">
        <v>191</v>
      </c>
      <c r="G11679" s="24">
        <v>202.0</v>
      </c>
      <c r="H11679" s="24">
        <v>18.0</v>
      </c>
      <c r="I11679" s="24">
        <v>0.0</v>
      </c>
      <c r="J11679" s="24">
        <v>0.0</v>
      </c>
      <c r="K11679" s="23" t="s">
        <v>34</v>
      </c>
      <c r="L11679" s="25">
        <v>40263.00876157408</v>
      </c>
      <c r="M11679" s="26" t="s">
        <v>1653</v>
      </c>
      <c r="N11679" s="26" t="s">
        <v>24462</v>
      </c>
      <c r="O11679" s="22" t="str">
        <f>HYPERLINK("https://pbs.twimg.com/profile_images/776153307/fx4_normal.jpg","View")</f>
        <v>View</v>
      </c>
      <c r="P11679" s="27"/>
    </row>
    <row r="11680">
      <c r="A11680" s="14">
        <v>43032.843935185185</v>
      </c>
      <c r="B11680" s="20" t="str">
        <f>HYPERLINK("https://twitter.com/WhyLose","@WhyLose")</f>
        <v>@WhyLose</v>
      </c>
      <c r="C11680" s="21" t="s">
        <v>24463</v>
      </c>
      <c r="D11680" s="21" t="s">
        <v>24464</v>
      </c>
      <c r="E11680" s="22" t="str">
        <f>HYPERLINK("https://twitter.com/WhyLose/status/923025137112440832","923025137112440832")</f>
        <v>923025137112440832</v>
      </c>
      <c r="F11680" s="30" t="s">
        <v>191</v>
      </c>
      <c r="G11680" s="24">
        <v>11392.0</v>
      </c>
      <c r="H11680" s="24">
        <v>103.0</v>
      </c>
      <c r="I11680" s="24">
        <v>0.0</v>
      </c>
      <c r="J11680" s="24">
        <v>0.0</v>
      </c>
      <c r="K11680" s="23" t="s">
        <v>34</v>
      </c>
      <c r="L11680" s="25">
        <v>39396.47957175926</v>
      </c>
      <c r="M11680" s="26" t="s">
        <v>1653</v>
      </c>
      <c r="N11680" s="26" t="s">
        <v>24465</v>
      </c>
      <c r="O11680" s="22" t="str">
        <f>HYPERLINK("https://pbs.twimg.com/profile_images/841657487174574081/_UnuIObJ_normal.jpg","View")</f>
        <v>View</v>
      </c>
      <c r="P11680" s="27"/>
    </row>
    <row r="11681">
      <c r="A11681" s="14">
        <v>43032.843993055554</v>
      </c>
      <c r="B11681" s="20" t="str">
        <f>HYPERLINK("https://twitter.com/WNN7Com","@WNN7Com")</f>
        <v>@WNN7Com</v>
      </c>
      <c r="C11681" s="29" t="s">
        <v>24466</v>
      </c>
      <c r="D11681" s="21" t="s">
        <v>24467</v>
      </c>
      <c r="E11681" s="22" t="str">
        <f>HYPERLINK("https://twitter.com/WNN7Com/status/923025158775992320","923025158775992320")</f>
        <v>923025158775992320</v>
      </c>
      <c r="F11681" s="23" t="s">
        <v>187</v>
      </c>
      <c r="G11681" s="24">
        <v>284.0</v>
      </c>
      <c r="H11681" s="24">
        <v>327.0</v>
      </c>
      <c r="I11681" s="24">
        <v>0.0</v>
      </c>
      <c r="J11681" s="24">
        <v>0.0</v>
      </c>
      <c r="K11681" s="23" t="s">
        <v>34</v>
      </c>
      <c r="L11681" s="25">
        <v>41595.28329861111</v>
      </c>
      <c r="M11681" s="28"/>
      <c r="N11681" s="26" t="s">
        <v>24468</v>
      </c>
      <c r="O11681" s="22" t="str">
        <f>HYPERLINK("https://pbs.twimg.com/profile_images/378800000753580639/33ae639ea5ffde83a2845678e4193c9b_normal.png","View")</f>
        <v>View</v>
      </c>
      <c r="P11681" s="27"/>
    </row>
    <row r="11682">
      <c r="A11682" s="14">
        <v>43032.8440162037</v>
      </c>
      <c r="B11682" s="20" t="str">
        <f>HYPERLINK("https://twitter.com/ahlam13991","@ahlam13991")</f>
        <v>@ahlam13991</v>
      </c>
      <c r="C11682" s="21" t="s">
        <v>24469</v>
      </c>
      <c r="D11682" s="21" t="s">
        <v>24470</v>
      </c>
      <c r="E11682" s="22" t="str">
        <f>HYPERLINK("https://twitter.com/ahlam13991/status/923025167454007296","923025167454007296")</f>
        <v>923025167454007296</v>
      </c>
      <c r="F11682" s="30" t="s">
        <v>191</v>
      </c>
      <c r="G11682" s="24">
        <v>522.0</v>
      </c>
      <c r="H11682" s="24">
        <v>71.0</v>
      </c>
      <c r="I11682" s="24">
        <v>0.0</v>
      </c>
      <c r="J11682" s="24">
        <v>0.0</v>
      </c>
      <c r="K11682" s="23" t="s">
        <v>34</v>
      </c>
      <c r="L11682" s="25">
        <v>40941.08241898148</v>
      </c>
      <c r="M11682" s="32" t="s">
        <v>24471</v>
      </c>
      <c r="N11682" s="28"/>
      <c r="O11682" s="22" t="str">
        <f>HYPERLINK("https://pbs.twimg.com/profile_images/1798722248/20733_1135985299424_1821096952_287230_6491965_a_normal.jpg","View")</f>
        <v>View</v>
      </c>
      <c r="P11682" s="27"/>
    </row>
    <row r="11683">
      <c r="A11683" s="14">
        <v>43032.844039351854</v>
      </c>
      <c r="B11683" s="20" t="str">
        <f>HYPERLINK("https://twitter.com/Social_Media_a4","@Social_Media_a4")</f>
        <v>@Social_Media_a4</v>
      </c>
      <c r="C11683" s="21" t="s">
        <v>24472</v>
      </c>
      <c r="D11683" s="21" t="s">
        <v>24473</v>
      </c>
      <c r="E11683" s="22" t="str">
        <f>HYPERLINK("https://twitter.com/Social_Media_a4/status/923025176689864705","923025176689864705")</f>
        <v>923025176689864705</v>
      </c>
      <c r="F11683" s="23" t="s">
        <v>427</v>
      </c>
      <c r="G11683" s="24">
        <v>19757.0</v>
      </c>
      <c r="H11683" s="24">
        <v>16807.0</v>
      </c>
      <c r="I11683" s="24">
        <v>0.0</v>
      </c>
      <c r="J11683" s="24">
        <v>0.0</v>
      </c>
      <c r="K11683" s="23" t="s">
        <v>34</v>
      </c>
      <c r="L11683" s="25">
        <v>42352.633993055555</v>
      </c>
      <c r="M11683" s="28"/>
      <c r="N11683" s="26" t="s">
        <v>24474</v>
      </c>
      <c r="O11683" s="22" t="str">
        <f>HYPERLINK("https://pbs.twimg.com/profile_images/860377228483248128/Ov8qgVuX_normal.jpg","View")</f>
        <v>View</v>
      </c>
      <c r="P11683" s="27"/>
    </row>
    <row r="11684">
      <c r="A11684" s="14">
        <v>43032.8441087963</v>
      </c>
      <c r="B11684" s="20" t="str">
        <f>HYPERLINK("https://twitter.com/emet_news_press","@emet_news_press")</f>
        <v>@emet_news_press</v>
      </c>
      <c r="C11684" s="21" t="s">
        <v>3650</v>
      </c>
      <c r="D11684" s="21" t="s">
        <v>24475</v>
      </c>
      <c r="E11684" s="22" t="str">
        <f>HYPERLINK("https://twitter.com/emet_news_press/status/923025201859911681","923025201859911681")</f>
        <v>923025201859911681</v>
      </c>
      <c r="F11684" s="23" t="s">
        <v>427</v>
      </c>
      <c r="G11684" s="24">
        <v>14273.0</v>
      </c>
      <c r="H11684" s="24">
        <v>3070.0</v>
      </c>
      <c r="I11684" s="24">
        <v>0.0</v>
      </c>
      <c r="J11684" s="24">
        <v>0.0</v>
      </c>
      <c r="K11684" s="23" t="s">
        <v>34</v>
      </c>
      <c r="L11684" s="25">
        <v>42457.10976851852</v>
      </c>
      <c r="M11684" s="26" t="s">
        <v>2068</v>
      </c>
      <c r="N11684" s="26" t="s">
        <v>3652</v>
      </c>
      <c r="O11684" s="22" t="str">
        <f>HYPERLINK("https://pbs.twimg.com/profile_images/867494379308687362/en57rgx2_normal.jpg","View")</f>
        <v>View</v>
      </c>
      <c r="P11684" s="27"/>
    </row>
    <row r="11685">
      <c r="A11685" s="14">
        <v>43032.84412037037</v>
      </c>
      <c r="B11685" s="20" t="str">
        <f>HYPERLINK("https://twitter.com/worldfinmarket","@worldfinmarket")</f>
        <v>@worldfinmarket</v>
      </c>
      <c r="C11685" s="21" t="s">
        <v>8103</v>
      </c>
      <c r="D11685" s="21" t="s">
        <v>24476</v>
      </c>
      <c r="E11685" s="22" t="str">
        <f>HYPERLINK("https://twitter.com/worldfinmarket/status/923025206943322117","923025206943322117")</f>
        <v>923025206943322117</v>
      </c>
      <c r="F11685" s="23" t="s">
        <v>427</v>
      </c>
      <c r="G11685" s="24">
        <v>148.0</v>
      </c>
      <c r="H11685" s="24">
        <v>17.0</v>
      </c>
      <c r="I11685" s="24">
        <v>0.0</v>
      </c>
      <c r="J11685" s="24">
        <v>0.0</v>
      </c>
      <c r="K11685" s="23" t="s">
        <v>34</v>
      </c>
      <c r="L11685" s="25">
        <v>41454.286458333336</v>
      </c>
      <c r="M11685" s="28"/>
      <c r="N11685" s="26" t="s">
        <v>8105</v>
      </c>
      <c r="O11685" s="22" t="str">
        <f>HYPERLINK("https://abs.twimg.com/sticky/default_profile_images/default_profile_normal.png","View")</f>
        <v>View</v>
      </c>
      <c r="P11685" s="27"/>
    </row>
    <row r="11686">
      <c r="A11686" s="14">
        <v>43032.84413194444</v>
      </c>
      <c r="B11686" s="20" t="str">
        <f>HYPERLINK("https://twitter.com/nowlifestyle3","@nowlifestyle3")</f>
        <v>@nowlifestyle3</v>
      </c>
      <c r="C11686" s="21" t="s">
        <v>24477</v>
      </c>
      <c r="D11686" s="21" t="s">
        <v>24478</v>
      </c>
      <c r="E11686" s="22" t="str">
        <f>HYPERLINK("https://twitter.com/nowlifestyle3/status/923025209703260161","923025209703260161")</f>
        <v>923025209703260161</v>
      </c>
      <c r="F11686" s="23" t="s">
        <v>427</v>
      </c>
      <c r="G11686" s="24">
        <v>55.0</v>
      </c>
      <c r="H11686" s="24">
        <v>388.0</v>
      </c>
      <c r="I11686" s="24">
        <v>0.0</v>
      </c>
      <c r="J11686" s="24">
        <v>0.0</v>
      </c>
      <c r="K11686" s="23" t="s">
        <v>34</v>
      </c>
      <c r="L11686" s="25">
        <v>42906.83833333333</v>
      </c>
      <c r="M11686" s="28"/>
      <c r="N11686" s="28"/>
      <c r="O11686" s="22" t="str">
        <f>HYPERLINK("https://pbs.twimg.com/profile_images/877364312351924225/vEdsjLkO_normal.jpg","View")</f>
        <v>View</v>
      </c>
      <c r="P11686" s="27"/>
    </row>
    <row r="11687">
      <c r="A11687" s="14">
        <v>43032.844201388885</v>
      </c>
      <c r="B11687" s="20" t="str">
        <f>HYPERLINK("https://twitter.com/VauntPR","@VauntPR")</f>
        <v>@VauntPR</v>
      </c>
      <c r="C11687" s="21" t="s">
        <v>24479</v>
      </c>
      <c r="D11687" s="21" t="s">
        <v>24480</v>
      </c>
      <c r="E11687" s="22" t="str">
        <f>HYPERLINK("https://twitter.com/VauntPR/status/923025235825315840","923025235825315840")</f>
        <v>923025235825315840</v>
      </c>
      <c r="F11687" s="23" t="s">
        <v>427</v>
      </c>
      <c r="G11687" s="24">
        <v>226.0</v>
      </c>
      <c r="H11687" s="24">
        <v>102.0</v>
      </c>
      <c r="I11687" s="24">
        <v>0.0</v>
      </c>
      <c r="J11687" s="24">
        <v>0.0</v>
      </c>
      <c r="K11687" s="23" t="s">
        <v>34</v>
      </c>
      <c r="L11687" s="25">
        <v>40571.79340277778</v>
      </c>
      <c r="M11687" s="26" t="s">
        <v>24481</v>
      </c>
      <c r="N11687" s="26" t="s">
        <v>24482</v>
      </c>
      <c r="O11687" s="22" t="str">
        <f>HYPERLINK("https://pbs.twimg.com/profile_images/1338017327/Vaunt_Twitter_normal.jpg","View")</f>
        <v>View</v>
      </c>
      <c r="P11687" s="27"/>
    </row>
    <row r="11688">
      <c r="A11688" s="14">
        <v>43032.84422453704</v>
      </c>
      <c r="B11688" s="20" t="str">
        <f>HYPERLINK("https://twitter.com/Social_Media_f2","@Social_Media_f2")</f>
        <v>@Social_Media_f2</v>
      </c>
      <c r="C11688" s="21" t="s">
        <v>24483</v>
      </c>
      <c r="D11688" s="21" t="s">
        <v>24484</v>
      </c>
      <c r="E11688" s="22" t="str">
        <f>HYPERLINK("https://twitter.com/Social_Media_f2/status/923025242171244544","923025242171244544")</f>
        <v>923025242171244544</v>
      </c>
      <c r="F11688" s="23" t="s">
        <v>427</v>
      </c>
      <c r="G11688" s="24">
        <v>7764.0</v>
      </c>
      <c r="H11688" s="24">
        <v>7948.0</v>
      </c>
      <c r="I11688" s="24">
        <v>0.0</v>
      </c>
      <c r="J11688" s="24">
        <v>0.0</v>
      </c>
      <c r="K11688" s="23" t="s">
        <v>34</v>
      </c>
      <c r="L11688" s="25">
        <v>42266.9721412037</v>
      </c>
      <c r="M11688" s="28"/>
      <c r="N11688" s="26" t="s">
        <v>24485</v>
      </c>
      <c r="O11688" s="22" t="str">
        <f>HYPERLINK("https://pbs.twimg.com/profile_images/860780648520220672/_z6epGrY_normal.jpg","View")</f>
        <v>View</v>
      </c>
      <c r="P11688" s="27"/>
    </row>
    <row r="11689">
      <c r="A11689" s="14">
        <v>43032.84425925926</v>
      </c>
      <c r="B11689" s="20" t="str">
        <f>HYPERLINK("https://twitter.com/RJ_Wealth_Ltd","@RJ_Wealth_Ltd")</f>
        <v>@RJ_Wealth_Ltd</v>
      </c>
      <c r="C11689" s="21" t="s">
        <v>24486</v>
      </c>
      <c r="D11689" s="21" t="s">
        <v>24487</v>
      </c>
      <c r="E11689" s="22" t="str">
        <f>HYPERLINK("https://twitter.com/RJ_Wealth_Ltd/status/923025255635079168","923025255635079168")</f>
        <v>923025255635079168</v>
      </c>
      <c r="F11689" s="23" t="s">
        <v>427</v>
      </c>
      <c r="G11689" s="24">
        <v>1828.0</v>
      </c>
      <c r="H11689" s="24">
        <v>1220.0</v>
      </c>
      <c r="I11689" s="24">
        <v>0.0</v>
      </c>
      <c r="J11689" s="24">
        <v>0.0</v>
      </c>
      <c r="K11689" s="23" t="s">
        <v>34</v>
      </c>
      <c r="L11689" s="25">
        <v>40430.23237268518</v>
      </c>
      <c r="M11689" s="26" t="s">
        <v>24488</v>
      </c>
      <c r="N11689" s="26" t="s">
        <v>24489</v>
      </c>
      <c r="O11689" s="22" t="str">
        <f>HYPERLINK("https://pbs.twimg.com/profile_images/882142620117499904/NgWsJRX7_normal.jpg","View")</f>
        <v>View</v>
      </c>
      <c r="P11689" s="27"/>
    </row>
    <row r="11690">
      <c r="A11690" s="14">
        <v>43032.84425925926</v>
      </c>
      <c r="B11690" s="20" t="str">
        <f>HYPERLINK("https://twitter.com/krunox123","@krunox123")</f>
        <v>@krunox123</v>
      </c>
      <c r="C11690" s="21" t="s">
        <v>1750</v>
      </c>
      <c r="D11690" s="21" t="s">
        <v>24490</v>
      </c>
      <c r="E11690" s="22" t="str">
        <f>HYPERLINK("https://twitter.com/krunox123/status/923025256444506117","923025256444506117")</f>
        <v>923025256444506117</v>
      </c>
      <c r="F11690" s="23" t="s">
        <v>187</v>
      </c>
      <c r="G11690" s="24">
        <v>10220.0</v>
      </c>
      <c r="H11690" s="24">
        <v>2.0</v>
      </c>
      <c r="I11690" s="24">
        <v>0.0</v>
      </c>
      <c r="J11690" s="24">
        <v>0.0</v>
      </c>
      <c r="K11690" s="23" t="s">
        <v>34</v>
      </c>
      <c r="L11690" s="25">
        <v>40938.22789351852</v>
      </c>
      <c r="M11690" s="26" t="s">
        <v>1752</v>
      </c>
      <c r="N11690" s="26" t="s">
        <v>1753</v>
      </c>
      <c r="O11690" s="22" t="str">
        <f>HYPERLINK("https://pbs.twimg.com/profile_images/824952382618349568/2SFIkM2x_normal.jpg","View")</f>
        <v>View</v>
      </c>
      <c r="P11690" s="27"/>
    </row>
    <row r="11691">
      <c r="A11691" s="14">
        <v>43032.844560185185</v>
      </c>
      <c r="B11691" s="20" t="str">
        <f>HYPERLINK("https://twitter.com/southeastasia4u","@southeastasia4u")</f>
        <v>@southeastasia4u</v>
      </c>
      <c r="C11691" s="21" t="s">
        <v>12291</v>
      </c>
      <c r="D11691" s="21" t="s">
        <v>24491</v>
      </c>
      <c r="E11691" s="22" t="str">
        <f>HYPERLINK("https://twitter.com/southeastasia4u/status/923025365458735104","923025365458735104")</f>
        <v>923025365458735104</v>
      </c>
      <c r="F11691" s="23" t="s">
        <v>427</v>
      </c>
      <c r="G11691" s="24">
        <v>10287.0</v>
      </c>
      <c r="H11691" s="24">
        <v>261.0</v>
      </c>
      <c r="I11691" s="24">
        <v>0.0</v>
      </c>
      <c r="J11691" s="24">
        <v>0.0</v>
      </c>
      <c r="K11691" s="23" t="s">
        <v>34</v>
      </c>
      <c r="L11691" s="25">
        <v>40501.255844907406</v>
      </c>
      <c r="M11691" s="28"/>
      <c r="N11691" s="26" t="s">
        <v>12293</v>
      </c>
      <c r="O11691" s="22" t="str">
        <f>HYPERLINK("https://pbs.twimg.com/profile_images/731982571609935872/8_XxaGHF_normal.jpg","View")</f>
        <v>View</v>
      </c>
      <c r="P11691" s="27"/>
    </row>
    <row r="11692">
      <c r="A11692" s="14">
        <v>43032.844571759255</v>
      </c>
      <c r="B11692" s="20" t="str">
        <f>HYPERLINK("https://twitter.com/iki_tanaka","@iki_tanaka")</f>
        <v>@iki_tanaka</v>
      </c>
      <c r="C11692" s="21" t="s">
        <v>24492</v>
      </c>
      <c r="D11692" s="21" t="s">
        <v>24493</v>
      </c>
      <c r="E11692" s="22" t="str">
        <f>HYPERLINK("https://twitter.com/iki_tanaka/status/923025370441441282","923025370441441282")</f>
        <v>923025370441441282</v>
      </c>
      <c r="F11692" s="23" t="s">
        <v>18038</v>
      </c>
      <c r="G11692" s="24">
        <v>2391.0</v>
      </c>
      <c r="H11692" s="24">
        <v>176.0</v>
      </c>
      <c r="I11692" s="24">
        <v>2.0</v>
      </c>
      <c r="J11692" s="24">
        <v>0.0</v>
      </c>
      <c r="K11692" s="23" t="s">
        <v>34</v>
      </c>
      <c r="L11692" s="25">
        <v>40150.13854166667</v>
      </c>
      <c r="M11692" s="26" t="s">
        <v>5401</v>
      </c>
      <c r="N11692" s="26" t="s">
        <v>24494</v>
      </c>
      <c r="O11692" s="22" t="str">
        <f>HYPERLINK("https://pbs.twimg.com/profile_images/718345448839376896/AQ6UYTPm_normal.jpg","View")</f>
        <v>View</v>
      </c>
      <c r="P11692" s="27"/>
    </row>
    <row r="11693">
      <c r="A11693" s="14">
        <v>43032.844664351855</v>
      </c>
      <c r="B11693" s="20" t="str">
        <f t="shared" ref="B11693:B11694" si="294">HYPERLINK("https://twitter.com/RealTimeHack","@RealTimeHack")</f>
        <v>@RealTimeHack</v>
      </c>
      <c r="C11693" s="21" t="s">
        <v>3773</v>
      </c>
      <c r="D11693" s="21" t="s">
        <v>24495</v>
      </c>
      <c r="E11693" s="22" t="str">
        <f>HYPERLINK("https://twitter.com/RealTimeHack/status/923025400871247873","923025400871247873")</f>
        <v>923025400871247873</v>
      </c>
      <c r="F11693" s="23" t="s">
        <v>187</v>
      </c>
      <c r="G11693" s="24">
        <v>2189.0</v>
      </c>
      <c r="H11693" s="24">
        <v>1282.0</v>
      </c>
      <c r="I11693" s="24">
        <v>0.0</v>
      </c>
      <c r="J11693" s="24">
        <v>0.0</v>
      </c>
      <c r="K11693" s="23" t="s">
        <v>34</v>
      </c>
      <c r="L11693" s="25">
        <v>40641.39920138889</v>
      </c>
      <c r="M11693" s="26" t="s">
        <v>3775</v>
      </c>
      <c r="N11693" s="26" t="s">
        <v>3776</v>
      </c>
      <c r="O11693" s="22" t="str">
        <f t="shared" ref="O11693:O11694" si="295">HYPERLINK("https://pbs.twimg.com/profile_images/1304602852/Nuke_Egg_normal.gif","View")</f>
        <v>View</v>
      </c>
      <c r="P11693" s="27"/>
    </row>
    <row r="11694">
      <c r="A11694" s="14">
        <v>43032.8446875</v>
      </c>
      <c r="B11694" s="20" t="str">
        <f t="shared" si="294"/>
        <v>@RealTimeHack</v>
      </c>
      <c r="C11694" s="21" t="s">
        <v>3773</v>
      </c>
      <c r="D11694" s="21" t="s">
        <v>24496</v>
      </c>
      <c r="E11694" s="22" t="str">
        <f>HYPERLINK("https://twitter.com/RealTimeHack/status/923025410446839808","923025410446839808")</f>
        <v>923025410446839808</v>
      </c>
      <c r="F11694" s="23" t="s">
        <v>187</v>
      </c>
      <c r="G11694" s="24">
        <v>2189.0</v>
      </c>
      <c r="H11694" s="24">
        <v>1282.0</v>
      </c>
      <c r="I11694" s="24">
        <v>0.0</v>
      </c>
      <c r="J11694" s="24">
        <v>0.0</v>
      </c>
      <c r="K11694" s="23" t="s">
        <v>34</v>
      </c>
      <c r="L11694" s="25">
        <v>40641.39920138889</v>
      </c>
      <c r="M11694" s="26" t="s">
        <v>3775</v>
      </c>
      <c r="N11694" s="26" t="s">
        <v>3776</v>
      </c>
      <c r="O11694" s="22" t="str">
        <f t="shared" si="295"/>
        <v>View</v>
      </c>
      <c r="P11694" s="27"/>
    </row>
    <row r="11695">
      <c r="A11695" s="14">
        <v>43032.844814814816</v>
      </c>
      <c r="B11695" s="20" t="str">
        <f>HYPERLINK("https://twitter.com/bantam84","@bantam84")</f>
        <v>@bantam84</v>
      </c>
      <c r="C11695" s="21" t="s">
        <v>24497</v>
      </c>
      <c r="D11695" s="21" t="s">
        <v>23414</v>
      </c>
      <c r="E11695" s="22" t="str">
        <f>HYPERLINK("https://twitter.com/bantam84/status/923025456198180866","923025456198180866")</f>
        <v>923025456198180866</v>
      </c>
      <c r="F11695" s="23" t="s">
        <v>33</v>
      </c>
      <c r="G11695" s="24">
        <v>135.0</v>
      </c>
      <c r="H11695" s="24">
        <v>160.0</v>
      </c>
      <c r="I11695" s="24">
        <v>2.0</v>
      </c>
      <c r="J11695" s="24">
        <v>0.0</v>
      </c>
      <c r="K11695" s="23" t="s">
        <v>34</v>
      </c>
      <c r="L11695" s="25">
        <v>40518.03056712963</v>
      </c>
      <c r="M11695" s="28"/>
      <c r="N11695" s="28"/>
      <c r="O11695" s="22" t="str">
        <f>HYPERLINK("https://pbs.twimg.com/profile_images/503528880691363841/MKNTGxsV_normal.jpeg","View")</f>
        <v>View</v>
      </c>
      <c r="P11695" s="27"/>
    </row>
    <row r="11696">
      <c r="A11696" s="14">
        <v>43032.84596064815</v>
      </c>
      <c r="B11696" s="20" t="str">
        <f>HYPERLINK("https://twitter.com/conlibrarian","@conlibrarian")</f>
        <v>@conlibrarian</v>
      </c>
      <c r="C11696" s="21" t="s">
        <v>24498</v>
      </c>
      <c r="D11696" s="21" t="s">
        <v>24499</v>
      </c>
      <c r="E11696" s="22" t="str">
        <f>HYPERLINK("https://twitter.com/conlibrarian/status/923025873053323264","923025873053323264")</f>
        <v>923025873053323264</v>
      </c>
      <c r="F11696" s="23" t="s">
        <v>39</v>
      </c>
      <c r="G11696" s="24">
        <v>447.0</v>
      </c>
      <c r="H11696" s="24">
        <v>410.0</v>
      </c>
      <c r="I11696" s="24">
        <v>0.0</v>
      </c>
      <c r="J11696" s="24">
        <v>0.0</v>
      </c>
      <c r="K11696" s="23" t="s">
        <v>34</v>
      </c>
      <c r="L11696" s="25">
        <v>42701.76474537037</v>
      </c>
      <c r="M11696" s="26" t="s">
        <v>1186</v>
      </c>
      <c r="N11696" s="26" t="s">
        <v>24500</v>
      </c>
      <c r="O11696" s="22" t="str">
        <f>HYPERLINK("https://pbs.twimg.com/profile_images/803061989119553536/wIYbRh8c_normal.jpg","View")</f>
        <v>View</v>
      </c>
      <c r="P11696" s="27"/>
    </row>
    <row r="11697">
      <c r="A11697" s="14">
        <v>43032.84609953704</v>
      </c>
      <c r="B11697" s="20" t="str">
        <f>HYPERLINK("https://twitter.com/breaking_forex","@breaking_forex")</f>
        <v>@breaking_forex</v>
      </c>
      <c r="C11697" s="21" t="s">
        <v>24501</v>
      </c>
      <c r="D11697" s="21" t="s">
        <v>24502</v>
      </c>
      <c r="E11697" s="22" t="str">
        <f>HYPERLINK("https://twitter.com/breaking_forex/status/923025921698869251","923025921698869251")</f>
        <v>923025921698869251</v>
      </c>
      <c r="F11697" s="23" t="s">
        <v>24501</v>
      </c>
      <c r="G11697" s="24">
        <v>341.0</v>
      </c>
      <c r="H11697" s="24">
        <v>303.0</v>
      </c>
      <c r="I11697" s="24">
        <v>0.0</v>
      </c>
      <c r="J11697" s="24">
        <v>0.0</v>
      </c>
      <c r="K11697" s="23" t="s">
        <v>34</v>
      </c>
      <c r="L11697" s="25">
        <v>42625.498194444444</v>
      </c>
      <c r="M11697" s="26" t="s">
        <v>3507</v>
      </c>
      <c r="N11697" s="26" t="s">
        <v>24503</v>
      </c>
      <c r="O11697" s="22" t="str">
        <f>HYPERLINK("https://pbs.twimg.com/profile_images/779654719753052160/YM-9By-S_normal.jpg","View")</f>
        <v>View</v>
      </c>
      <c r="P11697" s="27"/>
    </row>
    <row r="11698">
      <c r="A11698" s="14">
        <v>43032.84612268519</v>
      </c>
      <c r="B11698" s="20" t="str">
        <f>HYPERLINK("https://twitter.com/BarunKumarSah7","@BarunKumarSah7")</f>
        <v>@BarunKumarSah7</v>
      </c>
      <c r="C11698" s="21" t="s">
        <v>1276</v>
      </c>
      <c r="D11698" s="21" t="s">
        <v>22882</v>
      </c>
      <c r="E11698" s="22" t="str">
        <f>HYPERLINK("https://twitter.com/BarunKumarSah7/status/923025929273688065","923025929273688065")</f>
        <v>923025929273688065</v>
      </c>
      <c r="F11698" s="23" t="s">
        <v>33</v>
      </c>
      <c r="G11698" s="24">
        <v>38.0</v>
      </c>
      <c r="H11698" s="24">
        <v>101.0</v>
      </c>
      <c r="I11698" s="24">
        <v>33.0</v>
      </c>
      <c r="J11698" s="24">
        <v>0.0</v>
      </c>
      <c r="K11698" s="23" t="s">
        <v>34</v>
      </c>
      <c r="L11698" s="25">
        <v>42969.12107638889</v>
      </c>
      <c r="M11698" s="26" t="s">
        <v>1277</v>
      </c>
      <c r="N11698" s="26" t="s">
        <v>1278</v>
      </c>
      <c r="O11698" s="22" t="str">
        <f>HYPERLINK("https://pbs.twimg.com/profile_images/914007461798883328/qUyDNXIG_normal.jpg","View")</f>
        <v>View</v>
      </c>
      <c r="P11698" s="27"/>
    </row>
    <row r="11699">
      <c r="A11699" s="14">
        <v>43032.846666666665</v>
      </c>
      <c r="B11699" s="20" t="str">
        <f>HYPERLINK("https://twitter.com/peggy03bonilla","@peggy03bonilla")</f>
        <v>@peggy03bonilla</v>
      </c>
      <c r="C11699" s="21" t="s">
        <v>18913</v>
      </c>
      <c r="D11699" s="21" t="s">
        <v>24007</v>
      </c>
      <c r="E11699" s="22" t="str">
        <f>HYPERLINK("https://twitter.com/peggy03bonilla/status/923026127693606912","923026127693606912")</f>
        <v>923026127693606912</v>
      </c>
      <c r="F11699" s="23" t="s">
        <v>55</v>
      </c>
      <c r="G11699" s="24">
        <v>1.0</v>
      </c>
      <c r="H11699" s="24">
        <v>0.0</v>
      </c>
      <c r="I11699" s="24">
        <v>122.0</v>
      </c>
      <c r="J11699" s="24">
        <v>0.0</v>
      </c>
      <c r="K11699" s="23" t="s">
        <v>34</v>
      </c>
      <c r="L11699" s="25">
        <v>43022.12903935185</v>
      </c>
      <c r="M11699" s="26" t="s">
        <v>8098</v>
      </c>
      <c r="N11699" s="26" t="s">
        <v>24504</v>
      </c>
      <c r="O11699" s="22" t="str">
        <f>HYPERLINK("https://pbs.twimg.com/profile_images/920557509005385729/1C8KNsCm_normal.jpg","View")</f>
        <v>View</v>
      </c>
      <c r="P11699" s="27"/>
    </row>
    <row r="11700">
      <c r="A11700" s="14">
        <v>43032.8468287037</v>
      </c>
      <c r="B11700" s="20" t="str">
        <f>HYPERLINK("https://twitter.com/matglobal","@matglobal")</f>
        <v>@matglobal</v>
      </c>
      <c r="C11700" s="21" t="s">
        <v>9790</v>
      </c>
      <c r="D11700" s="21" t="s">
        <v>24505</v>
      </c>
      <c r="E11700" s="22" t="str">
        <f>HYPERLINK("https://twitter.com/matglobal/status/923026188003610624","923026188003610624")</f>
        <v>923026188003610624</v>
      </c>
      <c r="F11700" s="23" t="s">
        <v>91</v>
      </c>
      <c r="G11700" s="24">
        <v>1530.0</v>
      </c>
      <c r="H11700" s="24">
        <v>1476.0</v>
      </c>
      <c r="I11700" s="24">
        <v>0.0</v>
      </c>
      <c r="J11700" s="24">
        <v>0.0</v>
      </c>
      <c r="K11700" s="23" t="s">
        <v>34</v>
      </c>
      <c r="L11700" s="25">
        <v>40887.22835648148</v>
      </c>
      <c r="M11700" s="26" t="s">
        <v>9792</v>
      </c>
      <c r="N11700" s="26" t="s">
        <v>9793</v>
      </c>
      <c r="O11700" s="22" t="str">
        <f>HYPERLINK("https://pbs.twimg.com/profile_images/673814548684652544/cha7Er5K_normal.png","View")</f>
        <v>View</v>
      </c>
      <c r="P11700" s="27"/>
    </row>
    <row r="11701">
      <c r="A11701" s="14">
        <v>43032.84689814815</v>
      </c>
      <c r="B11701" s="20" t="str">
        <f>HYPERLINK("https://twitter.com/GeorgiaBoy4Real","@GeorgiaBoy4Real")</f>
        <v>@GeorgiaBoy4Real</v>
      </c>
      <c r="C11701" s="21" t="s">
        <v>24506</v>
      </c>
      <c r="D11701" s="21" t="s">
        <v>24007</v>
      </c>
      <c r="E11701" s="22" t="str">
        <f>HYPERLINK("https://twitter.com/GeorgiaBoy4Real/status/923026212989161472","923026212989161472")</f>
        <v>923026212989161472</v>
      </c>
      <c r="F11701" s="23" t="s">
        <v>43</v>
      </c>
      <c r="G11701" s="24">
        <v>235.0</v>
      </c>
      <c r="H11701" s="24">
        <v>382.0</v>
      </c>
      <c r="I11701" s="24">
        <v>122.0</v>
      </c>
      <c r="J11701" s="24">
        <v>0.0</v>
      </c>
      <c r="K11701" s="23" t="s">
        <v>34</v>
      </c>
      <c r="L11701" s="25">
        <v>42697.83908564815</v>
      </c>
      <c r="M11701" s="26" t="s">
        <v>24507</v>
      </c>
      <c r="N11701" s="28"/>
      <c r="O11701" s="22" t="str">
        <f>HYPERLINK("https://pbs.twimg.com/profile_images/802158861587255296/wal2WVNQ_normal.jpg","View")</f>
        <v>View</v>
      </c>
      <c r="P11701" s="27"/>
    </row>
    <row r="11702">
      <c r="A11702" s="14">
        <v>43032.84701388889</v>
      </c>
      <c r="B11702" s="20" t="str">
        <f>HYPERLINK("https://twitter.com/mlndbodyfloat","@mlndbodyfloat")</f>
        <v>@mlndbodyfloat</v>
      </c>
      <c r="C11702" s="21" t="s">
        <v>24508</v>
      </c>
      <c r="D11702" s="21" t="s">
        <v>24509</v>
      </c>
      <c r="E11702" s="22" t="str">
        <f>HYPERLINK("https://twitter.com/mlndbodyfloat/status/923026255183835141","923026255183835141")</f>
        <v>923026255183835141</v>
      </c>
      <c r="F11702" s="23" t="s">
        <v>33</v>
      </c>
      <c r="G11702" s="24">
        <v>32.0</v>
      </c>
      <c r="H11702" s="24">
        <v>1290.0</v>
      </c>
      <c r="I11702" s="24">
        <v>1.0</v>
      </c>
      <c r="J11702" s="24">
        <v>0.0</v>
      </c>
      <c r="K11702" s="23" t="s">
        <v>34</v>
      </c>
      <c r="L11702" s="25">
        <v>41741.44479166667</v>
      </c>
      <c r="M11702" s="26" t="s">
        <v>22337</v>
      </c>
      <c r="N11702" s="26" t="s">
        <v>24510</v>
      </c>
      <c r="O11702" s="22" t="str">
        <f>HYPERLINK("https://pbs.twimg.com/profile_images/749753329207615488/BE9IfNaT_normal.jpg","View")</f>
        <v>View</v>
      </c>
      <c r="P11702" s="27"/>
    </row>
    <row r="11703">
      <c r="A11703" s="14">
        <v>43032.847291666665</v>
      </c>
      <c r="B11703" s="20" t="str">
        <f>HYPERLINK("https://twitter.com/malaysiandaily","@malaysiandaily")</f>
        <v>@malaysiandaily</v>
      </c>
      <c r="C11703" s="21" t="s">
        <v>24511</v>
      </c>
      <c r="D11703" s="21" t="s">
        <v>24512</v>
      </c>
      <c r="E11703" s="22" t="str">
        <f>HYPERLINK("https://twitter.com/malaysiandaily/status/923026352562782209","923026352562782209")</f>
        <v>923026352562782209</v>
      </c>
      <c r="F11703" s="30" t="s">
        <v>411</v>
      </c>
      <c r="G11703" s="24">
        <v>227696.0</v>
      </c>
      <c r="H11703" s="24">
        <v>103671.0</v>
      </c>
      <c r="I11703" s="24">
        <v>0.0</v>
      </c>
      <c r="J11703" s="24">
        <v>0.0</v>
      </c>
      <c r="K11703" s="23" t="s">
        <v>34</v>
      </c>
      <c r="L11703" s="25">
        <v>40456.21886574074</v>
      </c>
      <c r="M11703" s="26" t="s">
        <v>295</v>
      </c>
      <c r="N11703" s="26" t="s">
        <v>24513</v>
      </c>
      <c r="O11703" s="22" t="str">
        <f>HYPERLINK("https://pbs.twimg.com/profile_images/1137903831/News_normal.jpg","View")</f>
        <v>View</v>
      </c>
      <c r="P11703" s="27"/>
    </row>
    <row r="11704">
      <c r="A11704" s="14">
        <v>43032.84746527778</v>
      </c>
      <c r="B11704" s="20" t="str">
        <f>HYPERLINK("https://twitter.com/MexicoNewsBot","@MexicoNewsBot")</f>
        <v>@MexicoNewsBot</v>
      </c>
      <c r="C11704" s="21" t="s">
        <v>24514</v>
      </c>
      <c r="D11704" s="21" t="s">
        <v>24515</v>
      </c>
      <c r="E11704" s="22" t="str">
        <f>HYPERLINK("https://twitter.com/MexicoNewsBot/status/923026418673553408","923026418673553408")</f>
        <v>923026418673553408</v>
      </c>
      <c r="F11704" s="23" t="s">
        <v>91</v>
      </c>
      <c r="G11704" s="24">
        <v>473.0</v>
      </c>
      <c r="H11704" s="24">
        <v>183.0</v>
      </c>
      <c r="I11704" s="24">
        <v>0.0</v>
      </c>
      <c r="J11704" s="24">
        <v>0.0</v>
      </c>
      <c r="K11704" s="23" t="s">
        <v>34</v>
      </c>
      <c r="L11704" s="25">
        <v>41845.74575231482</v>
      </c>
      <c r="M11704" s="28"/>
      <c r="N11704" s="28"/>
      <c r="O11704" s="22" t="str">
        <f>HYPERLINK("https://pbs.twimg.com/profile_images/492864938445000704/QxvpQrRZ_normal.jpeg","View")</f>
        <v>View</v>
      </c>
      <c r="P11704" s="27"/>
    </row>
    <row r="11705">
      <c r="A11705" s="14">
        <v>43032.84767361111</v>
      </c>
      <c r="B11705" s="20" t="str">
        <f>HYPERLINK("https://twitter.com/MusicDownloadNG","@MusicDownloadNG")</f>
        <v>@MusicDownloadNG</v>
      </c>
      <c r="C11705" s="21" t="s">
        <v>24516</v>
      </c>
      <c r="D11705" s="21" t="s">
        <v>24517</v>
      </c>
      <c r="E11705" s="22" t="str">
        <f>HYPERLINK("https://twitter.com/MusicDownloadNG/status/923026492656902144","923026492656902144")</f>
        <v>923026492656902144</v>
      </c>
      <c r="F11705" s="30" t="s">
        <v>191</v>
      </c>
      <c r="G11705" s="24">
        <v>231.0</v>
      </c>
      <c r="H11705" s="24">
        <v>381.0</v>
      </c>
      <c r="I11705" s="24">
        <v>0.0</v>
      </c>
      <c r="J11705" s="24">
        <v>0.0</v>
      </c>
      <c r="K11705" s="23" t="s">
        <v>34</v>
      </c>
      <c r="L11705" s="25">
        <v>41974.582141203704</v>
      </c>
      <c r="M11705" s="26" t="s">
        <v>4424</v>
      </c>
      <c r="N11705" s="26" t="s">
        <v>24518</v>
      </c>
      <c r="O11705" s="22" t="str">
        <f>HYPERLINK("https://pbs.twimg.com/profile_images/539543729682395136/PDvcA9Vv_normal.jpeg","View")</f>
        <v>View</v>
      </c>
      <c r="P11705" s="27"/>
    </row>
    <row r="11706">
      <c r="A11706" s="14">
        <v>43032.84778935185</v>
      </c>
      <c r="B11706" s="20" t="str">
        <f>HYPERLINK("https://twitter.com/Wetinhappen","@Wetinhappen")</f>
        <v>@Wetinhappen</v>
      </c>
      <c r="C11706" s="21" t="s">
        <v>24519</v>
      </c>
      <c r="D11706" s="21" t="s">
        <v>24520</v>
      </c>
      <c r="E11706" s="22" t="str">
        <f>HYPERLINK("https://twitter.com/Wetinhappen/status/923026536483180546","923026536483180546")</f>
        <v>923026536483180546</v>
      </c>
      <c r="F11706" s="30" t="s">
        <v>191</v>
      </c>
      <c r="G11706" s="24">
        <v>1926.0</v>
      </c>
      <c r="H11706" s="24">
        <v>916.0</v>
      </c>
      <c r="I11706" s="24">
        <v>0.0</v>
      </c>
      <c r="J11706" s="24">
        <v>0.0</v>
      </c>
      <c r="K11706" s="23" t="s">
        <v>34</v>
      </c>
      <c r="L11706" s="25">
        <v>40121.377291666664</v>
      </c>
      <c r="M11706" s="26" t="s">
        <v>4424</v>
      </c>
      <c r="N11706" s="26" t="s">
        <v>24521</v>
      </c>
      <c r="O11706" s="22" t="str">
        <f>HYPERLINK("https://pbs.twimg.com/profile_images/378800000704079333/04f2f79c8ebb607372eb4234ffcf59ae_normal.png","View")</f>
        <v>View</v>
      </c>
      <c r="P11706" s="27"/>
    </row>
    <row r="11707">
      <c r="A11707" s="14">
        <v>43032.84780092593</v>
      </c>
      <c r="B11707" s="20" t="str">
        <f>HYPERLINK("https://twitter.com/AkwaIbomRising","@AkwaIbomRising")</f>
        <v>@AkwaIbomRising</v>
      </c>
      <c r="C11707" s="21" t="s">
        <v>24522</v>
      </c>
      <c r="D11707" s="21" t="s">
        <v>24523</v>
      </c>
      <c r="E11707" s="22" t="str">
        <f>HYPERLINK("https://twitter.com/AkwaIbomRising/status/923026540157431808","923026540157431808")</f>
        <v>923026540157431808</v>
      </c>
      <c r="F11707" s="30" t="s">
        <v>191</v>
      </c>
      <c r="G11707" s="24">
        <v>92.0</v>
      </c>
      <c r="H11707" s="24">
        <v>30.0</v>
      </c>
      <c r="I11707" s="24">
        <v>0.0</v>
      </c>
      <c r="J11707" s="24">
        <v>0.0</v>
      </c>
      <c r="K11707" s="23" t="s">
        <v>34</v>
      </c>
      <c r="L11707" s="25">
        <v>42332.704039351855</v>
      </c>
      <c r="M11707" s="28"/>
      <c r="N11707" s="28"/>
      <c r="O11707" s="22" t="str">
        <f>HYPERLINK("https://pbs.twimg.com/profile_images/669652143503224832/WOjr5jmj_normal.png","View")</f>
        <v>View</v>
      </c>
      <c r="P11707" s="27"/>
    </row>
    <row r="11708">
      <c r="A11708" s="14">
        <v>43032.84783564815</v>
      </c>
      <c r="B11708" s="20" t="str">
        <f>HYPERLINK("https://twitter.com/WetinhappenPR","@WetinhappenPR")</f>
        <v>@WetinhappenPR</v>
      </c>
      <c r="C11708" s="21" t="s">
        <v>24524</v>
      </c>
      <c r="D11708" s="21" t="s">
        <v>24525</v>
      </c>
      <c r="E11708" s="22" t="str">
        <f>HYPERLINK("https://twitter.com/WetinhappenPR/status/923026551318482946","923026551318482946")</f>
        <v>923026551318482946</v>
      </c>
      <c r="F11708" s="30" t="s">
        <v>191</v>
      </c>
      <c r="G11708" s="24">
        <v>2259.0</v>
      </c>
      <c r="H11708" s="24">
        <v>1202.0</v>
      </c>
      <c r="I11708" s="24">
        <v>0.0</v>
      </c>
      <c r="J11708" s="24">
        <v>0.0</v>
      </c>
      <c r="K11708" s="23" t="s">
        <v>34</v>
      </c>
      <c r="L11708" s="25">
        <v>42329.47267361111</v>
      </c>
      <c r="M11708" s="26" t="s">
        <v>4424</v>
      </c>
      <c r="N11708" s="26" t="s">
        <v>24526</v>
      </c>
      <c r="O11708" s="22" t="str">
        <f>HYPERLINK("https://pbs.twimg.com/profile_images/689609501150953472/g2Y1MDvG_normal.jpg","View")</f>
        <v>View</v>
      </c>
      <c r="P11708" s="27"/>
    </row>
    <row r="11709">
      <c r="A11709" s="14">
        <v>43032.84793981482</v>
      </c>
      <c r="B11709" s="20" t="str">
        <f>HYPERLINK("https://twitter.com/newslivenetwork","@newslivenetwork")</f>
        <v>@newslivenetwork</v>
      </c>
      <c r="C11709" s="21" t="s">
        <v>89</v>
      </c>
      <c r="D11709" s="21" t="s">
        <v>24527</v>
      </c>
      <c r="E11709" s="22" t="str">
        <f>HYPERLINK("https://twitter.com/newslivenetwork/status/923026590283583488","923026590283583488")</f>
        <v>923026590283583488</v>
      </c>
      <c r="F11709" s="23" t="s">
        <v>91</v>
      </c>
      <c r="G11709" s="24">
        <v>271.0</v>
      </c>
      <c r="H11709" s="24">
        <v>87.0</v>
      </c>
      <c r="I11709" s="24">
        <v>0.0</v>
      </c>
      <c r="J11709" s="24">
        <v>0.0</v>
      </c>
      <c r="K11709" s="23" t="s">
        <v>34</v>
      </c>
      <c r="L11709" s="25">
        <v>42741.47196759259</v>
      </c>
      <c r="M11709" s="26" t="s">
        <v>92</v>
      </c>
      <c r="N11709" s="26" t="s">
        <v>93</v>
      </c>
      <c r="O11709" s="22" t="str">
        <f>HYPERLINK("https://pbs.twimg.com/profile_images/877414144424660992/scfhocj3_normal.jpg","View")</f>
        <v>View</v>
      </c>
      <c r="P11709" s="27"/>
    </row>
    <row r="11710">
      <c r="A11710" s="14">
        <v>43032.848182870366</v>
      </c>
      <c r="B11710" s="20" t="str">
        <f>HYPERLINK("https://twitter.com/t_toripy","@t_toripy")</f>
        <v>@t_toripy</v>
      </c>
      <c r="C11710" s="21" t="s">
        <v>24528</v>
      </c>
      <c r="D11710" s="21" t="s">
        <v>24529</v>
      </c>
      <c r="E11710" s="22" t="str">
        <f>HYPERLINK("https://twitter.com/t_toripy/status/923026676035985408","923026676035985408")</f>
        <v>923026676035985408</v>
      </c>
      <c r="F11710" s="23" t="s">
        <v>55</v>
      </c>
      <c r="G11710" s="24">
        <v>1959.0</v>
      </c>
      <c r="H11710" s="24">
        <v>2487.0</v>
      </c>
      <c r="I11710" s="24">
        <v>0.0</v>
      </c>
      <c r="J11710" s="24">
        <v>0.0</v>
      </c>
      <c r="K11710" s="23" t="s">
        <v>34</v>
      </c>
      <c r="L11710" s="25">
        <v>40604.24700231481</v>
      </c>
      <c r="M11710" s="26" t="s">
        <v>24530</v>
      </c>
      <c r="N11710" s="26" t="s">
        <v>24531</v>
      </c>
      <c r="O11710" s="22" t="str">
        <f>HYPERLINK("https://pbs.twimg.com/profile_images/747624585755975680/p_F2PoJG_normal.jpg","View")</f>
        <v>View</v>
      </c>
      <c r="P11710" s="27"/>
    </row>
    <row r="11711">
      <c r="A11711" s="14">
        <v>43032.84829861111</v>
      </c>
      <c r="B11711" s="20" t="str">
        <f>HYPERLINK("https://twitter.com/MrRafiqIslamRo1","@MrRafiqIslamRo1")</f>
        <v>@MrRafiqIslamRo1</v>
      </c>
      <c r="C11711" s="21" t="s">
        <v>23994</v>
      </c>
      <c r="D11711" s="21" t="s">
        <v>24532</v>
      </c>
      <c r="E11711" s="22" t="str">
        <f>HYPERLINK("https://twitter.com/MrRafiqIslamRo1/status/923026720998825984","923026720998825984")</f>
        <v>923026720998825984</v>
      </c>
      <c r="F11711" s="23" t="s">
        <v>33</v>
      </c>
      <c r="G11711" s="24">
        <v>974.0</v>
      </c>
      <c r="H11711" s="24">
        <v>4981.0</v>
      </c>
      <c r="I11711" s="24">
        <v>0.0</v>
      </c>
      <c r="J11711" s="24">
        <v>0.0</v>
      </c>
      <c r="K11711" s="23" t="s">
        <v>34</v>
      </c>
      <c r="L11711" s="25">
        <v>42773.30729166667</v>
      </c>
      <c r="M11711" s="26" t="s">
        <v>7210</v>
      </c>
      <c r="N11711" s="26" t="s">
        <v>1279</v>
      </c>
      <c r="O11711" s="22" t="str">
        <f>HYPERLINK("https://pbs.twimg.com/profile_images/849474066130112512/n0jUEsfw_normal.jpg","View")</f>
        <v>View</v>
      </c>
      <c r="P11711" s="27"/>
    </row>
    <row r="11712">
      <c r="A11712" s="14">
        <v>43032.84950231481</v>
      </c>
      <c r="B11712" s="20" t="str">
        <f>HYPERLINK("https://twitter.com/NewsTweetsWorld","@NewsTweetsWorld")</f>
        <v>@NewsTweetsWorld</v>
      </c>
      <c r="C11712" s="21" t="s">
        <v>2115</v>
      </c>
      <c r="D11712" s="21" t="s">
        <v>24533</v>
      </c>
      <c r="E11712" s="22" t="str">
        <f>HYPERLINK("https://twitter.com/NewsTweetsWorld/status/923027155864424448","923027155864424448")</f>
        <v>923027155864424448</v>
      </c>
      <c r="F11712" s="23" t="s">
        <v>187</v>
      </c>
      <c r="G11712" s="24">
        <v>103.0</v>
      </c>
      <c r="H11712" s="24">
        <v>1.0</v>
      </c>
      <c r="I11712" s="24">
        <v>0.0</v>
      </c>
      <c r="J11712" s="24">
        <v>0.0</v>
      </c>
      <c r="K11712" s="23" t="s">
        <v>34</v>
      </c>
      <c r="L11712" s="25">
        <v>41532.008935185186</v>
      </c>
      <c r="M11712" s="26" t="s">
        <v>204</v>
      </c>
      <c r="N11712" s="26" t="s">
        <v>2117</v>
      </c>
      <c r="O11712" s="22" t="str">
        <f>HYPERLINK("https://pbs.twimg.com/profile_images/843820599508066304/J82aiBad_normal.jpg","View")</f>
        <v>View</v>
      </c>
      <c r="P11712" s="27"/>
    </row>
    <row r="11713">
      <c r="A11713" s="14">
        <v>43032.84961805555</v>
      </c>
      <c r="B11713" s="20" t="str">
        <f>HYPERLINK("https://twitter.com/uwNZe8nzkiQJXVa","@uwNZe8nzkiQJXVa")</f>
        <v>@uwNZe8nzkiQJXVa</v>
      </c>
      <c r="C11713" s="21" t="s">
        <v>24534</v>
      </c>
      <c r="D11713" s="21" t="s">
        <v>24535</v>
      </c>
      <c r="E11713" s="22" t="str">
        <f>HYPERLINK("https://twitter.com/uwNZe8nzkiQJXVa/status/923027198914654208","923027198914654208")</f>
        <v>923027198914654208</v>
      </c>
      <c r="F11713" s="23" t="s">
        <v>39</v>
      </c>
      <c r="G11713" s="24">
        <v>2708.0</v>
      </c>
      <c r="H11713" s="24">
        <v>3304.0</v>
      </c>
      <c r="I11713" s="24">
        <v>17.0</v>
      </c>
      <c r="J11713" s="24">
        <v>0.0</v>
      </c>
      <c r="K11713" s="23" t="s">
        <v>34</v>
      </c>
      <c r="L11713" s="25">
        <v>42583.27982638888</v>
      </c>
      <c r="M11713" s="26" t="s">
        <v>24536</v>
      </c>
      <c r="N11713" s="26" t="s">
        <v>24537</v>
      </c>
      <c r="O11713" s="22" t="str">
        <f>HYPERLINK("https://pbs.twimg.com/profile_images/891688673737035778/VJ6FOpPX_normal.jpg","View")</f>
        <v>View</v>
      </c>
      <c r="P11713" s="27"/>
    </row>
    <row r="11714">
      <c r="A11714" s="14">
        <v>43032.84980324074</v>
      </c>
      <c r="B11714" s="20" t="str">
        <f>HYPERLINK("https://twitter.com/JJonny72","@JJonny72")</f>
        <v>@JJonny72</v>
      </c>
      <c r="C11714" s="21" t="s">
        <v>8263</v>
      </c>
      <c r="D11714" s="21" t="s">
        <v>24538</v>
      </c>
      <c r="E11714" s="22" t="str">
        <f>HYPERLINK("https://twitter.com/JJonny72/status/923027262525591552","923027262525591552")</f>
        <v>923027262525591552</v>
      </c>
      <c r="F11714" s="23" t="s">
        <v>91</v>
      </c>
      <c r="G11714" s="24">
        <v>711.0</v>
      </c>
      <c r="H11714" s="24">
        <v>599.0</v>
      </c>
      <c r="I11714" s="24">
        <v>0.0</v>
      </c>
      <c r="J11714" s="24">
        <v>0.0</v>
      </c>
      <c r="K11714" s="23" t="s">
        <v>34</v>
      </c>
      <c r="L11714" s="25">
        <v>40791.280625</v>
      </c>
      <c r="M11714" s="28"/>
      <c r="N11714" s="26" t="s">
        <v>8265</v>
      </c>
      <c r="O11714" s="22" t="str">
        <f>HYPERLINK("https://pbs.twimg.com/profile_images/1529761640/22_711_100__normal.jpg","View")</f>
        <v>View</v>
      </c>
      <c r="P11714" s="27"/>
    </row>
    <row r="11715">
      <c r="A11715" s="14">
        <v>43032.850381944445</v>
      </c>
      <c r="B11715" s="20" t="str">
        <f>HYPERLINK("https://twitter.com/malaysiakini","@malaysiakini")</f>
        <v>@malaysiakini</v>
      </c>
      <c r="C11715" s="29" t="s">
        <v>24539</v>
      </c>
      <c r="D11715" s="21" t="s">
        <v>24540</v>
      </c>
      <c r="E11715" s="22" t="str">
        <f>HYPERLINK("https://twitter.com/malaysiakini/status/923027475596165120","923027475596165120")</f>
        <v>923027475596165120</v>
      </c>
      <c r="F11715" s="30" t="s">
        <v>411</v>
      </c>
      <c r="G11715" s="24">
        <v>1037194.0</v>
      </c>
      <c r="H11715" s="24">
        <v>142.0</v>
      </c>
      <c r="I11715" s="24">
        <v>0.0</v>
      </c>
      <c r="J11715" s="24">
        <v>5.0</v>
      </c>
      <c r="K11715" s="23" t="s">
        <v>34</v>
      </c>
      <c r="L11715" s="25">
        <v>39792.83623842592</v>
      </c>
      <c r="M11715" s="26" t="s">
        <v>295</v>
      </c>
      <c r="N11715" s="26" t="s">
        <v>24541</v>
      </c>
      <c r="O11715" s="22" t="str">
        <f>HYPERLINK("https://pbs.twimg.com/profile_images/896938457217458176/4oGjbQQ6_normal.jpg","View")</f>
        <v>View</v>
      </c>
      <c r="P11715" s="27"/>
    </row>
    <row r="11716">
      <c r="A11716" s="14">
        <v>43032.85079861111</v>
      </c>
      <c r="B11716" s="20" t="str">
        <f>HYPERLINK("https://twitter.com/MalaysiaNews","@MalaysiaNews")</f>
        <v>@MalaysiaNews</v>
      </c>
      <c r="C11716" s="21" t="s">
        <v>24542</v>
      </c>
      <c r="D11716" s="21" t="s">
        <v>24543</v>
      </c>
      <c r="E11716" s="22" t="str">
        <f>HYPERLINK("https://twitter.com/MalaysiaNews/status/923027625874018305","923027625874018305")</f>
        <v>923027625874018305</v>
      </c>
      <c r="F11716" s="23" t="s">
        <v>187</v>
      </c>
      <c r="G11716" s="24">
        <v>3744.0</v>
      </c>
      <c r="H11716" s="24">
        <v>89.0</v>
      </c>
      <c r="I11716" s="24">
        <v>0.0</v>
      </c>
      <c r="J11716" s="24">
        <v>0.0</v>
      </c>
      <c r="K11716" s="23" t="s">
        <v>34</v>
      </c>
      <c r="L11716" s="25">
        <v>39614.26230324074</v>
      </c>
      <c r="M11716" s="26" t="s">
        <v>295</v>
      </c>
      <c r="N11716" s="26" t="s">
        <v>24544</v>
      </c>
      <c r="O11716" s="22" t="str">
        <f>HYPERLINK("https://pbs.twimg.com/profile_images/581163592084422657/kyBuhUem_normal.png","View")</f>
        <v>View</v>
      </c>
      <c r="P11716" s="27"/>
    </row>
    <row r="11717">
      <c r="A11717" s="14">
        <v>43032.851111111115</v>
      </c>
      <c r="B11717" s="20" t="str">
        <f>HYPERLINK("https://twitter.com/naoko0714","@naoko0714")</f>
        <v>@naoko0714</v>
      </c>
      <c r="C11717" s="21" t="s">
        <v>24545</v>
      </c>
      <c r="D11717" s="21" t="s">
        <v>24007</v>
      </c>
      <c r="E11717" s="22" t="str">
        <f>HYPERLINK("https://twitter.com/naoko0714/status/923027737429737473","923027737429737473")</f>
        <v>923027737429737473</v>
      </c>
      <c r="F11717" s="23" t="s">
        <v>55</v>
      </c>
      <c r="G11717" s="24">
        <v>136.0</v>
      </c>
      <c r="H11717" s="24">
        <v>94.0</v>
      </c>
      <c r="I11717" s="24">
        <v>122.0</v>
      </c>
      <c r="J11717" s="24">
        <v>0.0</v>
      </c>
      <c r="K11717" s="23" t="s">
        <v>34</v>
      </c>
      <c r="L11717" s="25">
        <v>39852.99866898148</v>
      </c>
      <c r="M11717" s="28"/>
      <c r="N11717" s="26" t="s">
        <v>24546</v>
      </c>
      <c r="O11717" s="22" t="str">
        <f>HYPERLINK("https://pbs.twimg.com/profile_images/667709832435101696/Aof0d85K_normal.jpg","View")</f>
        <v>View</v>
      </c>
      <c r="P11717" s="27"/>
    </row>
    <row r="11718">
      <c r="A11718" s="14">
        <v>43032.85113425926</v>
      </c>
      <c r="B11718" s="20" t="str">
        <f>HYPERLINK("https://twitter.com/AziziOthmanMY","@AziziOthmanMY")</f>
        <v>@AziziOthmanMY</v>
      </c>
      <c r="C11718" s="21" t="s">
        <v>17631</v>
      </c>
      <c r="D11718" s="21" t="s">
        <v>24547</v>
      </c>
      <c r="E11718" s="22" t="str">
        <f>HYPERLINK("https://twitter.com/AziziOthmanMY/status/923027746393075713","923027746393075713")</f>
        <v>923027746393075713</v>
      </c>
      <c r="F11718" s="23" t="s">
        <v>187</v>
      </c>
      <c r="G11718" s="24">
        <v>1963.0</v>
      </c>
      <c r="H11718" s="24">
        <v>0.0</v>
      </c>
      <c r="I11718" s="24">
        <v>0.0</v>
      </c>
      <c r="J11718" s="24">
        <v>0.0</v>
      </c>
      <c r="K11718" s="23" t="s">
        <v>34</v>
      </c>
      <c r="L11718" s="25">
        <v>39866.43491898148</v>
      </c>
      <c r="M11718" s="26" t="s">
        <v>17623</v>
      </c>
      <c r="N11718" s="26" t="s">
        <v>17633</v>
      </c>
      <c r="O11718" s="22" t="str">
        <f>HYPERLINK("https://pbs.twimg.com/profile_images/887957502561669120/VOBE62yx_normal.jpg","View")</f>
        <v>View</v>
      </c>
      <c r="P11718" s="27"/>
    </row>
    <row r="11719">
      <c r="A11719" s="14">
        <v>43032.85153935185</v>
      </c>
      <c r="B11719" s="20" t="str">
        <f>HYPERLINK("https://twitter.com/pangsb","@pangsb")</f>
        <v>@pangsb</v>
      </c>
      <c r="C11719" s="21" t="s">
        <v>17962</v>
      </c>
      <c r="D11719" s="21" t="s">
        <v>24548</v>
      </c>
      <c r="E11719" s="22" t="str">
        <f>HYPERLINK("https://twitter.com/pangsb/status/923027892476395521","923027892476395521")</f>
        <v>923027892476395521</v>
      </c>
      <c r="F11719" s="23" t="s">
        <v>33</v>
      </c>
      <c r="G11719" s="24">
        <v>57.0</v>
      </c>
      <c r="H11719" s="24">
        <v>312.0</v>
      </c>
      <c r="I11719" s="24">
        <v>0.0</v>
      </c>
      <c r="J11719" s="24">
        <v>0.0</v>
      </c>
      <c r="K11719" s="23" t="s">
        <v>34</v>
      </c>
      <c r="L11719" s="25">
        <v>39987.28733796296</v>
      </c>
      <c r="M11719" s="28"/>
      <c r="N11719" s="28"/>
      <c r="O11719" s="22" t="str">
        <f>HYPERLINK("https://abs.twimg.com/sticky/default_profile_images/default_profile_normal.png","View")</f>
        <v>View</v>
      </c>
      <c r="P11719" s="27"/>
    </row>
    <row r="11720">
      <c r="A11720" s="14">
        <v>43032.85171296296</v>
      </c>
      <c r="B11720" s="20" t="str">
        <f>HYPERLINK("https://twitter.com/wittich","@wittich")</f>
        <v>@wittich</v>
      </c>
      <c r="C11720" s="21" t="s">
        <v>2340</v>
      </c>
      <c r="D11720" s="21" t="s">
        <v>24549</v>
      </c>
      <c r="E11720" s="22" t="str">
        <f>HYPERLINK("https://twitter.com/wittich/status/923027954837475328","923027954837475328")</f>
        <v>923027954837475328</v>
      </c>
      <c r="F11720" s="23" t="s">
        <v>91</v>
      </c>
      <c r="G11720" s="24">
        <v>2600.0</v>
      </c>
      <c r="H11720" s="24">
        <v>1727.0</v>
      </c>
      <c r="I11720" s="24">
        <v>0.0</v>
      </c>
      <c r="J11720" s="24">
        <v>0.0</v>
      </c>
      <c r="K11720" s="23" t="s">
        <v>34</v>
      </c>
      <c r="L11720" s="25">
        <v>39375.524976851855</v>
      </c>
      <c r="M11720" s="26" t="s">
        <v>2342</v>
      </c>
      <c r="N11720" s="26" t="s">
        <v>2343</v>
      </c>
      <c r="O11720" s="22" t="str">
        <f>HYPERLINK("https://pbs.twimg.com/profile_images/840685455729446912/M8OlVjm3_normal.jpg","View")</f>
        <v>View</v>
      </c>
      <c r="P11720" s="27"/>
    </row>
    <row r="11721">
      <c r="A11721" s="14">
        <v>43032.85207175926</v>
      </c>
      <c r="B11721" s="20" t="str">
        <f>HYPERLINK("https://twitter.com/journonepali","@journonepali")</f>
        <v>@journonepali</v>
      </c>
      <c r="C11721" s="21" t="s">
        <v>24550</v>
      </c>
      <c r="D11721" s="21" t="s">
        <v>19279</v>
      </c>
      <c r="E11721" s="22" t="str">
        <f>HYPERLINK("https://twitter.com/journonepali/status/923028084529315840","923028084529315840")</f>
        <v>923028084529315840</v>
      </c>
      <c r="F11721" s="23" t="s">
        <v>55</v>
      </c>
      <c r="G11721" s="24">
        <v>3442.0</v>
      </c>
      <c r="H11721" s="24">
        <v>886.0</v>
      </c>
      <c r="I11721" s="24">
        <v>12.0</v>
      </c>
      <c r="J11721" s="24">
        <v>0.0</v>
      </c>
      <c r="K11721" s="23" t="s">
        <v>34</v>
      </c>
      <c r="L11721" s="25">
        <v>41068.16269675926</v>
      </c>
      <c r="M11721" s="26" t="s">
        <v>5297</v>
      </c>
      <c r="N11721" s="26" t="s">
        <v>24551</v>
      </c>
      <c r="O11721" s="22" t="str">
        <f>HYPERLINK("https://pbs.twimg.com/profile_images/920294720055554048/F6EEvkAY_normal.jpg","View")</f>
        <v>View</v>
      </c>
      <c r="P11721" s="27"/>
    </row>
    <row r="11722">
      <c r="A11722" s="14">
        <v>43032.85221064815</v>
      </c>
      <c r="B11722" s="20" t="str">
        <f>HYPERLINK("https://twitter.com/kasamy32810","@kasamy32810")</f>
        <v>@kasamy32810</v>
      </c>
      <c r="C11722" s="21" t="s">
        <v>24552</v>
      </c>
      <c r="D11722" s="21" t="s">
        <v>24007</v>
      </c>
      <c r="E11722" s="22" t="str">
        <f>HYPERLINK("https://twitter.com/kasamy32810/status/923028135569801216","923028135569801216")</f>
        <v>923028135569801216</v>
      </c>
      <c r="F11722" s="23" t="s">
        <v>2119</v>
      </c>
      <c r="G11722" s="24">
        <v>276.0</v>
      </c>
      <c r="H11722" s="24">
        <v>409.0</v>
      </c>
      <c r="I11722" s="24">
        <v>122.0</v>
      </c>
      <c r="J11722" s="24">
        <v>0.0</v>
      </c>
      <c r="K11722" s="23" t="s">
        <v>34</v>
      </c>
      <c r="L11722" s="25">
        <v>40148.61497685185</v>
      </c>
      <c r="M11722" s="26" t="s">
        <v>24553</v>
      </c>
      <c r="N11722" s="26" t="s">
        <v>24554</v>
      </c>
      <c r="O11722" s="22" t="str">
        <f>HYPERLINK("https://pbs.twimg.com/profile_images/579823107/IMG_0071_normal.jpg","View")</f>
        <v>View</v>
      </c>
      <c r="P11722" s="27"/>
    </row>
    <row r="11723">
      <c r="A11723" s="14">
        <v>43032.852372685185</v>
      </c>
      <c r="B11723" s="20" t="str">
        <f>HYPERLINK("https://twitter.com/happypiyush73","@happypiyush73")</f>
        <v>@happypiyush73</v>
      </c>
      <c r="C11723" s="21" t="s">
        <v>24555</v>
      </c>
      <c r="D11723" s="21" t="s">
        <v>42</v>
      </c>
      <c r="E11723" s="22" t="str">
        <f>HYPERLINK("https://twitter.com/happypiyush73/status/923028195728691200","923028195728691200")</f>
        <v>923028195728691200</v>
      </c>
      <c r="F11723" s="23" t="s">
        <v>33</v>
      </c>
      <c r="G11723" s="24">
        <v>6.0</v>
      </c>
      <c r="H11723" s="24">
        <v>60.0</v>
      </c>
      <c r="I11723" s="24">
        <v>8501.0</v>
      </c>
      <c r="J11723" s="24">
        <v>0.0</v>
      </c>
      <c r="K11723" s="23" t="s">
        <v>34</v>
      </c>
      <c r="L11723" s="25">
        <v>43005.91778935185</v>
      </c>
      <c r="M11723" s="26" t="s">
        <v>195</v>
      </c>
      <c r="N11723" s="26" t="s">
        <v>24556</v>
      </c>
      <c r="O11723" s="22" t="str">
        <f>HYPERLINK("https://pbs.twimg.com/profile_images/913276558290305024/fKmP4-Z7_normal.jpg","View")</f>
        <v>View</v>
      </c>
      <c r="P11723" s="27"/>
    </row>
    <row r="11724">
      <c r="A11724" s="14">
        <v>43032.8524537037</v>
      </c>
      <c r="B11724" s="20" t="str">
        <f>HYPERLINK("https://twitter.com/itsberry","@itsberry")</f>
        <v>@itsberry</v>
      </c>
      <c r="C11724" s="21" t="s">
        <v>24557</v>
      </c>
      <c r="D11724" s="21" t="s">
        <v>24007</v>
      </c>
      <c r="E11724" s="22" t="str">
        <f>HYPERLINK("https://twitter.com/itsberry/status/923028223126056960","923028223126056960")</f>
        <v>923028223126056960</v>
      </c>
      <c r="F11724" s="23" t="s">
        <v>3813</v>
      </c>
      <c r="G11724" s="24">
        <v>127.0</v>
      </c>
      <c r="H11724" s="24">
        <v>79.0</v>
      </c>
      <c r="I11724" s="24">
        <v>122.0</v>
      </c>
      <c r="J11724" s="24">
        <v>0.0</v>
      </c>
      <c r="K11724" s="23" t="s">
        <v>34</v>
      </c>
      <c r="L11724" s="25">
        <v>40290.47075231482</v>
      </c>
      <c r="M11724" s="26" t="s">
        <v>1224</v>
      </c>
      <c r="N11724" s="26" t="s">
        <v>24558</v>
      </c>
      <c r="O11724" s="22" t="str">
        <f>HYPERLINK("https://pbs.twimg.com/profile_images/2240626664/berry_normal.jpg","View")</f>
        <v>View</v>
      </c>
      <c r="P11724" s="27"/>
    </row>
    <row r="11725">
      <c r="A11725" s="14">
        <v>43032.85271990741</v>
      </c>
      <c r="B11725" s="20" t="str">
        <f>HYPERLINK("https://twitter.com/ishantewari","@ishantewari")</f>
        <v>@ishantewari</v>
      </c>
      <c r="C11725" s="21" t="s">
        <v>24559</v>
      </c>
      <c r="D11725" s="21" t="s">
        <v>23276</v>
      </c>
      <c r="E11725" s="22" t="str">
        <f>HYPERLINK("https://twitter.com/ishantewari/status/923028321243295744","923028321243295744")</f>
        <v>923028321243295744</v>
      </c>
      <c r="F11725" s="23" t="s">
        <v>39</v>
      </c>
      <c r="G11725" s="24">
        <v>205.0</v>
      </c>
      <c r="H11725" s="24">
        <v>352.0</v>
      </c>
      <c r="I11725" s="24">
        <v>7.0</v>
      </c>
      <c r="J11725" s="24">
        <v>0.0</v>
      </c>
      <c r="K11725" s="23" t="s">
        <v>34</v>
      </c>
      <c r="L11725" s="25">
        <v>39974.113541666666</v>
      </c>
      <c r="M11725" s="26" t="s">
        <v>96</v>
      </c>
      <c r="N11725" s="26" t="s">
        <v>24560</v>
      </c>
      <c r="O11725" s="22" t="str">
        <f>HYPERLINK("https://pbs.twimg.com/profile_images/640755165130153984/gMM3H6Ju_normal.jpg","View")</f>
        <v>View</v>
      </c>
      <c r="P11725" s="27"/>
    </row>
    <row r="11726">
      <c r="A11726" s="14">
        <v>43032.85289351852</v>
      </c>
      <c r="B11726" s="20" t="str">
        <f>HYPERLINK("https://twitter.com/nigelaw","@nigelaw")</f>
        <v>@nigelaw</v>
      </c>
      <c r="C11726" s="21" t="s">
        <v>24561</v>
      </c>
      <c r="D11726" s="21" t="s">
        <v>24562</v>
      </c>
      <c r="E11726" s="22" t="str">
        <f>HYPERLINK("https://twitter.com/nigelaw/status/923028384858431488","923028384858431488")</f>
        <v>923028384858431488</v>
      </c>
      <c r="F11726" s="23" t="s">
        <v>187</v>
      </c>
      <c r="G11726" s="24">
        <v>728.0</v>
      </c>
      <c r="H11726" s="24">
        <v>617.0</v>
      </c>
      <c r="I11726" s="24">
        <v>0.0</v>
      </c>
      <c r="J11726" s="24">
        <v>0.0</v>
      </c>
      <c r="K11726" s="23" t="s">
        <v>34</v>
      </c>
      <c r="L11726" s="25">
        <v>40460.52428240741</v>
      </c>
      <c r="M11726" s="28"/>
      <c r="N11726" s="26" t="s">
        <v>24563</v>
      </c>
      <c r="O11726" s="22" t="str">
        <f>HYPERLINK("https://pbs.twimg.com/profile_images/436916564281921536/5FRc389G_normal.jpeg","View")</f>
        <v>View</v>
      </c>
      <c r="P11726" s="27"/>
    </row>
    <row r="11727">
      <c r="A11727" s="14">
        <v>43032.85295138889</v>
      </c>
      <c r="B11727" s="20" t="str">
        <f>HYPERLINK("https://twitter.com/homebasetvghana","@homebasetvghana")</f>
        <v>@homebasetvghana</v>
      </c>
      <c r="C11727" s="21" t="s">
        <v>24564</v>
      </c>
      <c r="D11727" s="21" t="s">
        <v>24565</v>
      </c>
      <c r="E11727" s="22" t="str">
        <f>HYPERLINK("https://twitter.com/homebasetvghana/status/923028404240252928","923028404240252928")</f>
        <v>923028404240252928</v>
      </c>
      <c r="F11727" s="30" t="s">
        <v>191</v>
      </c>
      <c r="G11727" s="24">
        <v>425.0</v>
      </c>
      <c r="H11727" s="24">
        <v>64.0</v>
      </c>
      <c r="I11727" s="24">
        <v>0.0</v>
      </c>
      <c r="J11727" s="24">
        <v>0.0</v>
      </c>
      <c r="K11727" s="23" t="s">
        <v>34</v>
      </c>
      <c r="L11727" s="25">
        <v>41578.52568287037</v>
      </c>
      <c r="M11727" s="26" t="s">
        <v>24566</v>
      </c>
      <c r="N11727" s="26" t="s">
        <v>24567</v>
      </c>
      <c r="O11727" s="22" t="str">
        <f>HYPERLINK("https://pbs.twimg.com/profile_images/894992022993596416/36F6VRM6_normal.jpg","View")</f>
        <v>View</v>
      </c>
      <c r="P11727" s="27"/>
    </row>
    <row r="11728">
      <c r="A11728" s="14">
        <v>43032.85318287037</v>
      </c>
      <c r="B11728" s="20" t="str">
        <f>HYPERLINK("https://twitter.com/thiebun993","@thiebun993")</f>
        <v>@thiebun993</v>
      </c>
      <c r="C11728" s="21" t="s">
        <v>20037</v>
      </c>
      <c r="D11728" s="21" t="s">
        <v>24007</v>
      </c>
      <c r="E11728" s="22" t="str">
        <f>HYPERLINK("https://twitter.com/thiebun993/status/923028490454052865","923028490454052865")</f>
        <v>923028490454052865</v>
      </c>
      <c r="F11728" s="23" t="s">
        <v>43</v>
      </c>
      <c r="G11728" s="24">
        <v>5301.0</v>
      </c>
      <c r="H11728" s="24">
        <v>5715.0</v>
      </c>
      <c r="I11728" s="24">
        <v>122.0</v>
      </c>
      <c r="J11728" s="24">
        <v>0.0</v>
      </c>
      <c r="K11728" s="23" t="s">
        <v>34</v>
      </c>
      <c r="L11728" s="25">
        <v>40782.76353009259</v>
      </c>
      <c r="M11728" s="26" t="s">
        <v>20038</v>
      </c>
      <c r="N11728" s="26" t="s">
        <v>20039</v>
      </c>
      <c r="O11728" s="22" t="str">
        <f>HYPERLINK("https://pbs.twimg.com/profile_images/883538850768756737/HKRO2SoY_normal.jpg","View")</f>
        <v>View</v>
      </c>
      <c r="P11728" s="27"/>
    </row>
    <row r="11729">
      <c r="A11729" s="14">
        <v>43032.85332175926</v>
      </c>
      <c r="B11729" s="20" t="str">
        <f>HYPERLINK("https://twitter.com/1_newsnet","@1_newsnet")</f>
        <v>@1_newsnet</v>
      </c>
      <c r="C11729" s="21" t="s">
        <v>15831</v>
      </c>
      <c r="D11729" s="21" t="s">
        <v>24568</v>
      </c>
      <c r="E11729" s="22" t="str">
        <f>HYPERLINK("https://twitter.com/1_newsnet/status/923028541406633986","923028541406633986")</f>
        <v>923028541406633986</v>
      </c>
      <c r="F11729" s="23" t="s">
        <v>15833</v>
      </c>
      <c r="G11729" s="24">
        <v>16164.0</v>
      </c>
      <c r="H11729" s="24">
        <v>147.0</v>
      </c>
      <c r="I11729" s="24">
        <v>0.0</v>
      </c>
      <c r="J11729" s="24">
        <v>0.0</v>
      </c>
      <c r="K11729" s="23" t="s">
        <v>34</v>
      </c>
      <c r="L11729" s="25">
        <v>41726.30076388889</v>
      </c>
      <c r="M11729" s="28"/>
      <c r="N11729" s="26" t="s">
        <v>15834</v>
      </c>
      <c r="O11729" s="22" t="str">
        <f>HYPERLINK("https://pbs.twimg.com/profile_images/475296454257291264/Uj3aJ-3r_normal.jpeg","View")</f>
        <v>View</v>
      </c>
      <c r="P11729" s="27"/>
    </row>
    <row r="11730">
      <c r="A11730" s="14">
        <v>43032.853530092594</v>
      </c>
      <c r="B11730" s="20" t="str">
        <f>HYPERLINK("https://twitter.com/pensionsfrozen","@pensionsfrozen")</f>
        <v>@pensionsfrozen</v>
      </c>
      <c r="C11730" s="21" t="s">
        <v>24569</v>
      </c>
      <c r="D11730" s="21" t="s">
        <v>24570</v>
      </c>
      <c r="E11730" s="22" t="str">
        <f>HYPERLINK("https://twitter.com/pensionsfrozen/status/923028612974071808","923028612974071808")</f>
        <v>923028612974071808</v>
      </c>
      <c r="F11730" s="23" t="s">
        <v>187</v>
      </c>
      <c r="G11730" s="24">
        <v>20.0</v>
      </c>
      <c r="H11730" s="24">
        <v>10.0</v>
      </c>
      <c r="I11730" s="24">
        <v>0.0</v>
      </c>
      <c r="J11730" s="24">
        <v>0.0</v>
      </c>
      <c r="K11730" s="23" t="s">
        <v>34</v>
      </c>
      <c r="L11730" s="25">
        <v>41589.12684027778</v>
      </c>
      <c r="M11730" s="26" t="s">
        <v>1246</v>
      </c>
      <c r="N11730" s="26" t="s">
        <v>24571</v>
      </c>
      <c r="O11730" s="22" t="str">
        <f>HYPERLINK("https://pbs.twimg.com/profile_images/733237987455164416/L3RcAqq7_normal.jpg","View")</f>
        <v>View</v>
      </c>
      <c r="P11730" s="27"/>
    </row>
    <row r="11731">
      <c r="A11731" s="14">
        <v>43032.85366898148</v>
      </c>
      <c r="B11731" s="20" t="str">
        <f>HYPERLINK("https://twitter.com/kandemo","@kandemo")</f>
        <v>@kandemo</v>
      </c>
      <c r="C11731" s="21" t="s">
        <v>24572</v>
      </c>
      <c r="D11731" s="21" t="s">
        <v>24007</v>
      </c>
      <c r="E11731" s="22" t="str">
        <f>HYPERLINK("https://twitter.com/kandemo/status/923028667315372033","923028667315372033")</f>
        <v>923028667315372033</v>
      </c>
      <c r="F11731" s="23" t="s">
        <v>55</v>
      </c>
      <c r="G11731" s="24">
        <v>589.0</v>
      </c>
      <c r="H11731" s="24">
        <v>1306.0</v>
      </c>
      <c r="I11731" s="24">
        <v>122.0</v>
      </c>
      <c r="J11731" s="24">
        <v>0.0</v>
      </c>
      <c r="K11731" s="23" t="s">
        <v>34</v>
      </c>
      <c r="L11731" s="25">
        <v>39989.11512731481</v>
      </c>
      <c r="M11731" s="26" t="s">
        <v>24573</v>
      </c>
      <c r="N11731" s="28"/>
      <c r="O11731" s="22" t="str">
        <f>HYPERLINK("https://pbs.twimg.com/profile_images/1626818807/P7110111_normal.JPG","View")</f>
        <v>View</v>
      </c>
      <c r="P11731" s="27"/>
    </row>
    <row r="11732">
      <c r="A11732" s="14">
        <v>43032.85376157408</v>
      </c>
      <c r="B11732" s="20" t="str">
        <f>HYPERLINK("https://twitter.com/m81prabhu","@m81prabhu")</f>
        <v>@m81prabhu</v>
      </c>
      <c r="C11732" s="21" t="s">
        <v>24574</v>
      </c>
      <c r="D11732" s="21" t="s">
        <v>42</v>
      </c>
      <c r="E11732" s="22" t="str">
        <f>HYPERLINK("https://twitter.com/m81prabhu/status/923028698680496128","923028698680496128")</f>
        <v>923028698680496128</v>
      </c>
      <c r="F11732" s="23" t="s">
        <v>33</v>
      </c>
      <c r="G11732" s="24">
        <v>99.0</v>
      </c>
      <c r="H11732" s="24">
        <v>110.0</v>
      </c>
      <c r="I11732" s="24">
        <v>8501.0</v>
      </c>
      <c r="J11732" s="24">
        <v>0.0</v>
      </c>
      <c r="K11732" s="23" t="s">
        <v>34</v>
      </c>
      <c r="L11732" s="25">
        <v>42212.35565972222</v>
      </c>
      <c r="M11732" s="28"/>
      <c r="N11732" s="26" t="s">
        <v>24575</v>
      </c>
      <c r="O11732" s="22" t="str">
        <f>HYPERLINK("https://pbs.twimg.com/profile_images/667633571004198912/tTdXoND-_normal.jpg","View")</f>
        <v>View</v>
      </c>
      <c r="P11732" s="27"/>
    </row>
    <row r="11733">
      <c r="A11733" s="14">
        <v>43032.85394675926</v>
      </c>
      <c r="B11733" s="20" t="str">
        <f>HYPERLINK("https://twitter.com/VictoryaTaylor","@VictoryaTaylor")</f>
        <v>@VictoryaTaylor</v>
      </c>
      <c r="C11733" s="21" t="s">
        <v>24576</v>
      </c>
      <c r="D11733" s="21" t="s">
        <v>24577</v>
      </c>
      <c r="E11733" s="22" t="str">
        <f>HYPERLINK("https://twitter.com/VictoryaTaylor/status/923028766904893441","923028766904893441")</f>
        <v>923028766904893441</v>
      </c>
      <c r="F11733" s="23" t="s">
        <v>55</v>
      </c>
      <c r="G11733" s="24">
        <v>313.0</v>
      </c>
      <c r="H11733" s="24">
        <v>628.0</v>
      </c>
      <c r="I11733" s="24">
        <v>0.0</v>
      </c>
      <c r="J11733" s="24">
        <v>0.0</v>
      </c>
      <c r="K11733" s="23" t="s">
        <v>34</v>
      </c>
      <c r="L11733" s="25">
        <v>40528.51835648148</v>
      </c>
      <c r="M11733" s="28"/>
      <c r="N11733" s="26" t="s">
        <v>24578</v>
      </c>
      <c r="O11733" s="22" t="str">
        <f>HYPERLINK("https://pbs.twimg.com/profile_images/533705473938059265/PejLD4fu_normal.jpeg","View")</f>
        <v>View</v>
      </c>
      <c r="P11733" s="27"/>
    </row>
    <row r="11734">
      <c r="A11734" s="14">
        <v>43032.85444444444</v>
      </c>
      <c r="B11734" s="20" t="str">
        <f>HYPERLINK("https://twitter.com/cirsirl","@cirsirl")</f>
        <v>@cirsirl</v>
      </c>
      <c r="C11734" s="21" t="s">
        <v>24579</v>
      </c>
      <c r="D11734" s="21" t="s">
        <v>24580</v>
      </c>
      <c r="E11734" s="22" t="str">
        <f>HYPERLINK("https://twitter.com/cirsirl/status/923028944936353792","923028944936353792")</f>
        <v>923028944936353792</v>
      </c>
      <c r="F11734" s="23" t="s">
        <v>55</v>
      </c>
      <c r="G11734" s="24">
        <v>866.0</v>
      </c>
      <c r="H11734" s="24">
        <v>1982.0</v>
      </c>
      <c r="I11734" s="24">
        <v>0.0</v>
      </c>
      <c r="J11734" s="24">
        <v>0.0</v>
      </c>
      <c r="K11734" s="23" t="s">
        <v>34</v>
      </c>
      <c r="L11734" s="25">
        <v>40259.89581018519</v>
      </c>
      <c r="M11734" s="28"/>
      <c r="N11734" s="28"/>
      <c r="O11734" s="22" t="str">
        <f>HYPERLINK("https://pbs.twimg.com/profile_images/592157792686845952/rHnUJ4CR_normal.jpg","View")</f>
        <v>View</v>
      </c>
      <c r="P11734" s="27"/>
    </row>
    <row r="11735">
      <c r="A11735" s="14">
        <v>43032.854479166665</v>
      </c>
      <c r="B11735" s="20" t="str">
        <f>HYPERLINK("https://twitter.com/AgenciesNews","@AgenciesNews")</f>
        <v>@AgenciesNews</v>
      </c>
      <c r="C11735" s="21" t="s">
        <v>24581</v>
      </c>
      <c r="D11735" s="21" t="s">
        <v>24582</v>
      </c>
      <c r="E11735" s="22" t="str">
        <f>HYPERLINK("https://twitter.com/AgenciesNews/status/923028957322203138","923028957322203138")</f>
        <v>923028957322203138</v>
      </c>
      <c r="F11735" s="23" t="s">
        <v>427</v>
      </c>
      <c r="G11735" s="24">
        <v>44.0</v>
      </c>
      <c r="H11735" s="24">
        <v>203.0</v>
      </c>
      <c r="I11735" s="24">
        <v>0.0</v>
      </c>
      <c r="J11735" s="24">
        <v>0.0</v>
      </c>
      <c r="K11735" s="23" t="s">
        <v>34</v>
      </c>
      <c r="L11735" s="25">
        <v>41776.917962962965</v>
      </c>
      <c r="M11735" s="28"/>
      <c r="N11735" s="28"/>
      <c r="O11735" s="22" t="str">
        <f>HYPERLINK("https://pbs.twimg.com/profile_images/685845204725817344/H5pmC-7v_normal.jpg","View")</f>
        <v>View</v>
      </c>
      <c r="P11735" s="27"/>
    </row>
    <row r="11736">
      <c r="A11736" s="14">
        <v>43032.85449074074</v>
      </c>
      <c r="B11736" s="20" t="str">
        <f>HYPERLINK("https://twitter.com/ReferralKings","@ReferralKings")</f>
        <v>@ReferralKings</v>
      </c>
      <c r="C11736" s="21" t="s">
        <v>6828</v>
      </c>
      <c r="D11736" s="21" t="s">
        <v>24583</v>
      </c>
      <c r="E11736" s="22" t="str">
        <f>HYPERLINK("https://twitter.com/ReferralKings/status/923028961050972161","923028961050972161")</f>
        <v>923028961050972161</v>
      </c>
      <c r="F11736" s="23" t="s">
        <v>427</v>
      </c>
      <c r="G11736" s="24">
        <v>1026.0</v>
      </c>
      <c r="H11736" s="24">
        <v>276.0</v>
      </c>
      <c r="I11736" s="24">
        <v>0.0</v>
      </c>
      <c r="J11736" s="24">
        <v>0.0</v>
      </c>
      <c r="K11736" s="23" t="s">
        <v>34</v>
      </c>
      <c r="L11736" s="25">
        <v>41489.75340277778</v>
      </c>
      <c r="M11736" s="28"/>
      <c r="N11736" s="28"/>
      <c r="O11736" s="22" t="str">
        <f>HYPERLINK("https://pbs.twimg.com/profile_images/378800000237545093/129eed449ce087831a648389ee4e3606_normal.jpeg","View")</f>
        <v>View</v>
      </c>
      <c r="P11736" s="27"/>
    </row>
    <row r="11737">
      <c r="A11737" s="14">
        <v>43032.85451388889</v>
      </c>
      <c r="B11737" s="20" t="str">
        <f>HYPERLINK("https://twitter.com/SW_FLA_REALTOR","@SW_FLA_REALTOR")</f>
        <v>@SW_FLA_REALTOR</v>
      </c>
      <c r="C11737" s="21" t="s">
        <v>24584</v>
      </c>
      <c r="D11737" s="21" t="s">
        <v>24585</v>
      </c>
      <c r="E11737" s="22" t="str">
        <f>HYPERLINK("https://twitter.com/SW_FLA_REALTOR/status/923028971926761472","923028971926761472")</f>
        <v>923028971926761472</v>
      </c>
      <c r="F11737" s="23" t="s">
        <v>427</v>
      </c>
      <c r="G11737" s="24">
        <v>633.0</v>
      </c>
      <c r="H11737" s="24">
        <v>389.0</v>
      </c>
      <c r="I11737" s="24">
        <v>0.0</v>
      </c>
      <c r="J11737" s="24">
        <v>0.0</v>
      </c>
      <c r="K11737" s="23" t="s">
        <v>34</v>
      </c>
      <c r="L11737" s="25">
        <v>41866.20880787037</v>
      </c>
      <c r="M11737" s="26" t="s">
        <v>24586</v>
      </c>
      <c r="N11737" s="26" t="s">
        <v>24587</v>
      </c>
      <c r="O11737" s="22" t="str">
        <f>HYPERLINK("https://pbs.twimg.com/profile_images/876876165306253312/ar28ZAzX_normal.jpg","View")</f>
        <v>View</v>
      </c>
      <c r="P11737" s="27"/>
    </row>
    <row r="11738">
      <c r="A11738" s="14">
        <v>43032.8546412037</v>
      </c>
      <c r="B11738" s="20" t="str">
        <f>HYPERLINK("https://twitter.com/TeslaTraderCo","@TeslaTraderCo")</f>
        <v>@TeslaTraderCo</v>
      </c>
      <c r="C11738" s="21" t="s">
        <v>433</v>
      </c>
      <c r="D11738" s="21" t="s">
        <v>24588</v>
      </c>
      <c r="E11738" s="22" t="str">
        <f>HYPERLINK("https://twitter.com/TeslaTraderCo/status/923029019213336576","923029019213336576")</f>
        <v>923029019213336576</v>
      </c>
      <c r="F11738" s="23" t="s">
        <v>427</v>
      </c>
      <c r="G11738" s="24">
        <v>17464.0</v>
      </c>
      <c r="H11738" s="24">
        <v>17863.0</v>
      </c>
      <c r="I11738" s="24">
        <v>0.0</v>
      </c>
      <c r="J11738" s="24">
        <v>0.0</v>
      </c>
      <c r="K11738" s="23" t="s">
        <v>34</v>
      </c>
      <c r="L11738" s="25">
        <v>42748.45309027778</v>
      </c>
      <c r="M11738" s="26" t="s">
        <v>435</v>
      </c>
      <c r="N11738" s="26" t="s">
        <v>436</v>
      </c>
      <c r="O11738" s="22" t="str">
        <f>HYPERLINK("https://pbs.twimg.com/profile_images/820105017596080128/J2U5AZQs_normal.jpg","View")</f>
        <v>View</v>
      </c>
      <c r="P11738" s="27"/>
    </row>
    <row r="11739">
      <c r="A11739" s="14">
        <v>43032.85476851852</v>
      </c>
      <c r="B11739" s="20" t="str">
        <f>HYPERLINK("https://twitter.com/Adel__Almalki","@Adel__Almalki")</f>
        <v>@Adel__Almalki</v>
      </c>
      <c r="C11739" s="31" t="s">
        <v>24589</v>
      </c>
      <c r="D11739" s="21" t="s">
        <v>24590</v>
      </c>
      <c r="E11739" s="22" t="str">
        <f>HYPERLINK("https://twitter.com/Adel__Almalki/status/923029064306315264","923029064306315264")</f>
        <v>923029064306315264</v>
      </c>
      <c r="F11739" s="23" t="s">
        <v>427</v>
      </c>
      <c r="G11739" s="24">
        <v>63029.0</v>
      </c>
      <c r="H11739" s="24">
        <v>824.0</v>
      </c>
      <c r="I11739" s="24">
        <v>11.0</v>
      </c>
      <c r="J11739" s="24">
        <v>11.0</v>
      </c>
      <c r="K11739" s="23" t="s">
        <v>34</v>
      </c>
      <c r="L11739" s="25">
        <v>40903.379907407405</v>
      </c>
      <c r="M11739" s="32" t="s">
        <v>24591</v>
      </c>
      <c r="N11739" s="32" t="s">
        <v>24592</v>
      </c>
      <c r="O11739" s="22" t="str">
        <f>HYPERLINK("https://pbs.twimg.com/profile_images/887570977726504960/CTe9jS7R_normal.jpg","View")</f>
        <v>View</v>
      </c>
      <c r="P11739" s="27"/>
    </row>
    <row r="11740">
      <c r="A11740" s="14">
        <v>43032.855046296296</v>
      </c>
      <c r="B11740" s="20" t="str">
        <f>HYPERLINK("https://twitter.com/Angelus1701","@Angelus1701")</f>
        <v>@Angelus1701</v>
      </c>
      <c r="C11740" s="21" t="s">
        <v>6027</v>
      </c>
      <c r="D11740" s="21" t="s">
        <v>24593</v>
      </c>
      <c r="E11740" s="22" t="str">
        <f>HYPERLINK("https://twitter.com/Angelus1701/status/923029164625670144","923029164625670144")</f>
        <v>923029164625670144</v>
      </c>
      <c r="F11740" s="23" t="s">
        <v>187</v>
      </c>
      <c r="G11740" s="24">
        <v>849.0</v>
      </c>
      <c r="H11740" s="24">
        <v>1561.0</v>
      </c>
      <c r="I11740" s="24">
        <v>0.0</v>
      </c>
      <c r="J11740" s="24">
        <v>0.0</v>
      </c>
      <c r="K11740" s="23" t="s">
        <v>34</v>
      </c>
      <c r="L11740" s="25">
        <v>40288.10142361111</v>
      </c>
      <c r="M11740" s="26" t="s">
        <v>6029</v>
      </c>
      <c r="N11740" s="26" t="s">
        <v>6030</v>
      </c>
      <c r="O11740" s="22" t="str">
        <f>HYPERLINK("https://pbs.twimg.com/profile_images/730414344303939586/FLFk57Fb_normal.jpg","View")</f>
        <v>View</v>
      </c>
      <c r="P11740" s="27"/>
    </row>
    <row r="11741">
      <c r="A11741" s="14">
        <v>43032.85505787037</v>
      </c>
      <c r="B11741" s="20" t="str">
        <f>HYPERLINK("https://twitter.com/puttnpdx","@puttnpdx")</f>
        <v>@puttnpdx</v>
      </c>
      <c r="C11741" s="21" t="s">
        <v>1895</v>
      </c>
      <c r="D11741" s="21" t="s">
        <v>24594</v>
      </c>
      <c r="E11741" s="22" t="str">
        <f>HYPERLINK("https://twitter.com/puttnpdx/status/923029167050018820","923029167050018820")</f>
        <v>923029167050018820</v>
      </c>
      <c r="F11741" s="23" t="s">
        <v>427</v>
      </c>
      <c r="G11741" s="24">
        <v>73074.0</v>
      </c>
      <c r="H11741" s="24">
        <v>11478.0</v>
      </c>
      <c r="I11741" s="24">
        <v>0.0</v>
      </c>
      <c r="J11741" s="24">
        <v>0.0</v>
      </c>
      <c r="K11741" s="23" t="s">
        <v>34</v>
      </c>
      <c r="L11741" s="25">
        <v>39864.50546296296</v>
      </c>
      <c r="M11741" s="26" t="s">
        <v>1897</v>
      </c>
      <c r="N11741" s="28"/>
      <c r="O11741" s="22" t="str">
        <f>HYPERLINK("https://pbs.twimg.com/profile_images/838351544/IMG00145-20100404-1140_normal.jpg","View")</f>
        <v>View</v>
      </c>
      <c r="P11741" s="27"/>
    </row>
    <row r="11742">
      <c r="A11742" s="14">
        <v>43032.85518518518</v>
      </c>
      <c r="B11742" s="20" t="str">
        <f>HYPERLINK("https://twitter.com/JCSura","@JCSura")</f>
        <v>@JCSura</v>
      </c>
      <c r="C11742" s="21" t="s">
        <v>6041</v>
      </c>
      <c r="D11742" s="21" t="s">
        <v>24595</v>
      </c>
      <c r="E11742" s="22" t="str">
        <f>HYPERLINK("https://twitter.com/JCSura/status/923029215813033985","923029215813033985")</f>
        <v>923029215813033985</v>
      </c>
      <c r="F11742" s="23" t="s">
        <v>187</v>
      </c>
      <c r="G11742" s="24">
        <v>7341.0</v>
      </c>
      <c r="H11742" s="24">
        <v>503.0</v>
      </c>
      <c r="I11742" s="24">
        <v>0.0</v>
      </c>
      <c r="J11742" s="24">
        <v>0.0</v>
      </c>
      <c r="K11742" s="23" t="s">
        <v>34</v>
      </c>
      <c r="L11742" s="25">
        <v>39904.2328587963</v>
      </c>
      <c r="M11742" s="26" t="s">
        <v>6043</v>
      </c>
      <c r="N11742" s="26" t="s">
        <v>6044</v>
      </c>
      <c r="O11742" s="22" t="str">
        <f>HYPERLINK("https://pbs.twimg.com/profile_images/827568259465555968/4MROd4Dr_normal.jpg","View")</f>
        <v>View</v>
      </c>
      <c r="P11742" s="27"/>
    </row>
    <row r="11743">
      <c r="A11743" s="14">
        <v>43032.85561342593</v>
      </c>
      <c r="B11743" s="20" t="str">
        <f>HYPERLINK("https://twitter.com/MelanyOsm","@MelanyOsm")</f>
        <v>@MelanyOsm</v>
      </c>
      <c r="C11743" s="21" t="s">
        <v>24596</v>
      </c>
      <c r="D11743" s="21" t="s">
        <v>24597</v>
      </c>
      <c r="E11743" s="22" t="str">
        <f>HYPERLINK("https://twitter.com/MelanyOsm/status/923029370318364672","923029370318364672")</f>
        <v>923029370318364672</v>
      </c>
      <c r="F11743" s="30" t="s">
        <v>411</v>
      </c>
      <c r="G11743" s="24">
        <v>681.0</v>
      </c>
      <c r="H11743" s="24">
        <v>1579.0</v>
      </c>
      <c r="I11743" s="24">
        <v>0.0</v>
      </c>
      <c r="J11743" s="24">
        <v>0.0</v>
      </c>
      <c r="K11743" s="23" t="s">
        <v>34</v>
      </c>
      <c r="L11743" s="25">
        <v>42785.76553240741</v>
      </c>
      <c r="M11743" s="26" t="s">
        <v>5924</v>
      </c>
      <c r="N11743" s="26" t="s">
        <v>24598</v>
      </c>
      <c r="O11743" s="22" t="str">
        <f>HYPERLINK("https://pbs.twimg.com/profile_images/833507021022326784/S_RMS9T4_normal.jpg","View")</f>
        <v>View</v>
      </c>
      <c r="P11743" s="27"/>
    </row>
    <row r="11744">
      <c r="A11744" s="14">
        <v>43032.85574074074</v>
      </c>
      <c r="B11744" s="20" t="str">
        <f>HYPERLINK("https://twitter.com/KeriYurikke","@KeriYurikke")</f>
        <v>@KeriYurikke</v>
      </c>
      <c r="C11744" s="21" t="s">
        <v>5974</v>
      </c>
      <c r="D11744" s="21" t="s">
        <v>24599</v>
      </c>
      <c r="E11744" s="22" t="str">
        <f>HYPERLINK("https://twitter.com/KeriYurikke/status/923029415730253824","923029415730253824")</f>
        <v>923029415730253824</v>
      </c>
      <c r="F11744" s="23" t="s">
        <v>187</v>
      </c>
      <c r="G11744" s="24">
        <v>13.0</v>
      </c>
      <c r="H11744" s="24">
        <v>0.0</v>
      </c>
      <c r="I11744" s="24">
        <v>0.0</v>
      </c>
      <c r="J11744" s="24">
        <v>0.0</v>
      </c>
      <c r="K11744" s="23" t="s">
        <v>34</v>
      </c>
      <c r="L11744" s="25">
        <v>42725.16009259259</v>
      </c>
      <c r="M11744" s="26" t="s">
        <v>5976</v>
      </c>
      <c r="N11744" s="26" t="s">
        <v>5977</v>
      </c>
      <c r="O11744" s="22" t="str">
        <f>HYPERLINK("https://pbs.twimg.com/profile_images/817578913559822337/ONBLd-Dv_normal.jpg","View")</f>
        <v>View</v>
      </c>
      <c r="P11744" s="27"/>
    </row>
    <row r="11745">
      <c r="A11745" s="14">
        <v>43032.85605324074</v>
      </c>
      <c r="B11745" s="20" t="str">
        <f>HYPERLINK("https://twitter.com/StateOfNetwork","@StateOfNetwork")</f>
        <v>@StateOfNetwork</v>
      </c>
      <c r="C11745" s="21" t="s">
        <v>720</v>
      </c>
      <c r="D11745" s="21" t="s">
        <v>24600</v>
      </c>
      <c r="E11745" s="22" t="str">
        <f>HYPERLINK("https://twitter.com/StateOfNetwork/status/923029530096390144","923029530096390144")</f>
        <v>923029530096390144</v>
      </c>
      <c r="F11745" s="23" t="s">
        <v>91</v>
      </c>
      <c r="G11745" s="24">
        <v>84.0</v>
      </c>
      <c r="H11745" s="24">
        <v>2.0</v>
      </c>
      <c r="I11745" s="24">
        <v>0.0</v>
      </c>
      <c r="J11745" s="24">
        <v>0.0</v>
      </c>
      <c r="K11745" s="23" t="s">
        <v>34</v>
      </c>
      <c r="L11745" s="25">
        <v>42591.626747685186</v>
      </c>
      <c r="M11745" s="26" t="s">
        <v>722</v>
      </c>
      <c r="N11745" s="26" t="s">
        <v>723</v>
      </c>
      <c r="O11745" s="22" t="str">
        <f>HYPERLINK("https://pbs.twimg.com/profile_images/857770319620263936/CpVum0Np_normal.jpg","View")</f>
        <v>View</v>
      </c>
      <c r="P11745" s="27"/>
    </row>
    <row r="11746">
      <c r="A11746" s="14">
        <v>43032.85733796297</v>
      </c>
      <c r="B11746" s="20" t="str">
        <f>HYPERLINK("https://twitter.com/SohailYounas22","@SohailYounas22")</f>
        <v>@SohailYounas22</v>
      </c>
      <c r="C11746" s="21" t="s">
        <v>4546</v>
      </c>
      <c r="D11746" s="21" t="s">
        <v>24601</v>
      </c>
      <c r="E11746" s="22" t="str">
        <f>HYPERLINK("https://twitter.com/SohailYounas22/status/923029993986301952","923029993986301952")</f>
        <v>923029993986301952</v>
      </c>
      <c r="F11746" s="23" t="s">
        <v>4548</v>
      </c>
      <c r="G11746" s="24">
        <v>197.0</v>
      </c>
      <c r="H11746" s="24">
        <v>339.0</v>
      </c>
      <c r="I11746" s="24">
        <v>0.0</v>
      </c>
      <c r="J11746" s="24">
        <v>0.0</v>
      </c>
      <c r="K11746" s="23" t="s">
        <v>34</v>
      </c>
      <c r="L11746" s="25">
        <v>42193.66047453704</v>
      </c>
      <c r="M11746" s="26" t="s">
        <v>4549</v>
      </c>
      <c r="N11746" s="26" t="s">
        <v>4550</v>
      </c>
      <c r="O11746" s="22" t="str">
        <f>HYPERLINK("https://pbs.twimg.com/profile_images/887552129338138624/w_OXsOJb_normal.jpg","View")</f>
        <v>View</v>
      </c>
      <c r="P11746" s="27"/>
    </row>
    <row r="11747">
      <c r="A11747" s="14">
        <v>43032.857453703706</v>
      </c>
      <c r="B11747" s="20" t="str">
        <f>HYPERLINK("https://twitter.com/Shahzad092","@Shahzad092")</f>
        <v>@Shahzad092</v>
      </c>
      <c r="C11747" s="21" t="s">
        <v>4552</v>
      </c>
      <c r="D11747" s="21" t="s">
        <v>24602</v>
      </c>
      <c r="E11747" s="22" t="str">
        <f>HYPERLINK("https://twitter.com/Shahzad092/status/923030037187641345","923030037187641345")</f>
        <v>923030037187641345</v>
      </c>
      <c r="F11747" s="23" t="s">
        <v>4548</v>
      </c>
      <c r="G11747" s="24">
        <v>246.0</v>
      </c>
      <c r="H11747" s="24">
        <v>1158.0</v>
      </c>
      <c r="I11747" s="24">
        <v>0.0</v>
      </c>
      <c r="J11747" s="24">
        <v>0.0</v>
      </c>
      <c r="K11747" s="23" t="s">
        <v>34</v>
      </c>
      <c r="L11747" s="25">
        <v>40355.45054398148</v>
      </c>
      <c r="M11747" s="26" t="s">
        <v>1255</v>
      </c>
      <c r="N11747" s="26" t="s">
        <v>4554</v>
      </c>
      <c r="O11747" s="22" t="str">
        <f>HYPERLINK("https://pbs.twimg.com/profile_images/732181736357040128/TgRG6Vpi_normal.jpg","View")</f>
        <v>View</v>
      </c>
      <c r="P11747" s="27"/>
    </row>
    <row r="11748">
      <c r="A11748" s="14">
        <v>43032.85798611111</v>
      </c>
      <c r="B11748" s="20" t="str">
        <f>HYPERLINK("https://twitter.com/MajidJowhari","@MajidJowhari")</f>
        <v>@MajidJowhari</v>
      </c>
      <c r="C11748" s="21" t="s">
        <v>24603</v>
      </c>
      <c r="D11748" s="21" t="s">
        <v>10614</v>
      </c>
      <c r="E11748" s="22" t="str">
        <f>HYPERLINK("https://twitter.com/MajidJowhari/status/923030228263428096","923030228263428096")</f>
        <v>923030228263428096</v>
      </c>
      <c r="F11748" s="23" t="s">
        <v>39</v>
      </c>
      <c r="G11748" s="24">
        <v>11034.0</v>
      </c>
      <c r="H11748" s="24">
        <v>1085.0</v>
      </c>
      <c r="I11748" s="24">
        <v>159.0</v>
      </c>
      <c r="J11748" s="24">
        <v>0.0</v>
      </c>
      <c r="K11748" s="23" t="s">
        <v>34</v>
      </c>
      <c r="L11748" s="25">
        <v>41611.790601851855</v>
      </c>
      <c r="M11748" s="26" t="s">
        <v>10911</v>
      </c>
      <c r="N11748" s="26" t="s">
        <v>24604</v>
      </c>
      <c r="O11748" s="22" t="str">
        <f>HYPERLINK("https://pbs.twimg.com/profile_images/685222030321426432/7bdQd49p_normal.jpg","View")</f>
        <v>View</v>
      </c>
      <c r="P11748" s="27"/>
    </row>
    <row r="11749">
      <c r="A11749" s="14">
        <v>43032.85936342593</v>
      </c>
      <c r="B11749" s="20" t="str">
        <f>HYPERLINK("https://twitter.com/EBertolaccini","@EBertolaccini")</f>
        <v>@EBertolaccini</v>
      </c>
      <c r="C11749" s="21" t="s">
        <v>764</v>
      </c>
      <c r="D11749" s="21" t="s">
        <v>24605</v>
      </c>
      <c r="E11749" s="22" t="str">
        <f>HYPERLINK("https://twitter.com/EBertolaccini/status/923030730715926529","923030730715926529")</f>
        <v>923030730715926529</v>
      </c>
      <c r="F11749" s="23" t="s">
        <v>187</v>
      </c>
      <c r="G11749" s="24">
        <v>1179.0</v>
      </c>
      <c r="H11749" s="24">
        <v>1881.0</v>
      </c>
      <c r="I11749" s="24">
        <v>0.0</v>
      </c>
      <c r="J11749" s="24">
        <v>0.0</v>
      </c>
      <c r="K11749" s="23" t="s">
        <v>34</v>
      </c>
      <c r="L11749" s="25">
        <v>40636.36203703703</v>
      </c>
      <c r="M11749" s="26" t="s">
        <v>766</v>
      </c>
      <c r="N11749" s="26" t="s">
        <v>767</v>
      </c>
      <c r="O11749" s="22" t="str">
        <f>HYPERLINK("https://pbs.twimg.com/profile_images/522805721537466368/cbIOXjsD_normal.jpeg","View")</f>
        <v>View</v>
      </c>
      <c r="P11749" s="27"/>
    </row>
    <row r="11750">
      <c r="A11750" s="14">
        <v>43032.85940972222</v>
      </c>
      <c r="B11750" s="20" t="str">
        <f>HYPERLINK("https://twitter.com/Nan33S","@Nan33S")</f>
        <v>@Nan33S</v>
      </c>
      <c r="C11750" s="21" t="s">
        <v>24606</v>
      </c>
      <c r="D11750" s="21" t="s">
        <v>24607</v>
      </c>
      <c r="E11750" s="22" t="str">
        <f>HYPERLINK("https://twitter.com/Nan33S/status/923030743743426560","923030743743426560")</f>
        <v>923030743743426560</v>
      </c>
      <c r="F11750" s="23" t="s">
        <v>39</v>
      </c>
      <c r="G11750" s="24">
        <v>6223.0</v>
      </c>
      <c r="H11750" s="24">
        <v>5611.0</v>
      </c>
      <c r="I11750" s="24">
        <v>1.0</v>
      </c>
      <c r="J11750" s="24">
        <v>0.0</v>
      </c>
      <c r="K11750" s="23" t="s">
        <v>34</v>
      </c>
      <c r="L11750" s="25">
        <v>40688.73168981481</v>
      </c>
      <c r="M11750" s="26" t="s">
        <v>24608</v>
      </c>
      <c r="N11750" s="26" t="s">
        <v>24609</v>
      </c>
      <c r="O11750" s="22" t="str">
        <f>HYPERLINK("https://pbs.twimg.com/profile_images/894986143703478272/BqiU3RRh_normal.jpg","View")</f>
        <v>View</v>
      </c>
      <c r="P11750" s="27"/>
    </row>
    <row r="11751">
      <c r="A11751" s="14">
        <v>43032.859444444446</v>
      </c>
      <c r="B11751" s="20" t="str">
        <f>HYPERLINK("https://twitter.com/SylviaEvelyn","@SylviaEvelyn")</f>
        <v>@SylviaEvelyn</v>
      </c>
      <c r="C11751" s="21" t="s">
        <v>24610</v>
      </c>
      <c r="D11751" s="21" t="s">
        <v>24611</v>
      </c>
      <c r="E11751" s="22" t="str">
        <f>HYPERLINK("https://twitter.com/SylviaEvelyn/status/923030758259875840","923030758259875840")</f>
        <v>923030758259875840</v>
      </c>
      <c r="F11751" s="23" t="s">
        <v>55</v>
      </c>
      <c r="G11751" s="24">
        <v>464.0</v>
      </c>
      <c r="H11751" s="24">
        <v>1251.0</v>
      </c>
      <c r="I11751" s="24">
        <v>0.0</v>
      </c>
      <c r="J11751" s="24">
        <v>0.0</v>
      </c>
      <c r="K11751" s="23" t="s">
        <v>34</v>
      </c>
      <c r="L11751" s="25">
        <v>40088.888877314814</v>
      </c>
      <c r="M11751" s="26" t="s">
        <v>24612</v>
      </c>
      <c r="N11751" s="26" t="s">
        <v>24613</v>
      </c>
      <c r="O11751" s="22" t="str">
        <f>HYPERLINK("https://pbs.twimg.com/profile_images/708069151970082816/PGIJYIZ0_normal.jpg","View")</f>
        <v>View</v>
      </c>
      <c r="P11751" s="27"/>
    </row>
    <row r="11752">
      <c r="A11752" s="14">
        <v>43032.86059027778</v>
      </c>
      <c r="B11752" s="20" t="str">
        <f>HYPERLINK("https://twitter.com/kazukazu881","@kazukazu881")</f>
        <v>@kazukazu881</v>
      </c>
      <c r="C11752" s="21" t="s">
        <v>24614</v>
      </c>
      <c r="D11752" s="21" t="s">
        <v>24007</v>
      </c>
      <c r="E11752" s="22" t="str">
        <f>HYPERLINK("https://twitter.com/kazukazu881/status/923031172019404800","923031172019404800")</f>
        <v>923031172019404800</v>
      </c>
      <c r="F11752" s="23" t="s">
        <v>75</v>
      </c>
      <c r="G11752" s="24">
        <v>10832.0</v>
      </c>
      <c r="H11752" s="24">
        <v>489.0</v>
      </c>
      <c r="I11752" s="24">
        <v>122.0</v>
      </c>
      <c r="J11752" s="24">
        <v>0.0</v>
      </c>
      <c r="K11752" s="23" t="s">
        <v>34</v>
      </c>
      <c r="L11752" s="25">
        <v>40663.35207175926</v>
      </c>
      <c r="M11752" s="28"/>
      <c r="N11752" s="26" t="s">
        <v>24615</v>
      </c>
      <c r="O11752" s="22" t="str">
        <f>HYPERLINK("https://pbs.twimg.com/profile_images/569395422892802048/40TwpNsX_normal.jpeg","View")</f>
        <v>View</v>
      </c>
      <c r="P11752" s="27"/>
    </row>
    <row r="11753">
      <c r="A11753" s="14">
        <v>43032.86070601852</v>
      </c>
      <c r="B11753" s="20" t="str">
        <f>HYPERLINK("https://twitter.com/Cainsystem_jp","@Cainsystem_jp")</f>
        <v>@Cainsystem_jp</v>
      </c>
      <c r="C11753" s="21" t="s">
        <v>24616</v>
      </c>
      <c r="D11753" s="21" t="s">
        <v>24007</v>
      </c>
      <c r="E11753" s="22" t="str">
        <f>HYPERLINK("https://twitter.com/Cainsystem_jp/status/923031214059003904","923031214059003904")</f>
        <v>923031214059003904</v>
      </c>
      <c r="F11753" s="23" t="s">
        <v>230</v>
      </c>
      <c r="G11753" s="24">
        <v>534.0</v>
      </c>
      <c r="H11753" s="24">
        <v>995.0</v>
      </c>
      <c r="I11753" s="24">
        <v>122.0</v>
      </c>
      <c r="J11753" s="24">
        <v>0.0</v>
      </c>
      <c r="K11753" s="23" t="s">
        <v>34</v>
      </c>
      <c r="L11753" s="25">
        <v>40068.10378472222</v>
      </c>
      <c r="M11753" s="26" t="s">
        <v>24617</v>
      </c>
      <c r="N11753" s="26" t="s">
        <v>24618</v>
      </c>
      <c r="O11753" s="22" t="str">
        <f>HYPERLINK("https://pbs.twimg.com/profile_images/736746621375893505/_G7qs_u8_normal.jpg","View")</f>
        <v>View</v>
      </c>
      <c r="P11753" s="27"/>
    </row>
    <row r="11754">
      <c r="A11754" s="14">
        <v>43032.861805555556</v>
      </c>
      <c r="B11754" s="20" t="str">
        <f>HYPERLINK("https://twitter.com/miyukixrinn","@miyukixrinn")</f>
        <v>@miyukixrinn</v>
      </c>
      <c r="C11754" s="21" t="s">
        <v>24619</v>
      </c>
      <c r="D11754" s="21" t="s">
        <v>24620</v>
      </c>
      <c r="E11754" s="22" t="str">
        <f>HYPERLINK("https://twitter.com/miyukixrinn/status/923031613650243584","923031613650243584")</f>
        <v>923031613650243584</v>
      </c>
      <c r="F11754" s="23" t="s">
        <v>33</v>
      </c>
      <c r="G11754" s="24">
        <v>418.0</v>
      </c>
      <c r="H11754" s="24">
        <v>1200.0</v>
      </c>
      <c r="I11754" s="24">
        <v>1.0</v>
      </c>
      <c r="J11754" s="24">
        <v>0.0</v>
      </c>
      <c r="K11754" s="23" t="s">
        <v>34</v>
      </c>
      <c r="L11754" s="25">
        <v>40604.263807870375</v>
      </c>
      <c r="M11754" s="26" t="s">
        <v>24621</v>
      </c>
      <c r="N11754" s="26" t="s">
        <v>24622</v>
      </c>
      <c r="O11754" s="22" t="str">
        <f>HYPERLINK("https://pbs.twimg.com/profile_images/751212169065140224/YR1i99gq_normal.jpg","View")</f>
        <v>View</v>
      </c>
      <c r="P11754" s="27"/>
    </row>
    <row r="11755">
      <c r="A11755" s="14">
        <v>43032.86200231481</v>
      </c>
      <c r="B11755" s="20" t="str">
        <f>HYPERLINK("https://twitter.com/helen_dalley","@helen_dalley")</f>
        <v>@helen_dalley</v>
      </c>
      <c r="C11755" s="21" t="s">
        <v>24623</v>
      </c>
      <c r="D11755" s="21" t="s">
        <v>24624</v>
      </c>
      <c r="E11755" s="22" t="str">
        <f>HYPERLINK("https://twitter.com/helen_dalley/status/923031684676689921","923031684676689921")</f>
        <v>923031684676689921</v>
      </c>
      <c r="F11755" s="23" t="s">
        <v>39</v>
      </c>
      <c r="G11755" s="24">
        <v>1216.0</v>
      </c>
      <c r="H11755" s="24">
        <v>585.0</v>
      </c>
      <c r="I11755" s="24">
        <v>1.0</v>
      </c>
      <c r="J11755" s="24">
        <v>1.0</v>
      </c>
      <c r="K11755" s="23" t="s">
        <v>34</v>
      </c>
      <c r="L11755" s="25">
        <v>41952.83409722222</v>
      </c>
      <c r="M11755" s="26" t="s">
        <v>24625</v>
      </c>
      <c r="N11755" s="26" t="s">
        <v>24626</v>
      </c>
      <c r="O11755" s="22" t="str">
        <f>HYPERLINK("https://pbs.twimg.com/profile_images/531658697873715200/QdNEQFx-_normal.jpeg","View")</f>
        <v>View</v>
      </c>
      <c r="P11755" s="27"/>
    </row>
    <row r="11756">
      <c r="A11756" s="14">
        <v>43032.86201388889</v>
      </c>
      <c r="B11756" s="20" t="str">
        <f>HYPERLINK("https://twitter.com/SkyBusiness","@SkyBusiness")</f>
        <v>@SkyBusiness</v>
      </c>
      <c r="C11756" s="21" t="s">
        <v>24627</v>
      </c>
      <c r="D11756" s="21" t="s">
        <v>24628</v>
      </c>
      <c r="E11756" s="22" t="str">
        <f>HYPERLINK("https://twitter.com/SkyBusiness/status/923031689181450240","923031689181450240")</f>
        <v>923031689181450240</v>
      </c>
      <c r="F11756" s="23" t="s">
        <v>24629</v>
      </c>
      <c r="G11756" s="24">
        <v>40291.0</v>
      </c>
      <c r="H11756" s="24">
        <v>14657.0</v>
      </c>
      <c r="I11756" s="24">
        <v>1.0</v>
      </c>
      <c r="J11756" s="24">
        <v>0.0</v>
      </c>
      <c r="K11756" s="23" t="s">
        <v>34</v>
      </c>
      <c r="L11756" s="25">
        <v>39787.68383101852</v>
      </c>
      <c r="M11756" s="26" t="s">
        <v>3224</v>
      </c>
      <c r="N11756" s="26" t="s">
        <v>24630</v>
      </c>
      <c r="O11756" s="22" t="str">
        <f>HYPERLINK("https://pbs.twimg.com/profile_images/907025315347628032/EM3DM6qQ_normal.jpg","View")</f>
        <v>View</v>
      </c>
      <c r="P11756" s="27"/>
    </row>
    <row r="11757">
      <c r="A11757" s="14">
        <v>43032.862187499995</v>
      </c>
      <c r="B11757" s="20" t="str">
        <f>HYPERLINK("https://twitter.com/BSAFunds","@BSAFunds")</f>
        <v>@BSAFunds</v>
      </c>
      <c r="C11757" s="21" t="s">
        <v>1248</v>
      </c>
      <c r="D11757" s="21" t="s">
        <v>24631</v>
      </c>
      <c r="E11757" s="22" t="str">
        <f>HYPERLINK("https://twitter.com/BSAFunds/status/923031751202664448","923031751202664448")</f>
        <v>923031751202664448</v>
      </c>
      <c r="F11757" s="23" t="s">
        <v>187</v>
      </c>
      <c r="G11757" s="24">
        <v>20910.0</v>
      </c>
      <c r="H11757" s="24">
        <v>8929.0</v>
      </c>
      <c r="I11757" s="24">
        <v>0.0</v>
      </c>
      <c r="J11757" s="24">
        <v>0.0</v>
      </c>
      <c r="K11757" s="23" t="s">
        <v>34</v>
      </c>
      <c r="L11757" s="25">
        <v>42601.94818287037</v>
      </c>
      <c r="M11757" s="26" t="s">
        <v>1250</v>
      </c>
      <c r="N11757" s="26" t="s">
        <v>1251</v>
      </c>
      <c r="O11757" s="22" t="str">
        <f>HYPERLINK("https://pbs.twimg.com/profile_images/912769166960033792/N4LAmrTs_normal.jpg","View")</f>
        <v>View</v>
      </c>
      <c r="P11757" s="27"/>
    </row>
    <row r="11758">
      <c r="A11758" s="14">
        <v>43032.862280092595</v>
      </c>
      <c r="B11758" s="20" t="str">
        <f>HYPERLINK("https://twitter.com/MadiMakesMuslc","@MadiMakesMuslc")</f>
        <v>@MadiMakesMuslc</v>
      </c>
      <c r="C11758" s="21" t="s">
        <v>24632</v>
      </c>
      <c r="D11758" s="21" t="s">
        <v>24633</v>
      </c>
      <c r="E11758" s="22" t="str">
        <f>HYPERLINK("https://twitter.com/MadiMakesMuslc/status/923031784262131712","923031784262131712")</f>
        <v>923031784262131712</v>
      </c>
      <c r="F11758" s="23" t="s">
        <v>33</v>
      </c>
      <c r="G11758" s="24">
        <v>52.0</v>
      </c>
      <c r="H11758" s="24">
        <v>2227.0</v>
      </c>
      <c r="I11758" s="24">
        <v>11.0</v>
      </c>
      <c r="J11758" s="24">
        <v>0.0</v>
      </c>
      <c r="K11758" s="23" t="s">
        <v>34</v>
      </c>
      <c r="L11758" s="25">
        <v>41083.502604166664</v>
      </c>
      <c r="M11758" s="26" t="s">
        <v>24634</v>
      </c>
      <c r="N11758" s="26" t="s">
        <v>24635</v>
      </c>
      <c r="O11758" s="22" t="str">
        <f>HYPERLINK("https://pbs.twimg.com/profile_images/751516903777140736/Q3-_GS_q_normal.jpg","View")</f>
        <v>View</v>
      </c>
      <c r="P11758" s="27"/>
    </row>
    <row r="11759">
      <c r="A11759" s="14">
        <v>43032.86241898148</v>
      </c>
      <c r="B11759" s="20" t="str">
        <f>HYPERLINK("https://twitter.com/moonmady","@moonmady")</f>
        <v>@moonmady</v>
      </c>
      <c r="C11759" s="21" t="s">
        <v>24636</v>
      </c>
      <c r="D11759" s="21" t="s">
        <v>24007</v>
      </c>
      <c r="E11759" s="22" t="str">
        <f>HYPERLINK("https://twitter.com/moonmady/status/923031835080245249","923031835080245249")</f>
        <v>923031835080245249</v>
      </c>
      <c r="F11759" s="23" t="s">
        <v>55</v>
      </c>
      <c r="G11759" s="24">
        <v>670.0</v>
      </c>
      <c r="H11759" s="24">
        <v>1459.0</v>
      </c>
      <c r="I11759" s="24">
        <v>122.0</v>
      </c>
      <c r="J11759" s="24">
        <v>0.0</v>
      </c>
      <c r="K11759" s="23" t="s">
        <v>34</v>
      </c>
      <c r="L11759" s="25">
        <v>40281.467303240745</v>
      </c>
      <c r="M11759" s="26" t="s">
        <v>24637</v>
      </c>
      <c r="N11759" s="26" t="s">
        <v>24638</v>
      </c>
      <c r="O11759" s="22" t="str">
        <f>HYPERLINK("https://pbs.twimg.com/profile_images/1280303824/______normal.jpg","View")</f>
        <v>View</v>
      </c>
      <c r="P11759" s="27"/>
    </row>
    <row r="11760">
      <c r="A11760" s="14">
        <v>43032.864120370374</v>
      </c>
      <c r="B11760" s="20" t="str">
        <f>HYPERLINK("https://twitter.com/LlanosJuanlui3","@LlanosJuanlui3")</f>
        <v>@LlanosJuanlui3</v>
      </c>
      <c r="C11760" s="21" t="s">
        <v>24639</v>
      </c>
      <c r="D11760" s="21" t="s">
        <v>24633</v>
      </c>
      <c r="E11760" s="22" t="str">
        <f>HYPERLINK("https://twitter.com/LlanosJuanlui3/status/923032451013857280","923032451013857280")</f>
        <v>923032451013857280</v>
      </c>
      <c r="F11760" s="23" t="s">
        <v>33</v>
      </c>
      <c r="G11760" s="24">
        <v>36.0</v>
      </c>
      <c r="H11760" s="24">
        <v>2239.0</v>
      </c>
      <c r="I11760" s="24">
        <v>11.0</v>
      </c>
      <c r="J11760" s="24">
        <v>0.0</v>
      </c>
      <c r="K11760" s="23" t="s">
        <v>34</v>
      </c>
      <c r="L11760" s="25">
        <v>41084.7313425926</v>
      </c>
      <c r="M11760" s="26" t="s">
        <v>24640</v>
      </c>
      <c r="N11760" s="28"/>
      <c r="O11760" s="22" t="str">
        <f>HYPERLINK("https://pbs.twimg.com/profile_images/770370847471181824/a3tflsTn_normal.jpg","View")</f>
        <v>View</v>
      </c>
      <c r="P11760" s="27"/>
    </row>
    <row r="11761">
      <c r="A11761" s="14">
        <v>43032.864282407405</v>
      </c>
      <c r="B11761" s="20" t="str">
        <f>HYPERLINK("https://twitter.com/theedgemarkets","@theedgemarkets")</f>
        <v>@theedgemarkets</v>
      </c>
      <c r="C11761" s="21" t="s">
        <v>24641</v>
      </c>
      <c r="D11761" s="21" t="s">
        <v>24642</v>
      </c>
      <c r="E11761" s="22" t="str">
        <f>HYPERLINK("https://twitter.com/theedgemarkets/status/923032510166056961","923032510166056961")</f>
        <v>923032510166056961</v>
      </c>
      <c r="F11761" s="23" t="s">
        <v>24643</v>
      </c>
      <c r="G11761" s="24">
        <v>469988.0</v>
      </c>
      <c r="H11761" s="24">
        <v>163.0</v>
      </c>
      <c r="I11761" s="24">
        <v>0.0</v>
      </c>
      <c r="J11761" s="24">
        <v>0.0</v>
      </c>
      <c r="K11761" s="23" t="s">
        <v>34</v>
      </c>
      <c r="L11761" s="25">
        <v>39830.11494212963</v>
      </c>
      <c r="M11761" s="26" t="s">
        <v>24644</v>
      </c>
      <c r="N11761" s="26" t="s">
        <v>24645</v>
      </c>
      <c r="O11761" s="22" t="str">
        <f>HYPERLINK("https://pbs.twimg.com/profile_images/520124422015819776/20Jp49zt_normal.jpeg","View")</f>
        <v>View</v>
      </c>
      <c r="P11761" s="27"/>
    </row>
    <row r="11762">
      <c r="A11762" s="14">
        <v>43032.86434027778</v>
      </c>
      <c r="B11762" s="20" t="str">
        <f>HYPERLINK("https://twitter.com/CptWiggleFuffle","@CptWiggleFuffle")</f>
        <v>@CptWiggleFuffle</v>
      </c>
      <c r="C11762" s="21" t="s">
        <v>24646</v>
      </c>
      <c r="D11762" s="21" t="s">
        <v>18113</v>
      </c>
      <c r="E11762" s="22" t="str">
        <f>HYPERLINK("https://twitter.com/CptWiggleFuffle/status/923032531393568768","923032531393568768")</f>
        <v>923032531393568768</v>
      </c>
      <c r="F11762" s="23" t="s">
        <v>33</v>
      </c>
      <c r="G11762" s="24">
        <v>2864.0</v>
      </c>
      <c r="H11762" s="24">
        <v>3044.0</v>
      </c>
      <c r="I11762" s="24">
        <v>18.0</v>
      </c>
      <c r="J11762" s="24">
        <v>0.0</v>
      </c>
      <c r="K11762" s="23" t="s">
        <v>34</v>
      </c>
      <c r="L11762" s="25">
        <v>40890.509259259255</v>
      </c>
      <c r="M11762" s="26" t="s">
        <v>24647</v>
      </c>
      <c r="N11762" s="26" t="s">
        <v>24648</v>
      </c>
      <c r="O11762" s="22" t="str">
        <f>HYPERLINK("https://pbs.twimg.com/profile_images/874654721251962880/YSvXE858_normal.jpg","View")</f>
        <v>View</v>
      </c>
      <c r="P11762" s="27"/>
    </row>
    <row r="11763">
      <c r="A11763" s="14">
        <v>43032.86460648148</v>
      </c>
      <c r="B11763" s="20" t="str">
        <f>HYPERLINK("https://twitter.com/minhana","@minhana")</f>
        <v>@minhana</v>
      </c>
      <c r="C11763" s="21" t="s">
        <v>24649</v>
      </c>
      <c r="D11763" s="21" t="s">
        <v>24007</v>
      </c>
      <c r="E11763" s="22" t="str">
        <f>HYPERLINK("https://twitter.com/minhana/status/923032627979808769","923032627979808769")</f>
        <v>923032627979808769</v>
      </c>
      <c r="F11763" s="23" t="s">
        <v>39</v>
      </c>
      <c r="G11763" s="24">
        <v>815.0</v>
      </c>
      <c r="H11763" s="24">
        <v>1936.0</v>
      </c>
      <c r="I11763" s="24">
        <v>122.0</v>
      </c>
      <c r="J11763" s="24">
        <v>0.0</v>
      </c>
      <c r="K11763" s="23" t="s">
        <v>34</v>
      </c>
      <c r="L11763" s="25">
        <v>39960.274189814816</v>
      </c>
      <c r="M11763" s="26" t="s">
        <v>24650</v>
      </c>
      <c r="N11763" s="26" t="s">
        <v>24651</v>
      </c>
      <c r="O11763" s="22" t="str">
        <f>HYPERLINK("https://pbs.twimg.com/profile_images/2814331871/2568327bc115a4cc91348561f1b91693_normal.png","View")</f>
        <v>View</v>
      </c>
      <c r="P11763" s="27"/>
    </row>
    <row r="11764">
      <c r="A11764" s="14">
        <v>43032.8646875</v>
      </c>
      <c r="B11764" s="20" t="str">
        <f>HYPERLINK("https://twitter.com/jimmyhoshi","@jimmyhoshi")</f>
        <v>@jimmyhoshi</v>
      </c>
      <c r="C11764" s="21" t="s">
        <v>11651</v>
      </c>
      <c r="D11764" s="21" t="s">
        <v>24652</v>
      </c>
      <c r="E11764" s="22" t="str">
        <f>HYPERLINK("https://twitter.com/jimmyhoshi/status/923032656564011009","923032656564011009")</f>
        <v>923032656564011009</v>
      </c>
      <c r="F11764" s="23" t="s">
        <v>11653</v>
      </c>
      <c r="G11764" s="24">
        <v>8727.0</v>
      </c>
      <c r="H11764" s="24">
        <v>8446.0</v>
      </c>
      <c r="I11764" s="24">
        <v>0.0</v>
      </c>
      <c r="J11764" s="24">
        <v>0.0</v>
      </c>
      <c r="K11764" s="23" t="s">
        <v>34</v>
      </c>
      <c r="L11764" s="25">
        <v>41922.7041087963</v>
      </c>
      <c r="M11764" s="26" t="s">
        <v>11654</v>
      </c>
      <c r="N11764" s="26" t="s">
        <v>11655</v>
      </c>
      <c r="O11764" s="22" t="str">
        <f>HYPERLINK("https://pbs.twimg.com/profile_images/525551979565555712/q1hl0v2W_normal.png","View")</f>
        <v>View</v>
      </c>
      <c r="P11764" s="27"/>
    </row>
    <row r="11765">
      <c r="A11765" s="14">
        <v>43032.86488425926</v>
      </c>
      <c r="B11765" s="20" t="str">
        <f>HYPERLINK("https://twitter.com/kingsplderable","@kingsplderable")</f>
        <v>@kingsplderable</v>
      </c>
      <c r="C11765" s="21" t="s">
        <v>24653</v>
      </c>
      <c r="D11765" s="21" t="s">
        <v>24633</v>
      </c>
      <c r="E11765" s="22" t="str">
        <f>HYPERLINK("https://twitter.com/kingsplderable/status/923032729297485824","923032729297485824")</f>
        <v>923032729297485824</v>
      </c>
      <c r="F11765" s="23" t="s">
        <v>33</v>
      </c>
      <c r="G11765" s="24">
        <v>41.0</v>
      </c>
      <c r="H11765" s="24">
        <v>1759.0</v>
      </c>
      <c r="I11765" s="24">
        <v>11.0</v>
      </c>
      <c r="J11765" s="24">
        <v>0.0</v>
      </c>
      <c r="K11765" s="23" t="s">
        <v>34</v>
      </c>
      <c r="L11765" s="25">
        <v>41745.69909722223</v>
      </c>
      <c r="M11765" s="28"/>
      <c r="N11765" s="26" t="s">
        <v>24654</v>
      </c>
      <c r="O11765" s="22" t="str">
        <f>HYPERLINK("https://pbs.twimg.com/profile_images/749735529789489152/s-Nnylzk_normal.jpg","View")</f>
        <v>View</v>
      </c>
      <c r="P11765" s="27"/>
    </row>
    <row r="11766">
      <c r="A11766" s="14">
        <v>43032.864953703705</v>
      </c>
      <c r="B11766" s="20" t="str">
        <f>HYPERLINK("https://twitter.com/Social_Media_d6","@Social_Media_d6")</f>
        <v>@Social_Media_d6</v>
      </c>
      <c r="C11766" s="21" t="s">
        <v>24655</v>
      </c>
      <c r="D11766" s="21" t="s">
        <v>24656</v>
      </c>
      <c r="E11766" s="22" t="str">
        <f>HYPERLINK("https://twitter.com/Social_Media_d6/status/923032756233359360","923032756233359360")</f>
        <v>923032756233359360</v>
      </c>
      <c r="F11766" s="23" t="s">
        <v>427</v>
      </c>
      <c r="G11766" s="24">
        <v>4872.0</v>
      </c>
      <c r="H11766" s="24">
        <v>4917.0</v>
      </c>
      <c r="I11766" s="24">
        <v>0.0</v>
      </c>
      <c r="J11766" s="24">
        <v>0.0</v>
      </c>
      <c r="K11766" s="23" t="s">
        <v>34</v>
      </c>
      <c r="L11766" s="25">
        <v>42814.665358796294</v>
      </c>
      <c r="M11766" s="28"/>
      <c r="N11766" s="26" t="s">
        <v>24657</v>
      </c>
      <c r="O11766" s="22" t="str">
        <f>HYPERLINK("https://pbs.twimg.com/profile_images/873097477196468226/Fj1_iSkj_normal.jpg","View")</f>
        <v>View</v>
      </c>
      <c r="P11766" s="27"/>
    </row>
    <row r="11767">
      <c r="A11767" s="14">
        <v>43032.865000000005</v>
      </c>
      <c r="B11767" s="20" t="str">
        <f>HYPERLINK("https://twitter.com/nowlifestyle3","@nowlifestyle3")</f>
        <v>@nowlifestyle3</v>
      </c>
      <c r="C11767" s="21" t="s">
        <v>24477</v>
      </c>
      <c r="D11767" s="21" t="s">
        <v>24658</v>
      </c>
      <c r="E11767" s="22" t="str">
        <f>HYPERLINK("https://twitter.com/nowlifestyle3/status/923032770749911041","923032770749911041")</f>
        <v>923032770749911041</v>
      </c>
      <c r="F11767" s="23" t="s">
        <v>427</v>
      </c>
      <c r="G11767" s="24">
        <v>55.0</v>
      </c>
      <c r="H11767" s="24">
        <v>388.0</v>
      </c>
      <c r="I11767" s="24">
        <v>0.0</v>
      </c>
      <c r="J11767" s="24">
        <v>0.0</v>
      </c>
      <c r="K11767" s="23" t="s">
        <v>34</v>
      </c>
      <c r="L11767" s="25">
        <v>42906.83833333333</v>
      </c>
      <c r="M11767" s="28"/>
      <c r="N11767" s="28"/>
      <c r="O11767" s="22" t="str">
        <f>HYPERLINK("https://pbs.twimg.com/profile_images/877364312351924225/vEdsjLkO_normal.jpg","View")</f>
        <v>View</v>
      </c>
      <c r="P11767" s="27"/>
    </row>
    <row r="11768">
      <c r="A11768" s="14">
        <v>43032.8650462963</v>
      </c>
      <c r="B11768" s="20" t="str">
        <f>HYPERLINK("https://twitter.com/abhishek_aditya","@abhishek_aditya")</f>
        <v>@abhishek_aditya</v>
      </c>
      <c r="C11768" s="21" t="s">
        <v>24659</v>
      </c>
      <c r="D11768" s="21" t="s">
        <v>24660</v>
      </c>
      <c r="E11768" s="22" t="str">
        <f>HYPERLINK("https://twitter.com/abhishek_aditya/status/923032787472527362","923032787472527362")</f>
        <v>923032787472527362</v>
      </c>
      <c r="F11768" s="23" t="s">
        <v>427</v>
      </c>
      <c r="G11768" s="24">
        <v>6702.0</v>
      </c>
      <c r="H11768" s="24">
        <v>80.0</v>
      </c>
      <c r="I11768" s="24">
        <v>0.0</v>
      </c>
      <c r="J11768" s="24">
        <v>0.0</v>
      </c>
      <c r="K11768" s="23" t="s">
        <v>34</v>
      </c>
      <c r="L11768" s="25">
        <v>40239.08631944445</v>
      </c>
      <c r="M11768" s="26" t="s">
        <v>575</v>
      </c>
      <c r="N11768" s="26" t="s">
        <v>24661</v>
      </c>
      <c r="O11768" s="22" t="str">
        <f>HYPERLINK("https://pbs.twimg.com/profile_images/554934696832794624/GiOyVaCq_normal.png","View")</f>
        <v>View</v>
      </c>
      <c r="P11768" s="27"/>
    </row>
    <row r="11769">
      <c r="A11769" s="14">
        <v>43032.86516203704</v>
      </c>
      <c r="B11769" s="20" t="str">
        <f>HYPERLINK("https://twitter.com/SuperSmashedJ15","@SuperSmashedJ15")</f>
        <v>@SuperSmashedJ15</v>
      </c>
      <c r="C11769" s="21" t="s">
        <v>24662</v>
      </c>
      <c r="D11769" s="21" t="s">
        <v>24633</v>
      </c>
      <c r="E11769" s="22" t="str">
        <f>HYPERLINK("https://twitter.com/SuperSmashedJ15/status/923032830594240517","923032830594240517")</f>
        <v>923032830594240517</v>
      </c>
      <c r="F11769" s="23" t="s">
        <v>33</v>
      </c>
      <c r="G11769" s="24">
        <v>37.0</v>
      </c>
      <c r="H11769" s="24">
        <v>1293.0</v>
      </c>
      <c r="I11769" s="24">
        <v>11.0</v>
      </c>
      <c r="J11769" s="24">
        <v>0.0</v>
      </c>
      <c r="K11769" s="23" t="s">
        <v>34</v>
      </c>
      <c r="L11769" s="25">
        <v>41741.35344907407</v>
      </c>
      <c r="M11769" s="26" t="s">
        <v>389</v>
      </c>
      <c r="N11769" s="26" t="s">
        <v>24663</v>
      </c>
      <c r="O11769" s="22" t="str">
        <f>HYPERLINK("https://pbs.twimg.com/profile_images/749771178563235840/tUKxKPtf_normal.jpg","View")</f>
        <v>View</v>
      </c>
      <c r="P11769" s="27"/>
    </row>
    <row r="11770">
      <c r="A11770" s="14">
        <v>43032.8656712963</v>
      </c>
      <c r="B11770" s="20" t="str">
        <f>HYPERLINK("https://twitter.com/anna_annie12","@anna_annie12")</f>
        <v>@anna_annie12</v>
      </c>
      <c r="C11770" s="21" t="s">
        <v>12907</v>
      </c>
      <c r="D11770" s="21" t="s">
        <v>24664</v>
      </c>
      <c r="E11770" s="22" t="str">
        <f>HYPERLINK("https://twitter.com/anna_annie12/status/923033013444890624","923033013444890624")</f>
        <v>923033013444890624</v>
      </c>
      <c r="F11770" s="23" t="s">
        <v>39</v>
      </c>
      <c r="G11770" s="24">
        <v>2286.0</v>
      </c>
      <c r="H11770" s="24">
        <v>1245.0</v>
      </c>
      <c r="I11770" s="24">
        <v>0.0</v>
      </c>
      <c r="J11770" s="24">
        <v>0.0</v>
      </c>
      <c r="K11770" s="23" t="s">
        <v>34</v>
      </c>
      <c r="L11770" s="25">
        <v>39939.27049768518</v>
      </c>
      <c r="M11770" s="26" t="s">
        <v>12908</v>
      </c>
      <c r="N11770" s="26" t="s">
        <v>12909</v>
      </c>
      <c r="O11770" s="22" t="str">
        <f>HYPERLINK("https://pbs.twimg.com/profile_images/799309615376846848/Bd5rG6YV_normal.jpg","View")</f>
        <v>View</v>
      </c>
      <c r="P11770" s="27"/>
    </row>
    <row r="11771">
      <c r="A11771" s="14">
        <v>43032.86572916667</v>
      </c>
      <c r="B11771" s="20" t="str">
        <f>HYPERLINK("https://twitter.com/newsbreak","@newsbreak")</f>
        <v>@newsbreak</v>
      </c>
      <c r="C11771" s="21" t="s">
        <v>5830</v>
      </c>
      <c r="D11771" s="21" t="s">
        <v>24665</v>
      </c>
      <c r="E11771" s="22" t="str">
        <f>HYPERLINK("https://twitter.com/newsbreak/status/923033037130162176","923033037130162176")</f>
        <v>923033037130162176</v>
      </c>
      <c r="F11771" s="23" t="s">
        <v>91</v>
      </c>
      <c r="G11771" s="24">
        <v>620.0</v>
      </c>
      <c r="H11771" s="24">
        <v>7.0</v>
      </c>
      <c r="I11771" s="24">
        <v>0.0</v>
      </c>
      <c r="J11771" s="24">
        <v>0.0</v>
      </c>
      <c r="K11771" s="23" t="s">
        <v>34</v>
      </c>
      <c r="L11771" s="25">
        <v>39530.690300925926</v>
      </c>
      <c r="M11771" s="26" t="s">
        <v>17758</v>
      </c>
      <c r="N11771" s="26" t="s">
        <v>17759</v>
      </c>
      <c r="O11771" s="22" t="str">
        <f>HYPERLINK("https://pbs.twimg.com/profile_images/1274658033/newsbreaksmall_normal.gif","View")</f>
        <v>View</v>
      </c>
      <c r="P11771" s="27"/>
    </row>
    <row r="11772">
      <c r="A11772" s="14">
        <v>43032.86651620371</v>
      </c>
      <c r="B11772" s="20" t="str">
        <f>HYPERLINK("https://twitter.com/klttycattttt","@klttycattttt")</f>
        <v>@klttycattttt</v>
      </c>
      <c r="C11772" s="21" t="s">
        <v>24666</v>
      </c>
      <c r="D11772" s="21" t="s">
        <v>24633</v>
      </c>
      <c r="E11772" s="22" t="str">
        <f>HYPERLINK("https://twitter.com/klttycattttt/status/923033318928666624","923033318928666624")</f>
        <v>923033318928666624</v>
      </c>
      <c r="F11772" s="23" t="s">
        <v>33</v>
      </c>
      <c r="G11772" s="24">
        <v>43.0</v>
      </c>
      <c r="H11772" s="24">
        <v>1625.0</v>
      </c>
      <c r="I11772" s="24">
        <v>11.0</v>
      </c>
      <c r="J11772" s="24">
        <v>0.0</v>
      </c>
      <c r="K11772" s="23" t="s">
        <v>34</v>
      </c>
      <c r="L11772" s="25">
        <v>41084.45240740741</v>
      </c>
      <c r="M11772" s="26" t="s">
        <v>24667</v>
      </c>
      <c r="N11772" s="26" t="s">
        <v>24668</v>
      </c>
      <c r="O11772" s="22" t="str">
        <f>HYPERLINK("https://pbs.twimg.com/profile_images/765259566787461120/54CsDLHe_normal.jpg","View")</f>
        <v>View</v>
      </c>
      <c r="P11772" s="27"/>
    </row>
    <row r="11773">
      <c r="A11773" s="14">
        <v>43032.86658564815</v>
      </c>
      <c r="B11773" s="20" t="str">
        <f>HYPERLINK("https://twitter.com/CrusaderJournal","@CrusaderJournal")</f>
        <v>@CrusaderJournal</v>
      </c>
      <c r="C11773" s="21" t="s">
        <v>24669</v>
      </c>
      <c r="D11773" s="21" t="s">
        <v>24670</v>
      </c>
      <c r="E11773" s="22" t="str">
        <f>HYPERLINK("https://twitter.com/CrusaderJournal/status/923033347026182144","923033347026182144")</f>
        <v>923033347026182144</v>
      </c>
      <c r="F11773" s="30" t="s">
        <v>191</v>
      </c>
      <c r="G11773" s="24">
        <v>554.0</v>
      </c>
      <c r="H11773" s="24">
        <v>1031.0</v>
      </c>
      <c r="I11773" s="24">
        <v>0.0</v>
      </c>
      <c r="J11773" s="24">
        <v>0.0</v>
      </c>
      <c r="K11773" s="23" t="s">
        <v>34</v>
      </c>
      <c r="L11773" s="25">
        <v>42469.59390046296</v>
      </c>
      <c r="M11773" s="26" t="s">
        <v>68</v>
      </c>
      <c r="N11773" s="26" t="s">
        <v>24671</v>
      </c>
      <c r="O11773" s="22" t="str">
        <f>HYPERLINK("https://pbs.twimg.com/profile_images/825487126598868992/TxSf1ANE_normal.jpg","View")</f>
        <v>View</v>
      </c>
      <c r="P11773" s="27"/>
    </row>
    <row r="11774">
      <c r="A11774" s="14">
        <v>43032.86685185185</v>
      </c>
      <c r="B11774" s="20" t="str">
        <f>HYPERLINK("https://twitter.com/UnlimitedHostCl","@UnlimitedHostCl")</f>
        <v>@UnlimitedHostCl</v>
      </c>
      <c r="C11774" s="21" t="s">
        <v>24672</v>
      </c>
      <c r="D11774" s="21" t="s">
        <v>24673</v>
      </c>
      <c r="E11774" s="22" t="str">
        <f>HYPERLINK("https://twitter.com/UnlimitedHostCl/status/923033442731921408","923033442731921408")</f>
        <v>923033442731921408</v>
      </c>
      <c r="F11774" s="30" t="s">
        <v>191</v>
      </c>
      <c r="G11774" s="24">
        <v>1.0</v>
      </c>
      <c r="H11774" s="24">
        <v>3.0</v>
      </c>
      <c r="I11774" s="24">
        <v>0.0</v>
      </c>
      <c r="J11774" s="24">
        <v>0.0</v>
      </c>
      <c r="K11774" s="23" t="s">
        <v>34</v>
      </c>
      <c r="L11774" s="25">
        <v>43032.769525462965</v>
      </c>
      <c r="M11774" s="26" t="s">
        <v>24674</v>
      </c>
      <c r="N11774" s="26" t="s">
        <v>24675</v>
      </c>
      <c r="O11774" s="22" t="str">
        <f>HYPERLINK("https://pbs.twimg.com/profile_images/922999327848513536/eB_RuVtV_normal.jpg","View")</f>
        <v>View</v>
      </c>
      <c r="P11774" s="27"/>
    </row>
    <row r="11775">
      <c r="A11775" s="14">
        <v>43032.867060185185</v>
      </c>
      <c r="B11775" s="20" t="str">
        <f>HYPERLINK("https://twitter.com/com2blog","@com2blog")</f>
        <v>@com2blog</v>
      </c>
      <c r="C11775" s="21" t="s">
        <v>24676</v>
      </c>
      <c r="D11775" s="21" t="s">
        <v>24007</v>
      </c>
      <c r="E11775" s="22" t="str">
        <f>HYPERLINK("https://twitter.com/com2blog/status/923033516354310144","923033516354310144")</f>
        <v>923033516354310144</v>
      </c>
      <c r="F11775" s="23" t="s">
        <v>33</v>
      </c>
      <c r="G11775" s="24">
        <v>271.0</v>
      </c>
      <c r="H11775" s="24">
        <v>175.0</v>
      </c>
      <c r="I11775" s="24">
        <v>122.0</v>
      </c>
      <c r="J11775" s="24">
        <v>0.0</v>
      </c>
      <c r="K11775" s="23" t="s">
        <v>34</v>
      </c>
      <c r="L11775" s="25">
        <v>42018.254537037035</v>
      </c>
      <c r="M11775" s="28"/>
      <c r="N11775" s="26" t="s">
        <v>24677</v>
      </c>
      <c r="O11775" s="22" t="str">
        <f>HYPERLINK("https://pbs.twimg.com/profile_images/866583723864666112/qDVxKzR7_normal.jpg","View")</f>
        <v>View</v>
      </c>
      <c r="P11775" s="27"/>
    </row>
    <row r="11776">
      <c r="A11776" s="14">
        <v>43032.86790509259</v>
      </c>
      <c r="B11776" s="20" t="str">
        <f>HYPERLINK("https://twitter.com/harshiljoshi37","@harshiljoshi37")</f>
        <v>@harshiljoshi37</v>
      </c>
      <c r="C11776" s="21" t="s">
        <v>24678</v>
      </c>
      <c r="D11776" s="21" t="s">
        <v>42</v>
      </c>
      <c r="E11776" s="22" t="str">
        <f>HYPERLINK("https://twitter.com/harshiljoshi37/status/923033824287707137","923033824287707137")</f>
        <v>923033824287707137</v>
      </c>
      <c r="F11776" s="23" t="s">
        <v>33</v>
      </c>
      <c r="G11776" s="24">
        <v>23.0</v>
      </c>
      <c r="H11776" s="24">
        <v>65.0</v>
      </c>
      <c r="I11776" s="24">
        <v>8501.0</v>
      </c>
      <c r="J11776" s="24">
        <v>0.0</v>
      </c>
      <c r="K11776" s="23" t="s">
        <v>34</v>
      </c>
      <c r="L11776" s="25">
        <v>41196.04025462963</v>
      </c>
      <c r="M11776" s="26" t="s">
        <v>204</v>
      </c>
      <c r="N11776" s="26" t="s">
        <v>24679</v>
      </c>
      <c r="O11776" s="22" t="str">
        <f>HYPERLINK("https://pbs.twimg.com/profile_images/378800000145460541/879b2268a44793d2b4593736870c9178_normal.jpeg","View")</f>
        <v>View</v>
      </c>
      <c r="P11776" s="27"/>
    </row>
    <row r="11777">
      <c r="A11777" s="14">
        <v>43032.86814814815</v>
      </c>
      <c r="B11777" s="20" t="str">
        <f>HYPERLINK("https://twitter.com/OneNewsPage_UK","@OneNewsPage_UK")</f>
        <v>@OneNewsPage_UK</v>
      </c>
      <c r="C11777" s="21" t="s">
        <v>24680</v>
      </c>
      <c r="D11777" s="21" t="s">
        <v>24681</v>
      </c>
      <c r="E11777" s="22" t="str">
        <f>HYPERLINK("https://twitter.com/OneNewsPage_UK/status/923033911172706304","923033911172706304")</f>
        <v>923033911172706304</v>
      </c>
      <c r="F11777" s="23" t="s">
        <v>24682</v>
      </c>
      <c r="G11777" s="24">
        <v>207.0</v>
      </c>
      <c r="H11777" s="24">
        <v>2.0</v>
      </c>
      <c r="I11777" s="24">
        <v>0.0</v>
      </c>
      <c r="J11777" s="24">
        <v>0.0</v>
      </c>
      <c r="K11777" s="23" t="s">
        <v>34</v>
      </c>
      <c r="L11777" s="25">
        <v>40164.02673611111</v>
      </c>
      <c r="M11777" s="26" t="s">
        <v>24683</v>
      </c>
      <c r="N11777" s="26" t="s">
        <v>24684</v>
      </c>
      <c r="O11777" s="22" t="str">
        <f>HYPERLINK("https://pbs.twimg.com/profile_images/578845562/ONPUK_256x256_normal.png","View")</f>
        <v>View</v>
      </c>
      <c r="P11777" s="27"/>
    </row>
    <row r="11778">
      <c r="A11778" s="14">
        <v>43032.86840277778</v>
      </c>
      <c r="B11778" s="20" t="str">
        <f>HYPERLINK("https://twitter.com/BN365","@BN365")</f>
        <v>@BN365</v>
      </c>
      <c r="C11778" s="21" t="s">
        <v>5830</v>
      </c>
      <c r="D11778" s="21" t="s">
        <v>24685</v>
      </c>
      <c r="E11778" s="22" t="str">
        <f>HYPERLINK("https://twitter.com/BN365/status/923034003594149888","923034003594149888")</f>
        <v>923034003594149888</v>
      </c>
      <c r="F11778" s="23" t="s">
        <v>187</v>
      </c>
      <c r="G11778" s="24">
        <v>470.0</v>
      </c>
      <c r="H11778" s="24">
        <v>25.0</v>
      </c>
      <c r="I11778" s="24">
        <v>0.0</v>
      </c>
      <c r="J11778" s="24">
        <v>0.0</v>
      </c>
      <c r="K11778" s="23" t="s">
        <v>34</v>
      </c>
      <c r="L11778" s="25">
        <v>42265.8858912037</v>
      </c>
      <c r="M11778" s="26" t="s">
        <v>17796</v>
      </c>
      <c r="N11778" s="26" t="s">
        <v>17797</v>
      </c>
      <c r="O11778" s="22" t="str">
        <f>HYPERLINK("https://pbs.twimg.com/profile_images/663231525345996800/5lNUuXDr_normal.jpg","View")</f>
        <v>View</v>
      </c>
      <c r="P11778" s="27"/>
    </row>
    <row r="11779">
      <c r="A11779" s="14">
        <v>43032.86871527778</v>
      </c>
      <c r="B11779" s="20" t="str">
        <f>HYPERLINK("https://twitter.com/MD_87_90","@MD_87_90")</f>
        <v>@MD_87_90</v>
      </c>
      <c r="C11779" s="21" t="s">
        <v>24686</v>
      </c>
      <c r="D11779" s="21" t="s">
        <v>24007</v>
      </c>
      <c r="E11779" s="22" t="str">
        <f>HYPERLINK("https://twitter.com/MD_87_90/status/923034119415635968","923034119415635968")</f>
        <v>923034119415635968</v>
      </c>
      <c r="F11779" s="23" t="s">
        <v>39</v>
      </c>
      <c r="G11779" s="24">
        <v>11.0</v>
      </c>
      <c r="H11779" s="24">
        <v>151.0</v>
      </c>
      <c r="I11779" s="24">
        <v>122.0</v>
      </c>
      <c r="J11779" s="24">
        <v>0.0</v>
      </c>
      <c r="K11779" s="23" t="s">
        <v>34</v>
      </c>
      <c r="L11779" s="25">
        <v>42960.9437962963</v>
      </c>
      <c r="M11779" s="28"/>
      <c r="N11779" s="26" t="s">
        <v>24687</v>
      </c>
      <c r="O11779" s="22" t="str">
        <f>HYPERLINK("https://pbs.twimg.com/profile_images/897837159616348161/X8jDsLOO_normal.jpg","View")</f>
        <v>View</v>
      </c>
      <c r="P11779" s="27"/>
    </row>
    <row r="11780">
      <c r="A11780" s="14">
        <v>43032.86922453703</v>
      </c>
      <c r="B11780" s="20" t="str">
        <f>HYPERLINK("https://twitter.com/StateOfNetwork","@StateOfNetwork")</f>
        <v>@StateOfNetwork</v>
      </c>
      <c r="C11780" s="21" t="s">
        <v>720</v>
      </c>
      <c r="D11780" s="21" t="s">
        <v>24688</v>
      </c>
      <c r="E11780" s="22" t="str">
        <f>HYPERLINK("https://twitter.com/StateOfNetwork/status/923034304036339712","923034304036339712")</f>
        <v>923034304036339712</v>
      </c>
      <c r="F11780" s="23" t="s">
        <v>91</v>
      </c>
      <c r="G11780" s="24">
        <v>84.0</v>
      </c>
      <c r="H11780" s="24">
        <v>2.0</v>
      </c>
      <c r="I11780" s="24">
        <v>0.0</v>
      </c>
      <c r="J11780" s="24">
        <v>0.0</v>
      </c>
      <c r="K11780" s="23" t="s">
        <v>34</v>
      </c>
      <c r="L11780" s="25">
        <v>42591.626747685186</v>
      </c>
      <c r="M11780" s="26" t="s">
        <v>722</v>
      </c>
      <c r="N11780" s="26" t="s">
        <v>723</v>
      </c>
      <c r="O11780" s="22" t="str">
        <f>HYPERLINK("https://pbs.twimg.com/profile_images/857770319620263936/CpVum0Np_normal.jpg","View")</f>
        <v>View</v>
      </c>
      <c r="P11780" s="27"/>
    </row>
    <row r="11781">
      <c r="A11781" s="14">
        <v>43032.8693287037</v>
      </c>
      <c r="B11781" s="20" t="str">
        <f>HYPERLINK("https://twitter.com/Premjha1999","@Premjha1999")</f>
        <v>@Premjha1999</v>
      </c>
      <c r="C11781" s="21" t="s">
        <v>24689</v>
      </c>
      <c r="D11781" s="21" t="s">
        <v>42</v>
      </c>
      <c r="E11781" s="22" t="str">
        <f>HYPERLINK("https://twitter.com/Premjha1999/status/923034338559541248","923034338559541248")</f>
        <v>923034338559541248</v>
      </c>
      <c r="F11781" s="23" t="s">
        <v>33</v>
      </c>
      <c r="G11781" s="24">
        <v>19.0</v>
      </c>
      <c r="H11781" s="24">
        <v>84.0</v>
      </c>
      <c r="I11781" s="24">
        <v>8501.0</v>
      </c>
      <c r="J11781" s="24">
        <v>0.0</v>
      </c>
      <c r="K11781" s="23" t="s">
        <v>34</v>
      </c>
      <c r="L11781" s="25">
        <v>41283.184016203704</v>
      </c>
      <c r="M11781" s="26" t="s">
        <v>2031</v>
      </c>
      <c r="N11781" s="26" t="s">
        <v>24690</v>
      </c>
      <c r="O11781" s="22" t="str">
        <f>HYPERLINK("https://pbs.twimg.com/profile_images/891866923394375681/8saVNkaw_normal.jpg","View")</f>
        <v>View</v>
      </c>
      <c r="P11781" s="27"/>
    </row>
    <row r="11782">
      <c r="A11782" s="14">
        <v>43032.869479166664</v>
      </c>
      <c r="B11782" s="20" t="str">
        <f>HYPERLINK("https://twitter.com/mapocoloco","@mapocoloco")</f>
        <v>@mapocoloco</v>
      </c>
      <c r="C11782" s="21" t="s">
        <v>24691</v>
      </c>
      <c r="D11782" s="21" t="s">
        <v>24692</v>
      </c>
      <c r="E11782" s="22" t="str">
        <f>HYPERLINK("https://twitter.com/mapocoloco/status/923034394130075648","923034394130075648")</f>
        <v>923034394130075648</v>
      </c>
      <c r="F11782" s="23" t="s">
        <v>39</v>
      </c>
      <c r="G11782" s="24">
        <v>1321.0</v>
      </c>
      <c r="H11782" s="24">
        <v>1622.0</v>
      </c>
      <c r="I11782" s="24">
        <v>0.0</v>
      </c>
      <c r="J11782" s="24">
        <v>0.0</v>
      </c>
      <c r="K11782" s="23" t="s">
        <v>34</v>
      </c>
      <c r="L11782" s="25">
        <v>40410.85219907407</v>
      </c>
      <c r="M11782" s="26" t="s">
        <v>24693</v>
      </c>
      <c r="N11782" s="26" t="s">
        <v>24694</v>
      </c>
      <c r="O11782" s="22" t="str">
        <f>HYPERLINK("https://pbs.twimg.com/profile_images/734078983722139648/0aXHc8BL_normal.jpg","View")</f>
        <v>View</v>
      </c>
      <c r="P11782" s="27"/>
    </row>
    <row r="11783">
      <c r="A11783" s="14">
        <v>43032.86981481481</v>
      </c>
      <c r="B11783" s="20" t="str">
        <f>HYPERLINK("https://twitter.com/MofaNepal","@MofaNepal")</f>
        <v>@MofaNepal</v>
      </c>
      <c r="C11783" s="21" t="s">
        <v>24695</v>
      </c>
      <c r="D11783" s="21" t="s">
        <v>19279</v>
      </c>
      <c r="E11783" s="22" t="str">
        <f>HYPERLINK("https://twitter.com/MofaNepal/status/923034516666556416","923034516666556416")</f>
        <v>923034516666556416</v>
      </c>
      <c r="F11783" s="23" t="s">
        <v>33</v>
      </c>
      <c r="G11783" s="24">
        <v>51107.0</v>
      </c>
      <c r="H11783" s="24">
        <v>292.0</v>
      </c>
      <c r="I11783" s="24">
        <v>12.0</v>
      </c>
      <c r="J11783" s="24">
        <v>0.0</v>
      </c>
      <c r="K11783" s="23" t="s">
        <v>34</v>
      </c>
      <c r="L11783" s="25">
        <v>42057.88545138889</v>
      </c>
      <c r="M11783" s="26" t="s">
        <v>24696</v>
      </c>
      <c r="N11783" s="26" t="s">
        <v>24697</v>
      </c>
      <c r="O11783" s="22" t="str">
        <f>HYPERLINK("https://pbs.twimg.com/profile_images/569727505645305856/-7ih2rVw_normal.png","View")</f>
        <v>View</v>
      </c>
      <c r="P11783" s="27"/>
    </row>
    <row r="11784">
      <c r="A11784" s="14">
        <v>43032.87012731482</v>
      </c>
      <c r="B11784" s="20" t="str">
        <f>HYPERLINK("https://twitter.com/milou1st","@milou1st")</f>
        <v>@milou1st</v>
      </c>
      <c r="C11784" s="21" t="s">
        <v>18375</v>
      </c>
      <c r="D11784" s="21" t="s">
        <v>24698</v>
      </c>
      <c r="E11784" s="22" t="str">
        <f>HYPERLINK("https://twitter.com/milou1st/status/923034631657619456","923034631657619456")</f>
        <v>923034631657619456</v>
      </c>
      <c r="F11784" s="23" t="s">
        <v>187</v>
      </c>
      <c r="G11784" s="24">
        <v>6608.0</v>
      </c>
      <c r="H11784" s="24">
        <v>7694.0</v>
      </c>
      <c r="I11784" s="24">
        <v>0.0</v>
      </c>
      <c r="J11784" s="24">
        <v>0.0</v>
      </c>
      <c r="K11784" s="23" t="s">
        <v>34</v>
      </c>
      <c r="L11784" s="25">
        <v>40836.52827546296</v>
      </c>
      <c r="M11784" s="26" t="s">
        <v>18377</v>
      </c>
      <c r="N11784" s="26" t="s">
        <v>18378</v>
      </c>
      <c r="O11784" s="22" t="str">
        <f>HYPERLINK("https://pbs.twimg.com/profile_images/886522125682692096/ui0Xp0E1_normal.jpg","View")</f>
        <v>View</v>
      </c>
      <c r="P11784" s="27"/>
    </row>
    <row r="11785">
      <c r="A11785" s="14">
        <v>43032.87068287037</v>
      </c>
      <c r="B11785" s="20" t="str">
        <f>HYPERLINK("https://twitter.com/FltChimp","@FltChimp")</f>
        <v>@FltChimp</v>
      </c>
      <c r="C11785" s="21" t="s">
        <v>24699</v>
      </c>
      <c r="D11785" s="21" t="s">
        <v>24633</v>
      </c>
      <c r="E11785" s="22" t="str">
        <f>HYPERLINK("https://twitter.com/FltChimp/status/923034830102818816","923034830102818816")</f>
        <v>923034830102818816</v>
      </c>
      <c r="F11785" s="23" t="s">
        <v>33</v>
      </c>
      <c r="G11785" s="24">
        <v>50.0</v>
      </c>
      <c r="H11785" s="24">
        <v>1831.0</v>
      </c>
      <c r="I11785" s="24">
        <v>11.0</v>
      </c>
      <c r="J11785" s="24">
        <v>0.0</v>
      </c>
      <c r="K11785" s="23" t="s">
        <v>34</v>
      </c>
      <c r="L11785" s="25">
        <v>41086.560590277775</v>
      </c>
      <c r="M11785" s="26" t="s">
        <v>24700</v>
      </c>
      <c r="N11785" s="26" t="s">
        <v>24701</v>
      </c>
      <c r="O11785" s="22" t="str">
        <f>HYPERLINK("https://pbs.twimg.com/profile_images/764264047508357122/gbMqGrmq_normal.jpg","View")</f>
        <v>View</v>
      </c>
      <c r="P11785" s="27"/>
    </row>
    <row r="11786">
      <c r="A11786" s="14">
        <v>43032.87097222223</v>
      </c>
      <c r="B11786" s="20" t="str">
        <f>HYPERLINK("https://twitter.com/YutakaYoshioka","@YutakaYoshioka")</f>
        <v>@YutakaYoshioka</v>
      </c>
      <c r="C11786" s="21" t="s">
        <v>24702</v>
      </c>
      <c r="D11786" s="21" t="s">
        <v>24007</v>
      </c>
      <c r="E11786" s="22" t="str">
        <f>HYPERLINK("https://twitter.com/YutakaYoshioka/status/923034936805695488","923034936805695488")</f>
        <v>923034936805695488</v>
      </c>
      <c r="F11786" s="23" t="s">
        <v>39</v>
      </c>
      <c r="G11786" s="24">
        <v>1564.0</v>
      </c>
      <c r="H11786" s="24">
        <v>954.0</v>
      </c>
      <c r="I11786" s="24">
        <v>122.0</v>
      </c>
      <c r="J11786" s="24">
        <v>0.0</v>
      </c>
      <c r="K11786" s="23" t="s">
        <v>34</v>
      </c>
      <c r="L11786" s="25">
        <v>40341.345613425925</v>
      </c>
      <c r="M11786" s="26" t="s">
        <v>24703</v>
      </c>
      <c r="N11786" s="26" t="s">
        <v>24704</v>
      </c>
      <c r="O11786" s="22" t="str">
        <f>HYPERLINK("https://pbs.twimg.com/profile_images/587373043669864450/3bcN35bd_normal.jpg","View")</f>
        <v>View</v>
      </c>
      <c r="P11786" s="27"/>
    </row>
    <row r="11787">
      <c r="A11787" s="14">
        <v>43032.870983796296</v>
      </c>
      <c r="B11787" s="20" t="str">
        <f>HYPERLINK("https://twitter.com/machinelearn_d","@machinelearn_d")</f>
        <v>@machinelearn_d</v>
      </c>
      <c r="C11787" s="21" t="s">
        <v>24705</v>
      </c>
      <c r="D11787" s="21" t="s">
        <v>24437</v>
      </c>
      <c r="E11787" s="22" t="str">
        <f>HYPERLINK("https://twitter.com/machinelearn_d/status/923034940618526720","923034940618526720")</f>
        <v>923034940618526720</v>
      </c>
      <c r="F11787" s="23" t="s">
        <v>24706</v>
      </c>
      <c r="G11787" s="24">
        <v>207.0</v>
      </c>
      <c r="H11787" s="24">
        <v>1.0</v>
      </c>
      <c r="I11787" s="24">
        <v>2.0</v>
      </c>
      <c r="J11787" s="24">
        <v>0.0</v>
      </c>
      <c r="K11787" s="23" t="s">
        <v>34</v>
      </c>
      <c r="L11787" s="25">
        <v>42885.95452546296</v>
      </c>
      <c r="M11787" s="26" t="s">
        <v>24707</v>
      </c>
      <c r="N11787" s="26" t="s">
        <v>24708</v>
      </c>
      <c r="O11787" s="22" t="str">
        <f>HYPERLINK("https://pbs.twimg.com/profile_images/869962597424025601/3NHd0kZ__normal.jpg","View")</f>
        <v>View</v>
      </c>
      <c r="P11787" s="27"/>
    </row>
    <row r="11788">
      <c r="A11788" s="14">
        <v>43032.87101851852</v>
      </c>
      <c r="B11788" s="20" t="str">
        <f>HYPERLINK("https://twitter.com/farhaadaarif","@farhaadaarif")</f>
        <v>@farhaadaarif</v>
      </c>
      <c r="C11788" s="21" t="s">
        <v>1899</v>
      </c>
      <c r="D11788" s="21" t="s">
        <v>24709</v>
      </c>
      <c r="E11788" s="22" t="str">
        <f>HYPERLINK("https://twitter.com/farhaadaarif/status/923034950584225793","923034950584225793")</f>
        <v>923034950584225793</v>
      </c>
      <c r="F11788" s="23" t="s">
        <v>187</v>
      </c>
      <c r="G11788" s="24">
        <v>696.0</v>
      </c>
      <c r="H11788" s="24">
        <v>512.0</v>
      </c>
      <c r="I11788" s="24">
        <v>0.0</v>
      </c>
      <c r="J11788" s="24">
        <v>0.0</v>
      </c>
      <c r="K11788" s="23" t="s">
        <v>34</v>
      </c>
      <c r="L11788" s="25">
        <v>41804.32716435185</v>
      </c>
      <c r="M11788" s="28"/>
      <c r="N11788" s="26" t="s">
        <v>1901</v>
      </c>
      <c r="O11788" s="22" t="str">
        <f>HYPERLINK("https://pbs.twimg.com/profile_images/923079513264836608/vMccivXe_normal.jpg","View")</f>
        <v>View</v>
      </c>
      <c r="P11788" s="27"/>
    </row>
    <row r="11789">
      <c r="A11789" s="14">
        <v>43032.872141203705</v>
      </c>
      <c r="B11789" s="20" t="str">
        <f>HYPERLINK("https://twitter.com/tetsuya_tatsumi","@tetsuya_tatsumi")</f>
        <v>@tetsuya_tatsumi</v>
      </c>
      <c r="C11789" s="21" t="s">
        <v>24710</v>
      </c>
      <c r="D11789" s="21" t="s">
        <v>24007</v>
      </c>
      <c r="E11789" s="22" t="str">
        <f>HYPERLINK("https://twitter.com/tetsuya_tatsumi/status/923035357477724160","923035357477724160")</f>
        <v>923035357477724160</v>
      </c>
      <c r="F11789" s="23" t="s">
        <v>55</v>
      </c>
      <c r="G11789" s="24">
        <v>1050.0</v>
      </c>
      <c r="H11789" s="24">
        <v>1102.0</v>
      </c>
      <c r="I11789" s="24">
        <v>122.0</v>
      </c>
      <c r="J11789" s="24">
        <v>0.0</v>
      </c>
      <c r="K11789" s="23" t="s">
        <v>34</v>
      </c>
      <c r="L11789" s="25">
        <v>39561.02637731482</v>
      </c>
      <c r="M11789" s="26" t="s">
        <v>923</v>
      </c>
      <c r="N11789" s="28"/>
      <c r="O11789" s="22" t="str">
        <f>HYPERLINK("https://abs.twimg.com/sticky/default_profile_images/default_profile_normal.png","View")</f>
        <v>View</v>
      </c>
      <c r="P11789" s="27"/>
    </row>
    <row r="11790">
      <c r="A11790" s="14">
        <v>43032.87230324074</v>
      </c>
      <c r="B11790" s="20" t="str">
        <f t="shared" ref="B11790:B11791" si="296">HYPERLINK("https://twitter.com/caecilia1122","@caecilia1122")</f>
        <v>@caecilia1122</v>
      </c>
      <c r="C11790" s="21" t="s">
        <v>24711</v>
      </c>
      <c r="D11790" s="21" t="s">
        <v>24007</v>
      </c>
      <c r="E11790" s="22" t="str">
        <f>HYPERLINK("https://twitter.com/caecilia1122/status/923035417049366528","923035417049366528")</f>
        <v>923035417049366528</v>
      </c>
      <c r="F11790" s="23" t="s">
        <v>55</v>
      </c>
      <c r="G11790" s="24">
        <v>135.0</v>
      </c>
      <c r="H11790" s="24">
        <v>127.0</v>
      </c>
      <c r="I11790" s="24">
        <v>122.0</v>
      </c>
      <c r="J11790" s="24">
        <v>0.0</v>
      </c>
      <c r="K11790" s="23" t="s">
        <v>34</v>
      </c>
      <c r="L11790" s="25">
        <v>42392.015173611115</v>
      </c>
      <c r="M11790" s="28"/>
      <c r="N11790" s="26" t="s">
        <v>24712</v>
      </c>
      <c r="O11790" s="22" t="str">
        <f t="shared" ref="O11790:O11791" si="297">HYPERLINK("https://pbs.twimg.com/profile_images/782491232345784320/Ff27_FDt_normal.jpg","View")</f>
        <v>View</v>
      </c>
      <c r="P11790" s="27"/>
    </row>
    <row r="11791">
      <c r="A11791" s="14">
        <v>43032.872453703705</v>
      </c>
      <c r="B11791" s="20" t="str">
        <f t="shared" si="296"/>
        <v>@caecilia1122</v>
      </c>
      <c r="C11791" s="21" t="s">
        <v>24711</v>
      </c>
      <c r="D11791" s="21" t="s">
        <v>24713</v>
      </c>
      <c r="E11791" s="22" t="str">
        <f>HYPERLINK("https://twitter.com/caecilia1122/status/923035470577090560","923035470577090560")</f>
        <v>923035470577090560</v>
      </c>
      <c r="F11791" s="23" t="s">
        <v>55</v>
      </c>
      <c r="G11791" s="24">
        <v>135.0</v>
      </c>
      <c r="H11791" s="24">
        <v>127.0</v>
      </c>
      <c r="I11791" s="24">
        <v>0.0</v>
      </c>
      <c r="J11791" s="24">
        <v>0.0</v>
      </c>
      <c r="K11791" s="23" t="s">
        <v>34</v>
      </c>
      <c r="L11791" s="25">
        <v>42392.015173611115</v>
      </c>
      <c r="M11791" s="28"/>
      <c r="N11791" s="26" t="s">
        <v>24712</v>
      </c>
      <c r="O11791" s="22" t="str">
        <f t="shared" si="297"/>
        <v>View</v>
      </c>
      <c r="P11791" s="27"/>
    </row>
    <row r="11792">
      <c r="A11792" s="14">
        <v>43032.87284722222</v>
      </c>
      <c r="B11792" s="20" t="str">
        <f>HYPERLINK("https://twitter.com/LauraJeanQueen5","@LauraJeanQueen5")</f>
        <v>@LauraJeanQueen5</v>
      </c>
      <c r="C11792" s="21" t="s">
        <v>24714</v>
      </c>
      <c r="D11792" s="21" t="s">
        <v>24633</v>
      </c>
      <c r="E11792" s="22" t="str">
        <f>HYPERLINK("https://twitter.com/LauraJeanQueen5/status/923035613238054912","923035613238054912")</f>
        <v>923035613238054912</v>
      </c>
      <c r="F11792" s="23" t="s">
        <v>33</v>
      </c>
      <c r="G11792" s="24">
        <v>38.0</v>
      </c>
      <c r="H11792" s="24">
        <v>1625.0</v>
      </c>
      <c r="I11792" s="24">
        <v>11.0</v>
      </c>
      <c r="J11792" s="24">
        <v>0.0</v>
      </c>
      <c r="K11792" s="23" t="s">
        <v>34</v>
      </c>
      <c r="L11792" s="25">
        <v>41724.30505787037</v>
      </c>
      <c r="M11792" s="26" t="s">
        <v>24715</v>
      </c>
      <c r="N11792" s="28"/>
      <c r="O11792" s="22" t="str">
        <f>HYPERLINK("https://pbs.twimg.com/profile_images/749750632958070794/ztWHdc4v_normal.jpg","View")</f>
        <v>View</v>
      </c>
      <c r="P11792" s="27"/>
    </row>
    <row r="11793">
      <c r="A11793" s="14">
        <v>43032.87332175926</v>
      </c>
      <c r="B11793" s="20" t="str">
        <f>HYPERLINK("https://twitter.com/Mash_the_freaks","@Mash_the_freaks")</f>
        <v>@Mash_the_freaks</v>
      </c>
      <c r="C11793" s="21" t="s">
        <v>1614</v>
      </c>
      <c r="D11793" s="21" t="s">
        <v>24007</v>
      </c>
      <c r="E11793" s="22" t="str">
        <f>HYPERLINK("https://twitter.com/Mash_the_freaks/status/923035786626310144","923035786626310144")</f>
        <v>923035786626310144</v>
      </c>
      <c r="F11793" s="23" t="s">
        <v>33</v>
      </c>
      <c r="G11793" s="24">
        <v>1291.0</v>
      </c>
      <c r="H11793" s="24">
        <v>3233.0</v>
      </c>
      <c r="I11793" s="24">
        <v>122.0</v>
      </c>
      <c r="J11793" s="24">
        <v>0.0</v>
      </c>
      <c r="K11793" s="23" t="s">
        <v>34</v>
      </c>
      <c r="L11793" s="25">
        <v>40400.34122685185</v>
      </c>
      <c r="M11793" s="26" t="s">
        <v>1615</v>
      </c>
      <c r="N11793" s="26" t="s">
        <v>1616</v>
      </c>
      <c r="O11793" s="22" t="str">
        <f>HYPERLINK("https://pbs.twimg.com/profile_images/589824780896837632/dfaxrmV6_normal.jpg","View")</f>
        <v>View</v>
      </c>
      <c r="P11793" s="27"/>
    </row>
    <row r="11794">
      <c r="A11794" s="14">
        <v>43032.87388888889</v>
      </c>
      <c r="B11794" s="20" t="str">
        <f>HYPERLINK("https://twitter.com/mussol22","@mussol22")</f>
        <v>@mussol22</v>
      </c>
      <c r="C11794" s="21" t="s">
        <v>24716</v>
      </c>
      <c r="D11794" s="21" t="s">
        <v>24717</v>
      </c>
      <c r="E11794" s="22" t="str">
        <f>HYPERLINK("https://twitter.com/mussol22/status/923035991518019589","923035991518019589")</f>
        <v>923035991518019589</v>
      </c>
      <c r="F11794" s="23" t="s">
        <v>39</v>
      </c>
      <c r="G11794" s="24">
        <v>807.0</v>
      </c>
      <c r="H11794" s="24">
        <v>518.0</v>
      </c>
      <c r="I11794" s="24">
        <v>0.0</v>
      </c>
      <c r="J11794" s="24">
        <v>0.0</v>
      </c>
      <c r="K11794" s="23" t="s">
        <v>34</v>
      </c>
      <c r="L11794" s="25">
        <v>40695.97251157407</v>
      </c>
      <c r="M11794" s="26" t="s">
        <v>24718</v>
      </c>
      <c r="N11794" s="26" t="s">
        <v>24719</v>
      </c>
      <c r="O11794" s="22" t="str">
        <f>HYPERLINK("https://pbs.twimg.com/profile_images/1644555270/muss_normal.jpg","View")</f>
        <v>View</v>
      </c>
      <c r="P11794" s="27"/>
    </row>
    <row r="11795">
      <c r="A11795" s="14">
        <v>43032.87403935185</v>
      </c>
      <c r="B11795" s="20" t="str">
        <f>HYPERLINK("https://twitter.com/shinobuns","@shinobuns")</f>
        <v>@shinobuns</v>
      </c>
      <c r="C11795" s="21" t="s">
        <v>24720</v>
      </c>
      <c r="D11795" s="21" t="s">
        <v>24007</v>
      </c>
      <c r="E11795" s="22" t="str">
        <f>HYPERLINK("https://twitter.com/shinobuns/status/923036047998517249","923036047998517249")</f>
        <v>923036047998517249</v>
      </c>
      <c r="F11795" s="23" t="s">
        <v>55</v>
      </c>
      <c r="G11795" s="24">
        <v>2132.0</v>
      </c>
      <c r="H11795" s="24">
        <v>2087.0</v>
      </c>
      <c r="I11795" s="24">
        <v>122.0</v>
      </c>
      <c r="J11795" s="24">
        <v>0.0</v>
      </c>
      <c r="K11795" s="23" t="s">
        <v>34</v>
      </c>
      <c r="L11795" s="25">
        <v>40062.02775462963</v>
      </c>
      <c r="M11795" s="26" t="s">
        <v>24721</v>
      </c>
      <c r="N11795" s="26" t="s">
        <v>24722</v>
      </c>
      <c r="O11795" s="22" t="str">
        <f>HYPERLINK("https://pbs.twimg.com/profile_images/876984967363870721/WEagnT-O_normal.jpg","View")</f>
        <v>View</v>
      </c>
      <c r="P11795" s="27"/>
    </row>
    <row r="11796">
      <c r="A11796" s="14">
        <v>43032.87449074074</v>
      </c>
      <c r="B11796" s="20" t="str">
        <f>HYPERLINK("https://twitter.com/MargarltaCherry","@MargarltaCherry")</f>
        <v>@MargarltaCherry</v>
      </c>
      <c r="C11796" s="21" t="s">
        <v>24723</v>
      </c>
      <c r="D11796" s="21" t="s">
        <v>24633</v>
      </c>
      <c r="E11796" s="22" t="str">
        <f>HYPERLINK("https://twitter.com/MargarltaCherry/status/923036210628579331","923036210628579331")</f>
        <v>923036210628579331</v>
      </c>
      <c r="F11796" s="23" t="s">
        <v>33</v>
      </c>
      <c r="G11796" s="24">
        <v>53.0</v>
      </c>
      <c r="H11796" s="24">
        <v>1637.0</v>
      </c>
      <c r="I11796" s="24">
        <v>11.0</v>
      </c>
      <c r="J11796" s="24">
        <v>0.0</v>
      </c>
      <c r="K11796" s="23" t="s">
        <v>34</v>
      </c>
      <c r="L11796" s="25">
        <v>41746.06119212963</v>
      </c>
      <c r="M11796" s="26" t="s">
        <v>24724</v>
      </c>
      <c r="N11796" s="28"/>
      <c r="O11796" s="22" t="str">
        <f>HYPERLINK("https://pbs.twimg.com/profile_images/749761273911533568/eLv6TJgA_normal.jpg","View")</f>
        <v>View</v>
      </c>
      <c r="P11796" s="27"/>
    </row>
    <row r="11797">
      <c r="A11797" s="14">
        <v>43032.87451388889</v>
      </c>
      <c r="B11797" s="20" t="str">
        <f>HYPERLINK("https://twitter.com/Angelus1701","@Angelus1701")</f>
        <v>@Angelus1701</v>
      </c>
      <c r="C11797" s="21" t="s">
        <v>6027</v>
      </c>
      <c r="D11797" s="21" t="s">
        <v>24725</v>
      </c>
      <c r="E11797" s="22" t="str">
        <f>HYPERLINK("https://twitter.com/Angelus1701/status/923036217314349056","923036217314349056")</f>
        <v>923036217314349056</v>
      </c>
      <c r="F11797" s="23" t="s">
        <v>91</v>
      </c>
      <c r="G11797" s="24">
        <v>849.0</v>
      </c>
      <c r="H11797" s="24">
        <v>1561.0</v>
      </c>
      <c r="I11797" s="24">
        <v>0.0</v>
      </c>
      <c r="J11797" s="24">
        <v>0.0</v>
      </c>
      <c r="K11797" s="23" t="s">
        <v>34</v>
      </c>
      <c r="L11797" s="25">
        <v>40288.10142361111</v>
      </c>
      <c r="M11797" s="26" t="s">
        <v>6029</v>
      </c>
      <c r="N11797" s="26" t="s">
        <v>6030</v>
      </c>
      <c r="O11797" s="22" t="str">
        <f>HYPERLINK("https://pbs.twimg.com/profile_images/730414344303939586/FLFk57Fb_normal.jpg","View")</f>
        <v>View</v>
      </c>
      <c r="P11797" s="27"/>
    </row>
    <row r="11798">
      <c r="A11798" s="14">
        <v>43032.87451388889</v>
      </c>
      <c r="B11798" s="20" t="str">
        <f>HYPERLINK("https://twitter.com/MollyHS","@MollyHS")</f>
        <v>@MollyHS</v>
      </c>
      <c r="C11798" s="21" t="s">
        <v>24726</v>
      </c>
      <c r="D11798" s="21" t="s">
        <v>3985</v>
      </c>
      <c r="E11798" s="22" t="str">
        <f>HYPERLINK("https://twitter.com/MollyHS/status/923036219491065856","923036219491065856")</f>
        <v>923036219491065856</v>
      </c>
      <c r="F11798" s="23" t="s">
        <v>33</v>
      </c>
      <c r="G11798" s="24">
        <v>234.0</v>
      </c>
      <c r="H11798" s="24">
        <v>979.0</v>
      </c>
      <c r="I11798" s="24">
        <v>3.0</v>
      </c>
      <c r="J11798" s="24">
        <v>0.0</v>
      </c>
      <c r="K11798" s="23" t="s">
        <v>34</v>
      </c>
      <c r="L11798" s="25">
        <v>41288.19496527778</v>
      </c>
      <c r="M11798" s="26" t="s">
        <v>3453</v>
      </c>
      <c r="N11798" s="26" t="s">
        <v>24727</v>
      </c>
      <c r="O11798" s="22" t="str">
        <f>HYPERLINK("https://pbs.twimg.com/profile_images/891134957115949056/6dg3CnQ9_normal.jpg","View")</f>
        <v>View</v>
      </c>
      <c r="P11798" s="27"/>
    </row>
    <row r="11799">
      <c r="A11799" s="14">
        <v>43032.87486111111</v>
      </c>
      <c r="B11799" s="20" t="str">
        <f>HYPERLINK("https://twitter.com/alessandracatsi","@alessandracatsi")</f>
        <v>@alessandracatsi</v>
      </c>
      <c r="C11799" s="21" t="s">
        <v>24728</v>
      </c>
      <c r="D11799" s="21" t="s">
        <v>24226</v>
      </c>
      <c r="E11799" s="22" t="str">
        <f>HYPERLINK("https://twitter.com/alessandracatsi/status/923036346075242496","923036346075242496")</f>
        <v>923036346075242496</v>
      </c>
      <c r="F11799" s="23" t="s">
        <v>55</v>
      </c>
      <c r="G11799" s="24">
        <v>1624.0</v>
      </c>
      <c r="H11799" s="24">
        <v>1911.0</v>
      </c>
      <c r="I11799" s="24">
        <v>2.0</v>
      </c>
      <c r="J11799" s="24">
        <v>0.0</v>
      </c>
      <c r="K11799" s="23" t="s">
        <v>34</v>
      </c>
      <c r="L11799" s="25">
        <v>40707.16116898148</v>
      </c>
      <c r="M11799" s="28"/>
      <c r="N11799" s="28"/>
      <c r="O11799" s="22" t="str">
        <f>HYPERLINK("https://pbs.twimg.com/profile_images/852113278671126528/TXPmWf1M_normal.jpg","View")</f>
        <v>View</v>
      </c>
      <c r="P11799" s="27"/>
    </row>
    <row r="11800">
      <c r="A11800" s="14">
        <v>43032.87503472222</v>
      </c>
      <c r="B11800" s="20" t="str">
        <f>HYPERLINK("https://twitter.com/ibizavillasrent","@ibizavillasrent")</f>
        <v>@ibizavillasrent</v>
      </c>
      <c r="C11800" s="21" t="s">
        <v>24729</v>
      </c>
      <c r="D11800" s="21" t="s">
        <v>24730</v>
      </c>
      <c r="E11800" s="22" t="str">
        <f>HYPERLINK("https://twitter.com/ibizavillasrent/status/923036409274888192","923036409274888192")</f>
        <v>923036409274888192</v>
      </c>
      <c r="F11800" s="30" t="s">
        <v>411</v>
      </c>
      <c r="G11800" s="24">
        <v>135.0</v>
      </c>
      <c r="H11800" s="24">
        <v>266.0</v>
      </c>
      <c r="I11800" s="24">
        <v>0.0</v>
      </c>
      <c r="J11800" s="24">
        <v>1.0</v>
      </c>
      <c r="K11800" s="23" t="s">
        <v>34</v>
      </c>
      <c r="L11800" s="25">
        <v>42534.59578703703</v>
      </c>
      <c r="M11800" s="28"/>
      <c r="N11800" s="28"/>
      <c r="O11800" s="22" t="str">
        <f>HYPERLINK("https://pbs.twimg.com/profile_images/867398593614925824/3IX7QSqC_normal.jpg","View")</f>
        <v>View</v>
      </c>
      <c r="P11800" s="27"/>
    </row>
    <row r="11801">
      <c r="A11801" s="14">
        <v>43032.87503472222</v>
      </c>
      <c r="B11801" s="20" t="str">
        <f>HYPERLINK("https://twitter.com/Bagwoman1","@Bagwoman1")</f>
        <v>@Bagwoman1</v>
      </c>
      <c r="C11801" s="21" t="s">
        <v>24731</v>
      </c>
      <c r="D11801" s="21" t="s">
        <v>24732</v>
      </c>
      <c r="E11801" s="22" t="str">
        <f>HYPERLINK("https://twitter.com/Bagwoman1/status/923036409891393537","923036409891393537")</f>
        <v>923036409891393537</v>
      </c>
      <c r="F11801" s="30" t="s">
        <v>411</v>
      </c>
      <c r="G11801" s="24">
        <v>22.0</v>
      </c>
      <c r="H11801" s="24">
        <v>158.0</v>
      </c>
      <c r="I11801" s="24">
        <v>0.0</v>
      </c>
      <c r="J11801" s="24">
        <v>0.0</v>
      </c>
      <c r="K11801" s="23" t="s">
        <v>34</v>
      </c>
      <c r="L11801" s="25">
        <v>41028.83210648148</v>
      </c>
      <c r="M11801" s="26" t="s">
        <v>1024</v>
      </c>
      <c r="N11801" s="26" t="s">
        <v>24733</v>
      </c>
      <c r="O11801" s="22" t="str">
        <f>HYPERLINK("https://pbs.twimg.com/profile_images/800542089561767936/yC5nYIHs_normal.jpg","View")</f>
        <v>View</v>
      </c>
      <c r="P11801" s="27"/>
    </row>
    <row r="11802">
      <c r="A11802" s="14">
        <v>43032.87504629629</v>
      </c>
      <c r="B11802" s="20" t="str">
        <f>HYPERLINK("https://twitter.com/SummitMediaCorp","@SummitMediaCorp")</f>
        <v>@SummitMediaCorp</v>
      </c>
      <c r="C11802" s="21" t="s">
        <v>24734</v>
      </c>
      <c r="D11802" s="21" t="s">
        <v>24735</v>
      </c>
      <c r="E11802" s="22" t="str">
        <f>HYPERLINK("https://twitter.com/SummitMediaCorp/status/923036411447582720","923036411447582720")</f>
        <v>923036411447582720</v>
      </c>
      <c r="F11802" s="30" t="s">
        <v>411</v>
      </c>
      <c r="G11802" s="24">
        <v>8087.0</v>
      </c>
      <c r="H11802" s="24">
        <v>31.0</v>
      </c>
      <c r="I11802" s="24">
        <v>0.0</v>
      </c>
      <c r="J11802" s="24">
        <v>0.0</v>
      </c>
      <c r="K11802" s="23" t="s">
        <v>34</v>
      </c>
      <c r="L11802" s="25">
        <v>41426.3328587963</v>
      </c>
      <c r="M11802" s="26" t="s">
        <v>24736</v>
      </c>
      <c r="N11802" s="26" t="s">
        <v>24737</v>
      </c>
      <c r="O11802" s="22" t="str">
        <f>HYPERLINK("https://pbs.twimg.com/profile_images/507558151780966400/myiF6vAF_normal.png","View")</f>
        <v>View</v>
      </c>
      <c r="P11802" s="27"/>
    </row>
    <row r="11803">
      <c r="A11803" s="14">
        <v>43032.87504629629</v>
      </c>
      <c r="B11803" s="20" t="str">
        <f>HYPERLINK("https://twitter.com/JornalMercantil","@JornalMercantil")</f>
        <v>@JornalMercantil</v>
      </c>
      <c r="C11803" s="21" t="s">
        <v>24738</v>
      </c>
      <c r="D11803" s="21" t="s">
        <v>24739</v>
      </c>
      <c r="E11803" s="22" t="str">
        <f>HYPERLINK("https://twitter.com/JornalMercantil/status/923036412668035073","923036412668035073")</f>
        <v>923036412668035073</v>
      </c>
      <c r="F11803" s="30" t="s">
        <v>411</v>
      </c>
      <c r="G11803" s="24">
        <v>2043.0</v>
      </c>
      <c r="H11803" s="24">
        <v>1938.0</v>
      </c>
      <c r="I11803" s="24">
        <v>0.0</v>
      </c>
      <c r="J11803" s="24">
        <v>0.0</v>
      </c>
      <c r="K11803" s="23" t="s">
        <v>34</v>
      </c>
      <c r="L11803" s="25">
        <v>40435.617789351854</v>
      </c>
      <c r="M11803" s="26" t="s">
        <v>1124</v>
      </c>
      <c r="N11803" s="26" t="s">
        <v>24740</v>
      </c>
      <c r="O11803" s="22" t="str">
        <f>HYPERLINK("https://pbs.twimg.com/profile_images/900912262168420352/u9_WvdMX_normal.jpg","View")</f>
        <v>View</v>
      </c>
      <c r="P11803" s="27"/>
    </row>
    <row r="11804">
      <c r="A11804" s="14">
        <v>43032.87520833334</v>
      </c>
      <c r="B11804" s="20" t="str">
        <f>HYPERLINK("https://twitter.com/NQ__Keach","@NQ__Keach")</f>
        <v>@NQ__Keach</v>
      </c>
      <c r="C11804" s="21" t="s">
        <v>24741</v>
      </c>
      <c r="D11804" s="21" t="s">
        <v>24633</v>
      </c>
      <c r="E11804" s="22" t="str">
        <f>HYPERLINK("https://twitter.com/NQ__Keach/status/923036469022912512","923036469022912512")</f>
        <v>923036469022912512</v>
      </c>
      <c r="F11804" s="23" t="s">
        <v>33</v>
      </c>
      <c r="G11804" s="24">
        <v>49.0</v>
      </c>
      <c r="H11804" s="24">
        <v>1562.0</v>
      </c>
      <c r="I11804" s="24">
        <v>11.0</v>
      </c>
      <c r="J11804" s="24">
        <v>0.0</v>
      </c>
      <c r="K11804" s="23" t="s">
        <v>34</v>
      </c>
      <c r="L11804" s="25">
        <v>41744.13114583334</v>
      </c>
      <c r="M11804" s="26" t="s">
        <v>24742</v>
      </c>
      <c r="N11804" s="26" t="s">
        <v>24743</v>
      </c>
      <c r="O11804" s="22" t="str">
        <f>HYPERLINK("https://pbs.twimg.com/profile_images/749738522261725185/sRGYJBHQ_normal.jpg","View")</f>
        <v>View</v>
      </c>
      <c r="P11804" s="27"/>
    </row>
    <row r="11805">
      <c r="A11805" s="14">
        <v>43032.8753125</v>
      </c>
      <c r="B11805" s="20" t="str">
        <f>HYPERLINK("https://twitter.com/MrRafiqIslamRo5","@MrRafiqIslamRo5")</f>
        <v>@MrRafiqIslamRo5</v>
      </c>
      <c r="C11805" s="21" t="s">
        <v>23994</v>
      </c>
      <c r="D11805" s="21" t="s">
        <v>24744</v>
      </c>
      <c r="E11805" s="22" t="str">
        <f>HYPERLINK("https://twitter.com/MrRafiqIslamRo5/status/923036509380403200","923036509380403200")</f>
        <v>923036509380403200</v>
      </c>
      <c r="F11805" s="23" t="s">
        <v>33</v>
      </c>
      <c r="G11805" s="24">
        <v>594.0</v>
      </c>
      <c r="H11805" s="24">
        <v>4992.0</v>
      </c>
      <c r="I11805" s="24">
        <v>0.0</v>
      </c>
      <c r="J11805" s="24">
        <v>0.0</v>
      </c>
      <c r="K11805" s="23" t="s">
        <v>34</v>
      </c>
      <c r="L11805" s="25">
        <v>42848.1424074074</v>
      </c>
      <c r="M11805" s="26" t="s">
        <v>24745</v>
      </c>
      <c r="N11805" s="26" t="s">
        <v>24746</v>
      </c>
      <c r="O11805" s="22" t="str">
        <f>HYPERLINK("https://pbs.twimg.com/profile_images/860715593556570112/GRry-Mcg_normal.jpg","View")</f>
        <v>View</v>
      </c>
      <c r="P11805" s="27"/>
    </row>
    <row r="11806">
      <c r="A11806" s="14">
        <v>43032.87542824074</v>
      </c>
      <c r="B11806" s="20" t="str">
        <f>HYPERLINK("https://twitter.com/kanyaratcfd","@kanyaratcfd")</f>
        <v>@kanyaratcfd</v>
      </c>
      <c r="C11806" s="21" t="s">
        <v>24747</v>
      </c>
      <c r="D11806" s="21" t="s">
        <v>24748</v>
      </c>
      <c r="E11806" s="22" t="str">
        <f>HYPERLINK("https://twitter.com/kanyaratcfd/status/923036551226855425","923036551226855425")</f>
        <v>923036551226855425</v>
      </c>
      <c r="F11806" s="30" t="s">
        <v>411</v>
      </c>
      <c r="G11806" s="24">
        <v>35.0</v>
      </c>
      <c r="H11806" s="24">
        <v>100.0</v>
      </c>
      <c r="I11806" s="24">
        <v>0.0</v>
      </c>
      <c r="J11806" s="24">
        <v>0.0</v>
      </c>
      <c r="K11806" s="23" t="s">
        <v>34</v>
      </c>
      <c r="L11806" s="25">
        <v>41327.82760416667</v>
      </c>
      <c r="M11806" s="28"/>
      <c r="N11806" s="28"/>
      <c r="O11806" s="22" t="str">
        <f>HYPERLINK("https://abs.twimg.com/sticky/default_profile_images/default_profile_normal.png","View")</f>
        <v>View</v>
      </c>
      <c r="P11806" s="27"/>
    </row>
    <row r="11807">
      <c r="A11807" s="14">
        <v>43032.875439814816</v>
      </c>
      <c r="B11807" s="20" t="str">
        <f>HYPERLINK("https://twitter.com/confidant","@confidant")</f>
        <v>@confidant</v>
      </c>
      <c r="C11807" s="21" t="s">
        <v>24749</v>
      </c>
      <c r="D11807" s="21" t="s">
        <v>24750</v>
      </c>
      <c r="E11807" s="22" t="str">
        <f>HYPERLINK("https://twitter.com/confidant/status/923036553718382593","923036553718382593")</f>
        <v>923036553718382593</v>
      </c>
      <c r="F11807" s="30" t="s">
        <v>411</v>
      </c>
      <c r="G11807" s="24">
        <v>9612.0</v>
      </c>
      <c r="H11807" s="24">
        <v>8768.0</v>
      </c>
      <c r="I11807" s="24">
        <v>0.0</v>
      </c>
      <c r="J11807" s="24">
        <v>0.0</v>
      </c>
      <c r="K11807" s="23" t="s">
        <v>34</v>
      </c>
      <c r="L11807" s="25">
        <v>39641.547476851854</v>
      </c>
      <c r="M11807" s="26" t="s">
        <v>24751</v>
      </c>
      <c r="N11807" s="26" t="s">
        <v>24752</v>
      </c>
      <c r="O11807" s="22" t="str">
        <f>HYPERLINK("https://pbs.twimg.com/profile_images/734967754026057728/aB3CGcJa_normal.jpg","View")</f>
        <v>View</v>
      </c>
      <c r="P11807" s="27"/>
    </row>
    <row r="11808">
      <c r="A11808" s="14">
        <v>43032.87578703703</v>
      </c>
      <c r="B11808" s="20" t="str">
        <f>HYPERLINK("https://twitter.com/sollyez","@sollyez")</f>
        <v>@sollyez</v>
      </c>
      <c r="C11808" s="21" t="s">
        <v>7175</v>
      </c>
      <c r="D11808" s="21" t="s">
        <v>24753</v>
      </c>
      <c r="E11808" s="22" t="str">
        <f>HYPERLINK("https://twitter.com/sollyez/status/923036679337922560","923036679337922560")</f>
        <v>923036679337922560</v>
      </c>
      <c r="F11808" s="23" t="s">
        <v>91</v>
      </c>
      <c r="G11808" s="24">
        <v>448.0</v>
      </c>
      <c r="H11808" s="24">
        <v>362.0</v>
      </c>
      <c r="I11808" s="24">
        <v>0.0</v>
      </c>
      <c r="J11808" s="24">
        <v>0.0</v>
      </c>
      <c r="K11808" s="23" t="s">
        <v>34</v>
      </c>
      <c r="L11808" s="25">
        <v>40109.33578703704</v>
      </c>
      <c r="M11808" s="26" t="s">
        <v>305</v>
      </c>
      <c r="N11808" s="26" t="s">
        <v>7177</v>
      </c>
      <c r="O11808" s="22" t="str">
        <f>HYPERLINK("https://pbs.twimg.com/profile_images/795196547684106241/L2dBL9e7_normal.jpg","View")</f>
        <v>View</v>
      </c>
      <c r="P11808" s="27"/>
    </row>
    <row r="11809">
      <c r="A11809" s="14">
        <v>43032.876192129625</v>
      </c>
      <c r="B11809" s="20" t="str">
        <f>HYPERLINK("https://twitter.com/CaoTsao_sipre","@CaoTsao_sipre")</f>
        <v>@CaoTsao_sipre</v>
      </c>
      <c r="C11809" s="21" t="s">
        <v>24754</v>
      </c>
      <c r="D11809" s="21" t="s">
        <v>24007</v>
      </c>
      <c r="E11809" s="22" t="str">
        <f>HYPERLINK("https://twitter.com/CaoTsao_sipre/status/923036827887452160","923036827887452160")</f>
        <v>923036827887452160</v>
      </c>
      <c r="F11809" s="23" t="s">
        <v>39</v>
      </c>
      <c r="G11809" s="24">
        <v>149.0</v>
      </c>
      <c r="H11809" s="24">
        <v>119.0</v>
      </c>
      <c r="I11809" s="24">
        <v>122.0</v>
      </c>
      <c r="J11809" s="24">
        <v>0.0</v>
      </c>
      <c r="K11809" s="23" t="s">
        <v>34</v>
      </c>
      <c r="L11809" s="25">
        <v>42442.342997685184</v>
      </c>
      <c r="M11809" s="28"/>
      <c r="N11809" s="26" t="s">
        <v>24755</v>
      </c>
      <c r="O11809" s="22" t="str">
        <f>HYPERLINK("https://pbs.twimg.com/profile_images/709036100862418945/Xi7US4Au_normal.jpg","View")</f>
        <v>View</v>
      </c>
      <c r="P11809" s="27"/>
    </row>
    <row r="11810">
      <c r="A11810" s="14">
        <v>43032.87625</v>
      </c>
      <c r="B11810" s="20" t="str">
        <f>HYPERLINK("https://twitter.com/muserebel","@muserebel")</f>
        <v>@muserebel</v>
      </c>
      <c r="C11810" s="21" t="s">
        <v>24756</v>
      </c>
      <c r="D11810" s="21" t="s">
        <v>19621</v>
      </c>
      <c r="E11810" s="22" t="str">
        <f>HYPERLINK("https://twitter.com/muserebel/status/923036848334581761","923036848334581761")</f>
        <v>923036848334581761</v>
      </c>
      <c r="F11810" s="23" t="s">
        <v>55</v>
      </c>
      <c r="G11810" s="24">
        <v>67.0</v>
      </c>
      <c r="H11810" s="24">
        <v>40.0</v>
      </c>
      <c r="I11810" s="24">
        <v>18.0</v>
      </c>
      <c r="J11810" s="24">
        <v>0.0</v>
      </c>
      <c r="K11810" s="23" t="s">
        <v>34</v>
      </c>
      <c r="L11810" s="25">
        <v>40266.839583333334</v>
      </c>
      <c r="M11810" s="26" t="s">
        <v>24757</v>
      </c>
      <c r="N11810" s="26" t="s">
        <v>24758</v>
      </c>
      <c r="O11810" s="22" t="str">
        <f>HYPERLINK("https://pbs.twimg.com/profile_images/912797506618060800/o9ok-ICF_normal.jpg","View")</f>
        <v>View</v>
      </c>
      <c r="P11810" s="27"/>
    </row>
    <row r="11811">
      <c r="A11811" s="14">
        <v>43032.87636574074</v>
      </c>
      <c r="B11811" s="20" t="str">
        <f>HYPERLINK("https://twitter.com/dledoedude","@dledoedude")</f>
        <v>@dledoedude</v>
      </c>
      <c r="C11811" s="21" t="s">
        <v>24759</v>
      </c>
      <c r="D11811" s="21" t="s">
        <v>24633</v>
      </c>
      <c r="E11811" s="22" t="str">
        <f>HYPERLINK("https://twitter.com/dledoedude/status/923036889464139776","923036889464139776")</f>
        <v>923036889464139776</v>
      </c>
      <c r="F11811" s="23" t="s">
        <v>33</v>
      </c>
      <c r="G11811" s="24">
        <v>29.0</v>
      </c>
      <c r="H11811" s="24">
        <v>1058.0</v>
      </c>
      <c r="I11811" s="24">
        <v>11.0</v>
      </c>
      <c r="J11811" s="24">
        <v>0.0</v>
      </c>
      <c r="K11811" s="23" t="s">
        <v>34</v>
      </c>
      <c r="L11811" s="25">
        <v>41743.97462962963</v>
      </c>
      <c r="M11811" s="28"/>
      <c r="N11811" s="28"/>
      <c r="O11811" s="22" t="str">
        <f>HYPERLINK("https://pbs.twimg.com/profile_images/749740816655147008/WRYaMceg_normal.jpg","View")</f>
        <v>View</v>
      </c>
      <c r="P11811" s="27"/>
    </row>
    <row r="11812">
      <c r="A11812" s="14">
        <v>43032.87664351852</v>
      </c>
      <c r="B11812" s="20" t="str">
        <f>HYPERLINK("https://twitter.com/zkhalidpk","@zkhalidpk")</f>
        <v>@zkhalidpk</v>
      </c>
      <c r="C11812" s="21" t="s">
        <v>24760</v>
      </c>
      <c r="D11812" s="21" t="s">
        <v>24761</v>
      </c>
      <c r="E11812" s="22" t="str">
        <f>HYPERLINK("https://twitter.com/zkhalidpk/status/923036989364097024","923036989364097024")</f>
        <v>923036989364097024</v>
      </c>
      <c r="F11812" s="23" t="s">
        <v>55</v>
      </c>
      <c r="G11812" s="24">
        <v>208.0</v>
      </c>
      <c r="H11812" s="24">
        <v>1512.0</v>
      </c>
      <c r="I11812" s="24">
        <v>0.0</v>
      </c>
      <c r="J11812" s="24">
        <v>0.0</v>
      </c>
      <c r="K11812" s="23" t="s">
        <v>34</v>
      </c>
      <c r="L11812" s="25">
        <v>41550.96246527778</v>
      </c>
      <c r="M11812" s="26" t="s">
        <v>24762</v>
      </c>
      <c r="N11812" s="26" t="s">
        <v>24763</v>
      </c>
      <c r="O11812" s="22" t="str">
        <f>HYPERLINK("https://pbs.twimg.com/profile_images/920651139846213632/StzUmjTI_normal.jpg","View")</f>
        <v>View</v>
      </c>
      <c r="P11812" s="27"/>
    </row>
    <row r="11813">
      <c r="A11813" s="14">
        <v>43032.877337962964</v>
      </c>
      <c r="B11813" s="20" t="str">
        <f>HYPERLINK("https://twitter.com/idee_kenkyu","@idee_kenkyu")</f>
        <v>@idee_kenkyu</v>
      </c>
      <c r="C11813" s="21" t="s">
        <v>24764</v>
      </c>
      <c r="D11813" s="21" t="s">
        <v>24007</v>
      </c>
      <c r="E11813" s="22" t="str">
        <f>HYPERLINK("https://twitter.com/idee_kenkyu/status/923037242326597632","923037242326597632")</f>
        <v>923037242326597632</v>
      </c>
      <c r="F11813" s="23" t="s">
        <v>33</v>
      </c>
      <c r="G11813" s="24">
        <v>3341.0</v>
      </c>
      <c r="H11813" s="24">
        <v>3324.0</v>
      </c>
      <c r="I11813" s="24">
        <v>122.0</v>
      </c>
      <c r="J11813" s="24">
        <v>0.0</v>
      </c>
      <c r="K11813" s="23" t="s">
        <v>34</v>
      </c>
      <c r="L11813" s="25">
        <v>41249.86849537037</v>
      </c>
      <c r="M11813" s="26" t="s">
        <v>24765</v>
      </c>
      <c r="N11813" s="26" t="s">
        <v>24766</v>
      </c>
      <c r="O11813" s="22" t="str">
        <f>HYPERLINK("https://pbs.twimg.com/profile_images/3085780381/5ca7ae2becba5a456a04c7ae5d2bd4d9_normal.jpeg","View")</f>
        <v>View</v>
      </c>
      <c r="P11813" s="27"/>
    </row>
    <row r="11814">
      <c r="A11814" s="14">
        <v>43032.87739583333</v>
      </c>
      <c r="B11814" s="20" t="str">
        <f>HYPERLINK("https://twitter.com/saurabh__sobo","@saurabh__sobo")</f>
        <v>@saurabh__sobo</v>
      </c>
      <c r="C11814" s="21" t="s">
        <v>24767</v>
      </c>
      <c r="D11814" s="21" t="s">
        <v>24768</v>
      </c>
      <c r="E11814" s="22" t="str">
        <f>HYPERLINK("https://twitter.com/saurabh__sobo/status/923037263059214336","923037263059214336")</f>
        <v>923037263059214336</v>
      </c>
      <c r="F11814" s="23" t="s">
        <v>33</v>
      </c>
      <c r="G11814" s="24">
        <v>9.0</v>
      </c>
      <c r="H11814" s="24">
        <v>38.0</v>
      </c>
      <c r="I11814" s="24">
        <v>0.0</v>
      </c>
      <c r="J11814" s="24">
        <v>0.0</v>
      </c>
      <c r="K11814" s="23" t="s">
        <v>34</v>
      </c>
      <c r="L11814" s="25">
        <v>42395.30883101852</v>
      </c>
      <c r="M11814" s="28"/>
      <c r="N11814" s="28"/>
      <c r="O11814" s="22" t="str">
        <f>HYPERLINK("https://pbs.twimg.com/profile_images/883973101981241344/Ba9DNVqG_normal.jpg","View")</f>
        <v>View</v>
      </c>
      <c r="P11814" s="27"/>
    </row>
    <row r="11815">
      <c r="A11815" s="14">
        <v>43032.87761574074</v>
      </c>
      <c r="B11815" s="20" t="str">
        <f>HYPERLINK("https://twitter.com/Hachiro","@Hachiro")</f>
        <v>@Hachiro</v>
      </c>
      <c r="C11815" s="21" t="s">
        <v>24769</v>
      </c>
      <c r="D11815" s="21" t="s">
        <v>7198</v>
      </c>
      <c r="E11815" s="22" t="str">
        <f>HYPERLINK("https://twitter.com/Hachiro/status/923037345250603008","923037345250603008")</f>
        <v>923037345250603008</v>
      </c>
      <c r="F11815" s="23" t="s">
        <v>55</v>
      </c>
      <c r="G11815" s="24">
        <v>1187.0</v>
      </c>
      <c r="H11815" s="24">
        <v>2541.0</v>
      </c>
      <c r="I11815" s="24">
        <v>11.0</v>
      </c>
      <c r="J11815" s="24">
        <v>0.0</v>
      </c>
      <c r="K11815" s="23" t="s">
        <v>34</v>
      </c>
      <c r="L11815" s="25">
        <v>39245.71759259259</v>
      </c>
      <c r="M11815" s="26" t="s">
        <v>1757</v>
      </c>
      <c r="N11815" s="28"/>
      <c r="O11815" s="22" t="str">
        <f>HYPERLINK("https://pbs.twimg.com/profile_images/29722912/lovehachiro_normal.jpg","View")</f>
        <v>View</v>
      </c>
      <c r="P11815" s="27"/>
    </row>
    <row r="11816">
      <c r="A11816" s="14">
        <v>43032.87799768518</v>
      </c>
      <c r="B11816" s="20" t="str">
        <f>HYPERLINK("https://twitter.com/giri7777sm","@giri7777sm")</f>
        <v>@giri7777sm</v>
      </c>
      <c r="C11816" s="21" t="s">
        <v>24770</v>
      </c>
      <c r="D11816" s="21" t="s">
        <v>42</v>
      </c>
      <c r="E11816" s="22" t="str">
        <f>HYPERLINK("https://twitter.com/giri7777sm/status/923037482400100352","923037482400100352")</f>
        <v>923037482400100352</v>
      </c>
      <c r="F11816" s="23" t="s">
        <v>33</v>
      </c>
      <c r="G11816" s="24">
        <v>60.0</v>
      </c>
      <c r="H11816" s="24">
        <v>220.0</v>
      </c>
      <c r="I11816" s="24">
        <v>8501.0</v>
      </c>
      <c r="J11816" s="24">
        <v>0.0</v>
      </c>
      <c r="K11816" s="23" t="s">
        <v>34</v>
      </c>
      <c r="L11816" s="25">
        <v>42219.84375</v>
      </c>
      <c r="M11816" s="28"/>
      <c r="N11816" s="28"/>
      <c r="O11816" s="22" t="str">
        <f>HYPERLINK("https://pbs.twimg.com/profile_images/628404824246124544/i83igKPW_normal.jpg","View")</f>
        <v>View</v>
      </c>
      <c r="P11816" s="27"/>
    </row>
    <row r="11817">
      <c r="A11817" s="14">
        <v>43032.87846064815</v>
      </c>
      <c r="B11817" s="20" t="str">
        <f>HYPERLINK("https://twitter.com/NewsBoeing","@NewsBoeing")</f>
        <v>@NewsBoeing</v>
      </c>
      <c r="C11817" s="21" t="s">
        <v>24771</v>
      </c>
      <c r="D11817" s="21" t="s">
        <v>24772</v>
      </c>
      <c r="E11817" s="22" t="str">
        <f>HYPERLINK("https://twitter.com/NewsBoeing/status/923037648834269184","923037648834269184")</f>
        <v>923037648834269184</v>
      </c>
      <c r="F11817" s="23" t="s">
        <v>24771</v>
      </c>
      <c r="G11817" s="24">
        <v>6260.0</v>
      </c>
      <c r="H11817" s="24">
        <v>89.0</v>
      </c>
      <c r="I11817" s="24">
        <v>0.0</v>
      </c>
      <c r="J11817" s="24">
        <v>0.0</v>
      </c>
      <c r="K11817" s="23" t="s">
        <v>34</v>
      </c>
      <c r="L11817" s="25">
        <v>40583.91318287037</v>
      </c>
      <c r="M11817" s="26" t="s">
        <v>24773</v>
      </c>
      <c r="N11817" s="26" t="s">
        <v>24774</v>
      </c>
      <c r="O11817" s="22" t="str">
        <f>HYPERLINK("https://pbs.twimg.com/profile_images/829887546226126848/DSb0CN1X_normal.jpg","View")</f>
        <v>View</v>
      </c>
      <c r="P11817" s="27"/>
    </row>
    <row r="11818">
      <c r="A11818" s="14">
        <v>43032.87866898148</v>
      </c>
      <c r="B11818" s="20" t="str">
        <f>HYPERLINK("https://twitter.com/TechText","@TechText")</f>
        <v>@TechText</v>
      </c>
      <c r="C11818" s="21" t="s">
        <v>24775</v>
      </c>
      <c r="D11818" s="21" t="s">
        <v>24776</v>
      </c>
      <c r="E11818" s="22" t="str">
        <f>HYPERLINK("https://twitter.com/TechText/status/923037725304983552","923037725304983552")</f>
        <v>923037725304983552</v>
      </c>
      <c r="F11818" s="23" t="s">
        <v>91</v>
      </c>
      <c r="G11818" s="24">
        <v>1055.0</v>
      </c>
      <c r="H11818" s="24">
        <v>1083.0</v>
      </c>
      <c r="I11818" s="24">
        <v>0.0</v>
      </c>
      <c r="J11818" s="24">
        <v>0.0</v>
      </c>
      <c r="K11818" s="23" t="s">
        <v>34</v>
      </c>
      <c r="L11818" s="25">
        <v>40598.33962962963</v>
      </c>
      <c r="M11818" s="26" t="s">
        <v>24777</v>
      </c>
      <c r="N11818" s="26" t="s">
        <v>24778</v>
      </c>
      <c r="O11818" s="22" t="str">
        <f>HYPERLINK("https://pbs.twimg.com/profile_images/1253609595/00604_planetarium_1440x900_normal.jpg","View")</f>
        <v>View</v>
      </c>
      <c r="P11818" s="27"/>
    </row>
    <row r="11819">
      <c r="A11819" s="14">
        <v>43032.87881944445</v>
      </c>
      <c r="B11819" s="20" t="str">
        <f>HYPERLINK("https://twitter.com/XOXOCASHH133","@XOXOCASHH133")</f>
        <v>@XOXOCASHH133</v>
      </c>
      <c r="C11819" s="21" t="s">
        <v>24779</v>
      </c>
      <c r="D11819" s="21" t="s">
        <v>24633</v>
      </c>
      <c r="E11819" s="22" t="str">
        <f>HYPERLINK("https://twitter.com/XOXOCASHH133/status/923037780262969344","923037780262969344")</f>
        <v>923037780262969344</v>
      </c>
      <c r="F11819" s="23" t="s">
        <v>33</v>
      </c>
      <c r="G11819" s="24">
        <v>53.0</v>
      </c>
      <c r="H11819" s="24">
        <v>1678.0</v>
      </c>
      <c r="I11819" s="24">
        <v>11.0</v>
      </c>
      <c r="J11819" s="24">
        <v>0.0</v>
      </c>
      <c r="K11819" s="23" t="s">
        <v>34</v>
      </c>
      <c r="L11819" s="25">
        <v>41081.31909722222</v>
      </c>
      <c r="M11819" s="26" t="s">
        <v>24780</v>
      </c>
      <c r="N11819" s="26" t="s">
        <v>24781</v>
      </c>
      <c r="O11819" s="22" t="str">
        <f>HYPERLINK("https://pbs.twimg.com/profile_images/764396322396991488/LVaYIrGT_normal.jpg","View")</f>
        <v>View</v>
      </c>
      <c r="P11819" s="27"/>
    </row>
    <row r="11820">
      <c r="A11820" s="14">
        <v>43032.87888888889</v>
      </c>
      <c r="B11820" s="20" t="str">
        <f>HYPERLINK("https://twitter.com/Harley_Woody","@Harley_Woody")</f>
        <v>@Harley_Woody</v>
      </c>
      <c r="C11820" s="21" t="s">
        <v>4878</v>
      </c>
      <c r="D11820" s="21" t="s">
        <v>24782</v>
      </c>
      <c r="E11820" s="22" t="str">
        <f>HYPERLINK("https://twitter.com/Harley_Woody/status/923037806695473152","923037806695473152")</f>
        <v>923037806695473152</v>
      </c>
      <c r="F11820" s="23" t="s">
        <v>91</v>
      </c>
      <c r="G11820" s="24">
        <v>1779.0</v>
      </c>
      <c r="H11820" s="24">
        <v>133.0</v>
      </c>
      <c r="I11820" s="24">
        <v>0.0</v>
      </c>
      <c r="J11820" s="24">
        <v>0.0</v>
      </c>
      <c r="K11820" s="23" t="s">
        <v>34</v>
      </c>
      <c r="L11820" s="25">
        <v>41405.26681712963</v>
      </c>
      <c r="M11820" s="26" t="s">
        <v>4880</v>
      </c>
      <c r="N11820" s="26" t="s">
        <v>4881</v>
      </c>
      <c r="O11820" s="22" t="str">
        <f>HYPERLINK("https://pbs.twimg.com/profile_images/847938778140377089/gwPJD2OM_normal.jpg","View")</f>
        <v>View</v>
      </c>
      <c r="P11820" s="27"/>
    </row>
    <row r="11821">
      <c r="A11821" s="14">
        <v>43032.87905092593</v>
      </c>
      <c r="B11821" s="20" t="str">
        <f>HYPERLINK("https://twitter.com/Kevin_851227","@Kevin_851227")</f>
        <v>@Kevin_851227</v>
      </c>
      <c r="C11821" s="21" t="s">
        <v>24783</v>
      </c>
      <c r="D11821" s="21" t="s">
        <v>23895</v>
      </c>
      <c r="E11821" s="22" t="str">
        <f>HYPERLINK("https://twitter.com/Kevin_851227/status/923037863020605440","923037863020605440")</f>
        <v>923037863020605440</v>
      </c>
      <c r="F11821" s="23" t="s">
        <v>55</v>
      </c>
      <c r="G11821" s="24">
        <v>7.0</v>
      </c>
      <c r="H11821" s="24">
        <v>157.0</v>
      </c>
      <c r="I11821" s="24">
        <v>5.0</v>
      </c>
      <c r="J11821" s="24">
        <v>0.0</v>
      </c>
      <c r="K11821" s="23" t="s">
        <v>34</v>
      </c>
      <c r="L11821" s="25">
        <v>42981.94144675926</v>
      </c>
      <c r="M11821" s="28"/>
      <c r="N11821" s="26" t="s">
        <v>24784</v>
      </c>
      <c r="O11821" s="22" t="str">
        <f>HYPERLINK("https://pbs.twimg.com/profile_images/904589325089640448/VZppbw1o_normal.jpg","View")</f>
        <v>View</v>
      </c>
      <c r="P11821" s="27"/>
    </row>
    <row r="11822">
      <c r="A11822" s="14">
        <v>43032.87944444444</v>
      </c>
      <c r="B11822" s="20" t="str">
        <f>HYPERLINK("https://twitter.com/Brewtos","@Brewtos")</f>
        <v>@Brewtos</v>
      </c>
      <c r="C11822" s="21" t="s">
        <v>17487</v>
      </c>
      <c r="D11822" s="21" t="s">
        <v>24007</v>
      </c>
      <c r="E11822" s="22" t="str">
        <f>HYPERLINK("https://twitter.com/Brewtos/status/923038004805021697","923038004805021697")</f>
        <v>923038004805021697</v>
      </c>
      <c r="F11822" s="23" t="s">
        <v>33</v>
      </c>
      <c r="G11822" s="24">
        <v>133.0</v>
      </c>
      <c r="H11822" s="24">
        <v>100.0</v>
      </c>
      <c r="I11822" s="24">
        <v>122.0</v>
      </c>
      <c r="J11822" s="24">
        <v>0.0</v>
      </c>
      <c r="K11822" s="23" t="s">
        <v>34</v>
      </c>
      <c r="L11822" s="25">
        <v>40209.47920138889</v>
      </c>
      <c r="M11822" s="26" t="s">
        <v>14204</v>
      </c>
      <c r="N11822" s="26" t="s">
        <v>17488</v>
      </c>
      <c r="O11822" s="22" t="str">
        <f>HYPERLINK("https://pbs.twimg.com/profile_images/884950432480608258/UWWzBu1o_normal.jpg","View")</f>
        <v>View</v>
      </c>
      <c r="P11822" s="27"/>
    </row>
    <row r="11823">
      <c r="A11823" s="14">
        <v>43032.87954861111</v>
      </c>
      <c r="B11823" s="20" t="str">
        <f>HYPERLINK("https://twitter.com/raphaelha67","@raphaelha67")</f>
        <v>@raphaelha67</v>
      </c>
      <c r="C11823" s="21" t="s">
        <v>19188</v>
      </c>
      <c r="D11823" s="21" t="s">
        <v>24007</v>
      </c>
      <c r="E11823" s="22" t="str">
        <f>HYPERLINK("https://twitter.com/raphaelha67/status/923038042809651200","923038042809651200")</f>
        <v>923038042809651200</v>
      </c>
      <c r="F11823" s="23" t="s">
        <v>39</v>
      </c>
      <c r="G11823" s="24">
        <v>454.0</v>
      </c>
      <c r="H11823" s="24">
        <v>13.0</v>
      </c>
      <c r="I11823" s="24">
        <v>122.0</v>
      </c>
      <c r="J11823" s="24">
        <v>0.0</v>
      </c>
      <c r="K11823" s="23" t="s">
        <v>34</v>
      </c>
      <c r="L11823" s="25">
        <v>42610.639375</v>
      </c>
      <c r="M11823" s="28"/>
      <c r="N11823" s="26" t="s">
        <v>19189</v>
      </c>
      <c r="O11823" s="22" t="str">
        <f>HYPERLINK("https://abs.twimg.com/sticky/default_profile_images/default_profile_normal.png","View")</f>
        <v>View</v>
      </c>
      <c r="P11823" s="27"/>
    </row>
    <row r="11824">
      <c r="A11824" s="14">
        <v>43032.879641203705</v>
      </c>
      <c r="B11824" s="20" t="str">
        <f>HYPERLINK("https://twitter.com/pradeeppenumadu","@pradeeppenumadu")</f>
        <v>@pradeeppenumadu</v>
      </c>
      <c r="C11824" s="21" t="s">
        <v>24785</v>
      </c>
      <c r="D11824" s="21" t="s">
        <v>42</v>
      </c>
      <c r="E11824" s="22" t="str">
        <f>HYPERLINK("https://twitter.com/pradeeppenumadu/status/923038077039157248","923038077039157248")</f>
        <v>923038077039157248</v>
      </c>
      <c r="F11824" s="23" t="s">
        <v>43</v>
      </c>
      <c r="G11824" s="24">
        <v>2918.0</v>
      </c>
      <c r="H11824" s="24">
        <v>4997.0</v>
      </c>
      <c r="I11824" s="24">
        <v>8501.0</v>
      </c>
      <c r="J11824" s="24">
        <v>0.0</v>
      </c>
      <c r="K11824" s="23" t="s">
        <v>34</v>
      </c>
      <c r="L11824" s="25">
        <v>40579.01820601852</v>
      </c>
      <c r="M11824" s="26" t="s">
        <v>24786</v>
      </c>
      <c r="N11824" s="26" t="s">
        <v>24787</v>
      </c>
      <c r="O11824" s="22" t="str">
        <f>HYPERLINK("https://pbs.twimg.com/profile_images/918900127288270849/-g8_SWRc_normal.jpg","View")</f>
        <v>View</v>
      </c>
      <c r="P11824" s="27"/>
    </row>
    <row r="11825">
      <c r="A11825" s="14">
        <v>43032.879745370374</v>
      </c>
      <c r="B11825" s="20" t="str">
        <f>HYPERLINK("https://twitter.com/yuuji_K1","@yuuji_K1")</f>
        <v>@yuuji_K1</v>
      </c>
      <c r="C11825" s="21" t="s">
        <v>5882</v>
      </c>
      <c r="D11825" s="21" t="s">
        <v>24007</v>
      </c>
      <c r="E11825" s="22" t="str">
        <f>HYPERLINK("https://twitter.com/yuuji_K1/status/923038115190599680","923038115190599680")</f>
        <v>923038115190599680</v>
      </c>
      <c r="F11825" s="23" t="s">
        <v>39</v>
      </c>
      <c r="G11825" s="24">
        <v>2341.0</v>
      </c>
      <c r="H11825" s="24">
        <v>2256.0</v>
      </c>
      <c r="I11825" s="24">
        <v>122.0</v>
      </c>
      <c r="J11825" s="24">
        <v>0.0</v>
      </c>
      <c r="K11825" s="23" t="s">
        <v>34</v>
      </c>
      <c r="L11825" s="25">
        <v>41720.116006944445</v>
      </c>
      <c r="M11825" s="28"/>
      <c r="N11825" s="26" t="s">
        <v>5883</v>
      </c>
      <c r="O11825" s="22" t="str">
        <f>HYPERLINK("https://pbs.twimg.com/profile_images/447319649642770432/l3MsVwx__normal.jpeg","View")</f>
        <v>View</v>
      </c>
      <c r="P11825" s="27"/>
    </row>
    <row r="11826">
      <c r="A11826" s="14">
        <v>43032.879895833335</v>
      </c>
      <c r="B11826" s="20" t="str">
        <f>HYPERLINK("https://twitter.com/ejspguitar0","@ejspguitar0")</f>
        <v>@ejspguitar0</v>
      </c>
      <c r="C11826" s="21" t="s">
        <v>24788</v>
      </c>
      <c r="D11826" s="21" t="s">
        <v>24789</v>
      </c>
      <c r="E11826" s="22" t="str">
        <f>HYPERLINK("https://twitter.com/ejspguitar0/status/923038169007661056","923038169007661056")</f>
        <v>923038169007661056</v>
      </c>
      <c r="F11826" s="30" t="s">
        <v>411</v>
      </c>
      <c r="G11826" s="24">
        <v>12262.0</v>
      </c>
      <c r="H11826" s="24">
        <v>12040.0</v>
      </c>
      <c r="I11826" s="24">
        <v>0.0</v>
      </c>
      <c r="J11826" s="24">
        <v>0.0</v>
      </c>
      <c r="K11826" s="23" t="s">
        <v>34</v>
      </c>
      <c r="L11826" s="25">
        <v>42595.846296296295</v>
      </c>
      <c r="M11826" s="26" t="s">
        <v>9203</v>
      </c>
      <c r="N11826" s="28"/>
      <c r="O11826" s="22" t="str">
        <f>HYPERLINK("https://pbs.twimg.com/profile_images/872853631732781057/39ICf1yv_normal.jpg","View")</f>
        <v>View</v>
      </c>
      <c r="P11826" s="27"/>
    </row>
    <row r="11827">
      <c r="A11827" s="14">
        <v>43032.88055555556</v>
      </c>
      <c r="B11827" s="20" t="str">
        <f>HYPERLINK("https://twitter.com/CSIS","@CSIS")</f>
        <v>@CSIS</v>
      </c>
      <c r="C11827" s="21" t="s">
        <v>12198</v>
      </c>
      <c r="D11827" s="21" t="s">
        <v>24790</v>
      </c>
      <c r="E11827" s="22" t="str">
        <f>HYPERLINK("https://twitter.com/CSIS/status/923038408846360576","923038408846360576")</f>
        <v>923038408846360576</v>
      </c>
      <c r="F11827" s="23" t="s">
        <v>769</v>
      </c>
      <c r="G11827" s="24">
        <v>234457.0</v>
      </c>
      <c r="H11827" s="24">
        <v>93.0</v>
      </c>
      <c r="I11827" s="24">
        <v>31.0</v>
      </c>
      <c r="J11827" s="24">
        <v>28.0</v>
      </c>
      <c r="K11827" s="23" t="s">
        <v>34</v>
      </c>
      <c r="L11827" s="25">
        <v>40627.42355324074</v>
      </c>
      <c r="M11827" s="26" t="s">
        <v>4239</v>
      </c>
      <c r="N11827" s="26" t="s">
        <v>12200</v>
      </c>
      <c r="O11827" s="22" t="str">
        <f>HYPERLINK("https://pbs.twimg.com/profile_images/477147454463176704/CMatM8X8_normal.jpeg","View")</f>
        <v>View</v>
      </c>
      <c r="P11827" s="27"/>
    </row>
    <row r="11828">
      <c r="A11828" s="14">
        <v>43032.88097222222</v>
      </c>
      <c r="B11828" s="20" t="str">
        <f>HYPERLINK("https://twitter.com/ZeliaLH","@ZeliaLH")</f>
        <v>@ZeliaLH</v>
      </c>
      <c r="C11828" s="21" t="s">
        <v>19889</v>
      </c>
      <c r="D11828" s="21" t="s">
        <v>24791</v>
      </c>
      <c r="E11828" s="22" t="str">
        <f>HYPERLINK("https://twitter.com/ZeliaLH/status/923038559853879298","923038559853879298")</f>
        <v>923038559853879298</v>
      </c>
      <c r="F11828" s="23" t="s">
        <v>55</v>
      </c>
      <c r="G11828" s="24">
        <v>171.0</v>
      </c>
      <c r="H11828" s="24">
        <v>80.0</v>
      </c>
      <c r="I11828" s="24">
        <v>0.0</v>
      </c>
      <c r="J11828" s="24">
        <v>0.0</v>
      </c>
      <c r="K11828" s="23" t="s">
        <v>34</v>
      </c>
      <c r="L11828" s="25">
        <v>39982.77899305556</v>
      </c>
      <c r="M11828" s="26" t="s">
        <v>853</v>
      </c>
      <c r="N11828" s="26" t="s">
        <v>19891</v>
      </c>
      <c r="O11828" s="22" t="str">
        <f>HYPERLINK("https://pbs.twimg.com/profile_images/827422276727427073/pRm7NnV8_normal.jpg","View")</f>
        <v>View</v>
      </c>
      <c r="P11828" s="27"/>
    </row>
    <row r="11829">
      <c r="A11829" s="14">
        <v>43032.88112268518</v>
      </c>
      <c r="B11829" s="20" t="str">
        <f>HYPERLINK("https://twitter.com/mkopl","@mkopl")</f>
        <v>@mkopl</v>
      </c>
      <c r="C11829" s="21" t="s">
        <v>24792</v>
      </c>
      <c r="D11829" s="21" t="s">
        <v>24007</v>
      </c>
      <c r="E11829" s="22" t="str">
        <f>HYPERLINK("https://twitter.com/mkopl/status/923038615789191170","923038615789191170")</f>
        <v>923038615789191170</v>
      </c>
      <c r="F11829" s="23" t="s">
        <v>33</v>
      </c>
      <c r="G11829" s="24">
        <v>210.0</v>
      </c>
      <c r="H11829" s="24">
        <v>225.0</v>
      </c>
      <c r="I11829" s="24">
        <v>122.0</v>
      </c>
      <c r="J11829" s="24">
        <v>0.0</v>
      </c>
      <c r="K11829" s="23" t="s">
        <v>34</v>
      </c>
      <c r="L11829" s="25">
        <v>39904.80226851852</v>
      </c>
      <c r="M11829" s="26" t="s">
        <v>16848</v>
      </c>
      <c r="N11829" s="28"/>
      <c r="O11829" s="22" t="str">
        <f>HYPERLINK("https://pbs.twimg.com/profile_images/1354031418/DSCF5119_normal.jpg","View")</f>
        <v>View</v>
      </c>
      <c r="P11829" s="27"/>
    </row>
    <row r="11830">
      <c r="A11830" s="14">
        <v>43032.88145833333</v>
      </c>
      <c r="B11830" s="20" t="str">
        <f>HYPERLINK("https://twitter.com/esprit1789","@esprit1789")</f>
        <v>@esprit1789</v>
      </c>
      <c r="C11830" s="21" t="s">
        <v>24793</v>
      </c>
      <c r="D11830" s="21" t="s">
        <v>24007</v>
      </c>
      <c r="E11830" s="22" t="str">
        <f>HYPERLINK("https://twitter.com/esprit1789/status/923038734878044160","923038734878044160")</f>
        <v>923038734878044160</v>
      </c>
      <c r="F11830" s="23" t="s">
        <v>33</v>
      </c>
      <c r="G11830" s="24">
        <v>1857.0</v>
      </c>
      <c r="H11830" s="24">
        <v>1959.0</v>
      </c>
      <c r="I11830" s="24">
        <v>122.0</v>
      </c>
      <c r="J11830" s="24">
        <v>0.0</v>
      </c>
      <c r="K11830" s="23" t="s">
        <v>34</v>
      </c>
      <c r="L11830" s="25">
        <v>41431.671585648146</v>
      </c>
      <c r="M11830" s="26" t="s">
        <v>24794</v>
      </c>
      <c r="N11830" s="26" t="s">
        <v>24795</v>
      </c>
      <c r="O11830" s="22" t="str">
        <f>HYPERLINK("https://pbs.twimg.com/profile_images/616114945562796032/gfD2gLCB_normal.jpg","View")</f>
        <v>View</v>
      </c>
      <c r="P11830" s="27"/>
    </row>
    <row r="11831">
      <c r="A11831" s="14">
        <v>43032.881574074076</v>
      </c>
      <c r="B11831" s="20" t="str">
        <f>HYPERLINK("https://twitter.com/dakshink","@dakshink")</f>
        <v>@dakshink</v>
      </c>
      <c r="C11831" s="21" t="s">
        <v>24796</v>
      </c>
      <c r="D11831" s="21" t="s">
        <v>163</v>
      </c>
      <c r="E11831" s="22" t="str">
        <f>HYPERLINK("https://twitter.com/dakshink/status/923038776548454400","923038776548454400")</f>
        <v>923038776548454400</v>
      </c>
      <c r="F11831" s="23" t="s">
        <v>39</v>
      </c>
      <c r="G11831" s="24">
        <v>33.0</v>
      </c>
      <c r="H11831" s="24">
        <v>41.0</v>
      </c>
      <c r="I11831" s="24">
        <v>1005.0</v>
      </c>
      <c r="J11831" s="24">
        <v>0.0</v>
      </c>
      <c r="K11831" s="23" t="s">
        <v>34</v>
      </c>
      <c r="L11831" s="25">
        <v>40099.45203703704</v>
      </c>
      <c r="M11831" s="26" t="s">
        <v>24797</v>
      </c>
      <c r="N11831" s="26" t="s">
        <v>24798</v>
      </c>
      <c r="O11831" s="22" t="str">
        <f>HYPERLINK("https://pbs.twimg.com/profile_images/468788539/DakshinLinePicture1_normal.jpg","View")</f>
        <v>View</v>
      </c>
      <c r="P11831" s="27"/>
    </row>
    <row r="11832">
      <c r="A11832" s="14">
        <v>43032.881574074076</v>
      </c>
      <c r="B11832" s="20" t="str">
        <f>HYPERLINK("https://twitter.com/elaineobenshain","@elaineobenshain")</f>
        <v>@elaineobenshain</v>
      </c>
      <c r="C11832" s="21" t="s">
        <v>12497</v>
      </c>
      <c r="D11832" s="21" t="s">
        <v>24799</v>
      </c>
      <c r="E11832" s="22" t="str">
        <f>HYPERLINK("https://twitter.com/elaineobenshain/status/923038777093828609","923038777093828609")</f>
        <v>923038777093828609</v>
      </c>
      <c r="F11832" s="23" t="s">
        <v>1799</v>
      </c>
      <c r="G11832" s="24">
        <v>2699.0</v>
      </c>
      <c r="H11832" s="24">
        <v>766.0</v>
      </c>
      <c r="I11832" s="24">
        <v>31.0</v>
      </c>
      <c r="J11832" s="24">
        <v>0.0</v>
      </c>
      <c r="K11832" s="23" t="s">
        <v>34</v>
      </c>
      <c r="L11832" s="25">
        <v>42192.38541666667</v>
      </c>
      <c r="M11832" s="26" t="s">
        <v>12498</v>
      </c>
      <c r="N11832" s="26" t="s">
        <v>12499</v>
      </c>
      <c r="O11832" s="22" t="str">
        <f>HYPERLINK("https://pbs.twimg.com/profile_images/914878292355895296/cwvxZg_E_normal.jpg","View")</f>
        <v>View</v>
      </c>
      <c r="P11832" s="27"/>
    </row>
    <row r="11833">
      <c r="A11833" s="14">
        <v>43032.88158564815</v>
      </c>
      <c r="B11833" s="20" t="str">
        <f>HYPERLINK("https://twitter.com/VishalRabari9","@VishalRabari9")</f>
        <v>@VishalRabari9</v>
      </c>
      <c r="C11833" s="21" t="s">
        <v>24800</v>
      </c>
      <c r="D11833" s="21" t="s">
        <v>42</v>
      </c>
      <c r="E11833" s="22" t="str">
        <f>HYPERLINK("https://twitter.com/VishalRabari9/status/923038782458249216","923038782458249216")</f>
        <v>923038782458249216</v>
      </c>
      <c r="F11833" s="23" t="s">
        <v>33</v>
      </c>
      <c r="G11833" s="24">
        <v>285.0</v>
      </c>
      <c r="H11833" s="24">
        <v>535.0</v>
      </c>
      <c r="I11833" s="24">
        <v>8501.0</v>
      </c>
      <c r="J11833" s="24">
        <v>0.0</v>
      </c>
      <c r="K11833" s="23" t="s">
        <v>34</v>
      </c>
      <c r="L11833" s="25">
        <v>42110.10288194445</v>
      </c>
      <c r="M11833" s="26" t="s">
        <v>2761</v>
      </c>
      <c r="N11833" s="28"/>
      <c r="O11833" s="22" t="str">
        <f>HYPERLINK("https://pbs.twimg.com/profile_images/883562330663133184/YYw1Ky2N_normal.jpg","View")</f>
        <v>View</v>
      </c>
      <c r="P11833" s="27"/>
    </row>
    <row r="11834">
      <c r="A11834" s="14">
        <v>43032.88172453704</v>
      </c>
      <c r="B11834" s="20" t="str">
        <f>HYPERLINK("https://twitter.com/20061014jr","@20061014jr")</f>
        <v>@20061014jr</v>
      </c>
      <c r="C11834" s="21" t="s">
        <v>24801</v>
      </c>
      <c r="D11834" s="21" t="s">
        <v>22124</v>
      </c>
      <c r="E11834" s="22" t="str">
        <f>HYPERLINK("https://twitter.com/20061014jr/status/923038833926533120","923038833926533120")</f>
        <v>923038833926533120</v>
      </c>
      <c r="F11834" s="23" t="s">
        <v>55</v>
      </c>
      <c r="G11834" s="24">
        <v>961.0</v>
      </c>
      <c r="H11834" s="24">
        <v>1939.0</v>
      </c>
      <c r="I11834" s="24">
        <v>4.0</v>
      </c>
      <c r="J11834" s="24">
        <v>0.0</v>
      </c>
      <c r="K11834" s="23" t="s">
        <v>34</v>
      </c>
      <c r="L11834" s="25">
        <v>42606.062997685185</v>
      </c>
      <c r="M11834" s="26" t="s">
        <v>853</v>
      </c>
      <c r="N11834" s="26" t="s">
        <v>24802</v>
      </c>
      <c r="O11834" s="22" t="str">
        <f>HYPERLINK("https://pbs.twimg.com/profile_images/836615577355444225/IJZOd0Zg_normal.jpg","View")</f>
        <v>View</v>
      </c>
      <c r="P11834" s="27"/>
    </row>
    <row r="11835">
      <c r="A11835" s="14">
        <v>43032.88196759259</v>
      </c>
      <c r="B11835" s="20" t="str">
        <f>HYPERLINK("https://twitter.com/usa_news_today","@usa_news_today")</f>
        <v>@usa_news_today</v>
      </c>
      <c r="C11835" s="21" t="s">
        <v>17332</v>
      </c>
      <c r="D11835" s="21" t="s">
        <v>6222</v>
      </c>
      <c r="E11835" s="22" t="str">
        <f>HYPERLINK("https://twitter.com/usa_news_today/status/923038919444320256","923038919444320256")</f>
        <v>923038919444320256</v>
      </c>
      <c r="F11835" s="23" t="s">
        <v>17333</v>
      </c>
      <c r="G11835" s="24">
        <v>122.0</v>
      </c>
      <c r="H11835" s="24">
        <v>6.0</v>
      </c>
      <c r="I11835" s="24">
        <v>0.0</v>
      </c>
      <c r="J11835" s="24">
        <v>0.0</v>
      </c>
      <c r="K11835" s="23" t="s">
        <v>34</v>
      </c>
      <c r="L11835" s="25">
        <v>42420.16255787037</v>
      </c>
      <c r="M11835" s="28"/>
      <c r="N11835" s="28"/>
      <c r="O11835" s="22" t="str">
        <f>HYPERLINK("https://pbs.twimg.com/profile_images/701013084450775040/At0jgKPY_normal.jpg","View")</f>
        <v>View</v>
      </c>
      <c r="P11835" s="27"/>
    </row>
    <row r="11836">
      <c r="A11836" s="14">
        <v>43032.882152777776</v>
      </c>
      <c r="B11836" s="20" t="str">
        <f>HYPERLINK("https://twitter.com/ValHumanrighter","@ValHumanrighter")</f>
        <v>@ValHumanrighter</v>
      </c>
      <c r="C11836" s="21" t="s">
        <v>24803</v>
      </c>
      <c r="D11836" s="21" t="s">
        <v>24799</v>
      </c>
      <c r="E11836" s="22" t="str">
        <f>HYPERLINK("https://twitter.com/ValHumanrighter/status/923038986037354496","923038986037354496")</f>
        <v>923038986037354496</v>
      </c>
      <c r="F11836" s="23" t="s">
        <v>39</v>
      </c>
      <c r="G11836" s="24">
        <v>1125.0</v>
      </c>
      <c r="H11836" s="24">
        <v>887.0</v>
      </c>
      <c r="I11836" s="24">
        <v>31.0</v>
      </c>
      <c r="J11836" s="24">
        <v>0.0</v>
      </c>
      <c r="K11836" s="23" t="s">
        <v>34</v>
      </c>
      <c r="L11836" s="25">
        <v>41577.40332175926</v>
      </c>
      <c r="M11836" s="28"/>
      <c r="N11836" s="26" t="s">
        <v>24804</v>
      </c>
      <c r="O11836" s="22" t="str">
        <f>HYPERLINK("https://pbs.twimg.com/profile_images/908677299125485581/ixk4bMJC_normal.jpg","View")</f>
        <v>View</v>
      </c>
      <c r="P11836" s="27"/>
    </row>
    <row r="11837">
      <c r="A11837" s="14">
        <v>43032.882523148146</v>
      </c>
      <c r="B11837" s="20" t="str">
        <f>HYPERLINK("https://twitter.com/MrRafiqIslamRo5","@MrRafiqIslamRo5")</f>
        <v>@MrRafiqIslamRo5</v>
      </c>
      <c r="C11837" s="21" t="s">
        <v>23994</v>
      </c>
      <c r="D11837" s="21" t="s">
        <v>24805</v>
      </c>
      <c r="E11837" s="22" t="str">
        <f>HYPERLINK("https://twitter.com/MrRafiqIslamRo5/status/923039120405938181","923039120405938181")</f>
        <v>923039120405938181</v>
      </c>
      <c r="F11837" s="23" t="s">
        <v>33</v>
      </c>
      <c r="G11837" s="24">
        <v>594.0</v>
      </c>
      <c r="H11837" s="24">
        <v>4992.0</v>
      </c>
      <c r="I11837" s="24">
        <v>0.0</v>
      </c>
      <c r="J11837" s="24">
        <v>0.0</v>
      </c>
      <c r="K11837" s="23" t="s">
        <v>34</v>
      </c>
      <c r="L11837" s="25">
        <v>42848.1424074074</v>
      </c>
      <c r="M11837" s="26" t="s">
        <v>24745</v>
      </c>
      <c r="N11837" s="26" t="s">
        <v>24746</v>
      </c>
      <c r="O11837" s="22" t="str">
        <f>HYPERLINK("https://pbs.twimg.com/profile_images/860715593556570112/GRry-Mcg_normal.jpg","View")</f>
        <v>View</v>
      </c>
      <c r="P11837" s="27"/>
    </row>
    <row r="11838">
      <c r="A11838" s="14">
        <v>43032.88270833333</v>
      </c>
      <c r="B11838" s="20" t="str">
        <f>HYPERLINK("https://twitter.com/jonah_fotograf","@jonah_fotograf")</f>
        <v>@jonah_fotograf</v>
      </c>
      <c r="C11838" s="21" t="s">
        <v>24806</v>
      </c>
      <c r="D11838" s="21" t="s">
        <v>24807</v>
      </c>
      <c r="E11838" s="22" t="str">
        <f>HYPERLINK("https://twitter.com/jonah_fotograf/status/923039190266232832","923039190266232832")</f>
        <v>923039190266232832</v>
      </c>
      <c r="F11838" s="30" t="s">
        <v>411</v>
      </c>
      <c r="G11838" s="24">
        <v>2782.0</v>
      </c>
      <c r="H11838" s="24">
        <v>212.0</v>
      </c>
      <c r="I11838" s="24">
        <v>0.0</v>
      </c>
      <c r="J11838" s="24">
        <v>0.0</v>
      </c>
      <c r="K11838" s="23" t="s">
        <v>34</v>
      </c>
      <c r="L11838" s="25">
        <v>42767.59689814815</v>
      </c>
      <c r="M11838" s="26" t="s">
        <v>1024</v>
      </c>
      <c r="N11838" s="26" t="s">
        <v>24808</v>
      </c>
      <c r="O11838" s="22" t="str">
        <f>HYPERLINK("https://pbs.twimg.com/profile_images/826918697746980871/WgAsClE2_normal.jpg","View")</f>
        <v>View</v>
      </c>
      <c r="P11838" s="27"/>
    </row>
    <row r="11839">
      <c r="A11839" s="14">
        <v>43032.88271990741</v>
      </c>
      <c r="B11839" s="20" t="str">
        <f>HYPERLINK("https://twitter.com/Tzarfrank","@Tzarfrank")</f>
        <v>@Tzarfrank</v>
      </c>
      <c r="C11839" s="21" t="s">
        <v>24809</v>
      </c>
      <c r="D11839" s="21" t="s">
        <v>24810</v>
      </c>
      <c r="E11839" s="22" t="str">
        <f>HYPERLINK("https://twitter.com/Tzarfrank/status/923039192417943552","923039192417943552")</f>
        <v>923039192417943552</v>
      </c>
      <c r="F11839" s="30" t="s">
        <v>411</v>
      </c>
      <c r="G11839" s="24">
        <v>1019.0</v>
      </c>
      <c r="H11839" s="24">
        <v>1397.0</v>
      </c>
      <c r="I11839" s="24">
        <v>0.0</v>
      </c>
      <c r="J11839" s="24">
        <v>0.0</v>
      </c>
      <c r="K11839" s="23" t="s">
        <v>34</v>
      </c>
      <c r="L11839" s="25">
        <v>40281.036041666666</v>
      </c>
      <c r="M11839" s="26" t="s">
        <v>3331</v>
      </c>
      <c r="N11839" s="26" t="s">
        <v>24811</v>
      </c>
      <c r="O11839" s="22" t="str">
        <f>HYPERLINK("https://pbs.twimg.com/profile_images/485078493575671812/Gvmx3-1Z_normal.jpeg","View")</f>
        <v>View</v>
      </c>
      <c r="P11839" s="27"/>
    </row>
    <row r="11840">
      <c r="A11840" s="14">
        <v>43032.882939814815</v>
      </c>
      <c r="B11840" s="20" t="str">
        <f>HYPERLINK("https://twitter.com/Julia_Famularo","@Julia_Famularo")</f>
        <v>@Julia_Famularo</v>
      </c>
      <c r="C11840" s="21" t="s">
        <v>24812</v>
      </c>
      <c r="D11840" s="21" t="s">
        <v>24799</v>
      </c>
      <c r="E11840" s="22" t="str">
        <f>HYPERLINK("https://twitter.com/Julia_Famularo/status/923039273707741184","923039273707741184")</f>
        <v>923039273707741184</v>
      </c>
      <c r="F11840" s="23" t="s">
        <v>39</v>
      </c>
      <c r="G11840" s="24">
        <v>2359.0</v>
      </c>
      <c r="H11840" s="24">
        <v>1793.0</v>
      </c>
      <c r="I11840" s="24">
        <v>31.0</v>
      </c>
      <c r="J11840" s="24">
        <v>0.0</v>
      </c>
      <c r="K11840" s="23" t="s">
        <v>34</v>
      </c>
      <c r="L11840" s="25">
        <v>40008.520787037036</v>
      </c>
      <c r="M11840" s="28"/>
      <c r="N11840" s="26" t="s">
        <v>24813</v>
      </c>
      <c r="O11840" s="22" t="str">
        <f>HYPERLINK("https://pbs.twimg.com/profile_images/2108156475/image_normal.jpg","View")</f>
        <v>View</v>
      </c>
      <c r="P11840" s="27"/>
    </row>
    <row r="11841">
      <c r="A11841" s="14">
        <v>43032.8830787037</v>
      </c>
      <c r="B11841" s="20" t="str">
        <f>HYPERLINK("https://twitter.com/Sir__Chandan","@Sir__Chandan")</f>
        <v>@Sir__Chandan</v>
      </c>
      <c r="C11841" s="21" t="s">
        <v>24814</v>
      </c>
      <c r="D11841" s="21" t="s">
        <v>42</v>
      </c>
      <c r="E11841" s="22" t="str">
        <f>HYPERLINK("https://twitter.com/Sir__Chandan/status/923039321854058496","923039321854058496")</f>
        <v>923039321854058496</v>
      </c>
      <c r="F11841" s="23" t="s">
        <v>33</v>
      </c>
      <c r="G11841" s="24">
        <v>5648.0</v>
      </c>
      <c r="H11841" s="24">
        <v>773.0</v>
      </c>
      <c r="I11841" s="24">
        <v>8501.0</v>
      </c>
      <c r="J11841" s="24">
        <v>0.0</v>
      </c>
      <c r="K11841" s="23" t="s">
        <v>34</v>
      </c>
      <c r="L11841" s="25">
        <v>41635.87706018519</v>
      </c>
      <c r="M11841" s="26" t="s">
        <v>246</v>
      </c>
      <c r="N11841" s="26" t="s">
        <v>24815</v>
      </c>
      <c r="O11841" s="22" t="str">
        <f>HYPERLINK("https://pbs.twimg.com/profile_images/871997660965683200/2kD0wkSt_normal.jpg","View")</f>
        <v>View</v>
      </c>
      <c r="P11841" s="27"/>
    </row>
    <row r="11842">
      <c r="A11842" s="14">
        <v>43032.883125</v>
      </c>
      <c r="B11842" s="20" t="str">
        <f>HYPERLINK("https://twitter.com/sahilraina2010","@sahilraina2010")</f>
        <v>@sahilraina2010</v>
      </c>
      <c r="C11842" s="21" t="s">
        <v>24816</v>
      </c>
      <c r="D11842" s="21" t="s">
        <v>42</v>
      </c>
      <c r="E11842" s="22" t="str">
        <f>HYPERLINK("https://twitter.com/sahilraina2010/status/923039340997029888","923039340997029888")</f>
        <v>923039340997029888</v>
      </c>
      <c r="F11842" s="23" t="s">
        <v>33</v>
      </c>
      <c r="G11842" s="24">
        <v>9.0</v>
      </c>
      <c r="H11842" s="24">
        <v>10.0</v>
      </c>
      <c r="I11842" s="24">
        <v>8501.0</v>
      </c>
      <c r="J11842" s="24">
        <v>0.0</v>
      </c>
      <c r="K11842" s="23" t="s">
        <v>34</v>
      </c>
      <c r="L11842" s="25">
        <v>40387.02271990741</v>
      </c>
      <c r="M11842" s="26" t="s">
        <v>2161</v>
      </c>
      <c r="N11842" s="28"/>
      <c r="O11842" s="22" t="str">
        <f>HYPERLINK("https://abs.twimg.com/sticky/default_profile_images/default_profile_normal.png","View")</f>
        <v>View</v>
      </c>
      <c r="P11842" s="27"/>
    </row>
    <row r="11843">
      <c r="A11843" s="14">
        <v>43032.88327546296</v>
      </c>
      <c r="B11843" s="20" t="str">
        <f>HYPERLINK("https://twitter.com/reesean","@reesean")</f>
        <v>@reesean</v>
      </c>
      <c r="C11843" s="21" t="s">
        <v>24817</v>
      </c>
      <c r="D11843" s="21" t="s">
        <v>24799</v>
      </c>
      <c r="E11843" s="22" t="str">
        <f>HYPERLINK("https://twitter.com/reesean/status/923039394969391104","923039394969391104")</f>
        <v>923039394969391104</v>
      </c>
      <c r="F11843" s="23" t="s">
        <v>769</v>
      </c>
      <c r="G11843" s="24">
        <v>1117.0</v>
      </c>
      <c r="H11843" s="24">
        <v>3543.0</v>
      </c>
      <c r="I11843" s="24">
        <v>31.0</v>
      </c>
      <c r="J11843" s="24">
        <v>0.0</v>
      </c>
      <c r="K11843" s="23" t="s">
        <v>34</v>
      </c>
      <c r="L11843" s="25">
        <v>40128.325833333336</v>
      </c>
      <c r="M11843" s="35" t="s">
        <v>24818</v>
      </c>
      <c r="N11843" s="26" t="s">
        <v>24819</v>
      </c>
      <c r="O11843" s="22" t="str">
        <f>HYPERLINK("https://pbs.twimg.com/profile_images/3058505585/ca6813c358676d35cab444a75d5e0ff6_normal.png","View")</f>
        <v>View</v>
      </c>
      <c r="P11843" s="27"/>
    </row>
    <row r="11844">
      <c r="A11844" s="14">
        <v>43032.883356481485</v>
      </c>
      <c r="B11844" s="20" t="str">
        <f>HYPERLINK("https://twitter.com/golden_venture","@golden_venture")</f>
        <v>@golden_venture</v>
      </c>
      <c r="C11844" s="21" t="s">
        <v>24820</v>
      </c>
      <c r="D11844" s="21" t="s">
        <v>23958</v>
      </c>
      <c r="E11844" s="22" t="str">
        <f>HYPERLINK("https://twitter.com/golden_venture/status/923039422458630144","923039422458630144")</f>
        <v>923039422458630144</v>
      </c>
      <c r="F11844" s="23" t="s">
        <v>55</v>
      </c>
      <c r="G11844" s="24">
        <v>4203.0</v>
      </c>
      <c r="H11844" s="24">
        <v>4111.0</v>
      </c>
      <c r="I11844" s="24">
        <v>2.0</v>
      </c>
      <c r="J11844" s="24">
        <v>0.0</v>
      </c>
      <c r="K11844" s="23" t="s">
        <v>34</v>
      </c>
      <c r="L11844" s="25">
        <v>42776.497928240744</v>
      </c>
      <c r="M11844" s="26" t="s">
        <v>24821</v>
      </c>
      <c r="N11844" s="26" t="s">
        <v>24822</v>
      </c>
      <c r="O11844" s="22" t="str">
        <f>HYPERLINK("https://pbs.twimg.com/profile_images/830145801200365568/h0OyjVMv_normal.jpg","View")</f>
        <v>View</v>
      </c>
      <c r="P11844" s="27"/>
    </row>
    <row r="11845">
      <c r="A11845" s="14">
        <v>43032.883634259255</v>
      </c>
      <c r="B11845" s="20" t="str">
        <f>HYPERLINK("https://twitter.com/RamvilasKendre","@RamvilasKendre")</f>
        <v>@RamvilasKendre</v>
      </c>
      <c r="C11845" s="21" t="s">
        <v>24823</v>
      </c>
      <c r="D11845" s="21" t="s">
        <v>42</v>
      </c>
      <c r="E11845" s="22" t="str">
        <f>HYPERLINK("https://twitter.com/RamvilasKendre/status/923039524795682816","923039524795682816")</f>
        <v>923039524795682816</v>
      </c>
      <c r="F11845" s="23" t="s">
        <v>39</v>
      </c>
      <c r="G11845" s="24">
        <v>515.0</v>
      </c>
      <c r="H11845" s="24">
        <v>168.0</v>
      </c>
      <c r="I11845" s="24">
        <v>8501.0</v>
      </c>
      <c r="J11845" s="24">
        <v>0.0</v>
      </c>
      <c r="K11845" s="23" t="s">
        <v>34</v>
      </c>
      <c r="L11845" s="25">
        <v>40700.66490740741</v>
      </c>
      <c r="M11845" s="26" t="s">
        <v>24824</v>
      </c>
      <c r="N11845" s="26" t="s">
        <v>24825</v>
      </c>
      <c r="O11845" s="22" t="str">
        <f>HYPERLINK("https://pbs.twimg.com/profile_images/805531399470116873/Lrd62-ts_normal.jpg","View")</f>
        <v>View</v>
      </c>
      <c r="P11845" s="27"/>
    </row>
    <row r="11846">
      <c r="A11846" s="14">
        <v>43032.88407407407</v>
      </c>
      <c r="B11846" s="20" t="str">
        <f>HYPERLINK("https://twitter.com/VotarEsUnDeber","@VotarEsUnDeber")</f>
        <v>@VotarEsUnDeber</v>
      </c>
      <c r="C11846" s="21" t="s">
        <v>24826</v>
      </c>
      <c r="D11846" s="21" t="s">
        <v>24827</v>
      </c>
      <c r="E11846" s="22" t="str">
        <f>HYPERLINK("https://twitter.com/VotarEsUnDeber/status/923039683084419072","923039683084419072")</f>
        <v>923039683084419072</v>
      </c>
      <c r="F11846" s="23" t="s">
        <v>4619</v>
      </c>
      <c r="G11846" s="24">
        <v>390.0</v>
      </c>
      <c r="H11846" s="24">
        <v>708.0</v>
      </c>
      <c r="I11846" s="24">
        <v>0.0</v>
      </c>
      <c r="J11846" s="24">
        <v>0.0</v>
      </c>
      <c r="K11846" s="23" t="s">
        <v>34</v>
      </c>
      <c r="L11846" s="25">
        <v>41541.9787037037</v>
      </c>
      <c r="M11846" s="26" t="s">
        <v>1983</v>
      </c>
      <c r="N11846" s="26" t="s">
        <v>24828</v>
      </c>
      <c r="O11846" s="22" t="str">
        <f>HYPERLINK("https://pbs.twimg.com/profile_images/499209824748306432/iAeMat7D_normal.png","View")</f>
        <v>View</v>
      </c>
      <c r="P11846" s="27"/>
    </row>
    <row r="11847">
      <c r="A11847" s="14">
        <v>43032.88512731482</v>
      </c>
      <c r="B11847" s="20" t="str">
        <f>HYPERLINK("https://twitter.com/jini_etunub","@jini_etunub")</f>
        <v>@jini_etunub</v>
      </c>
      <c r="C11847" s="21" t="s">
        <v>24829</v>
      </c>
      <c r="D11847" s="21" t="s">
        <v>24007</v>
      </c>
      <c r="E11847" s="22" t="str">
        <f>HYPERLINK("https://twitter.com/jini_etunub/status/923040064183025664","923040064183025664")</f>
        <v>923040064183025664</v>
      </c>
      <c r="F11847" s="23" t="s">
        <v>33</v>
      </c>
      <c r="G11847" s="24">
        <v>1221.0</v>
      </c>
      <c r="H11847" s="24">
        <v>251.0</v>
      </c>
      <c r="I11847" s="24">
        <v>122.0</v>
      </c>
      <c r="J11847" s="24">
        <v>0.0</v>
      </c>
      <c r="K11847" s="23" t="s">
        <v>34</v>
      </c>
      <c r="L11847" s="25">
        <v>40736.76666666666</v>
      </c>
      <c r="M11847" s="28"/>
      <c r="N11847" s="26" t="s">
        <v>24830</v>
      </c>
      <c r="O11847" s="22" t="str">
        <f>HYPERLINK("https://pbs.twimg.com/profile_images/902261566766104576/48B3HJHA_normal.jpg","View")</f>
        <v>View</v>
      </c>
      <c r="P11847" s="27"/>
    </row>
    <row r="11848">
      <c r="A11848" s="14">
        <v>43032.885613425926</v>
      </c>
      <c r="B11848" s="20" t="str">
        <f>HYPERLINK("https://twitter.com/Jonathan_Webb_","@Jonathan_Webb_")</f>
        <v>@Jonathan_Webb_</v>
      </c>
      <c r="C11848" s="21" t="s">
        <v>20993</v>
      </c>
      <c r="D11848" s="21" t="s">
        <v>24831</v>
      </c>
      <c r="E11848" s="22" t="str">
        <f>HYPERLINK("https://twitter.com/Jonathan_Webb_/status/923040241392402432","923040241392402432")</f>
        <v>923040241392402432</v>
      </c>
      <c r="F11848" s="23" t="s">
        <v>39</v>
      </c>
      <c r="G11848" s="24">
        <v>180.0</v>
      </c>
      <c r="H11848" s="24">
        <v>218.0</v>
      </c>
      <c r="I11848" s="24">
        <v>1.0</v>
      </c>
      <c r="J11848" s="24">
        <v>0.0</v>
      </c>
      <c r="K11848" s="23" t="s">
        <v>34</v>
      </c>
      <c r="L11848" s="25">
        <v>40877.09050925926</v>
      </c>
      <c r="M11848" s="26" t="s">
        <v>3693</v>
      </c>
      <c r="N11848" s="26" t="s">
        <v>20994</v>
      </c>
      <c r="O11848" s="22" t="str">
        <f>HYPERLINK("https://pbs.twimg.com/profile_images/870146259390091264/wiiTXhmC_normal.jpg","View")</f>
        <v>View</v>
      </c>
      <c r="P11848" s="27"/>
    </row>
    <row r="11849">
      <c r="A11849" s="14">
        <v>43032.885613425926</v>
      </c>
      <c r="B11849" s="20" t="str">
        <f>HYPERLINK("https://twitter.com/Quixote_rosinan","@Quixote_rosinan")</f>
        <v>@Quixote_rosinan</v>
      </c>
      <c r="C11849" s="21" t="s">
        <v>24832</v>
      </c>
      <c r="D11849" s="21" t="s">
        <v>17703</v>
      </c>
      <c r="E11849" s="22" t="str">
        <f>HYPERLINK("https://twitter.com/Quixote_rosinan/status/923040242193633285","923040242193633285")</f>
        <v>923040242193633285</v>
      </c>
      <c r="F11849" s="23" t="s">
        <v>33</v>
      </c>
      <c r="G11849" s="24">
        <v>367.0</v>
      </c>
      <c r="H11849" s="24">
        <v>381.0</v>
      </c>
      <c r="I11849" s="24">
        <v>23.0</v>
      </c>
      <c r="J11849" s="24">
        <v>0.0</v>
      </c>
      <c r="K11849" s="23" t="s">
        <v>34</v>
      </c>
      <c r="L11849" s="25">
        <v>42952.205312499995</v>
      </c>
      <c r="M11849" s="28"/>
      <c r="N11849" s="28"/>
      <c r="O11849" s="22" t="str">
        <f>HYPERLINK("https://pbs.twimg.com/profile_images/893804359661780992/Is08nutJ_normal.jpg","View")</f>
        <v>View</v>
      </c>
      <c r="P11849" s="27"/>
    </row>
    <row r="11850">
      <c r="A11850" s="14">
        <v>43032.88578703704</v>
      </c>
      <c r="B11850" s="20" t="str">
        <f>HYPERLINK("https://twitter.com/MalcolmNance","@MalcolmNance")</f>
        <v>@MalcolmNance</v>
      </c>
      <c r="C11850" s="21" t="s">
        <v>24833</v>
      </c>
      <c r="D11850" s="21" t="s">
        <v>24799</v>
      </c>
      <c r="E11850" s="22" t="str">
        <f>HYPERLINK("https://twitter.com/MalcolmNance/status/923040306303401984","923040306303401984")</f>
        <v>923040306303401984</v>
      </c>
      <c r="F11850" s="23" t="s">
        <v>39</v>
      </c>
      <c r="G11850" s="24">
        <v>283865.0</v>
      </c>
      <c r="H11850" s="24">
        <v>1369.0</v>
      </c>
      <c r="I11850" s="24">
        <v>31.0</v>
      </c>
      <c r="J11850" s="24">
        <v>0.0</v>
      </c>
      <c r="K11850" s="23" t="s">
        <v>34</v>
      </c>
      <c r="L11850" s="25">
        <v>41807.548414351855</v>
      </c>
      <c r="M11850" s="28"/>
      <c r="N11850" s="26" t="s">
        <v>24834</v>
      </c>
      <c r="O11850" s="22" t="str">
        <f>HYPERLINK("https://pbs.twimg.com/profile_images/911769060341424129/_sW0y7Fb_normal.jpg","View")</f>
        <v>View</v>
      </c>
      <c r="P11850" s="27"/>
    </row>
    <row r="11851">
      <c r="A11851" s="14">
        <v>43032.885972222226</v>
      </c>
      <c r="B11851" s="20" t="str">
        <f>HYPERLINK("https://twitter.com/PublicSituation","@PublicSituation")</f>
        <v>@PublicSituation</v>
      </c>
      <c r="C11851" s="21" t="s">
        <v>12284</v>
      </c>
      <c r="D11851" s="21" t="s">
        <v>24799</v>
      </c>
      <c r="E11851" s="22" t="str">
        <f>HYPERLINK("https://twitter.com/PublicSituation/status/923040370782625792","923040370782625792")</f>
        <v>923040370782625792</v>
      </c>
      <c r="F11851" s="23" t="s">
        <v>12285</v>
      </c>
      <c r="G11851" s="24">
        <v>3421.0</v>
      </c>
      <c r="H11851" s="24">
        <v>3219.0</v>
      </c>
      <c r="I11851" s="24">
        <v>31.0</v>
      </c>
      <c r="J11851" s="24">
        <v>0.0</v>
      </c>
      <c r="K11851" s="23" t="s">
        <v>34</v>
      </c>
      <c r="L11851" s="25">
        <v>42488.26296296297</v>
      </c>
      <c r="M11851" s="26" t="s">
        <v>12286</v>
      </c>
      <c r="N11851" s="26" t="s">
        <v>12287</v>
      </c>
      <c r="O11851" s="22" t="str">
        <f>HYPERLINK("https://pbs.twimg.com/profile_images/859458512698650625/sRsalqLV_normal.jpg","View")</f>
        <v>View</v>
      </c>
      <c r="P11851" s="27"/>
    </row>
    <row r="11852">
      <c r="A11852" s="14">
        <v>43032.885983796295</v>
      </c>
      <c r="B11852" s="20" t="str">
        <f>HYPERLINK("https://twitter.com/DiChristine","@DiChristine")</f>
        <v>@DiChristine</v>
      </c>
      <c r="C11852" s="21" t="s">
        <v>14639</v>
      </c>
      <c r="D11852" s="21" t="s">
        <v>24799</v>
      </c>
      <c r="E11852" s="22" t="str">
        <f>HYPERLINK("https://twitter.com/DiChristine/status/923040374393917441","923040374393917441")</f>
        <v>923040374393917441</v>
      </c>
      <c r="F11852" s="23" t="s">
        <v>33</v>
      </c>
      <c r="G11852" s="24">
        <v>2754.0</v>
      </c>
      <c r="H11852" s="24">
        <v>559.0</v>
      </c>
      <c r="I11852" s="24">
        <v>31.0</v>
      </c>
      <c r="J11852" s="24">
        <v>0.0</v>
      </c>
      <c r="K11852" s="23" t="s">
        <v>34</v>
      </c>
      <c r="L11852" s="25">
        <v>39864.77875</v>
      </c>
      <c r="M11852" s="28"/>
      <c r="N11852" s="28"/>
      <c r="O11852" s="22" t="str">
        <f>HYPERLINK("https://pbs.twimg.com/profile_images/822281973087539205/0tAzeiYe_normal.jpg","View")</f>
        <v>View</v>
      </c>
      <c r="P11852" s="27"/>
    </row>
    <row r="11853">
      <c r="A11853" s="14">
        <v>43032.885995370365</v>
      </c>
      <c r="B11853" s="20" t="str">
        <f>HYPERLINK("https://twitter.com/ThanhWatson2","@ThanhWatson2")</f>
        <v>@ThanhWatson2</v>
      </c>
      <c r="C11853" s="21" t="s">
        <v>24835</v>
      </c>
      <c r="D11853" s="21" t="s">
        <v>24799</v>
      </c>
      <c r="E11853" s="22" t="str">
        <f>HYPERLINK("https://twitter.com/ThanhWatson2/status/923040380773457920","923040380773457920")</f>
        <v>923040380773457920</v>
      </c>
      <c r="F11853" s="23" t="s">
        <v>55</v>
      </c>
      <c r="G11853" s="24">
        <v>79.0</v>
      </c>
      <c r="H11853" s="24">
        <v>113.0</v>
      </c>
      <c r="I11853" s="24">
        <v>31.0</v>
      </c>
      <c r="J11853" s="24">
        <v>0.0</v>
      </c>
      <c r="K11853" s="23" t="s">
        <v>34</v>
      </c>
      <c r="L11853" s="25">
        <v>42852.86508101852</v>
      </c>
      <c r="M11853" s="26" t="s">
        <v>24836</v>
      </c>
      <c r="N11853" s="26" t="s">
        <v>24837</v>
      </c>
      <c r="O11853" s="22" t="str">
        <f>HYPERLINK("https://pbs.twimg.com/profile_images/921224932188594176/tKA3bJXu_normal.jpg","View")</f>
        <v>View</v>
      </c>
      <c r="P11853" s="27"/>
    </row>
    <row r="11854">
      <c r="A11854" s="14">
        <v>43032.88601851852</v>
      </c>
      <c r="B11854" s="20" t="str">
        <f>HYPERLINK("https://twitter.com/krunox123","@krunox123")</f>
        <v>@krunox123</v>
      </c>
      <c r="C11854" s="21" t="s">
        <v>1750</v>
      </c>
      <c r="D11854" s="21" t="s">
        <v>24838</v>
      </c>
      <c r="E11854" s="22" t="str">
        <f>HYPERLINK("https://twitter.com/krunox123/status/923040387874385920","923040387874385920")</f>
        <v>923040387874385920</v>
      </c>
      <c r="F11854" s="23" t="s">
        <v>187</v>
      </c>
      <c r="G11854" s="24">
        <v>10220.0</v>
      </c>
      <c r="H11854" s="24">
        <v>2.0</v>
      </c>
      <c r="I11854" s="24">
        <v>0.0</v>
      </c>
      <c r="J11854" s="24">
        <v>0.0</v>
      </c>
      <c r="K11854" s="23" t="s">
        <v>34</v>
      </c>
      <c r="L11854" s="25">
        <v>40938.22789351852</v>
      </c>
      <c r="M11854" s="26" t="s">
        <v>1752</v>
      </c>
      <c r="N11854" s="26" t="s">
        <v>1753</v>
      </c>
      <c r="O11854" s="22" t="str">
        <f>HYPERLINK("https://pbs.twimg.com/profile_images/824952382618349568/2SFIkM2x_normal.jpg","View")</f>
        <v>View</v>
      </c>
      <c r="P11854" s="27"/>
    </row>
    <row r="11855">
      <c r="A11855" s="14">
        <v>43032.88623842593</v>
      </c>
      <c r="B11855" s="20" t="str">
        <f>HYPERLINK("https://twitter.com/bay_san","@bay_san")</f>
        <v>@bay_san</v>
      </c>
      <c r="C11855" s="21" t="s">
        <v>24839</v>
      </c>
      <c r="D11855" s="21" t="s">
        <v>24007</v>
      </c>
      <c r="E11855" s="22" t="str">
        <f>HYPERLINK("https://twitter.com/bay_san/status/923040470019727360","923040470019727360")</f>
        <v>923040470019727360</v>
      </c>
      <c r="F11855" s="23" t="s">
        <v>39</v>
      </c>
      <c r="G11855" s="24">
        <v>214.0</v>
      </c>
      <c r="H11855" s="24">
        <v>253.0</v>
      </c>
      <c r="I11855" s="24">
        <v>122.0</v>
      </c>
      <c r="J11855" s="24">
        <v>0.0</v>
      </c>
      <c r="K11855" s="23" t="s">
        <v>34</v>
      </c>
      <c r="L11855" s="25">
        <v>39955.72361111111</v>
      </c>
      <c r="M11855" s="26" t="s">
        <v>24840</v>
      </c>
      <c r="N11855" s="26" t="s">
        <v>24841</v>
      </c>
      <c r="O11855" s="22" t="str">
        <f>HYPERLINK("https://pbs.twimg.com/profile_images/226284502/twitter_normal.jpg","View")</f>
        <v>View</v>
      </c>
      <c r="P11855" s="27"/>
    </row>
    <row r="11856">
      <c r="A11856" s="14">
        <v>43032.88640046296</v>
      </c>
      <c r="B11856" s="20" t="str">
        <f>HYPERLINK("https://twitter.com/kappamantojo","@kappamantojo")</f>
        <v>@kappamantojo</v>
      </c>
      <c r="C11856" s="21" t="s">
        <v>7167</v>
      </c>
      <c r="D11856" s="21" t="s">
        <v>24842</v>
      </c>
      <c r="E11856" s="22" t="str">
        <f>HYPERLINK("https://twitter.com/kappamantojo/status/923040527297032192","923040527297032192")</f>
        <v>923040527297032192</v>
      </c>
      <c r="F11856" s="23" t="s">
        <v>55</v>
      </c>
      <c r="G11856" s="24">
        <v>1195.0</v>
      </c>
      <c r="H11856" s="24">
        <v>1279.0</v>
      </c>
      <c r="I11856" s="24">
        <v>1.0</v>
      </c>
      <c r="J11856" s="24">
        <v>0.0</v>
      </c>
      <c r="K11856" s="23" t="s">
        <v>34</v>
      </c>
      <c r="L11856" s="25">
        <v>41360.86277777778</v>
      </c>
      <c r="M11856" s="28"/>
      <c r="N11856" s="26" t="s">
        <v>7168</v>
      </c>
      <c r="O11856" s="22" t="str">
        <f>HYPERLINK("https://pbs.twimg.com/profile_images/3711190165/aa4d013e52960351c92654f034736beb_normal.png","View")</f>
        <v>View</v>
      </c>
      <c r="P11856" s="27"/>
    </row>
    <row r="11857">
      <c r="A11857" s="14">
        <v>43032.88670138889</v>
      </c>
      <c r="B11857" s="20" t="str">
        <f>HYPERLINK("https://twitter.com/thepokerbob","@thepokerbob")</f>
        <v>@thepokerbob</v>
      </c>
      <c r="C11857" s="21" t="s">
        <v>24843</v>
      </c>
      <c r="D11857" s="21" t="s">
        <v>24844</v>
      </c>
      <c r="E11857" s="22" t="str">
        <f>HYPERLINK("https://twitter.com/thepokerbob/status/923040634826645504","923040634826645504")</f>
        <v>923040634826645504</v>
      </c>
      <c r="F11857" s="23" t="s">
        <v>187</v>
      </c>
      <c r="G11857" s="24">
        <v>409.0</v>
      </c>
      <c r="H11857" s="24">
        <v>200.0</v>
      </c>
      <c r="I11857" s="24">
        <v>0.0</v>
      </c>
      <c r="J11857" s="24">
        <v>0.0</v>
      </c>
      <c r="K11857" s="23" t="s">
        <v>34</v>
      </c>
      <c r="L11857" s="25">
        <v>40366.758055555554</v>
      </c>
      <c r="M11857" s="26" t="s">
        <v>24845</v>
      </c>
      <c r="N11857" s="26" t="s">
        <v>24846</v>
      </c>
      <c r="O11857" s="22" t="str">
        <f>HYPERLINK("https://pbs.twimg.com/profile_images/581755510719848448/zBLUrW3T_normal.jpg","View")</f>
        <v>View</v>
      </c>
      <c r="P11857" s="27"/>
    </row>
    <row r="11858">
      <c r="A11858" s="14">
        <v>43032.88741898148</v>
      </c>
      <c r="B11858" s="20" t="str">
        <f>HYPERLINK("https://twitter.com/sabahmajujaya","@sabahmajujaya")</f>
        <v>@sabahmajujaya</v>
      </c>
      <c r="C11858" s="21" t="s">
        <v>484</v>
      </c>
      <c r="D11858" s="21" t="s">
        <v>24847</v>
      </c>
      <c r="E11858" s="22" t="str">
        <f>HYPERLINK("https://twitter.com/sabahmajujaya/status/923040897322901505","923040897322901505")</f>
        <v>923040897322901505</v>
      </c>
      <c r="F11858" s="23" t="s">
        <v>91</v>
      </c>
      <c r="G11858" s="24">
        <v>5950.0</v>
      </c>
      <c r="H11858" s="24">
        <v>135.0</v>
      </c>
      <c r="I11858" s="24">
        <v>0.0</v>
      </c>
      <c r="J11858" s="24">
        <v>0.0</v>
      </c>
      <c r="K11858" s="23" t="s">
        <v>34</v>
      </c>
      <c r="L11858" s="25">
        <v>40369.92123842593</v>
      </c>
      <c r="M11858" s="28"/>
      <c r="N11858" s="26" t="s">
        <v>486</v>
      </c>
      <c r="O11858" s="22" t="str">
        <f>HYPERLINK("https://pbs.twimg.com/profile_images/533847763088187392/_f6Pcsy-_normal.jpeg","View")</f>
        <v>View</v>
      </c>
      <c r="P11858" s="27"/>
    </row>
    <row r="11859">
      <c r="A11859" s="14">
        <v>43032.888125</v>
      </c>
      <c r="B11859" s="20" t="str">
        <f>HYPERLINK("https://twitter.com/kat223","@kat223")</f>
        <v>@kat223</v>
      </c>
      <c r="C11859" s="21" t="s">
        <v>24848</v>
      </c>
      <c r="D11859" s="21" t="s">
        <v>24799</v>
      </c>
      <c r="E11859" s="22" t="str">
        <f>HYPERLINK("https://twitter.com/kat223/status/923041151778684928","923041151778684928")</f>
        <v>923041151778684928</v>
      </c>
      <c r="F11859" s="23" t="s">
        <v>33</v>
      </c>
      <c r="G11859" s="24">
        <v>961.0</v>
      </c>
      <c r="H11859" s="24">
        <v>663.0</v>
      </c>
      <c r="I11859" s="24">
        <v>31.0</v>
      </c>
      <c r="J11859" s="24">
        <v>0.0</v>
      </c>
      <c r="K11859" s="23" t="s">
        <v>34</v>
      </c>
      <c r="L11859" s="25">
        <v>39925.30762731482</v>
      </c>
      <c r="M11859" s="28"/>
      <c r="N11859" s="28"/>
      <c r="O11859" s="22" t="str">
        <f>HYPERLINK("https://pbs.twimg.com/profile_images/837015192567427073/cEnfBsQa_normal.jpg","View")</f>
        <v>View</v>
      </c>
      <c r="P11859" s="27"/>
    </row>
    <row r="11860">
      <c r="A11860" s="14">
        <v>43032.888194444444</v>
      </c>
      <c r="B11860" s="20" t="str">
        <f>HYPERLINK("https://twitter.com/gekikarabonjin","@gekikarabonjin")</f>
        <v>@gekikarabonjin</v>
      </c>
      <c r="C11860" s="21" t="s">
        <v>24849</v>
      </c>
      <c r="D11860" s="21" t="s">
        <v>24007</v>
      </c>
      <c r="E11860" s="22" t="str">
        <f>HYPERLINK("https://twitter.com/gekikarabonjin/status/923041178185973765","923041178185973765")</f>
        <v>923041178185973765</v>
      </c>
      <c r="F11860" s="23" t="s">
        <v>55</v>
      </c>
      <c r="G11860" s="24">
        <v>24.0</v>
      </c>
      <c r="H11860" s="24">
        <v>91.0</v>
      </c>
      <c r="I11860" s="24">
        <v>122.0</v>
      </c>
      <c r="J11860" s="24">
        <v>0.0</v>
      </c>
      <c r="K11860" s="23" t="s">
        <v>34</v>
      </c>
      <c r="L11860" s="25">
        <v>40334.29586805555</v>
      </c>
      <c r="M11860" s="28"/>
      <c r="N11860" s="28"/>
      <c r="O11860" s="22" t="str">
        <f>HYPERLINK("https://pbs.twimg.com/profile_images/964897855/__normal.JPG","View")</f>
        <v>View</v>
      </c>
      <c r="P11860" s="27"/>
    </row>
    <row r="11861">
      <c r="A11861" s="14">
        <v>43032.88859953704</v>
      </c>
      <c r="B11861" s="20" t="str">
        <f>HYPERLINK("https://twitter.com/MasakoHongKong","@MasakoHongKong")</f>
        <v>@MasakoHongKong</v>
      </c>
      <c r="C11861" s="21" t="s">
        <v>24850</v>
      </c>
      <c r="D11861" s="21" t="s">
        <v>24007</v>
      </c>
      <c r="E11861" s="22" t="str">
        <f>HYPERLINK("https://twitter.com/MasakoHongKong/status/923041321639493632","923041321639493632")</f>
        <v>923041321639493632</v>
      </c>
      <c r="F11861" s="23" t="s">
        <v>43</v>
      </c>
      <c r="G11861" s="24">
        <v>147.0</v>
      </c>
      <c r="H11861" s="24">
        <v>423.0</v>
      </c>
      <c r="I11861" s="24">
        <v>122.0</v>
      </c>
      <c r="J11861" s="24">
        <v>0.0</v>
      </c>
      <c r="K11861" s="23" t="s">
        <v>34</v>
      </c>
      <c r="L11861" s="25">
        <v>42235.28743055556</v>
      </c>
      <c r="M11861" s="26" t="s">
        <v>24851</v>
      </c>
      <c r="N11861" s="28"/>
      <c r="O11861" s="22" t="str">
        <f>HYPERLINK("https://abs.twimg.com/sticky/default_profile_images/default_profile_normal.png","View")</f>
        <v>View</v>
      </c>
      <c r="P11861" s="27"/>
    </row>
    <row r="11862">
      <c r="A11862" s="14">
        <v>43032.888715277775</v>
      </c>
      <c r="B11862" s="20" t="str">
        <f>HYPERLINK("https://twitter.com/psk337","@psk337")</f>
        <v>@psk337</v>
      </c>
      <c r="C11862" s="21" t="s">
        <v>24852</v>
      </c>
      <c r="D11862" s="21" t="s">
        <v>24853</v>
      </c>
      <c r="E11862" s="22" t="str">
        <f>HYPERLINK("https://twitter.com/psk337/status/923041367168651267","923041367168651267")</f>
        <v>923041367168651267</v>
      </c>
      <c r="F11862" s="23" t="s">
        <v>55</v>
      </c>
      <c r="G11862" s="24">
        <v>1028.0</v>
      </c>
      <c r="H11862" s="24">
        <v>10.0</v>
      </c>
      <c r="I11862" s="24">
        <v>3.0</v>
      </c>
      <c r="J11862" s="24">
        <v>0.0</v>
      </c>
      <c r="K11862" s="23" t="s">
        <v>34</v>
      </c>
      <c r="L11862" s="25">
        <v>40301.735034722224</v>
      </c>
      <c r="M11862" s="28"/>
      <c r="N11862" s="28"/>
      <c r="O11862" s="22" t="str">
        <f>HYPERLINK("https://pbs.twimg.com/profile_images/623317073679126528/Jog9jTYQ_normal.jpg","View")</f>
        <v>View</v>
      </c>
      <c r="P11862" s="27"/>
    </row>
    <row r="11863">
      <c r="A11863" s="14">
        <v>43032.8888425926</v>
      </c>
      <c r="B11863" s="20" t="str">
        <f>HYPERLINK("https://twitter.com/poshlondongirl","@poshlondongirl")</f>
        <v>@poshlondongirl</v>
      </c>
      <c r="C11863" s="21" t="s">
        <v>24854</v>
      </c>
      <c r="D11863" s="21" t="s">
        <v>24855</v>
      </c>
      <c r="E11863" s="22" t="str">
        <f>HYPERLINK("https://twitter.com/poshlondongirl/status/923041410642669570","923041410642669570")</f>
        <v>923041410642669570</v>
      </c>
      <c r="F11863" s="23" t="s">
        <v>55</v>
      </c>
      <c r="G11863" s="24">
        <v>247.0</v>
      </c>
      <c r="H11863" s="24">
        <v>444.0</v>
      </c>
      <c r="I11863" s="24">
        <v>0.0</v>
      </c>
      <c r="J11863" s="24">
        <v>0.0</v>
      </c>
      <c r="K11863" s="23" t="s">
        <v>34</v>
      </c>
      <c r="L11863" s="25">
        <v>41152.31847222222</v>
      </c>
      <c r="M11863" s="26" t="s">
        <v>3693</v>
      </c>
      <c r="N11863" s="26" t="s">
        <v>24856</v>
      </c>
      <c r="O11863" s="22" t="str">
        <f>HYPERLINK("https://pbs.twimg.com/profile_images/826683963137683456/NtUTMAIs_normal.jpg","View")</f>
        <v>View</v>
      </c>
      <c r="P11863" s="27"/>
    </row>
    <row r="11864">
      <c r="A11864" s="14">
        <v>43032.8891087963</v>
      </c>
      <c r="B11864" s="20" t="str">
        <f>HYPERLINK("https://twitter.com/JamieMcCall","@JamieMcCall")</f>
        <v>@JamieMcCall</v>
      </c>
      <c r="C11864" s="21" t="s">
        <v>24857</v>
      </c>
      <c r="D11864" s="21" t="s">
        <v>24799</v>
      </c>
      <c r="E11864" s="22" t="str">
        <f>HYPERLINK("https://twitter.com/JamieMcCall/status/923041509213069312","923041509213069312")</f>
        <v>923041509213069312</v>
      </c>
      <c r="F11864" s="23" t="s">
        <v>39</v>
      </c>
      <c r="G11864" s="24">
        <v>2568.0</v>
      </c>
      <c r="H11864" s="24">
        <v>1232.0</v>
      </c>
      <c r="I11864" s="24">
        <v>31.0</v>
      </c>
      <c r="J11864" s="24">
        <v>0.0</v>
      </c>
      <c r="K11864" s="23" t="s">
        <v>34</v>
      </c>
      <c r="L11864" s="25">
        <v>39761.10121527778</v>
      </c>
      <c r="M11864" s="26" t="s">
        <v>24858</v>
      </c>
      <c r="N11864" s="26" t="s">
        <v>24859</v>
      </c>
      <c r="O11864" s="22" t="str">
        <f>HYPERLINK("https://pbs.twimg.com/profile_images/921917702414970880/1OCaQTfZ_normal.jpg","View")</f>
        <v>View</v>
      </c>
      <c r="P11864" s="27"/>
    </row>
    <row r="11865">
      <c r="A11865" s="14">
        <v>43032.88952546296</v>
      </c>
      <c r="B11865" s="20" t="str">
        <f>HYPERLINK("https://twitter.com/ukbizz","@ukbizz")</f>
        <v>@ukbizz</v>
      </c>
      <c r="C11865" s="21" t="s">
        <v>24860</v>
      </c>
      <c r="D11865" s="21" t="s">
        <v>24861</v>
      </c>
      <c r="E11865" s="22" t="str">
        <f>HYPERLINK("https://twitter.com/ukbizz/status/923041659151056896","923041659151056896")</f>
        <v>923041659151056896</v>
      </c>
      <c r="F11865" s="23" t="s">
        <v>24862</v>
      </c>
      <c r="G11865" s="24">
        <v>18716.0</v>
      </c>
      <c r="H11865" s="24">
        <v>17995.0</v>
      </c>
      <c r="I11865" s="24">
        <v>0.0</v>
      </c>
      <c r="J11865" s="24">
        <v>0.0</v>
      </c>
      <c r="K11865" s="23" t="s">
        <v>34</v>
      </c>
      <c r="L11865" s="25">
        <v>41176.39265046296</v>
      </c>
      <c r="M11865" s="26" t="s">
        <v>1246</v>
      </c>
      <c r="N11865" s="26" t="s">
        <v>24863</v>
      </c>
      <c r="O11865" s="22" t="str">
        <f>HYPERLINK("https://pbs.twimg.com/profile_images/889499523541762049/GpJjrAbK_normal.jpg","View")</f>
        <v>View</v>
      </c>
      <c r="P11865" s="27"/>
    </row>
    <row r="11866">
      <c r="A11866" s="14">
        <v>43032.889560185184</v>
      </c>
      <c r="B11866" s="20" t="str">
        <f>HYPERLINK("https://twitter.com/june_fours","@june_fours")</f>
        <v>@june_fours</v>
      </c>
      <c r="C11866" s="21" t="s">
        <v>15150</v>
      </c>
      <c r="D11866" s="21" t="s">
        <v>24799</v>
      </c>
      <c r="E11866" s="22" t="str">
        <f>HYPERLINK("https://twitter.com/june_fours/status/923041673122340864","923041673122340864")</f>
        <v>923041673122340864</v>
      </c>
      <c r="F11866" s="23" t="s">
        <v>39</v>
      </c>
      <c r="G11866" s="24">
        <v>986.0</v>
      </c>
      <c r="H11866" s="24">
        <v>1771.0</v>
      </c>
      <c r="I11866" s="24">
        <v>31.0</v>
      </c>
      <c r="J11866" s="24">
        <v>0.0</v>
      </c>
      <c r="K11866" s="23" t="s">
        <v>34</v>
      </c>
      <c r="L11866" s="25">
        <v>41623.0559375</v>
      </c>
      <c r="M11866" s="28"/>
      <c r="N11866" s="28"/>
      <c r="O11866" s="22" t="str">
        <f>HYPERLINK("https://pbs.twimg.com/profile_images/771152546916433921/vOPXg8Nz_normal.jpg","View")</f>
        <v>View</v>
      </c>
      <c r="P11866" s="27"/>
    </row>
    <row r="11867">
      <c r="A11867" s="14">
        <v>43032.88979166667</v>
      </c>
      <c r="B11867" s="20" t="str">
        <f>HYPERLINK("https://twitter.com/shankargallery","@shankargallery")</f>
        <v>@shankargallery</v>
      </c>
      <c r="C11867" s="21" t="s">
        <v>24864</v>
      </c>
      <c r="D11867" s="21" t="s">
        <v>24799</v>
      </c>
      <c r="E11867" s="22" t="str">
        <f>HYPERLINK("https://twitter.com/shankargallery/status/923041757671047168","923041757671047168")</f>
        <v>923041757671047168</v>
      </c>
      <c r="F11867" s="23" t="s">
        <v>55</v>
      </c>
      <c r="G11867" s="24">
        <v>8562.0</v>
      </c>
      <c r="H11867" s="24">
        <v>8161.0</v>
      </c>
      <c r="I11867" s="24">
        <v>31.0</v>
      </c>
      <c r="J11867" s="24">
        <v>0.0</v>
      </c>
      <c r="K11867" s="23" t="s">
        <v>34</v>
      </c>
      <c r="L11867" s="25">
        <v>39213.517592592594</v>
      </c>
      <c r="M11867" s="26" t="s">
        <v>24865</v>
      </c>
      <c r="N11867" s="35" t="s">
        <v>24866</v>
      </c>
      <c r="O11867" s="22" t="str">
        <f>HYPERLINK("https://pbs.twimg.com/profile_images/476104395847790592/nQaMS96N_normal.jpeg","View")</f>
        <v>View</v>
      </c>
      <c r="P11867" s="27"/>
    </row>
    <row r="11868">
      <c r="A11868" s="14">
        <v>43032.89025462963</v>
      </c>
      <c r="B11868" s="20" t="str">
        <f>HYPERLINK("https://twitter.com/Batman710","@Batman710")</f>
        <v>@Batman710</v>
      </c>
      <c r="C11868" s="21" t="s">
        <v>24867</v>
      </c>
      <c r="D11868" s="21" t="s">
        <v>24007</v>
      </c>
      <c r="E11868" s="22" t="str">
        <f>HYPERLINK("https://twitter.com/Batman710/status/923041922406600704","923041922406600704")</f>
        <v>923041922406600704</v>
      </c>
      <c r="F11868" s="23" t="s">
        <v>230</v>
      </c>
      <c r="G11868" s="24">
        <v>679.0</v>
      </c>
      <c r="H11868" s="24">
        <v>766.0</v>
      </c>
      <c r="I11868" s="24">
        <v>122.0</v>
      </c>
      <c r="J11868" s="24">
        <v>0.0</v>
      </c>
      <c r="K11868" s="23" t="s">
        <v>34</v>
      </c>
      <c r="L11868" s="25">
        <v>40794.00208333333</v>
      </c>
      <c r="M11868" s="28"/>
      <c r="N11868" s="26" t="s">
        <v>24868</v>
      </c>
      <c r="O11868" s="22" t="str">
        <f>HYPERLINK("https://pbs.twimg.com/profile_images/568670621211836416/yWu19xIU_normal.jpeg","View")</f>
        <v>View</v>
      </c>
      <c r="P11868" s="27"/>
    </row>
    <row r="11869">
      <c r="A11869" s="14">
        <v>43032.89208333333</v>
      </c>
      <c r="B11869" s="20" t="str">
        <f>HYPERLINK("https://twitter.com/LvrFox","@LvrFox")</f>
        <v>@LvrFox</v>
      </c>
      <c r="C11869" s="21" t="s">
        <v>11909</v>
      </c>
      <c r="D11869" s="21" t="s">
        <v>24869</v>
      </c>
      <c r="E11869" s="22" t="str">
        <f>HYPERLINK("https://twitter.com/LvrFox/status/923042585894993920","923042585894993920")</f>
        <v>923042585894993920</v>
      </c>
      <c r="F11869" s="23" t="s">
        <v>55</v>
      </c>
      <c r="G11869" s="24">
        <v>590.0</v>
      </c>
      <c r="H11869" s="24">
        <v>1381.0</v>
      </c>
      <c r="I11869" s="24">
        <v>3.0</v>
      </c>
      <c r="J11869" s="24">
        <v>0.0</v>
      </c>
      <c r="K11869" s="23" t="s">
        <v>34</v>
      </c>
      <c r="L11869" s="25">
        <v>42639.55452546296</v>
      </c>
      <c r="M11869" s="26" t="s">
        <v>11911</v>
      </c>
      <c r="N11869" s="26" t="s">
        <v>11912</v>
      </c>
      <c r="O11869" s="22" t="str">
        <f>HYPERLINK("https://pbs.twimg.com/profile_images/843416641622884352/dhXOAcVP_normal.jpg","View")</f>
        <v>View</v>
      </c>
      <c r="P11869" s="27"/>
    </row>
    <row r="11870">
      <c r="A11870" s="14">
        <v>43032.89212962963</v>
      </c>
      <c r="B11870" s="20" t="str">
        <f>HYPERLINK("https://twitter.com/Abhishe00683845","@Abhishe00683845")</f>
        <v>@Abhishe00683845</v>
      </c>
      <c r="C11870" s="21" t="s">
        <v>6507</v>
      </c>
      <c r="D11870" s="21" t="s">
        <v>42</v>
      </c>
      <c r="E11870" s="22" t="str">
        <f>HYPERLINK("https://twitter.com/Abhishe00683845/status/923042602768846848","923042602768846848")</f>
        <v>923042602768846848</v>
      </c>
      <c r="F11870" s="23" t="s">
        <v>33</v>
      </c>
      <c r="G11870" s="24">
        <v>23.0</v>
      </c>
      <c r="H11870" s="24">
        <v>117.0</v>
      </c>
      <c r="I11870" s="24">
        <v>8501.0</v>
      </c>
      <c r="J11870" s="24">
        <v>0.0</v>
      </c>
      <c r="K11870" s="23" t="s">
        <v>34</v>
      </c>
      <c r="L11870" s="25">
        <v>42593.84489583333</v>
      </c>
      <c r="M11870" s="26" t="s">
        <v>2020</v>
      </c>
      <c r="N11870" s="26" t="s">
        <v>24870</v>
      </c>
      <c r="O11870" s="22" t="str">
        <f>HYPERLINK("https://pbs.twimg.com/profile_images/763944949112909824/YmvCr6Qd_normal.jpg","View")</f>
        <v>View</v>
      </c>
      <c r="P11870" s="27"/>
    </row>
    <row r="11871">
      <c r="A11871" s="14">
        <v>43032.89238425926</v>
      </c>
      <c r="B11871" s="20" t="str">
        <f>HYPERLINK("https://twitter.com/UsuckMicrosoft","@UsuckMicrosoft")</f>
        <v>@UsuckMicrosoft</v>
      </c>
      <c r="C11871" s="21" t="s">
        <v>24871</v>
      </c>
      <c r="D11871" s="21" t="s">
        <v>24799</v>
      </c>
      <c r="E11871" s="22" t="str">
        <f>HYPERLINK("https://twitter.com/UsuckMicrosoft/status/923042695106281472","923042695106281472")</f>
        <v>923042695106281472</v>
      </c>
      <c r="F11871" s="23" t="s">
        <v>33</v>
      </c>
      <c r="G11871" s="24">
        <v>495.0</v>
      </c>
      <c r="H11871" s="24">
        <v>82.0</v>
      </c>
      <c r="I11871" s="24">
        <v>31.0</v>
      </c>
      <c r="J11871" s="24">
        <v>0.0</v>
      </c>
      <c r="K11871" s="23" t="s">
        <v>34</v>
      </c>
      <c r="L11871" s="25">
        <v>42717.39857638889</v>
      </c>
      <c r="M11871" s="28"/>
      <c r="N11871" s="28"/>
      <c r="O11871" s="22" t="str">
        <f>HYPERLINK("https://pbs.twimg.com/profile_images/902028244718780416/1_9Qr1MR_normal.jpg","View")</f>
        <v>View</v>
      </c>
      <c r="P11871" s="27"/>
    </row>
    <row r="11872">
      <c r="A11872" s="14">
        <v>43032.8933912037</v>
      </c>
      <c r="B11872" s="20" t="str">
        <f>HYPERLINK("https://twitter.com/Gospeedracer5","@Gospeedracer5")</f>
        <v>@Gospeedracer5</v>
      </c>
      <c r="C11872" s="21" t="s">
        <v>24872</v>
      </c>
      <c r="D11872" s="21" t="s">
        <v>24007</v>
      </c>
      <c r="E11872" s="22" t="str">
        <f>HYPERLINK("https://twitter.com/Gospeedracer5/status/923043058333003777","923043058333003777")</f>
        <v>923043058333003777</v>
      </c>
      <c r="F11872" s="23" t="s">
        <v>39</v>
      </c>
      <c r="G11872" s="24">
        <v>126.0</v>
      </c>
      <c r="H11872" s="24">
        <v>334.0</v>
      </c>
      <c r="I11872" s="24">
        <v>122.0</v>
      </c>
      <c r="J11872" s="24">
        <v>0.0</v>
      </c>
      <c r="K11872" s="23" t="s">
        <v>34</v>
      </c>
      <c r="L11872" s="25">
        <v>42887.08658564815</v>
      </c>
      <c r="M11872" s="26" t="s">
        <v>71</v>
      </c>
      <c r="N11872" s="26" t="s">
        <v>24873</v>
      </c>
      <c r="O11872" s="22" t="str">
        <f>HYPERLINK("https://pbs.twimg.com/profile_images/870890436595810309/JTkKCA0a_normal.jpg","View")</f>
        <v>View</v>
      </c>
      <c r="P11872" s="27"/>
    </row>
    <row r="11873">
      <c r="A11873" s="14">
        <v>43032.89450231481</v>
      </c>
      <c r="B11873" s="20" t="str">
        <f>HYPERLINK("https://twitter.com/brunosrcf","@brunosrcf")</f>
        <v>@brunosrcf</v>
      </c>
      <c r="C11873" s="21" t="s">
        <v>24874</v>
      </c>
      <c r="D11873" s="21" t="s">
        <v>24875</v>
      </c>
      <c r="E11873" s="22" t="str">
        <f>HYPERLINK("https://twitter.com/brunosrcf/status/923043464584953856","923043464584953856")</f>
        <v>923043464584953856</v>
      </c>
      <c r="F11873" s="30" t="s">
        <v>411</v>
      </c>
      <c r="G11873" s="24">
        <v>103.0</v>
      </c>
      <c r="H11873" s="24">
        <v>202.0</v>
      </c>
      <c r="I11873" s="24">
        <v>0.0</v>
      </c>
      <c r="J11873" s="24">
        <v>0.0</v>
      </c>
      <c r="K11873" s="23" t="s">
        <v>34</v>
      </c>
      <c r="L11873" s="25">
        <v>39937.38548611111</v>
      </c>
      <c r="M11873" s="26" t="s">
        <v>24876</v>
      </c>
      <c r="N11873" s="26" t="s">
        <v>24877</v>
      </c>
      <c r="O11873" s="22" t="str">
        <f>HYPERLINK("https://pbs.twimg.com/profile_images/745891627768684544/4kKHVrHS_normal.jpg","View")</f>
        <v>View</v>
      </c>
      <c r="P11873" s="27"/>
    </row>
    <row r="11874">
      <c r="A11874" s="14">
        <v>43032.89592592593</v>
      </c>
      <c r="B11874" s="20" t="str">
        <f>HYPERLINK("https://twitter.com/jimmyforex","@jimmyforex")</f>
        <v>@jimmyforex</v>
      </c>
      <c r="C11874" s="21" t="s">
        <v>24878</v>
      </c>
      <c r="D11874" s="21" t="s">
        <v>24879</v>
      </c>
      <c r="E11874" s="22" t="str">
        <f>HYPERLINK("https://twitter.com/jimmyforex/status/923043980178350081","923043980178350081")</f>
        <v>923043980178350081</v>
      </c>
      <c r="F11874" s="23" t="s">
        <v>48</v>
      </c>
      <c r="G11874" s="24">
        <v>568.0</v>
      </c>
      <c r="H11874" s="24">
        <v>611.0</v>
      </c>
      <c r="I11874" s="24">
        <v>0.0</v>
      </c>
      <c r="J11874" s="24">
        <v>0.0</v>
      </c>
      <c r="K11874" s="23" t="s">
        <v>34</v>
      </c>
      <c r="L11874" s="25">
        <v>41211.210185185184</v>
      </c>
      <c r="M11874" s="26" t="s">
        <v>24880</v>
      </c>
      <c r="N11874" s="28"/>
      <c r="O11874" s="22" t="str">
        <f>HYPERLINK("https://pbs.twimg.com/profile_images/438269888138715136/v1Y3BE6H_normal.png","View")</f>
        <v>View</v>
      </c>
      <c r="P11874" s="27"/>
    </row>
    <row r="11875">
      <c r="A11875" s="14">
        <v>43032.896006944444</v>
      </c>
      <c r="B11875" s="20" t="str">
        <f>HYPERLINK("https://twitter.com/XtreamForex","@XtreamForex")</f>
        <v>@XtreamForex</v>
      </c>
      <c r="C11875" s="21" t="s">
        <v>24881</v>
      </c>
      <c r="D11875" s="21" t="s">
        <v>24882</v>
      </c>
      <c r="E11875" s="22" t="str">
        <f>HYPERLINK("https://twitter.com/XtreamForex/status/923044007541968896","923044007541968896")</f>
        <v>923044007541968896</v>
      </c>
      <c r="F11875" s="23" t="s">
        <v>4619</v>
      </c>
      <c r="G11875" s="24">
        <v>2219.0</v>
      </c>
      <c r="H11875" s="24">
        <v>546.0</v>
      </c>
      <c r="I11875" s="24">
        <v>0.0</v>
      </c>
      <c r="J11875" s="24">
        <v>0.0</v>
      </c>
      <c r="K11875" s="23" t="s">
        <v>34</v>
      </c>
      <c r="L11875" s="25">
        <v>40928.01298611111</v>
      </c>
      <c r="M11875" s="28"/>
      <c r="N11875" s="28"/>
      <c r="O11875" s="22" t="str">
        <f>HYPERLINK("https://pbs.twimg.com/profile_images/774102281079750657/lzFI4-RY_normal.jpg","View")</f>
        <v>View</v>
      </c>
      <c r="P11875" s="27"/>
    </row>
    <row r="11876">
      <c r="A11876" s="14">
        <v>43032.89637731481</v>
      </c>
      <c r="B11876" s="20" t="str">
        <f>HYPERLINK("https://twitter.com/BSAFunds","@BSAFunds")</f>
        <v>@BSAFunds</v>
      </c>
      <c r="C11876" s="21" t="s">
        <v>1248</v>
      </c>
      <c r="D11876" s="21" t="s">
        <v>24883</v>
      </c>
      <c r="E11876" s="22" t="str">
        <f>HYPERLINK("https://twitter.com/BSAFunds/status/923044141877137408","923044141877137408")</f>
        <v>923044141877137408</v>
      </c>
      <c r="F11876" s="23" t="s">
        <v>187</v>
      </c>
      <c r="G11876" s="24">
        <v>20910.0</v>
      </c>
      <c r="H11876" s="24">
        <v>8929.0</v>
      </c>
      <c r="I11876" s="24">
        <v>0.0</v>
      </c>
      <c r="J11876" s="24">
        <v>0.0</v>
      </c>
      <c r="K11876" s="23" t="s">
        <v>34</v>
      </c>
      <c r="L11876" s="25">
        <v>42601.94818287037</v>
      </c>
      <c r="M11876" s="26" t="s">
        <v>1250</v>
      </c>
      <c r="N11876" s="26" t="s">
        <v>1251</v>
      </c>
      <c r="O11876" s="22" t="str">
        <f>HYPERLINK("https://pbs.twimg.com/profile_images/912769166960033792/N4LAmrTs_normal.jpg","View")</f>
        <v>View</v>
      </c>
      <c r="P11876" s="27"/>
    </row>
    <row r="11877">
      <c r="A11877" s="14">
        <v>43032.89649305555</v>
      </c>
      <c r="B11877" s="20" t="str">
        <f>HYPERLINK("https://twitter.com/obsut55465","@obsut55465")</f>
        <v>@obsut55465</v>
      </c>
      <c r="C11877" s="21" t="s">
        <v>4877</v>
      </c>
      <c r="D11877" s="21" t="s">
        <v>24869</v>
      </c>
      <c r="E11877" s="22" t="str">
        <f>HYPERLINK("https://twitter.com/obsut55465/status/923044186126815233","923044186126815233")</f>
        <v>923044186126815233</v>
      </c>
      <c r="F11877" s="23" t="s">
        <v>33</v>
      </c>
      <c r="G11877" s="24">
        <v>138.0</v>
      </c>
      <c r="H11877" s="24">
        <v>47.0</v>
      </c>
      <c r="I11877" s="24">
        <v>3.0</v>
      </c>
      <c r="J11877" s="24">
        <v>0.0</v>
      </c>
      <c r="K11877" s="23" t="s">
        <v>34</v>
      </c>
      <c r="L11877" s="25">
        <v>42784.06396990741</v>
      </c>
      <c r="M11877" s="28"/>
      <c r="N11877" s="28"/>
      <c r="O11877" s="22" t="str">
        <f>HYPERLINK("https://pbs.twimg.com/profile_images/912255270545268736/buDgv1po_normal.jpg","View")</f>
        <v>View</v>
      </c>
      <c r="P11877" s="27"/>
    </row>
    <row r="11878">
      <c r="A11878" s="14">
        <v>43032.896886574075</v>
      </c>
      <c r="B11878" s="20" t="str">
        <f>HYPERLINK("https://twitter.com/salespreeCOM","@salespreeCOM")</f>
        <v>@salespreeCOM</v>
      </c>
      <c r="C11878" s="29" t="s">
        <v>24884</v>
      </c>
      <c r="D11878" s="21" t="s">
        <v>24885</v>
      </c>
      <c r="E11878" s="22" t="str">
        <f>HYPERLINK("https://twitter.com/salespreeCOM/status/923044326007025665","923044326007025665")</f>
        <v>923044326007025665</v>
      </c>
      <c r="F11878" s="30" t="s">
        <v>191</v>
      </c>
      <c r="G11878" s="24">
        <v>64.0</v>
      </c>
      <c r="H11878" s="24">
        <v>229.0</v>
      </c>
      <c r="I11878" s="24">
        <v>0.0</v>
      </c>
      <c r="J11878" s="24">
        <v>0.0</v>
      </c>
      <c r="K11878" s="23" t="s">
        <v>34</v>
      </c>
      <c r="L11878" s="25">
        <v>42592.41832175926</v>
      </c>
      <c r="M11878" s="28"/>
      <c r="N11878" s="35" t="s">
        <v>24886</v>
      </c>
      <c r="O11878" s="22" t="str">
        <f>HYPERLINK("https://pbs.twimg.com/profile_images/831829763002032132/bkIZFuyV_normal.jpg","View")</f>
        <v>View</v>
      </c>
      <c r="P11878" s="27"/>
    </row>
    <row r="11879">
      <c r="A11879" s="14">
        <v>43032.89775462963</v>
      </c>
      <c r="B11879" s="20" t="str">
        <f>HYPERLINK("https://twitter.com/Narikori1","@Narikori1")</f>
        <v>@Narikori1</v>
      </c>
      <c r="C11879" s="21" t="s">
        <v>24887</v>
      </c>
      <c r="D11879" s="21" t="s">
        <v>24007</v>
      </c>
      <c r="E11879" s="22" t="str">
        <f>HYPERLINK("https://twitter.com/Narikori1/status/923044639581470721","923044639581470721")</f>
        <v>923044639581470721</v>
      </c>
      <c r="F11879" s="23" t="s">
        <v>33</v>
      </c>
      <c r="G11879" s="24">
        <v>3.0</v>
      </c>
      <c r="H11879" s="24">
        <v>29.0</v>
      </c>
      <c r="I11879" s="24">
        <v>122.0</v>
      </c>
      <c r="J11879" s="24">
        <v>0.0</v>
      </c>
      <c r="K11879" s="23" t="s">
        <v>34</v>
      </c>
      <c r="L11879" s="25">
        <v>43001.26532407408</v>
      </c>
      <c r="M11879" s="28"/>
      <c r="N11879" s="28"/>
      <c r="O11879" s="22" t="str">
        <f>HYPERLINK("https://abs.twimg.com/sticky/default_profile_images/default_profile_normal.png","View")</f>
        <v>View</v>
      </c>
      <c r="P11879" s="27"/>
    </row>
    <row r="11880">
      <c r="A11880" s="14">
        <v>43032.89804398148</v>
      </c>
      <c r="B11880" s="20" t="str">
        <f>HYPERLINK("https://twitter.com/DeshKhabar24","@DeshKhabar24")</f>
        <v>@DeshKhabar24</v>
      </c>
      <c r="C11880" s="21" t="s">
        <v>24888</v>
      </c>
      <c r="D11880" s="21" t="s">
        <v>24538</v>
      </c>
      <c r="E11880" s="22" t="str">
        <f>HYPERLINK("https://twitter.com/DeshKhabar24/status/923044747182297088","923044747182297088")</f>
        <v>923044747182297088</v>
      </c>
      <c r="F11880" s="23" t="s">
        <v>187</v>
      </c>
      <c r="G11880" s="24">
        <v>364.0</v>
      </c>
      <c r="H11880" s="24">
        <v>961.0</v>
      </c>
      <c r="I11880" s="24">
        <v>0.0</v>
      </c>
      <c r="J11880" s="24">
        <v>0.0</v>
      </c>
      <c r="K11880" s="23" t="s">
        <v>34</v>
      </c>
      <c r="L11880" s="25">
        <v>41856.302083333336</v>
      </c>
      <c r="M11880" s="26" t="s">
        <v>3095</v>
      </c>
      <c r="N11880" s="26" t="s">
        <v>24888</v>
      </c>
      <c r="O11880" s="22" t="str">
        <f>HYPERLINK("https://pbs.twimg.com/profile_images/600246668072595457/hP3vh0LJ_normal.jpg","View")</f>
        <v>View</v>
      </c>
      <c r="P11880" s="27"/>
    </row>
    <row r="11881">
      <c r="A11881" s="14">
        <v>43032.89805555556</v>
      </c>
      <c r="B11881" s="20" t="str">
        <f>HYPERLINK("https://twitter.com/uk_worldnews","@uk_worldnews")</f>
        <v>@uk_worldnews</v>
      </c>
      <c r="C11881" s="21" t="s">
        <v>2621</v>
      </c>
      <c r="D11881" s="21" t="s">
        <v>24889</v>
      </c>
      <c r="E11881" s="22" t="str">
        <f>HYPERLINK("https://twitter.com/uk_worldnews/status/923044749166161920","923044749166161920")</f>
        <v>923044749166161920</v>
      </c>
      <c r="F11881" s="23" t="s">
        <v>1020</v>
      </c>
      <c r="G11881" s="24">
        <v>1134.0</v>
      </c>
      <c r="H11881" s="24">
        <v>886.0</v>
      </c>
      <c r="I11881" s="24">
        <v>0.0</v>
      </c>
      <c r="J11881" s="24">
        <v>0.0</v>
      </c>
      <c r="K11881" s="23" t="s">
        <v>34</v>
      </c>
      <c r="L11881" s="25">
        <v>41691.490381944444</v>
      </c>
      <c r="M11881" s="28"/>
      <c r="N11881" s="26" t="s">
        <v>2623</v>
      </c>
      <c r="O11881" s="22" t="str">
        <f>HYPERLINK("https://pbs.twimg.com/profile_images/436950530964070400/VO-NlZAO_normal.png","View")</f>
        <v>View</v>
      </c>
      <c r="P11881" s="27"/>
    </row>
    <row r="11882">
      <c r="A11882" s="14">
        <v>43032.89846064815</v>
      </c>
      <c r="B11882" s="20" t="str">
        <f>HYPERLINK("https://twitter.com/EEERepoter","@EEERepoter")</f>
        <v>@EEERepoter</v>
      </c>
      <c r="C11882" s="21" t="s">
        <v>23946</v>
      </c>
      <c r="D11882" s="21" t="s">
        <v>24890</v>
      </c>
      <c r="E11882" s="22" t="str">
        <f>HYPERLINK("https://twitter.com/EEERepoter/status/923044896226680837","923044896226680837")</f>
        <v>923044896226680837</v>
      </c>
      <c r="F11882" s="23" t="s">
        <v>55</v>
      </c>
      <c r="G11882" s="24">
        <v>611.0</v>
      </c>
      <c r="H11882" s="24">
        <v>1015.0</v>
      </c>
      <c r="I11882" s="24">
        <v>0.0</v>
      </c>
      <c r="J11882" s="24">
        <v>0.0</v>
      </c>
      <c r="K11882" s="23" t="s">
        <v>34</v>
      </c>
      <c r="L11882" s="25">
        <v>40568.87342592592</v>
      </c>
      <c r="M11882" s="28"/>
      <c r="N11882" s="28"/>
      <c r="O11882" s="22" t="str">
        <f>HYPERLINK("https://pbs.twimg.com/profile_images/1236130219/01EEE339_normal.jpg","View")</f>
        <v>View</v>
      </c>
      <c r="P11882" s="27"/>
    </row>
    <row r="11883">
      <c r="A11883" s="14">
        <v>43032.89953703704</v>
      </c>
      <c r="B11883" s="20" t="str">
        <f>HYPERLINK("https://twitter.com/icewolf610","@icewolf610")</f>
        <v>@icewolf610</v>
      </c>
      <c r="C11883" s="21" t="s">
        <v>24891</v>
      </c>
      <c r="D11883" s="21" t="s">
        <v>24799</v>
      </c>
      <c r="E11883" s="22" t="str">
        <f>HYPERLINK("https://twitter.com/icewolf610/status/923045287085690880","923045287085690880")</f>
        <v>923045287085690880</v>
      </c>
      <c r="F11883" s="23" t="s">
        <v>33</v>
      </c>
      <c r="G11883" s="24">
        <v>774.0</v>
      </c>
      <c r="H11883" s="24">
        <v>1436.0</v>
      </c>
      <c r="I11883" s="24">
        <v>31.0</v>
      </c>
      <c r="J11883" s="24">
        <v>0.0</v>
      </c>
      <c r="K11883" s="23" t="s">
        <v>34</v>
      </c>
      <c r="L11883" s="25">
        <v>42283.28780092593</v>
      </c>
      <c r="M11883" s="26" t="s">
        <v>24892</v>
      </c>
      <c r="N11883" s="26" t="s">
        <v>24893</v>
      </c>
      <c r="O11883" s="22" t="str">
        <f>HYPERLINK("https://pbs.twimg.com/profile_images/651396749018267648/i4PAgXhD_normal.jpg","View")</f>
        <v>View</v>
      </c>
      <c r="P11883" s="27"/>
    </row>
    <row r="11884">
      <c r="A11884" s="14">
        <v>43032.900300925925</v>
      </c>
      <c r="B11884" s="20" t="str">
        <f>HYPERLINK("https://twitter.com/ChapKewani","@ChapKewani")</f>
        <v>@ChapKewani</v>
      </c>
      <c r="C11884" s="21" t="s">
        <v>24894</v>
      </c>
      <c r="D11884" s="21" t="s">
        <v>24895</v>
      </c>
      <c r="E11884" s="22" t="str">
        <f>HYPERLINK("https://twitter.com/ChapKewani/status/923045563817279488","923045563817279488")</f>
        <v>923045563817279488</v>
      </c>
      <c r="F11884" s="23" t="s">
        <v>39</v>
      </c>
      <c r="G11884" s="24">
        <v>5.0</v>
      </c>
      <c r="H11884" s="24">
        <v>337.0</v>
      </c>
      <c r="I11884" s="24">
        <v>0.0</v>
      </c>
      <c r="J11884" s="24">
        <v>0.0</v>
      </c>
      <c r="K11884" s="23" t="s">
        <v>34</v>
      </c>
      <c r="L11884" s="25">
        <v>39907.0296875</v>
      </c>
      <c r="M11884" s="28"/>
      <c r="N11884" s="26" t="s">
        <v>24896</v>
      </c>
      <c r="O11884" s="22" t="str">
        <f>HYPERLINK("https://pbs.twimg.com/profile_images/693218811655393280/UyTZxRkf_normal.jpg","View")</f>
        <v>View</v>
      </c>
      <c r="P11884" s="27"/>
    </row>
    <row r="11885">
      <c r="A11885" s="14">
        <v>43032.90127314815</v>
      </c>
      <c r="B11885" s="20" t="str">
        <f>HYPERLINK("https://twitter.com/0bsrvr","@0bsrvr")</f>
        <v>@0bsrvr</v>
      </c>
      <c r="C11885" s="21" t="s">
        <v>24897</v>
      </c>
      <c r="D11885" s="21" t="s">
        <v>24799</v>
      </c>
      <c r="E11885" s="22" t="str">
        <f>HYPERLINK("https://twitter.com/0bsrvr/status/923045918160560129","923045918160560129")</f>
        <v>923045918160560129</v>
      </c>
      <c r="F11885" s="23" t="s">
        <v>24898</v>
      </c>
      <c r="G11885" s="24">
        <v>31.0</v>
      </c>
      <c r="H11885" s="24">
        <v>339.0</v>
      </c>
      <c r="I11885" s="24">
        <v>31.0</v>
      </c>
      <c r="J11885" s="24">
        <v>0.0</v>
      </c>
      <c r="K11885" s="23" t="s">
        <v>34</v>
      </c>
      <c r="L11885" s="25">
        <v>41952.80337962963</v>
      </c>
      <c r="M11885" s="28"/>
      <c r="N11885" s="28"/>
      <c r="O11885" s="22" t="str">
        <f>HYPERLINK("https://pbs.twimg.com/profile_images/639631084989255680/p2JFWuZ__normal.png","View")</f>
        <v>View</v>
      </c>
      <c r="P11885" s="27"/>
    </row>
    <row r="11886">
      <c r="A11886" s="14">
        <v>43032.90193287037</v>
      </c>
      <c r="B11886" s="20" t="str">
        <f>HYPERLINK("https://twitter.com/juliedemers2","@juliedemers2")</f>
        <v>@juliedemers2</v>
      </c>
      <c r="C11886" s="21" t="s">
        <v>24899</v>
      </c>
      <c r="D11886" s="21" t="s">
        <v>24007</v>
      </c>
      <c r="E11886" s="22" t="str">
        <f>HYPERLINK("https://twitter.com/juliedemers2/status/923046153473740800","923046153473740800")</f>
        <v>923046153473740800</v>
      </c>
      <c r="F11886" s="23" t="s">
        <v>43</v>
      </c>
      <c r="G11886" s="24">
        <v>21.0</v>
      </c>
      <c r="H11886" s="24">
        <v>191.0</v>
      </c>
      <c r="I11886" s="24">
        <v>122.0</v>
      </c>
      <c r="J11886" s="24">
        <v>0.0</v>
      </c>
      <c r="K11886" s="23" t="s">
        <v>34</v>
      </c>
      <c r="L11886" s="25">
        <v>40964.56215277778</v>
      </c>
      <c r="M11886" s="26" t="s">
        <v>24900</v>
      </c>
      <c r="N11886" s="26" t="s">
        <v>24901</v>
      </c>
      <c r="O11886" s="22" t="str">
        <f t="shared" ref="O11886:O11887" si="298">HYPERLINK("https://abs.twimg.com/sticky/default_profile_images/default_profile_normal.png","View")</f>
        <v>View</v>
      </c>
      <c r="P11886" s="27"/>
    </row>
    <row r="11887">
      <c r="A11887" s="14">
        <v>43032.90230324074</v>
      </c>
      <c r="B11887" s="20" t="str">
        <f>HYPERLINK("https://twitter.com/KhosroX","@KhosroX")</f>
        <v>@KhosroX</v>
      </c>
      <c r="C11887" s="21" t="s">
        <v>24902</v>
      </c>
      <c r="D11887" s="21" t="s">
        <v>21611</v>
      </c>
      <c r="E11887" s="22" t="str">
        <f>HYPERLINK("https://twitter.com/KhosroX/status/923046289696321537","923046289696321537")</f>
        <v>923046289696321537</v>
      </c>
      <c r="F11887" s="23" t="s">
        <v>33</v>
      </c>
      <c r="G11887" s="24">
        <v>12.0</v>
      </c>
      <c r="H11887" s="24">
        <v>31.0</v>
      </c>
      <c r="I11887" s="24">
        <v>2.0</v>
      </c>
      <c r="J11887" s="24">
        <v>0.0</v>
      </c>
      <c r="K11887" s="23" t="s">
        <v>34</v>
      </c>
      <c r="L11887" s="25">
        <v>42513.08524305555</v>
      </c>
      <c r="M11887" s="28"/>
      <c r="N11887" s="28"/>
      <c r="O11887" s="22" t="str">
        <f t="shared" si="298"/>
        <v>View</v>
      </c>
      <c r="P11887" s="27"/>
    </row>
    <row r="11888">
      <c r="A11888" s="14">
        <v>43032.90232638889</v>
      </c>
      <c r="B11888" s="20" t="str">
        <f>HYPERLINK("https://twitter.com/Midas_TOKYO","@Midas_TOKYO")</f>
        <v>@Midas_TOKYO</v>
      </c>
      <c r="C11888" s="21" t="s">
        <v>24903</v>
      </c>
      <c r="D11888" s="21" t="s">
        <v>20700</v>
      </c>
      <c r="E11888" s="22" t="str">
        <f>HYPERLINK("https://twitter.com/Midas_TOKYO/status/923046299892457473","923046299892457473")</f>
        <v>923046299892457473</v>
      </c>
      <c r="F11888" s="23" t="s">
        <v>43</v>
      </c>
      <c r="G11888" s="24">
        <v>1796.0</v>
      </c>
      <c r="H11888" s="24">
        <v>3911.0</v>
      </c>
      <c r="I11888" s="24">
        <v>27.0</v>
      </c>
      <c r="J11888" s="24">
        <v>0.0</v>
      </c>
      <c r="K11888" s="23" t="s">
        <v>34</v>
      </c>
      <c r="L11888" s="25">
        <v>41643.6109375</v>
      </c>
      <c r="M11888" s="28"/>
      <c r="N11888" s="26" t="s">
        <v>24904</v>
      </c>
      <c r="O11888" s="22" t="str">
        <f>HYPERLINK("https://pbs.twimg.com/profile_images/419602780072841217/spA9x0NQ_normal.jpeg","View")</f>
        <v>View</v>
      </c>
      <c r="P11888" s="27"/>
    </row>
    <row r="11889">
      <c r="A11889" s="14">
        <v>43032.903229166666</v>
      </c>
      <c r="B11889" s="20" t="str">
        <f>HYPERLINK("https://twitter.com/miksnmats","@miksnmats")</f>
        <v>@miksnmats</v>
      </c>
      <c r="C11889" s="21" t="s">
        <v>21382</v>
      </c>
      <c r="D11889" s="21" t="s">
        <v>23969</v>
      </c>
      <c r="E11889" s="22" t="str">
        <f>HYPERLINK("https://twitter.com/miksnmats/status/923046624045047809","923046624045047809")</f>
        <v>923046624045047809</v>
      </c>
      <c r="F11889" s="23" t="s">
        <v>33</v>
      </c>
      <c r="G11889" s="24">
        <v>504.0</v>
      </c>
      <c r="H11889" s="24">
        <v>676.0</v>
      </c>
      <c r="I11889" s="24">
        <v>4.0</v>
      </c>
      <c r="J11889" s="24">
        <v>0.0</v>
      </c>
      <c r="K11889" s="23" t="s">
        <v>34</v>
      </c>
      <c r="L11889" s="25">
        <v>39512.1268287037</v>
      </c>
      <c r="M11889" s="26" t="s">
        <v>5516</v>
      </c>
      <c r="N11889" s="26" t="s">
        <v>21383</v>
      </c>
      <c r="O11889" s="22" t="str">
        <f>HYPERLINK("https://pbs.twimg.com/profile_images/886876764693078017/aai7BvfK_normal.jpg","View")</f>
        <v>View</v>
      </c>
      <c r="P11889" s="27"/>
    </row>
    <row r="11890">
      <c r="A11890" s="14">
        <v>43032.90354166667</v>
      </c>
      <c r="B11890" s="20" t="str">
        <f>HYPERLINK("https://twitter.com/asottasante70","@asottasante70")</f>
        <v>@asottasante70</v>
      </c>
      <c r="C11890" s="21" t="s">
        <v>24905</v>
      </c>
      <c r="D11890" s="21" t="s">
        <v>24906</v>
      </c>
      <c r="E11890" s="22" t="str">
        <f>HYPERLINK("https://twitter.com/asottasante70/status/923046737907826688","923046737907826688")</f>
        <v>923046737907826688</v>
      </c>
      <c r="F11890" s="30" t="s">
        <v>411</v>
      </c>
      <c r="G11890" s="24">
        <v>6.0</v>
      </c>
      <c r="H11890" s="24">
        <v>20.0</v>
      </c>
      <c r="I11890" s="24">
        <v>0.0</v>
      </c>
      <c r="J11890" s="24">
        <v>0.0</v>
      </c>
      <c r="K11890" s="23" t="s">
        <v>34</v>
      </c>
      <c r="L11890" s="25">
        <v>42940.771423611106</v>
      </c>
      <c r="M11890" s="28"/>
      <c r="N11890" s="28"/>
      <c r="O11890" s="22" t="str">
        <f>HYPERLINK("https://pbs.twimg.com/profile_images/889661835825172481/2EAqEnDs_normal.jpg","View")</f>
        <v>View</v>
      </c>
      <c r="P11890" s="27"/>
    </row>
    <row r="11891">
      <c r="A11891" s="14">
        <v>43032.90449074074</v>
      </c>
      <c r="B11891" s="20" t="str">
        <f>HYPERLINK("https://twitter.com/BeingGopal","@BeingGopal")</f>
        <v>@BeingGopal</v>
      </c>
      <c r="C11891" s="21" t="s">
        <v>24907</v>
      </c>
      <c r="D11891" s="21" t="s">
        <v>42</v>
      </c>
      <c r="E11891" s="22" t="str">
        <f>HYPERLINK("https://twitter.com/BeingGopal/status/923047080385331200","923047080385331200")</f>
        <v>923047080385331200</v>
      </c>
      <c r="F11891" s="23" t="s">
        <v>33</v>
      </c>
      <c r="G11891" s="24">
        <v>112.0</v>
      </c>
      <c r="H11891" s="24">
        <v>165.0</v>
      </c>
      <c r="I11891" s="24">
        <v>8501.0</v>
      </c>
      <c r="J11891" s="24">
        <v>0.0</v>
      </c>
      <c r="K11891" s="23" t="s">
        <v>34</v>
      </c>
      <c r="L11891" s="25">
        <v>42577.43133101852</v>
      </c>
      <c r="M11891" s="26" t="s">
        <v>24908</v>
      </c>
      <c r="N11891" s="26" t="s">
        <v>24909</v>
      </c>
      <c r="O11891" s="22" t="str">
        <f>HYPERLINK("https://pbs.twimg.com/profile_images/892058591028432896/_HnsUb6E_normal.jpg","View")</f>
        <v>View</v>
      </c>
      <c r="P11891" s="27"/>
    </row>
    <row r="11892">
      <c r="A11892" s="14">
        <v>43032.90456018518</v>
      </c>
      <c r="B11892" s="20" t="str">
        <f>HYPERLINK("https://twitter.com/RajeshChahal851","@RajeshChahal851")</f>
        <v>@RajeshChahal851</v>
      </c>
      <c r="C11892" s="21" t="s">
        <v>24910</v>
      </c>
      <c r="D11892" s="21" t="s">
        <v>42</v>
      </c>
      <c r="E11892" s="22" t="str">
        <f>HYPERLINK("https://twitter.com/RajeshChahal851/status/923047107468042240","923047107468042240")</f>
        <v>923047107468042240</v>
      </c>
      <c r="F11892" s="23" t="s">
        <v>33</v>
      </c>
      <c r="G11892" s="24">
        <v>22.0</v>
      </c>
      <c r="H11892" s="24">
        <v>196.0</v>
      </c>
      <c r="I11892" s="24">
        <v>8501.0</v>
      </c>
      <c r="J11892" s="24">
        <v>0.0</v>
      </c>
      <c r="K11892" s="23" t="s">
        <v>34</v>
      </c>
      <c r="L11892" s="25">
        <v>43007.87546296296</v>
      </c>
      <c r="M11892" s="26" t="s">
        <v>12821</v>
      </c>
      <c r="N11892" s="26" t="s">
        <v>24911</v>
      </c>
      <c r="O11892" s="22" t="str">
        <f>HYPERLINK("https://pbs.twimg.com/profile_images/913979377452335105/VsK5CSyg_normal.jpg","View")</f>
        <v>View</v>
      </c>
      <c r="P11892" s="27"/>
    </row>
    <row r="11893">
      <c r="A11893" s="14">
        <v>43032.90502314815</v>
      </c>
      <c r="B11893" s="20" t="str">
        <f>HYPERLINK("https://twitter.com/melucky873","@melucky873")</f>
        <v>@melucky873</v>
      </c>
      <c r="C11893" s="21" t="s">
        <v>8817</v>
      </c>
      <c r="D11893" s="21" t="s">
        <v>24912</v>
      </c>
      <c r="E11893" s="22" t="str">
        <f>HYPERLINK("https://twitter.com/melucky873/status/923047277303877632","923047277303877632")</f>
        <v>923047277303877632</v>
      </c>
      <c r="F11893" s="23" t="s">
        <v>187</v>
      </c>
      <c r="G11893" s="24">
        <v>50.0</v>
      </c>
      <c r="H11893" s="24">
        <v>274.0</v>
      </c>
      <c r="I11893" s="24">
        <v>0.0</v>
      </c>
      <c r="J11893" s="24">
        <v>0.0</v>
      </c>
      <c r="K11893" s="23" t="s">
        <v>34</v>
      </c>
      <c r="L11893" s="25">
        <v>42033.07145833333</v>
      </c>
      <c r="M11893" s="26" t="s">
        <v>905</v>
      </c>
      <c r="N11893" s="26" t="s">
        <v>8819</v>
      </c>
      <c r="O11893" s="22" t="str">
        <f>HYPERLINK("https://pbs.twimg.com/profile_images/694505468601827328/pNQ72eTb_normal.jpg","View")</f>
        <v>View</v>
      </c>
      <c r="P11893" s="27"/>
    </row>
    <row r="11894">
      <c r="A11894" s="14">
        <v>43032.90510416667</v>
      </c>
      <c r="B11894" s="20" t="str">
        <f>HYPERLINK("https://twitter.com/semisigure5","@semisigure5")</f>
        <v>@semisigure5</v>
      </c>
      <c r="C11894" s="21" t="s">
        <v>24913</v>
      </c>
      <c r="D11894" s="21" t="s">
        <v>24914</v>
      </c>
      <c r="E11894" s="22" t="str">
        <f>HYPERLINK("https://twitter.com/semisigure5/status/923047302805168130","923047302805168130")</f>
        <v>923047302805168130</v>
      </c>
      <c r="F11894" s="23" t="s">
        <v>55</v>
      </c>
      <c r="G11894" s="24">
        <v>5.0</v>
      </c>
      <c r="H11894" s="24">
        <v>96.0</v>
      </c>
      <c r="I11894" s="24">
        <v>0.0</v>
      </c>
      <c r="J11894" s="24">
        <v>0.0</v>
      </c>
      <c r="K11894" s="23" t="s">
        <v>34</v>
      </c>
      <c r="L11894" s="25">
        <v>42935.87877314815</v>
      </c>
      <c r="M11894" s="28"/>
      <c r="N11894" s="26" t="s">
        <v>24915</v>
      </c>
      <c r="O11894" s="22" t="str">
        <f t="shared" ref="O11894:O11895" si="299">HYPERLINK("https://abs.twimg.com/sticky/default_profile_images/default_profile_normal.png","View")</f>
        <v>View</v>
      </c>
      <c r="P11894" s="27"/>
    </row>
    <row r="11895">
      <c r="A11895" s="14">
        <v>43032.90513888889</v>
      </c>
      <c r="B11895" s="20" t="str">
        <f>HYPERLINK("https://twitter.com/userpko","@userpko")</f>
        <v>@userpko</v>
      </c>
      <c r="C11895" s="21" t="s">
        <v>6597</v>
      </c>
      <c r="D11895" s="21" t="s">
        <v>24007</v>
      </c>
      <c r="E11895" s="22" t="str">
        <f>HYPERLINK("https://twitter.com/userpko/status/923047315841019904","923047315841019904")</f>
        <v>923047315841019904</v>
      </c>
      <c r="F11895" s="23" t="s">
        <v>33</v>
      </c>
      <c r="G11895" s="24">
        <v>63.0</v>
      </c>
      <c r="H11895" s="24">
        <v>156.0</v>
      </c>
      <c r="I11895" s="24">
        <v>122.0</v>
      </c>
      <c r="J11895" s="24">
        <v>0.0</v>
      </c>
      <c r="K11895" s="23" t="s">
        <v>34</v>
      </c>
      <c r="L11895" s="25">
        <v>40689.11715277778</v>
      </c>
      <c r="M11895" s="28"/>
      <c r="N11895" s="28"/>
      <c r="O11895" s="22" t="str">
        <f t="shared" si="299"/>
        <v>View</v>
      </c>
      <c r="P11895" s="27"/>
    </row>
    <row r="11896">
      <c r="A11896" s="14">
        <v>43032.9065625</v>
      </c>
      <c r="B11896" s="20" t="str">
        <f>HYPERLINK("https://twitter.com/emet_news_press","@emet_news_press")</f>
        <v>@emet_news_press</v>
      </c>
      <c r="C11896" s="21" t="s">
        <v>3650</v>
      </c>
      <c r="D11896" s="21" t="s">
        <v>24916</v>
      </c>
      <c r="E11896" s="22" t="str">
        <f>HYPERLINK("https://twitter.com/emet_news_press/status/923047833758027776","923047833758027776")</f>
        <v>923047833758027776</v>
      </c>
      <c r="F11896" s="23" t="s">
        <v>427</v>
      </c>
      <c r="G11896" s="24">
        <v>14273.0</v>
      </c>
      <c r="H11896" s="24">
        <v>3070.0</v>
      </c>
      <c r="I11896" s="24">
        <v>0.0</v>
      </c>
      <c r="J11896" s="24">
        <v>0.0</v>
      </c>
      <c r="K11896" s="23" t="s">
        <v>34</v>
      </c>
      <c r="L11896" s="25">
        <v>42457.10976851852</v>
      </c>
      <c r="M11896" s="26" t="s">
        <v>2068</v>
      </c>
      <c r="N11896" s="26" t="s">
        <v>3652</v>
      </c>
      <c r="O11896" s="22" t="str">
        <f>HYPERLINK("https://pbs.twimg.com/profile_images/867494379308687362/en57rgx2_normal.jpg","View")</f>
        <v>View</v>
      </c>
      <c r="P11896" s="27"/>
    </row>
    <row r="11897">
      <c r="A11897" s="14">
        <v>43032.90662037037</v>
      </c>
      <c r="B11897" s="20" t="str">
        <f>HYPERLINK("https://twitter.com/SujOfficial","@SujOfficial")</f>
        <v>@SujOfficial</v>
      </c>
      <c r="C11897" s="21" t="s">
        <v>24917</v>
      </c>
      <c r="D11897" s="21" t="s">
        <v>24799</v>
      </c>
      <c r="E11897" s="22" t="str">
        <f>HYPERLINK("https://twitter.com/SujOfficial/status/923047856105230336","923047856105230336")</f>
        <v>923047856105230336</v>
      </c>
      <c r="F11897" s="23" t="s">
        <v>39</v>
      </c>
      <c r="G11897" s="24">
        <v>340.0</v>
      </c>
      <c r="H11897" s="24">
        <v>306.0</v>
      </c>
      <c r="I11897" s="24">
        <v>31.0</v>
      </c>
      <c r="J11897" s="24">
        <v>0.0</v>
      </c>
      <c r="K11897" s="23" t="s">
        <v>34</v>
      </c>
      <c r="L11897" s="25">
        <v>42389.74234953704</v>
      </c>
      <c r="M11897" s="26" t="s">
        <v>68</v>
      </c>
      <c r="N11897" s="26" t="s">
        <v>24918</v>
      </c>
      <c r="O11897" s="22" t="str">
        <f>HYPERLINK("https://pbs.twimg.com/profile_images/875645985220812800/_3sj9aj0_normal.jpg","View")</f>
        <v>View</v>
      </c>
      <c r="P11897" s="27"/>
    </row>
    <row r="11898">
      <c r="A11898" s="14">
        <v>43032.906689814816</v>
      </c>
      <c r="B11898" s="20" t="str">
        <f>HYPERLINK("https://twitter.com/slasher48","@slasher48")</f>
        <v>@slasher48</v>
      </c>
      <c r="C11898" s="21" t="s">
        <v>24919</v>
      </c>
      <c r="D11898" s="21" t="s">
        <v>24799</v>
      </c>
      <c r="E11898" s="22" t="str">
        <f>HYPERLINK("https://twitter.com/slasher48/status/923047878905475073","923047878905475073")</f>
        <v>923047878905475073</v>
      </c>
      <c r="F11898" s="23" t="s">
        <v>769</v>
      </c>
      <c r="G11898" s="24">
        <v>838.0</v>
      </c>
      <c r="H11898" s="24">
        <v>147.0</v>
      </c>
      <c r="I11898" s="24">
        <v>31.0</v>
      </c>
      <c r="J11898" s="24">
        <v>0.0</v>
      </c>
      <c r="K11898" s="23" t="s">
        <v>34</v>
      </c>
      <c r="L11898" s="25">
        <v>39950.61157407407</v>
      </c>
      <c r="M11898" s="26" t="s">
        <v>24920</v>
      </c>
      <c r="N11898" s="26" t="s">
        <v>24921</v>
      </c>
      <c r="O11898" s="22" t="str">
        <f>HYPERLINK("https://pbs.twimg.com/profile_images/3749235676/e1684edc48f33ea51c76c21b1de8902e_normal.gif","View")</f>
        <v>View</v>
      </c>
      <c r="P11898" s="27"/>
    </row>
    <row r="11899">
      <c r="A11899" s="14">
        <v>43032.908043981486</v>
      </c>
      <c r="B11899" s="20" t="str">
        <f>HYPERLINK("https://twitter.com/h0tbreakingnews","@h0tbreakingnews")</f>
        <v>@h0tbreakingnews</v>
      </c>
      <c r="C11899" s="21" t="s">
        <v>24922</v>
      </c>
      <c r="D11899" s="21" t="s">
        <v>24923</v>
      </c>
      <c r="E11899" s="22" t="str">
        <f>HYPERLINK("https://twitter.com/h0tbreakingnews/status/923048368351219712","923048368351219712")</f>
        <v>923048368351219712</v>
      </c>
      <c r="F11899" s="30" t="s">
        <v>411</v>
      </c>
      <c r="G11899" s="24">
        <v>947.0</v>
      </c>
      <c r="H11899" s="24">
        <v>32.0</v>
      </c>
      <c r="I11899" s="24">
        <v>0.0</v>
      </c>
      <c r="J11899" s="24">
        <v>0.0</v>
      </c>
      <c r="K11899" s="23" t="s">
        <v>34</v>
      </c>
      <c r="L11899" s="25">
        <v>40952.403182870374</v>
      </c>
      <c r="M11899" s="26" t="s">
        <v>905</v>
      </c>
      <c r="N11899" s="26" t="s">
        <v>24924</v>
      </c>
      <c r="O11899" s="22" t="str">
        <f>HYPERLINK("https://pbs.twimg.com/profile_images/3231807926/f555831e61164952a1cc2c0d1a24d947_normal.png","View")</f>
        <v>View</v>
      </c>
      <c r="P11899" s="27"/>
    </row>
    <row r="11900">
      <c r="A11900" s="14">
        <v>43032.90840277778</v>
      </c>
      <c r="B11900" s="20" t="str">
        <f>HYPERLINK("https://twitter.com/WorldNewslocker","@WorldNewslocker")</f>
        <v>@WorldNewslocker</v>
      </c>
      <c r="C11900" s="21" t="s">
        <v>24925</v>
      </c>
      <c r="D11900" s="21" t="s">
        <v>24926</v>
      </c>
      <c r="E11900" s="22" t="str">
        <f>HYPERLINK("https://twitter.com/WorldNewslocker/status/923048498500644864","923048498500644864")</f>
        <v>923048498500644864</v>
      </c>
      <c r="F11900" s="23" t="s">
        <v>1020</v>
      </c>
      <c r="G11900" s="24">
        <v>1681.0</v>
      </c>
      <c r="H11900" s="24">
        <v>2021.0</v>
      </c>
      <c r="I11900" s="24">
        <v>0.0</v>
      </c>
      <c r="J11900" s="24">
        <v>0.0</v>
      </c>
      <c r="K11900" s="23" t="s">
        <v>34</v>
      </c>
      <c r="L11900" s="25">
        <v>41150.33332175926</v>
      </c>
      <c r="M11900" s="28"/>
      <c r="N11900" s="26" t="s">
        <v>24927</v>
      </c>
      <c r="O11900" s="22" t="str">
        <f>HYPERLINK("https://pbs.twimg.com/profile_images/2555992589/6bigdsrrzfpyg3xgar13_normal.png","View")</f>
        <v>View</v>
      </c>
      <c r="P11900" s="27"/>
    </row>
    <row r="11901">
      <c r="A11901" s="14">
        <v>43032.90900462963</v>
      </c>
      <c r="B11901" s="20" t="str">
        <f>HYPERLINK("https://twitter.com/atomicromeo","@atomicromeo")</f>
        <v>@atomicromeo</v>
      </c>
      <c r="C11901" s="21" t="s">
        <v>24928</v>
      </c>
      <c r="D11901" s="21" t="s">
        <v>23401</v>
      </c>
      <c r="E11901" s="22" t="str">
        <f>HYPERLINK("https://twitter.com/atomicromeo/status/923048718881959936","923048718881959936")</f>
        <v>923048718881959936</v>
      </c>
      <c r="F11901" s="23" t="s">
        <v>55</v>
      </c>
      <c r="G11901" s="24">
        <v>92.0</v>
      </c>
      <c r="H11901" s="24">
        <v>474.0</v>
      </c>
      <c r="I11901" s="24">
        <v>7.0</v>
      </c>
      <c r="J11901" s="24">
        <v>0.0</v>
      </c>
      <c r="K11901" s="23" t="s">
        <v>34</v>
      </c>
      <c r="L11901" s="25">
        <v>42437.54974537037</v>
      </c>
      <c r="M11901" s="26" t="s">
        <v>5912</v>
      </c>
      <c r="N11901" s="26" t="s">
        <v>24929</v>
      </c>
      <c r="O11901" s="22" t="str">
        <f>HYPERLINK("https://pbs.twimg.com/profile_images/816158552536530944/ailSQNqN_normal.jpg","View")</f>
        <v>View</v>
      </c>
      <c r="P11901" s="27"/>
    </row>
    <row r="11902">
      <c r="A11902" s="14">
        <v>43032.909907407404</v>
      </c>
      <c r="B11902" s="20" t="str">
        <f>HYPERLINK("https://twitter.com/The_Nation","@The_Nation")</f>
        <v>@The_Nation</v>
      </c>
      <c r="C11902" s="21" t="s">
        <v>24930</v>
      </c>
      <c r="D11902" s="21" t="s">
        <v>24931</v>
      </c>
      <c r="E11902" s="22" t="str">
        <f>HYPERLINK("https://twitter.com/The_Nation/status/923049043588272130","923049043588272130")</f>
        <v>923049043588272130</v>
      </c>
      <c r="F11902" s="23" t="s">
        <v>769</v>
      </c>
      <c r="G11902" s="24">
        <v>42754.0</v>
      </c>
      <c r="H11902" s="24">
        <v>359.0</v>
      </c>
      <c r="I11902" s="24">
        <v>0.0</v>
      </c>
      <c r="J11902" s="24">
        <v>1.0</v>
      </c>
      <c r="K11902" s="23" t="s">
        <v>34</v>
      </c>
      <c r="L11902" s="25">
        <v>39577.939930555556</v>
      </c>
      <c r="M11902" s="26" t="s">
        <v>1255</v>
      </c>
      <c r="N11902" s="26" t="s">
        <v>24932</v>
      </c>
      <c r="O11902" s="22" t="str">
        <f>HYPERLINK("https://pbs.twimg.com/profile_images/626373065039949824/-Ybgi5F0_normal.jpg","View")</f>
        <v>View</v>
      </c>
      <c r="P11902" s="27"/>
    </row>
    <row r="11903">
      <c r="A11903" s="14">
        <v>43032.90996527778</v>
      </c>
      <c r="B11903" s="20" t="str">
        <f>HYPERLINK("https://twitter.com/Ihitomin","@Ihitomin")</f>
        <v>@Ihitomin</v>
      </c>
      <c r="C11903" s="21" t="s">
        <v>24933</v>
      </c>
      <c r="D11903" s="21" t="s">
        <v>24934</v>
      </c>
      <c r="E11903" s="22" t="str">
        <f>HYPERLINK("https://twitter.com/Ihitomin/status/923049065025122304","923049065025122304")</f>
        <v>923049065025122304</v>
      </c>
      <c r="F11903" s="23" t="s">
        <v>55</v>
      </c>
      <c r="G11903" s="24">
        <v>142.0</v>
      </c>
      <c r="H11903" s="24">
        <v>216.0</v>
      </c>
      <c r="I11903" s="24">
        <v>0.0</v>
      </c>
      <c r="J11903" s="24">
        <v>0.0</v>
      </c>
      <c r="K11903" s="23" t="s">
        <v>34</v>
      </c>
      <c r="L11903" s="25">
        <v>40469.787881944445</v>
      </c>
      <c r="M11903" s="26" t="s">
        <v>24935</v>
      </c>
      <c r="N11903" s="26" t="s">
        <v>24936</v>
      </c>
      <c r="O11903" s="22" t="str">
        <f>HYPERLINK("https://pbs.twimg.com/profile_images/892003338945941506/5AXfVKrL_normal.jpg","View")</f>
        <v>View</v>
      </c>
      <c r="P11903" s="27"/>
    </row>
    <row r="11904">
      <c r="A11904" s="14">
        <v>43032.91027777777</v>
      </c>
      <c r="B11904" s="20" t="str">
        <f>HYPERLINK("https://twitter.com/pangyu55911455","@pangyu55911455")</f>
        <v>@pangyu55911455</v>
      </c>
      <c r="C11904" s="21" t="s">
        <v>23032</v>
      </c>
      <c r="D11904" s="21" t="s">
        <v>24937</v>
      </c>
      <c r="E11904" s="22" t="str">
        <f>HYPERLINK("https://twitter.com/pangyu55911455/status/923049178766249984","923049178766249984")</f>
        <v>923049178766249984</v>
      </c>
      <c r="F11904" s="23" t="s">
        <v>55</v>
      </c>
      <c r="G11904" s="24">
        <v>2.0</v>
      </c>
      <c r="H11904" s="24">
        <v>66.0</v>
      </c>
      <c r="I11904" s="24">
        <v>0.0</v>
      </c>
      <c r="J11904" s="24">
        <v>0.0</v>
      </c>
      <c r="K11904" s="23" t="s">
        <v>34</v>
      </c>
      <c r="L11904" s="25">
        <v>43032.28197916667</v>
      </c>
      <c r="M11904" s="28"/>
      <c r="N11904" s="28"/>
      <c r="O11904" s="22" t="str">
        <f t="shared" ref="O11904:O11908" si="300">HYPERLINK("https://abs.twimg.com/sticky/default_profile_images/default_profile_normal.png","View")</f>
        <v>View</v>
      </c>
      <c r="P11904" s="27"/>
    </row>
    <row r="11905">
      <c r="A11905" s="14">
        <v>43032.91027777777</v>
      </c>
      <c r="B11905" s="20" t="str">
        <f>HYPERLINK("https://twitter.com/querong92643614","@querong92643614")</f>
        <v>@querong92643614</v>
      </c>
      <c r="C11905" s="21" t="s">
        <v>23030</v>
      </c>
      <c r="D11905" s="21" t="s">
        <v>24938</v>
      </c>
      <c r="E11905" s="22" t="str">
        <f>HYPERLINK("https://twitter.com/querong92643614/status/923049178871169024","923049178871169024")</f>
        <v>923049178871169024</v>
      </c>
      <c r="F11905" s="23" t="s">
        <v>55</v>
      </c>
      <c r="G11905" s="24">
        <v>3.0</v>
      </c>
      <c r="H11905" s="24">
        <v>68.0</v>
      </c>
      <c r="I11905" s="24">
        <v>0.0</v>
      </c>
      <c r="J11905" s="24">
        <v>0.0</v>
      </c>
      <c r="K11905" s="23" t="s">
        <v>34</v>
      </c>
      <c r="L11905" s="25">
        <v>43032.28738425926</v>
      </c>
      <c r="M11905" s="28"/>
      <c r="N11905" s="28"/>
      <c r="O11905" s="22" t="str">
        <f t="shared" si="300"/>
        <v>View</v>
      </c>
      <c r="P11905" s="27"/>
    </row>
    <row r="11906">
      <c r="A11906" s="14">
        <v>43032.91027777777</v>
      </c>
      <c r="B11906" s="20" t="str">
        <f>HYPERLINK("https://twitter.com/yanghao291462","@yanghao291462")</f>
        <v>@yanghao291462</v>
      </c>
      <c r="C11906" s="21" t="s">
        <v>23034</v>
      </c>
      <c r="D11906" s="21" t="s">
        <v>24939</v>
      </c>
      <c r="E11906" s="22" t="str">
        <f>HYPERLINK("https://twitter.com/yanghao291462/status/923049178883698688","923049178883698688")</f>
        <v>923049178883698688</v>
      </c>
      <c r="F11906" s="23" t="s">
        <v>55</v>
      </c>
      <c r="G11906" s="24">
        <v>0.0</v>
      </c>
      <c r="H11906" s="24">
        <v>49.0</v>
      </c>
      <c r="I11906" s="24">
        <v>0.0</v>
      </c>
      <c r="J11906" s="24">
        <v>0.0</v>
      </c>
      <c r="K11906" s="23" t="s">
        <v>34</v>
      </c>
      <c r="L11906" s="25">
        <v>43032.28491898148</v>
      </c>
      <c r="M11906" s="28"/>
      <c r="N11906" s="28"/>
      <c r="O11906" s="22" t="str">
        <f t="shared" si="300"/>
        <v>View</v>
      </c>
      <c r="P11906" s="27"/>
    </row>
    <row r="11907">
      <c r="A11907" s="14">
        <v>43032.91027777777</v>
      </c>
      <c r="B11907" s="20" t="str">
        <f>HYPERLINK("https://twitter.com/bazai82620561","@bazai82620561")</f>
        <v>@bazai82620561</v>
      </c>
      <c r="C11907" s="21" t="s">
        <v>23036</v>
      </c>
      <c r="D11907" s="21" t="s">
        <v>24940</v>
      </c>
      <c r="E11907" s="22" t="str">
        <f>HYPERLINK("https://twitter.com/bazai82620561/status/923049179055669248","923049179055669248")</f>
        <v>923049179055669248</v>
      </c>
      <c r="F11907" s="23" t="s">
        <v>55</v>
      </c>
      <c r="G11907" s="24">
        <v>1.0</v>
      </c>
      <c r="H11907" s="24">
        <v>52.0</v>
      </c>
      <c r="I11907" s="24">
        <v>0.0</v>
      </c>
      <c r="J11907" s="24">
        <v>0.0</v>
      </c>
      <c r="K11907" s="23" t="s">
        <v>34</v>
      </c>
      <c r="L11907" s="25">
        <v>43032.280335648145</v>
      </c>
      <c r="M11907" s="28"/>
      <c r="N11907" s="28"/>
      <c r="O11907" s="22" t="str">
        <f t="shared" si="300"/>
        <v>View</v>
      </c>
      <c r="P11907" s="27"/>
    </row>
    <row r="11908">
      <c r="A11908" s="14">
        <v>43032.91027777777</v>
      </c>
      <c r="B11908" s="20" t="str">
        <f>HYPERLINK("https://twitter.com/muzhu37954","@muzhu37954")</f>
        <v>@muzhu37954</v>
      </c>
      <c r="C11908" s="21" t="s">
        <v>23038</v>
      </c>
      <c r="D11908" s="21" t="s">
        <v>24941</v>
      </c>
      <c r="E11908" s="22" t="str">
        <f>HYPERLINK("https://twitter.com/muzhu37954/status/923049179357704194","923049179357704194")</f>
        <v>923049179357704194</v>
      </c>
      <c r="F11908" s="23" t="s">
        <v>55</v>
      </c>
      <c r="G11908" s="24">
        <v>3.0</v>
      </c>
      <c r="H11908" s="24">
        <v>70.0</v>
      </c>
      <c r="I11908" s="24">
        <v>0.0</v>
      </c>
      <c r="J11908" s="24">
        <v>0.0</v>
      </c>
      <c r="K11908" s="23" t="s">
        <v>34</v>
      </c>
      <c r="L11908" s="25">
        <v>43032.28363425926</v>
      </c>
      <c r="M11908" s="28"/>
      <c r="N11908" s="28"/>
      <c r="O11908" s="22" t="str">
        <f t="shared" si="300"/>
        <v>View</v>
      </c>
      <c r="P11908" s="27"/>
    </row>
    <row r="11909">
      <c r="A11909" s="14">
        <v>43032.910578703704</v>
      </c>
      <c r="B11909" s="20" t="str">
        <f>HYPERLINK("https://twitter.com/sachigoto","@sachigoto")</f>
        <v>@sachigoto</v>
      </c>
      <c r="C11909" s="21" t="s">
        <v>24942</v>
      </c>
      <c r="D11909" s="21" t="s">
        <v>24007</v>
      </c>
      <c r="E11909" s="22" t="str">
        <f>HYPERLINK("https://twitter.com/sachigoto/status/923049287998570496","923049287998570496")</f>
        <v>923049287998570496</v>
      </c>
      <c r="F11909" s="23" t="s">
        <v>39</v>
      </c>
      <c r="G11909" s="24">
        <v>164.0</v>
      </c>
      <c r="H11909" s="24">
        <v>173.0</v>
      </c>
      <c r="I11909" s="24">
        <v>122.0</v>
      </c>
      <c r="J11909" s="24">
        <v>0.0</v>
      </c>
      <c r="K11909" s="23" t="s">
        <v>34</v>
      </c>
      <c r="L11909" s="25">
        <v>40925.7641087963</v>
      </c>
      <c r="M11909" s="28"/>
      <c r="N11909" s="26" t="s">
        <v>24943</v>
      </c>
      <c r="O11909" s="22" t="str">
        <f>HYPERLINK("https://pbs.twimg.com/profile_images/619852866203709440/Qtu-RjzE_normal.jpg","View")</f>
        <v>View</v>
      </c>
      <c r="P11909" s="27"/>
    </row>
    <row r="11910">
      <c r="A11910" s="14">
        <v>43032.91208333333</v>
      </c>
      <c r="B11910" s="20" t="str">
        <f>HYPERLINK("https://twitter.com/max007ab","@max007ab")</f>
        <v>@max007ab</v>
      </c>
      <c r="C11910" s="21" t="s">
        <v>24944</v>
      </c>
      <c r="D11910" s="21" t="s">
        <v>24945</v>
      </c>
      <c r="E11910" s="22" t="str">
        <f>HYPERLINK("https://twitter.com/max007ab/status/923049832083636224","923049832083636224")</f>
        <v>923049832083636224</v>
      </c>
      <c r="F11910" s="23" t="s">
        <v>33</v>
      </c>
      <c r="G11910" s="24">
        <v>61.0</v>
      </c>
      <c r="H11910" s="24">
        <v>181.0</v>
      </c>
      <c r="I11910" s="24">
        <v>0.0</v>
      </c>
      <c r="J11910" s="24">
        <v>0.0</v>
      </c>
      <c r="K11910" s="23" t="s">
        <v>34</v>
      </c>
      <c r="L11910" s="25">
        <v>41934.88474537037</v>
      </c>
      <c r="M11910" s="28"/>
      <c r="N11910" s="28"/>
      <c r="O11910" s="22" t="str">
        <f>HYPERLINK("https://pbs.twimg.com/profile_images/886021702164946944/6MfrRLZJ_normal.jpg","View")</f>
        <v>View</v>
      </c>
      <c r="P11910" s="27"/>
    </row>
    <row r="11911">
      <c r="A11911" s="14">
        <v>43032.91392361111</v>
      </c>
      <c r="B11911" s="20" t="str">
        <f>HYPERLINK("https://twitter.com/bannedz","@bannedz")</f>
        <v>@bannedz</v>
      </c>
      <c r="C11911" s="21" t="s">
        <v>24946</v>
      </c>
      <c r="D11911" s="21" t="s">
        <v>24947</v>
      </c>
      <c r="E11911" s="22" t="str">
        <f>HYPERLINK("https://twitter.com/bannedz/status/923050502153052160","923050502153052160")</f>
        <v>923050502153052160</v>
      </c>
      <c r="F11911" s="30" t="s">
        <v>411</v>
      </c>
      <c r="G11911" s="24">
        <v>238.0</v>
      </c>
      <c r="H11911" s="24">
        <v>213.0</v>
      </c>
      <c r="I11911" s="24">
        <v>0.0</v>
      </c>
      <c r="J11911" s="24">
        <v>0.0</v>
      </c>
      <c r="K11911" s="23" t="s">
        <v>34</v>
      </c>
      <c r="L11911" s="25">
        <v>40068.465208333335</v>
      </c>
      <c r="M11911" s="28"/>
      <c r="N11911" s="26" t="s">
        <v>5830</v>
      </c>
      <c r="O11911" s="22" t="str">
        <f>HYPERLINK("https://pbs.twimg.com/profile_images/3313947522/3555f9d74603f645d80ab8dc97cf0ceb_normal.jpeg","View")</f>
        <v>View</v>
      </c>
      <c r="P11911" s="27"/>
    </row>
    <row r="11912">
      <c r="A11912" s="14">
        <v>43032.91405092593</v>
      </c>
      <c r="B11912" s="20" t="str">
        <f>HYPERLINK("https://twitter.com/lAU31056701","@lAU31056701")</f>
        <v>@lAU31056701</v>
      </c>
      <c r="C11912" s="21" t="s">
        <v>24948</v>
      </c>
      <c r="D11912" s="21" t="s">
        <v>24007</v>
      </c>
      <c r="E11912" s="22" t="str">
        <f>HYPERLINK("https://twitter.com/lAU31056701/status/923050546625310725","923050546625310725")</f>
        <v>923050546625310725</v>
      </c>
      <c r="F11912" s="23" t="s">
        <v>33</v>
      </c>
      <c r="G11912" s="24">
        <v>3.0</v>
      </c>
      <c r="H11912" s="24">
        <v>12.0</v>
      </c>
      <c r="I11912" s="24">
        <v>122.0</v>
      </c>
      <c r="J11912" s="24">
        <v>0.0</v>
      </c>
      <c r="K11912" s="23" t="s">
        <v>34</v>
      </c>
      <c r="L11912" s="25">
        <v>43023.44342592593</v>
      </c>
      <c r="M11912" s="28"/>
      <c r="N11912" s="28"/>
      <c r="O11912" s="22" t="str">
        <f>HYPERLINK("https://pbs.twimg.com/profile_images/921757091806658560/M_wqsePF_normal.jpg","View")</f>
        <v>View</v>
      </c>
      <c r="P11912" s="27"/>
    </row>
    <row r="11913">
      <c r="A11913" s="14">
        <v>43032.914722222224</v>
      </c>
      <c r="B11913" s="20" t="str">
        <f>HYPERLINK("https://twitter.com/MaryAliceBisho2","@MaryAliceBisho2")</f>
        <v>@MaryAliceBisho2</v>
      </c>
      <c r="C11913" s="21" t="s">
        <v>24949</v>
      </c>
      <c r="D11913" s="21" t="s">
        <v>24799</v>
      </c>
      <c r="E11913" s="22" t="str">
        <f>HYPERLINK("https://twitter.com/MaryAliceBisho2/status/923050788963930112","923050788963930112")</f>
        <v>923050788963930112</v>
      </c>
      <c r="F11913" s="23" t="s">
        <v>39</v>
      </c>
      <c r="G11913" s="24">
        <v>1293.0</v>
      </c>
      <c r="H11913" s="24">
        <v>2112.0</v>
      </c>
      <c r="I11913" s="24">
        <v>31.0</v>
      </c>
      <c r="J11913" s="24">
        <v>0.0</v>
      </c>
      <c r="K11913" s="23" t="s">
        <v>34</v>
      </c>
      <c r="L11913" s="25">
        <v>42357.98587962963</v>
      </c>
      <c r="M11913" s="26" t="s">
        <v>24950</v>
      </c>
      <c r="N11913" s="26" t="s">
        <v>24951</v>
      </c>
      <c r="O11913" s="22" t="str">
        <f>HYPERLINK("https://pbs.twimg.com/profile_images/678576284159619072/dbN7pKRO_normal.jpg","View")</f>
        <v>View</v>
      </c>
      <c r="P11913" s="27"/>
    </row>
    <row r="11914">
      <c r="A11914" s="14">
        <v>43032.91501157408</v>
      </c>
      <c r="B11914" s="20" t="str">
        <f>HYPERLINK("https://twitter.com/sennekuyl","@sennekuyl")</f>
        <v>@sennekuyl</v>
      </c>
      <c r="C11914" s="21" t="s">
        <v>24952</v>
      </c>
      <c r="D11914" s="21" t="s">
        <v>23401</v>
      </c>
      <c r="E11914" s="22" t="str">
        <f>HYPERLINK("https://twitter.com/sennekuyl/status/923050893716549632","923050893716549632")</f>
        <v>923050893716549632</v>
      </c>
      <c r="F11914" s="23" t="s">
        <v>3572</v>
      </c>
      <c r="G11914" s="24">
        <v>830.0</v>
      </c>
      <c r="H11914" s="24">
        <v>2459.0</v>
      </c>
      <c r="I11914" s="24">
        <v>7.0</v>
      </c>
      <c r="J11914" s="24">
        <v>0.0</v>
      </c>
      <c r="K11914" s="23" t="s">
        <v>34</v>
      </c>
      <c r="L11914" s="25">
        <v>40132.73925925926</v>
      </c>
      <c r="M11914" s="26" t="s">
        <v>24953</v>
      </c>
      <c r="N11914" s="26" t="s">
        <v>24954</v>
      </c>
      <c r="O11914" s="22" t="str">
        <f>HYPERLINK("https://pbs.twimg.com/profile_images/910015090912411648/CBgHlnbt_normal.jpg","View")</f>
        <v>View</v>
      </c>
      <c r="P11914" s="27"/>
    </row>
    <row r="11915">
      <c r="A11915" s="14">
        <v>43032.91517361111</v>
      </c>
      <c r="B11915" s="20" t="str">
        <f>HYPERLINK("https://twitter.com/AvianoBrat","@AvianoBrat")</f>
        <v>@AvianoBrat</v>
      </c>
      <c r="C11915" s="21" t="s">
        <v>24955</v>
      </c>
      <c r="D11915" s="21" t="s">
        <v>24799</v>
      </c>
      <c r="E11915" s="22" t="str">
        <f>HYPERLINK("https://twitter.com/AvianoBrat/status/923050954014019585","923050954014019585")</f>
        <v>923050954014019585</v>
      </c>
      <c r="F11915" s="23" t="s">
        <v>39</v>
      </c>
      <c r="G11915" s="24">
        <v>171.0</v>
      </c>
      <c r="H11915" s="24">
        <v>148.0</v>
      </c>
      <c r="I11915" s="24">
        <v>31.0</v>
      </c>
      <c r="J11915" s="24">
        <v>0.0</v>
      </c>
      <c r="K11915" s="23" t="s">
        <v>34</v>
      </c>
      <c r="L11915" s="25">
        <v>40860.59751157407</v>
      </c>
      <c r="M11915" s="28"/>
      <c r="N11915" s="28"/>
      <c r="O11915" s="22" t="str">
        <f>HYPERLINK("https://pbs.twimg.com/profile_images/1666117460/image_normal.jpg","View")</f>
        <v>View</v>
      </c>
      <c r="P11915" s="27"/>
    </row>
    <row r="11916">
      <c r="A11916" s="14">
        <v>43032.91590277778</v>
      </c>
      <c r="B11916" s="20" t="str">
        <f>HYPERLINK("https://twitter.com/RandomMinutia","@RandomMinutia")</f>
        <v>@RandomMinutia</v>
      </c>
      <c r="C11916" s="21" t="s">
        <v>24956</v>
      </c>
      <c r="D11916" s="21" t="s">
        <v>24799</v>
      </c>
      <c r="E11916" s="22" t="str">
        <f>HYPERLINK("https://twitter.com/RandomMinutia/status/923051217579859968","923051217579859968")</f>
        <v>923051217579859968</v>
      </c>
      <c r="F11916" s="23" t="s">
        <v>39</v>
      </c>
      <c r="G11916" s="24">
        <v>74.0</v>
      </c>
      <c r="H11916" s="24">
        <v>202.0</v>
      </c>
      <c r="I11916" s="24">
        <v>31.0</v>
      </c>
      <c r="J11916" s="24">
        <v>0.0</v>
      </c>
      <c r="K11916" s="23" t="s">
        <v>34</v>
      </c>
      <c r="L11916" s="25">
        <v>40889.64032407408</v>
      </c>
      <c r="M11916" s="28"/>
      <c r="N11916" s="26" t="s">
        <v>24957</v>
      </c>
      <c r="O11916" s="22" t="str">
        <f>HYPERLINK("https://pbs.twimg.com/profile_images/684575419635376128/ESJrkpXm_normal.jpg","View")</f>
        <v>View</v>
      </c>
      <c r="P11916" s="27"/>
    </row>
    <row r="11917">
      <c r="A11917" s="14">
        <v>43032.91627314815</v>
      </c>
      <c r="B11917" s="20" t="str">
        <f>HYPERLINK("https://twitter.com/zentrade_online","@zentrade_online")</f>
        <v>@zentrade_online</v>
      </c>
      <c r="C11917" s="21" t="s">
        <v>24958</v>
      </c>
      <c r="D11917" s="21" t="s">
        <v>24959</v>
      </c>
      <c r="E11917" s="22" t="str">
        <f>HYPERLINK("https://twitter.com/zentrade_online/status/923051351046750208","923051351046750208")</f>
        <v>923051351046750208</v>
      </c>
      <c r="F11917" s="23" t="s">
        <v>24960</v>
      </c>
      <c r="G11917" s="24">
        <v>8173.0</v>
      </c>
      <c r="H11917" s="24">
        <v>7717.0</v>
      </c>
      <c r="I11917" s="24">
        <v>0.0</v>
      </c>
      <c r="J11917" s="24">
        <v>0.0</v>
      </c>
      <c r="K11917" s="23" t="s">
        <v>34</v>
      </c>
      <c r="L11917" s="25">
        <v>41546.24309027778</v>
      </c>
      <c r="M11917" s="28"/>
      <c r="N11917" s="26" t="s">
        <v>24961</v>
      </c>
      <c r="O11917" s="22" t="str">
        <f>HYPERLINK("https://pbs.twimg.com/profile_images/867686891021365249/_DEEw4nW_normal.jpg","View")</f>
        <v>View</v>
      </c>
      <c r="P11917" s="27"/>
    </row>
    <row r="11918">
      <c r="A11918" s="14">
        <v>43032.91704861111</v>
      </c>
      <c r="B11918" s="20" t="str">
        <f>HYPERLINK("https://twitter.com/Bube_Peace","@Bube_Peace")</f>
        <v>@Bube_Peace</v>
      </c>
      <c r="C11918" s="21" t="s">
        <v>24962</v>
      </c>
      <c r="D11918" s="21" t="s">
        <v>24007</v>
      </c>
      <c r="E11918" s="22" t="str">
        <f>HYPERLINK("https://twitter.com/Bube_Peace/status/923051633864404993","923051633864404993")</f>
        <v>923051633864404993</v>
      </c>
      <c r="F11918" s="23" t="s">
        <v>33</v>
      </c>
      <c r="G11918" s="24">
        <v>3020.0</v>
      </c>
      <c r="H11918" s="24">
        <v>2517.0</v>
      </c>
      <c r="I11918" s="24">
        <v>122.0</v>
      </c>
      <c r="J11918" s="24">
        <v>0.0</v>
      </c>
      <c r="K11918" s="23" t="s">
        <v>34</v>
      </c>
      <c r="L11918" s="25">
        <v>41392.982881944445</v>
      </c>
      <c r="M11918" s="26" t="s">
        <v>10404</v>
      </c>
      <c r="N11918" s="26" t="s">
        <v>24963</v>
      </c>
      <c r="O11918" s="22" t="str">
        <f>HYPERLINK("https://pbs.twimg.com/profile_images/725209241754050560/C3wfWpz1_normal.jpg","View")</f>
        <v>View</v>
      </c>
      <c r="P11918" s="27"/>
    </row>
    <row r="11919">
      <c r="A11919" s="14">
        <v>43032.91755787037</v>
      </c>
      <c r="B11919" s="20" t="str">
        <f>HYPERLINK("https://twitter.com/alfreeeman","@alfreeeman")</f>
        <v>@alfreeeman</v>
      </c>
      <c r="C11919" s="21" t="s">
        <v>24964</v>
      </c>
      <c r="D11919" s="21" t="s">
        <v>24965</v>
      </c>
      <c r="E11919" s="22" t="str">
        <f>HYPERLINK("https://twitter.com/alfreeeman/status/923051817537343489","923051817537343489")</f>
        <v>923051817537343489</v>
      </c>
      <c r="F11919" s="23" t="s">
        <v>55</v>
      </c>
      <c r="G11919" s="24">
        <v>85.0</v>
      </c>
      <c r="H11919" s="24">
        <v>87.0</v>
      </c>
      <c r="I11919" s="24">
        <v>0.0</v>
      </c>
      <c r="J11919" s="24">
        <v>0.0</v>
      </c>
      <c r="K11919" s="23" t="s">
        <v>34</v>
      </c>
      <c r="L11919" s="25">
        <v>41869.27276620371</v>
      </c>
      <c r="M11919" s="26" t="s">
        <v>1964</v>
      </c>
      <c r="N11919" s="26" t="s">
        <v>24966</v>
      </c>
      <c r="O11919" s="22" t="str">
        <f>HYPERLINK("https://pbs.twimg.com/profile_images/694631937856688128/BwtAjYI3_normal.jpg","View")</f>
        <v>View</v>
      </c>
      <c r="P11919" s="27"/>
    </row>
    <row r="11920">
      <c r="A11920" s="14">
        <v>43032.91829861111</v>
      </c>
      <c r="B11920" s="20" t="str">
        <f>HYPERLINK("https://twitter.com/PokhrajSaw","@PokhrajSaw")</f>
        <v>@PokhrajSaw</v>
      </c>
      <c r="C11920" s="21" t="s">
        <v>24967</v>
      </c>
      <c r="D11920" s="21" t="s">
        <v>22882</v>
      </c>
      <c r="E11920" s="22" t="str">
        <f>HYPERLINK("https://twitter.com/PokhrajSaw/status/923052086979215365","923052086979215365")</f>
        <v>923052086979215365</v>
      </c>
      <c r="F11920" s="23" t="s">
        <v>33</v>
      </c>
      <c r="G11920" s="24">
        <v>22.0</v>
      </c>
      <c r="H11920" s="24">
        <v>249.0</v>
      </c>
      <c r="I11920" s="24">
        <v>33.0</v>
      </c>
      <c r="J11920" s="24">
        <v>0.0</v>
      </c>
      <c r="K11920" s="23" t="s">
        <v>34</v>
      </c>
      <c r="L11920" s="25">
        <v>42999.95689814815</v>
      </c>
      <c r="M11920" s="28"/>
      <c r="N11920" s="28"/>
      <c r="O11920" s="22" t="str">
        <f>HYPERLINK("https://abs.twimg.com/sticky/default_profile_images/default_profile_normal.png","View")</f>
        <v>View</v>
      </c>
      <c r="P11920" s="27"/>
    </row>
    <row r="11921">
      <c r="A11921" s="14">
        <v>43032.919386574074</v>
      </c>
      <c r="B11921" s="20" t="str">
        <f>HYPERLINK("https://twitter.com/chrispydog","@chrispydog")</f>
        <v>@chrispydog</v>
      </c>
      <c r="C11921" s="21" t="s">
        <v>24968</v>
      </c>
      <c r="D11921" s="21" t="s">
        <v>23401</v>
      </c>
      <c r="E11921" s="22" t="str">
        <f>HYPERLINK("https://twitter.com/chrispydog/status/923052479205466112","923052479205466112")</f>
        <v>923052479205466112</v>
      </c>
      <c r="F11921" s="23" t="s">
        <v>55</v>
      </c>
      <c r="G11921" s="24">
        <v>746.0</v>
      </c>
      <c r="H11921" s="24">
        <v>461.0</v>
      </c>
      <c r="I11921" s="24">
        <v>7.0</v>
      </c>
      <c r="J11921" s="24">
        <v>0.0</v>
      </c>
      <c r="K11921" s="23" t="s">
        <v>34</v>
      </c>
      <c r="L11921" s="25">
        <v>39984.749606481484</v>
      </c>
      <c r="M11921" s="28"/>
      <c r="N11921" s="28"/>
      <c r="O11921" s="22" t="str">
        <f>HYPERLINK("https://pbs.twimg.com/profile_images/767519068/Dragon_normal.jpg","View")</f>
        <v>View</v>
      </c>
      <c r="P11921" s="27"/>
    </row>
    <row r="11922">
      <c r="A11922" s="14">
        <v>43032.919444444444</v>
      </c>
      <c r="B11922" s="20" t="str">
        <f>HYPERLINK("https://twitter.com/BJPJAMSHEDPUR","@BJPJAMSHEDPUR")</f>
        <v>@BJPJAMSHEDPUR</v>
      </c>
      <c r="C11922" s="21" t="s">
        <v>24969</v>
      </c>
      <c r="D11922" s="21" t="s">
        <v>22882</v>
      </c>
      <c r="E11922" s="22" t="str">
        <f>HYPERLINK("https://twitter.com/BJPJAMSHEDPUR/status/923052503444238337","923052503444238337")</f>
        <v>923052503444238337</v>
      </c>
      <c r="F11922" s="23" t="s">
        <v>33</v>
      </c>
      <c r="G11922" s="24">
        <v>145.0</v>
      </c>
      <c r="H11922" s="24">
        <v>601.0</v>
      </c>
      <c r="I11922" s="24">
        <v>33.0</v>
      </c>
      <c r="J11922" s="24">
        <v>0.0</v>
      </c>
      <c r="K11922" s="23" t="s">
        <v>34</v>
      </c>
      <c r="L11922" s="25">
        <v>42949.25917824074</v>
      </c>
      <c r="M11922" s="28"/>
      <c r="N11922" s="26" t="s">
        <v>24970</v>
      </c>
      <c r="O11922" s="22" t="str">
        <f>HYPERLINK("https://pbs.twimg.com/profile_images/912202369265410048/AH5QjFS5_normal.jpg","View")</f>
        <v>View</v>
      </c>
      <c r="P11922" s="27"/>
    </row>
    <row r="11923">
      <c r="A11923" s="14">
        <v>43032.91983796297</v>
      </c>
      <c r="B11923" s="20" t="str">
        <f>HYPERLINK("https://twitter.com/DonJohnstonLC","@DonJohnstonLC")</f>
        <v>@DonJohnstonLC</v>
      </c>
      <c r="C11923" s="21" t="s">
        <v>12229</v>
      </c>
      <c r="D11923" s="21" t="s">
        <v>24971</v>
      </c>
      <c r="E11923" s="22" t="str">
        <f>HYPERLINK("https://twitter.com/DonJohnstonLC/status/923052644142342144","923052644142342144")</f>
        <v>923052644142342144</v>
      </c>
      <c r="F11923" s="23" t="s">
        <v>187</v>
      </c>
      <c r="G11923" s="24">
        <v>2843.0</v>
      </c>
      <c r="H11923" s="24">
        <v>782.0</v>
      </c>
      <c r="I11923" s="24">
        <v>0.0</v>
      </c>
      <c r="J11923" s="24">
        <v>0.0</v>
      </c>
      <c r="K11923" s="23" t="s">
        <v>34</v>
      </c>
      <c r="L11923" s="25">
        <v>42518.63056712963</v>
      </c>
      <c r="M11923" s="26" t="s">
        <v>2534</v>
      </c>
      <c r="N11923" s="26" t="s">
        <v>12231</v>
      </c>
      <c r="O11923" s="22" t="str">
        <f>HYPERLINK("https://pbs.twimg.com/profile_images/899843960767643648/x30pTAZ9_normal.jpg","View")</f>
        <v>View</v>
      </c>
      <c r="P11923" s="27"/>
    </row>
    <row r="11924">
      <c r="A11924" s="14">
        <v>43032.91994212963</v>
      </c>
      <c r="B11924" s="20" t="str">
        <f>HYPERLINK("https://twitter.com/Jun_Sky_0610","@Jun_Sky_0610")</f>
        <v>@Jun_Sky_0610</v>
      </c>
      <c r="C11924" s="21" t="s">
        <v>24972</v>
      </c>
      <c r="D11924" s="21" t="s">
        <v>24007</v>
      </c>
      <c r="E11924" s="22" t="str">
        <f>HYPERLINK("https://twitter.com/Jun_Sky_0610/status/923052680376868864","923052680376868864")</f>
        <v>923052680376868864</v>
      </c>
      <c r="F11924" s="23" t="s">
        <v>39</v>
      </c>
      <c r="G11924" s="24">
        <v>1389.0</v>
      </c>
      <c r="H11924" s="24">
        <v>1524.0</v>
      </c>
      <c r="I11924" s="24">
        <v>122.0</v>
      </c>
      <c r="J11924" s="24">
        <v>0.0</v>
      </c>
      <c r="K11924" s="23" t="s">
        <v>34</v>
      </c>
      <c r="L11924" s="25">
        <v>40653.40435185185</v>
      </c>
      <c r="M11924" s="28"/>
      <c r="N11924" s="26" t="s">
        <v>24973</v>
      </c>
      <c r="O11924" s="22" t="str">
        <f>HYPERLINK("https://pbs.twimg.com/profile_images/2330677188/ejv4046enmvfvwlw7mfv_normal.jpeg","View")</f>
        <v>View</v>
      </c>
      <c r="P11924" s="27"/>
    </row>
    <row r="11925">
      <c r="A11925" s="14">
        <v>43032.920219907406</v>
      </c>
      <c r="B11925" s="20" t="str">
        <f>HYPERLINK("https://twitter.com/BjpReckongpeo","@BjpReckongpeo")</f>
        <v>@BjpReckongpeo</v>
      </c>
      <c r="C11925" s="21" t="s">
        <v>24974</v>
      </c>
      <c r="D11925" s="21" t="s">
        <v>42</v>
      </c>
      <c r="E11925" s="22" t="str">
        <f>HYPERLINK("https://twitter.com/BjpReckongpeo/status/923052782050873344","923052782050873344")</f>
        <v>923052782050873344</v>
      </c>
      <c r="F11925" s="23" t="s">
        <v>33</v>
      </c>
      <c r="G11925" s="24">
        <v>213.0</v>
      </c>
      <c r="H11925" s="24">
        <v>136.0</v>
      </c>
      <c r="I11925" s="24">
        <v>8501.0</v>
      </c>
      <c r="J11925" s="24">
        <v>0.0</v>
      </c>
      <c r="K11925" s="23" t="s">
        <v>34</v>
      </c>
      <c r="L11925" s="25">
        <v>42609.30244212963</v>
      </c>
      <c r="M11925" s="26" t="s">
        <v>24975</v>
      </c>
      <c r="N11925" s="26" t="s">
        <v>24976</v>
      </c>
      <c r="O11925" s="22" t="str">
        <f>HYPERLINK("https://pbs.twimg.com/profile_images/770211015346757632/EhmHa3lE_normal.jpg","View")</f>
        <v>View</v>
      </c>
      <c r="P11925" s="27"/>
    </row>
    <row r="11926">
      <c r="A11926" s="14">
        <v>43032.92046296297</v>
      </c>
      <c r="B11926" s="20" t="str">
        <f>HYPERLINK("https://twitter.com/frankie5563","@frankie5563")</f>
        <v>@frankie5563</v>
      </c>
      <c r="C11926" s="21" t="s">
        <v>24977</v>
      </c>
      <c r="D11926" s="21" t="s">
        <v>24799</v>
      </c>
      <c r="E11926" s="22" t="str">
        <f>HYPERLINK("https://twitter.com/frankie5563/status/923052870844534784","923052870844534784")</f>
        <v>923052870844534784</v>
      </c>
      <c r="F11926" s="23" t="s">
        <v>33</v>
      </c>
      <c r="G11926" s="24">
        <v>480.0</v>
      </c>
      <c r="H11926" s="24">
        <v>100.0</v>
      </c>
      <c r="I11926" s="24">
        <v>31.0</v>
      </c>
      <c r="J11926" s="24">
        <v>0.0</v>
      </c>
      <c r="K11926" s="23" t="s">
        <v>34</v>
      </c>
      <c r="L11926" s="25">
        <v>42046.718819444446</v>
      </c>
      <c r="M11926" s="26" t="s">
        <v>24978</v>
      </c>
      <c r="N11926" s="26" t="s">
        <v>24979</v>
      </c>
      <c r="O11926" s="22" t="str">
        <f>HYPERLINK("https://pbs.twimg.com/profile_images/565681639036960768/M384QZyp_normal.jpeg","View")</f>
        <v>View</v>
      </c>
      <c r="P11926" s="27"/>
    </row>
    <row r="11927">
      <c r="A11927" s="14">
        <v>43032.92199074074</v>
      </c>
      <c r="B11927" s="20" t="str">
        <f>HYPERLINK("https://twitter.com/nekokei2164","@nekokei2164")</f>
        <v>@nekokei2164</v>
      </c>
      <c r="C11927" s="21" t="s">
        <v>1988</v>
      </c>
      <c r="D11927" s="21" t="s">
        <v>24007</v>
      </c>
      <c r="E11927" s="22" t="str">
        <f>HYPERLINK("https://twitter.com/nekokei2164/status/923053422236061696","923053422236061696")</f>
        <v>923053422236061696</v>
      </c>
      <c r="F11927" s="23" t="s">
        <v>230</v>
      </c>
      <c r="G11927" s="24">
        <v>1868.0</v>
      </c>
      <c r="H11927" s="24">
        <v>2902.0</v>
      </c>
      <c r="I11927" s="24">
        <v>122.0</v>
      </c>
      <c r="J11927" s="24">
        <v>0.0</v>
      </c>
      <c r="K11927" s="23" t="s">
        <v>34</v>
      </c>
      <c r="L11927" s="25">
        <v>42450.21089120371</v>
      </c>
      <c r="M11927" s="28"/>
      <c r="N11927" s="26" t="s">
        <v>1989</v>
      </c>
      <c r="O11927" s="22" t="str">
        <f>HYPERLINK("https://pbs.twimg.com/profile_images/711890504934301696/Lkn4DZqh_normal.jpg","View")</f>
        <v>View</v>
      </c>
      <c r="P11927" s="27"/>
    </row>
    <row r="11928">
      <c r="A11928" s="14">
        <v>43032.92273148148</v>
      </c>
      <c r="B11928" s="20" t="str">
        <f>HYPERLINK("https://twitter.com/jostaryoutube36","@jostaryoutube36")</f>
        <v>@jostaryoutube36</v>
      </c>
      <c r="C11928" s="21" t="s">
        <v>23244</v>
      </c>
      <c r="D11928" s="21" t="s">
        <v>24980</v>
      </c>
      <c r="E11928" s="22" t="str">
        <f>HYPERLINK("https://twitter.com/jostaryoutube36/status/923053694714765312","923053694714765312")</f>
        <v>923053694714765312</v>
      </c>
      <c r="F11928" s="30" t="s">
        <v>659</v>
      </c>
      <c r="G11928" s="24">
        <v>44.0</v>
      </c>
      <c r="H11928" s="24">
        <v>64.0</v>
      </c>
      <c r="I11928" s="24">
        <v>0.0</v>
      </c>
      <c r="J11928" s="24">
        <v>0.0</v>
      </c>
      <c r="K11928" s="23" t="s">
        <v>34</v>
      </c>
      <c r="L11928" s="25">
        <v>42670.46351851852</v>
      </c>
      <c r="M11928" s="26" t="s">
        <v>660</v>
      </c>
      <c r="N11928" s="26" t="s">
        <v>705</v>
      </c>
      <c r="O11928" s="22" t="str">
        <f>HYPERLINK("https://pbs.twimg.com/profile_images/791703241549492224/vGUX_vGC_normal.jpg","View")</f>
        <v>View</v>
      </c>
      <c r="P11928" s="27"/>
    </row>
    <row r="11929">
      <c r="A11929" s="14">
        <v>43032.92296296296</v>
      </c>
      <c r="B11929" s="20" t="str">
        <f>HYPERLINK("https://twitter.com/Chandra51096460","@Chandra51096460")</f>
        <v>@Chandra51096460</v>
      </c>
      <c r="C11929" s="21" t="s">
        <v>24981</v>
      </c>
      <c r="D11929" s="21" t="s">
        <v>22882</v>
      </c>
      <c r="E11929" s="22" t="str">
        <f>HYPERLINK("https://twitter.com/Chandra51096460/status/923053774762946560","923053774762946560")</f>
        <v>923053774762946560</v>
      </c>
      <c r="F11929" s="23" t="s">
        <v>33</v>
      </c>
      <c r="G11929" s="24">
        <v>32.0</v>
      </c>
      <c r="H11929" s="24">
        <v>96.0</v>
      </c>
      <c r="I11929" s="24">
        <v>33.0</v>
      </c>
      <c r="J11929" s="24">
        <v>0.0</v>
      </c>
      <c r="K11929" s="23" t="s">
        <v>34</v>
      </c>
      <c r="L11929" s="25">
        <v>42916.19501157408</v>
      </c>
      <c r="M11929" s="28"/>
      <c r="N11929" s="28"/>
      <c r="O11929" s="22" t="str">
        <f>HYPERLINK("https://abs.twimg.com/sticky/default_profile_images/default_profile_normal.png","View")</f>
        <v>View</v>
      </c>
      <c r="P11929" s="27"/>
    </row>
    <row r="11930">
      <c r="A11930" s="14">
        <v>43032.92321759259</v>
      </c>
      <c r="B11930" s="20" t="str">
        <f>HYPERLINK("https://twitter.com/krsam8","@krsam8")</f>
        <v>@krsam8</v>
      </c>
      <c r="C11930" s="21" t="s">
        <v>24982</v>
      </c>
      <c r="D11930" s="21" t="s">
        <v>42</v>
      </c>
      <c r="E11930" s="22" t="str">
        <f>HYPERLINK("https://twitter.com/krsam8/status/923053868950347776","923053868950347776")</f>
        <v>923053868950347776</v>
      </c>
      <c r="F11930" s="23" t="s">
        <v>33</v>
      </c>
      <c r="G11930" s="24">
        <v>375.0</v>
      </c>
      <c r="H11930" s="24">
        <v>483.0</v>
      </c>
      <c r="I11930" s="24">
        <v>8501.0</v>
      </c>
      <c r="J11930" s="24">
        <v>0.0</v>
      </c>
      <c r="K11930" s="23" t="s">
        <v>34</v>
      </c>
      <c r="L11930" s="25">
        <v>42837.430763888886</v>
      </c>
      <c r="M11930" s="26" t="s">
        <v>24983</v>
      </c>
      <c r="N11930" s="26" t="s">
        <v>24984</v>
      </c>
      <c r="O11930" s="22" t="str">
        <f>HYPERLINK("https://pbs.twimg.com/profile_images/906321560331476993/07HA6aEm_normal.jpg","View")</f>
        <v>View</v>
      </c>
      <c r="P11930" s="27"/>
    </row>
    <row r="11931">
      <c r="A11931" s="14">
        <v>43032.92329861112</v>
      </c>
      <c r="B11931" s="20" t="str">
        <f>HYPERLINK("https://twitter.com/mysourcespot","@mysourcespot")</f>
        <v>@mysourcespot</v>
      </c>
      <c r="C11931" s="21" t="s">
        <v>5545</v>
      </c>
      <c r="D11931" s="21" t="s">
        <v>24985</v>
      </c>
      <c r="E11931" s="22" t="str">
        <f>HYPERLINK("https://twitter.com/mysourcespot/status/923053899413688320","923053899413688320")</f>
        <v>923053899413688320</v>
      </c>
      <c r="F11931" s="30" t="s">
        <v>191</v>
      </c>
      <c r="G11931" s="24">
        <v>74.0</v>
      </c>
      <c r="H11931" s="24">
        <v>783.0</v>
      </c>
      <c r="I11931" s="24">
        <v>0.0</v>
      </c>
      <c r="J11931" s="24">
        <v>0.0</v>
      </c>
      <c r="K11931" s="23" t="s">
        <v>34</v>
      </c>
      <c r="L11931" s="25">
        <v>42766.06340277778</v>
      </c>
      <c r="M11931" s="28"/>
      <c r="N11931" s="28"/>
      <c r="O11931" s="22" t="str">
        <f>HYPERLINK("https://pbs.twimg.com/profile_images/826363423927713794/FKQplekc_normal.jpg","View")</f>
        <v>View</v>
      </c>
      <c r="P11931" s="27"/>
    </row>
    <row r="11932">
      <c r="A11932" s="14">
        <v>43032.92393518519</v>
      </c>
      <c r="B11932" s="20" t="str">
        <f>HYPERLINK("https://twitter.com/HappaNarinder","@HappaNarinder")</f>
        <v>@HappaNarinder</v>
      </c>
      <c r="C11932" s="21" t="s">
        <v>24986</v>
      </c>
      <c r="D11932" s="21" t="s">
        <v>12974</v>
      </c>
      <c r="E11932" s="22" t="str">
        <f>HYPERLINK("https://twitter.com/HappaNarinder/status/923054130607751168","923054130607751168")</f>
        <v>923054130607751168</v>
      </c>
      <c r="F11932" s="23" t="s">
        <v>33</v>
      </c>
      <c r="G11932" s="24">
        <v>869.0</v>
      </c>
      <c r="H11932" s="24">
        <v>100.0</v>
      </c>
      <c r="I11932" s="24">
        <v>110.0</v>
      </c>
      <c r="J11932" s="24">
        <v>0.0</v>
      </c>
      <c r="K11932" s="23" t="s">
        <v>34</v>
      </c>
      <c r="L11932" s="25">
        <v>41650.315833333334</v>
      </c>
      <c r="M11932" s="26" t="s">
        <v>24987</v>
      </c>
      <c r="N11932" s="26" t="s">
        <v>24988</v>
      </c>
      <c r="O11932" s="22" t="str">
        <f>HYPERLINK("https://pbs.twimg.com/profile_images/422984565917880320/Pc50MXb8_normal.jpeg","View")</f>
        <v>View</v>
      </c>
      <c r="P11932" s="27"/>
    </row>
    <row r="11933">
      <c r="A11933" s="14">
        <v>43032.924409722225</v>
      </c>
      <c r="B11933" s="20" t="str">
        <f>HYPERLINK("https://twitter.com/Arjunku8186","@Arjunku8186")</f>
        <v>@Arjunku8186</v>
      </c>
      <c r="C11933" s="21" t="s">
        <v>24989</v>
      </c>
      <c r="D11933" s="21" t="s">
        <v>22882</v>
      </c>
      <c r="E11933" s="22" t="str">
        <f>HYPERLINK("https://twitter.com/Arjunku8186/status/923054299017392128","923054299017392128")</f>
        <v>923054299017392128</v>
      </c>
      <c r="F11933" s="23" t="s">
        <v>33</v>
      </c>
      <c r="G11933" s="24">
        <v>29.0</v>
      </c>
      <c r="H11933" s="24">
        <v>26.0</v>
      </c>
      <c r="I11933" s="24">
        <v>33.0</v>
      </c>
      <c r="J11933" s="24">
        <v>0.0</v>
      </c>
      <c r="K11933" s="23" t="s">
        <v>34</v>
      </c>
      <c r="L11933" s="25">
        <v>42956.05231481481</v>
      </c>
      <c r="M11933" s="26" t="s">
        <v>24990</v>
      </c>
      <c r="N11933" s="26" t="s">
        <v>7801</v>
      </c>
      <c r="O11933" s="22" t="str">
        <f>HYPERLINK("https://pbs.twimg.com/profile_images/895220061513711616/-8piKJQt_normal.jpg","View")</f>
        <v>View</v>
      </c>
      <c r="P11933" s="27"/>
    </row>
    <row r="11934">
      <c r="A11934" s="14">
        <v>43032.92445601852</v>
      </c>
      <c r="B11934" s="20" t="str">
        <f>HYPERLINK("https://twitter.com/Rin_Fields","@Rin_Fields")</f>
        <v>@Rin_Fields</v>
      </c>
      <c r="C11934" s="21" t="s">
        <v>24991</v>
      </c>
      <c r="D11934" s="21" t="s">
        <v>24007</v>
      </c>
      <c r="E11934" s="22" t="str">
        <f>HYPERLINK("https://twitter.com/Rin_Fields/status/923054318768422913","923054318768422913")</f>
        <v>923054318768422913</v>
      </c>
      <c r="F11934" s="23" t="s">
        <v>39</v>
      </c>
      <c r="G11934" s="24">
        <v>1091.0</v>
      </c>
      <c r="H11934" s="24">
        <v>1211.0</v>
      </c>
      <c r="I11934" s="24">
        <v>122.0</v>
      </c>
      <c r="J11934" s="24">
        <v>0.0</v>
      </c>
      <c r="K11934" s="23" t="s">
        <v>34</v>
      </c>
      <c r="L11934" s="25">
        <v>41190.072060185186</v>
      </c>
      <c r="M11934" s="26" t="s">
        <v>24992</v>
      </c>
      <c r="N11934" s="26" t="s">
        <v>24993</v>
      </c>
      <c r="O11934" s="22" t="str">
        <f>HYPERLINK("https://pbs.twimg.com/profile_images/875519080358264832/PSrROcAd_normal.jpg","View")</f>
        <v>View</v>
      </c>
      <c r="P11934" s="27"/>
    </row>
    <row r="11935">
      <c r="A11935" s="14">
        <v>43032.92459490741</v>
      </c>
      <c r="B11935" s="20" t="str">
        <f>HYPERLINK("https://twitter.com/New_Narrative","@New_Narrative")</f>
        <v>@New_Narrative</v>
      </c>
      <c r="C11935" s="21" t="s">
        <v>6409</v>
      </c>
      <c r="D11935" s="21" t="s">
        <v>24994</v>
      </c>
      <c r="E11935" s="22" t="str">
        <f>HYPERLINK("https://twitter.com/New_Narrative/status/923054366474555393","923054366474555393")</f>
        <v>923054366474555393</v>
      </c>
      <c r="F11935" s="23" t="s">
        <v>39</v>
      </c>
      <c r="G11935" s="24">
        <v>6536.0</v>
      </c>
      <c r="H11935" s="24">
        <v>27.0</v>
      </c>
      <c r="I11935" s="24">
        <v>0.0</v>
      </c>
      <c r="J11935" s="24">
        <v>0.0</v>
      </c>
      <c r="K11935" s="23" t="s">
        <v>34</v>
      </c>
      <c r="L11935" s="25">
        <v>40566.38041666667</v>
      </c>
      <c r="M11935" s="26" t="s">
        <v>6411</v>
      </c>
      <c r="N11935" s="26" t="s">
        <v>6412</v>
      </c>
      <c r="O11935" s="22" t="str">
        <f>HYPERLINK("https://pbs.twimg.com/profile_images/1548673665/megaphone-kid-cropped_normal.jpg","View")</f>
        <v>View</v>
      </c>
      <c r="P11935" s="27"/>
    </row>
    <row r="11936">
      <c r="A11936" s="14">
        <v>43032.92574074074</v>
      </c>
      <c r="B11936" s="20" t="str">
        <f>HYPERLINK("https://twitter.com/sushilpunia","@sushilpunia")</f>
        <v>@sushilpunia</v>
      </c>
      <c r="C11936" s="21" t="s">
        <v>9224</v>
      </c>
      <c r="D11936" s="21" t="s">
        <v>24995</v>
      </c>
      <c r="E11936" s="22" t="str">
        <f>HYPERLINK("https://twitter.com/sushilpunia/status/923054784868843521","923054784868843521")</f>
        <v>923054784868843521</v>
      </c>
      <c r="F11936" s="30" t="s">
        <v>411</v>
      </c>
      <c r="G11936" s="24">
        <v>19535.0</v>
      </c>
      <c r="H11936" s="24">
        <v>10828.0</v>
      </c>
      <c r="I11936" s="24">
        <v>0.0</v>
      </c>
      <c r="J11936" s="24">
        <v>0.0</v>
      </c>
      <c r="K11936" s="23" t="s">
        <v>34</v>
      </c>
      <c r="L11936" s="25">
        <v>40169.19849537037</v>
      </c>
      <c r="M11936" s="26" t="s">
        <v>3003</v>
      </c>
      <c r="N11936" s="28"/>
      <c r="O11936" s="22" t="str">
        <f>HYPERLINK("https://pbs.twimg.com/profile_images/1100645007/41706_100000580800405_8447_q_normal.jpg","View")</f>
        <v>View</v>
      </c>
      <c r="P11936" s="27"/>
    </row>
    <row r="11937">
      <c r="A11937" s="14">
        <v>43032.927199074074</v>
      </c>
      <c r="B11937" s="20" t="str">
        <f>HYPERLINK("https://twitter.com/ReutersUK","@ReutersUK")</f>
        <v>@ReutersUK</v>
      </c>
      <c r="C11937" s="21" t="s">
        <v>1306</v>
      </c>
      <c r="D11937" s="21" t="s">
        <v>24996</v>
      </c>
      <c r="E11937" s="22" t="str">
        <f>HYPERLINK("https://twitter.com/ReutersUK/status/923055310008352768","923055310008352768")</f>
        <v>923055310008352768</v>
      </c>
      <c r="F11937" s="23" t="s">
        <v>756</v>
      </c>
      <c r="G11937" s="24">
        <v>91178.0</v>
      </c>
      <c r="H11937" s="24">
        <v>482.0</v>
      </c>
      <c r="I11937" s="24">
        <v>4.0</v>
      </c>
      <c r="J11937" s="24">
        <v>3.0</v>
      </c>
      <c r="K11937" s="23" t="s">
        <v>34</v>
      </c>
      <c r="L11937" s="25">
        <v>39750.07152777778</v>
      </c>
      <c r="M11937" s="26" t="s">
        <v>1308</v>
      </c>
      <c r="N11937" s="26" t="s">
        <v>1309</v>
      </c>
      <c r="O11937" s="22" t="str">
        <f>HYPERLINK("https://pbs.twimg.com/profile_images/877448884787838976/VzLMhDg3_normal.jpg","View")</f>
        <v>View</v>
      </c>
      <c r="P11937" s="27"/>
    </row>
    <row r="11938">
      <c r="A11938" s="14">
        <v>43032.92726851851</v>
      </c>
      <c r="B11938" s="20" t="str">
        <f t="shared" ref="B11938:B11939" si="301">HYPERLINK("https://twitter.com/MakeMoneyOnNETz","@MakeMoneyOnNETz")</f>
        <v>@MakeMoneyOnNETz</v>
      </c>
      <c r="C11938" s="21" t="s">
        <v>24997</v>
      </c>
      <c r="D11938" s="21" t="s">
        <v>24998</v>
      </c>
      <c r="E11938" s="22" t="str">
        <f>HYPERLINK("https://twitter.com/MakeMoneyOnNETz/status/923055335765610497","923055335765610497")</f>
        <v>923055335765610497</v>
      </c>
      <c r="F11938" s="23" t="s">
        <v>187</v>
      </c>
      <c r="G11938" s="24">
        <v>1194.0</v>
      </c>
      <c r="H11938" s="24">
        <v>1531.0</v>
      </c>
      <c r="I11938" s="24">
        <v>0.0</v>
      </c>
      <c r="J11938" s="24">
        <v>0.0</v>
      </c>
      <c r="K11938" s="23" t="s">
        <v>34</v>
      </c>
      <c r="L11938" s="25">
        <v>40396.08935185185</v>
      </c>
      <c r="M11938" s="26" t="s">
        <v>24644</v>
      </c>
      <c r="N11938" s="26" t="s">
        <v>24999</v>
      </c>
      <c r="O11938" s="22" t="str">
        <f t="shared" ref="O11938:O11939" si="302">HYPERLINK("https://pbs.twimg.com/profile_images/826382441224904704/wGSLUN89_normal.jpg","View")</f>
        <v>View</v>
      </c>
      <c r="P11938" s="27"/>
    </row>
    <row r="11939">
      <c r="A11939" s="14">
        <v>43032.92726851851</v>
      </c>
      <c r="B11939" s="20" t="str">
        <f t="shared" si="301"/>
        <v>@MakeMoneyOnNETz</v>
      </c>
      <c r="C11939" s="21" t="s">
        <v>24997</v>
      </c>
      <c r="D11939" s="21" t="s">
        <v>25000</v>
      </c>
      <c r="E11939" s="22" t="str">
        <f>HYPERLINK("https://twitter.com/MakeMoneyOnNETz/status/923055337279811584","923055337279811584")</f>
        <v>923055337279811584</v>
      </c>
      <c r="F11939" s="23" t="s">
        <v>187</v>
      </c>
      <c r="G11939" s="24">
        <v>1194.0</v>
      </c>
      <c r="H11939" s="24">
        <v>1531.0</v>
      </c>
      <c r="I11939" s="24">
        <v>0.0</v>
      </c>
      <c r="J11939" s="24">
        <v>0.0</v>
      </c>
      <c r="K11939" s="23" t="s">
        <v>34</v>
      </c>
      <c r="L11939" s="25">
        <v>40396.08935185185</v>
      </c>
      <c r="M11939" s="26" t="s">
        <v>24644</v>
      </c>
      <c r="N11939" s="26" t="s">
        <v>24999</v>
      </c>
      <c r="O11939" s="22" t="str">
        <f t="shared" si="302"/>
        <v>View</v>
      </c>
      <c r="P11939" s="27"/>
    </row>
    <row r="11940">
      <c r="A11940" s="14">
        <v>43032.927523148144</v>
      </c>
      <c r="B11940" s="20" t="str">
        <f>HYPERLINK("https://twitter.com/ramonmorell","@ramonmorell")</f>
        <v>@ramonmorell</v>
      </c>
      <c r="C11940" s="21" t="s">
        <v>1604</v>
      </c>
      <c r="D11940" s="21" t="s">
        <v>25001</v>
      </c>
      <c r="E11940" s="22" t="str">
        <f>HYPERLINK("https://twitter.com/ramonmorell/status/923055427566342144","923055427566342144")</f>
        <v>923055427566342144</v>
      </c>
      <c r="F11940" s="23" t="s">
        <v>187</v>
      </c>
      <c r="G11940" s="24">
        <v>512.0</v>
      </c>
      <c r="H11940" s="24">
        <v>153.0</v>
      </c>
      <c r="I11940" s="24">
        <v>0.0</v>
      </c>
      <c r="J11940" s="24">
        <v>0.0</v>
      </c>
      <c r="K11940" s="23" t="s">
        <v>34</v>
      </c>
      <c r="L11940" s="25">
        <v>39927.02479166667</v>
      </c>
      <c r="M11940" s="28"/>
      <c r="N11940" s="26" t="s">
        <v>1606</v>
      </c>
      <c r="O11940" s="22" t="str">
        <f>HYPERLINK("https://pbs.twimg.com/profile_images/842699314514288640/tIUXfMHY_normal.jpg","View")</f>
        <v>View</v>
      </c>
      <c r="P11940" s="27"/>
    </row>
    <row r="11941">
      <c r="A11941" s="14">
        <v>43032.928125</v>
      </c>
      <c r="B11941" s="20" t="str">
        <f>HYPERLINK("https://twitter.com/AnySourceNews","@AnySourceNews")</f>
        <v>@AnySourceNews</v>
      </c>
      <c r="C11941" s="21" t="s">
        <v>1547</v>
      </c>
      <c r="D11941" s="21" t="s">
        <v>25002</v>
      </c>
      <c r="E11941" s="22" t="str">
        <f>HYPERLINK("https://twitter.com/AnySourceNews/status/923055649000509441","923055649000509441")</f>
        <v>923055649000509441</v>
      </c>
      <c r="F11941" s="23" t="s">
        <v>187</v>
      </c>
      <c r="G11941" s="24">
        <v>50.0</v>
      </c>
      <c r="H11941" s="24">
        <v>78.0</v>
      </c>
      <c r="I11941" s="24">
        <v>0.0</v>
      </c>
      <c r="J11941" s="24">
        <v>0.0</v>
      </c>
      <c r="K11941" s="23" t="s">
        <v>34</v>
      </c>
      <c r="L11941" s="25">
        <v>42878.489953703705</v>
      </c>
      <c r="M11941" s="26" t="s">
        <v>708</v>
      </c>
      <c r="N11941" s="26" t="s">
        <v>1549</v>
      </c>
      <c r="O11941" s="22" t="str">
        <f>HYPERLINK("https://pbs.twimg.com/profile_images/867089544172236801/fImA4bGB_normal.jpg","View")</f>
        <v>View</v>
      </c>
      <c r="P11941" s="27"/>
    </row>
    <row r="11942">
      <c r="A11942" s="14">
        <v>43032.928506944445</v>
      </c>
      <c r="B11942" s="20" t="str">
        <f>HYPERLINK("https://twitter.com/abbear111","@abbear111")</f>
        <v>@abbear111</v>
      </c>
      <c r="C11942" s="21" t="s">
        <v>25003</v>
      </c>
      <c r="D11942" s="21" t="s">
        <v>25004</v>
      </c>
      <c r="E11942" s="22" t="str">
        <f>HYPERLINK("https://twitter.com/abbear111/status/923055787672506368","923055787672506368")</f>
        <v>923055787672506368</v>
      </c>
      <c r="F11942" s="23" t="s">
        <v>187</v>
      </c>
      <c r="G11942" s="24">
        <v>3109.0</v>
      </c>
      <c r="H11942" s="24">
        <v>3805.0</v>
      </c>
      <c r="I11942" s="24">
        <v>0.0</v>
      </c>
      <c r="J11942" s="24">
        <v>1.0</v>
      </c>
      <c r="K11942" s="23" t="s">
        <v>34</v>
      </c>
      <c r="L11942" s="25">
        <v>42516.45159722222</v>
      </c>
      <c r="M11942" s="26" t="s">
        <v>25005</v>
      </c>
      <c r="N11942" s="26" t="s">
        <v>25006</v>
      </c>
      <c r="O11942" s="22" t="str">
        <f>HYPERLINK("https://pbs.twimg.com/profile_images/736033389187203080/tD0TsMWK_normal.jpg","View")</f>
        <v>View</v>
      </c>
      <c r="P11942" s="27"/>
    </row>
    <row r="11943">
      <c r="A11943" s="14">
        <v>43032.928564814814</v>
      </c>
      <c r="B11943" s="20" t="str">
        <f>HYPERLINK("https://twitter.com/century_black","@century_black")</f>
        <v>@century_black</v>
      </c>
      <c r="C11943" s="21" t="s">
        <v>25007</v>
      </c>
      <c r="D11943" s="21" t="s">
        <v>24799</v>
      </c>
      <c r="E11943" s="22" t="str">
        <f>HYPERLINK("https://twitter.com/century_black/status/923055806349656064","923055806349656064")</f>
        <v>923055806349656064</v>
      </c>
      <c r="F11943" s="23" t="s">
        <v>33</v>
      </c>
      <c r="G11943" s="24">
        <v>688.0</v>
      </c>
      <c r="H11943" s="24">
        <v>734.0</v>
      </c>
      <c r="I11943" s="24">
        <v>31.0</v>
      </c>
      <c r="J11943" s="24">
        <v>0.0</v>
      </c>
      <c r="K11943" s="23" t="s">
        <v>34</v>
      </c>
      <c r="L11943" s="25">
        <v>40965.97736111111</v>
      </c>
      <c r="M11943" s="26" t="s">
        <v>25008</v>
      </c>
      <c r="N11943" s="26" t="s">
        <v>25009</v>
      </c>
      <c r="O11943" s="22" t="str">
        <f>HYPERLINK("https://pbs.twimg.com/profile_images/843823939755286528/EhhDC57M_normal.jpg","View")</f>
        <v>View</v>
      </c>
      <c r="P11943" s="27"/>
    </row>
    <row r="11944">
      <c r="A11944" s="14">
        <v>43032.929560185185</v>
      </c>
      <c r="B11944" s="20" t="str">
        <f>HYPERLINK("https://twitter.com/AngelaKrebs444","@AngelaKrebs444")</f>
        <v>@AngelaKrebs444</v>
      </c>
      <c r="C11944" s="21" t="s">
        <v>25010</v>
      </c>
      <c r="D11944" s="21" t="s">
        <v>24799</v>
      </c>
      <c r="E11944" s="22" t="str">
        <f>HYPERLINK("https://twitter.com/AngelaKrebs444/status/923056166875172866","923056166875172866")</f>
        <v>923056166875172866</v>
      </c>
      <c r="F11944" s="23" t="s">
        <v>33</v>
      </c>
      <c r="G11944" s="24">
        <v>1005.0</v>
      </c>
      <c r="H11944" s="24">
        <v>327.0</v>
      </c>
      <c r="I11944" s="24">
        <v>31.0</v>
      </c>
      <c r="J11944" s="24">
        <v>0.0</v>
      </c>
      <c r="K11944" s="23" t="s">
        <v>34</v>
      </c>
      <c r="L11944" s="25">
        <v>42720.83090277778</v>
      </c>
      <c r="M11944" s="26" t="s">
        <v>435</v>
      </c>
      <c r="N11944" s="26" t="s">
        <v>25011</v>
      </c>
      <c r="O11944" s="22" t="str">
        <f>HYPERLINK("https://pbs.twimg.com/profile_images/839371299713490945/fZq9fsSA_normal.jpg","View")</f>
        <v>View</v>
      </c>
      <c r="P11944" s="27"/>
    </row>
    <row r="11945">
      <c r="A11945" s="14">
        <v>43032.92978009259</v>
      </c>
      <c r="B11945" s="20" t="str">
        <f>HYPERLINK("https://twitter.com/manbownewoption","@manbownewoption")</f>
        <v>@manbownewoption</v>
      </c>
      <c r="C11945" s="21" t="s">
        <v>19596</v>
      </c>
      <c r="D11945" s="21" t="s">
        <v>25012</v>
      </c>
      <c r="E11945" s="22" t="str">
        <f>HYPERLINK("https://twitter.com/manbownewoption/status/923056248370610176","923056248370610176")</f>
        <v>923056248370610176</v>
      </c>
      <c r="F11945" s="23" t="s">
        <v>769</v>
      </c>
      <c r="G11945" s="24">
        <v>1549.0</v>
      </c>
      <c r="H11945" s="24">
        <v>1075.0</v>
      </c>
      <c r="I11945" s="24">
        <v>4.0</v>
      </c>
      <c r="J11945" s="24">
        <v>0.0</v>
      </c>
      <c r="K11945" s="23" t="s">
        <v>34</v>
      </c>
      <c r="L11945" s="25">
        <v>41109.80159722222</v>
      </c>
      <c r="M11945" s="26" t="s">
        <v>71</v>
      </c>
      <c r="N11945" s="26" t="s">
        <v>19597</v>
      </c>
      <c r="O11945" s="22" t="str">
        <f>HYPERLINK("https://pbs.twimg.com/profile_images/2414103502/P1280865_normal.jpg","View")</f>
        <v>View</v>
      </c>
      <c r="P11945" s="27"/>
    </row>
    <row r="11946">
      <c r="A11946" s="14">
        <v>43032.929861111115</v>
      </c>
      <c r="B11946" s="20" t="str">
        <f>HYPERLINK("https://twitter.com/rudresh_np","@rudresh_np")</f>
        <v>@rudresh_np</v>
      </c>
      <c r="C11946" s="21" t="s">
        <v>25013</v>
      </c>
      <c r="D11946" s="21" t="s">
        <v>42</v>
      </c>
      <c r="E11946" s="22" t="str">
        <f>HYPERLINK("https://twitter.com/rudresh_np/status/923056276719910912","923056276719910912")</f>
        <v>923056276719910912</v>
      </c>
      <c r="F11946" s="23" t="s">
        <v>33</v>
      </c>
      <c r="G11946" s="24">
        <v>18.0</v>
      </c>
      <c r="H11946" s="24">
        <v>35.0</v>
      </c>
      <c r="I11946" s="24">
        <v>8501.0</v>
      </c>
      <c r="J11946" s="24">
        <v>0.0</v>
      </c>
      <c r="K11946" s="23" t="s">
        <v>34</v>
      </c>
      <c r="L11946" s="25">
        <v>42489.292071759264</v>
      </c>
      <c r="M11946" s="28"/>
      <c r="N11946" s="26" t="s">
        <v>25014</v>
      </c>
      <c r="O11946" s="22" t="str">
        <f>HYPERLINK("https://pbs.twimg.com/profile_images/730038860583993344/vGnCxsob_normal.jpg","View")</f>
        <v>View</v>
      </c>
      <c r="P11946" s="27"/>
    </row>
    <row r="11947">
      <c r="A11947" s="14">
        <v>43032.93350694445</v>
      </c>
      <c r="B11947" s="20" t="str">
        <f>HYPERLINK("https://twitter.com/Mcalextobenki","@Mcalextobenki")</f>
        <v>@Mcalextobenki</v>
      </c>
      <c r="C11947" s="21" t="s">
        <v>25015</v>
      </c>
      <c r="D11947" s="21" t="s">
        <v>25016</v>
      </c>
      <c r="E11947" s="22" t="str">
        <f>HYPERLINK("https://twitter.com/Mcalextobenki/status/923057597112111105","923057597112111105")</f>
        <v>923057597112111105</v>
      </c>
      <c r="F11947" s="30" t="s">
        <v>25017</v>
      </c>
      <c r="G11947" s="24">
        <v>112682.0</v>
      </c>
      <c r="H11947" s="24">
        <v>3205.0</v>
      </c>
      <c r="I11947" s="24">
        <v>0.0</v>
      </c>
      <c r="J11947" s="24">
        <v>0.0</v>
      </c>
      <c r="K11947" s="23" t="s">
        <v>34</v>
      </c>
      <c r="L11947" s="25">
        <v>40921.219872685186</v>
      </c>
      <c r="M11947" s="26" t="s">
        <v>3331</v>
      </c>
      <c r="N11947" s="26" t="s">
        <v>25018</v>
      </c>
      <c r="O11947" s="22" t="str">
        <f>HYPERLINK("https://pbs.twimg.com/profile_images/915369255583051776/6rvO5GJI_normal.jpg","View")</f>
        <v>View</v>
      </c>
      <c r="P11947" s="27"/>
    </row>
    <row r="11948">
      <c r="A11948" s="14">
        <v>43032.93415509259</v>
      </c>
      <c r="B11948" s="20" t="str">
        <f>HYPERLINK("https://twitter.com/algrmool1981","@algrmool1981")</f>
        <v>@algrmool1981</v>
      </c>
      <c r="C11948" s="31" t="s">
        <v>409</v>
      </c>
      <c r="D11948" s="21" t="s">
        <v>25019</v>
      </c>
      <c r="E11948" s="22" t="str">
        <f>HYPERLINK("https://twitter.com/algrmool1981/status/923057830495580160","923057830495580160")</f>
        <v>923057830495580160</v>
      </c>
      <c r="F11948" s="30" t="s">
        <v>411</v>
      </c>
      <c r="G11948" s="24">
        <v>78.0</v>
      </c>
      <c r="H11948" s="24">
        <v>0.0</v>
      </c>
      <c r="I11948" s="24">
        <v>0.0</v>
      </c>
      <c r="J11948" s="24">
        <v>0.0</v>
      </c>
      <c r="K11948" s="23" t="s">
        <v>34</v>
      </c>
      <c r="L11948" s="25">
        <v>40570.30883101852</v>
      </c>
      <c r="M11948" s="32" t="s">
        <v>412</v>
      </c>
      <c r="N11948" s="32" t="s">
        <v>413</v>
      </c>
      <c r="O11948" s="22" t="str">
        <f>HYPERLINK("https://pbs.twimg.com/profile_images/921099623988576257/8-CKaf95_normal.jpg","View")</f>
        <v>View</v>
      </c>
      <c r="P11948" s="27"/>
    </row>
    <row r="11949">
      <c r="A11949" s="14">
        <v>43032.934166666666</v>
      </c>
      <c r="B11949" s="20" t="str">
        <f>HYPERLINK("https://twitter.com/sugirtha_paul","@sugirtha_paul")</f>
        <v>@sugirtha_paul</v>
      </c>
      <c r="C11949" s="21" t="s">
        <v>25020</v>
      </c>
      <c r="D11949" s="21" t="s">
        <v>21417</v>
      </c>
      <c r="E11949" s="22" t="str">
        <f>HYPERLINK("https://twitter.com/sugirtha_paul/status/923057835788845056","923057835788845056")</f>
        <v>923057835788845056</v>
      </c>
      <c r="F11949" s="23" t="s">
        <v>33</v>
      </c>
      <c r="G11949" s="24">
        <v>69.0</v>
      </c>
      <c r="H11949" s="24">
        <v>136.0</v>
      </c>
      <c r="I11949" s="24">
        <v>16.0</v>
      </c>
      <c r="J11949" s="24">
        <v>0.0</v>
      </c>
      <c r="K11949" s="23" t="s">
        <v>34</v>
      </c>
      <c r="L11949" s="25">
        <v>41958.27508101852</v>
      </c>
      <c r="M11949" s="26" t="s">
        <v>204</v>
      </c>
      <c r="N11949" s="26" t="s">
        <v>25021</v>
      </c>
      <c r="O11949" s="22" t="str">
        <f>HYPERLINK("https://pbs.twimg.com/profile_images/780643860149997568/coBcxZrd_normal.jpg","View")</f>
        <v>View</v>
      </c>
      <c r="P11949" s="27"/>
    </row>
    <row r="11950">
      <c r="A11950" s="14">
        <v>43032.93478009259</v>
      </c>
      <c r="B11950" s="20" t="str">
        <f>HYPERLINK("https://twitter.com/aoyamaaay","@aoyamaaay")</f>
        <v>@aoyamaaay</v>
      </c>
      <c r="C11950" s="21" t="s">
        <v>25022</v>
      </c>
      <c r="D11950" s="21" t="s">
        <v>24007</v>
      </c>
      <c r="E11950" s="22" t="str">
        <f>HYPERLINK("https://twitter.com/aoyamaaay/status/923058057709469697","923058057709469697")</f>
        <v>923058057709469697</v>
      </c>
      <c r="F11950" s="23" t="s">
        <v>55</v>
      </c>
      <c r="G11950" s="24">
        <v>192.0</v>
      </c>
      <c r="H11950" s="24">
        <v>709.0</v>
      </c>
      <c r="I11950" s="24">
        <v>122.0</v>
      </c>
      <c r="J11950" s="24">
        <v>0.0</v>
      </c>
      <c r="K11950" s="23" t="s">
        <v>34</v>
      </c>
      <c r="L11950" s="25">
        <v>41920.933067129634</v>
      </c>
      <c r="M11950" s="28"/>
      <c r="N11950" s="28"/>
      <c r="O11950" s="22" t="str">
        <f>HYPERLINK("https://pbs.twimg.com/profile_images/857135599899291648/udve-fsm_normal.jpg","View")</f>
        <v>View</v>
      </c>
      <c r="P11950" s="27"/>
    </row>
    <row r="11951">
      <c r="A11951" s="14">
        <v>43032.935057870374</v>
      </c>
      <c r="B11951" s="20" t="str">
        <f>HYPERLINK("https://twitter.com/CCRCnpXcya0HnlW","@CCRCnpXcya0HnlW")</f>
        <v>@CCRCnpXcya0HnlW</v>
      </c>
      <c r="C11951" s="21" t="s">
        <v>25023</v>
      </c>
      <c r="D11951" s="21" t="s">
        <v>24007</v>
      </c>
      <c r="E11951" s="22" t="str">
        <f>HYPERLINK("https://twitter.com/CCRCnpXcya0HnlW/status/923058157751959552","923058157751959552")</f>
        <v>923058157751959552</v>
      </c>
      <c r="F11951" s="23" t="s">
        <v>39</v>
      </c>
      <c r="G11951" s="24">
        <v>69.0</v>
      </c>
      <c r="H11951" s="24">
        <v>200.0</v>
      </c>
      <c r="I11951" s="24">
        <v>122.0</v>
      </c>
      <c r="J11951" s="24">
        <v>0.0</v>
      </c>
      <c r="K11951" s="23" t="s">
        <v>34</v>
      </c>
      <c r="L11951" s="25">
        <v>42899.803449074076</v>
      </c>
      <c r="M11951" s="26" t="s">
        <v>71</v>
      </c>
      <c r="N11951" s="26" t="s">
        <v>25024</v>
      </c>
      <c r="O11951" s="22" t="str">
        <f>HYPERLINK("https://pbs.twimg.com/profile_images/922330087990554625/hSwTcge3_normal.jpg","View")</f>
        <v>View</v>
      </c>
      <c r="P11951" s="27"/>
    </row>
    <row r="11952">
      <c r="A11952" s="14">
        <v>43032.935324074075</v>
      </c>
      <c r="B11952" s="20" t="str">
        <f>HYPERLINK("https://twitter.com/Globalines","@Globalines")</f>
        <v>@Globalines</v>
      </c>
      <c r="C11952" s="21" t="s">
        <v>25025</v>
      </c>
      <c r="D11952" s="21" t="s">
        <v>24493</v>
      </c>
      <c r="E11952" s="22" t="str">
        <f>HYPERLINK("https://twitter.com/Globalines/status/923058256049836037","923058256049836037")</f>
        <v>923058256049836037</v>
      </c>
      <c r="F11952" s="23" t="s">
        <v>55</v>
      </c>
      <c r="G11952" s="24">
        <v>1018.0</v>
      </c>
      <c r="H11952" s="24">
        <v>4790.0</v>
      </c>
      <c r="I11952" s="24">
        <v>2.0</v>
      </c>
      <c r="J11952" s="24">
        <v>0.0</v>
      </c>
      <c r="K11952" s="23" t="s">
        <v>34</v>
      </c>
      <c r="L11952" s="25">
        <v>41099.468194444446</v>
      </c>
      <c r="M11952" s="26" t="s">
        <v>13309</v>
      </c>
      <c r="N11952" s="26" t="s">
        <v>25026</v>
      </c>
      <c r="O11952" s="22" t="str">
        <f>HYPERLINK("https://pbs.twimg.com/profile_images/895947833018372097/XrnNdz9a_normal.jpg","View")</f>
        <v>View</v>
      </c>
      <c r="P11952" s="27"/>
    </row>
    <row r="11953">
      <c r="A11953" s="14">
        <v>43032.935752314814</v>
      </c>
      <c r="B11953" s="20" t="str">
        <f>HYPERLINK("https://twitter.com/Light_Of_Day_","@Light_Of_Day_")</f>
        <v>@Light_Of_Day_</v>
      </c>
      <c r="C11953" s="21" t="s">
        <v>25027</v>
      </c>
      <c r="D11953" s="21" t="s">
        <v>25028</v>
      </c>
      <c r="E11953" s="22" t="str">
        <f>HYPERLINK("https://twitter.com/Light_Of_Day_/status/923058410924294144","923058410924294144")</f>
        <v>923058410924294144</v>
      </c>
      <c r="F11953" s="30" t="s">
        <v>659</v>
      </c>
      <c r="G11953" s="24">
        <v>101.0</v>
      </c>
      <c r="H11953" s="24">
        <v>20.0</v>
      </c>
      <c r="I11953" s="24">
        <v>0.0</v>
      </c>
      <c r="J11953" s="24">
        <v>0.0</v>
      </c>
      <c r="K11953" s="23" t="s">
        <v>34</v>
      </c>
      <c r="L11953" s="25">
        <v>41006.06707175926</v>
      </c>
      <c r="M11953" s="28"/>
      <c r="N11953" s="35" t="s">
        <v>25029</v>
      </c>
      <c r="O11953" s="22" t="str">
        <f>HYPERLINK("https://pbs.twimg.com/profile_images/2330114115/kjikvcheirmluryg0bfy_normal.gif","View")</f>
        <v>View</v>
      </c>
      <c r="P11953" s="27"/>
    </row>
    <row r="11954">
      <c r="A11954" s="14">
        <v>43032.936481481476</v>
      </c>
      <c r="B11954" s="20" t="str">
        <f>HYPERLINK("https://twitter.com/citrus_kyoto","@citrus_kyoto")</f>
        <v>@citrus_kyoto</v>
      </c>
      <c r="C11954" s="21" t="s">
        <v>25030</v>
      </c>
      <c r="D11954" s="21" t="s">
        <v>24007</v>
      </c>
      <c r="E11954" s="22" t="str">
        <f>HYPERLINK("https://twitter.com/citrus_kyoto/status/923058674813112320","923058674813112320")</f>
        <v>923058674813112320</v>
      </c>
      <c r="F11954" s="23" t="s">
        <v>55</v>
      </c>
      <c r="G11954" s="24">
        <v>1189.0</v>
      </c>
      <c r="H11954" s="24">
        <v>1229.0</v>
      </c>
      <c r="I11954" s="24">
        <v>122.0</v>
      </c>
      <c r="J11954" s="24">
        <v>0.0</v>
      </c>
      <c r="K11954" s="23" t="s">
        <v>34</v>
      </c>
      <c r="L11954" s="25">
        <v>40238.20085648148</v>
      </c>
      <c r="M11954" s="26" t="s">
        <v>25031</v>
      </c>
      <c r="N11954" s="26" t="s">
        <v>25032</v>
      </c>
      <c r="O11954" s="22" t="str">
        <f>HYPERLINK("https://pbs.twimg.com/profile_images/725486995/1232978901756_normal.jpg","View")</f>
        <v>View</v>
      </c>
      <c r="P11954" s="27"/>
    </row>
    <row r="11955">
      <c r="A11955" s="14">
        <v>43032.93650462963</v>
      </c>
      <c r="B11955" s="20" t="str">
        <f>HYPERLINK("https://twitter.com/KerouacRimbaud","@KerouacRimbaud")</f>
        <v>@KerouacRimbaud</v>
      </c>
      <c r="C11955" s="21" t="s">
        <v>25033</v>
      </c>
      <c r="D11955" s="21" t="s">
        <v>24799</v>
      </c>
      <c r="E11955" s="22" t="str">
        <f>HYPERLINK("https://twitter.com/KerouacRimbaud/status/923058685009637377","923058685009637377")</f>
        <v>923058685009637377</v>
      </c>
      <c r="F11955" s="23" t="s">
        <v>39</v>
      </c>
      <c r="G11955" s="24">
        <v>347.0</v>
      </c>
      <c r="H11955" s="24">
        <v>379.0</v>
      </c>
      <c r="I11955" s="24">
        <v>31.0</v>
      </c>
      <c r="J11955" s="24">
        <v>0.0</v>
      </c>
      <c r="K11955" s="23" t="s">
        <v>34</v>
      </c>
      <c r="L11955" s="25">
        <v>41147.60023148148</v>
      </c>
      <c r="M11955" s="26" t="s">
        <v>25034</v>
      </c>
      <c r="N11955" s="26" t="s">
        <v>25035</v>
      </c>
      <c r="O11955" s="22" t="str">
        <f>HYPERLINK("https://pbs.twimg.com/profile_images/864276024670003205/BNXxOmUl_normal.jpg","View")</f>
        <v>View</v>
      </c>
      <c r="P11955" s="27"/>
    </row>
    <row r="11956">
      <c r="A11956" s="14">
        <v>43032.938564814816</v>
      </c>
      <c r="B11956" s="20" t="str">
        <f>HYPERLINK("https://twitter.com/atsugi1","@atsugi1")</f>
        <v>@atsugi1</v>
      </c>
      <c r="C11956" s="21" t="s">
        <v>25036</v>
      </c>
      <c r="D11956" s="21" t="s">
        <v>24869</v>
      </c>
      <c r="E11956" s="22" t="str">
        <f>HYPERLINK("https://twitter.com/atsugi1/status/923059432354856960","923059432354856960")</f>
        <v>923059432354856960</v>
      </c>
      <c r="F11956" s="23" t="s">
        <v>43</v>
      </c>
      <c r="G11956" s="24">
        <v>1946.0</v>
      </c>
      <c r="H11956" s="24">
        <v>3384.0</v>
      </c>
      <c r="I11956" s="24">
        <v>3.0</v>
      </c>
      <c r="J11956" s="24">
        <v>0.0</v>
      </c>
      <c r="K11956" s="23" t="s">
        <v>34</v>
      </c>
      <c r="L11956" s="25">
        <v>40399.4144212963</v>
      </c>
      <c r="M11956" s="26" t="s">
        <v>25037</v>
      </c>
      <c r="N11956" s="26" t="s">
        <v>25038</v>
      </c>
      <c r="O11956" s="22" t="str">
        <f>HYPERLINK("https://pbs.twimg.com/profile_images/911556961468006400/VqU4T2F3_normal.jpg","View")</f>
        <v>View</v>
      </c>
      <c r="P11956" s="27"/>
    </row>
    <row r="11957">
      <c r="A11957" s="14">
        <v>43032.93934027778</v>
      </c>
      <c r="B11957" s="20" t="str">
        <f>HYPERLINK("https://twitter.com/09071956minami","@09071956minami")</f>
        <v>@09071956minami</v>
      </c>
      <c r="C11957" s="21" t="s">
        <v>25039</v>
      </c>
      <c r="D11957" s="21" t="s">
        <v>24007</v>
      </c>
      <c r="E11957" s="22" t="str">
        <f>HYPERLINK("https://twitter.com/09071956minami/status/923059713440301057","923059713440301057")</f>
        <v>923059713440301057</v>
      </c>
      <c r="F11957" s="23" t="s">
        <v>39</v>
      </c>
      <c r="G11957" s="24">
        <v>533.0</v>
      </c>
      <c r="H11957" s="24">
        <v>688.0</v>
      </c>
      <c r="I11957" s="24">
        <v>122.0</v>
      </c>
      <c r="J11957" s="24">
        <v>0.0</v>
      </c>
      <c r="K11957" s="23" t="s">
        <v>34</v>
      </c>
      <c r="L11957" s="25">
        <v>42887.981469907405</v>
      </c>
      <c r="M11957" s="26" t="s">
        <v>11481</v>
      </c>
      <c r="N11957" s="26" t="s">
        <v>25040</v>
      </c>
      <c r="O11957" s="22" t="str">
        <f>HYPERLINK("https://pbs.twimg.com/profile_images/897810184357072896/K2T_K7uW_normal.jpg","View")</f>
        <v>View</v>
      </c>
      <c r="P11957" s="27"/>
    </row>
    <row r="11958">
      <c r="A11958" s="14">
        <v>43032.93956018519</v>
      </c>
      <c r="B11958" s="20" t="str">
        <f>HYPERLINK("https://twitter.com/berrodma","@berrodma")</f>
        <v>@berrodma</v>
      </c>
      <c r="C11958" s="21" t="s">
        <v>25041</v>
      </c>
      <c r="D11958" s="21" t="s">
        <v>24799</v>
      </c>
      <c r="E11958" s="22" t="str">
        <f>HYPERLINK("https://twitter.com/berrodma/status/923059789504098304","923059789504098304")</f>
        <v>923059789504098304</v>
      </c>
      <c r="F11958" s="23" t="s">
        <v>33</v>
      </c>
      <c r="G11958" s="24">
        <v>406.0</v>
      </c>
      <c r="H11958" s="24">
        <v>909.0</v>
      </c>
      <c r="I11958" s="24">
        <v>31.0</v>
      </c>
      <c r="J11958" s="24">
        <v>0.0</v>
      </c>
      <c r="K11958" s="23" t="s">
        <v>34</v>
      </c>
      <c r="L11958" s="25">
        <v>40846.533368055556</v>
      </c>
      <c r="M11958" s="26" t="s">
        <v>25042</v>
      </c>
      <c r="N11958" s="26" t="s">
        <v>25043</v>
      </c>
      <c r="O11958" s="22" t="str">
        <f>HYPERLINK("https://pbs.twimg.com/profile_images/889240161715933186/jyWXy3xF_normal.jpg","View")</f>
        <v>View</v>
      </c>
      <c r="P11958" s="27"/>
    </row>
    <row r="11959">
      <c r="A11959" s="14">
        <v>43032.93987268519</v>
      </c>
      <c r="B11959" s="20" t="str">
        <f>HYPERLINK("https://twitter.com/DharmaYuddha","@DharmaYuddha")</f>
        <v>@DharmaYuddha</v>
      </c>
      <c r="C11959" s="21" t="s">
        <v>25044</v>
      </c>
      <c r="D11959" s="21" t="s">
        <v>42</v>
      </c>
      <c r="E11959" s="22" t="str">
        <f>HYPERLINK("https://twitter.com/DharmaYuddha/status/923059902414589952","923059902414589952")</f>
        <v>923059902414589952</v>
      </c>
      <c r="F11959" s="23" t="s">
        <v>33</v>
      </c>
      <c r="G11959" s="24">
        <v>2188.0</v>
      </c>
      <c r="H11959" s="24">
        <v>795.0</v>
      </c>
      <c r="I11959" s="24">
        <v>8501.0</v>
      </c>
      <c r="J11959" s="24">
        <v>0.0</v>
      </c>
      <c r="K11959" s="23" t="s">
        <v>34</v>
      </c>
      <c r="L11959" s="25">
        <v>40018.31141203704</v>
      </c>
      <c r="M11959" s="26" t="s">
        <v>204</v>
      </c>
      <c r="N11959" s="26" t="s">
        <v>25045</v>
      </c>
      <c r="O11959" s="22" t="str">
        <f>HYPERLINK("https://pbs.twimg.com/profile_images/468587485388230657/Ol45AMBF_normal.jpeg","View")</f>
        <v>View</v>
      </c>
      <c r="P11959" s="27"/>
    </row>
    <row r="11960">
      <c r="A11960" s="14">
        <v>43032.94094907407</v>
      </c>
      <c r="B11960" s="20" t="str">
        <f>HYPERLINK("https://twitter.com/misererenobis2","@misererenobis2")</f>
        <v>@misererenobis2</v>
      </c>
      <c r="C11960" s="21" t="s">
        <v>18026</v>
      </c>
      <c r="D11960" s="21" t="s">
        <v>24007</v>
      </c>
      <c r="E11960" s="22" t="str">
        <f>HYPERLINK("https://twitter.com/misererenobis2/status/923060293072064512","923060293072064512")</f>
        <v>923060293072064512</v>
      </c>
      <c r="F11960" s="23" t="s">
        <v>39</v>
      </c>
      <c r="G11960" s="24">
        <v>1019.0</v>
      </c>
      <c r="H11960" s="24">
        <v>968.0</v>
      </c>
      <c r="I11960" s="24">
        <v>122.0</v>
      </c>
      <c r="J11960" s="24">
        <v>0.0</v>
      </c>
      <c r="K11960" s="23" t="s">
        <v>34</v>
      </c>
      <c r="L11960" s="25">
        <v>42234.12627314815</v>
      </c>
      <c r="M11960" s="28"/>
      <c r="N11960" s="26" t="s">
        <v>18027</v>
      </c>
      <c r="O11960" s="22" t="str">
        <f>HYPERLINK("https://pbs.twimg.com/profile_images/633594787245875200/7KzSRhlf_normal.jpg","View")</f>
        <v>View</v>
      </c>
      <c r="P11960" s="27"/>
    </row>
    <row r="11961">
      <c r="A11961" s="14">
        <v>43032.94112268518</v>
      </c>
      <c r="B11961" s="20" t="str">
        <f>HYPERLINK("https://twitter.com/JamieTengan415","@JamieTengan415")</f>
        <v>@JamieTengan415</v>
      </c>
      <c r="C11961" s="21" t="s">
        <v>2488</v>
      </c>
      <c r="D11961" s="21" t="s">
        <v>21709</v>
      </c>
      <c r="E11961" s="22" t="str">
        <f>HYPERLINK("https://twitter.com/JamieTengan415/status/923060359019167745","923060359019167745")</f>
        <v>923060359019167745</v>
      </c>
      <c r="F11961" s="23" t="s">
        <v>39</v>
      </c>
      <c r="G11961" s="24">
        <v>824.0</v>
      </c>
      <c r="H11961" s="24">
        <v>1577.0</v>
      </c>
      <c r="I11961" s="24">
        <v>4.0</v>
      </c>
      <c r="J11961" s="24">
        <v>0.0</v>
      </c>
      <c r="K11961" s="23" t="s">
        <v>34</v>
      </c>
      <c r="L11961" s="25">
        <v>39829.85927083333</v>
      </c>
      <c r="M11961" s="26" t="s">
        <v>923</v>
      </c>
      <c r="N11961" s="26" t="s">
        <v>2490</v>
      </c>
      <c r="O11961" s="22" t="str">
        <f>HYPERLINK("https://pbs.twimg.com/profile_images/705975272365912064/7DZ2qOv__normal.jpg","View")</f>
        <v>View</v>
      </c>
      <c r="P11961" s="27"/>
    </row>
    <row r="11962">
      <c r="A11962" s="14">
        <v>43032.94112268518</v>
      </c>
      <c r="B11962" s="20" t="str">
        <f>HYPERLINK("https://twitter.com/92newschannel","@92newschannel")</f>
        <v>@92newschannel</v>
      </c>
      <c r="C11962" s="21" t="s">
        <v>25046</v>
      </c>
      <c r="D11962" s="21" t="s">
        <v>25047</v>
      </c>
      <c r="E11962" s="22" t="str">
        <f>HYPERLINK("https://twitter.com/92newschannel/status/923060359275122688","923060359275122688")</f>
        <v>923060359275122688</v>
      </c>
      <c r="F11962" s="23" t="s">
        <v>25048</v>
      </c>
      <c r="G11962" s="24">
        <v>263172.0</v>
      </c>
      <c r="H11962" s="24">
        <v>42.0</v>
      </c>
      <c r="I11962" s="24">
        <v>0.0</v>
      </c>
      <c r="J11962" s="24">
        <v>2.0</v>
      </c>
      <c r="K11962" s="23" t="s">
        <v>34</v>
      </c>
      <c r="L11962" s="25">
        <v>41806.14434027778</v>
      </c>
      <c r="M11962" s="26" t="s">
        <v>1255</v>
      </c>
      <c r="N11962" s="26" t="s">
        <v>25049</v>
      </c>
      <c r="O11962" s="22" t="str">
        <f>HYPERLINK("https://pbs.twimg.com/profile_images/914716640578859008/lfyhIkFD_normal.jpg","View")</f>
        <v>View</v>
      </c>
      <c r="P11962" s="27"/>
    </row>
    <row r="11963">
      <c r="A11963" s="14">
        <v>43032.94126157407</v>
      </c>
      <c r="B11963" s="20" t="str">
        <f>HYPERLINK("https://twitter.com/dev21tweets","@dev21tweets")</f>
        <v>@dev21tweets</v>
      </c>
      <c r="C11963" s="21" t="s">
        <v>25050</v>
      </c>
      <c r="D11963" s="21" t="s">
        <v>42</v>
      </c>
      <c r="E11963" s="22" t="str">
        <f>HYPERLINK("https://twitter.com/dev21tweets/status/923060407778009088","923060407778009088")</f>
        <v>923060407778009088</v>
      </c>
      <c r="F11963" s="23" t="s">
        <v>33</v>
      </c>
      <c r="G11963" s="24">
        <v>43.0</v>
      </c>
      <c r="H11963" s="24">
        <v>17.0</v>
      </c>
      <c r="I11963" s="24">
        <v>8501.0</v>
      </c>
      <c r="J11963" s="24">
        <v>0.0</v>
      </c>
      <c r="K11963" s="23" t="s">
        <v>34</v>
      </c>
      <c r="L11963" s="25">
        <v>41606.347604166665</v>
      </c>
      <c r="M11963" s="28"/>
      <c r="N11963" s="28"/>
      <c r="O11963" s="22" t="str">
        <f>HYPERLINK("https://pbs.twimg.com/profile_images/457774381104508928/xzrBhOkI_normal.jpeg","View")</f>
        <v>View</v>
      </c>
      <c r="P11963" s="27"/>
    </row>
    <row r="11964">
      <c r="A11964" s="14">
        <v>43032.941608796296</v>
      </c>
      <c r="B11964" s="20" t="str">
        <f>HYPERLINK("https://twitter.com/somedayman","@somedayman")</f>
        <v>@somedayman</v>
      </c>
      <c r="C11964" s="21" t="s">
        <v>25051</v>
      </c>
      <c r="D11964" s="21" t="s">
        <v>24007</v>
      </c>
      <c r="E11964" s="22" t="str">
        <f>HYPERLINK("https://twitter.com/somedayman/status/923060535020498944","923060535020498944")</f>
        <v>923060535020498944</v>
      </c>
      <c r="F11964" s="23" t="s">
        <v>39</v>
      </c>
      <c r="G11964" s="24">
        <v>1003.0</v>
      </c>
      <c r="H11964" s="24">
        <v>480.0</v>
      </c>
      <c r="I11964" s="24">
        <v>122.0</v>
      </c>
      <c r="J11964" s="24">
        <v>0.0</v>
      </c>
      <c r="K11964" s="23" t="s">
        <v>34</v>
      </c>
      <c r="L11964" s="25">
        <v>40029.446875</v>
      </c>
      <c r="M11964" s="26" t="s">
        <v>10404</v>
      </c>
      <c r="N11964" s="26" t="s">
        <v>25052</v>
      </c>
      <c r="O11964" s="22" t="str">
        <f>HYPERLINK("https://pbs.twimg.com/profile_images/699137550380769280/aFjGEGLh_normal.jpg","View")</f>
        <v>View</v>
      </c>
      <c r="P11964" s="27"/>
    </row>
    <row r="11965">
      <c r="A11965" s="14">
        <v>43032.94248842592</v>
      </c>
      <c r="B11965" s="20" t="str">
        <f>HYPERLINK("https://twitter.com/tiki04KJ","@tiki04KJ")</f>
        <v>@tiki04KJ</v>
      </c>
      <c r="C11965" s="21" t="s">
        <v>25053</v>
      </c>
      <c r="D11965" s="21" t="s">
        <v>24007</v>
      </c>
      <c r="E11965" s="22" t="str">
        <f>HYPERLINK("https://twitter.com/tiki04KJ/status/923060852965572608","923060852965572608")</f>
        <v>923060852965572608</v>
      </c>
      <c r="F11965" s="23" t="s">
        <v>39</v>
      </c>
      <c r="G11965" s="24">
        <v>36.0</v>
      </c>
      <c r="H11965" s="24">
        <v>351.0</v>
      </c>
      <c r="I11965" s="24">
        <v>122.0</v>
      </c>
      <c r="J11965" s="24">
        <v>0.0</v>
      </c>
      <c r="K11965" s="23" t="s">
        <v>34</v>
      </c>
      <c r="L11965" s="25">
        <v>40958.231724537036</v>
      </c>
      <c r="M11965" s="26" t="s">
        <v>71</v>
      </c>
      <c r="N11965" s="26" t="s">
        <v>25054</v>
      </c>
      <c r="O11965" s="22" t="str">
        <f>HYPERLINK("https://pbs.twimg.com/profile_images/901292337946439681/S-E2Le37_normal.jpg","View")</f>
        <v>View</v>
      </c>
      <c r="P11965" s="27"/>
    </row>
    <row r="11966">
      <c r="A11966" s="14">
        <v>43032.94369212963</v>
      </c>
      <c r="B11966" s="20" t="str">
        <f>HYPERLINK("https://twitter.com/ll89qu","@ll89qu")</f>
        <v>@ll89qu</v>
      </c>
      <c r="C11966" s="21" t="s">
        <v>25055</v>
      </c>
      <c r="D11966" s="21" t="s">
        <v>24007</v>
      </c>
      <c r="E11966" s="22" t="str">
        <f>HYPERLINK("https://twitter.com/ll89qu/status/923061287055122432","923061287055122432")</f>
        <v>923061287055122432</v>
      </c>
      <c r="F11966" s="23" t="s">
        <v>39</v>
      </c>
      <c r="G11966" s="24">
        <v>550.0</v>
      </c>
      <c r="H11966" s="24">
        <v>981.0</v>
      </c>
      <c r="I11966" s="24">
        <v>122.0</v>
      </c>
      <c r="J11966" s="24">
        <v>0.0</v>
      </c>
      <c r="K11966" s="23" t="s">
        <v>34</v>
      </c>
      <c r="L11966" s="25">
        <v>42561.71652777778</v>
      </c>
      <c r="M11966" s="26" t="s">
        <v>25056</v>
      </c>
      <c r="N11966" s="26" t="s">
        <v>25057</v>
      </c>
      <c r="O11966" s="22" t="str">
        <f>HYPERLINK("https://pbs.twimg.com/profile_images/914989051903488000/FhMNiX32_normal.jpg","View")</f>
        <v>View</v>
      </c>
      <c r="P11966" s="27"/>
    </row>
    <row r="11967">
      <c r="A11967" s="14">
        <v>43032.94372685185</v>
      </c>
      <c r="B11967" s="20" t="str">
        <f>HYPERLINK("https://twitter.com/ufcelufcel","@ufcelufcel")</f>
        <v>@ufcelufcel</v>
      </c>
      <c r="C11967" s="21" t="s">
        <v>25058</v>
      </c>
      <c r="D11967" s="21" t="s">
        <v>24535</v>
      </c>
      <c r="E11967" s="22" t="str">
        <f>HYPERLINK("https://twitter.com/ufcelufcel/status/923061299268878337","923061299268878337")</f>
        <v>923061299268878337</v>
      </c>
      <c r="F11967" s="23" t="s">
        <v>55</v>
      </c>
      <c r="G11967" s="24">
        <v>1709.0</v>
      </c>
      <c r="H11967" s="24">
        <v>1951.0</v>
      </c>
      <c r="I11967" s="24">
        <v>17.0</v>
      </c>
      <c r="J11967" s="24">
        <v>0.0</v>
      </c>
      <c r="K11967" s="23" t="s">
        <v>34</v>
      </c>
      <c r="L11967" s="25">
        <v>42134.1700925926</v>
      </c>
      <c r="M11967" s="28"/>
      <c r="N11967" s="26" t="s">
        <v>25059</v>
      </c>
      <c r="O11967" s="22" t="str">
        <f>HYPERLINK("https://pbs.twimg.com/profile_images/597371931453591552/0aswd6wn_normal.jpg","View")</f>
        <v>View</v>
      </c>
      <c r="P11967" s="27"/>
    </row>
    <row r="11968">
      <c r="A11968" s="14">
        <v>43032.94405092593</v>
      </c>
      <c r="B11968" s="20" t="str">
        <f>HYPERLINK("https://twitter.com/lanitaz123","@lanitaz123")</f>
        <v>@lanitaz123</v>
      </c>
      <c r="C11968" s="21" t="s">
        <v>25060</v>
      </c>
      <c r="D11968" s="21" t="s">
        <v>24799</v>
      </c>
      <c r="E11968" s="22" t="str">
        <f>HYPERLINK("https://twitter.com/lanitaz123/status/923061419796336640","923061419796336640")</f>
        <v>923061419796336640</v>
      </c>
      <c r="F11968" s="23" t="s">
        <v>33</v>
      </c>
      <c r="G11968" s="24">
        <v>329.0</v>
      </c>
      <c r="H11968" s="24">
        <v>477.0</v>
      </c>
      <c r="I11968" s="24">
        <v>31.0</v>
      </c>
      <c r="J11968" s="24">
        <v>0.0</v>
      </c>
      <c r="K11968" s="23" t="s">
        <v>34</v>
      </c>
      <c r="L11968" s="25">
        <v>41912.76086805556</v>
      </c>
      <c r="M11968" s="28"/>
      <c r="N11968" s="26" t="s">
        <v>25061</v>
      </c>
      <c r="O11968" s="22" t="str">
        <f>HYPERLINK("https://pbs.twimg.com/profile_images/650154019432738816/e0fi3HZ-_normal.jpg","View")</f>
        <v>View</v>
      </c>
      <c r="P11968" s="27"/>
    </row>
    <row r="11969">
      <c r="A11969" s="14">
        <v>43032.94461805555</v>
      </c>
      <c r="B11969" s="20" t="str">
        <f>HYPERLINK("https://twitter.com/JSlate__","@JSlate__")</f>
        <v>@JSlate__</v>
      </c>
      <c r="C11969" s="21" t="s">
        <v>16713</v>
      </c>
      <c r="D11969" s="21" t="s">
        <v>23525</v>
      </c>
      <c r="E11969" s="22" t="str">
        <f>HYPERLINK("https://twitter.com/JSlate__/status/923061622964391936","923061622964391936")</f>
        <v>923061622964391936</v>
      </c>
      <c r="F11969" s="23" t="s">
        <v>39</v>
      </c>
      <c r="G11969" s="24">
        <v>543.0</v>
      </c>
      <c r="H11969" s="24">
        <v>1403.0</v>
      </c>
      <c r="I11969" s="24">
        <v>41.0</v>
      </c>
      <c r="J11969" s="24">
        <v>0.0</v>
      </c>
      <c r="K11969" s="23" t="s">
        <v>34</v>
      </c>
      <c r="L11969" s="25">
        <v>42619.699467592596</v>
      </c>
      <c r="M11969" s="26" t="s">
        <v>16714</v>
      </c>
      <c r="N11969" s="26" t="s">
        <v>16715</v>
      </c>
      <c r="O11969" s="22" t="str">
        <f>HYPERLINK("https://pbs.twimg.com/profile_images/922102177606393856/zIAuih9T_normal.jpg","View")</f>
        <v>View</v>
      </c>
      <c r="P11969" s="27"/>
    </row>
    <row r="11970">
      <c r="A11970" s="14">
        <v>43032.94534722222</v>
      </c>
      <c r="B11970" s="20" t="str">
        <f>HYPERLINK("https://twitter.com/montaguethecat","@montaguethecat")</f>
        <v>@montaguethecat</v>
      </c>
      <c r="C11970" s="21" t="s">
        <v>25062</v>
      </c>
      <c r="D11970" s="21" t="s">
        <v>23401</v>
      </c>
      <c r="E11970" s="22" t="str">
        <f>HYPERLINK("https://twitter.com/montaguethecat/status/923061887973048320","923061887973048320")</f>
        <v>923061887973048320</v>
      </c>
      <c r="F11970" s="23" t="s">
        <v>55</v>
      </c>
      <c r="G11970" s="24">
        <v>1039.0</v>
      </c>
      <c r="H11970" s="24">
        <v>1034.0</v>
      </c>
      <c r="I11970" s="24">
        <v>7.0</v>
      </c>
      <c r="J11970" s="24">
        <v>0.0</v>
      </c>
      <c r="K11970" s="23" t="s">
        <v>34</v>
      </c>
      <c r="L11970" s="25">
        <v>40560.61613425926</v>
      </c>
      <c r="M11970" s="26" t="s">
        <v>7744</v>
      </c>
      <c r="N11970" s="26" t="s">
        <v>25063</v>
      </c>
      <c r="O11970" s="22" t="str">
        <f>HYPERLINK("https://pbs.twimg.com/profile_images/445348994072342530/suvvU1Rr_normal.jpeg","View")</f>
        <v>View</v>
      </c>
      <c r="P11970" s="27"/>
    </row>
    <row r="11971">
      <c r="A11971" s="14">
        <v>43032.94545138889</v>
      </c>
      <c r="B11971" s="20" t="str">
        <f>HYPERLINK("https://twitter.com/wannabafreeman","@wannabafreeman")</f>
        <v>@wannabafreeman</v>
      </c>
      <c r="C11971" s="21" t="s">
        <v>25064</v>
      </c>
      <c r="D11971" s="21" t="s">
        <v>23525</v>
      </c>
      <c r="E11971" s="22" t="str">
        <f>HYPERLINK("https://twitter.com/wannabafreeman/status/923061925272940545","923061925272940545")</f>
        <v>923061925272940545</v>
      </c>
      <c r="F11971" s="23" t="s">
        <v>39</v>
      </c>
      <c r="G11971" s="24">
        <v>200.0</v>
      </c>
      <c r="H11971" s="24">
        <v>662.0</v>
      </c>
      <c r="I11971" s="24">
        <v>41.0</v>
      </c>
      <c r="J11971" s="24">
        <v>0.0</v>
      </c>
      <c r="K11971" s="23" t="s">
        <v>34</v>
      </c>
      <c r="L11971" s="25">
        <v>42656.28947916666</v>
      </c>
      <c r="M11971" s="26" t="s">
        <v>25065</v>
      </c>
      <c r="N11971" s="26" t="s">
        <v>25066</v>
      </c>
      <c r="O11971" s="22" t="str">
        <f>HYPERLINK("https://pbs.twimg.com/profile_images/789291561762729985/M3gZnJL6_normal.jpg","View")</f>
        <v>View</v>
      </c>
      <c r="P11971" s="27"/>
    </row>
    <row r="11972">
      <c r="A11972" s="14">
        <v>43032.94625</v>
      </c>
      <c r="B11972" s="20" t="str">
        <f>HYPERLINK("https://twitter.com/manoranjanjnv","@manoranjanjnv")</f>
        <v>@manoranjanjnv</v>
      </c>
      <c r="C11972" s="21" t="s">
        <v>9560</v>
      </c>
      <c r="D11972" s="21" t="s">
        <v>25067</v>
      </c>
      <c r="E11972" s="22" t="str">
        <f>HYPERLINK("https://twitter.com/manoranjanjnv/status/923062215875244033","923062215875244033")</f>
        <v>923062215875244033</v>
      </c>
      <c r="F11972" s="23" t="s">
        <v>33</v>
      </c>
      <c r="G11972" s="24">
        <v>1006.0</v>
      </c>
      <c r="H11972" s="24">
        <v>4029.0</v>
      </c>
      <c r="I11972" s="24">
        <v>12.0</v>
      </c>
      <c r="J11972" s="24">
        <v>0.0</v>
      </c>
      <c r="K11972" s="23" t="s">
        <v>34</v>
      </c>
      <c r="L11972" s="25">
        <v>40787.17003472222</v>
      </c>
      <c r="M11972" s="26" t="s">
        <v>9561</v>
      </c>
      <c r="N11972" s="26" t="s">
        <v>9562</v>
      </c>
      <c r="O11972" s="22" t="str">
        <f>HYPERLINK("https://pbs.twimg.com/profile_images/862539704578781184/vgjaE0sz_normal.jpg","View")</f>
        <v>View</v>
      </c>
      <c r="P11972" s="27"/>
    </row>
    <row r="11973">
      <c r="A11973" s="14">
        <v>43032.94694444444</v>
      </c>
      <c r="B11973" s="20" t="str">
        <f>HYPERLINK("https://twitter.com/show_you_all","@show_you_all")</f>
        <v>@show_you_all</v>
      </c>
      <c r="C11973" s="21" t="s">
        <v>25068</v>
      </c>
      <c r="D11973" s="21" t="s">
        <v>24007</v>
      </c>
      <c r="E11973" s="22" t="str">
        <f>HYPERLINK("https://twitter.com/show_you_all/status/923062465734221825","923062465734221825")</f>
        <v>923062465734221825</v>
      </c>
      <c r="F11973" s="23" t="s">
        <v>25069</v>
      </c>
      <c r="G11973" s="24">
        <v>10760.0</v>
      </c>
      <c r="H11973" s="24">
        <v>98.0</v>
      </c>
      <c r="I11973" s="24">
        <v>122.0</v>
      </c>
      <c r="J11973" s="24">
        <v>0.0</v>
      </c>
      <c r="K11973" s="23" t="s">
        <v>34</v>
      </c>
      <c r="L11973" s="25">
        <v>40423.72417824074</v>
      </c>
      <c r="M11973" s="26" t="s">
        <v>25070</v>
      </c>
      <c r="N11973" s="26" t="s">
        <v>25071</v>
      </c>
      <c r="O11973" s="22" t="str">
        <f>HYPERLINK("https://pbs.twimg.com/profile_images/3460443030/91dac4b164cd31f8a23c26c4ae0cfff2_normal.jpeg","View")</f>
        <v>View</v>
      </c>
      <c r="P11973" s="27"/>
    </row>
    <row r="11974">
      <c r="A11974" s="14">
        <v>43032.94716435185</v>
      </c>
      <c r="B11974" s="20" t="str">
        <f>HYPERLINK("https://twitter.com/0505lovekaren","@0505lovekaren")</f>
        <v>@0505lovekaren</v>
      </c>
      <c r="C11974" s="21" t="s">
        <v>25072</v>
      </c>
      <c r="D11974" s="21" t="s">
        <v>24007</v>
      </c>
      <c r="E11974" s="22" t="str">
        <f>HYPERLINK("https://twitter.com/0505lovekaren/status/923062546843578368","923062546843578368")</f>
        <v>923062546843578368</v>
      </c>
      <c r="F11974" s="23" t="s">
        <v>39</v>
      </c>
      <c r="G11974" s="24">
        <v>1111.0</v>
      </c>
      <c r="H11974" s="24">
        <v>992.0</v>
      </c>
      <c r="I11974" s="24">
        <v>122.0</v>
      </c>
      <c r="J11974" s="24">
        <v>0.0</v>
      </c>
      <c r="K11974" s="23" t="s">
        <v>34</v>
      </c>
      <c r="L11974" s="25">
        <v>40782.60563657407</v>
      </c>
      <c r="M11974" s="26" t="s">
        <v>25073</v>
      </c>
      <c r="N11974" s="26" t="s">
        <v>25074</v>
      </c>
      <c r="O11974" s="22" t="str">
        <f>HYPERLINK("https://pbs.twimg.com/profile_images/916275608383930368/X-CmUGav_normal.jpg","View")</f>
        <v>View</v>
      </c>
      <c r="P11974" s="27"/>
    </row>
    <row r="11975">
      <c r="A11975" s="14">
        <v>43032.94797453703</v>
      </c>
      <c r="B11975" s="20" t="str">
        <f>HYPERLINK("https://twitter.com/water4flower9","@water4flower9")</f>
        <v>@water4flower9</v>
      </c>
      <c r="C11975" s="21" t="s">
        <v>25075</v>
      </c>
      <c r="D11975" s="21" t="s">
        <v>24007</v>
      </c>
      <c r="E11975" s="22" t="str">
        <f>HYPERLINK("https://twitter.com/water4flower9/status/923062839756992512","923062839756992512")</f>
        <v>923062839756992512</v>
      </c>
      <c r="F11975" s="23" t="s">
        <v>230</v>
      </c>
      <c r="G11975" s="24">
        <v>2037.0</v>
      </c>
      <c r="H11975" s="24">
        <v>3742.0</v>
      </c>
      <c r="I11975" s="24">
        <v>122.0</v>
      </c>
      <c r="J11975" s="24">
        <v>0.0</v>
      </c>
      <c r="K11975" s="23" t="s">
        <v>34</v>
      </c>
      <c r="L11975" s="25">
        <v>40619.05724537037</v>
      </c>
      <c r="M11975" s="26" t="s">
        <v>25076</v>
      </c>
      <c r="N11975" s="26" t="s">
        <v>25077</v>
      </c>
      <c r="O11975" s="22" t="str">
        <f>HYPERLINK("https://pbs.twimg.com/profile_images/870085092680454144/5RkwdV1F_normal.jpg","View")</f>
        <v>View</v>
      </c>
      <c r="P11975" s="27"/>
    </row>
    <row r="11976">
      <c r="A11976" s="14">
        <v>43032.948101851856</v>
      </c>
      <c r="B11976" s="20" t="str">
        <f>HYPERLINK("https://twitter.com/kaeru_2010","@kaeru_2010")</f>
        <v>@kaeru_2010</v>
      </c>
      <c r="C11976" s="21" t="s">
        <v>25078</v>
      </c>
      <c r="D11976" s="21" t="s">
        <v>24007</v>
      </c>
      <c r="E11976" s="22" t="str">
        <f>HYPERLINK("https://twitter.com/kaeru_2010/status/923062886972366848","923062886972366848")</f>
        <v>923062886972366848</v>
      </c>
      <c r="F11976" s="23" t="s">
        <v>55</v>
      </c>
      <c r="G11976" s="24">
        <v>858.0</v>
      </c>
      <c r="H11976" s="24">
        <v>2491.0</v>
      </c>
      <c r="I11976" s="24">
        <v>122.0</v>
      </c>
      <c r="J11976" s="24">
        <v>0.0</v>
      </c>
      <c r="K11976" s="23" t="s">
        <v>34</v>
      </c>
      <c r="L11976" s="25">
        <v>40183.425150462965</v>
      </c>
      <c r="M11976" s="28"/>
      <c r="N11976" s="26" t="s">
        <v>25079</v>
      </c>
      <c r="O11976" s="22" t="str">
        <f>HYPERLINK("https://pbs.twimg.com/profile_images/932650042/kaeru_normal.png","View")</f>
        <v>View</v>
      </c>
      <c r="P11976" s="27"/>
    </row>
    <row r="11977">
      <c r="A11977" s="14">
        <v>43032.94819444444</v>
      </c>
      <c r="B11977" s="20" t="str">
        <f>HYPERLINK("https://twitter.com/Maab14","@Maab14")</f>
        <v>@Maab14</v>
      </c>
      <c r="C11977" s="21" t="s">
        <v>25080</v>
      </c>
      <c r="D11977" s="21" t="s">
        <v>24799</v>
      </c>
      <c r="E11977" s="22" t="str">
        <f>HYPERLINK("https://twitter.com/Maab14/status/923062918643638272","923062918643638272")</f>
        <v>923062918643638272</v>
      </c>
      <c r="F11977" s="23" t="s">
        <v>43</v>
      </c>
      <c r="G11977" s="24">
        <v>356.0</v>
      </c>
      <c r="H11977" s="24">
        <v>1549.0</v>
      </c>
      <c r="I11977" s="24">
        <v>31.0</v>
      </c>
      <c r="J11977" s="24">
        <v>0.0</v>
      </c>
      <c r="K11977" s="23" t="s">
        <v>34</v>
      </c>
      <c r="L11977" s="25">
        <v>39720.938935185186</v>
      </c>
      <c r="M11977" s="28"/>
      <c r="N11977" s="28"/>
      <c r="O11977" s="22" t="str">
        <f>HYPERLINK("https://pbs.twimg.com/profile_images/668660744406208512/q0hQNdr2_normal.jpg","View")</f>
        <v>View</v>
      </c>
      <c r="P11977" s="27"/>
    </row>
    <row r="11978">
      <c r="A11978" s="14">
        <v>43032.951631944445</v>
      </c>
      <c r="B11978" s="20" t="str">
        <f>HYPERLINK("https://twitter.com/Kanhaiy86327976","@Kanhaiy86327976")</f>
        <v>@Kanhaiy86327976</v>
      </c>
      <c r="C11978" s="21" t="s">
        <v>25081</v>
      </c>
      <c r="D11978" s="21" t="s">
        <v>42</v>
      </c>
      <c r="E11978" s="22" t="str">
        <f>HYPERLINK("https://twitter.com/Kanhaiy86327976/status/923064164276252672","923064164276252672")</f>
        <v>923064164276252672</v>
      </c>
      <c r="F11978" s="23" t="s">
        <v>33</v>
      </c>
      <c r="G11978" s="24">
        <v>14.0</v>
      </c>
      <c r="H11978" s="24">
        <v>84.0</v>
      </c>
      <c r="I11978" s="24">
        <v>8501.0</v>
      </c>
      <c r="J11978" s="24">
        <v>0.0</v>
      </c>
      <c r="K11978" s="23" t="s">
        <v>34</v>
      </c>
      <c r="L11978" s="25">
        <v>42595.269583333335</v>
      </c>
      <c r="M11978" s="26" t="s">
        <v>25082</v>
      </c>
      <c r="N11978" s="26" t="s">
        <v>25083</v>
      </c>
      <c r="O11978" s="22" t="str">
        <f>HYPERLINK("https://pbs.twimg.com/profile_images/871753422005051392/LnqspMsk_normal.jpg","View")</f>
        <v>View</v>
      </c>
      <c r="P11978" s="27"/>
    </row>
    <row r="11979">
      <c r="A11979" s="14">
        <v>43032.95166666667</v>
      </c>
      <c r="B11979" s="20" t="str">
        <f>HYPERLINK("https://twitter.com/a_flake_of_snow","@a_flake_of_snow")</f>
        <v>@a_flake_of_snow</v>
      </c>
      <c r="C11979" s="21" t="s">
        <v>25084</v>
      </c>
      <c r="D11979" s="21" t="s">
        <v>24007</v>
      </c>
      <c r="E11979" s="22" t="str">
        <f>HYPERLINK("https://twitter.com/a_flake_of_snow/status/923064177974845440","923064177974845440")</f>
        <v>923064177974845440</v>
      </c>
      <c r="F11979" s="23" t="s">
        <v>39</v>
      </c>
      <c r="G11979" s="24">
        <v>1784.0</v>
      </c>
      <c r="H11979" s="24">
        <v>2612.0</v>
      </c>
      <c r="I11979" s="24">
        <v>122.0</v>
      </c>
      <c r="J11979" s="24">
        <v>0.0</v>
      </c>
      <c r="K11979" s="23" t="s">
        <v>34</v>
      </c>
      <c r="L11979" s="25">
        <v>40068.022199074076</v>
      </c>
      <c r="M11979" s="26" t="s">
        <v>25085</v>
      </c>
      <c r="N11979" s="26" t="s">
        <v>25086</v>
      </c>
      <c r="O11979" s="22" t="str">
        <f>HYPERLINK("https://pbs.twimg.com/profile_images/433762653735890944/5GDZ7IJn_normal.jpeg","View")</f>
        <v>View</v>
      </c>
      <c r="P11979" s="27"/>
    </row>
    <row r="11980">
      <c r="A11980" s="14">
        <v>43032.95226851852</v>
      </c>
      <c r="B11980" s="20" t="str">
        <f>HYPERLINK("https://twitter.com/AvinashCKM","@AvinashCKM")</f>
        <v>@AvinashCKM</v>
      </c>
      <c r="C11980" s="21" t="s">
        <v>25087</v>
      </c>
      <c r="D11980" s="21" t="s">
        <v>42</v>
      </c>
      <c r="E11980" s="22" t="str">
        <f>HYPERLINK("https://twitter.com/AvinashCKM/status/923064394891780097","923064394891780097")</f>
        <v>923064394891780097</v>
      </c>
      <c r="F11980" s="23" t="s">
        <v>2119</v>
      </c>
      <c r="G11980" s="24">
        <v>2230.0</v>
      </c>
      <c r="H11980" s="24">
        <v>677.0</v>
      </c>
      <c r="I11980" s="24">
        <v>8501.0</v>
      </c>
      <c r="J11980" s="24">
        <v>0.0</v>
      </c>
      <c r="K11980" s="23" t="s">
        <v>34</v>
      </c>
      <c r="L11980" s="25">
        <v>40231.2437037037</v>
      </c>
      <c r="M11980" s="26" t="s">
        <v>25088</v>
      </c>
      <c r="N11980" s="26" t="s">
        <v>25089</v>
      </c>
      <c r="O11980" s="22" t="str">
        <f>HYPERLINK("https://pbs.twimg.com/profile_images/865528670907113472/S7uCJfQg_normal.jpg","View")</f>
        <v>View</v>
      </c>
      <c r="P11980" s="27"/>
    </row>
    <row r="11981">
      <c r="A11981" s="14">
        <v>43032.95476851852</v>
      </c>
      <c r="B11981" s="20" t="str">
        <f t="shared" ref="B11981:B11982" si="303">HYPERLINK("https://twitter.com/yumiim1","@yumiim1")</f>
        <v>@yumiim1</v>
      </c>
      <c r="C11981" s="21" t="s">
        <v>25090</v>
      </c>
      <c r="D11981" s="21" t="s">
        <v>24007</v>
      </c>
      <c r="E11981" s="22" t="str">
        <f>HYPERLINK("https://twitter.com/yumiim1/status/923065302681755649","923065302681755649")</f>
        <v>923065302681755649</v>
      </c>
      <c r="F11981" s="23" t="s">
        <v>39</v>
      </c>
      <c r="G11981" s="24">
        <v>1857.0</v>
      </c>
      <c r="H11981" s="24">
        <v>1461.0</v>
      </c>
      <c r="I11981" s="24">
        <v>122.0</v>
      </c>
      <c r="J11981" s="24">
        <v>0.0</v>
      </c>
      <c r="K11981" s="23" t="s">
        <v>34</v>
      </c>
      <c r="L11981" s="25">
        <v>40911.16800925926</v>
      </c>
      <c r="M11981" s="26" t="s">
        <v>25091</v>
      </c>
      <c r="N11981" s="26" t="s">
        <v>25092</v>
      </c>
      <c r="O11981" s="22" t="str">
        <f t="shared" ref="O11981:O11982" si="304">HYPERLINK("https://pbs.twimg.com/profile_images/922083897449496576/Uf32IMXM_normal.jpg","View")</f>
        <v>View</v>
      </c>
      <c r="P11981" s="27"/>
    </row>
    <row r="11982">
      <c r="A11982" s="14">
        <v>43032.955</v>
      </c>
      <c r="B11982" s="20" t="str">
        <f t="shared" si="303"/>
        <v>@yumiim1</v>
      </c>
      <c r="C11982" s="21" t="s">
        <v>25090</v>
      </c>
      <c r="D11982" s="21" t="s">
        <v>25093</v>
      </c>
      <c r="E11982" s="22" t="str">
        <f>HYPERLINK("https://twitter.com/yumiim1/status/923065386727124993","923065386727124993")</f>
        <v>923065386727124993</v>
      </c>
      <c r="F11982" s="23" t="s">
        <v>39</v>
      </c>
      <c r="G11982" s="24">
        <v>1857.0</v>
      </c>
      <c r="H11982" s="24">
        <v>1461.0</v>
      </c>
      <c r="I11982" s="24">
        <v>0.0</v>
      </c>
      <c r="J11982" s="24">
        <v>0.0</v>
      </c>
      <c r="K11982" s="23" t="s">
        <v>34</v>
      </c>
      <c r="L11982" s="25">
        <v>40911.16800925926</v>
      </c>
      <c r="M11982" s="26" t="s">
        <v>25091</v>
      </c>
      <c r="N11982" s="26" t="s">
        <v>25092</v>
      </c>
      <c r="O11982" s="22" t="str">
        <f t="shared" si="304"/>
        <v>View</v>
      </c>
      <c r="P11982" s="27"/>
    </row>
    <row r="11983">
      <c r="A11983" s="14">
        <v>43032.95574074074</v>
      </c>
      <c r="B11983" s="20" t="str">
        <f>HYPERLINK("https://twitter.com/KinKingofmichel","@KinKingofmichel")</f>
        <v>@KinKingofmichel</v>
      </c>
      <c r="C11983" s="21" t="s">
        <v>25094</v>
      </c>
      <c r="D11983" s="21" t="s">
        <v>25095</v>
      </c>
      <c r="E11983" s="22" t="str">
        <f>HYPERLINK("https://twitter.com/KinKingofmichel/status/923065656328601600","923065656328601600")</f>
        <v>923065656328601600</v>
      </c>
      <c r="F11983" s="23" t="s">
        <v>55</v>
      </c>
      <c r="G11983" s="24">
        <v>4207.0</v>
      </c>
      <c r="H11983" s="24">
        <v>3928.0</v>
      </c>
      <c r="I11983" s="24">
        <v>0.0</v>
      </c>
      <c r="J11983" s="24">
        <v>0.0</v>
      </c>
      <c r="K11983" s="23" t="s">
        <v>34</v>
      </c>
      <c r="L11983" s="25">
        <v>40768.163125</v>
      </c>
      <c r="M11983" s="26" t="s">
        <v>217</v>
      </c>
      <c r="N11983" s="26" t="s">
        <v>25096</v>
      </c>
      <c r="O11983" s="22" t="str">
        <f>HYPERLINK("https://pbs.twimg.com/profile_images/812820449025368064/kFpMPzg5_normal.jpg","View")</f>
        <v>View</v>
      </c>
      <c r="P11983" s="27"/>
    </row>
    <row r="11984">
      <c r="A11984" s="14">
        <v>43032.95611111111</v>
      </c>
      <c r="B11984" s="20" t="str">
        <f>HYPERLINK("https://twitter.com/whitestarichi","@whitestarichi")</f>
        <v>@whitestarichi</v>
      </c>
      <c r="C11984" s="21" t="s">
        <v>25097</v>
      </c>
      <c r="D11984" s="21" t="s">
        <v>24007</v>
      </c>
      <c r="E11984" s="22" t="str">
        <f>HYPERLINK("https://twitter.com/whitestarichi/status/923065788612751360","923065788612751360")</f>
        <v>923065788612751360</v>
      </c>
      <c r="F11984" s="23" t="s">
        <v>39</v>
      </c>
      <c r="G11984" s="24">
        <v>119.0</v>
      </c>
      <c r="H11984" s="24">
        <v>64.0</v>
      </c>
      <c r="I11984" s="24">
        <v>122.0</v>
      </c>
      <c r="J11984" s="24">
        <v>0.0</v>
      </c>
      <c r="K11984" s="23" t="s">
        <v>34</v>
      </c>
      <c r="L11984" s="25">
        <v>42766.735243055555</v>
      </c>
      <c r="M11984" s="28"/>
      <c r="N11984" s="28"/>
      <c r="O11984" s="22" t="str">
        <f>HYPERLINK("https://pbs.twimg.com/profile_images/827304090245881858/sIIMB3vq_normal.jpg","View")</f>
        <v>View</v>
      </c>
      <c r="P11984" s="27"/>
    </row>
    <row r="11985">
      <c r="A11985" s="14">
        <v>43032.956284722226</v>
      </c>
      <c r="B11985" s="20" t="str">
        <f>HYPERLINK("https://twitter.com/DavidPapp","@DavidPapp")</f>
        <v>@DavidPapp</v>
      </c>
      <c r="C11985" s="21" t="s">
        <v>8773</v>
      </c>
      <c r="D11985" s="21" t="s">
        <v>25098</v>
      </c>
      <c r="E11985" s="22" t="str">
        <f>HYPERLINK("https://twitter.com/DavidPapp/status/923065850181181440","923065850181181440")</f>
        <v>923065850181181440</v>
      </c>
      <c r="F11985" s="23" t="s">
        <v>4619</v>
      </c>
      <c r="G11985" s="24">
        <v>166662.0</v>
      </c>
      <c r="H11985" s="24">
        <v>34468.0</v>
      </c>
      <c r="I11985" s="24">
        <v>1.0</v>
      </c>
      <c r="J11985" s="24">
        <v>7.0</v>
      </c>
      <c r="K11985" s="23" t="s">
        <v>34</v>
      </c>
      <c r="L11985" s="25">
        <v>40200.631736111114</v>
      </c>
      <c r="M11985" s="26" t="s">
        <v>8775</v>
      </c>
      <c r="N11985" s="26" t="s">
        <v>8776</v>
      </c>
      <c r="O11985" s="22" t="str">
        <f>HYPERLINK("https://pbs.twimg.com/profile_images/900849692803702784/c152hboP_normal.jpg","View")</f>
        <v>View</v>
      </c>
      <c r="P11985" s="27"/>
    </row>
    <row r="11986">
      <c r="A11986" s="14">
        <v>43032.95631944445</v>
      </c>
      <c r="B11986" s="20" t="str">
        <f>HYPERLINK("https://twitter.com/SugimuraIP","@SugimuraIP")</f>
        <v>@SugimuraIP</v>
      </c>
      <c r="C11986" s="21" t="s">
        <v>5535</v>
      </c>
      <c r="D11986" s="21" t="s">
        <v>25099</v>
      </c>
      <c r="E11986" s="22" t="str">
        <f>HYPERLINK("https://twitter.com/SugimuraIP/status/923065863619702784","923065863619702784")</f>
        <v>923065863619702784</v>
      </c>
      <c r="F11986" s="23" t="s">
        <v>187</v>
      </c>
      <c r="G11986" s="24">
        <v>1684.0</v>
      </c>
      <c r="H11986" s="24">
        <v>748.0</v>
      </c>
      <c r="I11986" s="24">
        <v>0.0</v>
      </c>
      <c r="J11986" s="24">
        <v>0.0</v>
      </c>
      <c r="K11986" s="23" t="s">
        <v>34</v>
      </c>
      <c r="L11986" s="25">
        <v>41494.99694444444</v>
      </c>
      <c r="M11986" s="26" t="s">
        <v>923</v>
      </c>
      <c r="N11986" s="26" t="s">
        <v>5537</v>
      </c>
      <c r="O11986" s="22" t="str">
        <f>HYPERLINK("https://pbs.twimg.com/profile_images/378800000263751071/fbce8dd28d77a613d95f31dcbda75470_normal.jpeg","View")</f>
        <v>View</v>
      </c>
      <c r="P11986" s="27"/>
    </row>
    <row r="11987">
      <c r="A11987" s="14">
        <v>43032.95726851852</v>
      </c>
      <c r="B11987" s="20" t="str">
        <f>HYPERLINK("https://twitter.com/satyakumar808","@satyakumar808")</f>
        <v>@satyakumar808</v>
      </c>
      <c r="C11987" s="21" t="s">
        <v>25100</v>
      </c>
      <c r="D11987" s="21" t="s">
        <v>22882</v>
      </c>
      <c r="E11987" s="22" t="str">
        <f>HYPERLINK("https://twitter.com/satyakumar808/status/923066209339195394","923066209339195394")</f>
        <v>923066209339195394</v>
      </c>
      <c r="F11987" s="23" t="s">
        <v>55</v>
      </c>
      <c r="G11987" s="24">
        <v>7.0</v>
      </c>
      <c r="H11987" s="24">
        <v>24.0</v>
      </c>
      <c r="I11987" s="24">
        <v>33.0</v>
      </c>
      <c r="J11987" s="24">
        <v>0.0</v>
      </c>
      <c r="K11987" s="23" t="s">
        <v>34</v>
      </c>
      <c r="L11987" s="25">
        <v>41394.944236111114</v>
      </c>
      <c r="M11987" s="28"/>
      <c r="N11987" s="28"/>
      <c r="O11987" s="22" t="str">
        <f>HYPERLINK("https://pbs.twimg.com/profile_images/895990783131529216/87S2JoBc_normal.jpg","View")</f>
        <v>View</v>
      </c>
      <c r="P11987" s="27"/>
    </row>
    <row r="11988">
      <c r="A11988" s="14">
        <v>43032.95753472223</v>
      </c>
      <c r="B11988" s="20" t="str">
        <f>HYPERLINK("https://twitter.com/abhikothari30","@abhikothari30")</f>
        <v>@abhikothari30</v>
      </c>
      <c r="C11988" s="21" t="s">
        <v>25101</v>
      </c>
      <c r="D11988" s="21" t="s">
        <v>42</v>
      </c>
      <c r="E11988" s="22" t="str">
        <f>HYPERLINK("https://twitter.com/abhikothari30/status/923066306861006848","923066306861006848")</f>
        <v>923066306861006848</v>
      </c>
      <c r="F11988" s="23" t="s">
        <v>33</v>
      </c>
      <c r="G11988" s="24">
        <v>529.0</v>
      </c>
      <c r="H11988" s="24">
        <v>885.0</v>
      </c>
      <c r="I11988" s="24">
        <v>8501.0</v>
      </c>
      <c r="J11988" s="24">
        <v>0.0</v>
      </c>
      <c r="K11988" s="23" t="s">
        <v>34</v>
      </c>
      <c r="L11988" s="25">
        <v>40398.484293981484</v>
      </c>
      <c r="M11988" s="28"/>
      <c r="N11988" s="26" t="s">
        <v>25102</v>
      </c>
      <c r="O11988" s="22" t="str">
        <f>HYPERLINK("https://pbs.twimg.com/profile_images/2352699887/DSCN0341_normal.JPG","View")</f>
        <v>View</v>
      </c>
      <c r="P11988" s="27"/>
    </row>
    <row r="11989">
      <c r="A11989" s="14">
        <v>43032.95851851851</v>
      </c>
      <c r="B11989" s="20" t="str">
        <f>HYPERLINK("https://twitter.com/Aditya_Panse7","@Aditya_Panse7")</f>
        <v>@Aditya_Panse7</v>
      </c>
      <c r="C11989" s="21" t="s">
        <v>25103</v>
      </c>
      <c r="D11989" s="21" t="s">
        <v>42</v>
      </c>
      <c r="E11989" s="22" t="str">
        <f>HYPERLINK("https://twitter.com/Aditya_Panse7/status/923066660705021952","923066660705021952")</f>
        <v>923066660705021952</v>
      </c>
      <c r="F11989" s="23" t="s">
        <v>33</v>
      </c>
      <c r="G11989" s="24">
        <v>165.0</v>
      </c>
      <c r="H11989" s="24">
        <v>308.0</v>
      </c>
      <c r="I11989" s="24">
        <v>8501.0</v>
      </c>
      <c r="J11989" s="24">
        <v>0.0</v>
      </c>
      <c r="K11989" s="23" t="s">
        <v>34</v>
      </c>
      <c r="L11989" s="25">
        <v>42636.519375</v>
      </c>
      <c r="M11989" s="26" t="s">
        <v>246</v>
      </c>
      <c r="N11989" s="26" t="s">
        <v>25104</v>
      </c>
      <c r="O11989" s="22" t="str">
        <f>HYPERLINK("https://pbs.twimg.com/profile_images/850412019551539200/CGksnsX9_normal.jpg","View")</f>
        <v>View</v>
      </c>
      <c r="P11989" s="27"/>
    </row>
    <row r="11990">
      <c r="A11990" s="14">
        <v>43032.95951388888</v>
      </c>
      <c r="B11990" s="20" t="str">
        <f>HYPERLINK("https://twitter.com/Mazitama","@Mazitama")</f>
        <v>@Mazitama</v>
      </c>
      <c r="C11990" s="21" t="s">
        <v>25105</v>
      </c>
      <c r="D11990" s="21" t="s">
        <v>24007</v>
      </c>
      <c r="E11990" s="22" t="str">
        <f>HYPERLINK("https://twitter.com/Mazitama/status/923067020723216385","923067020723216385")</f>
        <v>923067020723216385</v>
      </c>
      <c r="F11990" s="23" t="s">
        <v>33</v>
      </c>
      <c r="G11990" s="24">
        <v>1042.0</v>
      </c>
      <c r="H11990" s="24">
        <v>1663.0</v>
      </c>
      <c r="I11990" s="24">
        <v>122.0</v>
      </c>
      <c r="J11990" s="24">
        <v>0.0</v>
      </c>
      <c r="K11990" s="23" t="s">
        <v>34</v>
      </c>
      <c r="L11990" s="25">
        <v>40071.07865740741</v>
      </c>
      <c r="M11990" s="26" t="s">
        <v>7233</v>
      </c>
      <c r="N11990" s="26" t="s">
        <v>25106</v>
      </c>
      <c r="O11990" s="22" t="str">
        <f>HYPERLINK("https://pbs.twimg.com/profile_images/416111660/H19__5_27______normal.JPG","View")</f>
        <v>View</v>
      </c>
      <c r="P11990" s="27"/>
    </row>
    <row r="11991">
      <c r="A11991" s="14">
        <v>43032.95951388888</v>
      </c>
      <c r="B11991" s="20" t="str">
        <f>HYPERLINK("https://twitter.com/EducationAtWeb","@EducationAtWeb")</f>
        <v>@EducationAtWeb</v>
      </c>
      <c r="C11991" s="21" t="s">
        <v>25107</v>
      </c>
      <c r="D11991" s="21" t="s">
        <v>25108</v>
      </c>
      <c r="E11991" s="22" t="str">
        <f>HYPERLINK("https://twitter.com/EducationAtWeb/status/923067021914464256","923067021914464256")</f>
        <v>923067021914464256</v>
      </c>
      <c r="F11991" s="23" t="s">
        <v>427</v>
      </c>
      <c r="G11991" s="24">
        <v>1615.0</v>
      </c>
      <c r="H11991" s="24">
        <v>1384.0</v>
      </c>
      <c r="I11991" s="24">
        <v>0.0</v>
      </c>
      <c r="J11991" s="24">
        <v>0.0</v>
      </c>
      <c r="K11991" s="23" t="s">
        <v>34</v>
      </c>
      <c r="L11991" s="25">
        <v>41180.251493055555</v>
      </c>
      <c r="M11991" s="26" t="s">
        <v>334</v>
      </c>
      <c r="N11991" s="26" t="s">
        <v>25109</v>
      </c>
      <c r="O11991" s="22" t="str">
        <f>HYPERLINK("https://pbs.twimg.com/profile_images/2658495477/e8cf2701ccb6e5ddee95ad4c5abc6913_normal.jpeg","View")</f>
        <v>View</v>
      </c>
      <c r="P11991" s="27"/>
    </row>
    <row r="11992">
      <c r="A11992" s="14">
        <v>43032.9603125</v>
      </c>
      <c r="B11992" s="20" t="str">
        <f>HYPERLINK("https://twitter.com/rohangurjar","@rohangurjar")</f>
        <v>@rohangurjar</v>
      </c>
      <c r="C11992" s="21" t="s">
        <v>25110</v>
      </c>
      <c r="D11992" s="21" t="s">
        <v>42</v>
      </c>
      <c r="E11992" s="22" t="str">
        <f>HYPERLINK("https://twitter.com/rohangurjar/status/923067309660368896","923067309660368896")</f>
        <v>923067309660368896</v>
      </c>
      <c r="F11992" s="23" t="s">
        <v>230</v>
      </c>
      <c r="G11992" s="24">
        <v>6.0</v>
      </c>
      <c r="H11992" s="24">
        <v>35.0</v>
      </c>
      <c r="I11992" s="24">
        <v>8501.0</v>
      </c>
      <c r="J11992" s="24">
        <v>0.0</v>
      </c>
      <c r="K11992" s="23" t="s">
        <v>34</v>
      </c>
      <c r="L11992" s="25">
        <v>40089.17655092593</v>
      </c>
      <c r="M11992" s="28"/>
      <c r="N11992" s="26" t="s">
        <v>25111</v>
      </c>
      <c r="O11992" s="22" t="str">
        <f>HYPERLINK("https://pbs.twimg.com/profile_images/736174382280646656/rSIAqkoF_normal.jpg","View")</f>
        <v>View</v>
      </c>
      <c r="P11992" s="27"/>
    </row>
    <row r="11993">
      <c r="A11993" s="14">
        <v>43032.96052083334</v>
      </c>
      <c r="B11993" s="20" t="str">
        <f>HYPERLINK("https://twitter.com/DhawalBhawsar1","@DhawalBhawsar1")</f>
        <v>@DhawalBhawsar1</v>
      </c>
      <c r="C11993" s="21" t="s">
        <v>25112</v>
      </c>
      <c r="D11993" s="21" t="s">
        <v>42</v>
      </c>
      <c r="E11993" s="22" t="str">
        <f>HYPERLINK("https://twitter.com/DhawalBhawsar1/status/923067387846344704","923067387846344704")</f>
        <v>923067387846344704</v>
      </c>
      <c r="F11993" s="23" t="s">
        <v>33</v>
      </c>
      <c r="G11993" s="24">
        <v>2.0</v>
      </c>
      <c r="H11993" s="24">
        <v>21.0</v>
      </c>
      <c r="I11993" s="24">
        <v>8501.0</v>
      </c>
      <c r="J11993" s="24">
        <v>0.0</v>
      </c>
      <c r="K11993" s="23" t="s">
        <v>34</v>
      </c>
      <c r="L11993" s="25">
        <v>42935.39523148148</v>
      </c>
      <c r="M11993" s="28"/>
      <c r="N11993" s="28"/>
      <c r="O11993" s="22" t="str">
        <f>HYPERLINK("https://abs.twimg.com/sticky/default_profile_images/default_profile_normal.png","View")</f>
        <v>View</v>
      </c>
      <c r="P11993" s="27"/>
    </row>
    <row r="11994">
      <c r="A11994" s="14">
        <v>43032.96063657408</v>
      </c>
      <c r="B11994" s="20" t="str">
        <f>HYPERLINK("https://twitter.com/jemora13","@jemora13")</f>
        <v>@jemora13</v>
      </c>
      <c r="C11994" s="21" t="s">
        <v>25113</v>
      </c>
      <c r="D11994" s="21" t="s">
        <v>25114</v>
      </c>
      <c r="E11994" s="22" t="str">
        <f>HYPERLINK("https://twitter.com/jemora13/status/923067428598251521","923067428598251521")</f>
        <v>923067428598251521</v>
      </c>
      <c r="F11994" s="23" t="s">
        <v>55</v>
      </c>
      <c r="G11994" s="24">
        <v>41.0</v>
      </c>
      <c r="H11994" s="24">
        <v>235.0</v>
      </c>
      <c r="I11994" s="24">
        <v>0.0</v>
      </c>
      <c r="J11994" s="24">
        <v>0.0</v>
      </c>
      <c r="K11994" s="23" t="s">
        <v>34</v>
      </c>
      <c r="L11994" s="25">
        <v>42791.844918981486</v>
      </c>
      <c r="M11994" s="26" t="s">
        <v>6293</v>
      </c>
      <c r="N11994" s="26" t="s">
        <v>25115</v>
      </c>
      <c r="O11994" s="22" t="str">
        <f>HYPERLINK("https://pbs.twimg.com/profile_images/914863414807117826/qPiMaeTZ_normal.jpg","View")</f>
        <v>View</v>
      </c>
      <c r="P11994" s="27"/>
    </row>
    <row r="11995">
      <c r="A11995" s="14">
        <v>43032.96070601852</v>
      </c>
      <c r="B11995" s="20" t="str">
        <f>HYPERLINK("https://twitter.com/PHILAlerts","@PHILAlerts")</f>
        <v>@PHILAlerts</v>
      </c>
      <c r="C11995" s="21" t="s">
        <v>3481</v>
      </c>
      <c r="D11995" s="21" t="s">
        <v>25116</v>
      </c>
      <c r="E11995" s="22" t="str">
        <f>HYPERLINK("https://twitter.com/PHILAlerts/status/923067456142397440","923067456142397440")</f>
        <v>923067456142397440</v>
      </c>
      <c r="F11995" s="23" t="s">
        <v>187</v>
      </c>
      <c r="G11995" s="24">
        <v>1315.0</v>
      </c>
      <c r="H11995" s="24">
        <v>3.0</v>
      </c>
      <c r="I11995" s="24">
        <v>0.0</v>
      </c>
      <c r="J11995" s="24">
        <v>0.0</v>
      </c>
      <c r="K11995" s="23" t="s">
        <v>34</v>
      </c>
      <c r="L11995" s="25">
        <v>41153.71976851852</v>
      </c>
      <c r="M11995" s="26" t="s">
        <v>265</v>
      </c>
      <c r="N11995" s="26" t="s">
        <v>3483</v>
      </c>
      <c r="O11995" s="22" t="str">
        <f>HYPERLINK("https://pbs.twimg.com/profile_images/378800000513718638/3fd5d8661316ab39a32c5786949eb77f_normal.jpeg","View")</f>
        <v>View</v>
      </c>
      <c r="P11995" s="27"/>
    </row>
    <row r="11996">
      <c r="A11996" s="14">
        <v>43032.96119212963</v>
      </c>
      <c r="B11996" s="20" t="str">
        <f>HYPERLINK("https://twitter.com/world_chaotic1","@world_chaotic1")</f>
        <v>@world_chaotic1</v>
      </c>
      <c r="C11996" s="21" t="s">
        <v>25117</v>
      </c>
      <c r="D11996" s="21" t="s">
        <v>24007</v>
      </c>
      <c r="E11996" s="22" t="str">
        <f>HYPERLINK("https://twitter.com/world_chaotic1/status/923067628779847680","923067628779847680")</f>
        <v>923067628779847680</v>
      </c>
      <c r="F11996" s="23" t="s">
        <v>39</v>
      </c>
      <c r="G11996" s="24">
        <v>84.0</v>
      </c>
      <c r="H11996" s="24">
        <v>330.0</v>
      </c>
      <c r="I11996" s="24">
        <v>122.0</v>
      </c>
      <c r="J11996" s="24">
        <v>0.0</v>
      </c>
      <c r="K11996" s="23" t="s">
        <v>34</v>
      </c>
      <c r="L11996" s="25">
        <v>42803.94740740741</v>
      </c>
      <c r="M11996" s="28"/>
      <c r="N11996" s="26" t="s">
        <v>25118</v>
      </c>
      <c r="O11996" s="22" t="str">
        <f>HYPERLINK("https://abs.twimg.com/sticky/default_profile_images/default_profile_normal.png","View")</f>
        <v>View</v>
      </c>
      <c r="P11996" s="27"/>
    </row>
    <row r="11997">
      <c r="A11997" s="14">
        <v>43032.96167824074</v>
      </c>
      <c r="B11997" s="20" t="str">
        <f>HYPERLINK("https://twitter.com/Gracyvdd","@Gracyvdd")</f>
        <v>@Gracyvdd</v>
      </c>
      <c r="C11997" s="21" t="s">
        <v>25119</v>
      </c>
      <c r="D11997" s="21" t="s">
        <v>16537</v>
      </c>
      <c r="E11997" s="22" t="str">
        <f>HYPERLINK("https://twitter.com/Gracyvdd/status/923067808459603968","923067808459603968")</f>
        <v>923067808459603968</v>
      </c>
      <c r="F11997" s="23" t="s">
        <v>39</v>
      </c>
      <c r="G11997" s="24">
        <v>120.0</v>
      </c>
      <c r="H11997" s="24">
        <v>77.0</v>
      </c>
      <c r="I11997" s="24">
        <v>242.0</v>
      </c>
      <c r="J11997" s="24">
        <v>0.0</v>
      </c>
      <c r="K11997" s="23" t="s">
        <v>34</v>
      </c>
      <c r="L11997" s="25">
        <v>40414.78886574074</v>
      </c>
      <c r="M11997" s="26" t="s">
        <v>5253</v>
      </c>
      <c r="N11997" s="26" t="s">
        <v>25120</v>
      </c>
      <c r="O11997" s="22" t="str">
        <f>HYPERLINK("https://pbs.twimg.com/profile_images/707792071801839616/Nic7s6qo_normal.jpg","View")</f>
        <v>View</v>
      </c>
      <c r="P11997" s="27"/>
    </row>
    <row r="11998">
      <c r="A11998" s="14">
        <v>43032.961759259255</v>
      </c>
      <c r="B11998" s="20" t="str">
        <f>HYPERLINK("https://twitter.com/panasea75","@panasea75")</f>
        <v>@panasea75</v>
      </c>
      <c r="C11998" s="21" t="s">
        <v>25121</v>
      </c>
      <c r="D11998" s="21" t="s">
        <v>24007</v>
      </c>
      <c r="E11998" s="22" t="str">
        <f>HYPERLINK("https://twitter.com/panasea75/status/923067835185688576","923067835185688576")</f>
        <v>923067835185688576</v>
      </c>
      <c r="F11998" s="23" t="s">
        <v>230</v>
      </c>
      <c r="G11998" s="24">
        <v>2486.0</v>
      </c>
      <c r="H11998" s="24">
        <v>1998.0</v>
      </c>
      <c r="I11998" s="24">
        <v>122.0</v>
      </c>
      <c r="J11998" s="24">
        <v>0.0</v>
      </c>
      <c r="K11998" s="23" t="s">
        <v>34</v>
      </c>
      <c r="L11998" s="25">
        <v>40144.95390046296</v>
      </c>
      <c r="M11998" s="26" t="s">
        <v>20877</v>
      </c>
      <c r="N11998" s="26" t="s">
        <v>25122</v>
      </c>
      <c r="O11998" s="22" t="str">
        <f>HYPERLINK("https://pbs.twimg.com/profile_images/547540776/naviregr_normal.jpg","View")</f>
        <v>View</v>
      </c>
      <c r="P11998" s="27"/>
    </row>
    <row r="11999">
      <c r="A11999" s="14">
        <v>43032.96188657408</v>
      </c>
      <c r="B11999" s="20" t="str">
        <f>HYPERLINK("https://twitter.com/VinayKumarRoy2","@VinayKumarRoy2")</f>
        <v>@VinayKumarRoy2</v>
      </c>
      <c r="C11999" s="21" t="s">
        <v>25123</v>
      </c>
      <c r="D11999" s="21" t="s">
        <v>22882</v>
      </c>
      <c r="E11999" s="22" t="str">
        <f>HYPERLINK("https://twitter.com/VinayKumarRoy2/status/923067882325663744","923067882325663744")</f>
        <v>923067882325663744</v>
      </c>
      <c r="F11999" s="23" t="s">
        <v>55</v>
      </c>
      <c r="G11999" s="24">
        <v>3.0</v>
      </c>
      <c r="H11999" s="24">
        <v>5.0</v>
      </c>
      <c r="I11999" s="24">
        <v>33.0</v>
      </c>
      <c r="J11999" s="24">
        <v>0.0</v>
      </c>
      <c r="K11999" s="23" t="s">
        <v>34</v>
      </c>
      <c r="L11999" s="25">
        <v>42962.92324074074</v>
      </c>
      <c r="M11999" s="28"/>
      <c r="N11999" s="28"/>
      <c r="O11999" s="22" t="str">
        <f>HYPERLINK("https://pbs.twimg.com/profile_images/897692474403164162/vfVX1gCL_normal.jpg","View")</f>
        <v>View</v>
      </c>
      <c r="P11999" s="27"/>
    </row>
    <row r="12000">
      <c r="A12000" s="14">
        <v>43032.961956018524</v>
      </c>
      <c r="B12000" s="20" t="str">
        <f>HYPERLINK("https://twitter.com/rachitattweet","@rachitattweet")</f>
        <v>@rachitattweet</v>
      </c>
      <c r="C12000" s="21" t="s">
        <v>20722</v>
      </c>
      <c r="D12000" s="21" t="s">
        <v>25124</v>
      </c>
      <c r="E12000" s="22" t="str">
        <f>HYPERLINK("https://twitter.com/rachitattweet/status/923067907768172544","923067907768172544")</f>
        <v>923067907768172544</v>
      </c>
      <c r="F12000" s="23" t="s">
        <v>55</v>
      </c>
      <c r="G12000" s="24">
        <v>1088.0</v>
      </c>
      <c r="H12000" s="24">
        <v>425.0</v>
      </c>
      <c r="I12000" s="24">
        <v>0.0</v>
      </c>
      <c r="J12000" s="24">
        <v>0.0</v>
      </c>
      <c r="K12000" s="23" t="s">
        <v>34</v>
      </c>
      <c r="L12000" s="25">
        <v>40384.295381944445</v>
      </c>
      <c r="M12000" s="28"/>
      <c r="N12000" s="26" t="s">
        <v>20723</v>
      </c>
      <c r="O12000" s="22" t="str">
        <f>HYPERLINK("https://pbs.twimg.com/profile_images/528992118165880835/DalpselC_normal.jpeg","View")</f>
        <v>View</v>
      </c>
      <c r="P12000" s="27"/>
    </row>
    <row r="12001">
      <c r="A12001" s="14">
        <v>43032.96204861111</v>
      </c>
      <c r="B12001" s="20" t="str">
        <f t="shared" ref="B12001:B12004" si="305">HYPERLINK("https://twitter.com/Gracyvdd","@Gracyvdd")</f>
        <v>@Gracyvdd</v>
      </c>
      <c r="C12001" s="21" t="s">
        <v>25119</v>
      </c>
      <c r="D12001" s="21" t="s">
        <v>10437</v>
      </c>
      <c r="E12001" s="22" t="str">
        <f>HYPERLINK("https://twitter.com/Gracyvdd/status/923067939460300800","923067939460300800")</f>
        <v>923067939460300800</v>
      </c>
      <c r="F12001" s="23" t="s">
        <v>39</v>
      </c>
      <c r="G12001" s="24">
        <v>120.0</v>
      </c>
      <c r="H12001" s="24">
        <v>77.0</v>
      </c>
      <c r="I12001" s="24">
        <v>16.0</v>
      </c>
      <c r="J12001" s="24">
        <v>0.0</v>
      </c>
      <c r="K12001" s="23" t="s">
        <v>34</v>
      </c>
      <c r="L12001" s="25">
        <v>40414.78886574074</v>
      </c>
      <c r="M12001" s="26" t="s">
        <v>5253</v>
      </c>
      <c r="N12001" s="26" t="s">
        <v>25120</v>
      </c>
      <c r="O12001" s="22" t="str">
        <f t="shared" ref="O12001:O12004" si="306">HYPERLINK("https://pbs.twimg.com/profile_images/707792071801839616/Nic7s6qo_normal.jpg","View")</f>
        <v>View</v>
      </c>
      <c r="P12001" s="27"/>
    </row>
    <row r="12002">
      <c r="A12002" s="14">
        <v>43032.96236111112</v>
      </c>
      <c r="B12002" s="20" t="str">
        <f t="shared" si="305"/>
        <v>@Gracyvdd</v>
      </c>
      <c r="C12002" s="21" t="s">
        <v>25119</v>
      </c>
      <c r="D12002" s="21" t="s">
        <v>113</v>
      </c>
      <c r="E12002" s="22" t="str">
        <f>HYPERLINK("https://twitter.com/Gracyvdd/status/923068055394983936","923068055394983936")</f>
        <v>923068055394983936</v>
      </c>
      <c r="F12002" s="23" t="s">
        <v>39</v>
      </c>
      <c r="G12002" s="24">
        <v>120.0</v>
      </c>
      <c r="H12002" s="24">
        <v>77.0</v>
      </c>
      <c r="I12002" s="24">
        <v>17.0</v>
      </c>
      <c r="J12002" s="24">
        <v>0.0</v>
      </c>
      <c r="K12002" s="23" t="s">
        <v>34</v>
      </c>
      <c r="L12002" s="25">
        <v>40414.78886574074</v>
      </c>
      <c r="M12002" s="26" t="s">
        <v>5253</v>
      </c>
      <c r="N12002" s="26" t="s">
        <v>25120</v>
      </c>
      <c r="O12002" s="22" t="str">
        <f t="shared" si="306"/>
        <v>View</v>
      </c>
      <c r="P12002" s="27"/>
    </row>
    <row r="12003">
      <c r="A12003" s="14">
        <v>43032.963171296295</v>
      </c>
      <c r="B12003" s="20" t="str">
        <f t="shared" si="305"/>
        <v>@Gracyvdd</v>
      </c>
      <c r="C12003" s="21" t="s">
        <v>25119</v>
      </c>
      <c r="D12003" s="21" t="s">
        <v>16417</v>
      </c>
      <c r="E12003" s="22" t="str">
        <f>HYPERLINK("https://twitter.com/Gracyvdd/status/923068345967972352","923068345967972352")</f>
        <v>923068345967972352</v>
      </c>
      <c r="F12003" s="23" t="s">
        <v>39</v>
      </c>
      <c r="G12003" s="24">
        <v>120.0</v>
      </c>
      <c r="H12003" s="24">
        <v>77.0</v>
      </c>
      <c r="I12003" s="24">
        <v>18.0</v>
      </c>
      <c r="J12003" s="24">
        <v>0.0</v>
      </c>
      <c r="K12003" s="23" t="s">
        <v>34</v>
      </c>
      <c r="L12003" s="25">
        <v>40414.78886574074</v>
      </c>
      <c r="M12003" s="26" t="s">
        <v>5253</v>
      </c>
      <c r="N12003" s="26" t="s">
        <v>25120</v>
      </c>
      <c r="O12003" s="22" t="str">
        <f t="shared" si="306"/>
        <v>View</v>
      </c>
      <c r="P12003" s="27"/>
    </row>
    <row r="12004">
      <c r="A12004" s="14">
        <v>43032.96325231482</v>
      </c>
      <c r="B12004" s="20" t="str">
        <f t="shared" si="305"/>
        <v>@Gracyvdd</v>
      </c>
      <c r="C12004" s="21" t="s">
        <v>25119</v>
      </c>
      <c r="D12004" s="21" t="s">
        <v>1109</v>
      </c>
      <c r="E12004" s="22" t="str">
        <f>HYPERLINK("https://twitter.com/Gracyvdd/status/923068375907016704","923068375907016704")</f>
        <v>923068375907016704</v>
      </c>
      <c r="F12004" s="23" t="s">
        <v>39</v>
      </c>
      <c r="G12004" s="24">
        <v>120.0</v>
      </c>
      <c r="H12004" s="24">
        <v>77.0</v>
      </c>
      <c r="I12004" s="24">
        <v>71.0</v>
      </c>
      <c r="J12004" s="24">
        <v>0.0</v>
      </c>
      <c r="K12004" s="23" t="s">
        <v>34</v>
      </c>
      <c r="L12004" s="25">
        <v>40414.78886574074</v>
      </c>
      <c r="M12004" s="26" t="s">
        <v>5253</v>
      </c>
      <c r="N12004" s="26" t="s">
        <v>25120</v>
      </c>
      <c r="O12004" s="22" t="str">
        <f t="shared" si="306"/>
        <v>View</v>
      </c>
      <c r="P12004" s="27"/>
    </row>
    <row r="12005">
      <c r="A12005" s="14">
        <v>43032.96407407407</v>
      </c>
      <c r="B12005" s="20" t="str">
        <f>HYPERLINK("https://twitter.com/business","@business")</f>
        <v>@business</v>
      </c>
      <c r="C12005" s="21" t="s">
        <v>3937</v>
      </c>
      <c r="D12005" s="21" t="s">
        <v>25125</v>
      </c>
      <c r="E12005" s="22" t="str">
        <f>HYPERLINK("https://twitter.com/business/status/923068673765658624","923068673765658624")</f>
        <v>923068673765658624</v>
      </c>
      <c r="F12005" s="23" t="s">
        <v>1103</v>
      </c>
      <c r="G12005" s="24">
        <v>4337399.0</v>
      </c>
      <c r="H12005" s="24">
        <v>1088.0</v>
      </c>
      <c r="I12005" s="24">
        <v>10.0</v>
      </c>
      <c r="J12005" s="24">
        <v>17.0</v>
      </c>
      <c r="K12005" s="23" t="s">
        <v>34</v>
      </c>
      <c r="L12005" s="25">
        <v>39926.545335648145</v>
      </c>
      <c r="M12005" s="26" t="s">
        <v>3939</v>
      </c>
      <c r="N12005" s="26" t="s">
        <v>3940</v>
      </c>
      <c r="O12005" s="22" t="str">
        <f>HYPERLINK("https://pbs.twimg.com/profile_images/714946924105883648/4fgNVF4H_normal.jpg","View")</f>
        <v>View</v>
      </c>
      <c r="P12005" s="27"/>
    </row>
    <row r="12006">
      <c r="A12006" s="14">
        <v>43032.964317129634</v>
      </c>
      <c r="B12006" s="20" t="str">
        <f>HYPERLINK("https://twitter.com/swissifg","@swissifg")</f>
        <v>@swissifg</v>
      </c>
      <c r="C12006" s="21" t="s">
        <v>3967</v>
      </c>
      <c r="D12006" s="21" t="s">
        <v>25126</v>
      </c>
      <c r="E12006" s="22" t="str">
        <f>HYPERLINK("https://twitter.com/swissifg/status/923068764299649024","923068764299649024")</f>
        <v>923068764299649024</v>
      </c>
      <c r="F12006" s="23" t="s">
        <v>187</v>
      </c>
      <c r="G12006" s="24">
        <v>1204.0</v>
      </c>
      <c r="H12006" s="24">
        <v>671.0</v>
      </c>
      <c r="I12006" s="24">
        <v>0.0</v>
      </c>
      <c r="J12006" s="24">
        <v>0.0</v>
      </c>
      <c r="K12006" s="23" t="s">
        <v>34</v>
      </c>
      <c r="L12006" s="25">
        <v>42499.2341087963</v>
      </c>
      <c r="M12006" s="26" t="s">
        <v>3969</v>
      </c>
      <c r="N12006" s="26" t="s">
        <v>3970</v>
      </c>
      <c r="O12006" s="22" t="str">
        <f>HYPERLINK("https://pbs.twimg.com/profile_images/729681805088063489/N4ls5vb8_normal.jpg","View")</f>
        <v>View</v>
      </c>
      <c r="P12006" s="27"/>
    </row>
    <row r="12007">
      <c r="A12007" s="14">
        <v>43032.964733796296</v>
      </c>
      <c r="B12007" s="20" t="str">
        <f>HYPERLINK("https://twitter.com/FallySomboNkhwa","@FallySomboNkhwa")</f>
        <v>@FallySomboNkhwa</v>
      </c>
      <c r="C12007" s="21" t="s">
        <v>4279</v>
      </c>
      <c r="D12007" s="21" t="s">
        <v>25127</v>
      </c>
      <c r="E12007" s="22" t="str">
        <f>HYPERLINK("https://twitter.com/FallySomboNkhwa/status/923068914044690432","923068914044690432")</f>
        <v>923068914044690432</v>
      </c>
      <c r="F12007" s="23" t="s">
        <v>187</v>
      </c>
      <c r="G12007" s="24">
        <v>406.0</v>
      </c>
      <c r="H12007" s="24">
        <v>2189.0</v>
      </c>
      <c r="I12007" s="24">
        <v>0.0</v>
      </c>
      <c r="J12007" s="24">
        <v>0.0</v>
      </c>
      <c r="K12007" s="23" t="s">
        <v>34</v>
      </c>
      <c r="L12007" s="25">
        <v>41551.82041666667</v>
      </c>
      <c r="M12007" s="26" t="s">
        <v>4281</v>
      </c>
      <c r="N12007" s="26" t="s">
        <v>4282</v>
      </c>
      <c r="O12007" s="22" t="str">
        <f>HYPERLINK("https://pbs.twimg.com/profile_images/543761133505503235/pKcg8bc2_normal.jpeg","View")</f>
        <v>View</v>
      </c>
      <c r="P12007" s="27"/>
    </row>
    <row r="12008">
      <c r="A12008" s="14">
        <v>43032.96478009259</v>
      </c>
      <c r="B12008" s="20" t="str">
        <f>HYPERLINK("https://twitter.com/alexis_parado","@alexis_parado")</f>
        <v>@alexis_parado</v>
      </c>
      <c r="C12008" s="21" t="s">
        <v>25128</v>
      </c>
      <c r="D12008" s="21" t="s">
        <v>25129</v>
      </c>
      <c r="E12008" s="22" t="str">
        <f>HYPERLINK("https://twitter.com/alexis_parado/status/923068930213797888","923068930213797888")</f>
        <v>923068930213797888</v>
      </c>
      <c r="F12008" s="23" t="s">
        <v>33</v>
      </c>
      <c r="G12008" s="24">
        <v>524.0</v>
      </c>
      <c r="H12008" s="24">
        <v>4888.0</v>
      </c>
      <c r="I12008" s="24">
        <v>10.0</v>
      </c>
      <c r="J12008" s="24">
        <v>0.0</v>
      </c>
      <c r="K12008" s="23" t="s">
        <v>34</v>
      </c>
      <c r="L12008" s="25">
        <v>40665.04887731482</v>
      </c>
      <c r="M12008" s="26" t="s">
        <v>25130</v>
      </c>
      <c r="N12008" s="26" t="s">
        <v>25131</v>
      </c>
      <c r="O12008" s="22" t="str">
        <f>HYPERLINK("https://pbs.twimg.com/profile_images/814164762070315008/1pqdloXO_normal.jpg","View")</f>
        <v>View</v>
      </c>
      <c r="P12008" s="27"/>
    </row>
    <row r="12009">
      <c r="A12009" s="14">
        <v>43032.96480324074</v>
      </c>
      <c r="B12009" s="20" t="str">
        <f>HYPERLINK("https://twitter.com/bdnews24","@bdnews24")</f>
        <v>@bdnews24</v>
      </c>
      <c r="C12009" s="21" t="s">
        <v>831</v>
      </c>
      <c r="D12009" s="21" t="s">
        <v>25132</v>
      </c>
      <c r="E12009" s="22" t="str">
        <f>HYPERLINK("https://twitter.com/bdnews24/status/923068938879225856","923068938879225856")</f>
        <v>923068938879225856</v>
      </c>
      <c r="F12009" s="23" t="s">
        <v>187</v>
      </c>
      <c r="G12009" s="24">
        <v>215300.0</v>
      </c>
      <c r="H12009" s="24">
        <v>67843.0</v>
      </c>
      <c r="I12009" s="24">
        <v>0.0</v>
      </c>
      <c r="J12009" s="24">
        <v>1.0</v>
      </c>
      <c r="K12009" s="23" t="s">
        <v>34</v>
      </c>
      <c r="L12009" s="25">
        <v>39844.468043981484</v>
      </c>
      <c r="M12009" s="26" t="s">
        <v>833</v>
      </c>
      <c r="N12009" s="26" t="s">
        <v>834</v>
      </c>
      <c r="O12009" s="22" t="str">
        <f>HYPERLINK("https://pbs.twimg.com/profile_images/718433521509994497/4iW9RC_r_normal.jpg","View")</f>
        <v>View</v>
      </c>
      <c r="P12009" s="27"/>
    </row>
    <row r="12010">
      <c r="A12010" s="14">
        <v>43032.96508101852</v>
      </c>
      <c r="B12010" s="20" t="str">
        <f>HYPERLINK("https://twitter.com/grey_whistle","@grey_whistle")</f>
        <v>@grey_whistle</v>
      </c>
      <c r="C12010" s="21" t="s">
        <v>25133</v>
      </c>
      <c r="D12010" s="21" t="s">
        <v>25129</v>
      </c>
      <c r="E12010" s="22" t="str">
        <f>HYPERLINK("https://twitter.com/grey_whistle/status/923069037604569088","923069037604569088")</f>
        <v>923069037604569088</v>
      </c>
      <c r="F12010" s="23" t="s">
        <v>39</v>
      </c>
      <c r="G12010" s="24">
        <v>289.0</v>
      </c>
      <c r="H12010" s="24">
        <v>339.0</v>
      </c>
      <c r="I12010" s="24">
        <v>10.0</v>
      </c>
      <c r="J12010" s="24">
        <v>0.0</v>
      </c>
      <c r="K12010" s="23" t="s">
        <v>34</v>
      </c>
      <c r="L12010" s="25">
        <v>40568.09972222222</v>
      </c>
      <c r="M12010" s="26" t="s">
        <v>923</v>
      </c>
      <c r="N12010" s="26" t="s">
        <v>25134</v>
      </c>
      <c r="O12010" s="22" t="str">
        <f>HYPERLINK("https://pbs.twimg.com/profile_images/569514803241050112/20HuXeXY_normal.jpeg","View")</f>
        <v>View</v>
      </c>
      <c r="P12010" s="27"/>
    </row>
    <row r="12011">
      <c r="A12011" s="14">
        <v>43032.96532407407</v>
      </c>
      <c r="B12011" s="20" t="str">
        <f>HYPERLINK("https://twitter.com/mapocoloco","@mapocoloco")</f>
        <v>@mapocoloco</v>
      </c>
      <c r="C12011" s="21" t="s">
        <v>24691</v>
      </c>
      <c r="D12011" s="21" t="s">
        <v>25129</v>
      </c>
      <c r="E12011" s="22" t="str">
        <f>HYPERLINK("https://twitter.com/mapocoloco/status/923069128520491009","923069128520491009")</f>
        <v>923069128520491009</v>
      </c>
      <c r="F12011" s="23" t="s">
        <v>39</v>
      </c>
      <c r="G12011" s="24">
        <v>1321.0</v>
      </c>
      <c r="H12011" s="24">
        <v>1622.0</v>
      </c>
      <c r="I12011" s="24">
        <v>10.0</v>
      </c>
      <c r="J12011" s="24">
        <v>0.0</v>
      </c>
      <c r="K12011" s="23" t="s">
        <v>34</v>
      </c>
      <c r="L12011" s="25">
        <v>40410.85219907407</v>
      </c>
      <c r="M12011" s="26" t="s">
        <v>24693</v>
      </c>
      <c r="N12011" s="26" t="s">
        <v>24694</v>
      </c>
      <c r="O12011" s="22" t="str">
        <f>HYPERLINK("https://pbs.twimg.com/profile_images/734078983722139648/0aXHc8BL_normal.jpg","View")</f>
        <v>View</v>
      </c>
      <c r="P12011" s="27"/>
    </row>
    <row r="12012">
      <c r="A12012" s="14">
        <v>43032.96554398148</v>
      </c>
      <c r="B12012" s="20" t="str">
        <f>HYPERLINK("https://twitter.com/Kingmakertweet","@Kingmakertweet")</f>
        <v>@Kingmakertweet</v>
      </c>
      <c r="C12012" s="21" t="s">
        <v>788</v>
      </c>
      <c r="D12012" s="21" t="s">
        <v>25129</v>
      </c>
      <c r="E12012" s="22" t="str">
        <f>HYPERLINK("https://twitter.com/Kingmakertweet/status/923069205808685058","923069205808685058")</f>
        <v>923069205808685058</v>
      </c>
      <c r="F12012" s="23" t="s">
        <v>33</v>
      </c>
      <c r="G12012" s="24">
        <v>126.0</v>
      </c>
      <c r="H12012" s="24">
        <v>66.0</v>
      </c>
      <c r="I12012" s="24">
        <v>10.0</v>
      </c>
      <c r="J12012" s="24">
        <v>0.0</v>
      </c>
      <c r="K12012" s="23" t="s">
        <v>34</v>
      </c>
      <c r="L12012" s="25">
        <v>41053.04650462963</v>
      </c>
      <c r="M12012" s="28"/>
      <c r="N12012" s="26" t="s">
        <v>789</v>
      </c>
      <c r="O12012" s="22" t="str">
        <f>HYPERLINK("https://pbs.twimg.com/profile_images/836959111707123712/vw98l-VT_normal.jpg","View")</f>
        <v>View</v>
      </c>
      <c r="P12012" s="27"/>
    </row>
    <row r="12013">
      <c r="A12013" s="14">
        <v>43032.965960648144</v>
      </c>
      <c r="B12013" s="20" t="str">
        <f t="shared" ref="B12013:B12014" si="307">HYPERLINK("https://twitter.com/silversurfer_a","@silversurfer_a")</f>
        <v>@silversurfer_a</v>
      </c>
      <c r="C12013" s="21" t="s">
        <v>25135</v>
      </c>
      <c r="D12013" s="21" t="s">
        <v>25136</v>
      </c>
      <c r="E12013" s="22" t="str">
        <f>HYPERLINK("https://twitter.com/silversurfer_a/status/923069357600542720","923069357600542720")</f>
        <v>923069357600542720</v>
      </c>
      <c r="F12013" s="23" t="s">
        <v>33</v>
      </c>
      <c r="G12013" s="24">
        <v>879.0</v>
      </c>
      <c r="H12013" s="24">
        <v>879.0</v>
      </c>
      <c r="I12013" s="24">
        <v>1.0</v>
      </c>
      <c r="J12013" s="24">
        <v>1.0</v>
      </c>
      <c r="K12013" s="23" t="s">
        <v>34</v>
      </c>
      <c r="L12013" s="25">
        <v>40332.19534722222</v>
      </c>
      <c r="M12013" s="26" t="s">
        <v>71</v>
      </c>
      <c r="N12013" s="26" t="s">
        <v>25137</v>
      </c>
      <c r="O12013" s="22" t="str">
        <f t="shared" ref="O12013:O12014" si="308">HYPERLINK("https://pbs.twimg.com/profile_images/798893961699917824/dfJa7Jik_normal.jpg","View")</f>
        <v>View</v>
      </c>
      <c r="P12013" s="27"/>
    </row>
    <row r="12014">
      <c r="A12014" s="14">
        <v>43032.96604166667</v>
      </c>
      <c r="B12014" s="20" t="str">
        <f t="shared" si="307"/>
        <v>@silversurfer_a</v>
      </c>
      <c r="C12014" s="21" t="s">
        <v>25135</v>
      </c>
      <c r="D12014" s="21" t="s">
        <v>25138</v>
      </c>
      <c r="E12014" s="22" t="str">
        <f>HYPERLINK("https://twitter.com/silversurfer_a/status/923069386780418049","923069386780418049")</f>
        <v>923069386780418049</v>
      </c>
      <c r="F12014" s="23" t="s">
        <v>33</v>
      </c>
      <c r="G12014" s="24">
        <v>879.0</v>
      </c>
      <c r="H12014" s="24">
        <v>879.0</v>
      </c>
      <c r="I12014" s="24">
        <v>1.0</v>
      </c>
      <c r="J12014" s="24">
        <v>0.0</v>
      </c>
      <c r="K12014" s="23" t="s">
        <v>34</v>
      </c>
      <c r="L12014" s="25">
        <v>40332.19534722222</v>
      </c>
      <c r="M12014" s="26" t="s">
        <v>71</v>
      </c>
      <c r="N12014" s="26" t="s">
        <v>25137</v>
      </c>
      <c r="O12014" s="22" t="str">
        <f t="shared" si="308"/>
        <v>View</v>
      </c>
      <c r="P12014" s="27"/>
    </row>
    <row r="12015">
      <c r="A12015" s="14">
        <v>43032.96628472222</v>
      </c>
      <c r="B12015" s="20" t="str">
        <f>HYPERLINK("https://twitter.com/beeasy1028","@beeasy1028")</f>
        <v>@beeasy1028</v>
      </c>
      <c r="C12015" s="21" t="s">
        <v>25139</v>
      </c>
      <c r="D12015" s="21" t="s">
        <v>25129</v>
      </c>
      <c r="E12015" s="22" t="str">
        <f>HYPERLINK("https://twitter.com/beeasy1028/status/923069476139966464","923069476139966464")</f>
        <v>923069476139966464</v>
      </c>
      <c r="F12015" s="23" t="s">
        <v>33</v>
      </c>
      <c r="G12015" s="24">
        <v>2620.0</v>
      </c>
      <c r="H12015" s="24">
        <v>2941.0</v>
      </c>
      <c r="I12015" s="24">
        <v>10.0</v>
      </c>
      <c r="J12015" s="24">
        <v>0.0</v>
      </c>
      <c r="K12015" s="23" t="s">
        <v>34</v>
      </c>
      <c r="L12015" s="25">
        <v>40782.458819444444</v>
      </c>
      <c r="M12015" s="26" t="s">
        <v>25140</v>
      </c>
      <c r="N12015" s="26" t="s">
        <v>25141</v>
      </c>
      <c r="O12015" s="22" t="str">
        <f>HYPERLINK("https://pbs.twimg.com/profile_images/905975074284462080/fR22MkO5_normal.jpg","View")</f>
        <v>View</v>
      </c>
      <c r="P12015" s="27"/>
    </row>
    <row r="12016">
      <c r="A12016" s="14">
        <v>43032.96644675926</v>
      </c>
      <c r="B12016" s="20" t="str">
        <f>HYPERLINK("https://twitter.com/BSAFunds","@BSAFunds")</f>
        <v>@BSAFunds</v>
      </c>
      <c r="C12016" s="21" t="s">
        <v>1248</v>
      </c>
      <c r="D12016" s="21" t="s">
        <v>25142</v>
      </c>
      <c r="E12016" s="22" t="str">
        <f>HYPERLINK("https://twitter.com/BSAFunds/status/923069533501448192","923069533501448192")</f>
        <v>923069533501448192</v>
      </c>
      <c r="F12016" s="23" t="s">
        <v>187</v>
      </c>
      <c r="G12016" s="24">
        <v>20910.0</v>
      </c>
      <c r="H12016" s="24">
        <v>8929.0</v>
      </c>
      <c r="I12016" s="24">
        <v>0.0</v>
      </c>
      <c r="J12016" s="24">
        <v>0.0</v>
      </c>
      <c r="K12016" s="23" t="s">
        <v>34</v>
      </c>
      <c r="L12016" s="25">
        <v>42601.94818287037</v>
      </c>
      <c r="M12016" s="26" t="s">
        <v>1250</v>
      </c>
      <c r="N12016" s="26" t="s">
        <v>1251</v>
      </c>
      <c r="O12016" s="22" t="str">
        <f>HYPERLINK("https://pbs.twimg.com/profile_images/912769166960033792/N4LAmrTs_normal.jpg","View")</f>
        <v>View</v>
      </c>
      <c r="P12016" s="27"/>
    </row>
    <row r="12017">
      <c r="A12017" s="14">
        <v>43032.96680555555</v>
      </c>
      <c r="B12017" s="20" t="str">
        <f>HYPERLINK("https://twitter.com/userpko","@userpko")</f>
        <v>@userpko</v>
      </c>
      <c r="C12017" s="21" t="s">
        <v>6597</v>
      </c>
      <c r="D12017" s="21" t="s">
        <v>25129</v>
      </c>
      <c r="E12017" s="22" t="str">
        <f>HYPERLINK("https://twitter.com/userpko/status/923069666339176448","923069666339176448")</f>
        <v>923069666339176448</v>
      </c>
      <c r="F12017" s="23" t="s">
        <v>33</v>
      </c>
      <c r="G12017" s="24">
        <v>63.0</v>
      </c>
      <c r="H12017" s="24">
        <v>156.0</v>
      </c>
      <c r="I12017" s="24">
        <v>10.0</v>
      </c>
      <c r="J12017" s="24">
        <v>0.0</v>
      </c>
      <c r="K12017" s="23" t="s">
        <v>34</v>
      </c>
      <c r="L12017" s="25">
        <v>40689.11715277778</v>
      </c>
      <c r="M12017" s="28"/>
      <c r="N12017" s="28"/>
      <c r="O12017" s="22" t="str">
        <f>HYPERLINK("https://abs.twimg.com/sticky/default_profile_images/default_profile_normal.png","View")</f>
        <v>View</v>
      </c>
      <c r="P12017" s="27"/>
    </row>
    <row r="12018">
      <c r="A12018" s="14">
        <v>43032.96724537037</v>
      </c>
      <c r="B12018" s="20" t="str">
        <f>HYPERLINK("https://twitter.com/ma527681","@ma527681")</f>
        <v>@ma527681</v>
      </c>
      <c r="C12018" s="21" t="s">
        <v>25143</v>
      </c>
      <c r="D12018" s="21" t="s">
        <v>9888</v>
      </c>
      <c r="E12018" s="22" t="str">
        <f>HYPERLINK("https://twitter.com/ma527681/status/923069825328414720","923069825328414720")</f>
        <v>923069825328414720</v>
      </c>
      <c r="F12018" s="23" t="s">
        <v>55</v>
      </c>
      <c r="G12018" s="24">
        <v>238.0</v>
      </c>
      <c r="H12018" s="24">
        <v>287.0</v>
      </c>
      <c r="I12018" s="24">
        <v>13.0</v>
      </c>
      <c r="J12018" s="24">
        <v>0.0</v>
      </c>
      <c r="K12018" s="23" t="s">
        <v>34</v>
      </c>
      <c r="L12018" s="25">
        <v>39969.63421296296</v>
      </c>
      <c r="M12018" s="26" t="s">
        <v>21798</v>
      </c>
      <c r="N12018" s="26" t="s">
        <v>25144</v>
      </c>
      <c r="O12018" s="22" t="str">
        <f>HYPERLINK("https://pbs.twimg.com/profile_images/755211235923156992/WxbB86Yk_normal.jpg","View")</f>
        <v>View</v>
      </c>
      <c r="P12018" s="27"/>
    </row>
    <row r="12019">
      <c r="A12019" s="14">
        <v>43032.96810185185</v>
      </c>
      <c r="B12019" s="20" t="str">
        <f>HYPERLINK("https://twitter.com/jimenezana","@jimenezana")</f>
        <v>@jimenezana</v>
      </c>
      <c r="C12019" s="21" t="s">
        <v>25145</v>
      </c>
      <c r="D12019" s="21" t="s">
        <v>25129</v>
      </c>
      <c r="E12019" s="22" t="str">
        <f>HYPERLINK("https://twitter.com/jimenezana/status/923070132833812480","923070132833812480")</f>
        <v>923070132833812480</v>
      </c>
      <c r="F12019" s="23" t="s">
        <v>39</v>
      </c>
      <c r="G12019" s="24">
        <v>1692.0</v>
      </c>
      <c r="H12019" s="24">
        <v>1045.0</v>
      </c>
      <c r="I12019" s="24">
        <v>10.0</v>
      </c>
      <c r="J12019" s="24">
        <v>0.0</v>
      </c>
      <c r="K12019" s="23" t="s">
        <v>34</v>
      </c>
      <c r="L12019" s="25">
        <v>39970.654814814814</v>
      </c>
      <c r="M12019" s="26" t="s">
        <v>25146</v>
      </c>
      <c r="N12019" s="26" t="s">
        <v>25147</v>
      </c>
      <c r="O12019" s="22" t="str">
        <f>HYPERLINK("https://pbs.twimg.com/profile_images/909068545614422016/LW5EWg-L_normal.jpg","View")</f>
        <v>View</v>
      </c>
      <c r="P12019" s="27"/>
    </row>
    <row r="12020">
      <c r="A12020" s="14">
        <v>43032.96879629629</v>
      </c>
      <c r="B12020" s="20" t="str">
        <f>HYPERLINK("https://twitter.com/gvgclub","@gvgclub")</f>
        <v>@gvgclub</v>
      </c>
      <c r="C12020" s="21" t="s">
        <v>25148</v>
      </c>
      <c r="D12020" s="21" t="s">
        <v>25149</v>
      </c>
      <c r="E12020" s="22" t="str">
        <f>HYPERLINK("https://twitter.com/gvgclub/status/923070385154801664","923070385154801664")</f>
        <v>923070385154801664</v>
      </c>
      <c r="F12020" s="30" t="s">
        <v>411</v>
      </c>
      <c r="G12020" s="24">
        <v>635.0</v>
      </c>
      <c r="H12020" s="24">
        <v>654.0</v>
      </c>
      <c r="I12020" s="24">
        <v>0.0</v>
      </c>
      <c r="J12020" s="24">
        <v>0.0</v>
      </c>
      <c r="K12020" s="23" t="s">
        <v>34</v>
      </c>
      <c r="L12020" s="25">
        <v>40991.31140046296</v>
      </c>
      <c r="M12020" s="26" t="s">
        <v>3693</v>
      </c>
      <c r="N12020" s="28"/>
      <c r="O12020" s="22" t="str">
        <f>HYPERLINK("https://pbs.twimg.com/profile_images/918100758477729792/5k6avS79_normal.jpg","View")</f>
        <v>View</v>
      </c>
      <c r="P12020" s="27"/>
    </row>
    <row r="12021">
      <c r="A12021" s="14">
        <v>43032.96902777778</v>
      </c>
      <c r="B12021" s="20" t="str">
        <f>HYPERLINK("https://twitter.com/CharlieLib327","@CharlieLib327")</f>
        <v>@CharlieLib327</v>
      </c>
      <c r="C12021" s="21" t="s">
        <v>25150</v>
      </c>
      <c r="D12021" s="21" t="s">
        <v>24007</v>
      </c>
      <c r="E12021" s="22" t="str">
        <f>HYPERLINK("https://twitter.com/CharlieLib327/status/923070469745475584","923070469745475584")</f>
        <v>923070469745475584</v>
      </c>
      <c r="F12021" s="23" t="s">
        <v>230</v>
      </c>
      <c r="G12021" s="24">
        <v>100.0</v>
      </c>
      <c r="H12021" s="24">
        <v>493.0</v>
      </c>
      <c r="I12021" s="24">
        <v>122.0</v>
      </c>
      <c r="J12021" s="24">
        <v>0.0</v>
      </c>
      <c r="K12021" s="23" t="s">
        <v>34</v>
      </c>
      <c r="L12021" s="25">
        <v>41431.733298611114</v>
      </c>
      <c r="M12021" s="26" t="s">
        <v>853</v>
      </c>
      <c r="N12021" s="26" t="s">
        <v>25151</v>
      </c>
      <c r="O12021" s="22" t="str">
        <f>HYPERLINK("https://pbs.twimg.com/profile_images/641030244518883328/GmRW2Z4v_normal.jpg","View")</f>
        <v>View</v>
      </c>
      <c r="P12021" s="27"/>
    </row>
    <row r="12022">
      <c r="A12022" s="14">
        <v>43032.96914351852</v>
      </c>
      <c r="B12022" s="20" t="str">
        <f>HYPERLINK("https://twitter.com/ZyiteGadgets","@ZyiteGadgets")</f>
        <v>@ZyiteGadgets</v>
      </c>
      <c r="C12022" s="21" t="s">
        <v>1033</v>
      </c>
      <c r="D12022" s="21" t="s">
        <v>25152</v>
      </c>
      <c r="E12022" s="22" t="str">
        <f>HYPERLINK("https://twitter.com/ZyiteGadgets/status/923070511848017920","923070511848017920")</f>
        <v>923070511848017920</v>
      </c>
      <c r="F12022" s="23" t="s">
        <v>427</v>
      </c>
      <c r="G12022" s="24">
        <v>3531.0</v>
      </c>
      <c r="H12022" s="24">
        <v>4846.0</v>
      </c>
      <c r="I12022" s="24">
        <v>0.0</v>
      </c>
      <c r="J12022" s="24">
        <v>0.0</v>
      </c>
      <c r="K12022" s="23" t="s">
        <v>34</v>
      </c>
      <c r="L12022" s="25">
        <v>41470.61478009259</v>
      </c>
      <c r="M12022" s="35" t="s">
        <v>1035</v>
      </c>
      <c r="N12022" s="26" t="s">
        <v>1036</v>
      </c>
      <c r="O12022" s="22" t="str">
        <f>HYPERLINK("https://pbs.twimg.com/profile_images/487701633489313793/pIxJHFt5_normal.jpeg","View")</f>
        <v>View</v>
      </c>
      <c r="P12022" s="27"/>
    </row>
    <row r="12023">
      <c r="A12023" s="14">
        <v>43032.96917824074</v>
      </c>
      <c r="B12023" s="20" t="str">
        <f>HYPERLINK("https://twitter.com/Bullish","@Bullish")</f>
        <v>@Bullish</v>
      </c>
      <c r="C12023" s="21" t="s">
        <v>2943</v>
      </c>
      <c r="D12023" s="21" t="s">
        <v>25153</v>
      </c>
      <c r="E12023" s="22" t="str">
        <f>HYPERLINK("https://twitter.com/Bullish/status/923070523810164736","923070523810164736")</f>
        <v>923070523810164736</v>
      </c>
      <c r="F12023" s="23" t="s">
        <v>187</v>
      </c>
      <c r="G12023" s="24">
        <v>184.0</v>
      </c>
      <c r="H12023" s="24">
        <v>87.0</v>
      </c>
      <c r="I12023" s="24">
        <v>0.0</v>
      </c>
      <c r="J12023" s="24">
        <v>0.0</v>
      </c>
      <c r="K12023" s="23" t="s">
        <v>34</v>
      </c>
      <c r="L12023" s="25">
        <v>42618.75304398148</v>
      </c>
      <c r="M12023" s="28"/>
      <c r="N12023" s="28"/>
      <c r="O12023" s="22" t="str">
        <f>HYPERLINK("https://pbs.twimg.com/profile_images/798692093736599552/UikI9dNE_normal.jpg","View")</f>
        <v>View</v>
      </c>
      <c r="P12023" s="27"/>
    </row>
    <row r="12024">
      <c r="A12024" s="14">
        <v>43032.969189814816</v>
      </c>
      <c r="B12024" s="20" t="str">
        <f>HYPERLINK("https://twitter.com/tuytuy2846","@tuytuy2846")</f>
        <v>@tuytuy2846</v>
      </c>
      <c r="C12024" s="21" t="s">
        <v>25154</v>
      </c>
      <c r="D12024" s="21" t="s">
        <v>25155</v>
      </c>
      <c r="E12024" s="22" t="str">
        <f>HYPERLINK("https://twitter.com/tuytuy2846/status/923070530164465664","923070530164465664")</f>
        <v>923070530164465664</v>
      </c>
      <c r="F12024" s="30" t="s">
        <v>411</v>
      </c>
      <c r="G12024" s="24">
        <v>150.0</v>
      </c>
      <c r="H12024" s="24">
        <v>599.0</v>
      </c>
      <c r="I12024" s="24">
        <v>0.0</v>
      </c>
      <c r="J12024" s="24">
        <v>0.0</v>
      </c>
      <c r="K12024" s="23" t="s">
        <v>34</v>
      </c>
      <c r="L12024" s="25">
        <v>41023.1815625</v>
      </c>
      <c r="M12024" s="28"/>
      <c r="N12024" s="26" t="s">
        <v>25156</v>
      </c>
      <c r="O12024" s="22" t="str">
        <f>HYPERLINK("https://pbs.twimg.com/profile_images/865255400836395008/qXR_3EQc_normal.jpg","View")</f>
        <v>View</v>
      </c>
      <c r="P12024" s="27"/>
    </row>
    <row r="12025">
      <c r="A12025" s="14">
        <v>43032.96921296296</v>
      </c>
      <c r="B12025" s="20" t="str">
        <f>HYPERLINK("https://twitter.com/jaimeotero_","@jaimeotero_")</f>
        <v>@jaimeotero_</v>
      </c>
      <c r="C12025" s="21" t="s">
        <v>3960</v>
      </c>
      <c r="D12025" s="21" t="s">
        <v>25157</v>
      </c>
      <c r="E12025" s="22" t="str">
        <f>HYPERLINK("https://twitter.com/jaimeotero_/status/923070538045689856","923070538045689856")</f>
        <v>923070538045689856</v>
      </c>
      <c r="F12025" s="23" t="s">
        <v>187</v>
      </c>
      <c r="G12025" s="24">
        <v>34534.0</v>
      </c>
      <c r="H12025" s="24">
        <v>31264.0</v>
      </c>
      <c r="I12025" s="24">
        <v>0.0</v>
      </c>
      <c r="J12025" s="24">
        <v>0.0</v>
      </c>
      <c r="K12025" s="23" t="s">
        <v>34</v>
      </c>
      <c r="L12025" s="25">
        <v>42531.01219907407</v>
      </c>
      <c r="M12025" s="26" t="s">
        <v>3962</v>
      </c>
      <c r="N12025" s="26" t="s">
        <v>3963</v>
      </c>
      <c r="O12025" s="22" t="str">
        <f>HYPERLINK("https://pbs.twimg.com/profile_images/849817561281818626/acAU04SD_normal.jpg","View")</f>
        <v>View</v>
      </c>
      <c r="P12025" s="27"/>
    </row>
    <row r="12026">
      <c r="A12026" s="14">
        <v>43032.969722222224</v>
      </c>
      <c r="B12026" s="20" t="str">
        <f>HYPERLINK("https://twitter.com/shailendra_nair","@shailendra_nair")</f>
        <v>@shailendra_nair</v>
      </c>
      <c r="C12026" s="21" t="s">
        <v>4072</v>
      </c>
      <c r="D12026" s="21" t="s">
        <v>25158</v>
      </c>
      <c r="E12026" s="22" t="str">
        <f>HYPERLINK("https://twitter.com/shailendra_nair/status/923070719986159617","923070719986159617")</f>
        <v>923070719986159617</v>
      </c>
      <c r="F12026" s="23" t="s">
        <v>187</v>
      </c>
      <c r="G12026" s="24">
        <v>3990.0</v>
      </c>
      <c r="H12026" s="24">
        <v>1041.0</v>
      </c>
      <c r="I12026" s="24">
        <v>0.0</v>
      </c>
      <c r="J12026" s="24">
        <v>0.0</v>
      </c>
      <c r="K12026" s="23" t="s">
        <v>34</v>
      </c>
      <c r="L12026" s="25">
        <v>40362.43798611111</v>
      </c>
      <c r="M12026" s="26" t="s">
        <v>246</v>
      </c>
      <c r="N12026" s="26" t="s">
        <v>4074</v>
      </c>
      <c r="O12026" s="22" t="str">
        <f>HYPERLINK("https://pbs.twimg.com/profile_images/884758468879466497/M_w6UjD3_normal.jpg","View")</f>
        <v>View</v>
      </c>
      <c r="P12026" s="27"/>
    </row>
    <row r="12027">
      <c r="A12027" s="14">
        <v>43032.970185185186</v>
      </c>
      <c r="B12027" s="20" t="str">
        <f>HYPERLINK("https://twitter.com/mlnangalama","@mlnangalama")</f>
        <v>@mlnangalama</v>
      </c>
      <c r="C12027" s="21" t="s">
        <v>925</v>
      </c>
      <c r="D12027" s="21" t="s">
        <v>25159</v>
      </c>
      <c r="E12027" s="22" t="str">
        <f>HYPERLINK("https://twitter.com/mlnangalama/status/923070889876443136","923070889876443136")</f>
        <v>923070889876443136</v>
      </c>
      <c r="F12027" s="23" t="s">
        <v>187</v>
      </c>
      <c r="G12027" s="24">
        <v>2366.0</v>
      </c>
      <c r="H12027" s="24">
        <v>1582.0</v>
      </c>
      <c r="I12027" s="24">
        <v>0.0</v>
      </c>
      <c r="J12027" s="24">
        <v>0.0</v>
      </c>
      <c r="K12027" s="23" t="s">
        <v>34</v>
      </c>
      <c r="L12027" s="25">
        <v>41041.54378472222</v>
      </c>
      <c r="M12027" s="26" t="s">
        <v>927</v>
      </c>
      <c r="N12027" s="26" t="s">
        <v>928</v>
      </c>
      <c r="O12027" s="22" t="str">
        <f>HYPERLINK("https://pbs.twimg.com/profile_images/900915882444173313/biUHzvpx_normal.jpg","View")</f>
        <v>View</v>
      </c>
      <c r="P12027" s="27"/>
    </row>
    <row r="12028">
      <c r="A12028" s="14">
        <v>43032.970543981486</v>
      </c>
      <c r="B12028" s="20" t="str">
        <f>HYPERLINK("https://twitter.com/Forex_warrior","@Forex_warrior")</f>
        <v>@Forex_warrior</v>
      </c>
      <c r="C12028" s="21" t="s">
        <v>24248</v>
      </c>
      <c r="D12028" s="21" t="s">
        <v>25160</v>
      </c>
      <c r="E12028" s="22" t="str">
        <f>HYPERLINK("https://twitter.com/Forex_warrior/status/923071018738094080","923071018738094080")</f>
        <v>923071018738094080</v>
      </c>
      <c r="F12028" s="23" t="s">
        <v>91</v>
      </c>
      <c r="G12028" s="24">
        <v>1721.0</v>
      </c>
      <c r="H12028" s="24">
        <v>26.0</v>
      </c>
      <c r="I12028" s="24">
        <v>0.0</v>
      </c>
      <c r="J12028" s="24">
        <v>0.0</v>
      </c>
      <c r="K12028" s="23" t="s">
        <v>34</v>
      </c>
      <c r="L12028" s="25">
        <v>41051.28228009259</v>
      </c>
      <c r="M12028" s="26" t="s">
        <v>13331</v>
      </c>
      <c r="N12028" s="26" t="s">
        <v>24250</v>
      </c>
      <c r="O12028" s="22" t="str">
        <f>HYPERLINK("https://pbs.twimg.com/profile_images/591477445829660673/csEYEomk_normal.png","View")</f>
        <v>View</v>
      </c>
      <c r="P12028" s="27"/>
    </row>
    <row r="12029">
      <c r="A12029" s="14">
        <v>43032.97167824074</v>
      </c>
      <c r="B12029" s="20" t="str">
        <f>HYPERLINK("https://twitter.com/serge_poznanski","@serge_poznanski")</f>
        <v>@serge_poznanski</v>
      </c>
      <c r="C12029" s="21" t="s">
        <v>2763</v>
      </c>
      <c r="D12029" s="21" t="s">
        <v>25161</v>
      </c>
      <c r="E12029" s="22" t="str">
        <f>HYPERLINK("https://twitter.com/serge_poznanski/status/923071431327481857","923071431327481857")</f>
        <v>923071431327481857</v>
      </c>
      <c r="F12029" s="23" t="s">
        <v>187</v>
      </c>
      <c r="G12029" s="24">
        <v>1438.0</v>
      </c>
      <c r="H12029" s="24">
        <v>2138.0</v>
      </c>
      <c r="I12029" s="24">
        <v>0.0</v>
      </c>
      <c r="J12029" s="24">
        <v>0.0</v>
      </c>
      <c r="K12029" s="23" t="s">
        <v>34</v>
      </c>
      <c r="L12029" s="25">
        <v>42271.47445601852</v>
      </c>
      <c r="M12029" s="28"/>
      <c r="N12029" s="28"/>
      <c r="O12029" s="22" t="str">
        <f>HYPERLINK("https://pbs.twimg.com/profile_images/647277253240291328/3GezjFCJ_normal.jpg","View")</f>
        <v>View</v>
      </c>
      <c r="P12029" s="27"/>
    </row>
    <row r="12030">
      <c r="A12030" s="14">
        <v>43032.971712962964</v>
      </c>
      <c r="B12030" s="20" t="str">
        <f>HYPERLINK("https://twitter.com/prepzilla","@prepzilla")</f>
        <v>@prepzilla</v>
      </c>
      <c r="C12030" s="21" t="s">
        <v>4010</v>
      </c>
      <c r="D12030" s="21" t="s">
        <v>25162</v>
      </c>
      <c r="E12030" s="22" t="str">
        <f>HYPERLINK("https://twitter.com/prepzilla/status/923071442358546435","923071442358546435")</f>
        <v>923071442358546435</v>
      </c>
      <c r="F12030" s="23" t="s">
        <v>187</v>
      </c>
      <c r="G12030" s="24">
        <v>7689.0</v>
      </c>
      <c r="H12030" s="24">
        <v>476.0</v>
      </c>
      <c r="I12030" s="24">
        <v>0.0</v>
      </c>
      <c r="J12030" s="24">
        <v>0.0</v>
      </c>
      <c r="K12030" s="23" t="s">
        <v>34</v>
      </c>
      <c r="L12030" s="25">
        <v>41299.741736111115</v>
      </c>
      <c r="M12030" s="26" t="s">
        <v>4012</v>
      </c>
      <c r="N12030" s="26" t="s">
        <v>4013</v>
      </c>
      <c r="O12030" s="22" t="str">
        <f>HYPERLINK("https://pbs.twimg.com/profile_images/900797880516005888/1bWN5qbC_normal.jpg","View")</f>
        <v>View</v>
      </c>
      <c r="P12030" s="27"/>
    </row>
    <row r="12031">
      <c r="A12031" s="14">
        <v>43032.97204861111</v>
      </c>
      <c r="B12031" s="20" t="str">
        <f>HYPERLINK("https://twitter.com/fatimaalisheikh","@fatimaalisheikh")</f>
        <v>@fatimaalisheikh</v>
      </c>
      <c r="C12031" s="21" t="s">
        <v>6228</v>
      </c>
      <c r="D12031" s="21" t="s">
        <v>24799</v>
      </c>
      <c r="E12031" s="22" t="str">
        <f>HYPERLINK("https://twitter.com/fatimaalisheikh/status/923071562873524229","923071562873524229")</f>
        <v>923071562873524229</v>
      </c>
      <c r="F12031" s="23" t="s">
        <v>33</v>
      </c>
      <c r="G12031" s="24">
        <v>171.0</v>
      </c>
      <c r="H12031" s="24">
        <v>1449.0</v>
      </c>
      <c r="I12031" s="24">
        <v>31.0</v>
      </c>
      <c r="J12031" s="24">
        <v>0.0</v>
      </c>
      <c r="K12031" s="23" t="s">
        <v>34</v>
      </c>
      <c r="L12031" s="25">
        <v>40943.30571759259</v>
      </c>
      <c r="M12031" s="26" t="s">
        <v>6229</v>
      </c>
      <c r="N12031" s="26" t="s">
        <v>6230</v>
      </c>
      <c r="O12031" s="22" t="str">
        <f>HYPERLINK("https://pbs.twimg.com/profile_images/891111642376884224/L1BiaesX_normal.jpg","View")</f>
        <v>View</v>
      </c>
      <c r="P12031" s="27"/>
    </row>
    <row r="12032">
      <c r="A12032" s="14">
        <v>43032.97461805555</v>
      </c>
      <c r="B12032" s="20" t="str">
        <f>HYPERLINK("https://twitter.com/Tekki_VR","@Tekki_VR")</f>
        <v>@Tekki_VR</v>
      </c>
      <c r="C12032" s="21" t="s">
        <v>4050</v>
      </c>
      <c r="D12032" s="21" t="s">
        <v>25163</v>
      </c>
      <c r="E12032" s="22" t="str">
        <f>HYPERLINK("https://twitter.com/Tekki_VR/status/923072494294241280","923072494294241280")</f>
        <v>923072494294241280</v>
      </c>
      <c r="F12032" s="23" t="s">
        <v>187</v>
      </c>
      <c r="G12032" s="24">
        <v>1899.0</v>
      </c>
      <c r="H12032" s="24">
        <v>2480.0</v>
      </c>
      <c r="I12032" s="24">
        <v>0.0</v>
      </c>
      <c r="J12032" s="24">
        <v>0.0</v>
      </c>
      <c r="K12032" s="23" t="s">
        <v>34</v>
      </c>
      <c r="L12032" s="25">
        <v>42263.54553240741</v>
      </c>
      <c r="M12032" s="26" t="s">
        <v>4052</v>
      </c>
      <c r="N12032" s="26" t="s">
        <v>4053</v>
      </c>
      <c r="O12032" s="22" t="str">
        <f>HYPERLINK("https://pbs.twimg.com/profile_images/760662770694098944/h1nSBfE8_normal.jpg","View")</f>
        <v>View</v>
      </c>
      <c r="P12032" s="27"/>
    </row>
    <row r="12033">
      <c r="A12033" s="14">
        <v>43032.976018518515</v>
      </c>
      <c r="B12033" s="20" t="str">
        <f>HYPERLINK("https://twitter.com/stakaha5","@stakaha5")</f>
        <v>@stakaha5</v>
      </c>
      <c r="C12033" s="21" t="s">
        <v>25164</v>
      </c>
      <c r="D12033" s="21" t="s">
        <v>24007</v>
      </c>
      <c r="E12033" s="22" t="str">
        <f>HYPERLINK("https://twitter.com/stakaha5/status/923073001909657600","923073001909657600")</f>
        <v>923073001909657600</v>
      </c>
      <c r="F12033" s="23" t="s">
        <v>55</v>
      </c>
      <c r="G12033" s="24">
        <v>450.0</v>
      </c>
      <c r="H12033" s="24">
        <v>666.0</v>
      </c>
      <c r="I12033" s="24">
        <v>122.0</v>
      </c>
      <c r="J12033" s="24">
        <v>0.0</v>
      </c>
      <c r="K12033" s="23" t="s">
        <v>34</v>
      </c>
      <c r="L12033" s="25">
        <v>42449.22135416667</v>
      </c>
      <c r="M12033" s="26" t="s">
        <v>25165</v>
      </c>
      <c r="N12033" s="26" t="s">
        <v>25166</v>
      </c>
      <c r="O12033" s="22" t="str">
        <f>HYPERLINK("https://pbs.twimg.com/profile_images/834761740738965505/Q_JHpLts_normal.jpg","View")</f>
        <v>View</v>
      </c>
      <c r="P12033" s="27"/>
    </row>
    <row r="12034">
      <c r="A12034" s="14">
        <v>43032.976111111115</v>
      </c>
      <c r="B12034" s="20" t="str">
        <f>HYPERLINK("https://twitter.com/IndiaWritesTGII","@IndiaWritesTGII")</f>
        <v>@IndiaWritesTGII</v>
      </c>
      <c r="C12034" s="21" t="s">
        <v>25167</v>
      </c>
      <c r="D12034" s="21" t="s">
        <v>25168</v>
      </c>
      <c r="E12034" s="22" t="str">
        <f>HYPERLINK("https://twitter.com/IndiaWritesTGII/status/923073037968203777","923073037968203777")</f>
        <v>923073037968203777</v>
      </c>
      <c r="F12034" s="23" t="s">
        <v>55</v>
      </c>
      <c r="G12034" s="24">
        <v>191.0</v>
      </c>
      <c r="H12034" s="24">
        <v>1121.0</v>
      </c>
      <c r="I12034" s="24">
        <v>0.0</v>
      </c>
      <c r="J12034" s="24">
        <v>0.0</v>
      </c>
      <c r="K12034" s="23" t="s">
        <v>34</v>
      </c>
      <c r="L12034" s="25">
        <v>41310.93033564815</v>
      </c>
      <c r="M12034" s="26" t="s">
        <v>575</v>
      </c>
      <c r="N12034" s="26" t="s">
        <v>25169</v>
      </c>
      <c r="O12034" s="22" t="str">
        <f>HYPERLINK("https://pbs.twimg.com/profile_images/486836739651022848/Ja2pfYMf_normal.png","View")</f>
        <v>View</v>
      </c>
      <c r="P12034" s="27"/>
    </row>
    <row r="12035">
      <c r="A12035" s="14">
        <v>43032.97650462963</v>
      </c>
      <c r="B12035" s="20" t="str">
        <f>HYPERLINK("https://twitter.com/ashish_nij","@ashish_nij")</f>
        <v>@ashish_nij</v>
      </c>
      <c r="C12035" s="21" t="s">
        <v>25170</v>
      </c>
      <c r="D12035" s="21" t="s">
        <v>13119</v>
      </c>
      <c r="E12035" s="22" t="str">
        <f>HYPERLINK("https://twitter.com/ashish_nij/status/923073179035222016","923073179035222016")</f>
        <v>923073179035222016</v>
      </c>
      <c r="F12035" s="23" t="s">
        <v>33</v>
      </c>
      <c r="G12035" s="24">
        <v>44.0</v>
      </c>
      <c r="H12035" s="24">
        <v>206.0</v>
      </c>
      <c r="I12035" s="24">
        <v>6.0</v>
      </c>
      <c r="J12035" s="24">
        <v>0.0</v>
      </c>
      <c r="K12035" s="23" t="s">
        <v>34</v>
      </c>
      <c r="L12035" s="25">
        <v>40309.14252314815</v>
      </c>
      <c r="M12035" s="26" t="s">
        <v>25171</v>
      </c>
      <c r="N12035" s="26" t="s">
        <v>25172</v>
      </c>
      <c r="O12035" s="22" t="str">
        <f>HYPERLINK("https://pbs.twimg.com/profile_images/568545673063055360/ekaGZOka_normal.jpeg","View")</f>
        <v>View</v>
      </c>
      <c r="P12035" s="27"/>
    </row>
    <row r="12036">
      <c r="A12036" s="14">
        <v>43032.97697916666</v>
      </c>
      <c r="B12036" s="20" t="str">
        <f>HYPERLINK("https://twitter.com/NumbingDisaster","@NumbingDisaster")</f>
        <v>@NumbingDisaster</v>
      </c>
      <c r="C12036" s="21" t="s">
        <v>25173</v>
      </c>
      <c r="D12036" s="21" t="s">
        <v>18113</v>
      </c>
      <c r="E12036" s="22" t="str">
        <f>HYPERLINK("https://twitter.com/NumbingDisaster/status/923073353396772864","923073353396772864")</f>
        <v>923073353396772864</v>
      </c>
      <c r="F12036" s="23" t="s">
        <v>55</v>
      </c>
      <c r="G12036" s="24">
        <v>490.0</v>
      </c>
      <c r="H12036" s="24">
        <v>963.0</v>
      </c>
      <c r="I12036" s="24">
        <v>18.0</v>
      </c>
      <c r="J12036" s="24">
        <v>0.0</v>
      </c>
      <c r="K12036" s="23" t="s">
        <v>34</v>
      </c>
      <c r="L12036" s="25">
        <v>41802.29996527778</v>
      </c>
      <c r="M12036" s="26" t="s">
        <v>25174</v>
      </c>
      <c r="N12036" s="26" t="s">
        <v>25175</v>
      </c>
      <c r="O12036" s="22" t="str">
        <f>HYPERLINK("https://pbs.twimg.com/profile_images/762275600975273984/a-OfipU6_normal.jpg","View")</f>
        <v>View</v>
      </c>
      <c r="P12036" s="27"/>
    </row>
    <row r="12037">
      <c r="A12037" s="14">
        <v>43032.97723379629</v>
      </c>
      <c r="B12037" s="20" t="str">
        <f>HYPERLINK("https://twitter.com/AsPacJames","@AsPacJames")</f>
        <v>@AsPacJames</v>
      </c>
      <c r="C12037" s="21" t="s">
        <v>20584</v>
      </c>
      <c r="D12037" s="21" t="s">
        <v>20905</v>
      </c>
      <c r="E12037" s="22" t="str">
        <f>HYPERLINK("https://twitter.com/AsPacJames/status/923073443142258690","923073443142258690")</f>
        <v>923073443142258690</v>
      </c>
      <c r="F12037" s="23" t="s">
        <v>39</v>
      </c>
      <c r="G12037" s="24">
        <v>868.0</v>
      </c>
      <c r="H12037" s="24">
        <v>500.0</v>
      </c>
      <c r="I12037" s="24">
        <v>4.0</v>
      </c>
      <c r="J12037" s="24">
        <v>0.0</v>
      </c>
      <c r="K12037" s="23" t="s">
        <v>34</v>
      </c>
      <c r="L12037" s="25">
        <v>40733.03673611111</v>
      </c>
      <c r="M12037" s="26" t="s">
        <v>334</v>
      </c>
      <c r="N12037" s="26" t="s">
        <v>20585</v>
      </c>
      <c r="O12037" s="22" t="str">
        <f>HYPERLINK("https://pbs.twimg.com/profile_images/1708053751/DSCF7658_normal.JPG","View")</f>
        <v>View</v>
      </c>
      <c r="P12037" s="27"/>
    </row>
    <row r="12038">
      <c r="A12038" s="14">
        <v>43032.97790509259</v>
      </c>
      <c r="B12038" s="20" t="str">
        <f>HYPERLINK("https://twitter.com/joetsuki","@joetsuki")</f>
        <v>@joetsuki</v>
      </c>
      <c r="C12038" s="21" t="s">
        <v>25176</v>
      </c>
      <c r="D12038" s="21" t="s">
        <v>24007</v>
      </c>
      <c r="E12038" s="22" t="str">
        <f>HYPERLINK("https://twitter.com/joetsuki/status/923073688135536640","923073688135536640")</f>
        <v>923073688135536640</v>
      </c>
      <c r="F12038" s="23" t="s">
        <v>33</v>
      </c>
      <c r="G12038" s="24">
        <v>69.0</v>
      </c>
      <c r="H12038" s="24">
        <v>259.0</v>
      </c>
      <c r="I12038" s="24">
        <v>122.0</v>
      </c>
      <c r="J12038" s="24">
        <v>0.0</v>
      </c>
      <c r="K12038" s="23" t="s">
        <v>34</v>
      </c>
      <c r="L12038" s="25">
        <v>40245.568194444444</v>
      </c>
      <c r="M12038" s="28"/>
      <c r="N12038" s="26" t="s">
        <v>25177</v>
      </c>
      <c r="O12038" s="22" t="str">
        <f>HYPERLINK("https://pbs.twimg.com/profile_images/749597686/____normal.jpg","View")</f>
        <v>View</v>
      </c>
      <c r="P12038" s="27"/>
    </row>
    <row r="12039">
      <c r="A12039" s="14">
        <v>43032.97908564815</v>
      </c>
      <c r="B12039" s="20" t="str">
        <f>HYPERLINK("https://twitter.com/LiCaK","@LiCaK")</f>
        <v>@LiCaK</v>
      </c>
      <c r="C12039" s="21" t="s">
        <v>25178</v>
      </c>
      <c r="D12039" s="21" t="s">
        <v>24007</v>
      </c>
      <c r="E12039" s="22" t="str">
        <f>HYPERLINK("https://twitter.com/LiCaK/status/923074116516691970","923074116516691970")</f>
        <v>923074116516691970</v>
      </c>
      <c r="F12039" s="23" t="s">
        <v>55</v>
      </c>
      <c r="G12039" s="24">
        <v>215.0</v>
      </c>
      <c r="H12039" s="24">
        <v>415.0</v>
      </c>
      <c r="I12039" s="24">
        <v>122.0</v>
      </c>
      <c r="J12039" s="24">
        <v>0.0</v>
      </c>
      <c r="K12039" s="23" t="s">
        <v>34</v>
      </c>
      <c r="L12039" s="25">
        <v>40024.691770833335</v>
      </c>
      <c r="M12039" s="28"/>
      <c r="N12039" s="26" t="s">
        <v>25179</v>
      </c>
      <c r="O12039" s="22" t="str">
        <f>HYPERLINK("https://pbs.twimg.com/profile_images/909684372722270209/qdHdpPvR_normal.jpg","View")</f>
        <v>View</v>
      </c>
      <c r="P12039" s="27"/>
    </row>
    <row r="12040">
      <c r="A12040" s="14">
        <v>43032.98018518518</v>
      </c>
      <c r="B12040" s="20" t="str">
        <f>HYPERLINK("https://twitter.com/urFUKNlghtmare","@urFUKNlghtmare")</f>
        <v>@urFUKNlghtmare</v>
      </c>
      <c r="C12040" s="21" t="s">
        <v>25180</v>
      </c>
      <c r="D12040" s="21" t="s">
        <v>25181</v>
      </c>
      <c r="E12040" s="22" t="str">
        <f>HYPERLINK("https://twitter.com/urFUKNlghtmare/status/923074513063022592","923074513063022592")</f>
        <v>923074513063022592</v>
      </c>
      <c r="F12040" s="23" t="s">
        <v>33</v>
      </c>
      <c r="G12040" s="24">
        <v>72.0</v>
      </c>
      <c r="H12040" s="24">
        <v>2264.0</v>
      </c>
      <c r="I12040" s="24">
        <v>1.0</v>
      </c>
      <c r="J12040" s="24">
        <v>0.0</v>
      </c>
      <c r="K12040" s="23" t="s">
        <v>34</v>
      </c>
      <c r="L12040" s="25">
        <v>40864.15032407407</v>
      </c>
      <c r="M12040" s="26" t="s">
        <v>25182</v>
      </c>
      <c r="N12040" s="26" t="s">
        <v>25183</v>
      </c>
      <c r="O12040" s="22" t="str">
        <f>HYPERLINK("https://pbs.twimg.com/profile_images/764943104692588544/_wccNGpQ_normal.jpg","View")</f>
        <v>View</v>
      </c>
      <c r="P12040" s="27"/>
    </row>
    <row r="12041">
      <c r="A12041" s="14">
        <v>43032.980520833335</v>
      </c>
      <c r="B12041" s="20" t="str">
        <f>HYPERLINK("https://twitter.com/LikeASexMachine","@LikeASexMachine")</f>
        <v>@LikeASexMachine</v>
      </c>
      <c r="C12041" s="21" t="s">
        <v>25184</v>
      </c>
      <c r="D12041" s="21" t="s">
        <v>24007</v>
      </c>
      <c r="E12041" s="22" t="str">
        <f>HYPERLINK("https://twitter.com/LikeASexMachine/status/923074633510686722","923074633510686722")</f>
        <v>923074633510686722</v>
      </c>
      <c r="F12041" s="23" t="s">
        <v>33</v>
      </c>
      <c r="G12041" s="24">
        <v>2270.0</v>
      </c>
      <c r="H12041" s="24">
        <v>2941.0</v>
      </c>
      <c r="I12041" s="24">
        <v>122.0</v>
      </c>
      <c r="J12041" s="24">
        <v>0.0</v>
      </c>
      <c r="K12041" s="23" t="s">
        <v>34</v>
      </c>
      <c r="L12041" s="25">
        <v>40497.315775462965</v>
      </c>
      <c r="M12041" s="28"/>
      <c r="N12041" s="26" t="s">
        <v>25185</v>
      </c>
      <c r="O12041" s="22" t="str">
        <f>HYPERLINK("https://pbs.twimg.com/profile_images/1533938296/fight_the_power_2_normal.jpg","View")</f>
        <v>View</v>
      </c>
      <c r="P12041" s="27"/>
    </row>
    <row r="12042">
      <c r="A12042" s="14">
        <v>43032.98081018518</v>
      </c>
      <c r="B12042" s="20" t="str">
        <f>HYPERLINK("https://twitter.com/ii_newsdesk","@ii_newsdesk")</f>
        <v>@ii_newsdesk</v>
      </c>
      <c r="C12042" s="21" t="s">
        <v>15396</v>
      </c>
      <c r="D12042" s="21" t="s">
        <v>25186</v>
      </c>
      <c r="E12042" s="22" t="str">
        <f>HYPERLINK("https://twitter.com/ii_newsdesk/status/923074741518422016","923074741518422016")</f>
        <v>923074741518422016</v>
      </c>
      <c r="F12042" s="23" t="s">
        <v>15398</v>
      </c>
      <c r="G12042" s="24">
        <v>263.0</v>
      </c>
      <c r="H12042" s="24">
        <v>1164.0</v>
      </c>
      <c r="I12042" s="24">
        <v>0.0</v>
      </c>
      <c r="J12042" s="24">
        <v>0.0</v>
      </c>
      <c r="K12042" s="23" t="s">
        <v>34</v>
      </c>
      <c r="L12042" s="25">
        <v>41985.98832175926</v>
      </c>
      <c r="M12042" s="26" t="s">
        <v>1991</v>
      </c>
      <c r="N12042" s="26" t="s">
        <v>15399</v>
      </c>
      <c r="O12042" s="22" t="str">
        <f>HYPERLINK("https://pbs.twimg.com/profile_images/758222941884600322/_aCW99lO_normal.jpg","View")</f>
        <v>View</v>
      </c>
      <c r="P12042" s="27"/>
    </row>
    <row r="12043">
      <c r="A12043" s="14">
        <v>43032.98101851852</v>
      </c>
      <c r="B12043" s="20" t="str">
        <f>HYPERLINK("https://twitter.com/CAkashAgarwal","@CAkashAgarwal")</f>
        <v>@CAkashAgarwal</v>
      </c>
      <c r="C12043" s="21" t="s">
        <v>25187</v>
      </c>
      <c r="D12043" s="21" t="s">
        <v>42</v>
      </c>
      <c r="E12043" s="22" t="str">
        <f>HYPERLINK("https://twitter.com/CAkashAgarwal/status/923074817284116481","923074817284116481")</f>
        <v>923074817284116481</v>
      </c>
      <c r="F12043" s="23" t="s">
        <v>33</v>
      </c>
      <c r="G12043" s="24">
        <v>9.0</v>
      </c>
      <c r="H12043" s="24">
        <v>2.0</v>
      </c>
      <c r="I12043" s="24">
        <v>8501.0</v>
      </c>
      <c r="J12043" s="24">
        <v>0.0</v>
      </c>
      <c r="K12043" s="23" t="s">
        <v>34</v>
      </c>
      <c r="L12043" s="25">
        <v>41988.39476851852</v>
      </c>
      <c r="M12043" s="26" t="s">
        <v>1137</v>
      </c>
      <c r="N12043" s="26" t="s">
        <v>25188</v>
      </c>
      <c r="O12043" s="22" t="str">
        <f>HYPERLINK("https://pbs.twimg.com/profile_images/829371776429748224/hN0Qvl1K_normal.jpg","View")</f>
        <v>View</v>
      </c>
      <c r="P12043" s="27"/>
    </row>
    <row r="12044">
      <c r="A12044" s="14">
        <v>43032.9813425926</v>
      </c>
      <c r="B12044" s="20" t="str">
        <f>HYPERLINK("https://twitter.com/luckyjm85","@luckyjm85")</f>
        <v>@luckyjm85</v>
      </c>
      <c r="C12044" s="21" t="s">
        <v>25189</v>
      </c>
      <c r="D12044" s="21" t="s">
        <v>42</v>
      </c>
      <c r="E12044" s="22" t="str">
        <f>HYPERLINK("https://twitter.com/luckyjm85/status/923074933944590336","923074933944590336")</f>
        <v>923074933944590336</v>
      </c>
      <c r="F12044" s="23" t="s">
        <v>39</v>
      </c>
      <c r="G12044" s="24">
        <v>1249.0</v>
      </c>
      <c r="H12044" s="24">
        <v>1127.0</v>
      </c>
      <c r="I12044" s="24">
        <v>8501.0</v>
      </c>
      <c r="J12044" s="24">
        <v>0.0</v>
      </c>
      <c r="K12044" s="23" t="s">
        <v>34</v>
      </c>
      <c r="L12044" s="25">
        <v>41674.243796296294</v>
      </c>
      <c r="M12044" s="26" t="s">
        <v>3904</v>
      </c>
      <c r="N12044" s="26" t="s">
        <v>25190</v>
      </c>
      <c r="O12044" s="22" t="str">
        <f>HYPERLINK("https://pbs.twimg.com/profile_images/917367659045412865/Ac5XbxGw_normal.jpg","View")</f>
        <v>View</v>
      </c>
      <c r="P12044" s="27"/>
    </row>
    <row r="12045">
      <c r="A12045" s="14">
        <v>43032.981585648144</v>
      </c>
      <c r="B12045" s="20" t="str">
        <f>HYPERLINK("https://twitter.com/rashidaldosari","@rashidaldosari")</f>
        <v>@rashidaldosari</v>
      </c>
      <c r="C12045" s="21" t="s">
        <v>8556</v>
      </c>
      <c r="D12045" s="21" t="s">
        <v>24007</v>
      </c>
      <c r="E12045" s="22" t="str">
        <f>HYPERLINK("https://twitter.com/rashidaldosari/status/923075018774458369","923075018774458369")</f>
        <v>923075018774458369</v>
      </c>
      <c r="F12045" s="23" t="s">
        <v>39</v>
      </c>
      <c r="G12045" s="24">
        <v>2400.0</v>
      </c>
      <c r="H12045" s="24">
        <v>55.0</v>
      </c>
      <c r="I12045" s="24">
        <v>122.0</v>
      </c>
      <c r="J12045" s="24">
        <v>0.0</v>
      </c>
      <c r="K12045" s="23" t="s">
        <v>34</v>
      </c>
      <c r="L12045" s="25">
        <v>40635.110625</v>
      </c>
      <c r="M12045" s="28"/>
      <c r="N12045" s="26" t="s">
        <v>8557</v>
      </c>
      <c r="O12045" s="22" t="str">
        <f>HYPERLINK("https://pbs.twimg.com/profile_images/1389660377/image_normal.jpg","View")</f>
        <v>View</v>
      </c>
      <c r="P12045" s="27"/>
    </row>
    <row r="12046">
      <c r="A12046" s="14">
        <v>43032.98212962963</v>
      </c>
      <c r="B12046" s="20" t="str">
        <f>HYPERLINK("https://twitter.com/gtlang74","@gtlang74")</f>
        <v>@gtlang74</v>
      </c>
      <c r="C12046" s="21" t="s">
        <v>25191</v>
      </c>
      <c r="D12046" s="21" t="s">
        <v>9888</v>
      </c>
      <c r="E12046" s="22" t="str">
        <f>HYPERLINK("https://twitter.com/gtlang74/status/923075219044085760","923075219044085760")</f>
        <v>923075219044085760</v>
      </c>
      <c r="F12046" s="23" t="s">
        <v>33</v>
      </c>
      <c r="G12046" s="24">
        <v>2413.0</v>
      </c>
      <c r="H12046" s="24">
        <v>5002.0</v>
      </c>
      <c r="I12046" s="24">
        <v>13.0</v>
      </c>
      <c r="J12046" s="24">
        <v>0.0</v>
      </c>
      <c r="K12046" s="23" t="s">
        <v>34</v>
      </c>
      <c r="L12046" s="25">
        <v>41903.33472222222</v>
      </c>
      <c r="M12046" s="26" t="s">
        <v>25192</v>
      </c>
      <c r="N12046" s="26" t="s">
        <v>25193</v>
      </c>
      <c r="O12046" s="22" t="str">
        <f>HYPERLINK("https://pbs.twimg.com/profile_images/540658473449824258/uWdCsEYT_normal.jpeg","View")</f>
        <v>View</v>
      </c>
      <c r="P12046" s="27"/>
    </row>
    <row r="12047">
      <c r="A12047" s="14">
        <v>43032.98295138888</v>
      </c>
      <c r="B12047" s="20" t="str">
        <f>HYPERLINK("https://twitter.com/goodboy51093548","@goodboy51093548")</f>
        <v>@goodboy51093548</v>
      </c>
      <c r="C12047" s="21" t="s">
        <v>25194</v>
      </c>
      <c r="D12047" s="21" t="s">
        <v>25129</v>
      </c>
      <c r="E12047" s="22" t="str">
        <f>HYPERLINK("https://twitter.com/goodboy51093548/status/923075513932845058","923075513932845058")</f>
        <v>923075513932845058</v>
      </c>
      <c r="F12047" s="23" t="s">
        <v>39</v>
      </c>
      <c r="G12047" s="24">
        <v>4.0</v>
      </c>
      <c r="H12047" s="24">
        <v>39.0</v>
      </c>
      <c r="I12047" s="24">
        <v>10.0</v>
      </c>
      <c r="J12047" s="24">
        <v>0.0</v>
      </c>
      <c r="K12047" s="23" t="s">
        <v>34</v>
      </c>
      <c r="L12047" s="25">
        <v>43014.38675925926</v>
      </c>
      <c r="M12047" s="28"/>
      <c r="N12047" s="28"/>
      <c r="O12047" s="22" t="str">
        <f>HYPERLINK("https://abs.twimg.com/sticky/default_profile_images/default_profile_normal.png","View")</f>
        <v>View</v>
      </c>
      <c r="P12047" s="27"/>
    </row>
    <row r="12048">
      <c r="A12048" s="14">
        <v>43032.98364583333</v>
      </c>
      <c r="B12048" s="20" t="str">
        <f>HYPERLINK("https://twitter.com/ParlGov","@ParlGov")</f>
        <v>@ParlGov</v>
      </c>
      <c r="C12048" s="21" t="s">
        <v>5521</v>
      </c>
      <c r="D12048" s="21" t="s">
        <v>25195</v>
      </c>
      <c r="E12048" s="22" t="str">
        <f>HYPERLINK("https://twitter.com/ParlGov/status/923075766425997312","923075766425997312")</f>
        <v>923075766425997312</v>
      </c>
      <c r="F12048" s="23" t="s">
        <v>55</v>
      </c>
      <c r="G12048" s="24">
        <v>1055.0</v>
      </c>
      <c r="H12048" s="24">
        <v>154.0</v>
      </c>
      <c r="I12048" s="24">
        <v>0.0</v>
      </c>
      <c r="J12048" s="24">
        <v>0.0</v>
      </c>
      <c r="K12048" s="23" t="s">
        <v>34</v>
      </c>
      <c r="L12048" s="25">
        <v>40609.033784722225</v>
      </c>
      <c r="M12048" s="28"/>
      <c r="N12048" s="26" t="s">
        <v>5523</v>
      </c>
      <c r="O12048" s="22" t="str">
        <f>HYPERLINK("https://pbs.twimg.com/profile_images/630448227914022912/Na99Zox2_normal.png","View")</f>
        <v>View</v>
      </c>
      <c r="P12048" s="27"/>
    </row>
    <row r="12049">
      <c r="A12049" s="14">
        <v>43032.98452546296</v>
      </c>
      <c r="B12049" s="20" t="str">
        <f>HYPERLINK("https://twitter.com/jostaryoutube12","@jostaryoutube12")</f>
        <v>@jostaryoutube12</v>
      </c>
      <c r="C12049" s="21" t="s">
        <v>25196</v>
      </c>
      <c r="D12049" s="21" t="s">
        <v>25197</v>
      </c>
      <c r="E12049" s="22" t="str">
        <f>HYPERLINK("https://twitter.com/jostaryoutube12/status/923076086073671680","923076086073671680")</f>
        <v>923076086073671680</v>
      </c>
      <c r="F12049" s="30" t="s">
        <v>659</v>
      </c>
      <c r="G12049" s="24">
        <v>70.0</v>
      </c>
      <c r="H12049" s="24">
        <v>8.0</v>
      </c>
      <c r="I12049" s="24">
        <v>0.0</v>
      </c>
      <c r="J12049" s="24">
        <v>0.0</v>
      </c>
      <c r="K12049" s="23" t="s">
        <v>34</v>
      </c>
      <c r="L12049" s="25">
        <v>42604.27616898148</v>
      </c>
      <c r="M12049" s="26" t="s">
        <v>660</v>
      </c>
      <c r="N12049" s="26" t="s">
        <v>25198</v>
      </c>
      <c r="O12049" s="22" t="str">
        <f>HYPERLINK("https://pbs.twimg.com/profile_images/767717955501076481/GjFgbamk_normal.jpg","View")</f>
        <v>View</v>
      </c>
      <c r="P12049" s="27"/>
    </row>
    <row r="12050">
      <c r="A12050" s="14">
        <v>43032.98480324074</v>
      </c>
      <c r="B12050" s="20" t="str">
        <f>HYPERLINK("https://twitter.com/3776fujim","@3776fujim")</f>
        <v>@3776fujim</v>
      </c>
      <c r="C12050" s="21">
        <v>3776.0</v>
      </c>
      <c r="D12050" s="21" t="s">
        <v>24007</v>
      </c>
      <c r="E12050" s="22" t="str">
        <f>HYPERLINK("https://twitter.com/3776fujim/status/923076187974287360","923076187974287360")</f>
        <v>923076187974287360</v>
      </c>
      <c r="F12050" s="23" t="s">
        <v>39</v>
      </c>
      <c r="G12050" s="24">
        <v>107.0</v>
      </c>
      <c r="H12050" s="24">
        <v>200.0</v>
      </c>
      <c r="I12050" s="24">
        <v>122.0</v>
      </c>
      <c r="J12050" s="24">
        <v>0.0</v>
      </c>
      <c r="K12050" s="23" t="s">
        <v>34</v>
      </c>
      <c r="L12050" s="25">
        <v>40689.2622337963</v>
      </c>
      <c r="M12050" s="28"/>
      <c r="N12050" s="28"/>
      <c r="O12050" s="22" t="str">
        <f>HYPERLINK("https://pbs.twimg.com/profile_images/1898402435/300px-MtFuji_FujiCity_normal.jpg","View")</f>
        <v>View</v>
      </c>
      <c r="P12050" s="27"/>
    </row>
    <row r="12051">
      <c r="A12051" s="14">
        <v>43032.985289351855</v>
      </c>
      <c r="B12051" s="20" t="str">
        <f>HYPERLINK("https://twitter.com/rika69052","@rika69052")</f>
        <v>@rika69052</v>
      </c>
      <c r="C12051" s="21" t="s">
        <v>25199</v>
      </c>
      <c r="D12051" s="21" t="s">
        <v>24007</v>
      </c>
      <c r="E12051" s="22" t="str">
        <f>HYPERLINK("https://twitter.com/rika69052/status/923076363266826240","923076363266826240")</f>
        <v>923076363266826240</v>
      </c>
      <c r="F12051" s="23" t="s">
        <v>33</v>
      </c>
      <c r="G12051" s="24">
        <v>112.0</v>
      </c>
      <c r="H12051" s="24">
        <v>133.0</v>
      </c>
      <c r="I12051" s="24">
        <v>122.0</v>
      </c>
      <c r="J12051" s="24">
        <v>0.0</v>
      </c>
      <c r="K12051" s="23" t="s">
        <v>34</v>
      </c>
      <c r="L12051" s="25">
        <v>41780.90751157407</v>
      </c>
      <c r="M12051" s="26" t="s">
        <v>25200</v>
      </c>
      <c r="N12051" s="26" t="s">
        <v>25201</v>
      </c>
      <c r="O12051" s="22" t="str">
        <f>HYPERLINK("https://pbs.twimg.com/profile_images/469340803299418112/Ckmn6vMa_normal.jpeg","View")</f>
        <v>View</v>
      </c>
      <c r="P12051" s="27"/>
    </row>
    <row r="12052">
      <c r="A12052" s="14">
        <v>43032.98541666666</v>
      </c>
      <c r="B12052" s="20" t="str">
        <f>HYPERLINK("https://twitter.com/goodboy51093548","@goodboy51093548")</f>
        <v>@goodboy51093548</v>
      </c>
      <c r="C12052" s="21" t="s">
        <v>25194</v>
      </c>
      <c r="D12052" s="21" t="s">
        <v>14855</v>
      </c>
      <c r="E12052" s="22" t="str">
        <f>HYPERLINK("https://twitter.com/goodboy51093548/status/923076410612244481","923076410612244481")</f>
        <v>923076410612244481</v>
      </c>
      <c r="F12052" s="23" t="s">
        <v>39</v>
      </c>
      <c r="G12052" s="24">
        <v>4.0</v>
      </c>
      <c r="H12052" s="24">
        <v>39.0</v>
      </c>
      <c r="I12052" s="24">
        <v>36.0</v>
      </c>
      <c r="J12052" s="24">
        <v>0.0</v>
      </c>
      <c r="K12052" s="23" t="s">
        <v>34</v>
      </c>
      <c r="L12052" s="25">
        <v>43014.38675925926</v>
      </c>
      <c r="M12052" s="28"/>
      <c r="N12052" s="28"/>
      <c r="O12052" s="22" t="str">
        <f>HYPERLINK("https://abs.twimg.com/sticky/default_profile_images/default_profile_normal.png","View")</f>
        <v>View</v>
      </c>
      <c r="P12052" s="27"/>
    </row>
    <row r="12053">
      <c r="A12053" s="14">
        <v>43032.98697916667</v>
      </c>
      <c r="B12053" s="20" t="str">
        <f>HYPERLINK("https://twitter.com/Sonof76","@Sonof76")</f>
        <v>@Sonof76</v>
      </c>
      <c r="C12053" s="21" t="s">
        <v>14846</v>
      </c>
      <c r="D12053" s="21" t="s">
        <v>24007</v>
      </c>
      <c r="E12053" s="22" t="str">
        <f>HYPERLINK("https://twitter.com/Sonof76/status/923076975333335040","923076975333335040")</f>
        <v>923076975333335040</v>
      </c>
      <c r="F12053" s="23" t="s">
        <v>33</v>
      </c>
      <c r="G12053" s="24">
        <v>7.0</v>
      </c>
      <c r="H12053" s="24">
        <v>55.0</v>
      </c>
      <c r="I12053" s="24">
        <v>122.0</v>
      </c>
      <c r="J12053" s="24">
        <v>0.0</v>
      </c>
      <c r="K12053" s="23" t="s">
        <v>34</v>
      </c>
      <c r="L12053" s="25">
        <v>42767.99418981481</v>
      </c>
      <c r="M12053" s="28"/>
      <c r="N12053" s="28"/>
      <c r="O12053" s="22" t="str">
        <f>HYPERLINK("https://pbs.twimg.com/profile_images/831742018149810184/SQc1PWuI_normal.jpg","View")</f>
        <v>View</v>
      </c>
      <c r="P12053" s="27"/>
    </row>
    <row r="12054">
      <c r="A12054" s="14">
        <v>43032.98732638889</v>
      </c>
      <c r="B12054" s="20" t="str">
        <f>HYPERLINK("https://twitter.com/goodboy51093548","@goodboy51093548")</f>
        <v>@goodboy51093548</v>
      </c>
      <c r="C12054" s="21" t="s">
        <v>25194</v>
      </c>
      <c r="D12054" s="21" t="s">
        <v>14748</v>
      </c>
      <c r="E12054" s="22" t="str">
        <f>HYPERLINK("https://twitter.com/goodboy51093548/status/923077099161657344","923077099161657344")</f>
        <v>923077099161657344</v>
      </c>
      <c r="F12054" s="23" t="s">
        <v>39</v>
      </c>
      <c r="G12054" s="24">
        <v>4.0</v>
      </c>
      <c r="H12054" s="24">
        <v>39.0</v>
      </c>
      <c r="I12054" s="24">
        <v>46.0</v>
      </c>
      <c r="J12054" s="24">
        <v>0.0</v>
      </c>
      <c r="K12054" s="23" t="s">
        <v>34</v>
      </c>
      <c r="L12054" s="25">
        <v>43014.38675925926</v>
      </c>
      <c r="M12054" s="28"/>
      <c r="N12054" s="28"/>
      <c r="O12054" s="22" t="str">
        <f>HYPERLINK("https://abs.twimg.com/sticky/default_profile_images/default_profile_normal.png","View")</f>
        <v>View</v>
      </c>
      <c r="P12054" s="27"/>
    </row>
    <row r="12055">
      <c r="A12055" s="14">
        <v>43032.988125</v>
      </c>
      <c r="B12055" s="20" t="str">
        <f>HYPERLINK("https://twitter.com/hrmmcd08","@hrmmcd08")</f>
        <v>@hrmmcd08</v>
      </c>
      <c r="C12055" s="21" t="s">
        <v>25202</v>
      </c>
      <c r="D12055" s="21" t="s">
        <v>24007</v>
      </c>
      <c r="E12055" s="22" t="str">
        <f>HYPERLINK("https://twitter.com/hrmmcd08/status/923077390321958912","923077390321958912")</f>
        <v>923077390321958912</v>
      </c>
      <c r="F12055" s="23" t="s">
        <v>230</v>
      </c>
      <c r="G12055" s="24">
        <v>165.0</v>
      </c>
      <c r="H12055" s="24">
        <v>353.0</v>
      </c>
      <c r="I12055" s="24">
        <v>122.0</v>
      </c>
      <c r="J12055" s="24">
        <v>0.0</v>
      </c>
      <c r="K12055" s="23" t="s">
        <v>34</v>
      </c>
      <c r="L12055" s="25">
        <v>40408.13248842592</v>
      </c>
      <c r="M12055" s="28"/>
      <c r="N12055" s="26" t="s">
        <v>25203</v>
      </c>
      <c r="O12055" s="22" t="str">
        <f>HYPERLINK("https://pbs.twimg.com/profile_images/723735798256824320/jyTmQFEb_normal.jpg","View")</f>
        <v>View</v>
      </c>
      <c r="P12055" s="27"/>
    </row>
    <row r="12056">
      <c r="A12056" s="14">
        <v>43032.98841435185</v>
      </c>
      <c r="B12056" s="20" t="str">
        <f>HYPERLINK("https://twitter.com/Praveen72864145","@Praveen72864145")</f>
        <v>@Praveen72864145</v>
      </c>
      <c r="C12056" s="21" t="s">
        <v>25204</v>
      </c>
      <c r="D12056" s="21" t="s">
        <v>42</v>
      </c>
      <c r="E12056" s="22" t="str">
        <f>HYPERLINK("https://twitter.com/Praveen72864145/status/923077493879459840","923077493879459840")</f>
        <v>923077493879459840</v>
      </c>
      <c r="F12056" s="23" t="s">
        <v>33</v>
      </c>
      <c r="G12056" s="24">
        <v>142.0</v>
      </c>
      <c r="H12056" s="24">
        <v>367.0</v>
      </c>
      <c r="I12056" s="24">
        <v>8501.0</v>
      </c>
      <c r="J12056" s="24">
        <v>0.0</v>
      </c>
      <c r="K12056" s="23" t="s">
        <v>34</v>
      </c>
      <c r="L12056" s="25">
        <v>42759.25740740741</v>
      </c>
      <c r="M12056" s="28"/>
      <c r="N12056" s="28"/>
      <c r="O12056" s="22" t="str">
        <f>HYPERLINK("https://pbs.twimg.com/profile_images/839354716395991042/Eadz3vJa_normal.jpg","View")</f>
        <v>View</v>
      </c>
      <c r="P12056" s="27"/>
    </row>
    <row r="12057">
      <c r="A12057" s="14">
        <v>43032.989895833336</v>
      </c>
      <c r="B12057" s="20" t="str">
        <f>HYPERLINK("https://twitter.com/makkuro3","@makkuro3")</f>
        <v>@makkuro3</v>
      </c>
      <c r="C12057" s="21" t="s">
        <v>19793</v>
      </c>
      <c r="D12057" s="21" t="s">
        <v>24007</v>
      </c>
      <c r="E12057" s="22" t="str">
        <f>HYPERLINK("https://twitter.com/makkuro3/status/923078032469868544","923078032469868544")</f>
        <v>923078032469868544</v>
      </c>
      <c r="F12057" s="23" t="s">
        <v>43</v>
      </c>
      <c r="G12057" s="24">
        <v>221.0</v>
      </c>
      <c r="H12057" s="24">
        <v>415.0</v>
      </c>
      <c r="I12057" s="24">
        <v>122.0</v>
      </c>
      <c r="J12057" s="24">
        <v>0.0</v>
      </c>
      <c r="K12057" s="23" t="s">
        <v>34</v>
      </c>
      <c r="L12057" s="25">
        <v>39957.16259259259</v>
      </c>
      <c r="M12057" s="26" t="s">
        <v>19794</v>
      </c>
      <c r="N12057" s="26" t="s">
        <v>19795</v>
      </c>
      <c r="O12057" s="22" t="str">
        <f>HYPERLINK("https://pbs.twimg.com/profile_images/228065938/_________normal.JPG","View")</f>
        <v>View</v>
      </c>
      <c r="P12057" s="27"/>
    </row>
    <row r="12058">
      <c r="A12058" s="14">
        <v>43032.99003472222</v>
      </c>
      <c r="B12058" s="20" t="str">
        <f>HYPERLINK("https://twitter.com/asuka_250","@asuka_250")</f>
        <v>@asuka_250</v>
      </c>
      <c r="C12058" s="21" t="s">
        <v>8584</v>
      </c>
      <c r="D12058" s="21" t="s">
        <v>25012</v>
      </c>
      <c r="E12058" s="22" t="str">
        <f>HYPERLINK("https://twitter.com/asuka_250/status/923078080670732293","923078080670732293")</f>
        <v>923078080670732293</v>
      </c>
      <c r="F12058" s="23" t="s">
        <v>33</v>
      </c>
      <c r="G12058" s="24">
        <v>30812.0</v>
      </c>
      <c r="H12058" s="24">
        <v>30482.0</v>
      </c>
      <c r="I12058" s="24">
        <v>4.0</v>
      </c>
      <c r="J12058" s="24">
        <v>0.0</v>
      </c>
      <c r="K12058" s="23" t="s">
        <v>34</v>
      </c>
      <c r="L12058" s="25">
        <v>41943.172476851854</v>
      </c>
      <c r="M12058" s="26" t="s">
        <v>1224</v>
      </c>
      <c r="N12058" s="26" t="s">
        <v>8586</v>
      </c>
      <c r="O12058" s="22" t="str">
        <f>HYPERLINK("https://pbs.twimg.com/profile_images/576284037486014464/dhYtI1qZ_normal.jpeg","View")</f>
        <v>View</v>
      </c>
      <c r="P12058" s="27"/>
    </row>
    <row r="12059">
      <c r="A12059" s="14">
        <v>43032.99023148148</v>
      </c>
      <c r="B12059" s="20" t="str">
        <f>HYPERLINK("https://twitter.com/kazuchan2010","@kazuchan2010")</f>
        <v>@kazuchan2010</v>
      </c>
      <c r="C12059" s="21" t="s">
        <v>25205</v>
      </c>
      <c r="D12059" s="21" t="s">
        <v>25012</v>
      </c>
      <c r="E12059" s="22" t="str">
        <f>HYPERLINK("https://twitter.com/kazuchan2010/status/923078154071154688","923078154071154688")</f>
        <v>923078154071154688</v>
      </c>
      <c r="F12059" s="23" t="s">
        <v>39</v>
      </c>
      <c r="G12059" s="24">
        <v>1938.0</v>
      </c>
      <c r="H12059" s="24">
        <v>2693.0</v>
      </c>
      <c r="I12059" s="24">
        <v>4.0</v>
      </c>
      <c r="J12059" s="24">
        <v>0.0</v>
      </c>
      <c r="K12059" s="23" t="s">
        <v>34</v>
      </c>
      <c r="L12059" s="25">
        <v>40179.53989583333</v>
      </c>
      <c r="M12059" s="26" t="s">
        <v>25206</v>
      </c>
      <c r="N12059" s="26" t="s">
        <v>25207</v>
      </c>
      <c r="O12059" s="22" t="str">
        <f>HYPERLINK("https://pbs.twimg.com/profile_images/1567147172/image_normal.jpg","View")</f>
        <v>View</v>
      </c>
      <c r="P12059" s="27"/>
    </row>
    <row r="12060">
      <c r="A12060" s="14">
        <v>43032.991215277776</v>
      </c>
      <c r="B12060" s="20" t="str">
        <f>HYPERLINK("https://twitter.com/WorldwideNewsTu","@WorldwideNewsTu")</f>
        <v>@WorldwideNewsTu</v>
      </c>
      <c r="C12060" s="21" t="s">
        <v>9660</v>
      </c>
      <c r="D12060" s="21" t="s">
        <v>25208</v>
      </c>
      <c r="E12060" s="22" t="str">
        <f>HYPERLINK("https://twitter.com/WorldwideNewsTu/status/923078511870521344","923078511870521344")</f>
        <v>923078511870521344</v>
      </c>
      <c r="F12060" s="23" t="s">
        <v>187</v>
      </c>
      <c r="G12060" s="24">
        <v>1524.0</v>
      </c>
      <c r="H12060" s="24">
        <v>1308.0</v>
      </c>
      <c r="I12060" s="24">
        <v>0.0</v>
      </c>
      <c r="J12060" s="24">
        <v>0.0</v>
      </c>
      <c r="K12060" s="23" t="s">
        <v>34</v>
      </c>
      <c r="L12060" s="25">
        <v>41603.70724537037</v>
      </c>
      <c r="M12060" s="26" t="s">
        <v>3783</v>
      </c>
      <c r="N12060" s="26" t="s">
        <v>9662</v>
      </c>
      <c r="O12060" s="22" t="str">
        <f>HYPERLINK("https://pbs.twimg.com/profile_images/742169399646257153/8rtUUEuM_normal.jpg","View")</f>
        <v>View</v>
      </c>
      <c r="P12060" s="27"/>
    </row>
    <row r="12061">
      <c r="A12061" s="14">
        <v>43032.99162037037</v>
      </c>
      <c r="B12061" s="20" t="str">
        <f>HYPERLINK("https://twitter.com/arakimagisa","@arakimagisa")</f>
        <v>@arakimagisa</v>
      </c>
      <c r="C12061" s="21" t="s">
        <v>25209</v>
      </c>
      <c r="D12061" s="21" t="s">
        <v>25012</v>
      </c>
      <c r="E12061" s="22" t="str">
        <f>HYPERLINK("https://twitter.com/arakimagisa/status/923078657047801856","923078657047801856")</f>
        <v>923078657047801856</v>
      </c>
      <c r="F12061" s="23" t="s">
        <v>55</v>
      </c>
      <c r="G12061" s="24">
        <v>179.0</v>
      </c>
      <c r="H12061" s="24">
        <v>751.0</v>
      </c>
      <c r="I12061" s="24">
        <v>4.0</v>
      </c>
      <c r="J12061" s="24">
        <v>0.0</v>
      </c>
      <c r="K12061" s="23" t="s">
        <v>34</v>
      </c>
      <c r="L12061" s="25">
        <v>42049.86060185185</v>
      </c>
      <c r="M12061" s="28"/>
      <c r="N12061" s="28"/>
      <c r="O12061" s="22" t="str">
        <f>HYPERLINK("https://pbs.twimg.com/profile_images/632388556170747904/Bb-xsTHL_normal.jpg","View")</f>
        <v>View</v>
      </c>
      <c r="P12061" s="27"/>
    </row>
    <row r="12062">
      <c r="A12062" s="14">
        <v>43032.99270833333</v>
      </c>
      <c r="B12062" s="20" t="str">
        <f>HYPERLINK("https://twitter.com/tosakam1","@tosakam1")</f>
        <v>@tosakam1</v>
      </c>
      <c r="C12062" s="21" t="s">
        <v>25210</v>
      </c>
      <c r="D12062" s="21" t="s">
        <v>24799</v>
      </c>
      <c r="E12062" s="22" t="str">
        <f>HYPERLINK("https://twitter.com/tosakam1/status/923079053166354432","923079053166354432")</f>
        <v>923079053166354432</v>
      </c>
      <c r="F12062" s="23" t="s">
        <v>55</v>
      </c>
      <c r="G12062" s="24">
        <v>176.0</v>
      </c>
      <c r="H12062" s="24">
        <v>203.0</v>
      </c>
      <c r="I12062" s="24">
        <v>31.0</v>
      </c>
      <c r="J12062" s="24">
        <v>0.0</v>
      </c>
      <c r="K12062" s="23" t="s">
        <v>34</v>
      </c>
      <c r="L12062" s="25">
        <v>41505.03412037037</v>
      </c>
      <c r="M12062" s="26" t="s">
        <v>25211</v>
      </c>
      <c r="N12062" s="26" t="s">
        <v>25212</v>
      </c>
      <c r="O12062" s="22" t="str">
        <f>HYPERLINK("https://pbs.twimg.com/profile_images/378800000746355719/410ea2ba101b2251c5ab01e56258467c_normal.jpeg","View")</f>
        <v>View</v>
      </c>
      <c r="P12062" s="27"/>
    </row>
    <row r="12063">
      <c r="A12063" s="14">
        <v>43032.99277777778</v>
      </c>
      <c r="B12063" s="20" t="str">
        <f>HYPERLINK("https://twitter.com/wildhiro","@wildhiro")</f>
        <v>@wildhiro</v>
      </c>
      <c r="C12063" s="21" t="s">
        <v>25213</v>
      </c>
      <c r="D12063" s="21" t="s">
        <v>24007</v>
      </c>
      <c r="E12063" s="22" t="str">
        <f>HYPERLINK("https://twitter.com/wildhiro/status/923079075102539777","923079075102539777")</f>
        <v>923079075102539777</v>
      </c>
      <c r="F12063" s="23" t="s">
        <v>39</v>
      </c>
      <c r="G12063" s="24">
        <v>456.0</v>
      </c>
      <c r="H12063" s="24">
        <v>272.0</v>
      </c>
      <c r="I12063" s="24">
        <v>122.0</v>
      </c>
      <c r="J12063" s="24">
        <v>0.0</v>
      </c>
      <c r="K12063" s="23" t="s">
        <v>34</v>
      </c>
      <c r="L12063" s="25">
        <v>39709.746840277774</v>
      </c>
      <c r="M12063" s="26" t="s">
        <v>25214</v>
      </c>
      <c r="N12063" s="26" t="s">
        <v>25215</v>
      </c>
      <c r="O12063" s="22" t="str">
        <f>HYPERLINK("https://pbs.twimg.com/profile_images/3714213252/df5a2b879ca813718e3169afa76c5b50_normal.jpeg","View")</f>
        <v>View</v>
      </c>
      <c r="P12063" s="27"/>
    </row>
    <row r="12064">
      <c r="A12064" s="14">
        <v>43032.993101851855</v>
      </c>
      <c r="B12064" s="20" t="str">
        <f>HYPERLINK("https://twitter.com/Reuters","@Reuters")</f>
        <v>@Reuters</v>
      </c>
      <c r="C12064" s="21" t="s">
        <v>754</v>
      </c>
      <c r="D12064" s="21" t="s">
        <v>25216</v>
      </c>
      <c r="E12064" s="22" t="str">
        <f>HYPERLINK("https://twitter.com/Reuters/status/923079195177168898","923079195177168898")</f>
        <v>923079195177168898</v>
      </c>
      <c r="F12064" s="23" t="s">
        <v>756</v>
      </c>
      <c r="G12064" s="24">
        <v>1.8914221E7</v>
      </c>
      <c r="H12064" s="24">
        <v>1063.0</v>
      </c>
      <c r="I12064" s="24">
        <v>14.0</v>
      </c>
      <c r="J12064" s="24">
        <v>19.0</v>
      </c>
      <c r="K12064" s="23" t="s">
        <v>34</v>
      </c>
      <c r="L12064" s="25">
        <v>39161.44866898148</v>
      </c>
      <c r="M12064" s="26" t="s">
        <v>757</v>
      </c>
      <c r="N12064" s="26" t="s">
        <v>758</v>
      </c>
      <c r="O12064" s="22" t="str">
        <f>HYPERLINK("https://pbs.twimg.com/profile_images/877554927932891136/ZBEs235N_normal.jpg","View")</f>
        <v>View</v>
      </c>
      <c r="P12064" s="27"/>
    </row>
    <row r="12065">
      <c r="A12065" s="14">
        <v>43032.99318287037</v>
      </c>
      <c r="B12065" s="20" t="str">
        <f>HYPERLINK("https://twitter.com/fxzoneofficial","@fxzoneofficial")</f>
        <v>@fxzoneofficial</v>
      </c>
      <c r="C12065" s="21" t="s">
        <v>1326</v>
      </c>
      <c r="D12065" s="21" t="s">
        <v>24006</v>
      </c>
      <c r="E12065" s="22" t="str">
        <f>HYPERLINK("https://twitter.com/fxzoneofficial/status/923079223652306944","923079223652306944")</f>
        <v>923079223652306944</v>
      </c>
      <c r="F12065" s="23" t="s">
        <v>1328</v>
      </c>
      <c r="G12065" s="24">
        <v>496.0</v>
      </c>
      <c r="H12065" s="24">
        <v>209.0</v>
      </c>
      <c r="I12065" s="24">
        <v>0.0</v>
      </c>
      <c r="J12065" s="24">
        <v>0.0</v>
      </c>
      <c r="K12065" s="23" t="s">
        <v>34</v>
      </c>
      <c r="L12065" s="25">
        <v>41987.21666666667</v>
      </c>
      <c r="M12065" s="28"/>
      <c r="N12065" s="26" t="s">
        <v>1329</v>
      </c>
      <c r="O12065" s="22" t="str">
        <f>HYPERLINK("https://pbs.twimg.com/profile_images/898679417635045376/0ecZuQDQ_normal.jpg","View")</f>
        <v>View</v>
      </c>
      <c r="P12065" s="27"/>
    </row>
    <row r="12066">
      <c r="A12066" s="14">
        <v>43032.993252314816</v>
      </c>
      <c r="B12066" s="20" t="str">
        <f>HYPERLINK("https://twitter.com/Ron_Bourne","@Ron_Bourne")</f>
        <v>@Ron_Bourne</v>
      </c>
      <c r="C12066" s="21" t="s">
        <v>821</v>
      </c>
      <c r="D12066" s="21" t="s">
        <v>25217</v>
      </c>
      <c r="E12066" s="22" t="str">
        <f>HYPERLINK("https://twitter.com/Ron_Bourne/status/923079249715703810","923079249715703810")</f>
        <v>923079249715703810</v>
      </c>
      <c r="F12066" s="23" t="s">
        <v>187</v>
      </c>
      <c r="G12066" s="24">
        <v>352.0</v>
      </c>
      <c r="H12066" s="24">
        <v>240.0</v>
      </c>
      <c r="I12066" s="24">
        <v>0.0</v>
      </c>
      <c r="J12066" s="24">
        <v>0.0</v>
      </c>
      <c r="K12066" s="23" t="s">
        <v>34</v>
      </c>
      <c r="L12066" s="25">
        <v>39367.5259375</v>
      </c>
      <c r="M12066" s="26" t="s">
        <v>590</v>
      </c>
      <c r="N12066" s="26" t="s">
        <v>823</v>
      </c>
      <c r="O12066" s="22" t="str">
        <f>HYPERLINK("https://pbs.twimg.com/profile_images/922533323825664000/DLCEnlTy_normal.jpg","View")</f>
        <v>View</v>
      </c>
      <c r="P12066" s="27"/>
    </row>
    <row r="12067">
      <c r="A12067" s="14">
        <v>43032.99329861111</v>
      </c>
      <c r="B12067" s="20" t="str">
        <f>HYPERLINK("https://twitter.com/Amjedalmohaideb","@Amjedalmohaideb")</f>
        <v>@Amjedalmohaideb</v>
      </c>
      <c r="C12067" s="31" t="s">
        <v>25218</v>
      </c>
      <c r="D12067" s="21" t="s">
        <v>25219</v>
      </c>
      <c r="E12067" s="22" t="str">
        <f>HYPERLINK("https://twitter.com/Amjedalmohaideb/status/923079265310134272","923079265310134272")</f>
        <v>923079265310134272</v>
      </c>
      <c r="F12067" s="23" t="s">
        <v>12685</v>
      </c>
      <c r="G12067" s="24">
        <v>888.0</v>
      </c>
      <c r="H12067" s="24">
        <v>967.0</v>
      </c>
      <c r="I12067" s="24">
        <v>14.0</v>
      </c>
      <c r="J12067" s="24">
        <v>0.0</v>
      </c>
      <c r="K12067" s="23" t="s">
        <v>34</v>
      </c>
      <c r="L12067" s="25">
        <v>42525.708865740744</v>
      </c>
      <c r="M12067" s="26" t="s">
        <v>25220</v>
      </c>
      <c r="N12067" s="26" t="s">
        <v>25221</v>
      </c>
      <c r="O12067" s="22" t="str">
        <f>HYPERLINK("https://pbs.twimg.com/profile_images/739253307600994304/gXrSYwwh_normal.jpg","View")</f>
        <v>View</v>
      </c>
      <c r="P12067" s="27"/>
    </row>
    <row r="12068">
      <c r="A12068" s="14">
        <v>43032.99346064815</v>
      </c>
      <c r="B12068" s="20" t="str">
        <f>HYPERLINK("https://twitter.com/khaliedfalah","@khaliedfalah")</f>
        <v>@khaliedfalah</v>
      </c>
      <c r="C12068" s="31" t="s">
        <v>12684</v>
      </c>
      <c r="D12068" s="21" t="s">
        <v>25219</v>
      </c>
      <c r="E12068" s="22" t="str">
        <f>HYPERLINK("https://twitter.com/khaliedfalah/status/923079324349157378","923079324349157378")</f>
        <v>923079324349157378</v>
      </c>
      <c r="F12068" s="23" t="s">
        <v>12685</v>
      </c>
      <c r="G12068" s="24">
        <v>44.0</v>
      </c>
      <c r="H12068" s="24">
        <v>62.0</v>
      </c>
      <c r="I12068" s="24">
        <v>14.0</v>
      </c>
      <c r="J12068" s="24">
        <v>0.0</v>
      </c>
      <c r="K12068" s="23" t="s">
        <v>34</v>
      </c>
      <c r="L12068" s="25">
        <v>42526.64559027778</v>
      </c>
      <c r="M12068" s="28"/>
      <c r="N12068" s="28"/>
      <c r="O12068" s="22" t="str">
        <f>HYPERLINK("https://pbs.twimg.com/profile_images/739593793226297344/2x8A03Y6_normal.jpg","View")</f>
        <v>View</v>
      </c>
      <c r="P12068" s="27"/>
    </row>
    <row r="12069">
      <c r="A12069" s="14">
        <v>43032.993680555555</v>
      </c>
      <c r="B12069" s="20" t="str">
        <f>HYPERLINK("https://twitter.com/teruko1206","@teruko1206")</f>
        <v>@teruko1206</v>
      </c>
      <c r="C12069" s="21" t="s">
        <v>25222</v>
      </c>
      <c r="D12069" s="21" t="s">
        <v>24007</v>
      </c>
      <c r="E12069" s="22" t="str">
        <f>HYPERLINK("https://twitter.com/teruko1206/status/923079402262429696","923079402262429696")</f>
        <v>923079402262429696</v>
      </c>
      <c r="F12069" s="23" t="s">
        <v>39</v>
      </c>
      <c r="G12069" s="24">
        <v>677.0</v>
      </c>
      <c r="H12069" s="24">
        <v>401.0</v>
      </c>
      <c r="I12069" s="24">
        <v>122.0</v>
      </c>
      <c r="J12069" s="24">
        <v>0.0</v>
      </c>
      <c r="K12069" s="23" t="s">
        <v>34</v>
      </c>
      <c r="L12069" s="25">
        <v>41495.886192129634</v>
      </c>
      <c r="M12069" s="26" t="s">
        <v>25223</v>
      </c>
      <c r="N12069" s="26" t="s">
        <v>25224</v>
      </c>
      <c r="O12069" s="22" t="str">
        <f>HYPERLINK("https://pbs.twimg.com/profile_images/467261401627512832/kFGjrBbb_normal.jpeg","View")</f>
        <v>View</v>
      </c>
      <c r="P12069" s="27"/>
    </row>
    <row r="12070">
      <c r="A12070" s="14">
        <v>43032.9937037037</v>
      </c>
      <c r="B12070" s="20" t="str">
        <f>HYPERLINK("https://twitter.com/titusmamabolo2","@titusmamabolo2")</f>
        <v>@titusmamabolo2</v>
      </c>
      <c r="C12070" s="21" t="s">
        <v>25225</v>
      </c>
      <c r="D12070" s="21" t="s">
        <v>25219</v>
      </c>
      <c r="E12070" s="22" t="str">
        <f>HYPERLINK("https://twitter.com/titusmamabolo2/status/923079411582291968","923079411582291968")</f>
        <v>923079411582291968</v>
      </c>
      <c r="F12070" s="23" t="s">
        <v>33</v>
      </c>
      <c r="G12070" s="24">
        <v>57.0</v>
      </c>
      <c r="H12070" s="24">
        <v>456.0</v>
      </c>
      <c r="I12070" s="24">
        <v>14.0</v>
      </c>
      <c r="J12070" s="24">
        <v>0.0</v>
      </c>
      <c r="K12070" s="23" t="s">
        <v>34</v>
      </c>
      <c r="L12070" s="25">
        <v>42770.46625</v>
      </c>
      <c r="M12070" s="28"/>
      <c r="N12070" s="26" t="s">
        <v>25226</v>
      </c>
      <c r="O12070" s="22" t="str">
        <f>HYPERLINK("https://pbs.twimg.com/profile_images/922595904468799490/0g73C_3d_normal.jpg","View")</f>
        <v>View</v>
      </c>
      <c r="P12070" s="27"/>
    </row>
    <row r="12071">
      <c r="A12071" s="14">
        <v>43032.99376157408</v>
      </c>
      <c r="B12071" s="20" t="str">
        <f>HYPERLINK("https://twitter.com/LeTrina_","@LeTrina_")</f>
        <v>@LeTrina_</v>
      </c>
      <c r="C12071" s="21" t="s">
        <v>25227</v>
      </c>
      <c r="D12071" s="21" t="s">
        <v>25219</v>
      </c>
      <c r="E12071" s="22" t="str">
        <f>HYPERLINK("https://twitter.com/LeTrina_/status/923079431538860033","923079431538860033")</f>
        <v>923079431538860033</v>
      </c>
      <c r="F12071" s="23" t="s">
        <v>33</v>
      </c>
      <c r="G12071" s="24">
        <v>17749.0</v>
      </c>
      <c r="H12071" s="24">
        <v>456.0</v>
      </c>
      <c r="I12071" s="24">
        <v>14.0</v>
      </c>
      <c r="J12071" s="24">
        <v>0.0</v>
      </c>
      <c r="K12071" s="23" t="s">
        <v>34</v>
      </c>
      <c r="L12071" s="25">
        <v>40932.70622685185</v>
      </c>
      <c r="M12071" s="26" t="s">
        <v>25228</v>
      </c>
      <c r="N12071" s="26" t="s">
        <v>25229</v>
      </c>
      <c r="O12071" s="22" t="str">
        <f>HYPERLINK("https://pbs.twimg.com/profile_images/893550537890816000/Fk2aGU9v_normal.jpg","View")</f>
        <v>View</v>
      </c>
      <c r="P12071" s="27"/>
    </row>
    <row r="12072">
      <c r="A12072" s="14">
        <v>43032.9937962963</v>
      </c>
      <c r="B12072" s="20" t="str">
        <f>HYPERLINK("https://twitter.com/owlart96","@owlart96")</f>
        <v>@owlart96</v>
      </c>
      <c r="C12072" s="21" t="s">
        <v>25230</v>
      </c>
      <c r="D12072" s="21" t="s">
        <v>24007</v>
      </c>
      <c r="E12072" s="22" t="str">
        <f>HYPERLINK("https://twitter.com/owlart96/status/923079446470393857","923079446470393857")</f>
        <v>923079446470393857</v>
      </c>
      <c r="F12072" s="23" t="s">
        <v>39</v>
      </c>
      <c r="G12072" s="24">
        <v>23.0</v>
      </c>
      <c r="H12072" s="24">
        <v>79.0</v>
      </c>
      <c r="I12072" s="24">
        <v>122.0</v>
      </c>
      <c r="J12072" s="24">
        <v>0.0</v>
      </c>
      <c r="K12072" s="23" t="s">
        <v>34</v>
      </c>
      <c r="L12072" s="25">
        <v>41616.16956018518</v>
      </c>
      <c r="M12072" s="28"/>
      <c r="N12072" s="26" t="s">
        <v>25231</v>
      </c>
      <c r="O12072" s="22" t="str">
        <f>HYPERLINK("https://pbs.twimg.com/profile_images/378800000845285036/a101675e653f33dab0349d25597821f1_normal.jpeg","View")</f>
        <v>View</v>
      </c>
      <c r="P12072" s="27"/>
    </row>
    <row r="12073">
      <c r="A12073" s="14">
        <v>43032.99383101852</v>
      </c>
      <c r="B12073" s="20" t="str">
        <f>HYPERLINK("https://twitter.com/ARMAGIDONWORLD6","@ARMAGIDONWORLD6")</f>
        <v>@ARMAGIDONWORLD6</v>
      </c>
      <c r="C12073" s="21" t="s">
        <v>25232</v>
      </c>
      <c r="D12073" s="21" t="s">
        <v>25219</v>
      </c>
      <c r="E12073" s="22" t="str">
        <f>HYPERLINK("https://twitter.com/ARMAGIDONWORLD6/status/923079456343969792","923079456343969792")</f>
        <v>923079456343969792</v>
      </c>
      <c r="F12073" s="23" t="s">
        <v>55</v>
      </c>
      <c r="G12073" s="24">
        <v>17.0</v>
      </c>
      <c r="H12073" s="24">
        <v>374.0</v>
      </c>
      <c r="I12073" s="24">
        <v>14.0</v>
      </c>
      <c r="J12073" s="24">
        <v>0.0</v>
      </c>
      <c r="K12073" s="23" t="s">
        <v>34</v>
      </c>
      <c r="L12073" s="25">
        <v>43032.74694444444</v>
      </c>
      <c r="M12073" s="26" t="s">
        <v>24153</v>
      </c>
      <c r="N12073" s="26" t="s">
        <v>25233</v>
      </c>
      <c r="O12073" s="22" t="str">
        <f>HYPERLINK("https://pbs.twimg.com/profile_images/922993397769687040/YMd-F9Ol_normal.jpg","View")</f>
        <v>View</v>
      </c>
      <c r="P12073" s="27"/>
    </row>
    <row r="12074">
      <c r="A12074" s="14">
        <v>43032.993935185186</v>
      </c>
      <c r="B12074" s="20" t="str">
        <f>HYPERLINK("https://twitter.com/aqytha_joobjip","@aqytha_joobjip")</f>
        <v>@aqytha_joobjip</v>
      </c>
      <c r="C12074" s="21" t="s">
        <v>1094</v>
      </c>
      <c r="D12074" s="21" t="s">
        <v>25234</v>
      </c>
      <c r="E12074" s="22" t="str">
        <f>HYPERLINK("https://twitter.com/aqytha_joobjip/status/923079495556435968","923079495556435968")</f>
        <v>923079495556435968</v>
      </c>
      <c r="F12074" s="23" t="s">
        <v>187</v>
      </c>
      <c r="G12074" s="24">
        <v>1336.0</v>
      </c>
      <c r="H12074" s="24">
        <v>1329.0</v>
      </c>
      <c r="I12074" s="24">
        <v>0.0</v>
      </c>
      <c r="J12074" s="24">
        <v>0.0</v>
      </c>
      <c r="K12074" s="23" t="s">
        <v>34</v>
      </c>
      <c r="L12074" s="25">
        <v>42816.851064814815</v>
      </c>
      <c r="M12074" s="26" t="s">
        <v>1096</v>
      </c>
      <c r="N12074" s="26" t="s">
        <v>1097</v>
      </c>
      <c r="O12074" s="22" t="str">
        <f>HYPERLINK("https://pbs.twimg.com/profile_images/858603371510542336/I0ZwCR8u_normal.jpg","View")</f>
        <v>View</v>
      </c>
      <c r="P12074" s="27"/>
    </row>
    <row r="12075">
      <c r="A12075" s="14">
        <v>43032.99394675926</v>
      </c>
      <c r="B12075" s="20" t="str">
        <f>HYPERLINK("https://twitter.com/Shin1980nihS","@Shin1980nihS")</f>
        <v>@Shin1980nihS</v>
      </c>
      <c r="C12075" s="21" t="s">
        <v>25235</v>
      </c>
      <c r="D12075" s="21" t="s">
        <v>25219</v>
      </c>
      <c r="E12075" s="22" t="str">
        <f>HYPERLINK("https://twitter.com/Shin1980nihS/status/923079501730287617","923079501730287617")</f>
        <v>923079501730287617</v>
      </c>
      <c r="F12075" s="23" t="s">
        <v>55</v>
      </c>
      <c r="G12075" s="24">
        <v>218.0</v>
      </c>
      <c r="H12075" s="24">
        <v>467.0</v>
      </c>
      <c r="I12075" s="24">
        <v>14.0</v>
      </c>
      <c r="J12075" s="24">
        <v>0.0</v>
      </c>
      <c r="K12075" s="23" t="s">
        <v>34</v>
      </c>
      <c r="L12075" s="25">
        <v>40075.20112268518</v>
      </c>
      <c r="M12075" s="26" t="s">
        <v>25236</v>
      </c>
      <c r="N12075" s="26" t="s">
        <v>25237</v>
      </c>
      <c r="O12075" s="22" t="str">
        <f>HYPERLINK("https://pbs.twimg.com/profile_images/913597862251872256/HkKTNoVE_normal.jpg","View")</f>
        <v>View</v>
      </c>
      <c r="P12075" s="27"/>
    </row>
    <row r="12076">
      <c r="A12076" s="14">
        <v>43032.993993055556</v>
      </c>
      <c r="B12076" s="20" t="str">
        <f>HYPERLINK("https://twitter.com/uhanjim","@uhanjim")</f>
        <v>@uhanjim</v>
      </c>
      <c r="C12076" s="21" t="s">
        <v>25238</v>
      </c>
      <c r="D12076" s="21" t="s">
        <v>25219</v>
      </c>
      <c r="E12076" s="22" t="str">
        <f>HYPERLINK("https://twitter.com/uhanjim/status/923079519010828288","923079519010828288")</f>
        <v>923079519010828288</v>
      </c>
      <c r="F12076" s="23" t="s">
        <v>33</v>
      </c>
      <c r="G12076" s="24">
        <v>4819.0</v>
      </c>
      <c r="H12076" s="24">
        <v>2477.0</v>
      </c>
      <c r="I12076" s="24">
        <v>14.0</v>
      </c>
      <c r="J12076" s="24">
        <v>0.0</v>
      </c>
      <c r="K12076" s="23" t="s">
        <v>34</v>
      </c>
      <c r="L12076" s="25">
        <v>40013.107199074075</v>
      </c>
      <c r="M12076" s="26" t="s">
        <v>25239</v>
      </c>
      <c r="N12076" s="26" t="s">
        <v>25240</v>
      </c>
      <c r="O12076" s="22" t="str">
        <f>HYPERLINK("https://pbs.twimg.com/profile_images/533260782092304387/ptu02Tja_normal.jpeg","View")</f>
        <v>View</v>
      </c>
      <c r="P12076" s="27"/>
    </row>
    <row r="12077">
      <c r="A12077" s="14">
        <v>43032.99408564815</v>
      </c>
      <c r="B12077" s="20" t="str">
        <f>HYPERLINK("https://twitter.com/pravinnowbuth","@pravinnowbuth")</f>
        <v>@pravinnowbuth</v>
      </c>
      <c r="C12077" s="21" t="s">
        <v>25241</v>
      </c>
      <c r="D12077" s="21" t="s">
        <v>25219</v>
      </c>
      <c r="E12077" s="22" t="str">
        <f>HYPERLINK("https://twitter.com/pravinnowbuth/status/923079549776158721","923079549776158721")</f>
        <v>923079549776158721</v>
      </c>
      <c r="F12077" s="23" t="s">
        <v>55</v>
      </c>
      <c r="G12077" s="24">
        <v>148.0</v>
      </c>
      <c r="H12077" s="24">
        <v>298.0</v>
      </c>
      <c r="I12077" s="24">
        <v>14.0</v>
      </c>
      <c r="J12077" s="24">
        <v>0.0</v>
      </c>
      <c r="K12077" s="23" t="s">
        <v>34</v>
      </c>
      <c r="L12077" s="25">
        <v>40717.44731481482</v>
      </c>
      <c r="M12077" s="26" t="s">
        <v>8001</v>
      </c>
      <c r="N12077" s="26" t="s">
        <v>25242</v>
      </c>
      <c r="O12077" s="22" t="str">
        <f>HYPERLINK("https://pbs.twimg.com/profile_images/623444246494752768/qnACHTMV_normal.jpg","View")</f>
        <v>View</v>
      </c>
      <c r="P12077" s="27"/>
    </row>
    <row r="12078">
      <c r="A12078" s="14">
        <v>43032.99414351852</v>
      </c>
      <c r="B12078" s="20" t="str">
        <f>HYPERLINK("https://twitter.com/EarlOfCornwall","@EarlOfCornwall")</f>
        <v>@EarlOfCornwall</v>
      </c>
      <c r="C12078" s="21" t="s">
        <v>868</v>
      </c>
      <c r="D12078" s="21" t="s">
        <v>25243</v>
      </c>
      <c r="E12078" s="22" t="str">
        <f>HYPERLINK("https://twitter.com/EarlOfCornwall/status/923079572584878080","923079572584878080")</f>
        <v>923079572584878080</v>
      </c>
      <c r="F12078" s="23" t="s">
        <v>187</v>
      </c>
      <c r="G12078" s="24">
        <v>355.0</v>
      </c>
      <c r="H12078" s="24">
        <v>269.0</v>
      </c>
      <c r="I12078" s="24">
        <v>0.0</v>
      </c>
      <c r="J12078" s="24">
        <v>0.0</v>
      </c>
      <c r="K12078" s="23" t="s">
        <v>34</v>
      </c>
      <c r="L12078" s="25">
        <v>42139.73423611111</v>
      </c>
      <c r="M12078" s="26" t="s">
        <v>870</v>
      </c>
      <c r="N12078" s="26" t="s">
        <v>871</v>
      </c>
      <c r="O12078" s="22" t="str">
        <f>HYPERLINK("https://pbs.twimg.com/profile_images/599373664975343616/f36YKczK_normal.jpg","View")</f>
        <v>View</v>
      </c>
      <c r="P12078" s="27"/>
    </row>
    <row r="12079">
      <c r="A12079" s="14">
        <v>43032.99449074074</v>
      </c>
      <c r="B12079" s="20" t="str">
        <f>HYPERLINK("https://twitter.com/channel1america","@channel1america")</f>
        <v>@channel1america</v>
      </c>
      <c r="C12079" s="21" t="s">
        <v>903</v>
      </c>
      <c r="D12079" s="21" t="s">
        <v>25244</v>
      </c>
      <c r="E12079" s="22" t="str">
        <f>HYPERLINK("https://twitter.com/channel1america/status/923079697302474752","923079697302474752")</f>
        <v>923079697302474752</v>
      </c>
      <c r="F12079" s="23" t="s">
        <v>187</v>
      </c>
      <c r="G12079" s="24">
        <v>574.0</v>
      </c>
      <c r="H12079" s="24">
        <v>1093.0</v>
      </c>
      <c r="I12079" s="24">
        <v>0.0</v>
      </c>
      <c r="J12079" s="24">
        <v>0.0</v>
      </c>
      <c r="K12079" s="23" t="s">
        <v>34</v>
      </c>
      <c r="L12079" s="25">
        <v>41490.48872685185</v>
      </c>
      <c r="M12079" s="26" t="s">
        <v>905</v>
      </c>
      <c r="N12079" s="26" t="s">
        <v>906</v>
      </c>
      <c r="O12079" s="22" t="str">
        <f>HYPERLINK("https://pbs.twimg.com/profile_images/419040982844207104/Rlky9pGx_normal.jpeg","View")</f>
        <v>View</v>
      </c>
      <c r="P12079" s="27"/>
    </row>
    <row r="12080">
      <c r="A12080" s="14">
        <v>43032.99457175926</v>
      </c>
      <c r="B12080" s="20" t="str">
        <f>HYPERLINK("https://twitter.com/phaxyn","@phaxyn")</f>
        <v>@phaxyn</v>
      </c>
      <c r="C12080" s="21" t="s">
        <v>895</v>
      </c>
      <c r="D12080" s="21" t="s">
        <v>25245</v>
      </c>
      <c r="E12080" s="22" t="str">
        <f>HYPERLINK("https://twitter.com/phaxyn/status/923079725886656513","923079725886656513")</f>
        <v>923079725886656513</v>
      </c>
      <c r="F12080" s="23" t="s">
        <v>187</v>
      </c>
      <c r="G12080" s="24">
        <v>2543.0</v>
      </c>
      <c r="H12080" s="24">
        <v>2019.0</v>
      </c>
      <c r="I12080" s="24">
        <v>0.0</v>
      </c>
      <c r="J12080" s="24">
        <v>0.0</v>
      </c>
      <c r="K12080" s="23" t="s">
        <v>34</v>
      </c>
      <c r="L12080" s="25">
        <v>39990.304861111115</v>
      </c>
      <c r="M12080" s="26" t="s">
        <v>897</v>
      </c>
      <c r="N12080" s="26" t="s">
        <v>898</v>
      </c>
      <c r="O12080" s="22" t="str">
        <f>HYPERLINK("https://pbs.twimg.com/profile_images/823182659983736832/XAaQ7I1U_normal.jpg","View")</f>
        <v>View</v>
      </c>
      <c r="P12080" s="27"/>
    </row>
    <row r="12081">
      <c r="A12081" s="14">
        <v>43032.99493055556</v>
      </c>
      <c r="B12081" s="20" t="str">
        <f>HYPERLINK("https://twitter.com/Lisa_Twaronite","@Lisa_Twaronite")</f>
        <v>@Lisa_Twaronite</v>
      </c>
      <c r="C12081" s="21" t="s">
        <v>25246</v>
      </c>
      <c r="D12081" s="21" t="s">
        <v>25219</v>
      </c>
      <c r="E12081" s="22" t="str">
        <f>HYPERLINK("https://twitter.com/Lisa_Twaronite/status/923079857986080769","923079857986080769")</f>
        <v>923079857986080769</v>
      </c>
      <c r="F12081" s="23" t="s">
        <v>55</v>
      </c>
      <c r="G12081" s="24">
        <v>2331.0</v>
      </c>
      <c r="H12081" s="24">
        <v>771.0</v>
      </c>
      <c r="I12081" s="24">
        <v>14.0</v>
      </c>
      <c r="J12081" s="24">
        <v>0.0</v>
      </c>
      <c r="K12081" s="23" t="s">
        <v>34</v>
      </c>
      <c r="L12081" s="25">
        <v>40305.15230324074</v>
      </c>
      <c r="M12081" s="26" t="s">
        <v>1518</v>
      </c>
      <c r="N12081" s="26" t="s">
        <v>25247</v>
      </c>
      <c r="O12081" s="22" t="str">
        <f>HYPERLINK("https://pbs.twimg.com/profile_images/767535757061869569/l_OFOYGi_normal.jpg","View")</f>
        <v>View</v>
      </c>
      <c r="P12081" s="27"/>
    </row>
    <row r="12082">
      <c r="A12082" s="38"/>
      <c r="B12082" s="39"/>
      <c r="C12082" s="39"/>
      <c r="D12082" s="39"/>
      <c r="E12082" s="27"/>
      <c r="F12082" s="27"/>
      <c r="G12082" s="27"/>
      <c r="H12082" s="27"/>
      <c r="I12082" s="27"/>
      <c r="J12082" s="27"/>
      <c r="K12082" s="27"/>
      <c r="L12082" s="27"/>
      <c r="M12082" s="28"/>
      <c r="N12082" s="28"/>
      <c r="O12082" s="27"/>
      <c r="P12082" s="27"/>
    </row>
    <row r="12083">
      <c r="A12083" s="38"/>
      <c r="B12083" s="39"/>
      <c r="C12083" s="39"/>
      <c r="D12083" s="39"/>
      <c r="E12083" s="27"/>
      <c r="F12083" s="27"/>
      <c r="G12083" s="27"/>
      <c r="H12083" s="27"/>
      <c r="I12083" s="27"/>
      <c r="J12083" s="27"/>
      <c r="K12083" s="27"/>
      <c r="L12083" s="27"/>
      <c r="M12083" s="28"/>
      <c r="N12083" s="28"/>
      <c r="O12083" s="27"/>
      <c r="P12083" s="27"/>
    </row>
    <row r="12084">
      <c r="A12084" s="38"/>
      <c r="B12084" s="39"/>
      <c r="C12084" s="39"/>
      <c r="D12084" s="40"/>
      <c r="E12084" s="27"/>
      <c r="F12084" s="27"/>
      <c r="G12084" s="27"/>
      <c r="H12084" s="27"/>
      <c r="I12084" s="27"/>
      <c r="J12084" s="27"/>
      <c r="K12084" s="27"/>
      <c r="L12084" s="27"/>
      <c r="M12084" s="28"/>
      <c r="N12084" s="28"/>
      <c r="O12084" s="27"/>
      <c r="P12084" s="27"/>
    </row>
    <row r="12085">
      <c r="A12085" s="38"/>
      <c r="B12085" s="39"/>
      <c r="C12085" s="39"/>
      <c r="D12085" s="39"/>
      <c r="E12085" s="27"/>
      <c r="F12085" s="27"/>
      <c r="G12085" s="27"/>
      <c r="H12085" s="27"/>
      <c r="I12085" s="27"/>
      <c r="J12085" s="27"/>
      <c r="K12085" s="27"/>
      <c r="L12085" s="27"/>
      <c r="M12085" s="28"/>
      <c r="N12085" s="28"/>
      <c r="O12085" s="27"/>
      <c r="P12085" s="27"/>
    </row>
    <row r="12086">
      <c r="A12086" s="38"/>
      <c r="B12086" s="39"/>
      <c r="C12086" s="39"/>
      <c r="D12086" s="39"/>
      <c r="E12086" s="27"/>
      <c r="F12086" s="27"/>
      <c r="G12086" s="27"/>
      <c r="H12086" s="27"/>
      <c r="I12086" s="27"/>
      <c r="J12086" s="27"/>
      <c r="K12086" s="27"/>
      <c r="L12086" s="27"/>
      <c r="M12086" s="28"/>
      <c r="N12086" s="28"/>
      <c r="O12086" s="27"/>
      <c r="P12086" s="27"/>
    </row>
    <row r="12087">
      <c r="A12087" s="38"/>
      <c r="B12087" s="39"/>
      <c r="C12087" s="39"/>
      <c r="D12087" s="39"/>
      <c r="E12087" s="27"/>
      <c r="F12087" s="27"/>
      <c r="G12087" s="27"/>
      <c r="H12087" s="27"/>
      <c r="I12087" s="27"/>
      <c r="J12087" s="27"/>
      <c r="K12087" s="27"/>
      <c r="L12087" s="27"/>
      <c r="M12087" s="28"/>
      <c r="N12087" s="28"/>
      <c r="O12087" s="27"/>
      <c r="P12087" s="27"/>
    </row>
    <row r="12088">
      <c r="A12088" s="38"/>
      <c r="B12088" s="39"/>
      <c r="C12088" s="39"/>
      <c r="D12088" s="39"/>
      <c r="E12088" s="27"/>
      <c r="F12088" s="27"/>
      <c r="G12088" s="27"/>
      <c r="H12088" s="27"/>
      <c r="I12088" s="27"/>
      <c r="J12088" s="27"/>
      <c r="K12088" s="27"/>
      <c r="L12088" s="27"/>
      <c r="M12088" s="28"/>
      <c r="N12088" s="28"/>
      <c r="O12088" s="27"/>
      <c r="P12088" s="27"/>
    </row>
    <row r="12089">
      <c r="A12089" s="38"/>
      <c r="B12089" s="39"/>
      <c r="C12089" s="39"/>
      <c r="D12089" s="39"/>
      <c r="E12089" s="27"/>
      <c r="F12089" s="27"/>
      <c r="G12089" s="27"/>
      <c r="H12089" s="27"/>
      <c r="I12089" s="27"/>
      <c r="J12089" s="27"/>
      <c r="K12089" s="27"/>
      <c r="L12089" s="27"/>
      <c r="M12089" s="28"/>
      <c r="N12089" s="28"/>
      <c r="O12089" s="27"/>
      <c r="P12089" s="27"/>
    </row>
    <row r="12090">
      <c r="A12090" s="38"/>
      <c r="B12090" s="39"/>
      <c r="C12090" s="39"/>
      <c r="D12090" s="39"/>
      <c r="E12090" s="27"/>
      <c r="F12090" s="27"/>
      <c r="G12090" s="27"/>
      <c r="H12090" s="27"/>
      <c r="I12090" s="27"/>
      <c r="J12090" s="27"/>
      <c r="K12090" s="27"/>
      <c r="L12090" s="27"/>
      <c r="M12090" s="28"/>
      <c r="N12090" s="28"/>
      <c r="O12090" s="27"/>
      <c r="P12090" s="27"/>
    </row>
    <row r="12091">
      <c r="A12091" s="38"/>
      <c r="B12091" s="39"/>
      <c r="C12091" s="39"/>
      <c r="D12091" s="39"/>
      <c r="E12091" s="27"/>
      <c r="F12091" s="27"/>
      <c r="G12091" s="27"/>
      <c r="H12091" s="27"/>
      <c r="I12091" s="27"/>
      <c r="J12091" s="27"/>
      <c r="K12091" s="27"/>
      <c r="L12091" s="27"/>
      <c r="M12091" s="28"/>
      <c r="N12091" s="28"/>
      <c r="O12091" s="27"/>
      <c r="P12091" s="27"/>
    </row>
    <row r="12092">
      <c r="A12092" s="38"/>
      <c r="B12092" s="39"/>
      <c r="C12092" s="39"/>
      <c r="D12092" s="39"/>
      <c r="E12092" s="27"/>
      <c r="F12092" s="27"/>
      <c r="G12092" s="27"/>
      <c r="H12092" s="27"/>
      <c r="I12092" s="27"/>
      <c r="J12092" s="27"/>
      <c r="K12092" s="27"/>
      <c r="L12092" s="27"/>
      <c r="M12092" s="28"/>
      <c r="N12092" s="28"/>
      <c r="O12092" s="27"/>
      <c r="P12092" s="27"/>
    </row>
    <row r="12093">
      <c r="A12093" s="38"/>
      <c r="B12093" s="39"/>
      <c r="C12093" s="39"/>
      <c r="D12093" s="39"/>
      <c r="E12093" s="27"/>
      <c r="F12093" s="27"/>
      <c r="G12093" s="27"/>
      <c r="H12093" s="27"/>
      <c r="I12093" s="27"/>
      <c r="J12093" s="27"/>
      <c r="K12093" s="27"/>
      <c r="L12093" s="27"/>
      <c r="M12093" s="28"/>
      <c r="N12093" s="28"/>
      <c r="O12093" s="27"/>
      <c r="P12093" s="27"/>
    </row>
    <row r="12094">
      <c r="A12094" s="38"/>
      <c r="B12094" s="39"/>
      <c r="C12094" s="39"/>
      <c r="D12094" s="39"/>
      <c r="E12094" s="27"/>
      <c r="F12094" s="27"/>
      <c r="G12094" s="27"/>
      <c r="H12094" s="27"/>
      <c r="I12094" s="27"/>
      <c r="J12094" s="27"/>
      <c r="K12094" s="27"/>
      <c r="L12094" s="27"/>
      <c r="M12094" s="28"/>
      <c r="N12094" s="28"/>
      <c r="O12094" s="27"/>
      <c r="P12094" s="27"/>
    </row>
    <row r="12095">
      <c r="A12095" s="38"/>
      <c r="B12095" s="39"/>
      <c r="C12095" s="39"/>
      <c r="D12095" s="39"/>
      <c r="E12095" s="27"/>
      <c r="F12095" s="27"/>
      <c r="G12095" s="27"/>
      <c r="H12095" s="27"/>
      <c r="I12095" s="27"/>
      <c r="J12095" s="27"/>
      <c r="K12095" s="27"/>
      <c r="L12095" s="27"/>
      <c r="M12095" s="28"/>
      <c r="N12095" s="28"/>
      <c r="O12095" s="27"/>
      <c r="P12095" s="27"/>
    </row>
    <row r="12096">
      <c r="A12096" s="38"/>
      <c r="B12096" s="39"/>
      <c r="C12096" s="39"/>
      <c r="D12096" s="39"/>
      <c r="E12096" s="27"/>
      <c r="F12096" s="27"/>
      <c r="G12096" s="27"/>
      <c r="H12096" s="27"/>
      <c r="I12096" s="27"/>
      <c r="J12096" s="27"/>
      <c r="K12096" s="27"/>
      <c r="L12096" s="27"/>
      <c r="M12096" s="28"/>
      <c r="N12096" s="28"/>
      <c r="O12096" s="27"/>
      <c r="P12096" s="27"/>
    </row>
    <row r="12097">
      <c r="A12097" s="38"/>
      <c r="B12097" s="39"/>
      <c r="C12097" s="39"/>
      <c r="D12097" s="39"/>
      <c r="E12097" s="27"/>
      <c r="F12097" s="27"/>
      <c r="G12097" s="27"/>
      <c r="H12097" s="27"/>
      <c r="I12097" s="27"/>
      <c r="J12097" s="27"/>
      <c r="K12097" s="27"/>
      <c r="L12097" s="27"/>
      <c r="M12097" s="28"/>
      <c r="N12097" s="28"/>
      <c r="O12097" s="27"/>
      <c r="P12097" s="27"/>
    </row>
    <row r="12098">
      <c r="A12098" s="38"/>
      <c r="B12098" s="39"/>
      <c r="C12098" s="39"/>
      <c r="D12098" s="39"/>
      <c r="E12098" s="27"/>
      <c r="F12098" s="27"/>
      <c r="G12098" s="27"/>
      <c r="H12098" s="27"/>
      <c r="I12098" s="27"/>
      <c r="J12098" s="27"/>
      <c r="K12098" s="27"/>
      <c r="L12098" s="27"/>
      <c r="M12098" s="28"/>
      <c r="N12098" s="28"/>
      <c r="O12098" s="27"/>
      <c r="P12098" s="27"/>
    </row>
    <row r="12099">
      <c r="A12099" s="38"/>
      <c r="B12099" s="39"/>
      <c r="C12099" s="39"/>
      <c r="D12099" s="39"/>
      <c r="E12099" s="27"/>
      <c r="F12099" s="27"/>
      <c r="G12099" s="27"/>
      <c r="H12099" s="27"/>
      <c r="I12099" s="27"/>
      <c r="J12099" s="27"/>
      <c r="K12099" s="27"/>
      <c r="L12099" s="27"/>
      <c r="M12099" s="28"/>
      <c r="N12099" s="28"/>
      <c r="O12099" s="27"/>
      <c r="P12099" s="27"/>
    </row>
    <row r="12100">
      <c r="A12100" s="38"/>
      <c r="B12100" s="39"/>
      <c r="C12100" s="39"/>
      <c r="D12100" s="39"/>
      <c r="E12100" s="27"/>
      <c r="F12100" s="27"/>
      <c r="G12100" s="27"/>
      <c r="H12100" s="27"/>
      <c r="I12100" s="27"/>
      <c r="J12100" s="27"/>
      <c r="K12100" s="27"/>
      <c r="L12100" s="27"/>
      <c r="M12100" s="28"/>
      <c r="N12100" s="28"/>
      <c r="O12100" s="27"/>
      <c r="P12100" s="27"/>
    </row>
    <row r="12101">
      <c r="A12101" s="38"/>
      <c r="B12101" s="39"/>
      <c r="C12101" s="39"/>
      <c r="D12101" s="39"/>
      <c r="E12101" s="27"/>
      <c r="F12101" s="27"/>
      <c r="G12101" s="27"/>
      <c r="H12101" s="27"/>
      <c r="I12101" s="27"/>
      <c r="J12101" s="27"/>
      <c r="K12101" s="27"/>
      <c r="L12101" s="27"/>
      <c r="M12101" s="28"/>
      <c r="N12101" s="28"/>
      <c r="O12101" s="27"/>
      <c r="P12101" s="27"/>
    </row>
    <row r="12102">
      <c r="A12102" s="38"/>
      <c r="B12102" s="39"/>
      <c r="C12102" s="39"/>
      <c r="D12102" s="39"/>
      <c r="E12102" s="27"/>
      <c r="F12102" s="27"/>
      <c r="G12102" s="27"/>
      <c r="H12102" s="27"/>
      <c r="I12102" s="27"/>
      <c r="J12102" s="27"/>
      <c r="K12102" s="27"/>
      <c r="L12102" s="27"/>
      <c r="M12102" s="28"/>
      <c r="N12102" s="28"/>
      <c r="O12102" s="27"/>
      <c r="P12102" s="27"/>
    </row>
    <row r="12103">
      <c r="A12103" s="38"/>
      <c r="B12103" s="39"/>
      <c r="C12103" s="39"/>
      <c r="D12103" s="39"/>
      <c r="E12103" s="27"/>
      <c r="F12103" s="27"/>
      <c r="G12103" s="27"/>
      <c r="H12103" s="27"/>
      <c r="I12103" s="27"/>
      <c r="J12103" s="27"/>
      <c r="K12103" s="27"/>
      <c r="L12103" s="27"/>
      <c r="M12103" s="28"/>
      <c r="N12103" s="28"/>
      <c r="O12103" s="27"/>
      <c r="P12103" s="27"/>
    </row>
    <row r="12104">
      <c r="A12104" s="38"/>
      <c r="B12104" s="39"/>
      <c r="C12104" s="39"/>
      <c r="D12104" s="39"/>
      <c r="E12104" s="27"/>
      <c r="F12104" s="27"/>
      <c r="G12104" s="27"/>
      <c r="H12104" s="27"/>
      <c r="I12104" s="27"/>
      <c r="J12104" s="27"/>
      <c r="K12104" s="27"/>
      <c r="L12104" s="27"/>
      <c r="M12104" s="28"/>
      <c r="N12104" s="28"/>
      <c r="O12104" s="27"/>
      <c r="P12104" s="27"/>
    </row>
    <row r="12105">
      <c r="A12105" s="38"/>
      <c r="B12105" s="39"/>
      <c r="C12105" s="39"/>
      <c r="D12105" s="39"/>
      <c r="E12105" s="27"/>
      <c r="F12105" s="27"/>
      <c r="G12105" s="27"/>
      <c r="H12105" s="27"/>
      <c r="I12105" s="27"/>
      <c r="J12105" s="27"/>
      <c r="K12105" s="27"/>
      <c r="L12105" s="27"/>
      <c r="M12105" s="28"/>
      <c r="N12105" s="28"/>
      <c r="O12105" s="27"/>
      <c r="P12105" s="27"/>
    </row>
    <row r="12106">
      <c r="A12106" s="38"/>
      <c r="B12106" s="39"/>
      <c r="C12106" s="39"/>
      <c r="D12106" s="39"/>
      <c r="E12106" s="27"/>
      <c r="F12106" s="27"/>
      <c r="G12106" s="27"/>
      <c r="H12106" s="27"/>
      <c r="I12106" s="27"/>
      <c r="J12106" s="27"/>
      <c r="K12106" s="27"/>
      <c r="L12106" s="27"/>
      <c r="M12106" s="28"/>
      <c r="N12106" s="28"/>
      <c r="O12106" s="27"/>
      <c r="P12106" s="27"/>
    </row>
    <row r="12107">
      <c r="A12107" s="38"/>
      <c r="B12107" s="39"/>
      <c r="C12107" s="39"/>
      <c r="D12107" s="39"/>
      <c r="E12107" s="27"/>
      <c r="F12107" s="27"/>
      <c r="G12107" s="27"/>
      <c r="H12107" s="27"/>
      <c r="I12107" s="27"/>
      <c r="J12107" s="27"/>
      <c r="K12107" s="27"/>
      <c r="L12107" s="27"/>
      <c r="M12107" s="28"/>
      <c r="N12107" s="28"/>
      <c r="O12107" s="27"/>
      <c r="P12107" s="27"/>
    </row>
    <row r="12108">
      <c r="A12108" s="38"/>
      <c r="B12108" s="39"/>
      <c r="C12108" s="39"/>
      <c r="D12108" s="39"/>
      <c r="E12108" s="27"/>
      <c r="F12108" s="27"/>
      <c r="G12108" s="27"/>
      <c r="H12108" s="27"/>
      <c r="I12108" s="27"/>
      <c r="J12108" s="27"/>
      <c r="K12108" s="27"/>
      <c r="L12108" s="27"/>
      <c r="M12108" s="28"/>
      <c r="N12108" s="28"/>
      <c r="O12108" s="27"/>
      <c r="P12108" s="27"/>
    </row>
    <row r="12109">
      <c r="A12109" s="38"/>
      <c r="B12109" s="39"/>
      <c r="C12109" s="39"/>
      <c r="D12109" s="39"/>
      <c r="E12109" s="27"/>
      <c r="F12109" s="27"/>
      <c r="G12109" s="27"/>
      <c r="H12109" s="27"/>
      <c r="I12109" s="27"/>
      <c r="J12109" s="27"/>
      <c r="K12109" s="27"/>
      <c r="L12109" s="27"/>
      <c r="M12109" s="28"/>
      <c r="N12109" s="28"/>
      <c r="O12109" s="27"/>
      <c r="P12109" s="27"/>
    </row>
    <row r="12110">
      <c r="A12110" s="38"/>
      <c r="B12110" s="39"/>
      <c r="C12110" s="39"/>
      <c r="D12110" s="39"/>
      <c r="E12110" s="27"/>
      <c r="F12110" s="27"/>
      <c r="G12110" s="27"/>
      <c r="H12110" s="27"/>
      <c r="I12110" s="27"/>
      <c r="J12110" s="27"/>
      <c r="K12110" s="27"/>
      <c r="L12110" s="27"/>
      <c r="M12110" s="28"/>
      <c r="N12110" s="28"/>
      <c r="O12110" s="27"/>
      <c r="P12110" s="27"/>
    </row>
    <row r="12111">
      <c r="A12111" s="38"/>
      <c r="B12111" s="39"/>
      <c r="C12111" s="39"/>
      <c r="D12111" s="39"/>
      <c r="E12111" s="27"/>
      <c r="F12111" s="27"/>
      <c r="G12111" s="27"/>
      <c r="H12111" s="27"/>
      <c r="I12111" s="27"/>
      <c r="J12111" s="27"/>
      <c r="K12111" s="27"/>
      <c r="L12111" s="27"/>
      <c r="M12111" s="28"/>
      <c r="N12111" s="28"/>
      <c r="O12111" s="27"/>
      <c r="P12111" s="27"/>
    </row>
    <row r="12112">
      <c r="A12112" s="38"/>
      <c r="B12112" s="39"/>
      <c r="C12112" s="39"/>
      <c r="D12112" s="39"/>
      <c r="E12112" s="27"/>
      <c r="F12112" s="27"/>
      <c r="G12112" s="27"/>
      <c r="H12112" s="27"/>
      <c r="I12112" s="27"/>
      <c r="J12112" s="27"/>
      <c r="K12112" s="27"/>
      <c r="L12112" s="27"/>
      <c r="M12112" s="28"/>
      <c r="N12112" s="28"/>
      <c r="O12112" s="27"/>
      <c r="P12112" s="27"/>
    </row>
    <row r="12113">
      <c r="A12113" s="38"/>
      <c r="B12113" s="39"/>
      <c r="C12113" s="39"/>
      <c r="D12113" s="39"/>
      <c r="E12113" s="27"/>
      <c r="F12113" s="27"/>
      <c r="G12113" s="27"/>
      <c r="H12113" s="27"/>
      <c r="I12113" s="27"/>
      <c r="J12113" s="27"/>
      <c r="K12113" s="27"/>
      <c r="L12113" s="27"/>
      <c r="M12113" s="28"/>
      <c r="N12113" s="28"/>
      <c r="O12113" s="27"/>
      <c r="P12113" s="27"/>
    </row>
    <row r="12114">
      <c r="A12114" s="38"/>
      <c r="B12114" s="39"/>
      <c r="C12114" s="39"/>
      <c r="D12114" s="39"/>
      <c r="E12114" s="27"/>
      <c r="F12114" s="27"/>
      <c r="G12114" s="27"/>
      <c r="H12114" s="27"/>
      <c r="I12114" s="27"/>
      <c r="J12114" s="27"/>
      <c r="K12114" s="27"/>
      <c r="L12114" s="27"/>
      <c r="M12114" s="28"/>
      <c r="N12114" s="28"/>
      <c r="O12114" s="27"/>
      <c r="P12114" s="27"/>
    </row>
    <row r="12115">
      <c r="A12115" s="38"/>
      <c r="B12115" s="39"/>
      <c r="C12115" s="39"/>
      <c r="D12115" s="39"/>
      <c r="E12115" s="27"/>
      <c r="F12115" s="27"/>
      <c r="G12115" s="27"/>
      <c r="H12115" s="27"/>
      <c r="I12115" s="27"/>
      <c r="J12115" s="27"/>
      <c r="K12115" s="27"/>
      <c r="L12115" s="27"/>
      <c r="M12115" s="28"/>
      <c r="N12115" s="28"/>
      <c r="O12115" s="27"/>
      <c r="P12115" s="27"/>
    </row>
    <row r="12116">
      <c r="A12116" s="38"/>
      <c r="B12116" s="39"/>
      <c r="C12116" s="39"/>
      <c r="D12116" s="39"/>
      <c r="E12116" s="27"/>
      <c r="F12116" s="27"/>
      <c r="G12116" s="27"/>
      <c r="H12116" s="27"/>
      <c r="I12116" s="27"/>
      <c r="J12116" s="27"/>
      <c r="K12116" s="27"/>
      <c r="L12116" s="27"/>
      <c r="M12116" s="28"/>
      <c r="N12116" s="28"/>
      <c r="O12116" s="27"/>
      <c r="P12116" s="27"/>
    </row>
    <row r="12117">
      <c r="A12117" s="38"/>
      <c r="B12117" s="39"/>
      <c r="C12117" s="39"/>
      <c r="D12117" s="39"/>
      <c r="E12117" s="27"/>
      <c r="F12117" s="27"/>
      <c r="G12117" s="27"/>
      <c r="H12117" s="27"/>
      <c r="I12117" s="27"/>
      <c r="J12117" s="27"/>
      <c r="K12117" s="27"/>
      <c r="L12117" s="27"/>
      <c r="M12117" s="28"/>
      <c r="N12117" s="28"/>
      <c r="O12117" s="27"/>
      <c r="P12117" s="27"/>
    </row>
    <row r="12118">
      <c r="A12118" s="38"/>
      <c r="B12118" s="39"/>
      <c r="C12118" s="39"/>
      <c r="D12118" s="39"/>
      <c r="E12118" s="27"/>
      <c r="F12118" s="27"/>
      <c r="G12118" s="27"/>
      <c r="H12118" s="27"/>
      <c r="I12118" s="27"/>
      <c r="J12118" s="27"/>
      <c r="K12118" s="27"/>
      <c r="L12118" s="27"/>
      <c r="M12118" s="28"/>
      <c r="N12118" s="28"/>
      <c r="O12118" s="27"/>
      <c r="P12118" s="27"/>
    </row>
    <row r="12119">
      <c r="A12119" s="38"/>
      <c r="B12119" s="39"/>
      <c r="C12119" s="39"/>
      <c r="D12119" s="39"/>
      <c r="E12119" s="27"/>
      <c r="F12119" s="27"/>
      <c r="G12119" s="27"/>
      <c r="H12119" s="27"/>
      <c r="I12119" s="27"/>
      <c r="J12119" s="27"/>
      <c r="K12119" s="27"/>
      <c r="L12119" s="27"/>
      <c r="M12119" s="28"/>
      <c r="N12119" s="28"/>
      <c r="O12119" s="27"/>
      <c r="P12119" s="27"/>
    </row>
    <row r="12120">
      <c r="A12120" s="38"/>
      <c r="B12120" s="39"/>
      <c r="C12120" s="39"/>
      <c r="D12120" s="39"/>
      <c r="E12120" s="27"/>
      <c r="F12120" s="27"/>
      <c r="G12120" s="27"/>
      <c r="H12120" s="27"/>
      <c r="I12120" s="27"/>
      <c r="J12120" s="27"/>
      <c r="K12120" s="27"/>
      <c r="L12120" s="27"/>
      <c r="M12120" s="28"/>
      <c r="N12120" s="28"/>
      <c r="O12120" s="27"/>
      <c r="P12120" s="27"/>
    </row>
    <row r="12121">
      <c r="A12121" s="38"/>
      <c r="B12121" s="39"/>
      <c r="C12121" s="39"/>
      <c r="D12121" s="39"/>
      <c r="E12121" s="27"/>
      <c r="F12121" s="27"/>
      <c r="G12121" s="27"/>
      <c r="H12121" s="27"/>
      <c r="I12121" s="27"/>
      <c r="J12121" s="27"/>
      <c r="K12121" s="27"/>
      <c r="L12121" s="27"/>
      <c r="M12121" s="28"/>
      <c r="N12121" s="28"/>
      <c r="O12121" s="27"/>
      <c r="P12121" s="27"/>
    </row>
    <row r="12122">
      <c r="A12122" s="38"/>
      <c r="B12122" s="39"/>
      <c r="C12122" s="39"/>
      <c r="D12122" s="39"/>
      <c r="E12122" s="27"/>
      <c r="F12122" s="27"/>
      <c r="G12122" s="27"/>
      <c r="H12122" s="27"/>
      <c r="I12122" s="27"/>
      <c r="J12122" s="27"/>
      <c r="K12122" s="27"/>
      <c r="L12122" s="27"/>
      <c r="M12122" s="28"/>
      <c r="N12122" s="28"/>
      <c r="O12122" s="27"/>
      <c r="P12122" s="27"/>
    </row>
    <row r="12123">
      <c r="A12123" s="38"/>
      <c r="B12123" s="39"/>
      <c r="C12123" s="39"/>
      <c r="D12123" s="39"/>
      <c r="E12123" s="27"/>
      <c r="F12123" s="27"/>
      <c r="G12123" s="27"/>
      <c r="H12123" s="27"/>
      <c r="I12123" s="27"/>
      <c r="J12123" s="27"/>
      <c r="K12123" s="27"/>
      <c r="L12123" s="27"/>
      <c r="M12123" s="28"/>
      <c r="N12123" s="28"/>
      <c r="O12123" s="27"/>
      <c r="P12123" s="27"/>
    </row>
    <row r="12124">
      <c r="A12124" s="38"/>
      <c r="B12124" s="39"/>
      <c r="C12124" s="39"/>
      <c r="D12124" s="39"/>
      <c r="E12124" s="27"/>
      <c r="F12124" s="27"/>
      <c r="G12124" s="27"/>
      <c r="H12124" s="27"/>
      <c r="I12124" s="27"/>
      <c r="J12124" s="27"/>
      <c r="K12124" s="27"/>
      <c r="L12124" s="27"/>
      <c r="M12124" s="28"/>
      <c r="N12124" s="28"/>
      <c r="O12124" s="27"/>
      <c r="P12124" s="27"/>
    </row>
    <row r="12125">
      <c r="A12125" s="38"/>
      <c r="B12125" s="39"/>
      <c r="C12125" s="39"/>
      <c r="D12125" s="39"/>
      <c r="E12125" s="27"/>
      <c r="F12125" s="27"/>
      <c r="G12125" s="27"/>
      <c r="H12125" s="27"/>
      <c r="I12125" s="27"/>
      <c r="J12125" s="27"/>
      <c r="K12125" s="27"/>
      <c r="L12125" s="27"/>
      <c r="M12125" s="28"/>
      <c r="N12125" s="28"/>
      <c r="O12125" s="27"/>
      <c r="P12125" s="27"/>
    </row>
    <row r="12126">
      <c r="A12126" s="38"/>
      <c r="B12126" s="39"/>
      <c r="C12126" s="39"/>
      <c r="D12126" s="39"/>
      <c r="E12126" s="27"/>
      <c r="F12126" s="27"/>
      <c r="G12126" s="27"/>
      <c r="H12126" s="27"/>
      <c r="I12126" s="27"/>
      <c r="J12126" s="27"/>
      <c r="K12126" s="27"/>
      <c r="L12126" s="27"/>
      <c r="M12126" s="28"/>
      <c r="N12126" s="28"/>
      <c r="O12126" s="27"/>
      <c r="P12126" s="27"/>
    </row>
    <row r="12127">
      <c r="A12127" s="38"/>
      <c r="B12127" s="39"/>
      <c r="C12127" s="39"/>
      <c r="D12127" s="39"/>
      <c r="E12127" s="27"/>
      <c r="F12127" s="27"/>
      <c r="G12127" s="27"/>
      <c r="H12127" s="27"/>
      <c r="I12127" s="27"/>
      <c r="J12127" s="27"/>
      <c r="K12127" s="27"/>
      <c r="L12127" s="27"/>
      <c r="M12127" s="28"/>
      <c r="N12127" s="28"/>
      <c r="O12127" s="27"/>
      <c r="P12127" s="27"/>
    </row>
    <row r="12128">
      <c r="A12128" s="38"/>
      <c r="B12128" s="39"/>
      <c r="C12128" s="39"/>
      <c r="D12128" s="39"/>
      <c r="E12128" s="27"/>
      <c r="F12128" s="27"/>
      <c r="G12128" s="27"/>
      <c r="H12128" s="27"/>
      <c r="I12128" s="27"/>
      <c r="J12128" s="27"/>
      <c r="K12128" s="27"/>
      <c r="L12128" s="27"/>
      <c r="M12128" s="28"/>
      <c r="N12128" s="28"/>
      <c r="O12128" s="27"/>
      <c r="P12128" s="27"/>
    </row>
    <row r="12129">
      <c r="A12129" s="38"/>
      <c r="B12129" s="39"/>
      <c r="C12129" s="39"/>
      <c r="D12129" s="39"/>
      <c r="E12129" s="27"/>
      <c r="F12129" s="27"/>
      <c r="G12129" s="27"/>
      <c r="H12129" s="27"/>
      <c r="I12129" s="27"/>
      <c r="J12129" s="27"/>
      <c r="K12129" s="27"/>
      <c r="L12129" s="27"/>
      <c r="M12129" s="28"/>
      <c r="N12129" s="28"/>
      <c r="O12129" s="27"/>
      <c r="P12129" s="27"/>
    </row>
    <row r="12130">
      <c r="A12130" s="38"/>
      <c r="B12130" s="39"/>
      <c r="C12130" s="39"/>
      <c r="D12130" s="39"/>
      <c r="E12130" s="27"/>
      <c r="F12130" s="27"/>
      <c r="G12130" s="27"/>
      <c r="H12130" s="27"/>
      <c r="I12130" s="27"/>
      <c r="J12130" s="27"/>
      <c r="K12130" s="27"/>
      <c r="L12130" s="27"/>
      <c r="M12130" s="28"/>
      <c r="N12130" s="28"/>
      <c r="O12130" s="27"/>
      <c r="P12130" s="27"/>
    </row>
    <row r="12131">
      <c r="A12131" s="38"/>
      <c r="B12131" s="39"/>
      <c r="C12131" s="39"/>
      <c r="D12131" s="39"/>
      <c r="E12131" s="27"/>
      <c r="F12131" s="27"/>
      <c r="G12131" s="27"/>
      <c r="H12131" s="27"/>
      <c r="I12131" s="27"/>
      <c r="J12131" s="27"/>
      <c r="K12131" s="27"/>
      <c r="L12131" s="27"/>
      <c r="M12131" s="28"/>
      <c r="N12131" s="28"/>
      <c r="O12131" s="27"/>
      <c r="P12131" s="27"/>
    </row>
    <row r="12132">
      <c r="A12132" s="38"/>
      <c r="B12132" s="39"/>
      <c r="C12132" s="39"/>
      <c r="D12132" s="39"/>
      <c r="E12132" s="27"/>
      <c r="F12132" s="27"/>
      <c r="G12132" s="27"/>
      <c r="H12132" s="27"/>
      <c r="I12132" s="27"/>
      <c r="J12132" s="27"/>
      <c r="K12132" s="27"/>
      <c r="L12132" s="27"/>
      <c r="M12132" s="28"/>
      <c r="N12132" s="28"/>
      <c r="O12132" s="27"/>
      <c r="P12132" s="27"/>
    </row>
    <row r="12133">
      <c r="A12133" s="38"/>
      <c r="B12133" s="39"/>
      <c r="C12133" s="39"/>
      <c r="D12133" s="39"/>
      <c r="E12133" s="27"/>
      <c r="F12133" s="27"/>
      <c r="G12133" s="27"/>
      <c r="H12133" s="27"/>
      <c r="I12133" s="27"/>
      <c r="J12133" s="27"/>
      <c r="K12133" s="27"/>
      <c r="L12133" s="27"/>
      <c r="M12133" s="28"/>
      <c r="N12133" s="28"/>
      <c r="O12133" s="27"/>
      <c r="P12133" s="27"/>
    </row>
    <row r="12134">
      <c r="A12134" s="38"/>
      <c r="B12134" s="39"/>
      <c r="C12134" s="39"/>
      <c r="D12134" s="39"/>
      <c r="E12134" s="27"/>
      <c r="F12134" s="27"/>
      <c r="G12134" s="27"/>
      <c r="H12134" s="27"/>
      <c r="I12134" s="27"/>
      <c r="J12134" s="27"/>
      <c r="K12134" s="27"/>
      <c r="L12134" s="27"/>
      <c r="M12134" s="28"/>
      <c r="N12134" s="28"/>
      <c r="O12134" s="27"/>
      <c r="P12134" s="27"/>
    </row>
    <row r="12135">
      <c r="A12135" s="38"/>
      <c r="B12135" s="39"/>
      <c r="C12135" s="39"/>
      <c r="D12135" s="39"/>
      <c r="E12135" s="27"/>
      <c r="F12135" s="27"/>
      <c r="G12135" s="27"/>
      <c r="H12135" s="27"/>
      <c r="I12135" s="27"/>
      <c r="J12135" s="27"/>
      <c r="K12135" s="27"/>
      <c r="L12135" s="27"/>
      <c r="M12135" s="28"/>
      <c r="N12135" s="28"/>
      <c r="O12135" s="27"/>
      <c r="P12135" s="27"/>
    </row>
    <row r="12136">
      <c r="A12136" s="38"/>
      <c r="B12136" s="39"/>
      <c r="C12136" s="39"/>
      <c r="D12136" s="39"/>
      <c r="E12136" s="27"/>
      <c r="F12136" s="27"/>
      <c r="G12136" s="27"/>
      <c r="H12136" s="27"/>
      <c r="I12136" s="27"/>
      <c r="J12136" s="27"/>
      <c r="K12136" s="27"/>
      <c r="L12136" s="27"/>
      <c r="M12136" s="28"/>
      <c r="N12136" s="28"/>
      <c r="O12136" s="27"/>
      <c r="P12136" s="27"/>
    </row>
    <row r="12137">
      <c r="A12137" s="38"/>
      <c r="B12137" s="39"/>
      <c r="C12137" s="39"/>
      <c r="D12137" s="39"/>
      <c r="E12137" s="27"/>
      <c r="F12137" s="27"/>
      <c r="G12137" s="27"/>
      <c r="H12137" s="27"/>
      <c r="I12137" s="27"/>
      <c r="J12137" s="27"/>
      <c r="K12137" s="27"/>
      <c r="L12137" s="27"/>
      <c r="M12137" s="28"/>
      <c r="N12137" s="28"/>
      <c r="O12137" s="27"/>
      <c r="P12137" s="27"/>
    </row>
    <row r="12138">
      <c r="A12138" s="38"/>
      <c r="B12138" s="39"/>
      <c r="C12138" s="39"/>
      <c r="D12138" s="39"/>
      <c r="E12138" s="27"/>
      <c r="F12138" s="27"/>
      <c r="G12138" s="27"/>
      <c r="H12138" s="27"/>
      <c r="I12138" s="27"/>
      <c r="J12138" s="27"/>
      <c r="K12138" s="27"/>
      <c r="L12138" s="27"/>
      <c r="M12138" s="28"/>
      <c r="N12138" s="28"/>
      <c r="O12138" s="27"/>
      <c r="P12138" s="27"/>
    </row>
    <row r="12139">
      <c r="A12139" s="38"/>
      <c r="B12139" s="39"/>
      <c r="C12139" s="39"/>
      <c r="D12139" s="39"/>
      <c r="E12139" s="27"/>
      <c r="F12139" s="27"/>
      <c r="G12139" s="27"/>
      <c r="H12139" s="27"/>
      <c r="I12139" s="27"/>
      <c r="J12139" s="27"/>
      <c r="K12139" s="27"/>
      <c r="L12139" s="27"/>
      <c r="M12139" s="28"/>
      <c r="N12139" s="28"/>
      <c r="O12139" s="27"/>
      <c r="P12139" s="27"/>
    </row>
    <row r="12140">
      <c r="A12140" s="38"/>
      <c r="B12140" s="39"/>
      <c r="C12140" s="39"/>
      <c r="D12140" s="39"/>
      <c r="E12140" s="27"/>
      <c r="F12140" s="27"/>
      <c r="G12140" s="27"/>
      <c r="H12140" s="27"/>
      <c r="I12140" s="27"/>
      <c r="J12140" s="27"/>
      <c r="K12140" s="27"/>
      <c r="L12140" s="27"/>
      <c r="M12140" s="28"/>
      <c r="N12140" s="28"/>
      <c r="O12140" s="27"/>
      <c r="P12140" s="27"/>
    </row>
    <row r="12141">
      <c r="A12141" s="38"/>
      <c r="B12141" s="39"/>
      <c r="C12141" s="39"/>
      <c r="D12141" s="39"/>
      <c r="E12141" s="27"/>
      <c r="F12141" s="27"/>
      <c r="G12141" s="27"/>
      <c r="H12141" s="27"/>
      <c r="I12141" s="27"/>
      <c r="J12141" s="27"/>
      <c r="K12141" s="27"/>
      <c r="L12141" s="27"/>
      <c r="M12141" s="28"/>
      <c r="N12141" s="28"/>
      <c r="O12141" s="27"/>
      <c r="P12141" s="27"/>
    </row>
    <row r="12142">
      <c r="A12142" s="38"/>
      <c r="B12142" s="39"/>
      <c r="C12142" s="39"/>
      <c r="D12142" s="39"/>
      <c r="E12142" s="27"/>
      <c r="F12142" s="27"/>
      <c r="G12142" s="27"/>
      <c r="H12142" s="27"/>
      <c r="I12142" s="27"/>
      <c r="J12142" s="27"/>
      <c r="K12142" s="27"/>
      <c r="L12142" s="27"/>
      <c r="M12142" s="28"/>
      <c r="N12142" s="28"/>
      <c r="O12142" s="27"/>
      <c r="P12142" s="27"/>
    </row>
    <row r="12143">
      <c r="A12143" s="38"/>
      <c r="B12143" s="39"/>
      <c r="C12143" s="39"/>
      <c r="D12143" s="39"/>
      <c r="E12143" s="27"/>
      <c r="F12143" s="27"/>
      <c r="G12143" s="27"/>
      <c r="H12143" s="27"/>
      <c r="I12143" s="27"/>
      <c r="J12143" s="27"/>
      <c r="K12143" s="27"/>
      <c r="L12143" s="27"/>
      <c r="M12143" s="28"/>
      <c r="N12143" s="28"/>
      <c r="O12143" s="27"/>
      <c r="P12143" s="27"/>
    </row>
    <row r="12144">
      <c r="A12144" s="38"/>
      <c r="B12144" s="39"/>
      <c r="C12144" s="39"/>
      <c r="D12144" s="39"/>
      <c r="E12144" s="27"/>
      <c r="F12144" s="27"/>
      <c r="G12144" s="27"/>
      <c r="H12144" s="27"/>
      <c r="I12144" s="27"/>
      <c r="J12144" s="27"/>
      <c r="K12144" s="27"/>
      <c r="L12144" s="27"/>
      <c r="M12144" s="28"/>
      <c r="N12144" s="28"/>
      <c r="O12144" s="27"/>
      <c r="P12144" s="27"/>
    </row>
    <row r="12145">
      <c r="A12145" s="38"/>
      <c r="B12145" s="39"/>
      <c r="C12145" s="39"/>
      <c r="D12145" s="39"/>
      <c r="E12145" s="27"/>
      <c r="F12145" s="27"/>
      <c r="G12145" s="27"/>
      <c r="H12145" s="27"/>
      <c r="I12145" s="27"/>
      <c r="J12145" s="27"/>
      <c r="K12145" s="27"/>
      <c r="L12145" s="27"/>
      <c r="M12145" s="28"/>
      <c r="N12145" s="28"/>
      <c r="O12145" s="27"/>
      <c r="P12145" s="27"/>
    </row>
    <row r="12146">
      <c r="A12146" s="38"/>
      <c r="B12146" s="39"/>
      <c r="C12146" s="39"/>
      <c r="D12146" s="39"/>
      <c r="E12146" s="27"/>
      <c r="F12146" s="27"/>
      <c r="G12146" s="27"/>
      <c r="H12146" s="27"/>
      <c r="I12146" s="27"/>
      <c r="J12146" s="27"/>
      <c r="K12146" s="27"/>
      <c r="L12146" s="27"/>
      <c r="M12146" s="28"/>
      <c r="N12146" s="28"/>
      <c r="O12146" s="27"/>
      <c r="P12146" s="27"/>
    </row>
    <row r="12147">
      <c r="A12147" s="38"/>
      <c r="B12147" s="39"/>
      <c r="C12147" s="39"/>
      <c r="D12147" s="39"/>
      <c r="E12147" s="27"/>
      <c r="F12147" s="27"/>
      <c r="G12147" s="27"/>
      <c r="H12147" s="27"/>
      <c r="I12147" s="27"/>
      <c r="J12147" s="27"/>
      <c r="K12147" s="27"/>
      <c r="L12147" s="27"/>
      <c r="M12147" s="28"/>
      <c r="N12147" s="28"/>
      <c r="O12147" s="27"/>
      <c r="P12147" s="27"/>
    </row>
    <row r="12148">
      <c r="A12148" s="38"/>
      <c r="B12148" s="39"/>
      <c r="C12148" s="39"/>
      <c r="D12148" s="39"/>
      <c r="E12148" s="27"/>
      <c r="F12148" s="27"/>
      <c r="G12148" s="27"/>
      <c r="H12148" s="27"/>
      <c r="I12148" s="27"/>
      <c r="J12148" s="27"/>
      <c r="K12148" s="27"/>
      <c r="L12148" s="27"/>
      <c r="M12148" s="28"/>
      <c r="N12148" s="28"/>
      <c r="O12148" s="27"/>
      <c r="P12148" s="27"/>
    </row>
    <row r="12149">
      <c r="A12149" s="38"/>
      <c r="B12149" s="39"/>
      <c r="C12149" s="39"/>
      <c r="D12149" s="39"/>
      <c r="E12149" s="27"/>
      <c r="F12149" s="27"/>
      <c r="G12149" s="27"/>
      <c r="H12149" s="27"/>
      <c r="I12149" s="27"/>
      <c r="J12149" s="27"/>
      <c r="K12149" s="27"/>
      <c r="L12149" s="27"/>
      <c r="M12149" s="28"/>
      <c r="N12149" s="28"/>
      <c r="O12149" s="27"/>
      <c r="P12149" s="27"/>
    </row>
    <row r="12150">
      <c r="A12150" s="38"/>
      <c r="B12150" s="39"/>
      <c r="C12150" s="39"/>
      <c r="D12150" s="39"/>
      <c r="E12150" s="27"/>
      <c r="F12150" s="27"/>
      <c r="G12150" s="27"/>
      <c r="H12150" s="27"/>
      <c r="I12150" s="27"/>
      <c r="J12150" s="27"/>
      <c r="K12150" s="27"/>
      <c r="L12150" s="27"/>
      <c r="M12150" s="28"/>
      <c r="N12150" s="28"/>
      <c r="O12150" s="27"/>
      <c r="P12150" s="27"/>
    </row>
    <row r="12151">
      <c r="A12151" s="38"/>
      <c r="B12151" s="39"/>
      <c r="C12151" s="39"/>
      <c r="D12151" s="39"/>
      <c r="E12151" s="27"/>
      <c r="F12151" s="27"/>
      <c r="G12151" s="27"/>
      <c r="H12151" s="27"/>
      <c r="I12151" s="27"/>
      <c r="J12151" s="27"/>
      <c r="K12151" s="27"/>
      <c r="L12151" s="27"/>
      <c r="M12151" s="28"/>
      <c r="N12151" s="28"/>
      <c r="O12151" s="27"/>
      <c r="P12151" s="27"/>
    </row>
    <row r="12152">
      <c r="A12152" s="38"/>
      <c r="B12152" s="39"/>
      <c r="C12152" s="39"/>
      <c r="D12152" s="39"/>
      <c r="E12152" s="27"/>
      <c r="F12152" s="27"/>
      <c r="G12152" s="27"/>
      <c r="H12152" s="27"/>
      <c r="I12152" s="27"/>
      <c r="J12152" s="27"/>
      <c r="K12152" s="27"/>
      <c r="L12152" s="27"/>
      <c r="M12152" s="28"/>
      <c r="N12152" s="28"/>
      <c r="O12152" s="27"/>
      <c r="P12152" s="27"/>
    </row>
    <row r="12153">
      <c r="A12153" s="38"/>
      <c r="B12153" s="39"/>
      <c r="C12153" s="39"/>
      <c r="D12153" s="39"/>
      <c r="E12153" s="27"/>
      <c r="F12153" s="27"/>
      <c r="G12153" s="27"/>
      <c r="H12153" s="27"/>
      <c r="I12153" s="27"/>
      <c r="J12153" s="27"/>
      <c r="K12153" s="27"/>
      <c r="L12153" s="27"/>
      <c r="M12153" s="28"/>
      <c r="N12153" s="28"/>
      <c r="O12153" s="27"/>
      <c r="P12153" s="27"/>
    </row>
    <row r="12154">
      <c r="A12154" s="38"/>
      <c r="B12154" s="39"/>
      <c r="C12154" s="39"/>
      <c r="D12154" s="39"/>
      <c r="E12154" s="27"/>
      <c r="F12154" s="27"/>
      <c r="G12154" s="27"/>
      <c r="H12154" s="27"/>
      <c r="I12154" s="27"/>
      <c r="J12154" s="27"/>
      <c r="K12154" s="27"/>
      <c r="L12154" s="27"/>
      <c r="M12154" s="28"/>
      <c r="N12154" s="28"/>
      <c r="O12154" s="27"/>
      <c r="P12154" s="27"/>
    </row>
    <row r="12155">
      <c r="A12155" s="38"/>
      <c r="B12155" s="39"/>
      <c r="C12155" s="39"/>
      <c r="D12155" s="39"/>
      <c r="E12155" s="27"/>
      <c r="F12155" s="27"/>
      <c r="G12155" s="27"/>
      <c r="H12155" s="27"/>
      <c r="I12155" s="27"/>
      <c r="J12155" s="27"/>
      <c r="K12155" s="27"/>
      <c r="L12155" s="27"/>
      <c r="M12155" s="28"/>
      <c r="N12155" s="28"/>
      <c r="O12155" s="27"/>
      <c r="P12155" s="27"/>
    </row>
    <row r="12156">
      <c r="A12156" s="38"/>
      <c r="B12156" s="39"/>
      <c r="C12156" s="39"/>
      <c r="D12156" s="39"/>
      <c r="E12156" s="27"/>
      <c r="F12156" s="27"/>
      <c r="G12156" s="27"/>
      <c r="H12156" s="27"/>
      <c r="I12156" s="27"/>
      <c r="J12156" s="27"/>
      <c r="K12156" s="27"/>
      <c r="L12156" s="27"/>
      <c r="M12156" s="28"/>
      <c r="N12156" s="28"/>
      <c r="O12156" s="27"/>
      <c r="P12156" s="27"/>
    </row>
    <row r="12157">
      <c r="A12157" s="38"/>
      <c r="B12157" s="39"/>
      <c r="C12157" s="39"/>
      <c r="D12157" s="39"/>
      <c r="E12157" s="27"/>
      <c r="F12157" s="27"/>
      <c r="G12157" s="27"/>
      <c r="H12157" s="27"/>
      <c r="I12157" s="27"/>
      <c r="J12157" s="27"/>
      <c r="K12157" s="27"/>
      <c r="L12157" s="27"/>
      <c r="M12157" s="28"/>
      <c r="N12157" s="28"/>
      <c r="O12157" s="27"/>
      <c r="P12157" s="27"/>
    </row>
    <row r="12158">
      <c r="A12158" s="38"/>
      <c r="B12158" s="39"/>
      <c r="C12158" s="39"/>
      <c r="D12158" s="39"/>
      <c r="E12158" s="27"/>
      <c r="F12158" s="27"/>
      <c r="G12158" s="27"/>
      <c r="H12158" s="27"/>
      <c r="I12158" s="27"/>
      <c r="J12158" s="27"/>
      <c r="K12158" s="27"/>
      <c r="L12158" s="27"/>
      <c r="M12158" s="28"/>
      <c r="N12158" s="28"/>
      <c r="O12158" s="27"/>
      <c r="P12158" s="27"/>
    </row>
    <row r="12159">
      <c r="A12159" s="38"/>
      <c r="B12159" s="39"/>
      <c r="C12159" s="39"/>
      <c r="D12159" s="39"/>
      <c r="E12159" s="27"/>
      <c r="F12159" s="27"/>
      <c r="G12159" s="27"/>
      <c r="H12159" s="27"/>
      <c r="I12159" s="27"/>
      <c r="J12159" s="27"/>
      <c r="K12159" s="27"/>
      <c r="L12159" s="27"/>
      <c r="M12159" s="28"/>
      <c r="N12159" s="28"/>
      <c r="O12159" s="27"/>
      <c r="P12159" s="27"/>
    </row>
    <row r="12160">
      <c r="A12160" s="38"/>
      <c r="B12160" s="39"/>
      <c r="C12160" s="39"/>
      <c r="D12160" s="39"/>
      <c r="E12160" s="27"/>
      <c r="F12160" s="27"/>
      <c r="G12160" s="27"/>
      <c r="H12160" s="27"/>
      <c r="I12160" s="27"/>
      <c r="J12160" s="27"/>
      <c r="K12160" s="27"/>
      <c r="L12160" s="27"/>
      <c r="M12160" s="28"/>
      <c r="N12160" s="28"/>
      <c r="O12160" s="27"/>
      <c r="P12160" s="27"/>
    </row>
    <row r="12161">
      <c r="A12161" s="38"/>
      <c r="B12161" s="39"/>
      <c r="C12161" s="39"/>
      <c r="D12161" s="39"/>
      <c r="E12161" s="27"/>
      <c r="F12161" s="27"/>
      <c r="G12161" s="27"/>
      <c r="H12161" s="27"/>
      <c r="I12161" s="27"/>
      <c r="J12161" s="27"/>
      <c r="K12161" s="27"/>
      <c r="L12161" s="27"/>
      <c r="M12161" s="28"/>
      <c r="N12161" s="28"/>
      <c r="O12161" s="27"/>
      <c r="P12161" s="27"/>
    </row>
    <row r="12162">
      <c r="A12162" s="38"/>
      <c r="B12162" s="39"/>
      <c r="C12162" s="39"/>
      <c r="D12162" s="39"/>
      <c r="E12162" s="27"/>
      <c r="F12162" s="27"/>
      <c r="G12162" s="27"/>
      <c r="H12162" s="27"/>
      <c r="I12162" s="27"/>
      <c r="J12162" s="27"/>
      <c r="K12162" s="27"/>
      <c r="L12162" s="27"/>
      <c r="M12162" s="28"/>
      <c r="N12162" s="28"/>
      <c r="O12162" s="27"/>
      <c r="P12162" s="27"/>
    </row>
    <row r="12163">
      <c r="A12163" s="38"/>
      <c r="B12163" s="39"/>
      <c r="C12163" s="39"/>
      <c r="D12163" s="39"/>
      <c r="E12163" s="27"/>
      <c r="F12163" s="27"/>
      <c r="G12163" s="27"/>
      <c r="H12163" s="27"/>
      <c r="I12163" s="27"/>
      <c r="J12163" s="27"/>
      <c r="K12163" s="27"/>
      <c r="L12163" s="27"/>
      <c r="M12163" s="28"/>
      <c r="N12163" s="28"/>
      <c r="O12163" s="27"/>
      <c r="P12163" s="27"/>
    </row>
    <row r="12164">
      <c r="A12164" s="38"/>
      <c r="B12164" s="39"/>
      <c r="C12164" s="39"/>
      <c r="D12164" s="39"/>
      <c r="E12164" s="27"/>
      <c r="F12164" s="27"/>
      <c r="G12164" s="27"/>
      <c r="H12164" s="27"/>
      <c r="I12164" s="27"/>
      <c r="J12164" s="27"/>
      <c r="K12164" s="27"/>
      <c r="L12164" s="27"/>
      <c r="M12164" s="28"/>
      <c r="N12164" s="28"/>
      <c r="O12164" s="27"/>
      <c r="P12164" s="27"/>
    </row>
    <row r="12165">
      <c r="A12165" s="38"/>
      <c r="B12165" s="39"/>
      <c r="C12165" s="39"/>
      <c r="D12165" s="39"/>
      <c r="E12165" s="27"/>
      <c r="F12165" s="27"/>
      <c r="G12165" s="27"/>
      <c r="H12165" s="27"/>
      <c r="I12165" s="27"/>
      <c r="J12165" s="27"/>
      <c r="K12165" s="27"/>
      <c r="L12165" s="27"/>
      <c r="M12165" s="28"/>
      <c r="N12165" s="28"/>
      <c r="O12165" s="27"/>
      <c r="P12165" s="27"/>
    </row>
    <row r="12166">
      <c r="A12166" s="38"/>
      <c r="B12166" s="39"/>
      <c r="C12166" s="39"/>
      <c r="D12166" s="39"/>
      <c r="E12166" s="27"/>
      <c r="F12166" s="27"/>
      <c r="G12166" s="27"/>
      <c r="H12166" s="27"/>
      <c r="I12166" s="27"/>
      <c r="J12166" s="27"/>
      <c r="K12166" s="27"/>
      <c r="L12166" s="27"/>
      <c r="M12166" s="28"/>
      <c r="N12166" s="28"/>
      <c r="O12166" s="27"/>
      <c r="P12166" s="27"/>
    </row>
    <row r="12167">
      <c r="A12167" s="38"/>
      <c r="B12167" s="39"/>
      <c r="C12167" s="39"/>
      <c r="D12167" s="39"/>
      <c r="E12167" s="27"/>
      <c r="F12167" s="27"/>
      <c r="G12167" s="27"/>
      <c r="H12167" s="27"/>
      <c r="I12167" s="27"/>
      <c r="J12167" s="27"/>
      <c r="K12167" s="27"/>
      <c r="L12167" s="27"/>
      <c r="M12167" s="28"/>
      <c r="N12167" s="28"/>
      <c r="O12167" s="27"/>
      <c r="P12167" s="27"/>
    </row>
    <row r="12168">
      <c r="A12168" s="38"/>
      <c r="B12168" s="39"/>
      <c r="C12168" s="39"/>
      <c r="D12168" s="39"/>
      <c r="E12168" s="27"/>
      <c r="F12168" s="27"/>
      <c r="G12168" s="27"/>
      <c r="H12168" s="27"/>
      <c r="I12168" s="27"/>
      <c r="J12168" s="27"/>
      <c r="K12168" s="27"/>
      <c r="L12168" s="27"/>
      <c r="M12168" s="28"/>
      <c r="N12168" s="28"/>
      <c r="O12168" s="27"/>
      <c r="P12168" s="27"/>
    </row>
    <row r="12169">
      <c r="A12169" s="38"/>
      <c r="B12169" s="39"/>
      <c r="C12169" s="39"/>
      <c r="D12169" s="39"/>
      <c r="E12169" s="27"/>
      <c r="F12169" s="27"/>
      <c r="G12169" s="27"/>
      <c r="H12169" s="27"/>
      <c r="I12169" s="27"/>
      <c r="J12169" s="27"/>
      <c r="K12169" s="27"/>
      <c r="L12169" s="27"/>
      <c r="M12169" s="28"/>
      <c r="N12169" s="28"/>
      <c r="O12169" s="27"/>
      <c r="P12169" s="27"/>
    </row>
    <row r="12170">
      <c r="A12170" s="38"/>
      <c r="B12170" s="39"/>
      <c r="C12170" s="39"/>
      <c r="D12170" s="39"/>
      <c r="E12170" s="27"/>
      <c r="F12170" s="27"/>
      <c r="G12170" s="27"/>
      <c r="H12170" s="27"/>
      <c r="I12170" s="27"/>
      <c r="J12170" s="27"/>
      <c r="K12170" s="27"/>
      <c r="L12170" s="27"/>
      <c r="M12170" s="28"/>
      <c r="N12170" s="28"/>
      <c r="O12170" s="27"/>
      <c r="P12170" s="27"/>
    </row>
    <row r="12171">
      <c r="A12171" s="38"/>
      <c r="B12171" s="39"/>
      <c r="C12171" s="39"/>
      <c r="D12171" s="39"/>
      <c r="E12171" s="27"/>
      <c r="F12171" s="27"/>
      <c r="G12171" s="27"/>
      <c r="H12171" s="27"/>
      <c r="I12171" s="27"/>
      <c r="J12171" s="27"/>
      <c r="K12171" s="27"/>
      <c r="L12171" s="27"/>
      <c r="M12171" s="28"/>
      <c r="N12171" s="28"/>
      <c r="O12171" s="27"/>
      <c r="P12171" s="27"/>
    </row>
    <row r="12172">
      <c r="A12172" s="38"/>
      <c r="B12172" s="39"/>
      <c r="C12172" s="39"/>
      <c r="D12172" s="39"/>
      <c r="E12172" s="27"/>
      <c r="F12172" s="27"/>
      <c r="G12172" s="27"/>
      <c r="H12172" s="27"/>
      <c r="I12172" s="27"/>
      <c r="J12172" s="27"/>
      <c r="K12172" s="27"/>
      <c r="L12172" s="27"/>
      <c r="M12172" s="28"/>
      <c r="N12172" s="28"/>
      <c r="O12172" s="27"/>
      <c r="P12172" s="27"/>
    </row>
    <row r="12173">
      <c r="A12173" s="38"/>
      <c r="B12173" s="39"/>
      <c r="C12173" s="39"/>
      <c r="D12173" s="39"/>
      <c r="E12173" s="27"/>
      <c r="F12173" s="27"/>
      <c r="G12173" s="27"/>
      <c r="H12173" s="27"/>
      <c r="I12173" s="27"/>
      <c r="J12173" s="27"/>
      <c r="K12173" s="27"/>
      <c r="L12173" s="27"/>
      <c r="M12173" s="28"/>
      <c r="N12173" s="28"/>
      <c r="O12173" s="27"/>
      <c r="P12173" s="27"/>
    </row>
    <row r="12174">
      <c r="A12174" s="38"/>
      <c r="B12174" s="39"/>
      <c r="C12174" s="39"/>
      <c r="D12174" s="39"/>
      <c r="E12174" s="27"/>
      <c r="F12174" s="27"/>
      <c r="G12174" s="27"/>
      <c r="H12174" s="27"/>
      <c r="I12174" s="27"/>
      <c r="J12174" s="27"/>
      <c r="K12174" s="27"/>
      <c r="L12174" s="27"/>
      <c r="M12174" s="28"/>
      <c r="N12174" s="28"/>
      <c r="O12174" s="27"/>
      <c r="P12174" s="27"/>
    </row>
    <row r="12175">
      <c r="A12175" s="38"/>
      <c r="B12175" s="39"/>
      <c r="C12175" s="39"/>
      <c r="D12175" s="39"/>
      <c r="E12175" s="27"/>
      <c r="F12175" s="27"/>
      <c r="G12175" s="27"/>
      <c r="H12175" s="27"/>
      <c r="I12175" s="27"/>
      <c r="J12175" s="27"/>
      <c r="K12175" s="27"/>
      <c r="L12175" s="27"/>
      <c r="M12175" s="28"/>
      <c r="N12175" s="28"/>
      <c r="O12175" s="27"/>
      <c r="P12175" s="27"/>
    </row>
    <row r="12176">
      <c r="A12176" s="38"/>
      <c r="B12176" s="39"/>
      <c r="C12176" s="39"/>
      <c r="D12176" s="39"/>
      <c r="E12176" s="27"/>
      <c r="F12176" s="27"/>
      <c r="G12176" s="27"/>
      <c r="H12176" s="27"/>
      <c r="I12176" s="27"/>
      <c r="J12176" s="27"/>
      <c r="K12176" s="27"/>
      <c r="L12176" s="27"/>
      <c r="M12176" s="28"/>
      <c r="N12176" s="28"/>
      <c r="O12176" s="27"/>
      <c r="P12176" s="27"/>
    </row>
    <row r="12177">
      <c r="A12177" s="38"/>
      <c r="B12177" s="39"/>
      <c r="C12177" s="39"/>
      <c r="D12177" s="39"/>
      <c r="E12177" s="27"/>
      <c r="F12177" s="27"/>
      <c r="G12177" s="27"/>
      <c r="H12177" s="27"/>
      <c r="I12177" s="27"/>
      <c r="J12177" s="27"/>
      <c r="K12177" s="27"/>
      <c r="L12177" s="27"/>
      <c r="M12177" s="28"/>
      <c r="N12177" s="28"/>
      <c r="O12177" s="27"/>
      <c r="P12177" s="27"/>
    </row>
    <row r="12178">
      <c r="A12178" s="38"/>
      <c r="B12178" s="39"/>
      <c r="C12178" s="39"/>
      <c r="D12178" s="39"/>
      <c r="E12178" s="27"/>
      <c r="F12178" s="27"/>
      <c r="G12178" s="27"/>
      <c r="H12178" s="27"/>
      <c r="I12178" s="27"/>
      <c r="J12178" s="27"/>
      <c r="K12178" s="27"/>
      <c r="L12178" s="27"/>
      <c r="M12178" s="28"/>
      <c r="N12178" s="28"/>
      <c r="O12178" s="27"/>
      <c r="P12178" s="27"/>
    </row>
    <row r="12179">
      <c r="A12179" s="38"/>
      <c r="B12179" s="39"/>
      <c r="C12179" s="39"/>
      <c r="D12179" s="39"/>
      <c r="E12179" s="27"/>
      <c r="F12179" s="27"/>
      <c r="G12179" s="27"/>
      <c r="H12179" s="27"/>
      <c r="I12179" s="27"/>
      <c r="J12179" s="27"/>
      <c r="K12179" s="27"/>
      <c r="L12179" s="27"/>
      <c r="M12179" s="28"/>
      <c r="N12179" s="28"/>
      <c r="O12179" s="27"/>
      <c r="P12179" s="27"/>
    </row>
    <row r="12180">
      <c r="A12180" s="38"/>
      <c r="B12180" s="39"/>
      <c r="C12180" s="39"/>
      <c r="D12180" s="39"/>
      <c r="E12180" s="27"/>
      <c r="F12180" s="27"/>
      <c r="G12180" s="27"/>
      <c r="H12180" s="27"/>
      <c r="I12180" s="27"/>
      <c r="J12180" s="27"/>
      <c r="K12180" s="27"/>
      <c r="L12180" s="27"/>
      <c r="M12180" s="28"/>
      <c r="N12180" s="28"/>
      <c r="O12180" s="27"/>
      <c r="P12180" s="27"/>
    </row>
    <row r="12181">
      <c r="A12181" s="38"/>
      <c r="B12181" s="39"/>
      <c r="C12181" s="39"/>
      <c r="D12181" s="39"/>
      <c r="E12181" s="27"/>
      <c r="F12181" s="27"/>
      <c r="G12181" s="27"/>
      <c r="H12181" s="27"/>
      <c r="I12181" s="27"/>
      <c r="J12181" s="27"/>
      <c r="K12181" s="27"/>
      <c r="L12181" s="27"/>
      <c r="M12181" s="28"/>
      <c r="N12181" s="28"/>
      <c r="O12181" s="27"/>
      <c r="P12181" s="27"/>
    </row>
    <row r="12182">
      <c r="A12182" s="38"/>
      <c r="B12182" s="39"/>
      <c r="C12182" s="39"/>
      <c r="D12182" s="39"/>
      <c r="E12182" s="27"/>
      <c r="F12182" s="27"/>
      <c r="G12182" s="27"/>
      <c r="H12182" s="27"/>
      <c r="I12182" s="27"/>
      <c r="J12182" s="27"/>
      <c r="K12182" s="27"/>
      <c r="L12182" s="27"/>
      <c r="M12182" s="28"/>
      <c r="N12182" s="28"/>
      <c r="O12182" s="27"/>
      <c r="P12182" s="27"/>
    </row>
    <row r="12183">
      <c r="A12183" s="38"/>
      <c r="B12183" s="39"/>
      <c r="C12183" s="39"/>
      <c r="D12183" s="39"/>
      <c r="E12183" s="27"/>
      <c r="F12183" s="27"/>
      <c r="G12183" s="27"/>
      <c r="H12183" s="27"/>
      <c r="I12183" s="27"/>
      <c r="J12183" s="27"/>
      <c r="K12183" s="27"/>
      <c r="L12183" s="27"/>
      <c r="M12183" s="28"/>
      <c r="N12183" s="28"/>
      <c r="O12183" s="27"/>
      <c r="P12183" s="27"/>
    </row>
    <row r="12184">
      <c r="A12184" s="38"/>
      <c r="B12184" s="39"/>
      <c r="C12184" s="39"/>
      <c r="D12184" s="39"/>
      <c r="E12184" s="27"/>
      <c r="F12184" s="27"/>
      <c r="G12184" s="27"/>
      <c r="H12184" s="27"/>
      <c r="I12184" s="27"/>
      <c r="J12184" s="27"/>
      <c r="K12184" s="27"/>
      <c r="L12184" s="27"/>
      <c r="M12184" s="28"/>
      <c r="N12184" s="28"/>
      <c r="O12184" s="27"/>
      <c r="P12184" s="27"/>
    </row>
    <row r="12185">
      <c r="A12185" s="38"/>
      <c r="B12185" s="39"/>
      <c r="C12185" s="39"/>
      <c r="D12185" s="39"/>
      <c r="E12185" s="27"/>
      <c r="F12185" s="27"/>
      <c r="G12185" s="27"/>
      <c r="H12185" s="27"/>
      <c r="I12185" s="27"/>
      <c r="J12185" s="27"/>
      <c r="K12185" s="27"/>
      <c r="L12185" s="27"/>
      <c r="M12185" s="28"/>
      <c r="N12185" s="28"/>
      <c r="O12185" s="27"/>
      <c r="P12185" s="27"/>
    </row>
    <row r="12186">
      <c r="A12186" s="38"/>
      <c r="B12186" s="39"/>
      <c r="C12186" s="39"/>
      <c r="D12186" s="39"/>
      <c r="E12186" s="27"/>
      <c r="F12186" s="27"/>
      <c r="G12186" s="27"/>
      <c r="H12186" s="27"/>
      <c r="I12186" s="27"/>
      <c r="J12186" s="27"/>
      <c r="K12186" s="27"/>
      <c r="L12186" s="27"/>
      <c r="M12186" s="28"/>
      <c r="N12186" s="28"/>
      <c r="O12186" s="27"/>
      <c r="P12186" s="27"/>
    </row>
    <row r="12187">
      <c r="A12187" s="38"/>
      <c r="B12187" s="39"/>
      <c r="C12187" s="39"/>
      <c r="D12187" s="39"/>
      <c r="E12187" s="27"/>
      <c r="F12187" s="27"/>
      <c r="G12187" s="27"/>
      <c r="H12187" s="27"/>
      <c r="I12187" s="27"/>
      <c r="J12187" s="27"/>
      <c r="K12187" s="27"/>
      <c r="L12187" s="27"/>
      <c r="M12187" s="28"/>
      <c r="N12187" s="28"/>
      <c r="O12187" s="27"/>
      <c r="P12187" s="27"/>
    </row>
    <row r="12188">
      <c r="A12188" s="38"/>
      <c r="B12188" s="39"/>
      <c r="C12188" s="39"/>
      <c r="D12188" s="39"/>
      <c r="E12188" s="27"/>
      <c r="F12188" s="27"/>
      <c r="G12188" s="27"/>
      <c r="H12188" s="27"/>
      <c r="I12188" s="27"/>
      <c r="J12188" s="27"/>
      <c r="K12188" s="27"/>
      <c r="L12188" s="27"/>
      <c r="M12188" s="28"/>
      <c r="N12188" s="28"/>
      <c r="O12188" s="27"/>
      <c r="P12188" s="27"/>
    </row>
    <row r="12189">
      <c r="A12189" s="38"/>
      <c r="B12189" s="39"/>
      <c r="C12189" s="39"/>
      <c r="D12189" s="39"/>
      <c r="E12189" s="27"/>
      <c r="F12189" s="27"/>
      <c r="G12189" s="27"/>
      <c r="H12189" s="27"/>
      <c r="I12189" s="27"/>
      <c r="J12189" s="27"/>
      <c r="K12189" s="27"/>
      <c r="L12189" s="27"/>
      <c r="M12189" s="28"/>
      <c r="N12189" s="28"/>
      <c r="O12189" s="27"/>
      <c r="P12189" s="27"/>
    </row>
    <row r="12190">
      <c r="A12190" s="38"/>
      <c r="B12190" s="39"/>
      <c r="C12190" s="39"/>
      <c r="D12190" s="39"/>
      <c r="E12190" s="27"/>
      <c r="F12190" s="27"/>
      <c r="G12190" s="27"/>
      <c r="H12190" s="27"/>
      <c r="I12190" s="27"/>
      <c r="J12190" s="27"/>
      <c r="K12190" s="27"/>
      <c r="L12190" s="27"/>
      <c r="M12190" s="28"/>
      <c r="N12190" s="28"/>
      <c r="O12190" s="27"/>
      <c r="P12190" s="27"/>
    </row>
    <row r="12191">
      <c r="A12191" s="38"/>
      <c r="B12191" s="39"/>
      <c r="C12191" s="39"/>
      <c r="D12191" s="39"/>
      <c r="E12191" s="27"/>
      <c r="F12191" s="27"/>
      <c r="G12191" s="27"/>
      <c r="H12191" s="27"/>
      <c r="I12191" s="27"/>
      <c r="J12191" s="27"/>
      <c r="K12191" s="27"/>
      <c r="L12191" s="27"/>
      <c r="M12191" s="28"/>
      <c r="N12191" s="28"/>
      <c r="O12191" s="27"/>
      <c r="P12191" s="27"/>
    </row>
    <row r="12192">
      <c r="A12192" s="38"/>
      <c r="B12192" s="39"/>
      <c r="C12192" s="39"/>
      <c r="D12192" s="39"/>
      <c r="E12192" s="27"/>
      <c r="F12192" s="27"/>
      <c r="G12192" s="27"/>
      <c r="H12192" s="27"/>
      <c r="I12192" s="27"/>
      <c r="J12192" s="27"/>
      <c r="K12192" s="27"/>
      <c r="L12192" s="27"/>
      <c r="M12192" s="28"/>
      <c r="N12192" s="28"/>
      <c r="O12192" s="27"/>
      <c r="P12192" s="27"/>
    </row>
    <row r="12193">
      <c r="A12193" s="38"/>
      <c r="B12193" s="39"/>
      <c r="C12193" s="39"/>
      <c r="D12193" s="39"/>
      <c r="E12193" s="27"/>
      <c r="F12193" s="27"/>
      <c r="G12193" s="27"/>
      <c r="H12193" s="27"/>
      <c r="I12193" s="27"/>
      <c r="J12193" s="27"/>
      <c r="K12193" s="27"/>
      <c r="L12193" s="27"/>
      <c r="M12193" s="28"/>
      <c r="N12193" s="28"/>
      <c r="O12193" s="27"/>
      <c r="P12193" s="27"/>
    </row>
    <row r="12194">
      <c r="A12194" s="38"/>
      <c r="B12194" s="39"/>
      <c r="C12194" s="39"/>
      <c r="D12194" s="39"/>
      <c r="E12194" s="27"/>
      <c r="F12194" s="27"/>
      <c r="G12194" s="27"/>
      <c r="H12194" s="27"/>
      <c r="I12194" s="27"/>
      <c r="J12194" s="27"/>
      <c r="K12194" s="27"/>
      <c r="L12194" s="27"/>
      <c r="M12194" s="28"/>
      <c r="N12194" s="28"/>
      <c r="O12194" s="27"/>
      <c r="P12194" s="27"/>
    </row>
    <row r="12195">
      <c r="A12195" s="38"/>
      <c r="B12195" s="39"/>
      <c r="C12195" s="39"/>
      <c r="D12195" s="39"/>
      <c r="E12195" s="27"/>
      <c r="F12195" s="27"/>
      <c r="G12195" s="27"/>
      <c r="H12195" s="27"/>
      <c r="I12195" s="27"/>
      <c r="J12195" s="27"/>
      <c r="K12195" s="27"/>
      <c r="L12195" s="27"/>
      <c r="M12195" s="28"/>
      <c r="N12195" s="28"/>
      <c r="O12195" s="27"/>
      <c r="P12195" s="27"/>
    </row>
    <row r="12196">
      <c r="A12196" s="38"/>
      <c r="B12196" s="39"/>
      <c r="C12196" s="39"/>
      <c r="D12196" s="39"/>
      <c r="E12196" s="27"/>
      <c r="F12196" s="27"/>
      <c r="G12196" s="27"/>
      <c r="H12196" s="27"/>
      <c r="I12196" s="27"/>
      <c r="J12196" s="27"/>
      <c r="K12196" s="27"/>
      <c r="L12196" s="27"/>
      <c r="M12196" s="28"/>
      <c r="N12196" s="28"/>
      <c r="O12196" s="27"/>
      <c r="P12196" s="27"/>
    </row>
    <row r="12197">
      <c r="A12197" s="38"/>
      <c r="B12197" s="39"/>
      <c r="C12197" s="39"/>
      <c r="D12197" s="39"/>
      <c r="E12197" s="27"/>
      <c r="F12197" s="27"/>
      <c r="G12197" s="27"/>
      <c r="H12197" s="27"/>
      <c r="I12197" s="27"/>
      <c r="J12197" s="27"/>
      <c r="K12197" s="27"/>
      <c r="L12197" s="27"/>
      <c r="M12197" s="28"/>
      <c r="N12197" s="28"/>
      <c r="O12197" s="27"/>
      <c r="P12197" s="27"/>
    </row>
    <row r="12198">
      <c r="A12198" s="38"/>
      <c r="B12198" s="39"/>
      <c r="C12198" s="39"/>
      <c r="D12198" s="39"/>
      <c r="E12198" s="27"/>
      <c r="F12198" s="27"/>
      <c r="G12198" s="27"/>
      <c r="H12198" s="27"/>
      <c r="I12198" s="27"/>
      <c r="J12198" s="27"/>
      <c r="K12198" s="27"/>
      <c r="L12198" s="27"/>
      <c r="M12198" s="28"/>
      <c r="N12198" s="28"/>
      <c r="O12198" s="27"/>
      <c r="P12198" s="27"/>
    </row>
    <row r="12199">
      <c r="A12199" s="38"/>
      <c r="B12199" s="39"/>
      <c r="C12199" s="39"/>
      <c r="D12199" s="39"/>
      <c r="E12199" s="27"/>
      <c r="F12199" s="27"/>
      <c r="G12199" s="27"/>
      <c r="H12199" s="27"/>
      <c r="I12199" s="27"/>
      <c r="J12199" s="27"/>
      <c r="K12199" s="27"/>
      <c r="L12199" s="27"/>
      <c r="M12199" s="28"/>
      <c r="N12199" s="28"/>
      <c r="O12199" s="27"/>
      <c r="P12199" s="27"/>
    </row>
    <row r="12200">
      <c r="A12200" s="38"/>
      <c r="B12200" s="39"/>
      <c r="C12200" s="39"/>
      <c r="D12200" s="39"/>
      <c r="E12200" s="27"/>
      <c r="F12200" s="27"/>
      <c r="G12200" s="27"/>
      <c r="H12200" s="27"/>
      <c r="I12200" s="27"/>
      <c r="J12200" s="27"/>
      <c r="K12200" s="27"/>
      <c r="L12200" s="27"/>
      <c r="M12200" s="28"/>
      <c r="N12200" s="28"/>
      <c r="O12200" s="27"/>
      <c r="P12200" s="27"/>
    </row>
    <row r="12201">
      <c r="A12201" s="38"/>
      <c r="B12201" s="39"/>
      <c r="C12201" s="39"/>
      <c r="D12201" s="39"/>
      <c r="E12201" s="27"/>
      <c r="F12201" s="27"/>
      <c r="G12201" s="27"/>
      <c r="H12201" s="27"/>
      <c r="I12201" s="27"/>
      <c r="J12201" s="27"/>
      <c r="K12201" s="27"/>
      <c r="L12201" s="27"/>
      <c r="M12201" s="28"/>
      <c r="N12201" s="28"/>
      <c r="O12201" s="27"/>
      <c r="P12201" s="27"/>
    </row>
    <row r="12202">
      <c r="A12202" s="38"/>
      <c r="B12202" s="39"/>
      <c r="C12202" s="39"/>
      <c r="D12202" s="39"/>
      <c r="E12202" s="27"/>
      <c r="F12202" s="27"/>
      <c r="G12202" s="27"/>
      <c r="H12202" s="27"/>
      <c r="I12202" s="27"/>
      <c r="J12202" s="27"/>
      <c r="K12202" s="27"/>
      <c r="L12202" s="27"/>
      <c r="M12202" s="28"/>
      <c r="N12202" s="28"/>
      <c r="O12202" s="27"/>
      <c r="P12202" s="27"/>
    </row>
    <row r="12203">
      <c r="A12203" s="38"/>
      <c r="B12203" s="39"/>
      <c r="C12203" s="39"/>
      <c r="D12203" s="39"/>
      <c r="E12203" s="27"/>
      <c r="F12203" s="27"/>
      <c r="G12203" s="27"/>
      <c r="H12203" s="27"/>
      <c r="I12203" s="27"/>
      <c r="J12203" s="27"/>
      <c r="K12203" s="27"/>
      <c r="L12203" s="27"/>
      <c r="M12203" s="28"/>
      <c r="N12203" s="28"/>
      <c r="O12203" s="27"/>
      <c r="P12203" s="27"/>
    </row>
    <row r="12204">
      <c r="A12204" s="38"/>
      <c r="B12204" s="39"/>
      <c r="C12204" s="39"/>
      <c r="D12204" s="39"/>
      <c r="E12204" s="27"/>
      <c r="F12204" s="27"/>
      <c r="G12204" s="27"/>
      <c r="H12204" s="27"/>
      <c r="I12204" s="27"/>
      <c r="J12204" s="27"/>
      <c r="K12204" s="27"/>
      <c r="L12204" s="27"/>
      <c r="M12204" s="28"/>
      <c r="N12204" s="28"/>
      <c r="O12204" s="27"/>
      <c r="P12204" s="27"/>
    </row>
    <row r="12205">
      <c r="A12205" s="38"/>
      <c r="B12205" s="39"/>
      <c r="C12205" s="39"/>
      <c r="D12205" s="39"/>
      <c r="E12205" s="27"/>
      <c r="F12205" s="27"/>
      <c r="G12205" s="27"/>
      <c r="H12205" s="27"/>
      <c r="I12205" s="27"/>
      <c r="J12205" s="27"/>
      <c r="K12205" s="27"/>
      <c r="L12205" s="27"/>
      <c r="M12205" s="28"/>
      <c r="N12205" s="28"/>
      <c r="O12205" s="27"/>
      <c r="P12205" s="27"/>
    </row>
    <row r="12206">
      <c r="A12206" s="38"/>
      <c r="B12206" s="39"/>
      <c r="C12206" s="39"/>
      <c r="D12206" s="39"/>
      <c r="E12206" s="27"/>
      <c r="F12206" s="27"/>
      <c r="G12206" s="27"/>
      <c r="H12206" s="27"/>
      <c r="I12206" s="27"/>
      <c r="J12206" s="27"/>
      <c r="K12206" s="27"/>
      <c r="L12206" s="27"/>
      <c r="M12206" s="28"/>
      <c r="N12206" s="28"/>
      <c r="O12206" s="27"/>
      <c r="P12206" s="27"/>
    </row>
    <row r="12207">
      <c r="A12207" s="38"/>
      <c r="B12207" s="39"/>
      <c r="C12207" s="39"/>
      <c r="D12207" s="39"/>
      <c r="E12207" s="27"/>
      <c r="F12207" s="27"/>
      <c r="G12207" s="27"/>
      <c r="H12207" s="27"/>
      <c r="I12207" s="27"/>
      <c r="J12207" s="27"/>
      <c r="K12207" s="27"/>
      <c r="L12207" s="27"/>
      <c r="M12207" s="28"/>
      <c r="N12207" s="28"/>
      <c r="O12207" s="27"/>
      <c r="P12207" s="27"/>
    </row>
    <row r="12208">
      <c r="A12208" s="38"/>
      <c r="B12208" s="39"/>
      <c r="C12208" s="39"/>
      <c r="D12208" s="39"/>
      <c r="E12208" s="27"/>
      <c r="F12208" s="27"/>
      <c r="G12208" s="27"/>
      <c r="H12208" s="27"/>
      <c r="I12208" s="27"/>
      <c r="J12208" s="27"/>
      <c r="K12208" s="27"/>
      <c r="L12208" s="27"/>
      <c r="M12208" s="28"/>
      <c r="N12208" s="28"/>
      <c r="O12208" s="27"/>
      <c r="P12208" s="27"/>
    </row>
    <row r="12209">
      <c r="A12209" s="38"/>
      <c r="B12209" s="39"/>
      <c r="C12209" s="39"/>
      <c r="D12209" s="39"/>
      <c r="E12209" s="27"/>
      <c r="F12209" s="27"/>
      <c r="G12209" s="27"/>
      <c r="H12209" s="27"/>
      <c r="I12209" s="27"/>
      <c r="J12209" s="27"/>
      <c r="K12209" s="27"/>
      <c r="L12209" s="27"/>
      <c r="M12209" s="28"/>
      <c r="N12209" s="28"/>
      <c r="O12209" s="27"/>
      <c r="P12209" s="27"/>
    </row>
    <row r="12210">
      <c r="A12210" s="38"/>
      <c r="B12210" s="39"/>
      <c r="C12210" s="39"/>
      <c r="D12210" s="39"/>
      <c r="E12210" s="27"/>
      <c r="F12210" s="27"/>
      <c r="G12210" s="27"/>
      <c r="H12210" s="27"/>
      <c r="I12210" s="27"/>
      <c r="J12210" s="27"/>
      <c r="K12210" s="27"/>
      <c r="L12210" s="27"/>
      <c r="M12210" s="28"/>
      <c r="N12210" s="28"/>
      <c r="O12210" s="27"/>
      <c r="P12210" s="27"/>
    </row>
    <row r="12211">
      <c r="A12211" s="38"/>
      <c r="B12211" s="39"/>
      <c r="C12211" s="39"/>
      <c r="D12211" s="39"/>
      <c r="E12211" s="27"/>
      <c r="F12211" s="27"/>
      <c r="G12211" s="27"/>
      <c r="H12211" s="27"/>
      <c r="I12211" s="27"/>
      <c r="J12211" s="27"/>
      <c r="K12211" s="27"/>
      <c r="L12211" s="27"/>
      <c r="M12211" s="28"/>
      <c r="N12211" s="28"/>
      <c r="O12211" s="27"/>
      <c r="P12211" s="27"/>
    </row>
    <row r="12212">
      <c r="A12212" s="38"/>
      <c r="B12212" s="39"/>
      <c r="C12212" s="39"/>
      <c r="D12212" s="39"/>
      <c r="E12212" s="27"/>
      <c r="F12212" s="27"/>
      <c r="G12212" s="27"/>
      <c r="H12212" s="27"/>
      <c r="I12212" s="27"/>
      <c r="J12212" s="27"/>
      <c r="K12212" s="27"/>
      <c r="L12212" s="27"/>
      <c r="M12212" s="28"/>
      <c r="N12212" s="28"/>
      <c r="O12212" s="27"/>
      <c r="P12212" s="27"/>
    </row>
    <row r="12213">
      <c r="A12213" s="38"/>
      <c r="B12213" s="39"/>
      <c r="C12213" s="39"/>
      <c r="D12213" s="39"/>
      <c r="E12213" s="27"/>
      <c r="F12213" s="27"/>
      <c r="G12213" s="27"/>
      <c r="H12213" s="27"/>
      <c r="I12213" s="27"/>
      <c r="J12213" s="27"/>
      <c r="K12213" s="27"/>
      <c r="L12213" s="27"/>
      <c r="M12213" s="28"/>
      <c r="N12213" s="28"/>
      <c r="O12213" s="27"/>
      <c r="P12213" s="27"/>
    </row>
    <row r="12214">
      <c r="A12214" s="38"/>
      <c r="B12214" s="39"/>
      <c r="C12214" s="39"/>
      <c r="D12214" s="39"/>
      <c r="E12214" s="27"/>
      <c r="F12214" s="27"/>
      <c r="G12214" s="27"/>
      <c r="H12214" s="27"/>
      <c r="I12214" s="27"/>
      <c r="J12214" s="27"/>
      <c r="K12214" s="27"/>
      <c r="L12214" s="27"/>
      <c r="M12214" s="28"/>
      <c r="N12214" s="28"/>
      <c r="O12214" s="27"/>
      <c r="P12214" s="27"/>
    </row>
    <row r="12215">
      <c r="A12215" s="38"/>
      <c r="B12215" s="39"/>
      <c r="C12215" s="39"/>
      <c r="D12215" s="39"/>
      <c r="E12215" s="27"/>
      <c r="F12215" s="27"/>
      <c r="G12215" s="27"/>
      <c r="H12215" s="27"/>
      <c r="I12215" s="27"/>
      <c r="J12215" s="27"/>
      <c r="K12215" s="27"/>
      <c r="L12215" s="27"/>
      <c r="M12215" s="28"/>
      <c r="N12215" s="28"/>
      <c r="O12215" s="27"/>
      <c r="P12215" s="27"/>
    </row>
    <row r="12216">
      <c r="A12216" s="38"/>
      <c r="B12216" s="39"/>
      <c r="C12216" s="39"/>
      <c r="D12216" s="39"/>
      <c r="E12216" s="27"/>
      <c r="F12216" s="27"/>
      <c r="G12216" s="27"/>
      <c r="H12216" s="27"/>
      <c r="I12216" s="27"/>
      <c r="J12216" s="27"/>
      <c r="K12216" s="27"/>
      <c r="L12216" s="27"/>
      <c r="M12216" s="28"/>
      <c r="N12216" s="28"/>
      <c r="O12216" s="27"/>
      <c r="P12216" s="27"/>
    </row>
    <row r="12217">
      <c r="A12217" s="38"/>
      <c r="B12217" s="39"/>
      <c r="C12217" s="39"/>
      <c r="D12217" s="39"/>
      <c r="E12217" s="27"/>
      <c r="F12217" s="27"/>
      <c r="G12217" s="27"/>
      <c r="H12217" s="27"/>
      <c r="I12217" s="27"/>
      <c r="J12217" s="27"/>
      <c r="K12217" s="27"/>
      <c r="L12217" s="27"/>
      <c r="M12217" s="28"/>
      <c r="N12217" s="28"/>
      <c r="O12217" s="27"/>
      <c r="P12217" s="27"/>
    </row>
    <row r="12218">
      <c r="A12218" s="38"/>
      <c r="B12218" s="39"/>
      <c r="C12218" s="39"/>
      <c r="D12218" s="39"/>
      <c r="E12218" s="27"/>
      <c r="F12218" s="27"/>
      <c r="G12218" s="27"/>
      <c r="H12218" s="27"/>
      <c r="I12218" s="27"/>
      <c r="J12218" s="27"/>
      <c r="K12218" s="27"/>
      <c r="L12218" s="27"/>
      <c r="M12218" s="28"/>
      <c r="N12218" s="28"/>
      <c r="O12218" s="27"/>
      <c r="P12218" s="27"/>
    </row>
    <row r="12219">
      <c r="A12219" s="38"/>
      <c r="B12219" s="39"/>
      <c r="C12219" s="39"/>
      <c r="D12219" s="39"/>
      <c r="E12219" s="27"/>
      <c r="F12219" s="27"/>
      <c r="G12219" s="27"/>
      <c r="H12219" s="27"/>
      <c r="I12219" s="27"/>
      <c r="J12219" s="27"/>
      <c r="K12219" s="27"/>
      <c r="L12219" s="27"/>
      <c r="M12219" s="28"/>
      <c r="N12219" s="28"/>
      <c r="O12219" s="27"/>
      <c r="P12219" s="27"/>
    </row>
    <row r="12220">
      <c r="A12220" s="38"/>
      <c r="B12220" s="39"/>
      <c r="C12220" s="39"/>
      <c r="D12220" s="39"/>
      <c r="E12220" s="27"/>
      <c r="F12220" s="27"/>
      <c r="G12220" s="27"/>
      <c r="H12220" s="27"/>
      <c r="I12220" s="27"/>
      <c r="J12220" s="27"/>
      <c r="K12220" s="27"/>
      <c r="L12220" s="27"/>
      <c r="M12220" s="28"/>
      <c r="N12220" s="28"/>
      <c r="O12220" s="27"/>
      <c r="P12220" s="27"/>
    </row>
    <row r="12221">
      <c r="A12221" s="38"/>
      <c r="B12221" s="39"/>
      <c r="C12221" s="39"/>
      <c r="D12221" s="39"/>
      <c r="E12221" s="27"/>
      <c r="F12221" s="27"/>
      <c r="G12221" s="27"/>
      <c r="H12221" s="27"/>
      <c r="I12221" s="27"/>
      <c r="J12221" s="27"/>
      <c r="K12221" s="27"/>
      <c r="L12221" s="27"/>
      <c r="M12221" s="28"/>
      <c r="N12221" s="28"/>
      <c r="O12221" s="27"/>
      <c r="P12221" s="27"/>
    </row>
    <row r="12222">
      <c r="A12222" s="38"/>
      <c r="B12222" s="39"/>
      <c r="C12222" s="39"/>
      <c r="D12222" s="39"/>
      <c r="E12222" s="27"/>
      <c r="F12222" s="27"/>
      <c r="G12222" s="27"/>
      <c r="H12222" s="27"/>
      <c r="I12222" s="27"/>
      <c r="J12222" s="27"/>
      <c r="K12222" s="27"/>
      <c r="L12222" s="27"/>
      <c r="M12222" s="28"/>
      <c r="N12222" s="28"/>
      <c r="O12222" s="27"/>
      <c r="P12222" s="27"/>
    </row>
    <row r="12223">
      <c r="A12223" s="38"/>
      <c r="B12223" s="39"/>
      <c r="C12223" s="39"/>
      <c r="D12223" s="39"/>
      <c r="E12223" s="27"/>
      <c r="F12223" s="27"/>
      <c r="G12223" s="27"/>
      <c r="H12223" s="27"/>
      <c r="I12223" s="27"/>
      <c r="J12223" s="27"/>
      <c r="K12223" s="27"/>
      <c r="L12223" s="27"/>
      <c r="M12223" s="28"/>
      <c r="N12223" s="28"/>
      <c r="O12223" s="27"/>
      <c r="P12223" s="27"/>
    </row>
    <row r="12224">
      <c r="A12224" s="38"/>
      <c r="B12224" s="39"/>
      <c r="C12224" s="39"/>
      <c r="D12224" s="39"/>
      <c r="E12224" s="27"/>
      <c r="F12224" s="27"/>
      <c r="G12224" s="27"/>
      <c r="H12224" s="27"/>
      <c r="I12224" s="27"/>
      <c r="J12224" s="27"/>
      <c r="K12224" s="27"/>
      <c r="L12224" s="27"/>
      <c r="M12224" s="28"/>
      <c r="N12224" s="28"/>
      <c r="O12224" s="27"/>
      <c r="P12224" s="27"/>
    </row>
    <row r="12225">
      <c r="A12225" s="38"/>
      <c r="B12225" s="39"/>
      <c r="C12225" s="39"/>
      <c r="D12225" s="39"/>
      <c r="E12225" s="27"/>
      <c r="F12225" s="27"/>
      <c r="G12225" s="27"/>
      <c r="H12225" s="27"/>
      <c r="I12225" s="27"/>
      <c r="J12225" s="27"/>
      <c r="K12225" s="27"/>
      <c r="L12225" s="27"/>
      <c r="M12225" s="28"/>
      <c r="N12225" s="28"/>
      <c r="O12225" s="27"/>
      <c r="P12225" s="27"/>
    </row>
    <row r="12226">
      <c r="A12226" s="38"/>
      <c r="B12226" s="39"/>
      <c r="C12226" s="39"/>
      <c r="D12226" s="39"/>
      <c r="E12226" s="27"/>
      <c r="F12226" s="27"/>
      <c r="G12226" s="27"/>
      <c r="H12226" s="27"/>
      <c r="I12226" s="27"/>
      <c r="J12226" s="27"/>
      <c r="K12226" s="27"/>
      <c r="L12226" s="27"/>
      <c r="M12226" s="28"/>
      <c r="N12226" s="28"/>
      <c r="O12226" s="27"/>
      <c r="P12226" s="27"/>
    </row>
    <row r="12227">
      <c r="A12227" s="38"/>
      <c r="B12227" s="39"/>
      <c r="C12227" s="39"/>
      <c r="D12227" s="39"/>
      <c r="E12227" s="27"/>
      <c r="F12227" s="27"/>
      <c r="G12227" s="27"/>
      <c r="H12227" s="27"/>
      <c r="I12227" s="27"/>
      <c r="J12227" s="27"/>
      <c r="K12227" s="27"/>
      <c r="L12227" s="27"/>
      <c r="M12227" s="28"/>
      <c r="N12227" s="28"/>
      <c r="O12227" s="27"/>
      <c r="P12227" s="27"/>
    </row>
    <row r="12228">
      <c r="A12228" s="38"/>
      <c r="B12228" s="39"/>
      <c r="C12228" s="39"/>
      <c r="D12228" s="39"/>
      <c r="E12228" s="27"/>
      <c r="F12228" s="27"/>
      <c r="G12228" s="27"/>
      <c r="H12228" s="27"/>
      <c r="I12228" s="27"/>
      <c r="J12228" s="27"/>
      <c r="K12228" s="27"/>
      <c r="L12228" s="27"/>
      <c r="M12228" s="28"/>
      <c r="N12228" s="28"/>
      <c r="O12228" s="27"/>
      <c r="P12228" s="27"/>
    </row>
    <row r="12229">
      <c r="A12229" s="38"/>
      <c r="B12229" s="39"/>
      <c r="C12229" s="39"/>
      <c r="D12229" s="39"/>
      <c r="E12229" s="27"/>
      <c r="F12229" s="27"/>
      <c r="G12229" s="27"/>
      <c r="H12229" s="27"/>
      <c r="I12229" s="27"/>
      <c r="J12229" s="27"/>
      <c r="K12229" s="27"/>
      <c r="L12229" s="27"/>
      <c r="M12229" s="28"/>
      <c r="N12229" s="28"/>
      <c r="O12229" s="27"/>
      <c r="P12229" s="27"/>
    </row>
    <row r="12230">
      <c r="A12230" s="38"/>
      <c r="B12230" s="39"/>
      <c r="C12230" s="39"/>
      <c r="D12230" s="39"/>
      <c r="E12230" s="27"/>
      <c r="F12230" s="27"/>
      <c r="G12230" s="27"/>
      <c r="H12230" s="27"/>
      <c r="I12230" s="27"/>
      <c r="J12230" s="27"/>
      <c r="K12230" s="27"/>
      <c r="L12230" s="27"/>
      <c r="M12230" s="28"/>
      <c r="N12230" s="28"/>
      <c r="O12230" s="27"/>
      <c r="P12230" s="27"/>
    </row>
    <row r="12231">
      <c r="A12231" s="38"/>
      <c r="B12231" s="39"/>
      <c r="C12231" s="39"/>
      <c r="D12231" s="39"/>
      <c r="E12231" s="27"/>
      <c r="F12231" s="27"/>
      <c r="G12231" s="27"/>
      <c r="H12231" s="27"/>
      <c r="I12231" s="27"/>
      <c r="J12231" s="27"/>
      <c r="K12231" s="27"/>
      <c r="L12231" s="27"/>
      <c r="M12231" s="28"/>
      <c r="N12231" s="28"/>
      <c r="O12231" s="27"/>
      <c r="P12231" s="27"/>
    </row>
    <row r="12232">
      <c r="A12232" s="38"/>
      <c r="B12232" s="39"/>
      <c r="C12232" s="39"/>
      <c r="D12232" s="39"/>
      <c r="E12232" s="27"/>
      <c r="F12232" s="27"/>
      <c r="G12232" s="27"/>
      <c r="H12232" s="27"/>
      <c r="I12232" s="27"/>
      <c r="J12232" s="27"/>
      <c r="K12232" s="27"/>
      <c r="L12232" s="27"/>
      <c r="M12232" s="28"/>
      <c r="N12232" s="28"/>
      <c r="O12232" s="27"/>
      <c r="P12232" s="27"/>
    </row>
    <row r="12233">
      <c r="A12233" s="38"/>
      <c r="B12233" s="39"/>
      <c r="C12233" s="39"/>
      <c r="D12233" s="39"/>
      <c r="E12233" s="27"/>
      <c r="F12233" s="27"/>
      <c r="G12233" s="27"/>
      <c r="H12233" s="27"/>
      <c r="I12233" s="27"/>
      <c r="J12233" s="27"/>
      <c r="K12233" s="27"/>
      <c r="L12233" s="27"/>
      <c r="M12233" s="28"/>
      <c r="N12233" s="28"/>
      <c r="O12233" s="27"/>
      <c r="P12233" s="27"/>
    </row>
    <row r="12234">
      <c r="A12234" s="38"/>
      <c r="B12234" s="39"/>
      <c r="C12234" s="39"/>
      <c r="D12234" s="39"/>
      <c r="E12234" s="27"/>
      <c r="F12234" s="27"/>
      <c r="G12234" s="27"/>
      <c r="H12234" s="27"/>
      <c r="I12234" s="27"/>
      <c r="J12234" s="27"/>
      <c r="K12234" s="27"/>
      <c r="L12234" s="27"/>
      <c r="M12234" s="28"/>
      <c r="N12234" s="28"/>
      <c r="O12234" s="27"/>
      <c r="P12234" s="27"/>
    </row>
    <row r="12235">
      <c r="A12235" s="38"/>
      <c r="B12235" s="39"/>
      <c r="C12235" s="39"/>
      <c r="D12235" s="39"/>
      <c r="E12235" s="27"/>
      <c r="F12235" s="27"/>
      <c r="G12235" s="27"/>
      <c r="H12235" s="27"/>
      <c r="I12235" s="27"/>
      <c r="J12235" s="27"/>
      <c r="K12235" s="27"/>
      <c r="L12235" s="27"/>
      <c r="M12235" s="28"/>
      <c r="N12235" s="28"/>
      <c r="O12235" s="27"/>
      <c r="P12235" s="27"/>
    </row>
    <row r="12236">
      <c r="A12236" s="38"/>
      <c r="B12236" s="39"/>
      <c r="C12236" s="39"/>
      <c r="D12236" s="39"/>
      <c r="E12236" s="27"/>
      <c r="F12236" s="27"/>
      <c r="G12236" s="27"/>
      <c r="H12236" s="27"/>
      <c r="I12236" s="27"/>
      <c r="J12236" s="27"/>
      <c r="K12236" s="27"/>
      <c r="L12236" s="27"/>
      <c r="M12236" s="28"/>
      <c r="N12236" s="28"/>
      <c r="O12236" s="27"/>
      <c r="P12236" s="27"/>
    </row>
    <row r="12237">
      <c r="A12237" s="38"/>
      <c r="B12237" s="39"/>
      <c r="C12237" s="39"/>
      <c r="D12237" s="39"/>
      <c r="E12237" s="27"/>
      <c r="F12237" s="27"/>
      <c r="G12237" s="27"/>
      <c r="H12237" s="27"/>
      <c r="I12237" s="27"/>
      <c r="J12237" s="27"/>
      <c r="K12237" s="27"/>
      <c r="L12237" s="27"/>
      <c r="M12237" s="28"/>
      <c r="N12237" s="28"/>
      <c r="O12237" s="27"/>
      <c r="P12237" s="27"/>
    </row>
    <row r="12238">
      <c r="A12238" s="38"/>
      <c r="B12238" s="39"/>
      <c r="C12238" s="39"/>
      <c r="D12238" s="39"/>
      <c r="E12238" s="27"/>
      <c r="F12238" s="27"/>
      <c r="G12238" s="27"/>
      <c r="H12238" s="27"/>
      <c r="I12238" s="27"/>
      <c r="J12238" s="27"/>
      <c r="K12238" s="27"/>
      <c r="L12238" s="27"/>
      <c r="M12238" s="28"/>
      <c r="N12238" s="28"/>
      <c r="O12238" s="27"/>
      <c r="P12238" s="27"/>
    </row>
    <row r="12239">
      <c r="A12239" s="38"/>
      <c r="B12239" s="39"/>
      <c r="C12239" s="39"/>
      <c r="D12239" s="39"/>
      <c r="E12239" s="27"/>
      <c r="F12239" s="27"/>
      <c r="G12239" s="27"/>
      <c r="H12239" s="27"/>
      <c r="I12239" s="27"/>
      <c r="J12239" s="27"/>
      <c r="K12239" s="27"/>
      <c r="L12239" s="27"/>
      <c r="M12239" s="28"/>
      <c r="N12239" s="28"/>
      <c r="O12239" s="27"/>
      <c r="P12239" s="27"/>
    </row>
    <row r="12240">
      <c r="A12240" s="38"/>
      <c r="B12240" s="39"/>
      <c r="C12240" s="39"/>
      <c r="D12240" s="39"/>
      <c r="E12240" s="27"/>
      <c r="F12240" s="27"/>
      <c r="G12240" s="27"/>
      <c r="H12240" s="27"/>
      <c r="I12240" s="27"/>
      <c r="J12240" s="27"/>
      <c r="K12240" s="27"/>
      <c r="L12240" s="27"/>
      <c r="M12240" s="28"/>
      <c r="N12240" s="28"/>
      <c r="O12240" s="27"/>
      <c r="P12240" s="27"/>
    </row>
    <row r="12241">
      <c r="A12241" s="38"/>
      <c r="B12241" s="39"/>
      <c r="C12241" s="39"/>
      <c r="D12241" s="39"/>
      <c r="E12241" s="27"/>
      <c r="F12241" s="27"/>
      <c r="G12241" s="27"/>
      <c r="H12241" s="27"/>
      <c r="I12241" s="27"/>
      <c r="J12241" s="27"/>
      <c r="K12241" s="27"/>
      <c r="L12241" s="27"/>
      <c r="M12241" s="28"/>
      <c r="N12241" s="28"/>
      <c r="O12241" s="27"/>
      <c r="P12241" s="27"/>
    </row>
    <row r="12242">
      <c r="A12242" s="38"/>
      <c r="B12242" s="39"/>
      <c r="C12242" s="39"/>
      <c r="D12242" s="39"/>
      <c r="E12242" s="27"/>
      <c r="F12242" s="27"/>
      <c r="G12242" s="27"/>
      <c r="H12242" s="27"/>
      <c r="I12242" s="27"/>
      <c r="J12242" s="27"/>
      <c r="K12242" s="27"/>
      <c r="L12242" s="27"/>
      <c r="M12242" s="28"/>
      <c r="N12242" s="28"/>
      <c r="O12242" s="27"/>
      <c r="P12242" s="27"/>
    </row>
    <row r="12243">
      <c r="A12243" s="38"/>
      <c r="B12243" s="39"/>
      <c r="C12243" s="39"/>
      <c r="D12243" s="39"/>
      <c r="E12243" s="27"/>
      <c r="F12243" s="27"/>
      <c r="G12243" s="27"/>
      <c r="H12243" s="27"/>
      <c r="I12243" s="27"/>
      <c r="J12243" s="27"/>
      <c r="K12243" s="27"/>
      <c r="L12243" s="27"/>
      <c r="M12243" s="28"/>
      <c r="N12243" s="28"/>
      <c r="O12243" s="27"/>
      <c r="P12243" s="27"/>
    </row>
    <row r="12244">
      <c r="A12244" s="38"/>
      <c r="B12244" s="39"/>
      <c r="C12244" s="39"/>
      <c r="D12244" s="39"/>
      <c r="E12244" s="27"/>
      <c r="F12244" s="27"/>
      <c r="G12244" s="27"/>
      <c r="H12244" s="27"/>
      <c r="I12244" s="27"/>
      <c r="J12244" s="27"/>
      <c r="K12244" s="27"/>
      <c r="L12244" s="27"/>
      <c r="M12244" s="28"/>
      <c r="N12244" s="28"/>
      <c r="O12244" s="27"/>
      <c r="P12244" s="27"/>
    </row>
    <row r="12245">
      <c r="A12245" s="38"/>
      <c r="B12245" s="39"/>
      <c r="C12245" s="39"/>
      <c r="D12245" s="39"/>
      <c r="E12245" s="27"/>
      <c r="F12245" s="27"/>
      <c r="G12245" s="27"/>
      <c r="H12245" s="27"/>
      <c r="I12245" s="27"/>
      <c r="J12245" s="27"/>
      <c r="K12245" s="27"/>
      <c r="L12245" s="27"/>
      <c r="M12245" s="28"/>
      <c r="N12245" s="28"/>
      <c r="O12245" s="27"/>
      <c r="P12245" s="27"/>
    </row>
    <row r="12246">
      <c r="A12246" s="38"/>
      <c r="B12246" s="39"/>
      <c r="C12246" s="39"/>
      <c r="D12246" s="39"/>
      <c r="E12246" s="27"/>
      <c r="F12246" s="27"/>
      <c r="G12246" s="27"/>
      <c r="H12246" s="27"/>
      <c r="I12246" s="27"/>
      <c r="J12246" s="27"/>
      <c r="K12246" s="27"/>
      <c r="L12246" s="27"/>
      <c r="M12246" s="28"/>
      <c r="N12246" s="28"/>
      <c r="O12246" s="27"/>
      <c r="P12246" s="27"/>
    </row>
    <row r="12247">
      <c r="A12247" s="38"/>
      <c r="B12247" s="39"/>
      <c r="C12247" s="39"/>
      <c r="D12247" s="39"/>
      <c r="E12247" s="27"/>
      <c r="F12247" s="27"/>
      <c r="G12247" s="27"/>
      <c r="H12247" s="27"/>
      <c r="I12247" s="27"/>
      <c r="J12247" s="27"/>
      <c r="K12247" s="27"/>
      <c r="L12247" s="27"/>
      <c r="M12247" s="28"/>
      <c r="N12247" s="28"/>
      <c r="O12247" s="27"/>
      <c r="P12247" s="27"/>
    </row>
    <row r="12248">
      <c r="A12248" s="38"/>
      <c r="B12248" s="39"/>
      <c r="C12248" s="39"/>
      <c r="D12248" s="39"/>
      <c r="E12248" s="27"/>
      <c r="F12248" s="27"/>
      <c r="G12248" s="27"/>
      <c r="H12248" s="27"/>
      <c r="I12248" s="27"/>
      <c r="J12248" s="27"/>
      <c r="K12248" s="27"/>
      <c r="L12248" s="27"/>
      <c r="M12248" s="28"/>
      <c r="N12248" s="28"/>
      <c r="O12248" s="27"/>
      <c r="P12248" s="27"/>
    </row>
    <row r="12249">
      <c r="A12249" s="38"/>
      <c r="B12249" s="39"/>
      <c r="C12249" s="39"/>
      <c r="D12249" s="39"/>
      <c r="E12249" s="27"/>
      <c r="F12249" s="27"/>
      <c r="G12249" s="27"/>
      <c r="H12249" s="27"/>
      <c r="I12249" s="27"/>
      <c r="J12249" s="27"/>
      <c r="K12249" s="27"/>
      <c r="L12249" s="27"/>
      <c r="M12249" s="28"/>
      <c r="N12249" s="28"/>
      <c r="O12249" s="27"/>
      <c r="P12249" s="27"/>
    </row>
    <row r="12250">
      <c r="A12250" s="38"/>
      <c r="B12250" s="39"/>
      <c r="C12250" s="39"/>
      <c r="D12250" s="39"/>
      <c r="E12250" s="27"/>
      <c r="F12250" s="27"/>
      <c r="G12250" s="27"/>
      <c r="H12250" s="27"/>
      <c r="I12250" s="27"/>
      <c r="J12250" s="27"/>
      <c r="K12250" s="27"/>
      <c r="L12250" s="27"/>
      <c r="M12250" s="28"/>
      <c r="N12250" s="28"/>
      <c r="O12250" s="27"/>
      <c r="P12250" s="27"/>
    </row>
    <row r="12251">
      <c r="A12251" s="38"/>
      <c r="B12251" s="39"/>
      <c r="C12251" s="39"/>
      <c r="D12251" s="39"/>
      <c r="E12251" s="27"/>
      <c r="F12251" s="27"/>
      <c r="G12251" s="27"/>
      <c r="H12251" s="27"/>
      <c r="I12251" s="27"/>
      <c r="J12251" s="27"/>
      <c r="K12251" s="27"/>
      <c r="L12251" s="27"/>
      <c r="M12251" s="28"/>
      <c r="N12251" s="28"/>
      <c r="O12251" s="27"/>
      <c r="P12251" s="27"/>
    </row>
    <row r="12252">
      <c r="A12252" s="38"/>
      <c r="B12252" s="39"/>
      <c r="C12252" s="39"/>
      <c r="D12252" s="39"/>
      <c r="E12252" s="27"/>
      <c r="F12252" s="27"/>
      <c r="G12252" s="27"/>
      <c r="H12252" s="27"/>
      <c r="I12252" s="27"/>
      <c r="J12252" s="27"/>
      <c r="K12252" s="27"/>
      <c r="L12252" s="27"/>
      <c r="M12252" s="28"/>
      <c r="N12252" s="28"/>
      <c r="O12252" s="27"/>
      <c r="P12252" s="27"/>
    </row>
    <row r="12253">
      <c r="A12253" s="38"/>
      <c r="B12253" s="39"/>
      <c r="C12253" s="39"/>
      <c r="D12253" s="39"/>
      <c r="E12253" s="27"/>
      <c r="F12253" s="27"/>
      <c r="G12253" s="27"/>
      <c r="H12253" s="27"/>
      <c r="I12253" s="27"/>
      <c r="J12253" s="27"/>
      <c r="K12253" s="27"/>
      <c r="L12253" s="27"/>
      <c r="M12253" s="28"/>
      <c r="N12253" s="28"/>
      <c r="O12253" s="27"/>
      <c r="P12253" s="27"/>
    </row>
    <row r="12254">
      <c r="A12254" s="38"/>
      <c r="B12254" s="39"/>
      <c r="C12254" s="39"/>
      <c r="D12254" s="39"/>
      <c r="E12254" s="27"/>
      <c r="F12254" s="27"/>
      <c r="G12254" s="27"/>
      <c r="H12254" s="27"/>
      <c r="I12254" s="27"/>
      <c r="J12254" s="27"/>
      <c r="K12254" s="27"/>
      <c r="L12254" s="27"/>
      <c r="M12254" s="28"/>
      <c r="N12254" s="28"/>
      <c r="O12254" s="27"/>
      <c r="P12254" s="27"/>
    </row>
    <row r="12255">
      <c r="A12255" s="38"/>
      <c r="B12255" s="39"/>
      <c r="C12255" s="39"/>
      <c r="D12255" s="39"/>
      <c r="E12255" s="27"/>
      <c r="F12255" s="27"/>
      <c r="G12255" s="27"/>
      <c r="H12255" s="27"/>
      <c r="I12255" s="27"/>
      <c r="J12255" s="27"/>
      <c r="K12255" s="27"/>
      <c r="L12255" s="27"/>
      <c r="M12255" s="28"/>
      <c r="N12255" s="28"/>
      <c r="O12255" s="27"/>
      <c r="P12255" s="27"/>
    </row>
    <row r="12256">
      <c r="A12256" s="38"/>
      <c r="B12256" s="39"/>
      <c r="C12256" s="39"/>
      <c r="D12256" s="39"/>
      <c r="E12256" s="27"/>
      <c r="F12256" s="27"/>
      <c r="G12256" s="27"/>
      <c r="H12256" s="27"/>
      <c r="I12256" s="27"/>
      <c r="J12256" s="27"/>
      <c r="K12256" s="27"/>
      <c r="L12256" s="27"/>
      <c r="M12256" s="28"/>
      <c r="N12256" s="28"/>
      <c r="O12256" s="27"/>
      <c r="P12256" s="27"/>
    </row>
    <row r="12257">
      <c r="A12257" s="38"/>
      <c r="B12257" s="39"/>
      <c r="C12257" s="39"/>
      <c r="D12257" s="39"/>
      <c r="E12257" s="27"/>
      <c r="F12257" s="27"/>
      <c r="G12257" s="27"/>
      <c r="H12257" s="27"/>
      <c r="I12257" s="27"/>
      <c r="J12257" s="27"/>
      <c r="K12257" s="27"/>
      <c r="L12257" s="27"/>
      <c r="M12257" s="28"/>
      <c r="N12257" s="28"/>
      <c r="O12257" s="27"/>
      <c r="P12257" s="27"/>
    </row>
    <row r="12258">
      <c r="A12258" s="38"/>
      <c r="B12258" s="39"/>
      <c r="C12258" s="39"/>
      <c r="D12258" s="39"/>
      <c r="E12258" s="27"/>
      <c r="F12258" s="27"/>
      <c r="G12258" s="27"/>
      <c r="H12258" s="27"/>
      <c r="I12258" s="27"/>
      <c r="J12258" s="27"/>
      <c r="K12258" s="27"/>
      <c r="L12258" s="27"/>
      <c r="M12258" s="28"/>
      <c r="N12258" s="28"/>
      <c r="O12258" s="27"/>
      <c r="P12258" s="27"/>
    </row>
    <row r="12259">
      <c r="A12259" s="38"/>
      <c r="B12259" s="39"/>
      <c r="C12259" s="39"/>
      <c r="D12259" s="39"/>
      <c r="E12259" s="27"/>
      <c r="F12259" s="27"/>
      <c r="G12259" s="27"/>
      <c r="H12259" s="27"/>
      <c r="I12259" s="27"/>
      <c r="J12259" s="27"/>
      <c r="K12259" s="27"/>
      <c r="L12259" s="27"/>
      <c r="M12259" s="28"/>
      <c r="N12259" s="28"/>
      <c r="O12259" s="27"/>
      <c r="P12259" s="27"/>
    </row>
    <row r="12260">
      <c r="A12260" s="38"/>
      <c r="B12260" s="39"/>
      <c r="C12260" s="39"/>
      <c r="D12260" s="39"/>
      <c r="E12260" s="27"/>
      <c r="F12260" s="27"/>
      <c r="G12260" s="27"/>
      <c r="H12260" s="27"/>
      <c r="I12260" s="27"/>
      <c r="J12260" s="27"/>
      <c r="K12260" s="27"/>
      <c r="L12260" s="27"/>
      <c r="M12260" s="28"/>
      <c r="N12260" s="28"/>
      <c r="O12260" s="27"/>
      <c r="P12260" s="27"/>
    </row>
    <row r="12261">
      <c r="A12261" s="38"/>
      <c r="B12261" s="39"/>
      <c r="C12261" s="39"/>
      <c r="D12261" s="39"/>
      <c r="E12261" s="27"/>
      <c r="F12261" s="27"/>
      <c r="G12261" s="27"/>
      <c r="H12261" s="27"/>
      <c r="I12261" s="27"/>
      <c r="J12261" s="27"/>
      <c r="K12261" s="27"/>
      <c r="L12261" s="27"/>
      <c r="M12261" s="28"/>
      <c r="N12261" s="28"/>
      <c r="O12261" s="27"/>
      <c r="P12261" s="27"/>
    </row>
    <row r="12262">
      <c r="A12262" s="38"/>
      <c r="B12262" s="39"/>
      <c r="C12262" s="39"/>
      <c r="D12262" s="39"/>
      <c r="E12262" s="27"/>
      <c r="F12262" s="27"/>
      <c r="G12262" s="27"/>
      <c r="H12262" s="27"/>
      <c r="I12262" s="27"/>
      <c r="J12262" s="27"/>
      <c r="K12262" s="27"/>
      <c r="L12262" s="27"/>
      <c r="M12262" s="28"/>
      <c r="N12262" s="28"/>
      <c r="O12262" s="27"/>
      <c r="P12262" s="27"/>
    </row>
    <row r="12263">
      <c r="A12263" s="38"/>
      <c r="B12263" s="39"/>
      <c r="C12263" s="39"/>
      <c r="D12263" s="39"/>
      <c r="E12263" s="27"/>
      <c r="F12263" s="27"/>
      <c r="G12263" s="27"/>
      <c r="H12263" s="27"/>
      <c r="I12263" s="27"/>
      <c r="J12263" s="27"/>
      <c r="K12263" s="27"/>
      <c r="L12263" s="27"/>
      <c r="M12263" s="28"/>
      <c r="N12263" s="28"/>
      <c r="O12263" s="27"/>
      <c r="P12263" s="27"/>
    </row>
    <row r="12264">
      <c r="A12264" s="38"/>
      <c r="B12264" s="39"/>
      <c r="C12264" s="39"/>
      <c r="D12264" s="39"/>
      <c r="E12264" s="27"/>
      <c r="F12264" s="27"/>
      <c r="G12264" s="27"/>
      <c r="H12264" s="27"/>
      <c r="I12264" s="27"/>
      <c r="J12264" s="27"/>
      <c r="K12264" s="27"/>
      <c r="L12264" s="27"/>
      <c r="M12264" s="28"/>
      <c r="N12264" s="28"/>
      <c r="O12264" s="27"/>
      <c r="P12264" s="27"/>
    </row>
    <row r="12265">
      <c r="A12265" s="38"/>
      <c r="B12265" s="39"/>
      <c r="C12265" s="39"/>
      <c r="D12265" s="39"/>
      <c r="E12265" s="27"/>
      <c r="F12265" s="27"/>
      <c r="G12265" s="27"/>
      <c r="H12265" s="27"/>
      <c r="I12265" s="27"/>
      <c r="J12265" s="27"/>
      <c r="K12265" s="27"/>
      <c r="L12265" s="27"/>
      <c r="M12265" s="28"/>
      <c r="N12265" s="28"/>
      <c r="O12265" s="27"/>
      <c r="P12265" s="27"/>
    </row>
    <row r="12266">
      <c r="A12266" s="38"/>
      <c r="B12266" s="39"/>
      <c r="C12266" s="39"/>
      <c r="D12266" s="39"/>
      <c r="E12266" s="27"/>
      <c r="F12266" s="27"/>
      <c r="G12266" s="27"/>
      <c r="H12266" s="27"/>
      <c r="I12266" s="27"/>
      <c r="J12266" s="27"/>
      <c r="K12266" s="27"/>
      <c r="L12266" s="27"/>
      <c r="M12266" s="28"/>
      <c r="N12266" s="28"/>
      <c r="O12266" s="27"/>
      <c r="P12266" s="27"/>
    </row>
    <row r="12267">
      <c r="A12267" s="38"/>
      <c r="B12267" s="39"/>
      <c r="C12267" s="39"/>
      <c r="D12267" s="39"/>
      <c r="E12267" s="27"/>
      <c r="F12267" s="27"/>
      <c r="G12267" s="27"/>
      <c r="H12267" s="27"/>
      <c r="I12267" s="27"/>
      <c r="J12267" s="27"/>
      <c r="K12267" s="27"/>
      <c r="L12267" s="27"/>
      <c r="M12267" s="28"/>
      <c r="N12267" s="28"/>
      <c r="O12267" s="27"/>
      <c r="P12267" s="27"/>
    </row>
    <row r="12268">
      <c r="A12268" s="38"/>
      <c r="B12268" s="39"/>
      <c r="C12268" s="39"/>
      <c r="D12268" s="39"/>
      <c r="E12268" s="27"/>
      <c r="F12268" s="27"/>
      <c r="G12268" s="27"/>
      <c r="H12268" s="27"/>
      <c r="I12268" s="27"/>
      <c r="J12268" s="27"/>
      <c r="K12268" s="27"/>
      <c r="L12268" s="27"/>
      <c r="M12268" s="28"/>
      <c r="N12268" s="28"/>
      <c r="O12268" s="27"/>
      <c r="P12268" s="27"/>
    </row>
    <row r="12269">
      <c r="A12269" s="38"/>
      <c r="B12269" s="39"/>
      <c r="C12269" s="39"/>
      <c r="D12269" s="39"/>
      <c r="E12269" s="27"/>
      <c r="F12269" s="27"/>
      <c r="G12269" s="27"/>
      <c r="H12269" s="27"/>
      <c r="I12269" s="27"/>
      <c r="J12269" s="27"/>
      <c r="K12269" s="27"/>
      <c r="L12269" s="27"/>
      <c r="M12269" s="28"/>
      <c r="N12269" s="28"/>
      <c r="O12269" s="27"/>
      <c r="P12269" s="27"/>
    </row>
    <row r="12270">
      <c r="A12270" s="38"/>
      <c r="B12270" s="39"/>
      <c r="C12270" s="39"/>
      <c r="D12270" s="39"/>
      <c r="E12270" s="27"/>
      <c r="F12270" s="27"/>
      <c r="G12270" s="27"/>
      <c r="H12270" s="27"/>
      <c r="I12270" s="27"/>
      <c r="J12270" s="27"/>
      <c r="K12270" s="27"/>
      <c r="L12270" s="27"/>
      <c r="M12270" s="28"/>
      <c r="N12270" s="28"/>
      <c r="O12270" s="27"/>
      <c r="P12270" s="27"/>
    </row>
    <row r="12271">
      <c r="A12271" s="38"/>
      <c r="B12271" s="39"/>
      <c r="C12271" s="39"/>
      <c r="D12271" s="39"/>
      <c r="E12271" s="27"/>
      <c r="F12271" s="27"/>
      <c r="G12271" s="27"/>
      <c r="H12271" s="27"/>
      <c r="I12271" s="27"/>
      <c r="J12271" s="27"/>
      <c r="K12271" s="27"/>
      <c r="L12271" s="27"/>
      <c r="M12271" s="28"/>
      <c r="N12271" s="28"/>
      <c r="O12271" s="27"/>
      <c r="P12271" s="27"/>
    </row>
    <row r="12272">
      <c r="A12272" s="38"/>
      <c r="B12272" s="39"/>
      <c r="C12272" s="39"/>
      <c r="D12272" s="39"/>
      <c r="E12272" s="27"/>
      <c r="F12272" s="27"/>
      <c r="G12272" s="27"/>
      <c r="H12272" s="27"/>
      <c r="I12272" s="27"/>
      <c r="J12272" s="27"/>
      <c r="K12272" s="27"/>
      <c r="L12272" s="27"/>
      <c r="M12272" s="28"/>
      <c r="N12272" s="28"/>
      <c r="O12272" s="27"/>
      <c r="P12272" s="27"/>
    </row>
    <row r="12273">
      <c r="A12273" s="38"/>
      <c r="B12273" s="39"/>
      <c r="C12273" s="39"/>
      <c r="D12273" s="39"/>
      <c r="E12273" s="27"/>
      <c r="F12273" s="27"/>
      <c r="G12273" s="27"/>
      <c r="H12273" s="27"/>
      <c r="I12273" s="27"/>
      <c r="J12273" s="27"/>
      <c r="K12273" s="27"/>
      <c r="L12273" s="27"/>
      <c r="M12273" s="28"/>
      <c r="N12273" s="28"/>
      <c r="O12273" s="27"/>
      <c r="P12273" s="27"/>
    </row>
    <row r="12274">
      <c r="A12274" s="38"/>
      <c r="B12274" s="39"/>
      <c r="C12274" s="39"/>
      <c r="D12274" s="39"/>
      <c r="E12274" s="27"/>
      <c r="F12274" s="27"/>
      <c r="G12274" s="27"/>
      <c r="H12274" s="27"/>
      <c r="I12274" s="27"/>
      <c r="J12274" s="27"/>
      <c r="K12274" s="27"/>
      <c r="L12274" s="27"/>
      <c r="M12274" s="28"/>
      <c r="N12274" s="28"/>
      <c r="O12274" s="27"/>
      <c r="P12274" s="27"/>
    </row>
    <row r="12275">
      <c r="A12275" s="38"/>
      <c r="B12275" s="39"/>
      <c r="C12275" s="39"/>
      <c r="D12275" s="39"/>
      <c r="E12275" s="27"/>
      <c r="F12275" s="27"/>
      <c r="G12275" s="27"/>
      <c r="H12275" s="27"/>
      <c r="I12275" s="27"/>
      <c r="J12275" s="27"/>
      <c r="K12275" s="27"/>
      <c r="L12275" s="27"/>
      <c r="M12275" s="28"/>
      <c r="N12275" s="28"/>
      <c r="O12275" s="27"/>
      <c r="P12275" s="27"/>
    </row>
    <row r="12276">
      <c r="A12276" s="38"/>
      <c r="B12276" s="39"/>
      <c r="C12276" s="39"/>
      <c r="D12276" s="39"/>
      <c r="E12276" s="27"/>
      <c r="F12276" s="27"/>
      <c r="G12276" s="27"/>
      <c r="H12276" s="27"/>
      <c r="I12276" s="27"/>
      <c r="J12276" s="27"/>
      <c r="K12276" s="27"/>
      <c r="L12276" s="27"/>
      <c r="M12276" s="28"/>
      <c r="N12276" s="28"/>
      <c r="O12276" s="27"/>
      <c r="P12276" s="27"/>
    </row>
    <row r="12277">
      <c r="A12277" s="38"/>
      <c r="B12277" s="39"/>
      <c r="C12277" s="39"/>
      <c r="D12277" s="39"/>
      <c r="E12277" s="27"/>
      <c r="F12277" s="27"/>
      <c r="G12277" s="27"/>
      <c r="H12277" s="27"/>
      <c r="I12277" s="27"/>
      <c r="J12277" s="27"/>
      <c r="K12277" s="27"/>
      <c r="L12277" s="27"/>
      <c r="M12277" s="28"/>
      <c r="N12277" s="28"/>
      <c r="O12277" s="27"/>
      <c r="P12277" s="27"/>
    </row>
    <row r="12278">
      <c r="A12278" s="38"/>
      <c r="B12278" s="39"/>
      <c r="C12278" s="39"/>
      <c r="D12278" s="39"/>
      <c r="E12278" s="27"/>
      <c r="F12278" s="27"/>
      <c r="G12278" s="27"/>
      <c r="H12278" s="27"/>
      <c r="I12278" s="27"/>
      <c r="J12278" s="27"/>
      <c r="K12278" s="27"/>
      <c r="L12278" s="27"/>
      <c r="M12278" s="28"/>
      <c r="N12278" s="28"/>
      <c r="O12278" s="27"/>
      <c r="P12278" s="27"/>
    </row>
    <row r="12279">
      <c r="A12279" s="38"/>
      <c r="B12279" s="39"/>
      <c r="C12279" s="39"/>
      <c r="D12279" s="39"/>
      <c r="E12279" s="27"/>
      <c r="F12279" s="27"/>
      <c r="G12279" s="27"/>
      <c r="H12279" s="27"/>
      <c r="I12279" s="27"/>
      <c r="J12279" s="27"/>
      <c r="K12279" s="27"/>
      <c r="L12279" s="27"/>
      <c r="M12279" s="28"/>
      <c r="N12279" s="28"/>
      <c r="O12279" s="27"/>
      <c r="P12279" s="27"/>
    </row>
    <row r="12280">
      <c r="A12280" s="38"/>
      <c r="B12280" s="39"/>
      <c r="C12280" s="39"/>
      <c r="D12280" s="39"/>
      <c r="E12280" s="27"/>
      <c r="F12280" s="27"/>
      <c r="G12280" s="27"/>
      <c r="H12280" s="27"/>
      <c r="I12280" s="27"/>
      <c r="J12280" s="27"/>
      <c r="K12280" s="27"/>
      <c r="L12280" s="27"/>
      <c r="M12280" s="28"/>
      <c r="N12280" s="28"/>
      <c r="O12280" s="27"/>
      <c r="P12280" s="27"/>
    </row>
    <row r="12281">
      <c r="A12281" s="38"/>
      <c r="B12281" s="39"/>
      <c r="C12281" s="39"/>
      <c r="D12281" s="39"/>
      <c r="E12281" s="27"/>
      <c r="F12281" s="27"/>
      <c r="G12281" s="27"/>
      <c r="H12281" s="27"/>
      <c r="I12281" s="27"/>
      <c r="J12281" s="27"/>
      <c r="K12281" s="27"/>
      <c r="L12281" s="27"/>
      <c r="M12281" s="28"/>
      <c r="N12281" s="28"/>
      <c r="O12281" s="27"/>
      <c r="P12281" s="27"/>
    </row>
    <row r="12282">
      <c r="A12282" s="38"/>
      <c r="B12282" s="39"/>
      <c r="C12282" s="39"/>
      <c r="D12282" s="39"/>
      <c r="E12282" s="27"/>
      <c r="F12282" s="27"/>
      <c r="G12282" s="27"/>
      <c r="H12282" s="27"/>
      <c r="I12282" s="27"/>
      <c r="J12282" s="27"/>
      <c r="K12282" s="27"/>
      <c r="L12282" s="27"/>
      <c r="M12282" s="28"/>
      <c r="N12282" s="28"/>
      <c r="O12282" s="27"/>
      <c r="P12282" s="27"/>
    </row>
    <row r="12283">
      <c r="A12283" s="38"/>
      <c r="B12283" s="39"/>
      <c r="C12283" s="39"/>
      <c r="D12283" s="39"/>
      <c r="E12283" s="27"/>
      <c r="F12283" s="27"/>
      <c r="G12283" s="27"/>
      <c r="H12283" s="27"/>
      <c r="I12283" s="27"/>
      <c r="J12283" s="27"/>
      <c r="K12283" s="27"/>
      <c r="L12283" s="27"/>
      <c r="M12283" s="28"/>
      <c r="N12283" s="28"/>
      <c r="O12283" s="27"/>
      <c r="P12283" s="27"/>
    </row>
    <row r="12284">
      <c r="A12284" s="38"/>
      <c r="B12284" s="39"/>
      <c r="C12284" s="39"/>
      <c r="D12284" s="39"/>
      <c r="E12284" s="27"/>
      <c r="F12284" s="27"/>
      <c r="G12284" s="27"/>
      <c r="H12284" s="27"/>
      <c r="I12284" s="27"/>
      <c r="J12284" s="27"/>
      <c r="K12284" s="27"/>
      <c r="L12284" s="27"/>
      <c r="M12284" s="28"/>
      <c r="N12284" s="28"/>
      <c r="O12284" s="27"/>
      <c r="P12284" s="27"/>
    </row>
    <row r="12285">
      <c r="A12285" s="38"/>
      <c r="B12285" s="39"/>
      <c r="C12285" s="39"/>
      <c r="D12285" s="39"/>
      <c r="E12285" s="27"/>
      <c r="F12285" s="27"/>
      <c r="G12285" s="27"/>
      <c r="H12285" s="27"/>
      <c r="I12285" s="27"/>
      <c r="J12285" s="27"/>
      <c r="K12285" s="27"/>
      <c r="L12285" s="27"/>
      <c r="M12285" s="28"/>
      <c r="N12285" s="28"/>
      <c r="O12285" s="27"/>
      <c r="P12285" s="27"/>
    </row>
    <row r="12286">
      <c r="A12286" s="38"/>
      <c r="B12286" s="39"/>
      <c r="C12286" s="39"/>
      <c r="D12286" s="39"/>
      <c r="E12286" s="27"/>
      <c r="F12286" s="27"/>
      <c r="G12286" s="27"/>
      <c r="H12286" s="27"/>
      <c r="I12286" s="27"/>
      <c r="J12286" s="27"/>
      <c r="K12286" s="27"/>
      <c r="L12286" s="27"/>
      <c r="M12286" s="28"/>
      <c r="N12286" s="28"/>
      <c r="O12286" s="27"/>
      <c r="P12286" s="27"/>
    </row>
    <row r="12287">
      <c r="A12287" s="38"/>
      <c r="B12287" s="39"/>
      <c r="C12287" s="39"/>
      <c r="D12287" s="39"/>
      <c r="E12287" s="27"/>
      <c r="F12287" s="27"/>
      <c r="G12287" s="27"/>
      <c r="H12287" s="27"/>
      <c r="I12287" s="27"/>
      <c r="J12287" s="27"/>
      <c r="K12287" s="27"/>
      <c r="L12287" s="27"/>
      <c r="M12287" s="28"/>
      <c r="N12287" s="28"/>
      <c r="O12287" s="27"/>
      <c r="P12287" s="27"/>
    </row>
    <row r="12288">
      <c r="A12288" s="38"/>
      <c r="B12288" s="39"/>
      <c r="C12288" s="39"/>
      <c r="D12288" s="39"/>
      <c r="E12288" s="27"/>
      <c r="F12288" s="27"/>
      <c r="G12288" s="27"/>
      <c r="H12288" s="27"/>
      <c r="I12288" s="27"/>
      <c r="J12288" s="27"/>
      <c r="K12288" s="27"/>
      <c r="L12288" s="27"/>
      <c r="M12288" s="28"/>
      <c r="N12288" s="28"/>
      <c r="O12288" s="27"/>
      <c r="P12288" s="27"/>
    </row>
    <row r="12289">
      <c r="A12289" s="38"/>
      <c r="B12289" s="39"/>
      <c r="C12289" s="39"/>
      <c r="D12289" s="39"/>
      <c r="E12289" s="27"/>
      <c r="F12289" s="27"/>
      <c r="G12289" s="27"/>
      <c r="H12289" s="27"/>
      <c r="I12289" s="27"/>
      <c r="J12289" s="27"/>
      <c r="K12289" s="27"/>
      <c r="L12289" s="27"/>
      <c r="M12289" s="28"/>
      <c r="N12289" s="28"/>
      <c r="O12289" s="27"/>
      <c r="P12289" s="27"/>
    </row>
    <row r="12290">
      <c r="A12290" s="38"/>
      <c r="B12290" s="39"/>
      <c r="C12290" s="39"/>
      <c r="D12290" s="39"/>
      <c r="E12290" s="27"/>
      <c r="F12290" s="27"/>
      <c r="G12290" s="27"/>
      <c r="H12290" s="27"/>
      <c r="I12290" s="27"/>
      <c r="J12290" s="27"/>
      <c r="K12290" s="27"/>
      <c r="L12290" s="27"/>
      <c r="M12290" s="28"/>
      <c r="N12290" s="28"/>
      <c r="O12290" s="27"/>
      <c r="P12290" s="27"/>
    </row>
    <row r="12291">
      <c r="A12291" s="38"/>
      <c r="B12291" s="39"/>
      <c r="C12291" s="39"/>
      <c r="D12291" s="39"/>
      <c r="E12291" s="27"/>
      <c r="F12291" s="27"/>
      <c r="G12291" s="27"/>
      <c r="H12291" s="27"/>
      <c r="I12291" s="27"/>
      <c r="J12291" s="27"/>
      <c r="K12291" s="27"/>
      <c r="L12291" s="27"/>
      <c r="M12291" s="28"/>
      <c r="N12291" s="28"/>
      <c r="O12291" s="27"/>
      <c r="P12291" s="27"/>
    </row>
    <row r="12292">
      <c r="A12292" s="38"/>
      <c r="B12292" s="39"/>
      <c r="C12292" s="39"/>
      <c r="D12292" s="39"/>
      <c r="E12292" s="27"/>
      <c r="F12292" s="27"/>
      <c r="G12292" s="27"/>
      <c r="H12292" s="27"/>
      <c r="I12292" s="27"/>
      <c r="J12292" s="27"/>
      <c r="K12292" s="27"/>
      <c r="L12292" s="27"/>
      <c r="M12292" s="28"/>
      <c r="N12292" s="28"/>
      <c r="O12292" s="27"/>
      <c r="P12292" s="27"/>
    </row>
    <row r="12293">
      <c r="A12293" s="38"/>
      <c r="B12293" s="39"/>
      <c r="C12293" s="39"/>
      <c r="D12293" s="39"/>
      <c r="E12293" s="27"/>
      <c r="F12293" s="27"/>
      <c r="G12293" s="27"/>
      <c r="H12293" s="27"/>
      <c r="I12293" s="27"/>
      <c r="J12293" s="27"/>
      <c r="K12293" s="27"/>
      <c r="L12293" s="27"/>
      <c r="M12293" s="28"/>
      <c r="N12293" s="28"/>
      <c r="O12293" s="27"/>
      <c r="P12293" s="27"/>
    </row>
    <row r="12294">
      <c r="A12294" s="38"/>
      <c r="B12294" s="39"/>
      <c r="C12294" s="39"/>
      <c r="D12294" s="39"/>
      <c r="E12294" s="27"/>
      <c r="F12294" s="27"/>
      <c r="G12294" s="27"/>
      <c r="H12294" s="27"/>
      <c r="I12294" s="27"/>
      <c r="J12294" s="27"/>
      <c r="K12294" s="27"/>
      <c r="L12294" s="27"/>
      <c r="M12294" s="28"/>
      <c r="N12294" s="28"/>
      <c r="O12294" s="27"/>
      <c r="P12294" s="27"/>
    </row>
    <row r="12295">
      <c r="A12295" s="38"/>
      <c r="B12295" s="39"/>
      <c r="C12295" s="39"/>
      <c r="D12295" s="39"/>
      <c r="E12295" s="27"/>
      <c r="F12295" s="27"/>
      <c r="G12295" s="27"/>
      <c r="H12295" s="27"/>
      <c r="I12295" s="27"/>
      <c r="J12295" s="27"/>
      <c r="K12295" s="27"/>
      <c r="L12295" s="27"/>
      <c r="M12295" s="28"/>
      <c r="N12295" s="28"/>
      <c r="O12295" s="27"/>
      <c r="P12295" s="27"/>
    </row>
    <row r="12296">
      <c r="A12296" s="38"/>
      <c r="B12296" s="39"/>
      <c r="C12296" s="39"/>
      <c r="D12296" s="39"/>
      <c r="E12296" s="27"/>
      <c r="F12296" s="27"/>
      <c r="G12296" s="27"/>
      <c r="H12296" s="27"/>
      <c r="I12296" s="27"/>
      <c r="J12296" s="27"/>
      <c r="K12296" s="27"/>
      <c r="L12296" s="27"/>
      <c r="M12296" s="28"/>
      <c r="N12296" s="28"/>
      <c r="O12296" s="27"/>
      <c r="P12296" s="27"/>
    </row>
    <row r="12297">
      <c r="A12297" s="38"/>
      <c r="B12297" s="39"/>
      <c r="C12297" s="39"/>
      <c r="D12297" s="39"/>
      <c r="E12297" s="27"/>
      <c r="F12297" s="27"/>
      <c r="G12297" s="27"/>
      <c r="H12297" s="27"/>
      <c r="I12297" s="27"/>
      <c r="J12297" s="27"/>
      <c r="K12297" s="27"/>
      <c r="L12297" s="27"/>
      <c r="M12297" s="28"/>
      <c r="N12297" s="28"/>
      <c r="O12297" s="27"/>
      <c r="P12297" s="27"/>
    </row>
    <row r="12298">
      <c r="A12298" s="38"/>
      <c r="B12298" s="39"/>
      <c r="C12298" s="39"/>
      <c r="D12298" s="39"/>
      <c r="E12298" s="27"/>
      <c r="F12298" s="27"/>
      <c r="G12298" s="27"/>
      <c r="H12298" s="27"/>
      <c r="I12298" s="27"/>
      <c r="J12298" s="27"/>
      <c r="K12298" s="27"/>
      <c r="L12298" s="27"/>
      <c r="M12298" s="28"/>
      <c r="N12298" s="28"/>
      <c r="O12298" s="27"/>
      <c r="P12298" s="27"/>
    </row>
    <row r="12299">
      <c r="A12299" s="38"/>
      <c r="B12299" s="39"/>
      <c r="C12299" s="39"/>
      <c r="D12299" s="39"/>
      <c r="E12299" s="27"/>
      <c r="F12299" s="27"/>
      <c r="G12299" s="27"/>
      <c r="H12299" s="27"/>
      <c r="I12299" s="27"/>
      <c r="J12299" s="27"/>
      <c r="K12299" s="27"/>
      <c r="L12299" s="27"/>
      <c r="M12299" s="28"/>
      <c r="N12299" s="28"/>
      <c r="O12299" s="27"/>
      <c r="P12299" s="27"/>
    </row>
    <row r="12300">
      <c r="A12300" s="38"/>
      <c r="B12300" s="39"/>
      <c r="C12300" s="39"/>
      <c r="D12300" s="39"/>
      <c r="E12300" s="27"/>
      <c r="F12300" s="27"/>
      <c r="G12300" s="27"/>
      <c r="H12300" s="27"/>
      <c r="I12300" s="27"/>
      <c r="J12300" s="27"/>
      <c r="K12300" s="27"/>
      <c r="L12300" s="27"/>
      <c r="M12300" s="28"/>
      <c r="N12300" s="28"/>
      <c r="O12300" s="27"/>
      <c r="P12300" s="27"/>
    </row>
    <row r="12301">
      <c r="A12301" s="38"/>
      <c r="B12301" s="39"/>
      <c r="C12301" s="39"/>
      <c r="D12301" s="39"/>
      <c r="E12301" s="27"/>
      <c r="F12301" s="27"/>
      <c r="G12301" s="27"/>
      <c r="H12301" s="27"/>
      <c r="I12301" s="27"/>
      <c r="J12301" s="27"/>
      <c r="K12301" s="27"/>
      <c r="L12301" s="27"/>
      <c r="M12301" s="28"/>
      <c r="N12301" s="28"/>
      <c r="O12301" s="27"/>
      <c r="P12301" s="27"/>
    </row>
    <row r="12302">
      <c r="A12302" s="38"/>
      <c r="B12302" s="39"/>
      <c r="C12302" s="39"/>
      <c r="D12302" s="39"/>
      <c r="E12302" s="27"/>
      <c r="F12302" s="27"/>
      <c r="G12302" s="27"/>
      <c r="H12302" s="27"/>
      <c r="I12302" s="27"/>
      <c r="J12302" s="27"/>
      <c r="K12302" s="27"/>
      <c r="L12302" s="27"/>
      <c r="M12302" s="28"/>
      <c r="N12302" s="28"/>
      <c r="O12302" s="27"/>
      <c r="P12302" s="27"/>
    </row>
    <row r="12303">
      <c r="A12303" s="38"/>
      <c r="B12303" s="39"/>
      <c r="C12303" s="39"/>
      <c r="D12303" s="39"/>
      <c r="E12303" s="27"/>
      <c r="F12303" s="27"/>
      <c r="G12303" s="27"/>
      <c r="H12303" s="27"/>
      <c r="I12303" s="27"/>
      <c r="J12303" s="27"/>
      <c r="K12303" s="27"/>
      <c r="L12303" s="27"/>
      <c r="M12303" s="28"/>
      <c r="N12303" s="28"/>
      <c r="O12303" s="27"/>
      <c r="P12303" s="27"/>
    </row>
    <row r="12304">
      <c r="A12304" s="38"/>
      <c r="B12304" s="39"/>
      <c r="C12304" s="39"/>
      <c r="D12304" s="39"/>
      <c r="E12304" s="27"/>
      <c r="F12304" s="27"/>
      <c r="G12304" s="27"/>
      <c r="H12304" s="27"/>
      <c r="I12304" s="27"/>
      <c r="J12304" s="27"/>
      <c r="K12304" s="27"/>
      <c r="L12304" s="27"/>
      <c r="M12304" s="28"/>
      <c r="N12304" s="28"/>
      <c r="O12304" s="27"/>
      <c r="P12304" s="27"/>
    </row>
    <row r="12305">
      <c r="A12305" s="38"/>
      <c r="B12305" s="39"/>
      <c r="C12305" s="39"/>
      <c r="D12305" s="39"/>
      <c r="E12305" s="27"/>
      <c r="F12305" s="27"/>
      <c r="G12305" s="27"/>
      <c r="H12305" s="27"/>
      <c r="I12305" s="27"/>
      <c r="J12305" s="27"/>
      <c r="K12305" s="27"/>
      <c r="L12305" s="27"/>
      <c r="M12305" s="28"/>
      <c r="N12305" s="28"/>
      <c r="O12305" s="27"/>
      <c r="P12305" s="27"/>
    </row>
    <row r="12306">
      <c r="A12306" s="38"/>
      <c r="B12306" s="39"/>
      <c r="C12306" s="39"/>
      <c r="D12306" s="39"/>
      <c r="E12306" s="27"/>
      <c r="F12306" s="27"/>
      <c r="G12306" s="27"/>
      <c r="H12306" s="27"/>
      <c r="I12306" s="27"/>
      <c r="J12306" s="27"/>
      <c r="K12306" s="27"/>
      <c r="L12306" s="27"/>
      <c r="M12306" s="28"/>
      <c r="N12306" s="28"/>
      <c r="O12306" s="27"/>
      <c r="P12306" s="27"/>
    </row>
    <row r="12307">
      <c r="A12307" s="38"/>
      <c r="B12307" s="39"/>
      <c r="C12307" s="39"/>
      <c r="D12307" s="39"/>
      <c r="E12307" s="27"/>
      <c r="F12307" s="27"/>
      <c r="G12307" s="27"/>
      <c r="H12307" s="27"/>
      <c r="I12307" s="27"/>
      <c r="J12307" s="27"/>
      <c r="K12307" s="27"/>
      <c r="L12307" s="27"/>
      <c r="M12307" s="28"/>
      <c r="N12307" s="28"/>
      <c r="O12307" s="27"/>
      <c r="P12307" s="27"/>
    </row>
    <row r="12308">
      <c r="A12308" s="38"/>
      <c r="B12308" s="39"/>
      <c r="C12308" s="39"/>
      <c r="D12308" s="39"/>
      <c r="E12308" s="27"/>
      <c r="F12308" s="27"/>
      <c r="G12308" s="27"/>
      <c r="H12308" s="27"/>
      <c r="I12308" s="27"/>
      <c r="J12308" s="27"/>
      <c r="K12308" s="27"/>
      <c r="L12308" s="27"/>
      <c r="M12308" s="28"/>
      <c r="N12308" s="28"/>
      <c r="O12308" s="27"/>
      <c r="P12308" s="27"/>
    </row>
    <row r="12309">
      <c r="A12309" s="38"/>
      <c r="B12309" s="39"/>
      <c r="C12309" s="39"/>
      <c r="D12309" s="39"/>
      <c r="E12309" s="27"/>
      <c r="F12309" s="27"/>
      <c r="G12309" s="27"/>
      <c r="H12309" s="27"/>
      <c r="I12309" s="27"/>
      <c r="J12309" s="27"/>
      <c r="K12309" s="27"/>
      <c r="L12309" s="27"/>
      <c r="M12309" s="28"/>
      <c r="N12309" s="28"/>
      <c r="O12309" s="27"/>
      <c r="P12309" s="27"/>
    </row>
    <row r="12310">
      <c r="A12310" s="38"/>
      <c r="B12310" s="39"/>
      <c r="C12310" s="39"/>
      <c r="D12310" s="39"/>
      <c r="E12310" s="27"/>
      <c r="F12310" s="27"/>
      <c r="G12310" s="27"/>
      <c r="H12310" s="27"/>
      <c r="I12310" s="27"/>
      <c r="J12310" s="27"/>
      <c r="K12310" s="27"/>
      <c r="L12310" s="27"/>
      <c r="M12310" s="28"/>
      <c r="N12310" s="28"/>
      <c r="O12310" s="27"/>
      <c r="P12310" s="27"/>
    </row>
    <row r="12311">
      <c r="A12311" s="38"/>
      <c r="B12311" s="39"/>
      <c r="C12311" s="39"/>
      <c r="D12311" s="39"/>
      <c r="E12311" s="27"/>
      <c r="F12311" s="27"/>
      <c r="G12311" s="27"/>
      <c r="H12311" s="27"/>
      <c r="I12311" s="27"/>
      <c r="J12311" s="27"/>
      <c r="K12311" s="27"/>
      <c r="L12311" s="27"/>
      <c r="M12311" s="28"/>
      <c r="N12311" s="28"/>
      <c r="O12311" s="27"/>
      <c r="P12311" s="27"/>
    </row>
    <row r="12312">
      <c r="A12312" s="38"/>
      <c r="B12312" s="39"/>
      <c r="C12312" s="39"/>
      <c r="D12312" s="39"/>
      <c r="E12312" s="27"/>
      <c r="F12312" s="27"/>
      <c r="G12312" s="27"/>
      <c r="H12312" s="27"/>
      <c r="I12312" s="27"/>
      <c r="J12312" s="27"/>
      <c r="K12312" s="27"/>
      <c r="L12312" s="27"/>
      <c r="M12312" s="28"/>
      <c r="N12312" s="28"/>
      <c r="O12312" s="27"/>
      <c r="P12312" s="27"/>
    </row>
    <row r="12313">
      <c r="A12313" s="38"/>
      <c r="B12313" s="39"/>
      <c r="C12313" s="39"/>
      <c r="D12313" s="39"/>
      <c r="E12313" s="27"/>
      <c r="F12313" s="27"/>
      <c r="G12313" s="27"/>
      <c r="H12313" s="27"/>
      <c r="I12313" s="27"/>
      <c r="J12313" s="27"/>
      <c r="K12313" s="27"/>
      <c r="L12313" s="27"/>
      <c r="M12313" s="28"/>
      <c r="N12313" s="28"/>
      <c r="O12313" s="27"/>
      <c r="P12313" s="27"/>
    </row>
    <row r="12314">
      <c r="A12314" s="38"/>
      <c r="B12314" s="39"/>
      <c r="C12314" s="39"/>
      <c r="D12314" s="39"/>
      <c r="E12314" s="27"/>
      <c r="F12314" s="27"/>
      <c r="G12314" s="27"/>
      <c r="H12314" s="27"/>
      <c r="I12314" s="27"/>
      <c r="J12314" s="27"/>
      <c r="K12314" s="27"/>
      <c r="L12314" s="27"/>
      <c r="M12314" s="28"/>
      <c r="N12314" s="28"/>
      <c r="O12314" s="27"/>
      <c r="P12314" s="27"/>
    </row>
    <row r="12315">
      <c r="A12315" s="38"/>
      <c r="B12315" s="39"/>
      <c r="C12315" s="39"/>
      <c r="D12315" s="39"/>
      <c r="E12315" s="27"/>
      <c r="F12315" s="27"/>
      <c r="G12315" s="27"/>
      <c r="H12315" s="27"/>
      <c r="I12315" s="27"/>
      <c r="J12315" s="27"/>
      <c r="K12315" s="27"/>
      <c r="L12315" s="27"/>
      <c r="M12315" s="28"/>
      <c r="N12315" s="28"/>
      <c r="O12315" s="27"/>
      <c r="P12315" s="27"/>
    </row>
    <row r="12316">
      <c r="A12316" s="38"/>
      <c r="B12316" s="39"/>
      <c r="C12316" s="39"/>
      <c r="D12316" s="39"/>
      <c r="E12316" s="27"/>
      <c r="F12316" s="27"/>
      <c r="G12316" s="27"/>
      <c r="H12316" s="27"/>
      <c r="I12316" s="27"/>
      <c r="J12316" s="27"/>
      <c r="K12316" s="27"/>
      <c r="L12316" s="27"/>
      <c r="M12316" s="28"/>
      <c r="N12316" s="28"/>
      <c r="O12316" s="27"/>
      <c r="P12316" s="27"/>
    </row>
    <row r="12317">
      <c r="A12317" s="38"/>
      <c r="B12317" s="39"/>
      <c r="C12317" s="39"/>
      <c r="D12317" s="39"/>
      <c r="E12317" s="27"/>
      <c r="F12317" s="27"/>
      <c r="G12317" s="27"/>
      <c r="H12317" s="27"/>
      <c r="I12317" s="27"/>
      <c r="J12317" s="27"/>
      <c r="K12317" s="27"/>
      <c r="L12317" s="27"/>
      <c r="M12317" s="28"/>
      <c r="N12317" s="28"/>
      <c r="O12317" s="27"/>
      <c r="P12317" s="27"/>
    </row>
    <row r="12318">
      <c r="A12318" s="38"/>
      <c r="B12318" s="39"/>
      <c r="C12318" s="39"/>
      <c r="D12318" s="39"/>
      <c r="E12318" s="27"/>
      <c r="F12318" s="27"/>
      <c r="G12318" s="27"/>
      <c r="H12318" s="27"/>
      <c r="I12318" s="27"/>
      <c r="J12318" s="27"/>
      <c r="K12318" s="27"/>
      <c r="L12318" s="27"/>
      <c r="M12318" s="28"/>
      <c r="N12318" s="28"/>
      <c r="O12318" s="27"/>
      <c r="P12318" s="27"/>
    </row>
    <row r="12319">
      <c r="A12319" s="38"/>
      <c r="B12319" s="39"/>
      <c r="C12319" s="39"/>
      <c r="D12319" s="39"/>
      <c r="E12319" s="27"/>
      <c r="F12319" s="27"/>
      <c r="G12319" s="27"/>
      <c r="H12319" s="27"/>
      <c r="I12319" s="27"/>
      <c r="J12319" s="27"/>
      <c r="K12319" s="27"/>
      <c r="L12319" s="27"/>
      <c r="M12319" s="28"/>
      <c r="N12319" s="28"/>
      <c r="O12319" s="27"/>
      <c r="P12319" s="27"/>
    </row>
    <row r="12320">
      <c r="A12320" s="38"/>
      <c r="B12320" s="39"/>
      <c r="C12320" s="39"/>
      <c r="D12320" s="39"/>
      <c r="E12320" s="27"/>
      <c r="F12320" s="27"/>
      <c r="G12320" s="27"/>
      <c r="H12320" s="27"/>
      <c r="I12320" s="27"/>
      <c r="J12320" s="27"/>
      <c r="K12320" s="27"/>
      <c r="L12320" s="27"/>
      <c r="M12320" s="28"/>
      <c r="N12320" s="28"/>
      <c r="O12320" s="27"/>
      <c r="P12320" s="27"/>
    </row>
    <row r="12321">
      <c r="A12321" s="38"/>
      <c r="B12321" s="39"/>
      <c r="C12321" s="39"/>
      <c r="D12321" s="39"/>
      <c r="E12321" s="27"/>
      <c r="F12321" s="27"/>
      <c r="G12321" s="27"/>
      <c r="H12321" s="27"/>
      <c r="I12321" s="27"/>
      <c r="J12321" s="27"/>
      <c r="K12321" s="27"/>
      <c r="L12321" s="27"/>
      <c r="M12321" s="28"/>
      <c r="N12321" s="28"/>
      <c r="O12321" s="27"/>
      <c r="P12321" s="27"/>
    </row>
    <row r="12322">
      <c r="A12322" s="38"/>
      <c r="B12322" s="39"/>
      <c r="C12322" s="39"/>
      <c r="D12322" s="39"/>
      <c r="E12322" s="27"/>
      <c r="F12322" s="27"/>
      <c r="G12322" s="27"/>
      <c r="H12322" s="27"/>
      <c r="I12322" s="27"/>
      <c r="J12322" s="27"/>
      <c r="K12322" s="27"/>
      <c r="L12322" s="27"/>
      <c r="M12322" s="28"/>
      <c r="N12322" s="28"/>
      <c r="O12322" s="27"/>
      <c r="P12322" s="27"/>
    </row>
    <row r="12323">
      <c r="A12323" s="38"/>
      <c r="B12323" s="39"/>
      <c r="C12323" s="39"/>
      <c r="D12323" s="39"/>
      <c r="E12323" s="27"/>
      <c r="F12323" s="27"/>
      <c r="G12323" s="27"/>
      <c r="H12323" s="27"/>
      <c r="I12323" s="27"/>
      <c r="J12323" s="27"/>
      <c r="K12323" s="27"/>
      <c r="L12323" s="27"/>
      <c r="M12323" s="28"/>
      <c r="N12323" s="28"/>
      <c r="O12323" s="27"/>
      <c r="P12323" s="27"/>
    </row>
    <row r="12324">
      <c r="A12324" s="38"/>
      <c r="B12324" s="39"/>
      <c r="C12324" s="39"/>
      <c r="D12324" s="39"/>
      <c r="E12324" s="27"/>
      <c r="F12324" s="27"/>
      <c r="G12324" s="27"/>
      <c r="H12324" s="27"/>
      <c r="I12324" s="27"/>
      <c r="J12324" s="27"/>
      <c r="K12324" s="27"/>
      <c r="L12324" s="27"/>
      <c r="M12324" s="28"/>
      <c r="N12324" s="28"/>
      <c r="O12324" s="27"/>
      <c r="P12324" s="27"/>
    </row>
    <row r="12325">
      <c r="A12325" s="38"/>
      <c r="B12325" s="39"/>
      <c r="C12325" s="39"/>
      <c r="D12325" s="39"/>
      <c r="E12325" s="27"/>
      <c r="F12325" s="27"/>
      <c r="G12325" s="27"/>
      <c r="H12325" s="27"/>
      <c r="I12325" s="27"/>
      <c r="J12325" s="27"/>
      <c r="K12325" s="27"/>
      <c r="L12325" s="27"/>
      <c r="M12325" s="28"/>
      <c r="N12325" s="28"/>
      <c r="O12325" s="27"/>
      <c r="P12325" s="27"/>
    </row>
    <row r="12326">
      <c r="A12326" s="38"/>
      <c r="B12326" s="39"/>
      <c r="C12326" s="39"/>
      <c r="D12326" s="39"/>
      <c r="E12326" s="27"/>
      <c r="F12326" s="27"/>
      <c r="G12326" s="27"/>
      <c r="H12326" s="27"/>
      <c r="I12326" s="27"/>
      <c r="J12326" s="27"/>
      <c r="K12326" s="27"/>
      <c r="L12326" s="27"/>
      <c r="M12326" s="28"/>
      <c r="N12326" s="28"/>
      <c r="O12326" s="27"/>
      <c r="P12326" s="27"/>
    </row>
    <row r="12327">
      <c r="A12327" s="38"/>
      <c r="B12327" s="39"/>
      <c r="C12327" s="39"/>
      <c r="D12327" s="39"/>
      <c r="E12327" s="27"/>
      <c r="F12327" s="27"/>
      <c r="G12327" s="27"/>
      <c r="H12327" s="27"/>
      <c r="I12327" s="27"/>
      <c r="J12327" s="27"/>
      <c r="K12327" s="27"/>
      <c r="L12327" s="27"/>
      <c r="M12327" s="28"/>
      <c r="N12327" s="28"/>
      <c r="O12327" s="27"/>
      <c r="P12327" s="27"/>
    </row>
    <row r="12328">
      <c r="A12328" s="38"/>
      <c r="B12328" s="39"/>
      <c r="C12328" s="39"/>
      <c r="D12328" s="39"/>
      <c r="E12328" s="27"/>
      <c r="F12328" s="27"/>
      <c r="G12328" s="27"/>
      <c r="H12328" s="27"/>
      <c r="I12328" s="27"/>
      <c r="J12328" s="27"/>
      <c r="K12328" s="27"/>
      <c r="L12328" s="27"/>
      <c r="M12328" s="28"/>
      <c r="N12328" s="28"/>
      <c r="O12328" s="27"/>
      <c r="P12328" s="27"/>
    </row>
    <row r="12329">
      <c r="A12329" s="38"/>
      <c r="B12329" s="39"/>
      <c r="C12329" s="39"/>
      <c r="D12329" s="39"/>
      <c r="E12329" s="27"/>
      <c r="F12329" s="27"/>
      <c r="G12329" s="27"/>
      <c r="H12329" s="27"/>
      <c r="I12329" s="27"/>
      <c r="J12329" s="27"/>
      <c r="K12329" s="27"/>
      <c r="L12329" s="27"/>
      <c r="M12329" s="28"/>
      <c r="N12329" s="28"/>
      <c r="O12329" s="27"/>
      <c r="P12329" s="27"/>
    </row>
    <row r="12330">
      <c r="A12330" s="38"/>
      <c r="B12330" s="39"/>
      <c r="C12330" s="39"/>
      <c r="D12330" s="39"/>
      <c r="E12330" s="27"/>
      <c r="F12330" s="27"/>
      <c r="G12330" s="27"/>
      <c r="H12330" s="27"/>
      <c r="I12330" s="27"/>
      <c r="J12330" s="27"/>
      <c r="K12330" s="27"/>
      <c r="L12330" s="27"/>
      <c r="M12330" s="28"/>
      <c r="N12330" s="28"/>
      <c r="O12330" s="27"/>
      <c r="P12330" s="27"/>
    </row>
    <row r="12331">
      <c r="A12331" s="38"/>
      <c r="B12331" s="39"/>
      <c r="C12331" s="39"/>
      <c r="D12331" s="39"/>
      <c r="E12331" s="27"/>
      <c r="F12331" s="27"/>
      <c r="G12331" s="27"/>
      <c r="H12331" s="27"/>
      <c r="I12331" s="27"/>
      <c r="J12331" s="27"/>
      <c r="K12331" s="27"/>
      <c r="L12331" s="27"/>
      <c r="M12331" s="28"/>
      <c r="N12331" s="28"/>
      <c r="O12331" s="27"/>
      <c r="P12331" s="27"/>
    </row>
    <row r="12332">
      <c r="A12332" s="38"/>
      <c r="B12332" s="39"/>
      <c r="C12332" s="39"/>
      <c r="D12332" s="39"/>
      <c r="E12332" s="27"/>
      <c r="F12332" s="27"/>
      <c r="G12332" s="27"/>
      <c r="H12332" s="27"/>
      <c r="I12332" s="27"/>
      <c r="J12332" s="27"/>
      <c r="K12332" s="27"/>
      <c r="L12332" s="27"/>
      <c r="M12332" s="28"/>
      <c r="N12332" s="28"/>
      <c r="O12332" s="27"/>
      <c r="P12332" s="27"/>
    </row>
    <row r="12333">
      <c r="A12333" s="38"/>
      <c r="B12333" s="39"/>
      <c r="C12333" s="39"/>
      <c r="D12333" s="39"/>
      <c r="E12333" s="27"/>
      <c r="F12333" s="27"/>
      <c r="G12333" s="27"/>
      <c r="H12333" s="27"/>
      <c r="I12333" s="27"/>
      <c r="J12333" s="27"/>
      <c r="K12333" s="27"/>
      <c r="L12333" s="27"/>
      <c r="M12333" s="28"/>
      <c r="N12333" s="28"/>
      <c r="O12333" s="27"/>
      <c r="P12333" s="27"/>
    </row>
    <row r="12334">
      <c r="A12334" s="38"/>
      <c r="B12334" s="39"/>
      <c r="C12334" s="39"/>
      <c r="D12334" s="39"/>
      <c r="E12334" s="27"/>
      <c r="F12334" s="27"/>
      <c r="G12334" s="27"/>
      <c r="H12334" s="27"/>
      <c r="I12334" s="27"/>
      <c r="J12334" s="27"/>
      <c r="K12334" s="27"/>
      <c r="L12334" s="27"/>
      <c r="M12334" s="28"/>
      <c r="N12334" s="28"/>
      <c r="O12334" s="27"/>
      <c r="P12334" s="27"/>
    </row>
    <row r="12335">
      <c r="A12335" s="38"/>
      <c r="B12335" s="39"/>
      <c r="C12335" s="39"/>
      <c r="D12335" s="39"/>
      <c r="E12335" s="27"/>
      <c r="F12335" s="27"/>
      <c r="G12335" s="27"/>
      <c r="H12335" s="27"/>
      <c r="I12335" s="27"/>
      <c r="J12335" s="27"/>
      <c r="K12335" s="27"/>
      <c r="L12335" s="27"/>
      <c r="M12335" s="28"/>
      <c r="N12335" s="28"/>
      <c r="O12335" s="27"/>
      <c r="P12335" s="27"/>
    </row>
    <row r="12336">
      <c r="A12336" s="38"/>
      <c r="B12336" s="39"/>
      <c r="C12336" s="39"/>
      <c r="D12336" s="39"/>
      <c r="E12336" s="27"/>
      <c r="F12336" s="27"/>
      <c r="G12336" s="27"/>
      <c r="H12336" s="27"/>
      <c r="I12336" s="27"/>
      <c r="J12336" s="27"/>
      <c r="K12336" s="27"/>
      <c r="L12336" s="27"/>
      <c r="M12336" s="28"/>
      <c r="N12336" s="28"/>
      <c r="O12336" s="27"/>
      <c r="P12336" s="27"/>
    </row>
    <row r="12337">
      <c r="A12337" s="38"/>
      <c r="B12337" s="39"/>
      <c r="C12337" s="39"/>
      <c r="D12337" s="39"/>
      <c r="E12337" s="27"/>
      <c r="F12337" s="27"/>
      <c r="G12337" s="27"/>
      <c r="H12337" s="27"/>
      <c r="I12337" s="27"/>
      <c r="J12337" s="27"/>
      <c r="K12337" s="27"/>
      <c r="L12337" s="27"/>
      <c r="M12337" s="28"/>
      <c r="N12337" s="28"/>
      <c r="O12337" s="27"/>
      <c r="P12337" s="27"/>
    </row>
    <row r="12338">
      <c r="A12338" s="38"/>
      <c r="B12338" s="39"/>
      <c r="C12338" s="39"/>
      <c r="D12338" s="39"/>
      <c r="E12338" s="27"/>
      <c r="F12338" s="27"/>
      <c r="G12338" s="27"/>
      <c r="H12338" s="27"/>
      <c r="I12338" s="27"/>
      <c r="J12338" s="27"/>
      <c r="K12338" s="27"/>
      <c r="L12338" s="27"/>
      <c r="M12338" s="28"/>
      <c r="N12338" s="28"/>
      <c r="O12338" s="27"/>
      <c r="P12338" s="27"/>
    </row>
    <row r="12339">
      <c r="A12339" s="38"/>
      <c r="B12339" s="39"/>
      <c r="C12339" s="39"/>
      <c r="D12339" s="39"/>
      <c r="E12339" s="27"/>
      <c r="F12339" s="27"/>
      <c r="G12339" s="27"/>
      <c r="H12339" s="27"/>
      <c r="I12339" s="27"/>
      <c r="J12339" s="27"/>
      <c r="K12339" s="27"/>
      <c r="L12339" s="27"/>
      <c r="M12339" s="28"/>
      <c r="N12339" s="28"/>
      <c r="O12339" s="27"/>
      <c r="P12339" s="27"/>
    </row>
    <row r="12340">
      <c r="A12340" s="38"/>
      <c r="B12340" s="39"/>
      <c r="C12340" s="39"/>
      <c r="D12340" s="39"/>
      <c r="E12340" s="27"/>
      <c r="F12340" s="27"/>
      <c r="G12340" s="27"/>
      <c r="H12340" s="27"/>
      <c r="I12340" s="27"/>
      <c r="J12340" s="27"/>
      <c r="K12340" s="27"/>
      <c r="L12340" s="27"/>
      <c r="M12340" s="28"/>
      <c r="N12340" s="28"/>
      <c r="O12340" s="27"/>
      <c r="P12340" s="27"/>
    </row>
    <row r="12341">
      <c r="A12341" s="38"/>
      <c r="B12341" s="39"/>
      <c r="C12341" s="39"/>
      <c r="D12341" s="39"/>
      <c r="E12341" s="27"/>
      <c r="F12341" s="27"/>
      <c r="G12341" s="27"/>
      <c r="H12341" s="27"/>
      <c r="I12341" s="27"/>
      <c r="J12341" s="27"/>
      <c r="K12341" s="27"/>
      <c r="L12341" s="27"/>
      <c r="M12341" s="28"/>
      <c r="N12341" s="28"/>
      <c r="O12341" s="27"/>
      <c r="P12341" s="27"/>
    </row>
    <row r="12342">
      <c r="A12342" s="38"/>
      <c r="B12342" s="39"/>
      <c r="C12342" s="39"/>
      <c r="D12342" s="39"/>
      <c r="E12342" s="27"/>
      <c r="F12342" s="27"/>
      <c r="G12342" s="27"/>
      <c r="H12342" s="27"/>
      <c r="I12342" s="27"/>
      <c r="J12342" s="27"/>
      <c r="K12342" s="27"/>
      <c r="L12342" s="27"/>
      <c r="M12342" s="28"/>
      <c r="N12342" s="28"/>
      <c r="O12342" s="27"/>
      <c r="P12342" s="27"/>
    </row>
    <row r="12343">
      <c r="A12343" s="38"/>
      <c r="B12343" s="39"/>
      <c r="C12343" s="39"/>
      <c r="D12343" s="39"/>
      <c r="E12343" s="27"/>
      <c r="F12343" s="27"/>
      <c r="G12343" s="27"/>
      <c r="H12343" s="27"/>
      <c r="I12343" s="27"/>
      <c r="J12343" s="27"/>
      <c r="K12343" s="27"/>
      <c r="L12343" s="27"/>
      <c r="M12343" s="28"/>
      <c r="N12343" s="28"/>
      <c r="O12343" s="27"/>
      <c r="P12343" s="27"/>
    </row>
    <row r="12344">
      <c r="A12344" s="38"/>
      <c r="B12344" s="39"/>
      <c r="C12344" s="39"/>
      <c r="D12344" s="39"/>
      <c r="E12344" s="27"/>
      <c r="F12344" s="27"/>
      <c r="G12344" s="27"/>
      <c r="H12344" s="27"/>
      <c r="I12344" s="27"/>
      <c r="J12344" s="27"/>
      <c r="K12344" s="27"/>
      <c r="L12344" s="27"/>
      <c r="M12344" s="28"/>
      <c r="N12344" s="28"/>
      <c r="O12344" s="27"/>
      <c r="P12344" s="27"/>
    </row>
    <row r="12345">
      <c r="A12345" s="38"/>
      <c r="B12345" s="39"/>
      <c r="C12345" s="39"/>
      <c r="D12345" s="39"/>
      <c r="E12345" s="27"/>
      <c r="F12345" s="27"/>
      <c r="G12345" s="27"/>
      <c r="H12345" s="27"/>
      <c r="I12345" s="27"/>
      <c r="J12345" s="27"/>
      <c r="K12345" s="27"/>
      <c r="L12345" s="27"/>
      <c r="M12345" s="28"/>
      <c r="N12345" s="28"/>
      <c r="O12345" s="27"/>
      <c r="P12345" s="27"/>
    </row>
    <row r="12346">
      <c r="A12346" s="38"/>
      <c r="B12346" s="39"/>
      <c r="C12346" s="39"/>
      <c r="D12346" s="39"/>
      <c r="E12346" s="27"/>
      <c r="F12346" s="27"/>
      <c r="G12346" s="27"/>
      <c r="H12346" s="27"/>
      <c r="I12346" s="27"/>
      <c r="J12346" s="27"/>
      <c r="K12346" s="27"/>
      <c r="L12346" s="27"/>
      <c r="M12346" s="28"/>
      <c r="N12346" s="28"/>
      <c r="O12346" s="27"/>
      <c r="P12346" s="27"/>
    </row>
    <row r="12347">
      <c r="A12347" s="38"/>
      <c r="B12347" s="39"/>
      <c r="C12347" s="39"/>
      <c r="D12347" s="39"/>
      <c r="E12347" s="27"/>
      <c r="F12347" s="27"/>
      <c r="G12347" s="27"/>
      <c r="H12347" s="27"/>
      <c r="I12347" s="27"/>
      <c r="J12347" s="27"/>
      <c r="K12347" s="27"/>
      <c r="L12347" s="27"/>
      <c r="M12347" s="28"/>
      <c r="N12347" s="28"/>
      <c r="O12347" s="27"/>
      <c r="P12347" s="27"/>
    </row>
    <row r="12348">
      <c r="A12348" s="38"/>
      <c r="B12348" s="39"/>
      <c r="C12348" s="39"/>
      <c r="D12348" s="39"/>
      <c r="E12348" s="27"/>
      <c r="F12348" s="27"/>
      <c r="G12348" s="27"/>
      <c r="H12348" s="27"/>
      <c r="I12348" s="27"/>
      <c r="J12348" s="27"/>
      <c r="K12348" s="27"/>
      <c r="L12348" s="27"/>
      <c r="M12348" s="28"/>
      <c r="N12348" s="28"/>
      <c r="O12348" s="27"/>
      <c r="P12348" s="27"/>
    </row>
    <row r="12349">
      <c r="A12349" s="38"/>
      <c r="B12349" s="39"/>
      <c r="C12349" s="39"/>
      <c r="D12349" s="39"/>
      <c r="E12349" s="27"/>
      <c r="F12349" s="27"/>
      <c r="G12349" s="27"/>
      <c r="H12349" s="27"/>
      <c r="I12349" s="27"/>
      <c r="J12349" s="27"/>
      <c r="K12349" s="27"/>
      <c r="L12349" s="27"/>
      <c r="M12349" s="28"/>
      <c r="N12349" s="28"/>
      <c r="O12349" s="27"/>
      <c r="P12349" s="27"/>
    </row>
    <row r="12350">
      <c r="A12350" s="38"/>
      <c r="B12350" s="39"/>
      <c r="C12350" s="39"/>
      <c r="D12350" s="39"/>
      <c r="E12350" s="27"/>
      <c r="F12350" s="27"/>
      <c r="G12350" s="27"/>
      <c r="H12350" s="27"/>
      <c r="I12350" s="27"/>
      <c r="J12350" s="27"/>
      <c r="K12350" s="27"/>
      <c r="L12350" s="27"/>
      <c r="M12350" s="28"/>
      <c r="N12350" s="28"/>
      <c r="O12350" s="27"/>
      <c r="P12350" s="27"/>
    </row>
    <row r="12351">
      <c r="A12351" s="38"/>
      <c r="B12351" s="39"/>
      <c r="C12351" s="39"/>
      <c r="D12351" s="39"/>
      <c r="E12351" s="27"/>
      <c r="F12351" s="27"/>
      <c r="G12351" s="27"/>
      <c r="H12351" s="27"/>
      <c r="I12351" s="27"/>
      <c r="J12351" s="27"/>
      <c r="K12351" s="27"/>
      <c r="L12351" s="27"/>
      <c r="M12351" s="28"/>
      <c r="N12351" s="28"/>
      <c r="O12351" s="27"/>
      <c r="P12351" s="27"/>
    </row>
    <row r="12352">
      <c r="A12352" s="38"/>
      <c r="B12352" s="39"/>
      <c r="C12352" s="39"/>
      <c r="D12352" s="39"/>
      <c r="E12352" s="27"/>
      <c r="F12352" s="27"/>
      <c r="G12352" s="27"/>
      <c r="H12352" s="27"/>
      <c r="I12352" s="27"/>
      <c r="J12352" s="27"/>
      <c r="K12352" s="27"/>
      <c r="L12352" s="27"/>
      <c r="M12352" s="28"/>
      <c r="N12352" s="28"/>
      <c r="O12352" s="27"/>
      <c r="P12352" s="27"/>
    </row>
    <row r="12353">
      <c r="A12353" s="38"/>
      <c r="B12353" s="39"/>
      <c r="C12353" s="39"/>
      <c r="D12353" s="39"/>
      <c r="E12353" s="27"/>
      <c r="F12353" s="27"/>
      <c r="G12353" s="27"/>
      <c r="H12353" s="27"/>
      <c r="I12353" s="27"/>
      <c r="J12353" s="27"/>
      <c r="K12353" s="27"/>
      <c r="L12353" s="27"/>
      <c r="M12353" s="28"/>
      <c r="N12353" s="28"/>
      <c r="O12353" s="27"/>
      <c r="P12353" s="27"/>
    </row>
    <row r="12354">
      <c r="A12354" s="38"/>
      <c r="B12354" s="39"/>
      <c r="C12354" s="39"/>
      <c r="D12354" s="39"/>
      <c r="E12354" s="27"/>
      <c r="F12354" s="27"/>
      <c r="G12354" s="27"/>
      <c r="H12354" s="27"/>
      <c r="I12354" s="27"/>
      <c r="J12354" s="27"/>
      <c r="K12354" s="27"/>
      <c r="L12354" s="27"/>
      <c r="M12354" s="28"/>
      <c r="N12354" s="28"/>
      <c r="O12354" s="27"/>
      <c r="P12354" s="27"/>
    </row>
    <row r="12355">
      <c r="A12355" s="38"/>
      <c r="B12355" s="39"/>
      <c r="C12355" s="39"/>
      <c r="D12355" s="39"/>
      <c r="E12355" s="27"/>
      <c r="F12355" s="27"/>
      <c r="G12355" s="27"/>
      <c r="H12355" s="27"/>
      <c r="I12355" s="27"/>
      <c r="J12355" s="27"/>
      <c r="K12355" s="27"/>
      <c r="L12355" s="27"/>
      <c r="M12355" s="28"/>
      <c r="N12355" s="28"/>
      <c r="O12355" s="27"/>
      <c r="P12355" s="27"/>
    </row>
    <row r="12356">
      <c r="A12356" s="38"/>
      <c r="B12356" s="39"/>
      <c r="C12356" s="39"/>
      <c r="D12356" s="39"/>
      <c r="E12356" s="27"/>
      <c r="F12356" s="27"/>
      <c r="G12356" s="27"/>
      <c r="H12356" s="27"/>
      <c r="I12356" s="27"/>
      <c r="J12356" s="27"/>
      <c r="K12356" s="27"/>
      <c r="L12356" s="27"/>
      <c r="M12356" s="28"/>
      <c r="N12356" s="28"/>
      <c r="O12356" s="27"/>
      <c r="P12356" s="27"/>
    </row>
    <row r="12357">
      <c r="A12357" s="38"/>
      <c r="B12357" s="39"/>
      <c r="C12357" s="39"/>
      <c r="D12357" s="39"/>
      <c r="E12357" s="27"/>
      <c r="F12357" s="27"/>
      <c r="G12357" s="27"/>
      <c r="H12357" s="27"/>
      <c r="I12357" s="27"/>
      <c r="J12357" s="27"/>
      <c r="K12357" s="27"/>
      <c r="L12357" s="27"/>
      <c r="M12357" s="28"/>
      <c r="N12357" s="28"/>
      <c r="O12357" s="27"/>
      <c r="P12357" s="27"/>
    </row>
    <row r="12358">
      <c r="A12358" s="38"/>
      <c r="B12358" s="39"/>
      <c r="C12358" s="39"/>
      <c r="D12358" s="39"/>
      <c r="E12358" s="27"/>
      <c r="F12358" s="27"/>
      <c r="G12358" s="27"/>
      <c r="H12358" s="27"/>
      <c r="I12358" s="27"/>
      <c r="J12358" s="27"/>
      <c r="K12358" s="27"/>
      <c r="L12358" s="27"/>
      <c r="M12358" s="28"/>
      <c r="N12358" s="28"/>
      <c r="O12358" s="27"/>
      <c r="P12358" s="27"/>
    </row>
    <row r="12359">
      <c r="A12359" s="38"/>
      <c r="B12359" s="39"/>
      <c r="C12359" s="39"/>
      <c r="D12359" s="39"/>
      <c r="E12359" s="27"/>
      <c r="F12359" s="27"/>
      <c r="G12359" s="27"/>
      <c r="H12359" s="27"/>
      <c r="I12359" s="27"/>
      <c r="J12359" s="27"/>
      <c r="K12359" s="27"/>
      <c r="L12359" s="27"/>
      <c r="M12359" s="28"/>
      <c r="N12359" s="28"/>
      <c r="O12359" s="27"/>
      <c r="P12359" s="27"/>
    </row>
    <row r="12360">
      <c r="A12360" s="38"/>
      <c r="B12360" s="39"/>
      <c r="C12360" s="39"/>
      <c r="D12360" s="39"/>
      <c r="E12360" s="27"/>
      <c r="F12360" s="27"/>
      <c r="G12360" s="27"/>
      <c r="H12360" s="27"/>
      <c r="I12360" s="27"/>
      <c r="J12360" s="27"/>
      <c r="K12360" s="27"/>
      <c r="L12360" s="27"/>
      <c r="M12360" s="28"/>
      <c r="N12360" s="28"/>
      <c r="O12360" s="27"/>
      <c r="P12360" s="27"/>
    </row>
    <row r="12361">
      <c r="A12361" s="38"/>
      <c r="B12361" s="39"/>
      <c r="C12361" s="39"/>
      <c r="D12361" s="39"/>
      <c r="E12361" s="27"/>
      <c r="F12361" s="27"/>
      <c r="G12361" s="27"/>
      <c r="H12361" s="27"/>
      <c r="I12361" s="27"/>
      <c r="J12361" s="27"/>
      <c r="K12361" s="27"/>
      <c r="L12361" s="27"/>
      <c r="M12361" s="28"/>
      <c r="N12361" s="28"/>
      <c r="O12361" s="27"/>
      <c r="P12361" s="27"/>
    </row>
    <row r="12362">
      <c r="A12362" s="38"/>
      <c r="B12362" s="39"/>
      <c r="C12362" s="39"/>
      <c r="D12362" s="39"/>
      <c r="E12362" s="27"/>
      <c r="F12362" s="27"/>
      <c r="G12362" s="27"/>
      <c r="H12362" s="27"/>
      <c r="I12362" s="27"/>
      <c r="J12362" s="27"/>
      <c r="K12362" s="27"/>
      <c r="L12362" s="27"/>
      <c r="M12362" s="28"/>
      <c r="N12362" s="28"/>
      <c r="O12362" s="27"/>
      <c r="P12362" s="27"/>
    </row>
    <row r="12363">
      <c r="A12363" s="38"/>
      <c r="B12363" s="39"/>
      <c r="C12363" s="39"/>
      <c r="D12363" s="39"/>
      <c r="E12363" s="27"/>
      <c r="F12363" s="27"/>
      <c r="G12363" s="27"/>
      <c r="H12363" s="27"/>
      <c r="I12363" s="27"/>
      <c r="J12363" s="27"/>
      <c r="K12363" s="27"/>
      <c r="L12363" s="27"/>
      <c r="M12363" s="28"/>
      <c r="N12363" s="28"/>
      <c r="O12363" s="27"/>
      <c r="P12363" s="27"/>
    </row>
    <row r="12364">
      <c r="A12364" s="38"/>
      <c r="B12364" s="39"/>
      <c r="C12364" s="39"/>
      <c r="D12364" s="39"/>
      <c r="E12364" s="27"/>
      <c r="F12364" s="27"/>
      <c r="G12364" s="27"/>
      <c r="H12364" s="27"/>
      <c r="I12364" s="27"/>
      <c r="J12364" s="27"/>
      <c r="K12364" s="27"/>
      <c r="L12364" s="27"/>
      <c r="M12364" s="28"/>
      <c r="N12364" s="28"/>
      <c r="O12364" s="27"/>
      <c r="P12364" s="27"/>
    </row>
    <row r="12365">
      <c r="A12365" s="38"/>
      <c r="B12365" s="39"/>
      <c r="C12365" s="39"/>
      <c r="D12365" s="39"/>
      <c r="E12365" s="27"/>
      <c r="F12365" s="27"/>
      <c r="G12365" s="27"/>
      <c r="H12365" s="27"/>
      <c r="I12365" s="27"/>
      <c r="J12365" s="27"/>
      <c r="K12365" s="27"/>
      <c r="L12365" s="27"/>
      <c r="M12365" s="28"/>
      <c r="N12365" s="28"/>
      <c r="O12365" s="27"/>
      <c r="P12365" s="27"/>
    </row>
    <row r="12366">
      <c r="A12366" s="38"/>
      <c r="B12366" s="39"/>
      <c r="C12366" s="39"/>
      <c r="D12366" s="39"/>
      <c r="E12366" s="27"/>
      <c r="F12366" s="27"/>
      <c r="G12366" s="27"/>
      <c r="H12366" s="27"/>
      <c r="I12366" s="27"/>
      <c r="J12366" s="27"/>
      <c r="K12366" s="27"/>
      <c r="L12366" s="27"/>
      <c r="M12366" s="28"/>
      <c r="N12366" s="28"/>
      <c r="O12366" s="27"/>
      <c r="P12366" s="27"/>
    </row>
    <row r="12367">
      <c r="A12367" s="38"/>
      <c r="B12367" s="39"/>
      <c r="C12367" s="39"/>
      <c r="D12367" s="39"/>
      <c r="E12367" s="27"/>
      <c r="F12367" s="27"/>
      <c r="G12367" s="27"/>
      <c r="H12367" s="27"/>
      <c r="I12367" s="27"/>
      <c r="J12367" s="27"/>
      <c r="K12367" s="27"/>
      <c r="L12367" s="27"/>
      <c r="M12367" s="28"/>
      <c r="N12367" s="28"/>
      <c r="O12367" s="27"/>
      <c r="P12367" s="27"/>
    </row>
    <row r="12368">
      <c r="A12368" s="38"/>
      <c r="B12368" s="39"/>
      <c r="C12368" s="39"/>
      <c r="D12368" s="39"/>
      <c r="E12368" s="27"/>
      <c r="F12368" s="27"/>
      <c r="G12368" s="27"/>
      <c r="H12368" s="27"/>
      <c r="I12368" s="27"/>
      <c r="J12368" s="27"/>
      <c r="K12368" s="27"/>
      <c r="L12368" s="27"/>
      <c r="M12368" s="28"/>
      <c r="N12368" s="28"/>
      <c r="O12368" s="27"/>
      <c r="P12368" s="27"/>
    </row>
    <row r="12369">
      <c r="A12369" s="38"/>
      <c r="B12369" s="39"/>
      <c r="C12369" s="39"/>
      <c r="D12369" s="39"/>
      <c r="E12369" s="27"/>
      <c r="F12369" s="27"/>
      <c r="G12369" s="27"/>
      <c r="H12369" s="27"/>
      <c r="I12369" s="27"/>
      <c r="J12369" s="27"/>
      <c r="K12369" s="27"/>
      <c r="L12369" s="27"/>
      <c r="M12369" s="28"/>
      <c r="N12369" s="28"/>
      <c r="O12369" s="27"/>
      <c r="P12369" s="27"/>
    </row>
    <row r="12370">
      <c r="A12370" s="38"/>
      <c r="B12370" s="39"/>
      <c r="C12370" s="39"/>
      <c r="D12370" s="39"/>
      <c r="E12370" s="27"/>
      <c r="F12370" s="27"/>
      <c r="G12370" s="27"/>
      <c r="H12370" s="27"/>
      <c r="I12370" s="27"/>
      <c r="J12370" s="27"/>
      <c r="K12370" s="27"/>
      <c r="L12370" s="27"/>
      <c r="M12370" s="28"/>
      <c r="N12370" s="28"/>
      <c r="O12370" s="27"/>
      <c r="P12370" s="27"/>
    </row>
    <row r="12371">
      <c r="A12371" s="38"/>
      <c r="B12371" s="39"/>
      <c r="C12371" s="39"/>
      <c r="D12371" s="39"/>
      <c r="E12371" s="27"/>
      <c r="F12371" s="27"/>
      <c r="G12371" s="27"/>
      <c r="H12371" s="27"/>
      <c r="I12371" s="27"/>
      <c r="J12371" s="27"/>
      <c r="K12371" s="27"/>
      <c r="L12371" s="27"/>
      <c r="M12371" s="28"/>
      <c r="N12371" s="28"/>
      <c r="O12371" s="27"/>
      <c r="P12371" s="27"/>
    </row>
    <row r="12372">
      <c r="A12372" s="38"/>
      <c r="B12372" s="39"/>
      <c r="C12372" s="39"/>
      <c r="D12372" s="39"/>
      <c r="E12372" s="27"/>
      <c r="F12372" s="27"/>
      <c r="G12372" s="27"/>
      <c r="H12372" s="27"/>
      <c r="I12372" s="27"/>
      <c r="J12372" s="27"/>
      <c r="K12372" s="27"/>
      <c r="L12372" s="27"/>
      <c r="M12372" s="28"/>
      <c r="N12372" s="28"/>
      <c r="O12372" s="27"/>
      <c r="P12372" s="27"/>
    </row>
    <row r="12373">
      <c r="A12373" s="38"/>
      <c r="B12373" s="39"/>
      <c r="C12373" s="39"/>
      <c r="D12373" s="39"/>
      <c r="E12373" s="27"/>
      <c r="F12373" s="27"/>
      <c r="G12373" s="27"/>
      <c r="H12373" s="27"/>
      <c r="I12373" s="27"/>
      <c r="J12373" s="27"/>
      <c r="K12373" s="27"/>
      <c r="L12373" s="27"/>
      <c r="M12373" s="28"/>
      <c r="N12373" s="28"/>
      <c r="O12373" s="27"/>
      <c r="P12373" s="27"/>
    </row>
    <row r="12374">
      <c r="A12374" s="38"/>
      <c r="B12374" s="39"/>
      <c r="C12374" s="39"/>
      <c r="D12374" s="39"/>
      <c r="E12374" s="27"/>
      <c r="F12374" s="27"/>
      <c r="G12374" s="27"/>
      <c r="H12374" s="27"/>
      <c r="I12374" s="27"/>
      <c r="J12374" s="27"/>
      <c r="K12374" s="27"/>
      <c r="L12374" s="27"/>
      <c r="M12374" s="28"/>
      <c r="N12374" s="28"/>
      <c r="O12374" s="27"/>
      <c r="P12374" s="27"/>
    </row>
    <row r="12375">
      <c r="A12375" s="38"/>
      <c r="B12375" s="39"/>
      <c r="C12375" s="39"/>
      <c r="D12375" s="39"/>
      <c r="E12375" s="27"/>
      <c r="F12375" s="27"/>
      <c r="G12375" s="27"/>
      <c r="H12375" s="27"/>
      <c r="I12375" s="27"/>
      <c r="J12375" s="27"/>
      <c r="K12375" s="27"/>
      <c r="L12375" s="27"/>
      <c r="M12375" s="28"/>
      <c r="N12375" s="28"/>
      <c r="O12375" s="27"/>
      <c r="P12375" s="27"/>
    </row>
    <row r="12376">
      <c r="A12376" s="38"/>
      <c r="B12376" s="39"/>
      <c r="C12376" s="39"/>
      <c r="D12376" s="39"/>
      <c r="E12376" s="27"/>
      <c r="F12376" s="27"/>
      <c r="G12376" s="27"/>
      <c r="H12376" s="27"/>
      <c r="I12376" s="27"/>
      <c r="J12376" s="27"/>
      <c r="K12376" s="27"/>
      <c r="L12376" s="27"/>
      <c r="M12376" s="28"/>
      <c r="N12376" s="28"/>
      <c r="O12376" s="27"/>
      <c r="P12376" s="27"/>
    </row>
    <row r="12377">
      <c r="A12377" s="38"/>
      <c r="B12377" s="39"/>
      <c r="C12377" s="39"/>
      <c r="D12377" s="39"/>
      <c r="E12377" s="27"/>
      <c r="F12377" s="27"/>
      <c r="G12377" s="27"/>
      <c r="H12377" s="27"/>
      <c r="I12377" s="27"/>
      <c r="J12377" s="27"/>
      <c r="K12377" s="27"/>
      <c r="L12377" s="27"/>
      <c r="M12377" s="28"/>
      <c r="N12377" s="28"/>
      <c r="O12377" s="27"/>
      <c r="P12377" s="27"/>
    </row>
    <row r="12378">
      <c r="A12378" s="38"/>
      <c r="B12378" s="39"/>
      <c r="C12378" s="39"/>
      <c r="D12378" s="39"/>
      <c r="E12378" s="27"/>
      <c r="F12378" s="27"/>
      <c r="G12378" s="27"/>
      <c r="H12378" s="27"/>
      <c r="I12378" s="27"/>
      <c r="J12378" s="27"/>
      <c r="K12378" s="27"/>
      <c r="L12378" s="27"/>
      <c r="M12378" s="28"/>
      <c r="N12378" s="28"/>
      <c r="O12378" s="27"/>
      <c r="P12378" s="27"/>
    </row>
    <row r="12379">
      <c r="A12379" s="38"/>
      <c r="B12379" s="39"/>
      <c r="C12379" s="39"/>
      <c r="D12379" s="39"/>
      <c r="E12379" s="27"/>
      <c r="F12379" s="27"/>
      <c r="G12379" s="27"/>
      <c r="H12379" s="27"/>
      <c r="I12379" s="27"/>
      <c r="J12379" s="27"/>
      <c r="K12379" s="27"/>
      <c r="L12379" s="27"/>
      <c r="M12379" s="28"/>
      <c r="N12379" s="28"/>
      <c r="O12379" s="27"/>
      <c r="P12379" s="27"/>
    </row>
    <row r="12380">
      <c r="A12380" s="38"/>
      <c r="B12380" s="39"/>
      <c r="C12380" s="39"/>
      <c r="D12380" s="39"/>
      <c r="E12380" s="27"/>
      <c r="F12380" s="27"/>
      <c r="G12380" s="27"/>
      <c r="H12380" s="27"/>
      <c r="I12380" s="27"/>
      <c r="J12380" s="27"/>
      <c r="K12380" s="27"/>
      <c r="L12380" s="27"/>
      <c r="M12380" s="28"/>
      <c r="N12380" s="28"/>
      <c r="O12380" s="27"/>
      <c r="P12380" s="27"/>
    </row>
    <row r="12381">
      <c r="A12381" s="38"/>
      <c r="B12381" s="39"/>
      <c r="C12381" s="39"/>
      <c r="D12381" s="39"/>
      <c r="E12381" s="27"/>
      <c r="F12381" s="27"/>
      <c r="G12381" s="27"/>
      <c r="H12381" s="27"/>
      <c r="I12381" s="27"/>
      <c r="J12381" s="27"/>
      <c r="K12381" s="27"/>
      <c r="L12381" s="27"/>
      <c r="M12381" s="28"/>
      <c r="N12381" s="28"/>
      <c r="O12381" s="27"/>
      <c r="P12381" s="27"/>
    </row>
    <row r="12382">
      <c r="A12382" s="38"/>
      <c r="B12382" s="39"/>
      <c r="C12382" s="39"/>
      <c r="D12382" s="39"/>
      <c r="E12382" s="27"/>
      <c r="F12382" s="27"/>
      <c r="G12382" s="27"/>
      <c r="H12382" s="27"/>
      <c r="I12382" s="27"/>
      <c r="J12382" s="27"/>
      <c r="K12382" s="27"/>
      <c r="L12382" s="27"/>
      <c r="M12382" s="28"/>
      <c r="N12382" s="28"/>
      <c r="O12382" s="27"/>
      <c r="P12382" s="27"/>
    </row>
    <row r="12383">
      <c r="A12383" s="38"/>
      <c r="B12383" s="39"/>
      <c r="C12383" s="39"/>
      <c r="D12383" s="39"/>
      <c r="E12383" s="27"/>
      <c r="F12383" s="27"/>
      <c r="G12383" s="27"/>
      <c r="H12383" s="27"/>
      <c r="I12383" s="27"/>
      <c r="J12383" s="27"/>
      <c r="K12383" s="27"/>
      <c r="L12383" s="27"/>
      <c r="M12383" s="28"/>
      <c r="N12383" s="28"/>
      <c r="O12383" s="27"/>
      <c r="P12383" s="27"/>
    </row>
    <row r="12384">
      <c r="A12384" s="38"/>
      <c r="B12384" s="39"/>
      <c r="C12384" s="39"/>
      <c r="D12384" s="39"/>
      <c r="E12384" s="27"/>
      <c r="F12384" s="27"/>
      <c r="G12384" s="27"/>
      <c r="H12384" s="27"/>
      <c r="I12384" s="27"/>
      <c r="J12384" s="27"/>
      <c r="K12384" s="27"/>
      <c r="L12384" s="27"/>
      <c r="M12384" s="28"/>
      <c r="N12384" s="28"/>
      <c r="O12384" s="27"/>
      <c r="P12384" s="27"/>
    </row>
    <row r="12385">
      <c r="A12385" s="38"/>
      <c r="B12385" s="39"/>
      <c r="C12385" s="39"/>
      <c r="D12385" s="39"/>
      <c r="E12385" s="27"/>
      <c r="F12385" s="27"/>
      <c r="G12385" s="27"/>
      <c r="H12385" s="27"/>
      <c r="I12385" s="27"/>
      <c r="J12385" s="27"/>
      <c r="K12385" s="27"/>
      <c r="L12385" s="27"/>
      <c r="M12385" s="28"/>
      <c r="N12385" s="28"/>
      <c r="O12385" s="27"/>
      <c r="P12385" s="27"/>
    </row>
    <row r="12386">
      <c r="A12386" s="38"/>
      <c r="B12386" s="39"/>
      <c r="C12386" s="39"/>
      <c r="D12386" s="39"/>
      <c r="E12386" s="27"/>
      <c r="F12386" s="27"/>
      <c r="G12386" s="27"/>
      <c r="H12386" s="27"/>
      <c r="I12386" s="27"/>
      <c r="J12386" s="27"/>
      <c r="K12386" s="27"/>
      <c r="L12386" s="27"/>
      <c r="M12386" s="28"/>
      <c r="N12386" s="28"/>
      <c r="O12386" s="27"/>
      <c r="P12386" s="27"/>
    </row>
    <row r="12387">
      <c r="A12387" s="38"/>
      <c r="B12387" s="39"/>
      <c r="C12387" s="39"/>
      <c r="D12387" s="39"/>
      <c r="E12387" s="27"/>
      <c r="F12387" s="27"/>
      <c r="G12387" s="27"/>
      <c r="H12387" s="27"/>
      <c r="I12387" s="27"/>
      <c r="J12387" s="27"/>
      <c r="K12387" s="27"/>
      <c r="L12387" s="27"/>
      <c r="M12387" s="28"/>
      <c r="N12387" s="28"/>
      <c r="O12387" s="27"/>
      <c r="P12387" s="27"/>
    </row>
    <row r="12388">
      <c r="A12388" s="38"/>
      <c r="B12388" s="39"/>
      <c r="C12388" s="39"/>
      <c r="D12388" s="39"/>
      <c r="E12388" s="27"/>
      <c r="F12388" s="27"/>
      <c r="G12388" s="27"/>
      <c r="H12388" s="27"/>
      <c r="I12388" s="27"/>
      <c r="J12388" s="27"/>
      <c r="K12388" s="27"/>
      <c r="L12388" s="27"/>
      <c r="M12388" s="28"/>
      <c r="N12388" s="28"/>
      <c r="O12388" s="27"/>
      <c r="P12388" s="27"/>
    </row>
    <row r="12389">
      <c r="A12389" s="38"/>
      <c r="B12389" s="39"/>
      <c r="C12389" s="39"/>
      <c r="D12389" s="39"/>
      <c r="E12389" s="27"/>
      <c r="F12389" s="27"/>
      <c r="G12389" s="27"/>
      <c r="H12389" s="27"/>
      <c r="I12389" s="27"/>
      <c r="J12389" s="27"/>
      <c r="K12389" s="27"/>
      <c r="L12389" s="27"/>
      <c r="M12389" s="28"/>
      <c r="N12389" s="28"/>
      <c r="O12389" s="27"/>
      <c r="P12389" s="27"/>
    </row>
    <row r="12390">
      <c r="A12390" s="38"/>
      <c r="B12390" s="39"/>
      <c r="C12390" s="39"/>
      <c r="D12390" s="39"/>
      <c r="E12390" s="27"/>
      <c r="F12390" s="27"/>
      <c r="G12390" s="27"/>
      <c r="H12390" s="27"/>
      <c r="I12390" s="27"/>
      <c r="J12390" s="27"/>
      <c r="K12390" s="27"/>
      <c r="L12390" s="27"/>
      <c r="M12390" s="28"/>
      <c r="N12390" s="28"/>
      <c r="O12390" s="27"/>
      <c r="P12390" s="27"/>
    </row>
    <row r="12391">
      <c r="A12391" s="38"/>
      <c r="B12391" s="39"/>
      <c r="C12391" s="39"/>
      <c r="D12391" s="39"/>
      <c r="E12391" s="27"/>
      <c r="F12391" s="27"/>
      <c r="G12391" s="27"/>
      <c r="H12391" s="27"/>
      <c r="I12391" s="27"/>
      <c r="J12391" s="27"/>
      <c r="K12391" s="27"/>
      <c r="L12391" s="27"/>
      <c r="M12391" s="28"/>
      <c r="N12391" s="28"/>
      <c r="O12391" s="27"/>
      <c r="P12391" s="27"/>
    </row>
    <row r="12392">
      <c r="A12392" s="38"/>
      <c r="B12392" s="39"/>
      <c r="C12392" s="39"/>
      <c r="D12392" s="39"/>
      <c r="E12392" s="27"/>
      <c r="F12392" s="27"/>
      <c r="G12392" s="27"/>
      <c r="H12392" s="27"/>
      <c r="I12392" s="27"/>
      <c r="J12392" s="27"/>
      <c r="K12392" s="27"/>
      <c r="L12392" s="27"/>
      <c r="M12392" s="28"/>
      <c r="N12392" s="28"/>
      <c r="O12392" s="27"/>
      <c r="P12392" s="27"/>
    </row>
    <row r="12393">
      <c r="A12393" s="38"/>
      <c r="B12393" s="39"/>
      <c r="C12393" s="39"/>
      <c r="D12393" s="39"/>
      <c r="E12393" s="27"/>
      <c r="F12393" s="27"/>
      <c r="G12393" s="27"/>
      <c r="H12393" s="27"/>
      <c r="I12393" s="27"/>
      <c r="J12393" s="27"/>
      <c r="K12393" s="27"/>
      <c r="L12393" s="27"/>
      <c r="M12393" s="28"/>
      <c r="N12393" s="28"/>
      <c r="O12393" s="27"/>
      <c r="P12393" s="27"/>
    </row>
    <row r="12394">
      <c r="A12394" s="38"/>
      <c r="B12394" s="39"/>
      <c r="C12394" s="39"/>
      <c r="D12394" s="39"/>
      <c r="E12394" s="27"/>
      <c r="F12394" s="27"/>
      <c r="G12394" s="27"/>
      <c r="H12394" s="27"/>
      <c r="I12394" s="27"/>
      <c r="J12394" s="27"/>
      <c r="K12394" s="27"/>
      <c r="L12394" s="27"/>
      <c r="M12394" s="28"/>
      <c r="N12394" s="28"/>
      <c r="O12394" s="27"/>
      <c r="P12394" s="27"/>
    </row>
    <row r="12395">
      <c r="A12395" s="38"/>
      <c r="B12395" s="39"/>
      <c r="C12395" s="39"/>
      <c r="D12395" s="39"/>
      <c r="E12395" s="27"/>
      <c r="F12395" s="27"/>
      <c r="G12395" s="27"/>
      <c r="H12395" s="27"/>
      <c r="I12395" s="27"/>
      <c r="J12395" s="27"/>
      <c r="K12395" s="27"/>
      <c r="L12395" s="27"/>
      <c r="M12395" s="28"/>
      <c r="N12395" s="28"/>
      <c r="O12395" s="27"/>
      <c r="P12395" s="27"/>
    </row>
    <row r="12396">
      <c r="A12396" s="38"/>
      <c r="B12396" s="39"/>
      <c r="C12396" s="39"/>
      <c r="D12396" s="39"/>
      <c r="E12396" s="27"/>
      <c r="F12396" s="27"/>
      <c r="G12396" s="27"/>
      <c r="H12396" s="27"/>
      <c r="I12396" s="27"/>
      <c r="J12396" s="27"/>
      <c r="K12396" s="27"/>
      <c r="L12396" s="27"/>
      <c r="M12396" s="28"/>
      <c r="N12396" s="28"/>
      <c r="O12396" s="27"/>
      <c r="P12396" s="27"/>
    </row>
    <row r="12397">
      <c r="A12397" s="38"/>
      <c r="B12397" s="39"/>
      <c r="C12397" s="39"/>
      <c r="D12397" s="39"/>
      <c r="E12397" s="27"/>
      <c r="F12397" s="27"/>
      <c r="G12397" s="27"/>
      <c r="H12397" s="27"/>
      <c r="I12397" s="27"/>
      <c r="J12397" s="27"/>
      <c r="K12397" s="27"/>
      <c r="L12397" s="27"/>
      <c r="M12397" s="28"/>
      <c r="N12397" s="28"/>
      <c r="O12397" s="27"/>
      <c r="P12397" s="27"/>
    </row>
    <row r="12398">
      <c r="A12398" s="38"/>
      <c r="B12398" s="39"/>
      <c r="C12398" s="39"/>
      <c r="D12398" s="39"/>
      <c r="E12398" s="27"/>
      <c r="F12398" s="27"/>
      <c r="G12398" s="27"/>
      <c r="H12398" s="27"/>
      <c r="I12398" s="27"/>
      <c r="J12398" s="27"/>
      <c r="K12398" s="27"/>
      <c r="L12398" s="27"/>
      <c r="M12398" s="28"/>
      <c r="N12398" s="28"/>
      <c r="O12398" s="27"/>
      <c r="P12398" s="27"/>
    </row>
    <row r="12399">
      <c r="A12399" s="38"/>
      <c r="B12399" s="39"/>
      <c r="C12399" s="39"/>
      <c r="D12399" s="39"/>
      <c r="E12399" s="27"/>
      <c r="F12399" s="27"/>
      <c r="G12399" s="27"/>
      <c r="H12399" s="27"/>
      <c r="I12399" s="27"/>
      <c r="J12399" s="27"/>
      <c r="K12399" s="27"/>
      <c r="L12399" s="27"/>
      <c r="M12399" s="28"/>
      <c r="N12399" s="28"/>
      <c r="O12399" s="27"/>
      <c r="P12399" s="27"/>
    </row>
    <row r="12400">
      <c r="A12400" s="38"/>
      <c r="B12400" s="39"/>
      <c r="C12400" s="39"/>
      <c r="D12400" s="39"/>
      <c r="E12400" s="27"/>
      <c r="F12400" s="27"/>
      <c r="G12400" s="27"/>
      <c r="H12400" s="27"/>
      <c r="I12400" s="27"/>
      <c r="J12400" s="27"/>
      <c r="K12400" s="27"/>
      <c r="L12400" s="27"/>
      <c r="M12400" s="28"/>
      <c r="N12400" s="28"/>
      <c r="O12400" s="27"/>
      <c r="P12400" s="27"/>
    </row>
    <row r="12401">
      <c r="A12401" s="38"/>
      <c r="B12401" s="39"/>
      <c r="C12401" s="39"/>
      <c r="D12401" s="39"/>
      <c r="E12401" s="27"/>
      <c r="F12401" s="27"/>
      <c r="G12401" s="27"/>
      <c r="H12401" s="27"/>
      <c r="I12401" s="27"/>
      <c r="J12401" s="27"/>
      <c r="K12401" s="27"/>
      <c r="L12401" s="27"/>
      <c r="M12401" s="28"/>
      <c r="N12401" s="28"/>
      <c r="O12401" s="27"/>
      <c r="P12401" s="27"/>
    </row>
    <row r="12402">
      <c r="A12402" s="38"/>
      <c r="B12402" s="39"/>
      <c r="C12402" s="39"/>
      <c r="D12402" s="39"/>
      <c r="E12402" s="27"/>
      <c r="F12402" s="27"/>
      <c r="G12402" s="27"/>
      <c r="H12402" s="27"/>
      <c r="I12402" s="27"/>
      <c r="J12402" s="27"/>
      <c r="K12402" s="27"/>
      <c r="L12402" s="27"/>
      <c r="M12402" s="28"/>
      <c r="N12402" s="28"/>
      <c r="O12402" s="27"/>
      <c r="P12402" s="27"/>
    </row>
    <row r="12403">
      <c r="A12403" s="38"/>
      <c r="B12403" s="39"/>
      <c r="C12403" s="39"/>
      <c r="D12403" s="39"/>
      <c r="E12403" s="27"/>
      <c r="F12403" s="27"/>
      <c r="G12403" s="27"/>
      <c r="H12403" s="27"/>
      <c r="I12403" s="27"/>
      <c r="J12403" s="27"/>
      <c r="K12403" s="27"/>
      <c r="L12403" s="27"/>
      <c r="M12403" s="28"/>
      <c r="N12403" s="28"/>
      <c r="O12403" s="27"/>
      <c r="P12403" s="27"/>
    </row>
    <row r="12404">
      <c r="A12404" s="38"/>
      <c r="B12404" s="39"/>
      <c r="C12404" s="39"/>
      <c r="D12404" s="39"/>
      <c r="E12404" s="27"/>
      <c r="F12404" s="27"/>
      <c r="G12404" s="27"/>
      <c r="H12404" s="27"/>
      <c r="I12404" s="27"/>
      <c r="J12404" s="27"/>
      <c r="K12404" s="27"/>
      <c r="L12404" s="27"/>
      <c r="M12404" s="28"/>
      <c r="N12404" s="28"/>
      <c r="O12404" s="27"/>
      <c r="P12404" s="27"/>
    </row>
    <row r="12405">
      <c r="A12405" s="38"/>
      <c r="B12405" s="39"/>
      <c r="C12405" s="39"/>
      <c r="D12405" s="39"/>
      <c r="E12405" s="27"/>
      <c r="F12405" s="27"/>
      <c r="G12405" s="27"/>
      <c r="H12405" s="27"/>
      <c r="I12405" s="27"/>
      <c r="J12405" s="27"/>
      <c r="K12405" s="27"/>
      <c r="L12405" s="27"/>
      <c r="M12405" s="28"/>
      <c r="N12405" s="28"/>
      <c r="O12405" s="27"/>
      <c r="P12405" s="27"/>
    </row>
    <row r="12406">
      <c r="A12406" s="38"/>
      <c r="B12406" s="39"/>
      <c r="C12406" s="39"/>
      <c r="D12406" s="39"/>
      <c r="E12406" s="27"/>
      <c r="F12406" s="27"/>
      <c r="G12406" s="27"/>
      <c r="H12406" s="27"/>
      <c r="I12406" s="27"/>
      <c r="J12406" s="27"/>
      <c r="K12406" s="27"/>
      <c r="L12406" s="27"/>
      <c r="M12406" s="28"/>
      <c r="N12406" s="28"/>
      <c r="O12406" s="27"/>
      <c r="P12406" s="27"/>
    </row>
    <row r="12407">
      <c r="A12407" s="38"/>
      <c r="B12407" s="39"/>
      <c r="C12407" s="39"/>
      <c r="D12407" s="39"/>
      <c r="E12407" s="27"/>
      <c r="F12407" s="27"/>
      <c r="G12407" s="27"/>
      <c r="H12407" s="27"/>
      <c r="I12407" s="27"/>
      <c r="J12407" s="27"/>
      <c r="K12407" s="27"/>
      <c r="L12407" s="27"/>
      <c r="M12407" s="28"/>
      <c r="N12407" s="28"/>
      <c r="O12407" s="27"/>
      <c r="P12407" s="27"/>
    </row>
    <row r="12408">
      <c r="A12408" s="38"/>
      <c r="B12408" s="39"/>
      <c r="C12408" s="39"/>
      <c r="D12408" s="39"/>
      <c r="E12408" s="27"/>
      <c r="F12408" s="27"/>
      <c r="G12408" s="27"/>
      <c r="H12408" s="27"/>
      <c r="I12408" s="27"/>
      <c r="J12408" s="27"/>
      <c r="K12408" s="27"/>
      <c r="L12408" s="27"/>
      <c r="M12408" s="28"/>
      <c r="N12408" s="28"/>
      <c r="O12408" s="27"/>
      <c r="P12408" s="27"/>
    </row>
    <row r="12409">
      <c r="A12409" s="38"/>
      <c r="B12409" s="39"/>
      <c r="C12409" s="39"/>
      <c r="D12409" s="39"/>
      <c r="E12409" s="27"/>
      <c r="F12409" s="27"/>
      <c r="G12409" s="27"/>
      <c r="H12409" s="27"/>
      <c r="I12409" s="27"/>
      <c r="J12409" s="27"/>
      <c r="K12409" s="27"/>
      <c r="L12409" s="27"/>
      <c r="M12409" s="28"/>
      <c r="N12409" s="28"/>
      <c r="O12409" s="27"/>
      <c r="P12409" s="27"/>
    </row>
    <row r="12410">
      <c r="A12410" s="38"/>
      <c r="B12410" s="39"/>
      <c r="C12410" s="39"/>
      <c r="D12410" s="39"/>
      <c r="E12410" s="27"/>
      <c r="F12410" s="27"/>
      <c r="G12410" s="27"/>
      <c r="H12410" s="27"/>
      <c r="I12410" s="27"/>
      <c r="J12410" s="27"/>
      <c r="K12410" s="27"/>
      <c r="L12410" s="27"/>
      <c r="M12410" s="28"/>
      <c r="N12410" s="28"/>
      <c r="O12410" s="27"/>
      <c r="P12410" s="27"/>
    </row>
    <row r="12411">
      <c r="A12411" s="38"/>
      <c r="B12411" s="39"/>
      <c r="C12411" s="39"/>
      <c r="D12411" s="39"/>
      <c r="E12411" s="27"/>
      <c r="F12411" s="27"/>
      <c r="G12411" s="27"/>
      <c r="H12411" s="27"/>
      <c r="I12411" s="27"/>
      <c r="J12411" s="27"/>
      <c r="K12411" s="27"/>
      <c r="L12411" s="27"/>
      <c r="M12411" s="28"/>
      <c r="N12411" s="28"/>
      <c r="O12411" s="27"/>
      <c r="P12411" s="27"/>
    </row>
    <row r="12412">
      <c r="A12412" s="38"/>
      <c r="B12412" s="39"/>
      <c r="C12412" s="39"/>
      <c r="D12412" s="39"/>
      <c r="E12412" s="27"/>
      <c r="F12412" s="27"/>
      <c r="G12412" s="27"/>
      <c r="H12412" s="27"/>
      <c r="I12412" s="27"/>
      <c r="J12412" s="27"/>
      <c r="K12412" s="27"/>
      <c r="L12412" s="27"/>
      <c r="M12412" s="28"/>
      <c r="N12412" s="28"/>
      <c r="O12412" s="27"/>
      <c r="P12412" s="27"/>
    </row>
    <row r="12413">
      <c r="A12413" s="38"/>
      <c r="B12413" s="39"/>
      <c r="C12413" s="39"/>
      <c r="D12413" s="39"/>
      <c r="E12413" s="27"/>
      <c r="F12413" s="27"/>
      <c r="G12413" s="27"/>
      <c r="H12413" s="27"/>
      <c r="I12413" s="27"/>
      <c r="J12413" s="27"/>
      <c r="K12413" s="27"/>
      <c r="L12413" s="27"/>
      <c r="M12413" s="28"/>
      <c r="N12413" s="28"/>
      <c r="O12413" s="27"/>
      <c r="P12413" s="27"/>
    </row>
    <row r="12414">
      <c r="A12414" s="38"/>
      <c r="B12414" s="39"/>
      <c r="C12414" s="39"/>
      <c r="D12414" s="39"/>
      <c r="E12414" s="27"/>
      <c r="F12414" s="27"/>
      <c r="G12414" s="27"/>
      <c r="H12414" s="27"/>
      <c r="I12414" s="27"/>
      <c r="J12414" s="27"/>
      <c r="K12414" s="27"/>
      <c r="L12414" s="27"/>
      <c r="M12414" s="28"/>
      <c r="N12414" s="28"/>
      <c r="O12414" s="27"/>
      <c r="P12414" s="27"/>
    </row>
    <row r="12415">
      <c r="A12415" s="38"/>
      <c r="B12415" s="39"/>
      <c r="C12415" s="39"/>
      <c r="D12415" s="39"/>
      <c r="E12415" s="27"/>
      <c r="F12415" s="27"/>
      <c r="G12415" s="27"/>
      <c r="H12415" s="27"/>
      <c r="I12415" s="27"/>
      <c r="J12415" s="27"/>
      <c r="K12415" s="27"/>
      <c r="L12415" s="27"/>
      <c r="M12415" s="28"/>
      <c r="N12415" s="28"/>
      <c r="O12415" s="27"/>
      <c r="P12415" s="27"/>
    </row>
    <row r="12416">
      <c r="A12416" s="38"/>
      <c r="B12416" s="39"/>
      <c r="C12416" s="39"/>
      <c r="D12416" s="39"/>
      <c r="E12416" s="27"/>
      <c r="F12416" s="27"/>
      <c r="G12416" s="27"/>
      <c r="H12416" s="27"/>
      <c r="I12416" s="27"/>
      <c r="J12416" s="27"/>
      <c r="K12416" s="27"/>
      <c r="L12416" s="27"/>
      <c r="M12416" s="28"/>
      <c r="N12416" s="28"/>
      <c r="O12416" s="27"/>
      <c r="P12416" s="27"/>
    </row>
    <row r="12417">
      <c r="A12417" s="38"/>
      <c r="B12417" s="39"/>
      <c r="C12417" s="39"/>
      <c r="D12417" s="39"/>
      <c r="E12417" s="27"/>
      <c r="F12417" s="27"/>
      <c r="G12417" s="27"/>
      <c r="H12417" s="27"/>
      <c r="I12417" s="27"/>
      <c r="J12417" s="27"/>
      <c r="K12417" s="27"/>
      <c r="L12417" s="27"/>
      <c r="M12417" s="28"/>
      <c r="N12417" s="28"/>
      <c r="O12417" s="27"/>
      <c r="P12417" s="27"/>
    </row>
    <row r="12418">
      <c r="A12418" s="38"/>
      <c r="B12418" s="39"/>
      <c r="C12418" s="39"/>
      <c r="D12418" s="39"/>
      <c r="E12418" s="27"/>
      <c r="F12418" s="27"/>
      <c r="G12418" s="27"/>
      <c r="H12418" s="27"/>
      <c r="I12418" s="27"/>
      <c r="J12418" s="27"/>
      <c r="K12418" s="27"/>
      <c r="L12418" s="27"/>
      <c r="M12418" s="28"/>
      <c r="N12418" s="28"/>
      <c r="O12418" s="27"/>
      <c r="P12418" s="27"/>
    </row>
    <row r="12419">
      <c r="A12419" s="38"/>
      <c r="B12419" s="39"/>
      <c r="C12419" s="39"/>
      <c r="D12419" s="39"/>
      <c r="E12419" s="27"/>
      <c r="F12419" s="27"/>
      <c r="G12419" s="27"/>
      <c r="H12419" s="27"/>
      <c r="I12419" s="27"/>
      <c r="J12419" s="27"/>
      <c r="K12419" s="27"/>
      <c r="L12419" s="27"/>
      <c r="M12419" s="28"/>
      <c r="N12419" s="28"/>
      <c r="O12419" s="27"/>
      <c r="P12419" s="27"/>
    </row>
    <row r="12420">
      <c r="A12420" s="38"/>
      <c r="B12420" s="39"/>
      <c r="C12420" s="39"/>
      <c r="D12420" s="39"/>
      <c r="E12420" s="27"/>
      <c r="F12420" s="27"/>
      <c r="G12420" s="27"/>
      <c r="H12420" s="27"/>
      <c r="I12420" s="27"/>
      <c r="J12420" s="27"/>
      <c r="K12420" s="27"/>
      <c r="L12420" s="27"/>
      <c r="M12420" s="28"/>
      <c r="N12420" s="28"/>
      <c r="O12420" s="27"/>
      <c r="P12420" s="27"/>
    </row>
    <row r="12421">
      <c r="A12421" s="38"/>
      <c r="B12421" s="39"/>
      <c r="C12421" s="39"/>
      <c r="D12421" s="39"/>
      <c r="E12421" s="27"/>
      <c r="F12421" s="27"/>
      <c r="G12421" s="27"/>
      <c r="H12421" s="27"/>
      <c r="I12421" s="27"/>
      <c r="J12421" s="27"/>
      <c r="K12421" s="27"/>
      <c r="L12421" s="27"/>
      <c r="M12421" s="28"/>
      <c r="N12421" s="28"/>
      <c r="O12421" s="27"/>
      <c r="P12421" s="27"/>
    </row>
    <row r="12422">
      <c r="A12422" s="38"/>
      <c r="B12422" s="39"/>
      <c r="C12422" s="39"/>
      <c r="D12422" s="39"/>
      <c r="E12422" s="27"/>
      <c r="F12422" s="27"/>
      <c r="G12422" s="27"/>
      <c r="H12422" s="27"/>
      <c r="I12422" s="27"/>
      <c r="J12422" s="27"/>
      <c r="K12422" s="27"/>
      <c r="L12422" s="27"/>
      <c r="M12422" s="28"/>
      <c r="N12422" s="28"/>
      <c r="O12422" s="27"/>
      <c r="P12422" s="27"/>
    </row>
    <row r="12423">
      <c r="A12423" s="38"/>
      <c r="B12423" s="39"/>
      <c r="C12423" s="39"/>
      <c r="D12423" s="39"/>
      <c r="E12423" s="27"/>
      <c r="F12423" s="27"/>
      <c r="G12423" s="27"/>
      <c r="H12423" s="27"/>
      <c r="I12423" s="27"/>
      <c r="J12423" s="27"/>
      <c r="K12423" s="27"/>
      <c r="L12423" s="27"/>
      <c r="M12423" s="28"/>
      <c r="N12423" s="28"/>
      <c r="O12423" s="27"/>
      <c r="P12423" s="27"/>
    </row>
    <row r="12424">
      <c r="A12424" s="38"/>
      <c r="B12424" s="39"/>
      <c r="C12424" s="39"/>
      <c r="D12424" s="39"/>
      <c r="E12424" s="27"/>
      <c r="F12424" s="27"/>
      <c r="G12424" s="27"/>
      <c r="H12424" s="27"/>
      <c r="I12424" s="27"/>
      <c r="J12424" s="27"/>
      <c r="K12424" s="27"/>
      <c r="L12424" s="27"/>
      <c r="M12424" s="28"/>
      <c r="N12424" s="28"/>
      <c r="O12424" s="27"/>
      <c r="P12424" s="27"/>
    </row>
    <row r="12425">
      <c r="A12425" s="38"/>
      <c r="B12425" s="39"/>
      <c r="C12425" s="39"/>
      <c r="D12425" s="39"/>
      <c r="E12425" s="27"/>
      <c r="F12425" s="27"/>
      <c r="G12425" s="27"/>
      <c r="H12425" s="27"/>
      <c r="I12425" s="27"/>
      <c r="J12425" s="27"/>
      <c r="K12425" s="27"/>
      <c r="L12425" s="27"/>
      <c r="M12425" s="28"/>
      <c r="N12425" s="28"/>
      <c r="O12425" s="27"/>
      <c r="P12425" s="27"/>
    </row>
    <row r="12426">
      <c r="A12426" s="38"/>
      <c r="B12426" s="39"/>
      <c r="C12426" s="39"/>
      <c r="D12426" s="39"/>
      <c r="E12426" s="27"/>
      <c r="F12426" s="27"/>
      <c r="G12426" s="27"/>
      <c r="H12426" s="27"/>
      <c r="I12426" s="27"/>
      <c r="J12426" s="27"/>
      <c r="K12426" s="27"/>
      <c r="L12426" s="27"/>
      <c r="M12426" s="28"/>
      <c r="N12426" s="28"/>
      <c r="O12426" s="27"/>
      <c r="P12426" s="27"/>
    </row>
    <row r="12427">
      <c r="A12427" s="38"/>
      <c r="B12427" s="39"/>
      <c r="C12427" s="39"/>
      <c r="D12427" s="39"/>
      <c r="E12427" s="27"/>
      <c r="F12427" s="27"/>
      <c r="G12427" s="27"/>
      <c r="H12427" s="27"/>
      <c r="I12427" s="27"/>
      <c r="J12427" s="27"/>
      <c r="K12427" s="27"/>
      <c r="L12427" s="27"/>
      <c r="M12427" s="28"/>
      <c r="N12427" s="28"/>
      <c r="O12427" s="27"/>
      <c r="P12427" s="27"/>
    </row>
    <row r="12428">
      <c r="A12428" s="38"/>
      <c r="B12428" s="39"/>
      <c r="C12428" s="39"/>
      <c r="D12428" s="39"/>
      <c r="E12428" s="27"/>
      <c r="F12428" s="27"/>
      <c r="G12428" s="27"/>
      <c r="H12428" s="27"/>
      <c r="I12428" s="27"/>
      <c r="J12428" s="27"/>
      <c r="K12428" s="27"/>
      <c r="L12428" s="27"/>
      <c r="M12428" s="28"/>
      <c r="N12428" s="28"/>
      <c r="O12428" s="27"/>
      <c r="P12428" s="27"/>
    </row>
    <row r="12429">
      <c r="A12429" s="38"/>
      <c r="B12429" s="39"/>
      <c r="C12429" s="39"/>
      <c r="D12429" s="39"/>
      <c r="E12429" s="27"/>
      <c r="F12429" s="27"/>
      <c r="G12429" s="27"/>
      <c r="H12429" s="27"/>
      <c r="I12429" s="27"/>
      <c r="J12429" s="27"/>
      <c r="K12429" s="27"/>
      <c r="L12429" s="27"/>
      <c r="M12429" s="28"/>
      <c r="N12429" s="28"/>
      <c r="O12429" s="27"/>
      <c r="P12429" s="27"/>
    </row>
    <row r="12430">
      <c r="A12430" s="38"/>
      <c r="B12430" s="39"/>
      <c r="C12430" s="39"/>
      <c r="D12430" s="39"/>
      <c r="E12430" s="27"/>
      <c r="F12430" s="27"/>
      <c r="G12430" s="27"/>
      <c r="H12430" s="27"/>
      <c r="I12430" s="27"/>
      <c r="J12430" s="27"/>
      <c r="K12430" s="27"/>
      <c r="L12430" s="27"/>
      <c r="M12430" s="28"/>
      <c r="N12430" s="28"/>
      <c r="O12430" s="27"/>
      <c r="P12430" s="27"/>
    </row>
    <row r="12431">
      <c r="A12431" s="38"/>
      <c r="B12431" s="39"/>
      <c r="C12431" s="39"/>
      <c r="D12431" s="39"/>
      <c r="E12431" s="27"/>
      <c r="F12431" s="27"/>
      <c r="G12431" s="27"/>
      <c r="H12431" s="27"/>
      <c r="I12431" s="27"/>
      <c r="J12431" s="27"/>
      <c r="K12431" s="27"/>
      <c r="L12431" s="27"/>
      <c r="M12431" s="28"/>
      <c r="N12431" s="28"/>
      <c r="O12431" s="27"/>
      <c r="P12431" s="27"/>
    </row>
    <row r="12432">
      <c r="A12432" s="38"/>
      <c r="B12432" s="39"/>
      <c r="C12432" s="39"/>
      <c r="D12432" s="39"/>
      <c r="E12432" s="27"/>
      <c r="F12432" s="27"/>
      <c r="G12432" s="27"/>
      <c r="H12432" s="27"/>
      <c r="I12432" s="27"/>
      <c r="J12432" s="27"/>
      <c r="K12432" s="27"/>
      <c r="L12432" s="27"/>
      <c r="M12432" s="28"/>
      <c r="N12432" s="28"/>
      <c r="O12432" s="27"/>
      <c r="P12432" s="27"/>
    </row>
    <row r="12433">
      <c r="A12433" s="38"/>
      <c r="B12433" s="39"/>
      <c r="C12433" s="39"/>
      <c r="D12433" s="39"/>
      <c r="E12433" s="27"/>
      <c r="F12433" s="27"/>
      <c r="G12433" s="27"/>
      <c r="H12433" s="27"/>
      <c r="I12433" s="27"/>
      <c r="J12433" s="27"/>
      <c r="K12433" s="27"/>
      <c r="L12433" s="27"/>
      <c r="M12433" s="28"/>
      <c r="N12433" s="28"/>
      <c r="O12433" s="27"/>
      <c r="P12433" s="27"/>
    </row>
    <row r="12434">
      <c r="A12434" s="38"/>
      <c r="B12434" s="39"/>
      <c r="C12434" s="39"/>
      <c r="D12434" s="39"/>
      <c r="E12434" s="27"/>
      <c r="F12434" s="27"/>
      <c r="G12434" s="27"/>
      <c r="H12434" s="27"/>
      <c r="I12434" s="27"/>
      <c r="J12434" s="27"/>
      <c r="K12434" s="27"/>
      <c r="L12434" s="27"/>
      <c r="M12434" s="28"/>
      <c r="N12434" s="28"/>
      <c r="O12434" s="27"/>
      <c r="P12434" s="27"/>
    </row>
    <row r="12435">
      <c r="A12435" s="38"/>
      <c r="B12435" s="39"/>
      <c r="C12435" s="39"/>
      <c r="D12435" s="39"/>
      <c r="E12435" s="27"/>
      <c r="F12435" s="27"/>
      <c r="G12435" s="27"/>
      <c r="H12435" s="27"/>
      <c r="I12435" s="27"/>
      <c r="J12435" s="27"/>
      <c r="K12435" s="27"/>
      <c r="L12435" s="27"/>
      <c r="M12435" s="28"/>
      <c r="N12435" s="28"/>
      <c r="O12435" s="27"/>
      <c r="P12435" s="27"/>
    </row>
    <row r="12436">
      <c r="A12436" s="38"/>
      <c r="B12436" s="39"/>
      <c r="C12436" s="39"/>
      <c r="D12436" s="39"/>
      <c r="E12436" s="27"/>
      <c r="F12436" s="27"/>
      <c r="G12436" s="27"/>
      <c r="H12436" s="27"/>
      <c r="I12436" s="27"/>
      <c r="J12436" s="27"/>
      <c r="K12436" s="27"/>
      <c r="L12436" s="27"/>
      <c r="M12436" s="28"/>
      <c r="N12436" s="28"/>
      <c r="O12436" s="27"/>
      <c r="P12436" s="27"/>
    </row>
    <row r="12437">
      <c r="A12437" s="38"/>
      <c r="B12437" s="39"/>
      <c r="C12437" s="39"/>
      <c r="D12437" s="39"/>
      <c r="E12437" s="27"/>
      <c r="F12437" s="27"/>
      <c r="G12437" s="27"/>
      <c r="H12437" s="27"/>
      <c r="I12437" s="27"/>
      <c r="J12437" s="27"/>
      <c r="K12437" s="27"/>
      <c r="L12437" s="27"/>
      <c r="M12437" s="28"/>
      <c r="N12437" s="28"/>
      <c r="O12437" s="27"/>
      <c r="P12437" s="27"/>
    </row>
    <row r="12438">
      <c r="A12438" s="38"/>
      <c r="B12438" s="39"/>
      <c r="C12438" s="39"/>
      <c r="D12438" s="39"/>
      <c r="E12438" s="27"/>
      <c r="F12438" s="27"/>
      <c r="G12438" s="27"/>
      <c r="H12438" s="27"/>
      <c r="I12438" s="27"/>
      <c r="J12438" s="27"/>
      <c r="K12438" s="27"/>
      <c r="L12438" s="27"/>
      <c r="M12438" s="28"/>
      <c r="N12438" s="28"/>
      <c r="O12438" s="27"/>
      <c r="P12438" s="27"/>
    </row>
    <row r="12439">
      <c r="A12439" s="38"/>
      <c r="B12439" s="39"/>
      <c r="C12439" s="39"/>
      <c r="D12439" s="39"/>
      <c r="E12439" s="27"/>
      <c r="F12439" s="27"/>
      <c r="G12439" s="27"/>
      <c r="H12439" s="27"/>
      <c r="I12439" s="27"/>
      <c r="J12439" s="27"/>
      <c r="K12439" s="27"/>
      <c r="L12439" s="27"/>
      <c r="M12439" s="28"/>
      <c r="N12439" s="28"/>
      <c r="O12439" s="27"/>
      <c r="P12439" s="27"/>
    </row>
    <row r="12440">
      <c r="A12440" s="38"/>
      <c r="B12440" s="39"/>
      <c r="C12440" s="39"/>
      <c r="D12440" s="39"/>
      <c r="E12440" s="27"/>
      <c r="F12440" s="27"/>
      <c r="G12440" s="27"/>
      <c r="H12440" s="27"/>
      <c r="I12440" s="27"/>
      <c r="J12440" s="27"/>
      <c r="K12440" s="27"/>
      <c r="L12440" s="27"/>
      <c r="M12440" s="28"/>
      <c r="N12440" s="28"/>
      <c r="O12440" s="27"/>
      <c r="P12440" s="27"/>
    </row>
    <row r="12441">
      <c r="A12441" s="38"/>
      <c r="B12441" s="39"/>
      <c r="C12441" s="39"/>
      <c r="D12441" s="39"/>
      <c r="E12441" s="27"/>
      <c r="F12441" s="27"/>
      <c r="G12441" s="27"/>
      <c r="H12441" s="27"/>
      <c r="I12441" s="27"/>
      <c r="J12441" s="27"/>
      <c r="K12441" s="27"/>
      <c r="L12441" s="27"/>
      <c r="M12441" s="28"/>
      <c r="N12441" s="28"/>
      <c r="O12441" s="27"/>
      <c r="P12441" s="27"/>
    </row>
    <row r="12442">
      <c r="A12442" s="38"/>
      <c r="B12442" s="39"/>
      <c r="C12442" s="39"/>
      <c r="D12442" s="39"/>
      <c r="E12442" s="27"/>
      <c r="F12442" s="27"/>
      <c r="G12442" s="27"/>
      <c r="H12442" s="27"/>
      <c r="I12442" s="27"/>
      <c r="J12442" s="27"/>
      <c r="K12442" s="27"/>
      <c r="L12442" s="27"/>
      <c r="M12442" s="28"/>
      <c r="N12442" s="28"/>
      <c r="O12442" s="27"/>
      <c r="P12442" s="27"/>
    </row>
    <row r="12443">
      <c r="A12443" s="38"/>
      <c r="B12443" s="39"/>
      <c r="C12443" s="39"/>
      <c r="D12443" s="39"/>
      <c r="E12443" s="27"/>
      <c r="F12443" s="27"/>
      <c r="G12443" s="27"/>
      <c r="H12443" s="27"/>
      <c r="I12443" s="27"/>
      <c r="J12443" s="27"/>
      <c r="K12443" s="27"/>
      <c r="L12443" s="27"/>
      <c r="M12443" s="28"/>
      <c r="N12443" s="28"/>
      <c r="O12443" s="27"/>
      <c r="P12443" s="27"/>
    </row>
    <row r="12444">
      <c r="A12444" s="38"/>
      <c r="B12444" s="39"/>
      <c r="C12444" s="39"/>
      <c r="D12444" s="39"/>
      <c r="E12444" s="27"/>
      <c r="F12444" s="27"/>
      <c r="G12444" s="27"/>
      <c r="H12444" s="27"/>
      <c r="I12444" s="27"/>
      <c r="J12444" s="27"/>
      <c r="K12444" s="27"/>
      <c r="L12444" s="27"/>
      <c r="M12444" s="28"/>
      <c r="N12444" s="28"/>
      <c r="O12444" s="27"/>
      <c r="P12444" s="27"/>
    </row>
    <row r="12445">
      <c r="A12445" s="38"/>
      <c r="B12445" s="39"/>
      <c r="C12445" s="39"/>
      <c r="D12445" s="39"/>
      <c r="E12445" s="27"/>
      <c r="F12445" s="27"/>
      <c r="G12445" s="27"/>
      <c r="H12445" s="27"/>
      <c r="I12445" s="27"/>
      <c r="J12445" s="27"/>
      <c r="K12445" s="27"/>
      <c r="L12445" s="27"/>
      <c r="M12445" s="28"/>
      <c r="N12445" s="28"/>
      <c r="O12445" s="27"/>
      <c r="P12445" s="27"/>
    </row>
    <row r="12446">
      <c r="A12446" s="38"/>
      <c r="B12446" s="39"/>
      <c r="C12446" s="39"/>
      <c r="D12446" s="39"/>
      <c r="E12446" s="27"/>
      <c r="F12446" s="27"/>
      <c r="G12446" s="27"/>
      <c r="H12446" s="27"/>
      <c r="I12446" s="27"/>
      <c r="J12446" s="27"/>
      <c r="K12446" s="27"/>
      <c r="L12446" s="27"/>
      <c r="M12446" s="28"/>
      <c r="N12446" s="28"/>
      <c r="O12446" s="27"/>
      <c r="P12446" s="27"/>
    </row>
    <row r="12447">
      <c r="A12447" s="38"/>
      <c r="B12447" s="39"/>
      <c r="C12447" s="39"/>
      <c r="D12447" s="39"/>
      <c r="E12447" s="27"/>
      <c r="F12447" s="27"/>
      <c r="G12447" s="27"/>
      <c r="H12447" s="27"/>
      <c r="I12447" s="27"/>
      <c r="J12447" s="27"/>
      <c r="K12447" s="27"/>
      <c r="L12447" s="27"/>
      <c r="M12447" s="28"/>
      <c r="N12447" s="28"/>
      <c r="O12447" s="27"/>
      <c r="P12447" s="27"/>
    </row>
    <row r="12448">
      <c r="A12448" s="38"/>
      <c r="B12448" s="39"/>
      <c r="C12448" s="39"/>
      <c r="D12448" s="39"/>
      <c r="E12448" s="27"/>
      <c r="F12448" s="27"/>
      <c r="G12448" s="27"/>
      <c r="H12448" s="27"/>
      <c r="I12448" s="27"/>
      <c r="J12448" s="27"/>
      <c r="K12448" s="27"/>
      <c r="L12448" s="27"/>
      <c r="M12448" s="28"/>
      <c r="N12448" s="28"/>
      <c r="O12448" s="27"/>
      <c r="P12448" s="27"/>
    </row>
    <row r="12449">
      <c r="A12449" s="38"/>
      <c r="B12449" s="39"/>
      <c r="C12449" s="39"/>
      <c r="D12449" s="39"/>
      <c r="E12449" s="27"/>
      <c r="F12449" s="27"/>
      <c r="G12449" s="27"/>
      <c r="H12449" s="27"/>
      <c r="I12449" s="27"/>
      <c r="J12449" s="27"/>
      <c r="K12449" s="27"/>
      <c r="L12449" s="27"/>
      <c r="M12449" s="28"/>
      <c r="N12449" s="28"/>
      <c r="O12449" s="27"/>
      <c r="P12449" s="27"/>
    </row>
    <row r="12450">
      <c r="A12450" s="38"/>
      <c r="B12450" s="39"/>
      <c r="C12450" s="39"/>
      <c r="D12450" s="39"/>
      <c r="E12450" s="27"/>
      <c r="F12450" s="27"/>
      <c r="G12450" s="27"/>
      <c r="H12450" s="27"/>
      <c r="I12450" s="27"/>
      <c r="J12450" s="27"/>
      <c r="K12450" s="27"/>
      <c r="L12450" s="27"/>
      <c r="M12450" s="28"/>
      <c r="N12450" s="28"/>
      <c r="O12450" s="27"/>
      <c r="P12450" s="27"/>
    </row>
    <row r="12451">
      <c r="A12451" s="38"/>
      <c r="B12451" s="39"/>
      <c r="C12451" s="39"/>
      <c r="D12451" s="39"/>
      <c r="E12451" s="27"/>
      <c r="F12451" s="27"/>
      <c r="G12451" s="27"/>
      <c r="H12451" s="27"/>
      <c r="I12451" s="27"/>
      <c r="J12451" s="27"/>
      <c r="K12451" s="27"/>
      <c r="L12451" s="27"/>
      <c r="M12451" s="28"/>
      <c r="N12451" s="28"/>
      <c r="O12451" s="27"/>
      <c r="P12451" s="27"/>
    </row>
    <row r="12452">
      <c r="A12452" s="38"/>
      <c r="B12452" s="39"/>
      <c r="C12452" s="39"/>
      <c r="D12452" s="39"/>
      <c r="E12452" s="27"/>
      <c r="F12452" s="27"/>
      <c r="G12452" s="27"/>
      <c r="H12452" s="27"/>
      <c r="I12452" s="27"/>
      <c r="J12452" s="27"/>
      <c r="K12452" s="27"/>
      <c r="L12452" s="27"/>
      <c r="M12452" s="28"/>
      <c r="N12452" s="28"/>
      <c r="O12452" s="27"/>
      <c r="P12452" s="27"/>
    </row>
    <row r="12453">
      <c r="A12453" s="38"/>
      <c r="B12453" s="39"/>
      <c r="C12453" s="39"/>
      <c r="D12453" s="39"/>
      <c r="E12453" s="27"/>
      <c r="F12453" s="27"/>
      <c r="G12453" s="27"/>
      <c r="H12453" s="27"/>
      <c r="I12453" s="27"/>
      <c r="J12453" s="27"/>
      <c r="K12453" s="27"/>
      <c r="L12453" s="27"/>
      <c r="M12453" s="28"/>
      <c r="N12453" s="28"/>
      <c r="O12453" s="27"/>
      <c r="P12453" s="27"/>
    </row>
    <row r="12454">
      <c r="A12454" s="38"/>
      <c r="B12454" s="39"/>
      <c r="C12454" s="39"/>
      <c r="D12454" s="39"/>
      <c r="E12454" s="27"/>
      <c r="F12454" s="27"/>
      <c r="G12454" s="27"/>
      <c r="H12454" s="27"/>
      <c r="I12454" s="27"/>
      <c r="J12454" s="27"/>
      <c r="K12454" s="27"/>
      <c r="L12454" s="27"/>
      <c r="M12454" s="28"/>
      <c r="N12454" s="28"/>
      <c r="O12454" s="27"/>
      <c r="P12454" s="27"/>
    </row>
    <row r="12455">
      <c r="A12455" s="38"/>
      <c r="B12455" s="39"/>
      <c r="C12455" s="39"/>
      <c r="D12455" s="39"/>
      <c r="E12455" s="27"/>
      <c r="F12455" s="27"/>
      <c r="G12455" s="27"/>
      <c r="H12455" s="27"/>
      <c r="I12455" s="27"/>
      <c r="J12455" s="27"/>
      <c r="K12455" s="27"/>
      <c r="L12455" s="27"/>
      <c r="M12455" s="28"/>
      <c r="N12455" s="28"/>
      <c r="O12455" s="27"/>
      <c r="P12455" s="27"/>
    </row>
    <row r="12456">
      <c r="A12456" s="38"/>
      <c r="B12456" s="39"/>
      <c r="C12456" s="39"/>
      <c r="D12456" s="39"/>
      <c r="E12456" s="27"/>
      <c r="F12456" s="27"/>
      <c r="G12456" s="27"/>
      <c r="H12456" s="27"/>
      <c r="I12456" s="27"/>
      <c r="J12456" s="27"/>
      <c r="K12456" s="27"/>
      <c r="L12456" s="27"/>
      <c r="M12456" s="28"/>
      <c r="N12456" s="28"/>
      <c r="O12456" s="27"/>
      <c r="P12456" s="27"/>
    </row>
    <row r="12457">
      <c r="A12457" s="38"/>
      <c r="B12457" s="39"/>
      <c r="C12457" s="39"/>
      <c r="D12457" s="39"/>
      <c r="E12457" s="27"/>
      <c r="F12457" s="27"/>
      <c r="G12457" s="27"/>
      <c r="H12457" s="27"/>
      <c r="I12457" s="27"/>
      <c r="J12457" s="27"/>
      <c r="K12457" s="27"/>
      <c r="L12457" s="27"/>
      <c r="M12457" s="28"/>
      <c r="N12457" s="28"/>
      <c r="O12457" s="27"/>
      <c r="P12457" s="27"/>
    </row>
    <row r="12458">
      <c r="A12458" s="38"/>
      <c r="B12458" s="39"/>
      <c r="C12458" s="39"/>
      <c r="D12458" s="39"/>
      <c r="E12458" s="27"/>
      <c r="F12458" s="27"/>
      <c r="G12458" s="27"/>
      <c r="H12458" s="27"/>
      <c r="I12458" s="27"/>
      <c r="J12458" s="27"/>
      <c r="K12458" s="27"/>
      <c r="L12458" s="27"/>
      <c r="M12458" s="28"/>
      <c r="N12458" s="28"/>
      <c r="O12458" s="27"/>
      <c r="P12458" s="27"/>
    </row>
    <row r="12459">
      <c r="A12459" s="38"/>
      <c r="B12459" s="39"/>
      <c r="C12459" s="39"/>
      <c r="D12459" s="39"/>
      <c r="E12459" s="27"/>
      <c r="F12459" s="27"/>
      <c r="G12459" s="27"/>
      <c r="H12459" s="27"/>
      <c r="I12459" s="27"/>
      <c r="J12459" s="27"/>
      <c r="K12459" s="27"/>
      <c r="L12459" s="27"/>
      <c r="M12459" s="28"/>
      <c r="N12459" s="28"/>
      <c r="O12459" s="27"/>
      <c r="P12459" s="27"/>
    </row>
    <row r="12460">
      <c r="A12460" s="38"/>
      <c r="B12460" s="39"/>
      <c r="C12460" s="39"/>
      <c r="D12460" s="39"/>
      <c r="E12460" s="27"/>
      <c r="F12460" s="27"/>
      <c r="G12460" s="27"/>
      <c r="H12460" s="27"/>
      <c r="I12460" s="27"/>
      <c r="J12460" s="27"/>
      <c r="K12460" s="27"/>
      <c r="L12460" s="27"/>
      <c r="M12460" s="28"/>
      <c r="N12460" s="28"/>
      <c r="O12460" s="27"/>
      <c r="P12460" s="27"/>
    </row>
    <row r="12461">
      <c r="A12461" s="38"/>
      <c r="B12461" s="39"/>
      <c r="C12461" s="39"/>
      <c r="D12461" s="39"/>
      <c r="E12461" s="27"/>
      <c r="F12461" s="27"/>
      <c r="G12461" s="27"/>
      <c r="H12461" s="27"/>
      <c r="I12461" s="27"/>
      <c r="J12461" s="27"/>
      <c r="K12461" s="27"/>
      <c r="L12461" s="27"/>
      <c r="M12461" s="28"/>
      <c r="N12461" s="28"/>
      <c r="O12461" s="27"/>
      <c r="P12461" s="27"/>
    </row>
    <row r="12462">
      <c r="A12462" s="38"/>
      <c r="B12462" s="39"/>
      <c r="C12462" s="39"/>
      <c r="D12462" s="39"/>
      <c r="E12462" s="27"/>
      <c r="F12462" s="27"/>
      <c r="G12462" s="27"/>
      <c r="H12462" s="27"/>
      <c r="I12462" s="27"/>
      <c r="J12462" s="27"/>
      <c r="K12462" s="27"/>
      <c r="L12462" s="27"/>
      <c r="M12462" s="28"/>
      <c r="N12462" s="28"/>
      <c r="O12462" s="27"/>
      <c r="P12462" s="27"/>
    </row>
    <row r="12463">
      <c r="A12463" s="38"/>
      <c r="B12463" s="39"/>
      <c r="C12463" s="39"/>
      <c r="D12463" s="39"/>
      <c r="E12463" s="27"/>
      <c r="F12463" s="27"/>
      <c r="G12463" s="27"/>
      <c r="H12463" s="27"/>
      <c r="I12463" s="27"/>
      <c r="J12463" s="27"/>
      <c r="K12463" s="27"/>
      <c r="L12463" s="27"/>
      <c r="M12463" s="28"/>
      <c r="N12463" s="28"/>
      <c r="O12463" s="27"/>
      <c r="P12463" s="27"/>
    </row>
    <row r="12464">
      <c r="A12464" s="38"/>
      <c r="B12464" s="39"/>
      <c r="C12464" s="39"/>
      <c r="D12464" s="39"/>
      <c r="E12464" s="27"/>
      <c r="F12464" s="27"/>
      <c r="G12464" s="27"/>
      <c r="H12464" s="27"/>
      <c r="I12464" s="27"/>
      <c r="J12464" s="27"/>
      <c r="K12464" s="27"/>
      <c r="L12464" s="27"/>
      <c r="M12464" s="28"/>
      <c r="N12464" s="28"/>
      <c r="O12464" s="27"/>
      <c r="P12464" s="27"/>
    </row>
    <row r="12465">
      <c r="A12465" s="38"/>
      <c r="B12465" s="39"/>
      <c r="C12465" s="39"/>
      <c r="D12465" s="39"/>
      <c r="E12465" s="27"/>
      <c r="F12465" s="27"/>
      <c r="G12465" s="27"/>
      <c r="H12465" s="27"/>
      <c r="I12465" s="27"/>
      <c r="J12465" s="27"/>
      <c r="K12465" s="27"/>
      <c r="L12465" s="27"/>
      <c r="M12465" s="28"/>
      <c r="N12465" s="28"/>
      <c r="O12465" s="27"/>
      <c r="P12465" s="27"/>
    </row>
    <row r="12466">
      <c r="A12466" s="38"/>
      <c r="B12466" s="39"/>
      <c r="C12466" s="39"/>
      <c r="D12466" s="39"/>
      <c r="E12466" s="27"/>
      <c r="F12466" s="27"/>
      <c r="G12466" s="27"/>
      <c r="H12466" s="27"/>
      <c r="I12466" s="27"/>
      <c r="J12466" s="27"/>
      <c r="K12466" s="27"/>
      <c r="L12466" s="27"/>
      <c r="M12466" s="28"/>
      <c r="N12466" s="28"/>
      <c r="O12466" s="27"/>
      <c r="P12466" s="27"/>
    </row>
    <row r="12467">
      <c r="A12467" s="38"/>
      <c r="B12467" s="39"/>
      <c r="C12467" s="39"/>
      <c r="D12467" s="39"/>
      <c r="E12467" s="27"/>
      <c r="F12467" s="27"/>
      <c r="G12467" s="27"/>
      <c r="H12467" s="27"/>
      <c r="I12467" s="27"/>
      <c r="J12467" s="27"/>
      <c r="K12467" s="27"/>
      <c r="L12467" s="27"/>
      <c r="M12467" s="28"/>
      <c r="N12467" s="28"/>
      <c r="O12467" s="27"/>
      <c r="P12467" s="27"/>
    </row>
    <row r="12468">
      <c r="A12468" s="38"/>
      <c r="B12468" s="39"/>
      <c r="C12468" s="39"/>
      <c r="D12468" s="39"/>
      <c r="E12468" s="27"/>
      <c r="F12468" s="27"/>
      <c r="G12468" s="27"/>
      <c r="H12468" s="27"/>
      <c r="I12468" s="27"/>
      <c r="J12468" s="27"/>
      <c r="K12468" s="27"/>
      <c r="L12468" s="27"/>
      <c r="M12468" s="28"/>
      <c r="N12468" s="28"/>
      <c r="O12468" s="27"/>
      <c r="P12468" s="27"/>
    </row>
    <row r="12469">
      <c r="A12469" s="38"/>
      <c r="B12469" s="39"/>
      <c r="C12469" s="39"/>
      <c r="D12469" s="39"/>
      <c r="E12469" s="27"/>
      <c r="F12469" s="27"/>
      <c r="G12469" s="27"/>
      <c r="H12469" s="27"/>
      <c r="I12469" s="27"/>
      <c r="J12469" s="27"/>
      <c r="K12469" s="27"/>
      <c r="L12469" s="27"/>
      <c r="M12469" s="28"/>
      <c r="N12469" s="28"/>
      <c r="O12469" s="27"/>
      <c r="P12469" s="27"/>
    </row>
    <row r="12470">
      <c r="A12470" s="38"/>
      <c r="B12470" s="39"/>
      <c r="C12470" s="39"/>
      <c r="D12470" s="39"/>
      <c r="E12470" s="27"/>
      <c r="F12470" s="27"/>
      <c r="G12470" s="27"/>
      <c r="H12470" s="27"/>
      <c r="I12470" s="27"/>
      <c r="J12470" s="27"/>
      <c r="K12470" s="27"/>
      <c r="L12470" s="27"/>
      <c r="M12470" s="28"/>
      <c r="N12470" s="28"/>
      <c r="O12470" s="27"/>
      <c r="P12470" s="27"/>
    </row>
    <row r="12471">
      <c r="A12471" s="38"/>
      <c r="B12471" s="39"/>
      <c r="C12471" s="39"/>
      <c r="D12471" s="39"/>
      <c r="E12471" s="27"/>
      <c r="F12471" s="27"/>
      <c r="G12471" s="27"/>
      <c r="H12471" s="27"/>
      <c r="I12471" s="27"/>
      <c r="J12471" s="27"/>
      <c r="K12471" s="27"/>
      <c r="L12471" s="27"/>
      <c r="M12471" s="28"/>
      <c r="N12471" s="28"/>
      <c r="O12471" s="27"/>
      <c r="P12471" s="27"/>
    </row>
    <row r="12472">
      <c r="A12472" s="38"/>
      <c r="B12472" s="39"/>
      <c r="C12472" s="39"/>
      <c r="D12472" s="39"/>
      <c r="E12472" s="27"/>
      <c r="F12472" s="27"/>
      <c r="G12472" s="27"/>
      <c r="H12472" s="27"/>
      <c r="I12472" s="27"/>
      <c r="J12472" s="27"/>
      <c r="K12472" s="27"/>
      <c r="L12472" s="27"/>
      <c r="M12472" s="28"/>
      <c r="N12472" s="28"/>
      <c r="O12472" s="27"/>
      <c r="P12472" s="27"/>
    </row>
    <row r="12473">
      <c r="A12473" s="38"/>
      <c r="B12473" s="39"/>
      <c r="C12473" s="39"/>
      <c r="D12473" s="39"/>
      <c r="E12473" s="27"/>
      <c r="F12473" s="27"/>
      <c r="G12473" s="27"/>
      <c r="H12473" s="27"/>
      <c r="I12473" s="27"/>
      <c r="J12473" s="27"/>
      <c r="K12473" s="27"/>
      <c r="L12473" s="27"/>
      <c r="M12473" s="28"/>
      <c r="N12473" s="28"/>
      <c r="O12473" s="27"/>
      <c r="P12473" s="27"/>
    </row>
    <row r="12474">
      <c r="A12474" s="38"/>
      <c r="B12474" s="39"/>
      <c r="C12474" s="39"/>
      <c r="D12474" s="39"/>
      <c r="E12474" s="27"/>
      <c r="F12474" s="27"/>
      <c r="G12474" s="27"/>
      <c r="H12474" s="27"/>
      <c r="I12474" s="27"/>
      <c r="J12474" s="27"/>
      <c r="K12474" s="27"/>
      <c r="L12474" s="27"/>
      <c r="M12474" s="28"/>
      <c r="N12474" s="28"/>
      <c r="O12474" s="27"/>
      <c r="P12474" s="27"/>
    </row>
    <row r="12475">
      <c r="A12475" s="38"/>
      <c r="B12475" s="39"/>
      <c r="C12475" s="39"/>
      <c r="D12475" s="39"/>
      <c r="E12475" s="27"/>
      <c r="F12475" s="27"/>
      <c r="G12475" s="27"/>
      <c r="H12475" s="27"/>
      <c r="I12475" s="27"/>
      <c r="J12475" s="27"/>
      <c r="K12475" s="27"/>
      <c r="L12475" s="27"/>
      <c r="M12475" s="28"/>
      <c r="N12475" s="28"/>
      <c r="O12475" s="27"/>
      <c r="P12475" s="27"/>
    </row>
    <row r="12476">
      <c r="A12476" s="38"/>
      <c r="B12476" s="39"/>
      <c r="C12476" s="39"/>
      <c r="D12476" s="39"/>
      <c r="E12476" s="27"/>
      <c r="F12476" s="27"/>
      <c r="G12476" s="27"/>
      <c r="H12476" s="27"/>
      <c r="I12476" s="27"/>
      <c r="J12476" s="27"/>
      <c r="K12476" s="27"/>
      <c r="L12476" s="27"/>
      <c r="M12476" s="28"/>
      <c r="N12476" s="28"/>
      <c r="O12476" s="27"/>
      <c r="P12476" s="27"/>
    </row>
    <row r="12477">
      <c r="A12477" s="38"/>
      <c r="B12477" s="39"/>
      <c r="C12477" s="39"/>
      <c r="D12477" s="39"/>
      <c r="E12477" s="27"/>
      <c r="F12477" s="27"/>
      <c r="G12477" s="27"/>
      <c r="H12477" s="27"/>
      <c r="I12477" s="27"/>
      <c r="J12477" s="27"/>
      <c r="K12477" s="27"/>
      <c r="L12477" s="27"/>
      <c r="M12477" s="28"/>
      <c r="N12477" s="28"/>
      <c r="O12477" s="27"/>
      <c r="P12477" s="27"/>
    </row>
    <row r="12478">
      <c r="A12478" s="38"/>
      <c r="B12478" s="39"/>
      <c r="C12478" s="39"/>
      <c r="D12478" s="39"/>
      <c r="E12478" s="27"/>
      <c r="F12478" s="27"/>
      <c r="G12478" s="27"/>
      <c r="H12478" s="27"/>
      <c r="I12478" s="27"/>
      <c r="J12478" s="27"/>
      <c r="K12478" s="27"/>
      <c r="L12478" s="27"/>
      <c r="M12478" s="28"/>
      <c r="N12478" s="28"/>
      <c r="O12478" s="27"/>
      <c r="P12478" s="27"/>
    </row>
    <row r="12479">
      <c r="A12479" s="38"/>
      <c r="B12479" s="39"/>
      <c r="C12479" s="39"/>
      <c r="D12479" s="39"/>
      <c r="E12479" s="27"/>
      <c r="F12479" s="27"/>
      <c r="G12479" s="27"/>
      <c r="H12479" s="27"/>
      <c r="I12479" s="27"/>
      <c r="J12479" s="27"/>
      <c r="K12479" s="27"/>
      <c r="L12479" s="27"/>
      <c r="M12479" s="28"/>
      <c r="N12479" s="28"/>
      <c r="O12479" s="27"/>
      <c r="P12479" s="27"/>
    </row>
    <row r="12480">
      <c r="A12480" s="38"/>
      <c r="B12480" s="39"/>
      <c r="C12480" s="39"/>
      <c r="D12480" s="39"/>
      <c r="E12480" s="27"/>
      <c r="F12480" s="27"/>
      <c r="G12480" s="27"/>
      <c r="H12480" s="27"/>
      <c r="I12480" s="27"/>
      <c r="J12480" s="27"/>
      <c r="K12480" s="27"/>
      <c r="L12480" s="27"/>
      <c r="M12480" s="28"/>
      <c r="N12480" s="28"/>
      <c r="O12480" s="27"/>
      <c r="P12480" s="27"/>
    </row>
    <row r="12481">
      <c r="A12481" s="38"/>
      <c r="B12481" s="39"/>
      <c r="C12481" s="39"/>
      <c r="D12481" s="39"/>
      <c r="E12481" s="27"/>
      <c r="F12481" s="27"/>
      <c r="G12481" s="27"/>
      <c r="H12481" s="27"/>
      <c r="I12481" s="27"/>
      <c r="J12481" s="27"/>
      <c r="K12481" s="27"/>
      <c r="L12481" s="27"/>
      <c r="M12481" s="28"/>
      <c r="N12481" s="28"/>
      <c r="O12481" s="27"/>
      <c r="P12481" s="27"/>
    </row>
    <row r="12482">
      <c r="A12482" s="38"/>
      <c r="B12482" s="39"/>
      <c r="C12482" s="39"/>
      <c r="D12482" s="39"/>
      <c r="E12482" s="27"/>
      <c r="F12482" s="27"/>
      <c r="G12482" s="27"/>
      <c r="H12482" s="27"/>
      <c r="I12482" s="27"/>
      <c r="J12482" s="27"/>
      <c r="K12482" s="27"/>
      <c r="L12482" s="27"/>
      <c r="M12482" s="28"/>
      <c r="N12482" s="28"/>
      <c r="O12482" s="27"/>
      <c r="P12482" s="27"/>
    </row>
    <row r="12483">
      <c r="A12483" s="38"/>
      <c r="B12483" s="39"/>
      <c r="C12483" s="39"/>
      <c r="D12483" s="39"/>
      <c r="E12483" s="27"/>
      <c r="F12483" s="27"/>
      <c r="G12483" s="27"/>
      <c r="H12483" s="27"/>
      <c r="I12483" s="27"/>
      <c r="J12483" s="27"/>
      <c r="K12483" s="27"/>
      <c r="L12483" s="27"/>
      <c r="M12483" s="28"/>
      <c r="N12483" s="28"/>
      <c r="O12483" s="27"/>
      <c r="P12483" s="27"/>
    </row>
    <row r="12484">
      <c r="A12484" s="38"/>
      <c r="B12484" s="39"/>
      <c r="C12484" s="39"/>
      <c r="D12484" s="39"/>
      <c r="E12484" s="27"/>
      <c r="F12484" s="27"/>
      <c r="G12484" s="27"/>
      <c r="H12484" s="27"/>
      <c r="I12484" s="27"/>
      <c r="J12484" s="27"/>
      <c r="K12484" s="27"/>
      <c r="L12484" s="27"/>
      <c r="M12484" s="28"/>
      <c r="N12484" s="28"/>
      <c r="O12484" s="27"/>
      <c r="P12484" s="27"/>
    </row>
    <row r="12485">
      <c r="A12485" s="38"/>
      <c r="B12485" s="39"/>
      <c r="C12485" s="39"/>
      <c r="D12485" s="39"/>
      <c r="E12485" s="27"/>
      <c r="F12485" s="27"/>
      <c r="G12485" s="27"/>
      <c r="H12485" s="27"/>
      <c r="I12485" s="27"/>
      <c r="J12485" s="27"/>
      <c r="K12485" s="27"/>
      <c r="L12485" s="27"/>
      <c r="M12485" s="28"/>
      <c r="N12485" s="28"/>
      <c r="O12485" s="27"/>
      <c r="P12485" s="27"/>
    </row>
    <row r="12486">
      <c r="A12486" s="38"/>
      <c r="B12486" s="39"/>
      <c r="C12486" s="39"/>
      <c r="D12486" s="39"/>
      <c r="E12486" s="27"/>
      <c r="F12486" s="27"/>
      <c r="G12486" s="27"/>
      <c r="H12486" s="27"/>
      <c r="I12486" s="27"/>
      <c r="J12486" s="27"/>
      <c r="K12486" s="27"/>
      <c r="L12486" s="27"/>
      <c r="M12486" s="28"/>
      <c r="N12486" s="28"/>
      <c r="O12486" s="27"/>
      <c r="P12486" s="27"/>
    </row>
    <row r="12487">
      <c r="A12487" s="38"/>
      <c r="B12487" s="39"/>
      <c r="C12487" s="39"/>
      <c r="D12487" s="39"/>
      <c r="E12487" s="27"/>
      <c r="F12487" s="27"/>
      <c r="G12487" s="27"/>
      <c r="H12487" s="27"/>
      <c r="I12487" s="27"/>
      <c r="J12487" s="27"/>
      <c r="K12487" s="27"/>
      <c r="L12487" s="27"/>
      <c r="M12487" s="28"/>
      <c r="N12487" s="28"/>
      <c r="O12487" s="27"/>
      <c r="P12487" s="27"/>
    </row>
    <row r="12488">
      <c r="A12488" s="38"/>
      <c r="B12488" s="39"/>
      <c r="C12488" s="39"/>
      <c r="D12488" s="39"/>
      <c r="E12488" s="27"/>
      <c r="F12488" s="27"/>
      <c r="G12488" s="27"/>
      <c r="H12488" s="27"/>
      <c r="I12488" s="27"/>
      <c r="J12488" s="27"/>
      <c r="K12488" s="27"/>
      <c r="L12488" s="27"/>
      <c r="M12488" s="28"/>
      <c r="N12488" s="28"/>
      <c r="O12488" s="27"/>
      <c r="P12488" s="27"/>
    </row>
    <row r="12489">
      <c r="A12489" s="38"/>
      <c r="B12489" s="39"/>
      <c r="C12489" s="39"/>
      <c r="D12489" s="39"/>
      <c r="E12489" s="27"/>
      <c r="F12489" s="27"/>
      <c r="G12489" s="27"/>
      <c r="H12489" s="27"/>
      <c r="I12489" s="27"/>
      <c r="J12489" s="27"/>
      <c r="K12489" s="27"/>
      <c r="L12489" s="27"/>
      <c r="M12489" s="28"/>
      <c r="N12489" s="28"/>
      <c r="O12489" s="27"/>
      <c r="P12489" s="27"/>
    </row>
    <row r="12490">
      <c r="A12490" s="38"/>
      <c r="B12490" s="39"/>
      <c r="C12490" s="39"/>
      <c r="D12490" s="39"/>
      <c r="E12490" s="27"/>
      <c r="F12490" s="27"/>
      <c r="G12490" s="27"/>
      <c r="H12490" s="27"/>
      <c r="I12490" s="27"/>
      <c r="J12490" s="27"/>
      <c r="K12490" s="27"/>
      <c r="L12490" s="27"/>
      <c r="M12490" s="28"/>
      <c r="N12490" s="28"/>
      <c r="O12490" s="27"/>
      <c r="P12490" s="27"/>
    </row>
    <row r="12491">
      <c r="A12491" s="38"/>
      <c r="B12491" s="39"/>
      <c r="C12491" s="39"/>
      <c r="D12491" s="39"/>
      <c r="E12491" s="27"/>
      <c r="F12491" s="27"/>
      <c r="G12491" s="27"/>
      <c r="H12491" s="27"/>
      <c r="I12491" s="27"/>
      <c r="J12491" s="27"/>
      <c r="K12491" s="27"/>
      <c r="L12491" s="27"/>
      <c r="M12491" s="28"/>
      <c r="N12491" s="28"/>
      <c r="O12491" s="27"/>
      <c r="P12491" s="27"/>
    </row>
    <row r="12492">
      <c r="A12492" s="38"/>
      <c r="B12492" s="39"/>
      <c r="C12492" s="39"/>
      <c r="D12492" s="39"/>
      <c r="E12492" s="27"/>
      <c r="F12492" s="27"/>
      <c r="G12492" s="27"/>
      <c r="H12492" s="27"/>
      <c r="I12492" s="27"/>
      <c r="J12492" s="27"/>
      <c r="K12492" s="27"/>
      <c r="L12492" s="27"/>
      <c r="M12492" s="28"/>
      <c r="N12492" s="28"/>
      <c r="O12492" s="27"/>
      <c r="P12492" s="27"/>
    </row>
    <row r="12493">
      <c r="A12493" s="38"/>
      <c r="B12493" s="39"/>
      <c r="C12493" s="39"/>
      <c r="D12493" s="39"/>
      <c r="E12493" s="27"/>
      <c r="F12493" s="27"/>
      <c r="G12493" s="27"/>
      <c r="H12493" s="27"/>
      <c r="I12493" s="27"/>
      <c r="J12493" s="27"/>
      <c r="K12493" s="27"/>
      <c r="L12493" s="27"/>
      <c r="M12493" s="28"/>
      <c r="N12493" s="28"/>
      <c r="O12493" s="27"/>
      <c r="P12493" s="27"/>
    </row>
    <row r="12494">
      <c r="A12494" s="38"/>
      <c r="B12494" s="39"/>
      <c r="C12494" s="39"/>
      <c r="D12494" s="39"/>
      <c r="E12494" s="27"/>
      <c r="F12494" s="27"/>
      <c r="G12494" s="27"/>
      <c r="H12494" s="27"/>
      <c r="I12494" s="27"/>
      <c r="J12494" s="27"/>
      <c r="K12494" s="27"/>
      <c r="L12494" s="27"/>
      <c r="M12494" s="28"/>
      <c r="N12494" s="28"/>
      <c r="O12494" s="27"/>
      <c r="P12494" s="27"/>
    </row>
    <row r="12495">
      <c r="A12495" s="38"/>
      <c r="B12495" s="39"/>
      <c r="C12495" s="39"/>
      <c r="D12495" s="39"/>
      <c r="E12495" s="27"/>
      <c r="F12495" s="27"/>
      <c r="G12495" s="27"/>
      <c r="H12495" s="27"/>
      <c r="I12495" s="27"/>
      <c r="J12495" s="27"/>
      <c r="K12495" s="27"/>
      <c r="L12495" s="27"/>
      <c r="M12495" s="28"/>
      <c r="N12495" s="28"/>
      <c r="O12495" s="27"/>
      <c r="P12495" s="27"/>
    </row>
    <row r="12496">
      <c r="A12496" s="38"/>
      <c r="B12496" s="39"/>
      <c r="C12496" s="39"/>
      <c r="D12496" s="39"/>
      <c r="E12496" s="27"/>
      <c r="F12496" s="27"/>
      <c r="G12496" s="27"/>
      <c r="H12496" s="27"/>
      <c r="I12496" s="27"/>
      <c r="J12496" s="27"/>
      <c r="K12496" s="27"/>
      <c r="L12496" s="27"/>
      <c r="M12496" s="28"/>
      <c r="N12496" s="28"/>
      <c r="O12496" s="27"/>
      <c r="P12496" s="27"/>
    </row>
    <row r="12497">
      <c r="A12497" s="38"/>
      <c r="B12497" s="39"/>
      <c r="C12497" s="39"/>
      <c r="D12497" s="39"/>
      <c r="E12497" s="27"/>
      <c r="F12497" s="27"/>
      <c r="G12497" s="27"/>
      <c r="H12497" s="27"/>
      <c r="I12497" s="27"/>
      <c r="J12497" s="27"/>
      <c r="K12497" s="27"/>
      <c r="L12497" s="27"/>
      <c r="M12497" s="28"/>
      <c r="N12497" s="28"/>
      <c r="O12497" s="27"/>
      <c r="P12497" s="27"/>
    </row>
    <row r="12498">
      <c r="A12498" s="38"/>
      <c r="B12498" s="39"/>
      <c r="C12498" s="39"/>
      <c r="D12498" s="39"/>
      <c r="E12498" s="27"/>
      <c r="F12498" s="27"/>
      <c r="G12498" s="27"/>
      <c r="H12498" s="27"/>
      <c r="I12498" s="27"/>
      <c r="J12498" s="27"/>
      <c r="K12498" s="27"/>
      <c r="L12498" s="27"/>
      <c r="M12498" s="28"/>
      <c r="N12498" s="28"/>
      <c r="O12498" s="27"/>
      <c r="P12498" s="27"/>
    </row>
    <row r="12499">
      <c r="A12499" s="38"/>
      <c r="B12499" s="39"/>
      <c r="C12499" s="39"/>
      <c r="D12499" s="39"/>
      <c r="E12499" s="27"/>
      <c r="F12499" s="27"/>
      <c r="G12499" s="27"/>
      <c r="H12499" s="27"/>
      <c r="I12499" s="27"/>
      <c r="J12499" s="27"/>
      <c r="K12499" s="27"/>
      <c r="L12499" s="27"/>
      <c r="M12499" s="28"/>
      <c r="N12499" s="28"/>
      <c r="O12499" s="27"/>
      <c r="P12499" s="27"/>
    </row>
    <row r="12500">
      <c r="A12500" s="38"/>
      <c r="B12500" s="39"/>
      <c r="C12500" s="39"/>
      <c r="D12500" s="39"/>
      <c r="E12500" s="27"/>
      <c r="F12500" s="27"/>
      <c r="G12500" s="27"/>
      <c r="H12500" s="27"/>
      <c r="I12500" s="27"/>
      <c r="J12500" s="27"/>
      <c r="K12500" s="27"/>
      <c r="L12500" s="27"/>
      <c r="M12500" s="28"/>
      <c r="N12500" s="28"/>
      <c r="O12500" s="27"/>
      <c r="P12500" s="27"/>
    </row>
    <row r="12501">
      <c r="A12501" s="38"/>
      <c r="B12501" s="39"/>
      <c r="C12501" s="39"/>
      <c r="D12501" s="39"/>
      <c r="E12501" s="27"/>
      <c r="F12501" s="27"/>
      <c r="G12501" s="27"/>
      <c r="H12501" s="27"/>
      <c r="I12501" s="27"/>
      <c r="J12501" s="27"/>
      <c r="K12501" s="27"/>
      <c r="L12501" s="27"/>
      <c r="M12501" s="28"/>
      <c r="N12501" s="28"/>
      <c r="O12501" s="27"/>
      <c r="P12501" s="27"/>
    </row>
    <row r="12502">
      <c r="A12502" s="38"/>
      <c r="B12502" s="39"/>
      <c r="C12502" s="39"/>
      <c r="D12502" s="39"/>
      <c r="E12502" s="27"/>
      <c r="F12502" s="27"/>
      <c r="G12502" s="27"/>
      <c r="H12502" s="27"/>
      <c r="I12502" s="27"/>
      <c r="J12502" s="27"/>
      <c r="K12502" s="27"/>
      <c r="L12502" s="27"/>
      <c r="M12502" s="28"/>
      <c r="N12502" s="28"/>
      <c r="O12502" s="27"/>
      <c r="P12502" s="27"/>
    </row>
    <row r="12503">
      <c r="A12503" s="38"/>
      <c r="B12503" s="39"/>
      <c r="C12503" s="39"/>
      <c r="D12503" s="39"/>
      <c r="E12503" s="27"/>
      <c r="F12503" s="27"/>
      <c r="G12503" s="27"/>
      <c r="H12503" s="27"/>
      <c r="I12503" s="27"/>
      <c r="J12503" s="27"/>
      <c r="K12503" s="27"/>
      <c r="L12503" s="27"/>
      <c r="M12503" s="28"/>
      <c r="N12503" s="28"/>
      <c r="O12503" s="27"/>
      <c r="P12503" s="27"/>
    </row>
    <row r="12504">
      <c r="A12504" s="38"/>
      <c r="B12504" s="39"/>
      <c r="C12504" s="39"/>
      <c r="D12504" s="39"/>
      <c r="E12504" s="27"/>
      <c r="F12504" s="27"/>
      <c r="G12504" s="27"/>
      <c r="H12504" s="27"/>
      <c r="I12504" s="27"/>
      <c r="J12504" s="27"/>
      <c r="K12504" s="27"/>
      <c r="L12504" s="27"/>
      <c r="M12504" s="28"/>
      <c r="N12504" s="28"/>
      <c r="O12504" s="27"/>
      <c r="P12504" s="27"/>
    </row>
    <row r="12505">
      <c r="A12505" s="38"/>
      <c r="B12505" s="39"/>
      <c r="C12505" s="39"/>
      <c r="D12505" s="39"/>
      <c r="E12505" s="27"/>
      <c r="F12505" s="27"/>
      <c r="G12505" s="27"/>
      <c r="H12505" s="27"/>
      <c r="I12505" s="27"/>
      <c r="J12505" s="27"/>
      <c r="K12505" s="27"/>
      <c r="L12505" s="27"/>
      <c r="M12505" s="28"/>
      <c r="N12505" s="28"/>
      <c r="O12505" s="27"/>
      <c r="P12505" s="27"/>
    </row>
    <row r="12506">
      <c r="A12506" s="38"/>
      <c r="B12506" s="39"/>
      <c r="C12506" s="39"/>
      <c r="D12506" s="39"/>
      <c r="E12506" s="27"/>
      <c r="F12506" s="27"/>
      <c r="G12506" s="27"/>
      <c r="H12506" s="27"/>
      <c r="I12506" s="27"/>
      <c r="J12506" s="27"/>
      <c r="K12506" s="27"/>
      <c r="L12506" s="27"/>
      <c r="M12506" s="28"/>
      <c r="N12506" s="28"/>
      <c r="O12506" s="27"/>
      <c r="P12506" s="27"/>
    </row>
    <row r="12507">
      <c r="A12507" s="38"/>
      <c r="B12507" s="39"/>
      <c r="C12507" s="39"/>
      <c r="D12507" s="39"/>
      <c r="E12507" s="27"/>
      <c r="F12507" s="27"/>
      <c r="G12507" s="27"/>
      <c r="H12507" s="27"/>
      <c r="I12507" s="27"/>
      <c r="J12507" s="27"/>
      <c r="K12507" s="27"/>
      <c r="L12507" s="27"/>
      <c r="M12507" s="28"/>
      <c r="N12507" s="28"/>
      <c r="O12507" s="27"/>
      <c r="P12507" s="27"/>
    </row>
    <row r="12508">
      <c r="A12508" s="38"/>
      <c r="B12508" s="39"/>
      <c r="C12508" s="39"/>
      <c r="D12508" s="39"/>
      <c r="E12508" s="27"/>
      <c r="F12508" s="27"/>
      <c r="G12508" s="27"/>
      <c r="H12508" s="27"/>
      <c r="I12508" s="27"/>
      <c r="J12508" s="27"/>
      <c r="K12508" s="27"/>
      <c r="L12508" s="27"/>
      <c r="M12508" s="28"/>
      <c r="N12508" s="28"/>
      <c r="O12508" s="27"/>
      <c r="P12508" s="27"/>
    </row>
    <row r="12509">
      <c r="A12509" s="38"/>
      <c r="B12509" s="39"/>
      <c r="C12509" s="39"/>
      <c r="D12509" s="39"/>
      <c r="E12509" s="27"/>
      <c r="F12509" s="27"/>
      <c r="G12509" s="27"/>
      <c r="H12509" s="27"/>
      <c r="I12509" s="27"/>
      <c r="J12509" s="27"/>
      <c r="K12509" s="27"/>
      <c r="L12509" s="27"/>
      <c r="M12509" s="28"/>
      <c r="N12509" s="28"/>
      <c r="O12509" s="27"/>
      <c r="P12509" s="27"/>
    </row>
    <row r="12510">
      <c r="A12510" s="38"/>
      <c r="B12510" s="39"/>
      <c r="C12510" s="39"/>
      <c r="D12510" s="39"/>
      <c r="E12510" s="27"/>
      <c r="F12510" s="27"/>
      <c r="G12510" s="27"/>
      <c r="H12510" s="27"/>
      <c r="I12510" s="27"/>
      <c r="J12510" s="27"/>
      <c r="K12510" s="27"/>
      <c r="L12510" s="27"/>
      <c r="M12510" s="28"/>
      <c r="N12510" s="28"/>
      <c r="O12510" s="27"/>
      <c r="P12510" s="27"/>
    </row>
    <row r="12511">
      <c r="A12511" s="38"/>
      <c r="B12511" s="39"/>
      <c r="C12511" s="39"/>
      <c r="D12511" s="39"/>
      <c r="E12511" s="27"/>
      <c r="F12511" s="27"/>
      <c r="G12511" s="27"/>
      <c r="H12511" s="27"/>
      <c r="I12511" s="27"/>
      <c r="J12511" s="27"/>
      <c r="K12511" s="27"/>
      <c r="L12511" s="27"/>
      <c r="M12511" s="28"/>
      <c r="N12511" s="28"/>
      <c r="O12511" s="27"/>
      <c r="P12511" s="27"/>
    </row>
    <row r="12512">
      <c r="A12512" s="38"/>
      <c r="B12512" s="39"/>
      <c r="C12512" s="39"/>
      <c r="D12512" s="39"/>
      <c r="E12512" s="27"/>
      <c r="F12512" s="27"/>
      <c r="G12512" s="27"/>
      <c r="H12512" s="27"/>
      <c r="I12512" s="27"/>
      <c r="J12512" s="27"/>
      <c r="K12512" s="27"/>
      <c r="L12512" s="27"/>
      <c r="M12512" s="28"/>
      <c r="N12512" s="28"/>
      <c r="O12512" s="27"/>
      <c r="P12512" s="27"/>
    </row>
    <row r="12513">
      <c r="A12513" s="38"/>
      <c r="B12513" s="39"/>
      <c r="C12513" s="39"/>
      <c r="D12513" s="39"/>
      <c r="E12513" s="27"/>
      <c r="F12513" s="27"/>
      <c r="G12513" s="27"/>
      <c r="H12513" s="27"/>
      <c r="I12513" s="27"/>
      <c r="J12513" s="27"/>
      <c r="K12513" s="27"/>
      <c r="L12513" s="27"/>
      <c r="M12513" s="28"/>
      <c r="N12513" s="28"/>
      <c r="O12513" s="27"/>
      <c r="P12513" s="27"/>
    </row>
    <row r="12514">
      <c r="A12514" s="38"/>
      <c r="B12514" s="39"/>
      <c r="C12514" s="39"/>
      <c r="D12514" s="39"/>
      <c r="E12514" s="27"/>
      <c r="F12514" s="27"/>
      <c r="G12514" s="27"/>
      <c r="H12514" s="27"/>
      <c r="I12514" s="27"/>
      <c r="J12514" s="27"/>
      <c r="K12514" s="27"/>
      <c r="L12514" s="27"/>
      <c r="M12514" s="28"/>
      <c r="N12514" s="28"/>
      <c r="O12514" s="27"/>
      <c r="P12514" s="27"/>
    </row>
    <row r="12515">
      <c r="A12515" s="38"/>
      <c r="B12515" s="39"/>
      <c r="C12515" s="39"/>
      <c r="D12515" s="39"/>
      <c r="E12515" s="27"/>
      <c r="F12515" s="27"/>
      <c r="G12515" s="27"/>
      <c r="H12515" s="27"/>
      <c r="I12515" s="27"/>
      <c r="J12515" s="27"/>
      <c r="K12515" s="27"/>
      <c r="L12515" s="27"/>
      <c r="M12515" s="28"/>
      <c r="N12515" s="28"/>
      <c r="O12515" s="27"/>
      <c r="P12515" s="27"/>
    </row>
    <row r="12516">
      <c r="A12516" s="38"/>
      <c r="B12516" s="39"/>
      <c r="C12516" s="39"/>
      <c r="D12516" s="39"/>
      <c r="E12516" s="27"/>
      <c r="F12516" s="27"/>
      <c r="G12516" s="27"/>
      <c r="H12516" s="27"/>
      <c r="I12516" s="27"/>
      <c r="J12516" s="27"/>
      <c r="K12516" s="27"/>
      <c r="L12516" s="27"/>
      <c r="M12516" s="28"/>
      <c r="N12516" s="28"/>
      <c r="O12516" s="27"/>
      <c r="P12516" s="27"/>
    </row>
    <row r="12517">
      <c r="A12517" s="38"/>
      <c r="B12517" s="39"/>
      <c r="C12517" s="39"/>
      <c r="D12517" s="39"/>
      <c r="E12517" s="27"/>
      <c r="F12517" s="27"/>
      <c r="G12517" s="27"/>
      <c r="H12517" s="27"/>
      <c r="I12517" s="27"/>
      <c r="J12517" s="27"/>
      <c r="K12517" s="27"/>
      <c r="L12517" s="27"/>
      <c r="M12517" s="28"/>
      <c r="N12517" s="28"/>
      <c r="O12517" s="27"/>
      <c r="P12517" s="27"/>
    </row>
    <row r="12518">
      <c r="A12518" s="38"/>
      <c r="B12518" s="39"/>
      <c r="C12518" s="39"/>
      <c r="D12518" s="39"/>
      <c r="E12518" s="27"/>
      <c r="F12518" s="27"/>
      <c r="G12518" s="27"/>
      <c r="H12518" s="27"/>
      <c r="I12518" s="27"/>
      <c r="J12518" s="27"/>
      <c r="K12518" s="27"/>
      <c r="L12518" s="27"/>
      <c r="M12518" s="28"/>
      <c r="N12518" s="28"/>
      <c r="O12518" s="27"/>
      <c r="P12518" s="27"/>
    </row>
    <row r="12519">
      <c r="A12519" s="38"/>
      <c r="B12519" s="39"/>
      <c r="C12519" s="39"/>
      <c r="D12519" s="39"/>
      <c r="E12519" s="27"/>
      <c r="F12519" s="27"/>
      <c r="G12519" s="27"/>
      <c r="H12519" s="27"/>
      <c r="I12519" s="27"/>
      <c r="J12519" s="27"/>
      <c r="K12519" s="27"/>
      <c r="L12519" s="27"/>
      <c r="M12519" s="28"/>
      <c r="N12519" s="28"/>
      <c r="O12519" s="27"/>
      <c r="P12519" s="27"/>
    </row>
    <row r="12520">
      <c r="A12520" s="38"/>
      <c r="B12520" s="39"/>
      <c r="C12520" s="39"/>
      <c r="D12520" s="39"/>
      <c r="E12520" s="27"/>
      <c r="F12520" s="27"/>
      <c r="G12520" s="27"/>
      <c r="H12520" s="27"/>
      <c r="I12520" s="27"/>
      <c r="J12520" s="27"/>
      <c r="K12520" s="27"/>
      <c r="L12520" s="27"/>
      <c r="M12520" s="28"/>
      <c r="N12520" s="28"/>
      <c r="O12520" s="27"/>
      <c r="P12520" s="27"/>
    </row>
    <row r="12521">
      <c r="A12521" s="38"/>
      <c r="B12521" s="39"/>
      <c r="C12521" s="39"/>
      <c r="D12521" s="39"/>
      <c r="E12521" s="27"/>
      <c r="F12521" s="27"/>
      <c r="G12521" s="27"/>
      <c r="H12521" s="27"/>
      <c r="I12521" s="27"/>
      <c r="J12521" s="27"/>
      <c r="K12521" s="27"/>
      <c r="L12521" s="27"/>
      <c r="M12521" s="28"/>
      <c r="N12521" s="28"/>
      <c r="O12521" s="27"/>
      <c r="P12521" s="27"/>
    </row>
    <row r="12522">
      <c r="A12522" s="38"/>
      <c r="B12522" s="39"/>
      <c r="C12522" s="39"/>
      <c r="D12522" s="39"/>
      <c r="E12522" s="27"/>
      <c r="F12522" s="27"/>
      <c r="G12522" s="27"/>
      <c r="H12522" s="27"/>
      <c r="I12522" s="27"/>
      <c r="J12522" s="27"/>
      <c r="K12522" s="27"/>
      <c r="L12522" s="27"/>
      <c r="M12522" s="28"/>
      <c r="N12522" s="28"/>
      <c r="O12522" s="27"/>
      <c r="P12522" s="27"/>
    </row>
    <row r="12523">
      <c r="A12523" s="38"/>
      <c r="B12523" s="39"/>
      <c r="C12523" s="39"/>
      <c r="D12523" s="39"/>
      <c r="E12523" s="27"/>
      <c r="F12523" s="27"/>
      <c r="G12523" s="27"/>
      <c r="H12523" s="27"/>
      <c r="I12523" s="27"/>
      <c r="J12523" s="27"/>
      <c r="K12523" s="27"/>
      <c r="L12523" s="27"/>
      <c r="M12523" s="28"/>
      <c r="N12523" s="28"/>
      <c r="O12523" s="27"/>
      <c r="P12523" s="27"/>
    </row>
    <row r="12524">
      <c r="A12524" s="38"/>
      <c r="B12524" s="39"/>
      <c r="C12524" s="39"/>
      <c r="D12524" s="39"/>
      <c r="E12524" s="27"/>
      <c r="F12524" s="27"/>
      <c r="G12524" s="27"/>
      <c r="H12524" s="27"/>
      <c r="I12524" s="27"/>
      <c r="J12524" s="27"/>
      <c r="K12524" s="27"/>
      <c r="L12524" s="27"/>
      <c r="M12524" s="28"/>
      <c r="N12524" s="28"/>
      <c r="O12524" s="27"/>
      <c r="P12524" s="27"/>
    </row>
    <row r="12525">
      <c r="A12525" s="38"/>
      <c r="B12525" s="39"/>
      <c r="C12525" s="39"/>
      <c r="D12525" s="39"/>
      <c r="E12525" s="27"/>
      <c r="F12525" s="27"/>
      <c r="G12525" s="27"/>
      <c r="H12525" s="27"/>
      <c r="I12525" s="27"/>
      <c r="J12525" s="27"/>
      <c r="K12525" s="27"/>
      <c r="L12525" s="27"/>
      <c r="M12525" s="28"/>
      <c r="N12525" s="28"/>
      <c r="O12525" s="27"/>
      <c r="P12525" s="27"/>
    </row>
    <row r="12526">
      <c r="A12526" s="38"/>
      <c r="B12526" s="39"/>
      <c r="C12526" s="39"/>
      <c r="D12526" s="39"/>
      <c r="E12526" s="27"/>
      <c r="F12526" s="27"/>
      <c r="G12526" s="27"/>
      <c r="H12526" s="27"/>
      <c r="I12526" s="27"/>
      <c r="J12526" s="27"/>
      <c r="K12526" s="27"/>
      <c r="L12526" s="27"/>
      <c r="M12526" s="28"/>
      <c r="N12526" s="28"/>
      <c r="O12526" s="27"/>
      <c r="P12526" s="27"/>
    </row>
    <row r="12527">
      <c r="A12527" s="38"/>
      <c r="B12527" s="39"/>
      <c r="C12527" s="39"/>
      <c r="D12527" s="39"/>
      <c r="E12527" s="27"/>
      <c r="F12527" s="27"/>
      <c r="G12527" s="27"/>
      <c r="H12527" s="27"/>
      <c r="I12527" s="27"/>
      <c r="J12527" s="27"/>
      <c r="K12527" s="27"/>
      <c r="L12527" s="27"/>
      <c r="M12527" s="28"/>
      <c r="N12527" s="28"/>
      <c r="O12527" s="27"/>
      <c r="P12527" s="27"/>
    </row>
    <row r="12528">
      <c r="A12528" s="38"/>
      <c r="B12528" s="39"/>
      <c r="C12528" s="39"/>
      <c r="D12528" s="39"/>
      <c r="E12528" s="27"/>
      <c r="F12528" s="27"/>
      <c r="G12528" s="27"/>
      <c r="H12528" s="27"/>
      <c r="I12528" s="27"/>
      <c r="J12528" s="27"/>
      <c r="K12528" s="27"/>
      <c r="L12528" s="27"/>
      <c r="M12528" s="28"/>
      <c r="N12528" s="28"/>
      <c r="O12528" s="27"/>
      <c r="P12528" s="27"/>
    </row>
    <row r="12529">
      <c r="A12529" s="38"/>
      <c r="B12529" s="39"/>
      <c r="C12529" s="39"/>
      <c r="D12529" s="39"/>
      <c r="E12529" s="27"/>
      <c r="F12529" s="27"/>
      <c r="G12529" s="27"/>
      <c r="H12529" s="27"/>
      <c r="I12529" s="27"/>
      <c r="J12529" s="27"/>
      <c r="K12529" s="27"/>
      <c r="L12529" s="27"/>
      <c r="M12529" s="28"/>
      <c r="N12529" s="28"/>
      <c r="O12529" s="27"/>
      <c r="P12529" s="27"/>
    </row>
    <row r="12530">
      <c r="A12530" s="38"/>
      <c r="B12530" s="39"/>
      <c r="C12530" s="39"/>
      <c r="D12530" s="39"/>
      <c r="E12530" s="27"/>
      <c r="F12530" s="27"/>
      <c r="G12530" s="27"/>
      <c r="H12530" s="27"/>
      <c r="I12530" s="27"/>
      <c r="J12530" s="27"/>
      <c r="K12530" s="27"/>
      <c r="L12530" s="27"/>
      <c r="M12530" s="28"/>
      <c r="N12530" s="28"/>
      <c r="O12530" s="27"/>
      <c r="P12530" s="27"/>
    </row>
    <row r="12531">
      <c r="A12531" s="38"/>
      <c r="B12531" s="39"/>
      <c r="C12531" s="39"/>
      <c r="D12531" s="39"/>
      <c r="E12531" s="27"/>
      <c r="F12531" s="27"/>
      <c r="G12531" s="27"/>
      <c r="H12531" s="27"/>
      <c r="I12531" s="27"/>
      <c r="J12531" s="27"/>
      <c r="K12531" s="27"/>
      <c r="L12531" s="27"/>
      <c r="M12531" s="28"/>
      <c r="N12531" s="28"/>
      <c r="O12531" s="27"/>
      <c r="P12531" s="27"/>
    </row>
    <row r="12532">
      <c r="A12532" s="38"/>
      <c r="B12532" s="39"/>
      <c r="C12532" s="39"/>
      <c r="D12532" s="39"/>
      <c r="E12532" s="27"/>
      <c r="F12532" s="27"/>
      <c r="G12532" s="27"/>
      <c r="H12532" s="27"/>
      <c r="I12532" s="27"/>
      <c r="J12532" s="27"/>
      <c r="K12532" s="27"/>
      <c r="L12532" s="27"/>
      <c r="M12532" s="28"/>
      <c r="N12532" s="28"/>
      <c r="O12532" s="27"/>
      <c r="P12532" s="27"/>
    </row>
    <row r="12533">
      <c r="A12533" s="38"/>
      <c r="B12533" s="39"/>
      <c r="C12533" s="39"/>
      <c r="D12533" s="39"/>
      <c r="E12533" s="27"/>
      <c r="F12533" s="27"/>
      <c r="G12533" s="27"/>
      <c r="H12533" s="27"/>
      <c r="I12533" s="27"/>
      <c r="J12533" s="27"/>
      <c r="K12533" s="27"/>
      <c r="L12533" s="27"/>
      <c r="M12533" s="28"/>
      <c r="N12533" s="28"/>
      <c r="O12533" s="27"/>
      <c r="P12533" s="27"/>
    </row>
    <row r="12534">
      <c r="A12534" s="38"/>
      <c r="B12534" s="39"/>
      <c r="C12534" s="39"/>
      <c r="D12534" s="39"/>
      <c r="E12534" s="27"/>
      <c r="F12534" s="27"/>
      <c r="G12534" s="27"/>
      <c r="H12534" s="27"/>
      <c r="I12534" s="27"/>
      <c r="J12534" s="27"/>
      <c r="K12534" s="27"/>
      <c r="L12534" s="27"/>
      <c r="M12534" s="28"/>
      <c r="N12534" s="28"/>
      <c r="O12534" s="27"/>
      <c r="P12534" s="27"/>
    </row>
    <row r="12535">
      <c r="A12535" s="38"/>
      <c r="B12535" s="39"/>
      <c r="C12535" s="39"/>
      <c r="D12535" s="39"/>
      <c r="E12535" s="27"/>
      <c r="F12535" s="27"/>
      <c r="G12535" s="27"/>
      <c r="H12535" s="27"/>
      <c r="I12535" s="27"/>
      <c r="J12535" s="27"/>
      <c r="K12535" s="27"/>
      <c r="L12535" s="27"/>
      <c r="M12535" s="28"/>
      <c r="N12535" s="28"/>
      <c r="O12535" s="27"/>
      <c r="P12535" s="27"/>
    </row>
    <row r="12536">
      <c r="A12536" s="38"/>
      <c r="B12536" s="39"/>
      <c r="C12536" s="39"/>
      <c r="D12536" s="39"/>
      <c r="E12536" s="27"/>
      <c r="F12536" s="27"/>
      <c r="G12536" s="27"/>
      <c r="H12536" s="27"/>
      <c r="I12536" s="27"/>
      <c r="J12536" s="27"/>
      <c r="K12536" s="27"/>
      <c r="L12536" s="27"/>
      <c r="M12536" s="28"/>
      <c r="N12536" s="28"/>
      <c r="O12536" s="27"/>
      <c r="P12536" s="27"/>
    </row>
    <row r="12537">
      <c r="A12537" s="38"/>
      <c r="B12537" s="39"/>
      <c r="C12537" s="39"/>
      <c r="D12537" s="39"/>
      <c r="E12537" s="27"/>
      <c r="F12537" s="27"/>
      <c r="G12537" s="27"/>
      <c r="H12537" s="27"/>
      <c r="I12537" s="27"/>
      <c r="J12537" s="27"/>
      <c r="K12537" s="27"/>
      <c r="L12537" s="27"/>
      <c r="M12537" s="28"/>
      <c r="N12537" s="28"/>
      <c r="O12537" s="27"/>
      <c r="P12537" s="27"/>
    </row>
    <row r="12538">
      <c r="A12538" s="38"/>
      <c r="B12538" s="39"/>
      <c r="C12538" s="39"/>
      <c r="D12538" s="39"/>
      <c r="E12538" s="27"/>
      <c r="F12538" s="27"/>
      <c r="G12538" s="27"/>
      <c r="H12538" s="27"/>
      <c r="I12538" s="27"/>
      <c r="J12538" s="27"/>
      <c r="K12538" s="27"/>
      <c r="L12538" s="27"/>
      <c r="M12538" s="28"/>
      <c r="N12538" s="28"/>
      <c r="O12538" s="27"/>
      <c r="P12538" s="27"/>
    </row>
    <row r="12539">
      <c r="A12539" s="38"/>
      <c r="B12539" s="39"/>
      <c r="C12539" s="39"/>
      <c r="D12539" s="39"/>
      <c r="E12539" s="27"/>
      <c r="F12539" s="27"/>
      <c r="G12539" s="27"/>
      <c r="H12539" s="27"/>
      <c r="I12539" s="27"/>
      <c r="J12539" s="27"/>
      <c r="K12539" s="27"/>
      <c r="L12539" s="27"/>
      <c r="M12539" s="28"/>
      <c r="N12539" s="28"/>
      <c r="O12539" s="27"/>
      <c r="P12539" s="27"/>
    </row>
    <row r="12540">
      <c r="A12540" s="38"/>
      <c r="B12540" s="39"/>
      <c r="C12540" s="39"/>
      <c r="D12540" s="39"/>
      <c r="E12540" s="27"/>
      <c r="F12540" s="27"/>
      <c r="G12540" s="27"/>
      <c r="H12540" s="27"/>
      <c r="I12540" s="27"/>
      <c r="J12540" s="27"/>
      <c r="K12540" s="27"/>
      <c r="L12540" s="27"/>
      <c r="M12540" s="28"/>
      <c r="N12540" s="28"/>
      <c r="O12540" s="27"/>
      <c r="P12540" s="27"/>
    </row>
    <row r="12541">
      <c r="A12541" s="38"/>
      <c r="B12541" s="39"/>
      <c r="C12541" s="39"/>
      <c r="D12541" s="39"/>
      <c r="E12541" s="27"/>
      <c r="F12541" s="27"/>
      <c r="G12541" s="27"/>
      <c r="H12541" s="27"/>
      <c r="I12541" s="27"/>
      <c r="J12541" s="27"/>
      <c r="K12541" s="27"/>
      <c r="L12541" s="27"/>
      <c r="M12541" s="28"/>
      <c r="N12541" s="28"/>
      <c r="O12541" s="27"/>
      <c r="P12541" s="27"/>
    </row>
    <row r="12542">
      <c r="A12542" s="38"/>
      <c r="B12542" s="39"/>
      <c r="C12542" s="39"/>
      <c r="D12542" s="39"/>
      <c r="E12542" s="27"/>
      <c r="F12542" s="27"/>
      <c r="G12542" s="27"/>
      <c r="H12542" s="27"/>
      <c r="I12542" s="27"/>
      <c r="J12542" s="27"/>
      <c r="K12542" s="27"/>
      <c r="L12542" s="27"/>
      <c r="M12542" s="28"/>
      <c r="N12542" s="28"/>
      <c r="O12542" s="27"/>
      <c r="P12542" s="27"/>
    </row>
    <row r="12543">
      <c r="A12543" s="38"/>
      <c r="B12543" s="39"/>
      <c r="C12543" s="39"/>
      <c r="D12543" s="39"/>
      <c r="E12543" s="27"/>
      <c r="F12543" s="27"/>
      <c r="G12543" s="27"/>
      <c r="H12543" s="27"/>
      <c r="I12543" s="27"/>
      <c r="J12543" s="27"/>
      <c r="K12543" s="27"/>
      <c r="L12543" s="27"/>
      <c r="M12543" s="28"/>
      <c r="N12543" s="28"/>
      <c r="O12543" s="27"/>
      <c r="P12543" s="27"/>
    </row>
    <row r="12544">
      <c r="A12544" s="38"/>
      <c r="B12544" s="39"/>
      <c r="C12544" s="39"/>
      <c r="D12544" s="39"/>
      <c r="E12544" s="27"/>
      <c r="F12544" s="27"/>
      <c r="G12544" s="27"/>
      <c r="H12544" s="27"/>
      <c r="I12544" s="27"/>
      <c r="J12544" s="27"/>
      <c r="K12544" s="27"/>
      <c r="L12544" s="27"/>
      <c r="M12544" s="28"/>
      <c r="N12544" s="28"/>
      <c r="O12544" s="27"/>
      <c r="P12544" s="27"/>
    </row>
    <row r="12545">
      <c r="A12545" s="38"/>
      <c r="B12545" s="39"/>
      <c r="C12545" s="39"/>
      <c r="D12545" s="39"/>
      <c r="E12545" s="27"/>
      <c r="F12545" s="27"/>
      <c r="G12545" s="27"/>
      <c r="H12545" s="27"/>
      <c r="I12545" s="27"/>
      <c r="J12545" s="27"/>
      <c r="K12545" s="27"/>
      <c r="L12545" s="27"/>
      <c r="M12545" s="28"/>
      <c r="N12545" s="28"/>
      <c r="O12545" s="27"/>
      <c r="P12545" s="27"/>
    </row>
    <row r="12546">
      <c r="A12546" s="38"/>
      <c r="B12546" s="39"/>
      <c r="C12546" s="39"/>
      <c r="D12546" s="39"/>
      <c r="E12546" s="27"/>
      <c r="F12546" s="27"/>
      <c r="G12546" s="27"/>
      <c r="H12546" s="27"/>
      <c r="I12546" s="27"/>
      <c r="J12546" s="27"/>
      <c r="K12546" s="27"/>
      <c r="L12546" s="27"/>
      <c r="M12546" s="28"/>
      <c r="N12546" s="28"/>
      <c r="O12546" s="27"/>
      <c r="P12546" s="27"/>
    </row>
    <row r="12547">
      <c r="A12547" s="38"/>
      <c r="B12547" s="39"/>
      <c r="C12547" s="39"/>
      <c r="D12547" s="39"/>
      <c r="E12547" s="27"/>
      <c r="F12547" s="27"/>
      <c r="G12547" s="27"/>
      <c r="H12547" s="27"/>
      <c r="I12547" s="27"/>
      <c r="J12547" s="27"/>
      <c r="K12547" s="27"/>
      <c r="L12547" s="27"/>
      <c r="M12547" s="28"/>
      <c r="N12547" s="28"/>
      <c r="O12547" s="27"/>
      <c r="P12547" s="27"/>
    </row>
    <row r="12548">
      <c r="A12548" s="38"/>
      <c r="B12548" s="39"/>
      <c r="C12548" s="39"/>
      <c r="D12548" s="39"/>
      <c r="E12548" s="27"/>
      <c r="F12548" s="27"/>
      <c r="G12548" s="27"/>
      <c r="H12548" s="27"/>
      <c r="I12548" s="27"/>
      <c r="J12548" s="27"/>
      <c r="K12548" s="27"/>
      <c r="L12548" s="27"/>
      <c r="M12548" s="28"/>
      <c r="N12548" s="28"/>
      <c r="O12548" s="27"/>
      <c r="P12548" s="27"/>
    </row>
    <row r="12549">
      <c r="A12549" s="38"/>
      <c r="B12549" s="39"/>
      <c r="C12549" s="39"/>
      <c r="D12549" s="39"/>
      <c r="E12549" s="27"/>
      <c r="F12549" s="27"/>
      <c r="G12549" s="27"/>
      <c r="H12549" s="27"/>
      <c r="I12549" s="27"/>
      <c r="J12549" s="27"/>
      <c r="K12549" s="27"/>
      <c r="L12549" s="27"/>
      <c r="M12549" s="28"/>
      <c r="N12549" s="28"/>
      <c r="O12549" s="27"/>
      <c r="P12549" s="27"/>
    </row>
    <row r="12550">
      <c r="A12550" s="38"/>
      <c r="B12550" s="39"/>
      <c r="C12550" s="39"/>
      <c r="D12550" s="39"/>
      <c r="E12550" s="27"/>
      <c r="F12550" s="27"/>
      <c r="G12550" s="27"/>
      <c r="H12550" s="27"/>
      <c r="I12550" s="27"/>
      <c r="J12550" s="27"/>
      <c r="K12550" s="27"/>
      <c r="L12550" s="27"/>
      <c r="M12550" s="28"/>
      <c r="N12550" s="28"/>
      <c r="O12550" s="27"/>
      <c r="P12550" s="27"/>
    </row>
    <row r="12551">
      <c r="A12551" s="38"/>
      <c r="B12551" s="39"/>
      <c r="C12551" s="39"/>
      <c r="D12551" s="39"/>
      <c r="E12551" s="27"/>
      <c r="F12551" s="27"/>
      <c r="G12551" s="27"/>
      <c r="H12551" s="27"/>
      <c r="I12551" s="27"/>
      <c r="J12551" s="27"/>
      <c r="K12551" s="27"/>
      <c r="L12551" s="27"/>
      <c r="M12551" s="28"/>
      <c r="N12551" s="28"/>
      <c r="O12551" s="27"/>
      <c r="P12551" s="27"/>
    </row>
    <row r="12552">
      <c r="A12552" s="38"/>
      <c r="B12552" s="39"/>
      <c r="C12552" s="39"/>
      <c r="D12552" s="39"/>
      <c r="E12552" s="27"/>
      <c r="F12552" s="27"/>
      <c r="G12552" s="27"/>
      <c r="H12552" s="27"/>
      <c r="I12552" s="27"/>
      <c r="J12552" s="27"/>
      <c r="K12552" s="27"/>
      <c r="L12552" s="27"/>
      <c r="M12552" s="28"/>
      <c r="N12552" s="28"/>
      <c r="O12552" s="27"/>
      <c r="P12552" s="27"/>
    </row>
    <row r="12553">
      <c r="A12553" s="38"/>
      <c r="B12553" s="39"/>
      <c r="C12553" s="39"/>
      <c r="D12553" s="39"/>
      <c r="E12553" s="27"/>
      <c r="F12553" s="27"/>
      <c r="G12553" s="27"/>
      <c r="H12553" s="27"/>
      <c r="I12553" s="27"/>
      <c r="J12553" s="27"/>
      <c r="K12553" s="27"/>
      <c r="L12553" s="27"/>
      <c r="M12553" s="28"/>
      <c r="N12553" s="28"/>
      <c r="O12553" s="27"/>
      <c r="P12553" s="27"/>
    </row>
    <row r="12554">
      <c r="A12554" s="38"/>
      <c r="B12554" s="39"/>
      <c r="C12554" s="39"/>
      <c r="D12554" s="39"/>
      <c r="E12554" s="27"/>
      <c r="F12554" s="27"/>
      <c r="G12554" s="27"/>
      <c r="H12554" s="27"/>
      <c r="I12554" s="27"/>
      <c r="J12554" s="27"/>
      <c r="K12554" s="27"/>
      <c r="L12554" s="27"/>
      <c r="M12554" s="28"/>
      <c r="N12554" s="28"/>
      <c r="O12554" s="27"/>
      <c r="P12554" s="27"/>
    </row>
    <row r="12555">
      <c r="A12555" s="38"/>
      <c r="B12555" s="39"/>
      <c r="C12555" s="39"/>
      <c r="D12555" s="39"/>
      <c r="E12555" s="27"/>
      <c r="F12555" s="27"/>
      <c r="G12555" s="27"/>
      <c r="H12555" s="27"/>
      <c r="I12555" s="27"/>
      <c r="J12555" s="27"/>
      <c r="K12555" s="27"/>
      <c r="L12555" s="27"/>
      <c r="M12555" s="28"/>
      <c r="N12555" s="28"/>
      <c r="O12555" s="27"/>
      <c r="P12555" s="27"/>
    </row>
    <row r="12556">
      <c r="A12556" s="38"/>
      <c r="B12556" s="39"/>
      <c r="C12556" s="39"/>
      <c r="D12556" s="39"/>
      <c r="E12556" s="27"/>
      <c r="F12556" s="27"/>
      <c r="G12556" s="27"/>
      <c r="H12556" s="27"/>
      <c r="I12556" s="27"/>
      <c r="J12556" s="27"/>
      <c r="K12556" s="27"/>
      <c r="L12556" s="27"/>
      <c r="M12556" s="28"/>
      <c r="N12556" s="28"/>
      <c r="O12556" s="27"/>
      <c r="P12556" s="27"/>
    </row>
    <row r="12557">
      <c r="A12557" s="38"/>
      <c r="B12557" s="39"/>
      <c r="C12557" s="39"/>
      <c r="D12557" s="39"/>
      <c r="E12557" s="27"/>
      <c r="F12557" s="27"/>
      <c r="G12557" s="27"/>
      <c r="H12557" s="27"/>
      <c r="I12557" s="27"/>
      <c r="J12557" s="27"/>
      <c r="K12557" s="27"/>
      <c r="L12557" s="27"/>
      <c r="M12557" s="28"/>
      <c r="N12557" s="28"/>
      <c r="O12557" s="27"/>
      <c r="P12557" s="27"/>
    </row>
    <row r="12558">
      <c r="A12558" s="38"/>
      <c r="B12558" s="39"/>
      <c r="C12558" s="39"/>
      <c r="D12558" s="39"/>
      <c r="E12558" s="27"/>
      <c r="F12558" s="27"/>
      <c r="G12558" s="27"/>
      <c r="H12558" s="27"/>
      <c r="I12558" s="27"/>
      <c r="J12558" s="27"/>
      <c r="K12558" s="27"/>
      <c r="L12558" s="27"/>
      <c r="M12558" s="28"/>
      <c r="N12558" s="28"/>
      <c r="O12558" s="27"/>
      <c r="P12558" s="27"/>
    </row>
    <row r="12559">
      <c r="A12559" s="38"/>
      <c r="B12559" s="39"/>
      <c r="C12559" s="39"/>
      <c r="D12559" s="39"/>
      <c r="E12559" s="27"/>
      <c r="F12559" s="27"/>
      <c r="G12559" s="27"/>
      <c r="H12559" s="27"/>
      <c r="I12559" s="27"/>
      <c r="J12559" s="27"/>
      <c r="K12559" s="27"/>
      <c r="L12559" s="27"/>
      <c r="M12559" s="28"/>
      <c r="N12559" s="28"/>
      <c r="O12559" s="27"/>
      <c r="P12559" s="27"/>
    </row>
    <row r="12560">
      <c r="A12560" s="38"/>
      <c r="B12560" s="39"/>
      <c r="C12560" s="39"/>
      <c r="D12560" s="39"/>
      <c r="E12560" s="27"/>
      <c r="F12560" s="27"/>
      <c r="G12560" s="27"/>
      <c r="H12560" s="27"/>
      <c r="I12560" s="27"/>
      <c r="J12560" s="27"/>
      <c r="K12560" s="27"/>
      <c r="L12560" s="27"/>
      <c r="M12560" s="28"/>
      <c r="N12560" s="28"/>
      <c r="O12560" s="27"/>
      <c r="P12560" s="27"/>
    </row>
    <row r="12561">
      <c r="A12561" s="38"/>
      <c r="B12561" s="39"/>
      <c r="C12561" s="39"/>
      <c r="D12561" s="39"/>
      <c r="E12561" s="27"/>
      <c r="F12561" s="27"/>
      <c r="G12561" s="27"/>
      <c r="H12561" s="27"/>
      <c r="I12561" s="27"/>
      <c r="J12561" s="27"/>
      <c r="K12561" s="27"/>
      <c r="L12561" s="27"/>
      <c r="M12561" s="28"/>
      <c r="N12561" s="28"/>
      <c r="O12561" s="27"/>
      <c r="P12561" s="27"/>
    </row>
    <row r="12562">
      <c r="A12562" s="38"/>
      <c r="B12562" s="39"/>
      <c r="C12562" s="39"/>
      <c r="D12562" s="39"/>
      <c r="E12562" s="27"/>
      <c r="F12562" s="27"/>
      <c r="G12562" s="27"/>
      <c r="H12562" s="27"/>
      <c r="I12562" s="27"/>
      <c r="J12562" s="27"/>
      <c r="K12562" s="27"/>
      <c r="L12562" s="27"/>
      <c r="M12562" s="28"/>
      <c r="N12562" s="28"/>
      <c r="O12562" s="27"/>
      <c r="P12562" s="27"/>
    </row>
    <row r="12563">
      <c r="A12563" s="38"/>
      <c r="B12563" s="39"/>
      <c r="C12563" s="39"/>
      <c r="D12563" s="39"/>
      <c r="E12563" s="27"/>
      <c r="F12563" s="27"/>
      <c r="G12563" s="27"/>
      <c r="H12563" s="27"/>
      <c r="I12563" s="27"/>
      <c r="J12563" s="27"/>
      <c r="K12563" s="27"/>
      <c r="L12563" s="27"/>
      <c r="M12563" s="28"/>
      <c r="N12563" s="28"/>
      <c r="O12563" s="27"/>
      <c r="P12563" s="27"/>
    </row>
    <row r="12564">
      <c r="A12564" s="38"/>
      <c r="B12564" s="39"/>
      <c r="C12564" s="39"/>
      <c r="D12564" s="39"/>
      <c r="E12564" s="27"/>
      <c r="F12564" s="27"/>
      <c r="G12564" s="27"/>
      <c r="H12564" s="27"/>
      <c r="I12564" s="27"/>
      <c r="J12564" s="27"/>
      <c r="K12564" s="27"/>
      <c r="L12564" s="27"/>
      <c r="M12564" s="28"/>
      <c r="N12564" s="28"/>
      <c r="O12564" s="27"/>
      <c r="P12564" s="27"/>
    </row>
    <row r="12565">
      <c r="A12565" s="38"/>
      <c r="B12565" s="39"/>
      <c r="C12565" s="39"/>
      <c r="D12565" s="39"/>
      <c r="E12565" s="27"/>
      <c r="F12565" s="27"/>
      <c r="G12565" s="27"/>
      <c r="H12565" s="27"/>
      <c r="I12565" s="27"/>
      <c r="J12565" s="27"/>
      <c r="K12565" s="27"/>
      <c r="L12565" s="27"/>
      <c r="M12565" s="28"/>
      <c r="N12565" s="28"/>
      <c r="O12565" s="27"/>
      <c r="P12565" s="27"/>
    </row>
    <row r="12566">
      <c r="A12566" s="38"/>
      <c r="B12566" s="39"/>
      <c r="C12566" s="39"/>
      <c r="D12566" s="39"/>
      <c r="E12566" s="27"/>
      <c r="F12566" s="27"/>
      <c r="G12566" s="27"/>
      <c r="H12566" s="27"/>
      <c r="I12566" s="27"/>
      <c r="J12566" s="27"/>
      <c r="K12566" s="27"/>
      <c r="L12566" s="27"/>
      <c r="M12566" s="28"/>
      <c r="N12566" s="28"/>
      <c r="O12566" s="27"/>
      <c r="P12566" s="27"/>
    </row>
    <row r="12567">
      <c r="A12567" s="38"/>
      <c r="B12567" s="39"/>
      <c r="C12567" s="39"/>
      <c r="D12567" s="39"/>
      <c r="E12567" s="27"/>
      <c r="F12567" s="27"/>
      <c r="G12567" s="27"/>
      <c r="H12567" s="27"/>
      <c r="I12567" s="27"/>
      <c r="J12567" s="27"/>
      <c r="K12567" s="27"/>
      <c r="L12567" s="27"/>
      <c r="M12567" s="28"/>
      <c r="N12567" s="28"/>
      <c r="O12567" s="27"/>
      <c r="P12567" s="27"/>
    </row>
    <row r="12568">
      <c r="A12568" s="38"/>
      <c r="B12568" s="39"/>
      <c r="C12568" s="39"/>
      <c r="D12568" s="39"/>
      <c r="E12568" s="27"/>
      <c r="F12568" s="27"/>
      <c r="G12568" s="27"/>
      <c r="H12568" s="27"/>
      <c r="I12568" s="27"/>
      <c r="J12568" s="27"/>
      <c r="K12568" s="27"/>
      <c r="L12568" s="27"/>
      <c r="M12568" s="28"/>
      <c r="N12568" s="28"/>
      <c r="O12568" s="27"/>
      <c r="P12568" s="27"/>
    </row>
    <row r="12569">
      <c r="A12569" s="38"/>
      <c r="B12569" s="39"/>
      <c r="C12569" s="39"/>
      <c r="D12569" s="39"/>
      <c r="E12569" s="27"/>
      <c r="F12569" s="27"/>
      <c r="G12569" s="27"/>
      <c r="H12569" s="27"/>
      <c r="I12569" s="27"/>
      <c r="J12569" s="27"/>
      <c r="K12569" s="27"/>
      <c r="L12569" s="27"/>
      <c r="M12569" s="28"/>
      <c r="N12569" s="28"/>
      <c r="O12569" s="27"/>
      <c r="P12569" s="27"/>
    </row>
    <row r="12570">
      <c r="A12570" s="38"/>
      <c r="B12570" s="39"/>
      <c r="C12570" s="39"/>
      <c r="D12570" s="39"/>
      <c r="E12570" s="27"/>
      <c r="F12570" s="27"/>
      <c r="G12570" s="27"/>
      <c r="H12570" s="27"/>
      <c r="I12570" s="27"/>
      <c r="J12570" s="27"/>
      <c r="K12570" s="27"/>
      <c r="L12570" s="27"/>
      <c r="M12570" s="28"/>
      <c r="N12570" s="28"/>
      <c r="O12570" s="27"/>
      <c r="P12570" s="27"/>
    </row>
    <row r="12571">
      <c r="A12571" s="38"/>
      <c r="B12571" s="39"/>
      <c r="C12571" s="39"/>
      <c r="D12571" s="39"/>
      <c r="E12571" s="27"/>
      <c r="F12571" s="27"/>
      <c r="G12571" s="27"/>
      <c r="H12571" s="27"/>
      <c r="I12571" s="27"/>
      <c r="J12571" s="27"/>
      <c r="K12571" s="27"/>
      <c r="L12571" s="27"/>
      <c r="M12571" s="28"/>
      <c r="N12571" s="28"/>
      <c r="O12571" s="27"/>
      <c r="P12571" s="27"/>
    </row>
    <row r="12572">
      <c r="A12572" s="38"/>
      <c r="B12572" s="39"/>
      <c r="C12572" s="39"/>
      <c r="D12572" s="39"/>
      <c r="E12572" s="27"/>
      <c r="F12572" s="27"/>
      <c r="G12572" s="27"/>
      <c r="H12572" s="27"/>
      <c r="I12572" s="27"/>
      <c r="J12572" s="27"/>
      <c r="K12572" s="27"/>
      <c r="L12572" s="27"/>
      <c r="M12572" s="28"/>
      <c r="N12572" s="28"/>
      <c r="O12572" s="27"/>
      <c r="P12572" s="27"/>
    </row>
    <row r="12573">
      <c r="A12573" s="38"/>
      <c r="B12573" s="39"/>
      <c r="C12573" s="39"/>
      <c r="D12573" s="39"/>
      <c r="E12573" s="27"/>
      <c r="F12573" s="27"/>
      <c r="G12573" s="27"/>
      <c r="H12573" s="27"/>
      <c r="I12573" s="27"/>
      <c r="J12573" s="27"/>
      <c r="K12573" s="27"/>
      <c r="L12573" s="27"/>
      <c r="M12573" s="28"/>
      <c r="N12573" s="28"/>
      <c r="O12573" s="27"/>
      <c r="P12573" s="27"/>
    </row>
    <row r="12574">
      <c r="A12574" s="38"/>
      <c r="B12574" s="39"/>
      <c r="C12574" s="39"/>
      <c r="D12574" s="39"/>
      <c r="E12574" s="27"/>
      <c r="F12574" s="27"/>
      <c r="G12574" s="27"/>
      <c r="H12574" s="27"/>
      <c r="I12574" s="27"/>
      <c r="J12574" s="27"/>
      <c r="K12574" s="27"/>
      <c r="L12574" s="27"/>
      <c r="M12574" s="28"/>
      <c r="N12574" s="28"/>
      <c r="O12574" s="27"/>
      <c r="P12574" s="27"/>
    </row>
    <row r="12575">
      <c r="A12575" s="38"/>
      <c r="B12575" s="39"/>
      <c r="C12575" s="39"/>
      <c r="D12575" s="39"/>
      <c r="E12575" s="27"/>
      <c r="F12575" s="27"/>
      <c r="G12575" s="27"/>
      <c r="H12575" s="27"/>
      <c r="I12575" s="27"/>
      <c r="J12575" s="27"/>
      <c r="K12575" s="27"/>
      <c r="L12575" s="27"/>
      <c r="M12575" s="28"/>
      <c r="N12575" s="28"/>
      <c r="O12575" s="27"/>
      <c r="P12575" s="27"/>
    </row>
    <row r="12576">
      <c r="A12576" s="38"/>
      <c r="B12576" s="39"/>
      <c r="C12576" s="39"/>
      <c r="D12576" s="39"/>
      <c r="E12576" s="27"/>
      <c r="F12576" s="27"/>
      <c r="G12576" s="27"/>
      <c r="H12576" s="27"/>
      <c r="I12576" s="27"/>
      <c r="J12576" s="27"/>
      <c r="K12576" s="27"/>
      <c r="L12576" s="27"/>
      <c r="M12576" s="28"/>
      <c r="N12576" s="28"/>
      <c r="O12576" s="27"/>
      <c r="P12576" s="27"/>
    </row>
    <row r="12577">
      <c r="A12577" s="38"/>
      <c r="B12577" s="39"/>
      <c r="C12577" s="39"/>
      <c r="D12577" s="39"/>
      <c r="E12577" s="27"/>
      <c r="F12577" s="27"/>
      <c r="G12577" s="27"/>
      <c r="H12577" s="27"/>
      <c r="I12577" s="27"/>
      <c r="J12577" s="27"/>
      <c r="K12577" s="27"/>
      <c r="L12577" s="27"/>
      <c r="M12577" s="28"/>
      <c r="N12577" s="28"/>
      <c r="O12577" s="27"/>
      <c r="P12577" s="27"/>
    </row>
    <row r="12578">
      <c r="A12578" s="38"/>
      <c r="B12578" s="39"/>
      <c r="C12578" s="39"/>
      <c r="D12578" s="39"/>
      <c r="E12578" s="27"/>
      <c r="F12578" s="27"/>
      <c r="G12578" s="27"/>
      <c r="H12578" s="27"/>
      <c r="I12578" s="27"/>
      <c r="J12578" s="27"/>
      <c r="K12578" s="27"/>
      <c r="L12578" s="27"/>
      <c r="M12578" s="28"/>
      <c r="N12578" s="28"/>
      <c r="O12578" s="27"/>
      <c r="P12578" s="27"/>
    </row>
    <row r="12579">
      <c r="A12579" s="38"/>
      <c r="B12579" s="39"/>
      <c r="C12579" s="39"/>
      <c r="D12579" s="39"/>
      <c r="E12579" s="27"/>
      <c r="F12579" s="27"/>
      <c r="G12579" s="27"/>
      <c r="H12579" s="27"/>
      <c r="I12579" s="27"/>
      <c r="J12579" s="27"/>
      <c r="K12579" s="27"/>
      <c r="L12579" s="27"/>
      <c r="M12579" s="28"/>
      <c r="N12579" s="28"/>
      <c r="O12579" s="27"/>
      <c r="P12579" s="27"/>
    </row>
    <row r="12580">
      <c r="A12580" s="38"/>
      <c r="B12580" s="39"/>
      <c r="C12580" s="39"/>
      <c r="D12580" s="39"/>
      <c r="E12580" s="27"/>
      <c r="F12580" s="27"/>
      <c r="G12580" s="27"/>
      <c r="H12580" s="27"/>
      <c r="I12580" s="27"/>
      <c r="J12580" s="27"/>
      <c r="K12580" s="27"/>
      <c r="L12580" s="27"/>
      <c r="M12580" s="28"/>
      <c r="N12580" s="28"/>
      <c r="O12580" s="27"/>
      <c r="P12580" s="27"/>
    </row>
    <row r="12581">
      <c r="A12581" s="38"/>
      <c r="B12581" s="39"/>
      <c r="C12581" s="39"/>
      <c r="D12581" s="39"/>
      <c r="E12581" s="27"/>
      <c r="F12581" s="27"/>
      <c r="G12581" s="27"/>
      <c r="H12581" s="27"/>
      <c r="I12581" s="27"/>
      <c r="J12581" s="27"/>
      <c r="K12581" s="27"/>
      <c r="L12581" s="27"/>
      <c r="M12581" s="28"/>
      <c r="N12581" s="28"/>
      <c r="O12581" s="27"/>
      <c r="P12581" s="27"/>
    </row>
    <row r="12582">
      <c r="A12582" s="38"/>
      <c r="B12582" s="39"/>
      <c r="C12582" s="39"/>
      <c r="D12582" s="39"/>
      <c r="E12582" s="27"/>
      <c r="F12582" s="27"/>
      <c r="G12582" s="27"/>
      <c r="H12582" s="27"/>
      <c r="I12582" s="27"/>
      <c r="J12582" s="27"/>
      <c r="K12582" s="27"/>
      <c r="L12582" s="27"/>
      <c r="M12582" s="28"/>
      <c r="N12582" s="28"/>
      <c r="O12582" s="27"/>
      <c r="P12582" s="27"/>
    </row>
    <row r="12583">
      <c r="A12583" s="38"/>
      <c r="B12583" s="39"/>
      <c r="C12583" s="39"/>
      <c r="D12583" s="39"/>
      <c r="E12583" s="27"/>
      <c r="F12583" s="27"/>
      <c r="G12583" s="27"/>
      <c r="H12583" s="27"/>
      <c r="I12583" s="27"/>
      <c r="J12583" s="27"/>
      <c r="K12583" s="27"/>
      <c r="L12583" s="27"/>
      <c r="M12583" s="28"/>
      <c r="N12583" s="28"/>
      <c r="O12583" s="27"/>
      <c r="P12583" s="27"/>
    </row>
    <row r="12584">
      <c r="A12584" s="38"/>
      <c r="B12584" s="39"/>
      <c r="C12584" s="39"/>
      <c r="D12584" s="39"/>
      <c r="E12584" s="27"/>
      <c r="F12584" s="27"/>
      <c r="G12584" s="27"/>
      <c r="H12584" s="27"/>
      <c r="I12584" s="27"/>
      <c r="J12584" s="27"/>
      <c r="K12584" s="27"/>
      <c r="L12584" s="27"/>
      <c r="M12584" s="28"/>
      <c r="N12584" s="28"/>
      <c r="O12584" s="27"/>
      <c r="P12584" s="27"/>
    </row>
    <row r="12585">
      <c r="A12585" s="38"/>
      <c r="B12585" s="39"/>
      <c r="C12585" s="39"/>
      <c r="D12585" s="39"/>
      <c r="E12585" s="27"/>
      <c r="F12585" s="27"/>
      <c r="G12585" s="27"/>
      <c r="H12585" s="27"/>
      <c r="I12585" s="27"/>
      <c r="J12585" s="27"/>
      <c r="K12585" s="27"/>
      <c r="L12585" s="27"/>
      <c r="M12585" s="28"/>
      <c r="N12585" s="28"/>
      <c r="O12585" s="27"/>
      <c r="P12585" s="27"/>
    </row>
    <row r="12586">
      <c r="A12586" s="38"/>
      <c r="B12586" s="39"/>
      <c r="C12586" s="39"/>
      <c r="D12586" s="39"/>
      <c r="E12586" s="27"/>
      <c r="F12586" s="27"/>
      <c r="G12586" s="27"/>
      <c r="H12586" s="27"/>
      <c r="I12586" s="27"/>
      <c r="J12586" s="27"/>
      <c r="K12586" s="27"/>
      <c r="L12586" s="27"/>
      <c r="M12586" s="28"/>
      <c r="N12586" s="28"/>
      <c r="O12586" s="27"/>
      <c r="P12586" s="27"/>
    </row>
    <row r="12587">
      <c r="A12587" s="38"/>
      <c r="B12587" s="39"/>
      <c r="C12587" s="39"/>
      <c r="D12587" s="39"/>
      <c r="E12587" s="27"/>
      <c r="F12587" s="27"/>
      <c r="G12587" s="27"/>
      <c r="H12587" s="27"/>
      <c r="I12587" s="27"/>
      <c r="J12587" s="27"/>
      <c r="K12587" s="27"/>
      <c r="L12587" s="27"/>
      <c r="M12587" s="28"/>
      <c r="N12587" s="28"/>
      <c r="O12587" s="27"/>
      <c r="P12587" s="27"/>
    </row>
    <row r="12588">
      <c r="A12588" s="38"/>
      <c r="B12588" s="39"/>
      <c r="C12588" s="39"/>
      <c r="D12588" s="39"/>
      <c r="E12588" s="27"/>
      <c r="F12588" s="27"/>
      <c r="G12588" s="27"/>
      <c r="H12588" s="27"/>
      <c r="I12588" s="27"/>
      <c r="J12588" s="27"/>
      <c r="K12588" s="27"/>
      <c r="L12588" s="27"/>
      <c r="M12588" s="28"/>
      <c r="N12588" s="28"/>
      <c r="O12588" s="27"/>
      <c r="P12588" s="27"/>
    </row>
    <row r="12589">
      <c r="A12589" s="38"/>
      <c r="B12589" s="39"/>
      <c r="C12589" s="39"/>
      <c r="D12589" s="39"/>
      <c r="E12589" s="27"/>
      <c r="F12589" s="27"/>
      <c r="G12589" s="27"/>
      <c r="H12589" s="27"/>
      <c r="I12589" s="27"/>
      <c r="J12589" s="27"/>
      <c r="K12589" s="27"/>
      <c r="L12589" s="27"/>
      <c r="M12589" s="28"/>
      <c r="N12589" s="28"/>
      <c r="O12589" s="27"/>
      <c r="P12589" s="27"/>
    </row>
    <row r="12590">
      <c r="A12590" s="38"/>
      <c r="B12590" s="39"/>
      <c r="C12590" s="39"/>
      <c r="D12590" s="39"/>
      <c r="E12590" s="27"/>
      <c r="F12590" s="27"/>
      <c r="G12590" s="27"/>
      <c r="H12590" s="27"/>
      <c r="I12590" s="27"/>
      <c r="J12590" s="27"/>
      <c r="K12590" s="27"/>
      <c r="L12590" s="27"/>
      <c r="M12590" s="28"/>
      <c r="N12590" s="28"/>
      <c r="O12590" s="27"/>
      <c r="P12590" s="27"/>
    </row>
    <row r="12591">
      <c r="A12591" s="38"/>
      <c r="B12591" s="39"/>
      <c r="C12591" s="39"/>
      <c r="D12591" s="39"/>
      <c r="E12591" s="27"/>
      <c r="F12591" s="27"/>
      <c r="G12591" s="27"/>
      <c r="H12591" s="27"/>
      <c r="I12591" s="27"/>
      <c r="J12591" s="27"/>
      <c r="K12591" s="27"/>
      <c r="L12591" s="27"/>
      <c r="M12591" s="28"/>
      <c r="N12591" s="28"/>
      <c r="O12591" s="27"/>
      <c r="P12591" s="27"/>
    </row>
    <row r="12592">
      <c r="A12592" s="38"/>
      <c r="B12592" s="39"/>
      <c r="C12592" s="39"/>
      <c r="D12592" s="39"/>
      <c r="E12592" s="27"/>
      <c r="F12592" s="27"/>
      <c r="G12592" s="27"/>
      <c r="H12592" s="27"/>
      <c r="I12592" s="27"/>
      <c r="J12592" s="27"/>
      <c r="K12592" s="27"/>
      <c r="L12592" s="27"/>
      <c r="M12592" s="28"/>
      <c r="N12592" s="28"/>
      <c r="O12592" s="27"/>
      <c r="P12592" s="27"/>
    </row>
    <row r="12593">
      <c r="A12593" s="38"/>
      <c r="B12593" s="39"/>
      <c r="C12593" s="39"/>
      <c r="D12593" s="39"/>
      <c r="E12593" s="27"/>
      <c r="F12593" s="27"/>
      <c r="G12593" s="27"/>
      <c r="H12593" s="27"/>
      <c r="I12593" s="27"/>
      <c r="J12593" s="27"/>
      <c r="K12593" s="27"/>
      <c r="L12593" s="27"/>
      <c r="M12593" s="28"/>
      <c r="N12593" s="28"/>
      <c r="O12593" s="27"/>
      <c r="P12593" s="27"/>
    </row>
    <row r="12594">
      <c r="A12594" s="38"/>
      <c r="B12594" s="39"/>
      <c r="C12594" s="39"/>
      <c r="D12594" s="39"/>
      <c r="E12594" s="27"/>
      <c r="F12594" s="27"/>
      <c r="G12594" s="27"/>
      <c r="H12594" s="27"/>
      <c r="I12594" s="27"/>
      <c r="J12594" s="27"/>
      <c r="K12594" s="27"/>
      <c r="L12594" s="27"/>
      <c r="M12594" s="28"/>
      <c r="N12594" s="28"/>
      <c r="O12594" s="27"/>
      <c r="P12594" s="27"/>
    </row>
    <row r="12595">
      <c r="A12595" s="38"/>
      <c r="B12595" s="39"/>
      <c r="C12595" s="39"/>
      <c r="D12595" s="39"/>
      <c r="E12595" s="27"/>
      <c r="F12595" s="27"/>
      <c r="G12595" s="27"/>
      <c r="H12595" s="27"/>
      <c r="I12595" s="27"/>
      <c r="J12595" s="27"/>
      <c r="K12595" s="27"/>
      <c r="L12595" s="27"/>
      <c r="M12595" s="28"/>
      <c r="N12595" s="28"/>
      <c r="O12595" s="27"/>
      <c r="P12595" s="27"/>
    </row>
    <row r="12596">
      <c r="A12596" s="38"/>
      <c r="B12596" s="39"/>
      <c r="C12596" s="39"/>
      <c r="D12596" s="39"/>
      <c r="E12596" s="27"/>
      <c r="F12596" s="27"/>
      <c r="G12596" s="27"/>
      <c r="H12596" s="27"/>
      <c r="I12596" s="27"/>
      <c r="J12596" s="27"/>
      <c r="K12596" s="27"/>
      <c r="L12596" s="27"/>
      <c r="M12596" s="28"/>
      <c r="N12596" s="28"/>
      <c r="O12596" s="27"/>
      <c r="P12596" s="27"/>
    </row>
    <row r="12597">
      <c r="A12597" s="38"/>
      <c r="B12597" s="39"/>
      <c r="C12597" s="39"/>
      <c r="D12597" s="39"/>
      <c r="E12597" s="27"/>
      <c r="F12597" s="27"/>
      <c r="G12597" s="27"/>
      <c r="H12597" s="27"/>
      <c r="I12597" s="27"/>
      <c r="J12597" s="27"/>
      <c r="K12597" s="27"/>
      <c r="L12597" s="27"/>
      <c r="M12597" s="28"/>
      <c r="N12597" s="28"/>
      <c r="O12597" s="27"/>
      <c r="P12597" s="27"/>
    </row>
    <row r="12598">
      <c r="A12598" s="38"/>
      <c r="B12598" s="39"/>
      <c r="C12598" s="39"/>
      <c r="D12598" s="39"/>
      <c r="E12598" s="27"/>
      <c r="F12598" s="27"/>
      <c r="G12598" s="27"/>
      <c r="H12598" s="27"/>
      <c r="I12598" s="27"/>
      <c r="J12598" s="27"/>
      <c r="K12598" s="27"/>
      <c r="L12598" s="27"/>
      <c r="M12598" s="28"/>
      <c r="N12598" s="28"/>
      <c r="O12598" s="27"/>
      <c r="P12598" s="27"/>
    </row>
    <row r="12599">
      <c r="A12599" s="38"/>
      <c r="B12599" s="39"/>
      <c r="C12599" s="39"/>
      <c r="D12599" s="39"/>
      <c r="E12599" s="27"/>
      <c r="F12599" s="27"/>
      <c r="G12599" s="27"/>
      <c r="H12599" s="27"/>
      <c r="I12599" s="27"/>
      <c r="J12599" s="27"/>
      <c r="K12599" s="27"/>
      <c r="L12599" s="27"/>
      <c r="M12599" s="28"/>
      <c r="N12599" s="28"/>
      <c r="O12599" s="27"/>
      <c r="P12599" s="27"/>
    </row>
    <row r="12600">
      <c r="A12600" s="38"/>
      <c r="B12600" s="39"/>
      <c r="C12600" s="39"/>
      <c r="D12600" s="39"/>
      <c r="E12600" s="27"/>
      <c r="F12600" s="27"/>
      <c r="G12600" s="27"/>
      <c r="H12600" s="27"/>
      <c r="I12600" s="27"/>
      <c r="J12600" s="27"/>
      <c r="K12600" s="27"/>
      <c r="L12600" s="27"/>
      <c r="M12600" s="28"/>
      <c r="N12600" s="28"/>
      <c r="O12600" s="27"/>
      <c r="P12600" s="27"/>
    </row>
    <row r="12601">
      <c r="A12601" s="38"/>
      <c r="B12601" s="39"/>
      <c r="C12601" s="39"/>
      <c r="D12601" s="39"/>
      <c r="E12601" s="27"/>
      <c r="F12601" s="27"/>
      <c r="G12601" s="27"/>
      <c r="H12601" s="27"/>
      <c r="I12601" s="27"/>
      <c r="J12601" s="27"/>
      <c r="K12601" s="27"/>
      <c r="L12601" s="27"/>
      <c r="M12601" s="28"/>
      <c r="N12601" s="28"/>
      <c r="O12601" s="27"/>
      <c r="P12601" s="27"/>
    </row>
    <row r="12602">
      <c r="A12602" s="38"/>
      <c r="B12602" s="39"/>
      <c r="C12602" s="39"/>
      <c r="D12602" s="39"/>
      <c r="E12602" s="27"/>
      <c r="F12602" s="27"/>
      <c r="G12602" s="27"/>
      <c r="H12602" s="27"/>
      <c r="I12602" s="27"/>
      <c r="J12602" s="27"/>
      <c r="K12602" s="27"/>
      <c r="L12602" s="27"/>
      <c r="M12602" s="28"/>
      <c r="N12602" s="28"/>
      <c r="O12602" s="27"/>
      <c r="P12602" s="27"/>
    </row>
    <row r="12603">
      <c r="A12603" s="38"/>
      <c r="B12603" s="39"/>
      <c r="C12603" s="39"/>
      <c r="D12603" s="39"/>
      <c r="E12603" s="27"/>
      <c r="F12603" s="27"/>
      <c r="G12603" s="27"/>
      <c r="H12603" s="27"/>
      <c r="I12603" s="27"/>
      <c r="J12603" s="27"/>
      <c r="K12603" s="27"/>
      <c r="L12603" s="27"/>
      <c r="M12603" s="28"/>
      <c r="N12603" s="28"/>
      <c r="O12603" s="27"/>
      <c r="P12603" s="27"/>
    </row>
    <row r="12604">
      <c r="A12604" s="38"/>
      <c r="B12604" s="39"/>
      <c r="C12604" s="39"/>
      <c r="D12604" s="39"/>
      <c r="E12604" s="27"/>
      <c r="F12604" s="27"/>
      <c r="G12604" s="27"/>
      <c r="H12604" s="27"/>
      <c r="I12604" s="27"/>
      <c r="J12604" s="27"/>
      <c r="K12604" s="27"/>
      <c r="L12604" s="27"/>
      <c r="M12604" s="28"/>
      <c r="N12604" s="28"/>
      <c r="O12604" s="27"/>
      <c r="P12604" s="27"/>
    </row>
    <row r="12605">
      <c r="A12605" s="38"/>
      <c r="B12605" s="39"/>
      <c r="C12605" s="39"/>
      <c r="D12605" s="39"/>
      <c r="E12605" s="27"/>
      <c r="F12605" s="27"/>
      <c r="G12605" s="27"/>
      <c r="H12605" s="27"/>
      <c r="I12605" s="27"/>
      <c r="J12605" s="27"/>
      <c r="K12605" s="27"/>
      <c r="L12605" s="27"/>
      <c r="M12605" s="28"/>
      <c r="N12605" s="28"/>
      <c r="O12605" s="27"/>
      <c r="P12605" s="27"/>
    </row>
    <row r="12606">
      <c r="A12606" s="38"/>
      <c r="B12606" s="39"/>
      <c r="C12606" s="39"/>
      <c r="D12606" s="39"/>
      <c r="E12606" s="27"/>
      <c r="F12606" s="27"/>
      <c r="G12606" s="27"/>
      <c r="H12606" s="27"/>
      <c r="I12606" s="27"/>
      <c r="J12606" s="27"/>
      <c r="K12606" s="27"/>
      <c r="L12606" s="27"/>
      <c r="M12606" s="28"/>
      <c r="N12606" s="28"/>
      <c r="O12606" s="27"/>
      <c r="P12606" s="27"/>
    </row>
    <row r="12607">
      <c r="A12607" s="38"/>
      <c r="B12607" s="39"/>
      <c r="C12607" s="39"/>
      <c r="D12607" s="39"/>
      <c r="E12607" s="27"/>
      <c r="F12607" s="27"/>
      <c r="G12607" s="27"/>
      <c r="H12607" s="27"/>
      <c r="I12607" s="27"/>
      <c r="J12607" s="27"/>
      <c r="K12607" s="27"/>
      <c r="L12607" s="27"/>
      <c r="M12607" s="28"/>
      <c r="N12607" s="28"/>
      <c r="O12607" s="27"/>
      <c r="P12607" s="27"/>
    </row>
    <row r="12608">
      <c r="A12608" s="38"/>
      <c r="B12608" s="39"/>
      <c r="C12608" s="39"/>
      <c r="D12608" s="39"/>
      <c r="E12608" s="27"/>
      <c r="F12608" s="27"/>
      <c r="G12608" s="27"/>
      <c r="H12608" s="27"/>
      <c r="I12608" s="27"/>
      <c r="J12608" s="27"/>
      <c r="K12608" s="27"/>
      <c r="L12608" s="27"/>
      <c r="M12608" s="28"/>
      <c r="N12608" s="28"/>
      <c r="O12608" s="27"/>
      <c r="P12608" s="27"/>
    </row>
    <row r="12609">
      <c r="A12609" s="38"/>
      <c r="B12609" s="39"/>
      <c r="C12609" s="39"/>
      <c r="D12609" s="39"/>
      <c r="E12609" s="27"/>
      <c r="F12609" s="27"/>
      <c r="G12609" s="27"/>
      <c r="H12609" s="27"/>
      <c r="I12609" s="27"/>
      <c r="J12609" s="27"/>
      <c r="K12609" s="27"/>
      <c r="L12609" s="27"/>
      <c r="M12609" s="28"/>
      <c r="N12609" s="28"/>
      <c r="O12609" s="27"/>
      <c r="P12609" s="27"/>
    </row>
    <row r="12610">
      <c r="A12610" s="38"/>
      <c r="B12610" s="39"/>
      <c r="C12610" s="39"/>
      <c r="D12610" s="39"/>
      <c r="E12610" s="27"/>
      <c r="F12610" s="27"/>
      <c r="G12610" s="27"/>
      <c r="H12610" s="27"/>
      <c r="I12610" s="27"/>
      <c r="J12610" s="27"/>
      <c r="K12610" s="27"/>
      <c r="L12610" s="27"/>
      <c r="M12610" s="28"/>
      <c r="N12610" s="28"/>
      <c r="O12610" s="27"/>
      <c r="P12610" s="27"/>
    </row>
    <row r="12611">
      <c r="A12611" s="38"/>
      <c r="B12611" s="39"/>
      <c r="C12611" s="39"/>
      <c r="D12611" s="39"/>
      <c r="E12611" s="27"/>
      <c r="F12611" s="27"/>
      <c r="G12611" s="27"/>
      <c r="H12611" s="27"/>
      <c r="I12611" s="27"/>
      <c r="J12611" s="27"/>
      <c r="K12611" s="27"/>
      <c r="L12611" s="27"/>
      <c r="M12611" s="28"/>
      <c r="N12611" s="28"/>
      <c r="O12611" s="27"/>
      <c r="P12611" s="27"/>
    </row>
    <row r="12612">
      <c r="A12612" s="38"/>
      <c r="B12612" s="39"/>
      <c r="C12612" s="39"/>
      <c r="D12612" s="39"/>
      <c r="E12612" s="27"/>
      <c r="F12612" s="27"/>
      <c r="G12612" s="27"/>
      <c r="H12612" s="27"/>
      <c r="I12612" s="27"/>
      <c r="J12612" s="27"/>
      <c r="K12612" s="27"/>
      <c r="L12612" s="27"/>
      <c r="M12612" s="28"/>
      <c r="N12612" s="28"/>
      <c r="O12612" s="27"/>
      <c r="P12612" s="27"/>
    </row>
    <row r="12613">
      <c r="A12613" s="38"/>
      <c r="B12613" s="39"/>
      <c r="C12613" s="39"/>
      <c r="D12613" s="39"/>
      <c r="E12613" s="27"/>
      <c r="F12613" s="27"/>
      <c r="G12613" s="27"/>
      <c r="H12613" s="27"/>
      <c r="I12613" s="27"/>
      <c r="J12613" s="27"/>
      <c r="K12613" s="27"/>
      <c r="L12613" s="27"/>
      <c r="M12613" s="28"/>
      <c r="N12613" s="28"/>
      <c r="O12613" s="27"/>
      <c r="P12613" s="27"/>
    </row>
    <row r="12614">
      <c r="A12614" s="38"/>
      <c r="B12614" s="39"/>
      <c r="C12614" s="39"/>
      <c r="D12614" s="39"/>
      <c r="E12614" s="27"/>
      <c r="F12614" s="27"/>
      <c r="G12614" s="27"/>
      <c r="H12614" s="27"/>
      <c r="I12614" s="27"/>
      <c r="J12614" s="27"/>
      <c r="K12614" s="27"/>
      <c r="L12614" s="27"/>
      <c r="M12614" s="28"/>
      <c r="N12614" s="28"/>
      <c r="O12614" s="27"/>
      <c r="P12614" s="27"/>
    </row>
    <row r="12615">
      <c r="A12615" s="38"/>
      <c r="B12615" s="39"/>
      <c r="C12615" s="39"/>
      <c r="D12615" s="39"/>
      <c r="E12615" s="27"/>
      <c r="F12615" s="27"/>
      <c r="G12615" s="27"/>
      <c r="H12615" s="27"/>
      <c r="I12615" s="27"/>
      <c r="J12615" s="27"/>
      <c r="K12615" s="27"/>
      <c r="L12615" s="27"/>
      <c r="M12615" s="28"/>
      <c r="N12615" s="28"/>
      <c r="O12615" s="27"/>
      <c r="P12615" s="27"/>
    </row>
    <row r="12616">
      <c r="A12616" s="38"/>
      <c r="B12616" s="39"/>
      <c r="C12616" s="39"/>
      <c r="D12616" s="39"/>
      <c r="E12616" s="27"/>
      <c r="F12616" s="27"/>
      <c r="G12616" s="27"/>
      <c r="H12616" s="27"/>
      <c r="I12616" s="27"/>
      <c r="J12616" s="27"/>
      <c r="K12616" s="27"/>
      <c r="L12616" s="27"/>
      <c r="M12616" s="28"/>
      <c r="N12616" s="28"/>
      <c r="O12616" s="27"/>
      <c r="P12616" s="27"/>
    </row>
    <row r="12617">
      <c r="A12617" s="38"/>
      <c r="B12617" s="39"/>
      <c r="C12617" s="39"/>
      <c r="D12617" s="39"/>
      <c r="E12617" s="27"/>
      <c r="F12617" s="27"/>
      <c r="G12617" s="27"/>
      <c r="H12617" s="27"/>
      <c r="I12617" s="27"/>
      <c r="J12617" s="27"/>
      <c r="K12617" s="27"/>
      <c r="L12617" s="27"/>
      <c r="M12617" s="28"/>
      <c r="N12617" s="28"/>
      <c r="O12617" s="27"/>
      <c r="P12617" s="27"/>
    </row>
    <row r="12618">
      <c r="A12618" s="38"/>
      <c r="B12618" s="39"/>
      <c r="C12618" s="39"/>
      <c r="D12618" s="39"/>
      <c r="E12618" s="27"/>
      <c r="F12618" s="27"/>
      <c r="G12618" s="27"/>
      <c r="H12618" s="27"/>
      <c r="I12618" s="27"/>
      <c r="J12618" s="27"/>
      <c r="K12618" s="27"/>
      <c r="L12618" s="27"/>
      <c r="M12618" s="28"/>
      <c r="N12618" s="28"/>
      <c r="O12618" s="27"/>
      <c r="P12618" s="27"/>
    </row>
    <row r="12619">
      <c r="A12619" s="38"/>
      <c r="B12619" s="39"/>
      <c r="C12619" s="39"/>
      <c r="D12619" s="39"/>
      <c r="E12619" s="27"/>
      <c r="F12619" s="27"/>
      <c r="G12619" s="27"/>
      <c r="H12619" s="27"/>
      <c r="I12619" s="27"/>
      <c r="J12619" s="27"/>
      <c r="K12619" s="27"/>
      <c r="L12619" s="27"/>
      <c r="M12619" s="28"/>
      <c r="N12619" s="28"/>
      <c r="O12619" s="27"/>
      <c r="P12619" s="27"/>
    </row>
    <row r="12620">
      <c r="A12620" s="38"/>
      <c r="B12620" s="39"/>
      <c r="C12620" s="39"/>
      <c r="D12620" s="39"/>
      <c r="E12620" s="27"/>
      <c r="F12620" s="27"/>
      <c r="G12620" s="27"/>
      <c r="H12620" s="27"/>
      <c r="I12620" s="27"/>
      <c r="J12620" s="27"/>
      <c r="K12620" s="27"/>
      <c r="L12620" s="27"/>
      <c r="M12620" s="28"/>
      <c r="N12620" s="28"/>
      <c r="O12620" s="27"/>
      <c r="P12620" s="27"/>
    </row>
    <row r="12621">
      <c r="A12621" s="38"/>
      <c r="B12621" s="39"/>
      <c r="C12621" s="39"/>
      <c r="D12621" s="39"/>
      <c r="E12621" s="27"/>
      <c r="F12621" s="27"/>
      <c r="G12621" s="27"/>
      <c r="H12621" s="27"/>
      <c r="I12621" s="27"/>
      <c r="J12621" s="27"/>
      <c r="K12621" s="27"/>
      <c r="L12621" s="27"/>
      <c r="M12621" s="28"/>
      <c r="N12621" s="28"/>
      <c r="O12621" s="27"/>
      <c r="P12621" s="27"/>
    </row>
    <row r="12622">
      <c r="A12622" s="38"/>
      <c r="B12622" s="39"/>
      <c r="C12622" s="39"/>
      <c r="D12622" s="39"/>
      <c r="E12622" s="27"/>
      <c r="F12622" s="27"/>
      <c r="G12622" s="27"/>
      <c r="H12622" s="27"/>
      <c r="I12622" s="27"/>
      <c r="J12622" s="27"/>
      <c r="K12622" s="27"/>
      <c r="L12622" s="27"/>
      <c r="M12622" s="28"/>
      <c r="N12622" s="28"/>
      <c r="O12622" s="27"/>
      <c r="P12622" s="27"/>
    </row>
    <row r="12623">
      <c r="A12623" s="38"/>
      <c r="B12623" s="39"/>
      <c r="C12623" s="39"/>
      <c r="D12623" s="39"/>
      <c r="E12623" s="27"/>
      <c r="F12623" s="27"/>
      <c r="G12623" s="27"/>
      <c r="H12623" s="27"/>
      <c r="I12623" s="27"/>
      <c r="J12623" s="27"/>
      <c r="K12623" s="27"/>
      <c r="L12623" s="27"/>
      <c r="M12623" s="28"/>
      <c r="N12623" s="28"/>
      <c r="O12623" s="27"/>
      <c r="P12623" s="27"/>
    </row>
    <row r="12624">
      <c r="A12624" s="38"/>
      <c r="B12624" s="39"/>
      <c r="C12624" s="39"/>
      <c r="D12624" s="39"/>
      <c r="E12624" s="27"/>
      <c r="F12624" s="27"/>
      <c r="G12624" s="27"/>
      <c r="H12624" s="27"/>
      <c r="I12624" s="27"/>
      <c r="J12624" s="27"/>
      <c r="K12624" s="27"/>
      <c r="L12624" s="27"/>
      <c r="M12624" s="28"/>
      <c r="N12624" s="28"/>
      <c r="O12624" s="27"/>
      <c r="P12624" s="27"/>
    </row>
    <row r="12625">
      <c r="A12625" s="38"/>
      <c r="B12625" s="39"/>
      <c r="C12625" s="39"/>
      <c r="D12625" s="39"/>
      <c r="E12625" s="27"/>
      <c r="F12625" s="27"/>
      <c r="G12625" s="27"/>
      <c r="H12625" s="27"/>
      <c r="I12625" s="27"/>
      <c r="J12625" s="27"/>
      <c r="K12625" s="27"/>
      <c r="L12625" s="27"/>
      <c r="M12625" s="28"/>
      <c r="N12625" s="28"/>
      <c r="O12625" s="27"/>
      <c r="P12625" s="27"/>
    </row>
    <row r="12626">
      <c r="A12626" s="38"/>
      <c r="B12626" s="39"/>
      <c r="C12626" s="39"/>
      <c r="D12626" s="39"/>
      <c r="E12626" s="27"/>
      <c r="F12626" s="27"/>
      <c r="G12626" s="27"/>
      <c r="H12626" s="27"/>
      <c r="I12626" s="27"/>
      <c r="J12626" s="27"/>
      <c r="K12626" s="27"/>
      <c r="L12626" s="27"/>
      <c r="M12626" s="28"/>
      <c r="N12626" s="28"/>
      <c r="O12626" s="27"/>
      <c r="P12626" s="27"/>
    </row>
    <row r="12627">
      <c r="A12627" s="38"/>
      <c r="B12627" s="39"/>
      <c r="C12627" s="39"/>
      <c r="D12627" s="39"/>
      <c r="E12627" s="27"/>
      <c r="F12627" s="27"/>
      <c r="G12627" s="27"/>
      <c r="H12627" s="27"/>
      <c r="I12627" s="27"/>
      <c r="J12627" s="27"/>
      <c r="K12627" s="27"/>
      <c r="L12627" s="27"/>
      <c r="M12627" s="28"/>
      <c r="N12627" s="28"/>
      <c r="O12627" s="27"/>
      <c r="P12627" s="27"/>
    </row>
    <row r="12628">
      <c r="A12628" s="38"/>
      <c r="B12628" s="39"/>
      <c r="C12628" s="39"/>
      <c r="D12628" s="39"/>
      <c r="E12628" s="27"/>
      <c r="F12628" s="27"/>
      <c r="G12628" s="27"/>
      <c r="H12628" s="27"/>
      <c r="I12628" s="27"/>
      <c r="J12628" s="27"/>
      <c r="K12628" s="27"/>
      <c r="L12628" s="27"/>
      <c r="M12628" s="28"/>
      <c r="N12628" s="28"/>
      <c r="O12628" s="27"/>
      <c r="P12628" s="27"/>
    </row>
    <row r="12629">
      <c r="A12629" s="38"/>
      <c r="B12629" s="39"/>
      <c r="C12629" s="39"/>
      <c r="D12629" s="39"/>
      <c r="E12629" s="27"/>
      <c r="F12629" s="27"/>
      <c r="G12629" s="27"/>
      <c r="H12629" s="27"/>
      <c r="I12629" s="27"/>
      <c r="J12629" s="27"/>
      <c r="K12629" s="27"/>
      <c r="L12629" s="27"/>
      <c r="M12629" s="28"/>
      <c r="N12629" s="28"/>
      <c r="O12629" s="27"/>
      <c r="P12629" s="27"/>
    </row>
    <row r="12630">
      <c r="A12630" s="38"/>
      <c r="B12630" s="39"/>
      <c r="C12630" s="39"/>
      <c r="D12630" s="39"/>
      <c r="E12630" s="27"/>
      <c r="F12630" s="27"/>
      <c r="G12630" s="27"/>
      <c r="H12630" s="27"/>
      <c r="I12630" s="27"/>
      <c r="J12630" s="27"/>
      <c r="K12630" s="27"/>
      <c r="L12630" s="27"/>
      <c r="M12630" s="28"/>
      <c r="N12630" s="28"/>
      <c r="O12630" s="27"/>
      <c r="P12630" s="27"/>
    </row>
    <row r="12631">
      <c r="A12631" s="38"/>
      <c r="B12631" s="39"/>
      <c r="C12631" s="39"/>
      <c r="D12631" s="39"/>
      <c r="E12631" s="27"/>
      <c r="F12631" s="27"/>
      <c r="G12631" s="27"/>
      <c r="H12631" s="27"/>
      <c r="I12631" s="27"/>
      <c r="J12631" s="27"/>
      <c r="K12631" s="27"/>
      <c r="L12631" s="27"/>
      <c r="M12631" s="28"/>
      <c r="N12631" s="28"/>
      <c r="O12631" s="27"/>
      <c r="P12631" s="27"/>
    </row>
    <row r="12632">
      <c r="A12632" s="38"/>
      <c r="B12632" s="39"/>
      <c r="C12632" s="39"/>
      <c r="D12632" s="39"/>
      <c r="E12632" s="27"/>
      <c r="F12632" s="27"/>
      <c r="G12632" s="27"/>
      <c r="H12632" s="27"/>
      <c r="I12632" s="27"/>
      <c r="J12632" s="27"/>
      <c r="K12632" s="27"/>
      <c r="L12632" s="27"/>
      <c r="M12632" s="28"/>
      <c r="N12632" s="28"/>
      <c r="O12632" s="27"/>
      <c r="P12632" s="27"/>
    </row>
    <row r="12633">
      <c r="A12633" s="38"/>
      <c r="B12633" s="39"/>
      <c r="C12633" s="39"/>
      <c r="D12633" s="39"/>
      <c r="E12633" s="27"/>
      <c r="F12633" s="27"/>
      <c r="G12633" s="27"/>
      <c r="H12633" s="27"/>
      <c r="I12633" s="27"/>
      <c r="J12633" s="27"/>
      <c r="K12633" s="27"/>
      <c r="L12633" s="27"/>
      <c r="M12633" s="28"/>
      <c r="N12633" s="28"/>
      <c r="O12633" s="27"/>
      <c r="P12633" s="27"/>
    </row>
    <row r="12634">
      <c r="A12634" s="38"/>
      <c r="B12634" s="39"/>
      <c r="C12634" s="39"/>
      <c r="D12634" s="39"/>
      <c r="E12634" s="27"/>
      <c r="F12634" s="27"/>
      <c r="G12634" s="27"/>
      <c r="H12634" s="27"/>
      <c r="I12634" s="27"/>
      <c r="J12634" s="27"/>
      <c r="K12634" s="27"/>
      <c r="L12634" s="27"/>
      <c r="M12634" s="28"/>
      <c r="N12634" s="28"/>
      <c r="O12634" s="27"/>
      <c r="P12634" s="27"/>
    </row>
    <row r="12635">
      <c r="A12635" s="38"/>
      <c r="B12635" s="39"/>
      <c r="C12635" s="39"/>
      <c r="D12635" s="39"/>
      <c r="E12635" s="27"/>
      <c r="F12635" s="27"/>
      <c r="G12635" s="27"/>
      <c r="H12635" s="27"/>
      <c r="I12635" s="27"/>
      <c r="J12635" s="27"/>
      <c r="K12635" s="27"/>
      <c r="L12635" s="27"/>
      <c r="M12635" s="28"/>
      <c r="N12635" s="28"/>
      <c r="O12635" s="27"/>
      <c r="P12635" s="27"/>
    </row>
    <row r="12636">
      <c r="A12636" s="38"/>
      <c r="B12636" s="39"/>
      <c r="C12636" s="39"/>
      <c r="D12636" s="39"/>
      <c r="E12636" s="27"/>
      <c r="F12636" s="27"/>
      <c r="G12636" s="27"/>
      <c r="H12636" s="27"/>
      <c r="I12636" s="27"/>
      <c r="J12636" s="27"/>
      <c r="K12636" s="27"/>
      <c r="L12636" s="27"/>
      <c r="M12636" s="28"/>
      <c r="N12636" s="28"/>
      <c r="O12636" s="27"/>
      <c r="P12636" s="27"/>
    </row>
    <row r="12637">
      <c r="A12637" s="38"/>
      <c r="B12637" s="39"/>
      <c r="C12637" s="39"/>
      <c r="D12637" s="39"/>
      <c r="E12637" s="27"/>
      <c r="F12637" s="27"/>
      <c r="G12637" s="27"/>
      <c r="H12637" s="27"/>
      <c r="I12637" s="27"/>
      <c r="J12637" s="27"/>
      <c r="K12637" s="27"/>
      <c r="L12637" s="27"/>
      <c r="M12637" s="28"/>
      <c r="N12637" s="28"/>
      <c r="O12637" s="27"/>
      <c r="P12637" s="27"/>
    </row>
    <row r="12638">
      <c r="A12638" s="38"/>
      <c r="B12638" s="39"/>
      <c r="C12638" s="39"/>
      <c r="D12638" s="39"/>
      <c r="E12638" s="27"/>
      <c r="F12638" s="27"/>
      <c r="G12638" s="27"/>
      <c r="H12638" s="27"/>
      <c r="I12638" s="27"/>
      <c r="J12638" s="27"/>
      <c r="K12638" s="27"/>
      <c r="L12638" s="27"/>
      <c r="M12638" s="28"/>
      <c r="N12638" s="28"/>
      <c r="O12638" s="27"/>
      <c r="P12638" s="27"/>
    </row>
    <row r="12639">
      <c r="A12639" s="38"/>
      <c r="B12639" s="39"/>
      <c r="C12639" s="39"/>
      <c r="D12639" s="39"/>
      <c r="E12639" s="27"/>
      <c r="F12639" s="27"/>
      <c r="G12639" s="27"/>
      <c r="H12639" s="27"/>
      <c r="I12639" s="27"/>
      <c r="J12639" s="27"/>
      <c r="K12639" s="27"/>
      <c r="L12639" s="27"/>
      <c r="M12639" s="28"/>
      <c r="N12639" s="28"/>
      <c r="O12639" s="27"/>
      <c r="P12639" s="27"/>
    </row>
    <row r="12640">
      <c r="A12640" s="38"/>
      <c r="B12640" s="39"/>
      <c r="C12640" s="39"/>
      <c r="D12640" s="39"/>
      <c r="E12640" s="27"/>
      <c r="F12640" s="27"/>
      <c r="G12640" s="27"/>
      <c r="H12640" s="27"/>
      <c r="I12640" s="27"/>
      <c r="J12640" s="27"/>
      <c r="K12640" s="27"/>
      <c r="L12640" s="27"/>
      <c r="M12640" s="28"/>
      <c r="N12640" s="28"/>
      <c r="O12640" s="27"/>
      <c r="P12640" s="27"/>
    </row>
    <row r="12641">
      <c r="A12641" s="38"/>
      <c r="B12641" s="39"/>
      <c r="C12641" s="39"/>
      <c r="D12641" s="39"/>
      <c r="E12641" s="27"/>
      <c r="F12641" s="27"/>
      <c r="G12641" s="27"/>
      <c r="H12641" s="27"/>
      <c r="I12641" s="27"/>
      <c r="J12641" s="27"/>
      <c r="K12641" s="27"/>
      <c r="L12641" s="27"/>
      <c r="M12641" s="28"/>
      <c r="N12641" s="28"/>
      <c r="O12641" s="27"/>
      <c r="P12641" s="27"/>
    </row>
    <row r="12642">
      <c r="A12642" s="38"/>
      <c r="B12642" s="39"/>
      <c r="C12642" s="39"/>
      <c r="D12642" s="39"/>
      <c r="E12642" s="27"/>
      <c r="F12642" s="27"/>
      <c r="G12642" s="27"/>
      <c r="H12642" s="27"/>
      <c r="I12642" s="27"/>
      <c r="J12642" s="27"/>
      <c r="K12642" s="27"/>
      <c r="L12642" s="27"/>
      <c r="M12642" s="28"/>
      <c r="N12642" s="28"/>
      <c r="O12642" s="27"/>
      <c r="P12642" s="27"/>
    </row>
    <row r="12643">
      <c r="A12643" s="38"/>
      <c r="B12643" s="39"/>
      <c r="C12643" s="39"/>
      <c r="D12643" s="39"/>
      <c r="E12643" s="27"/>
      <c r="F12643" s="27"/>
      <c r="G12643" s="27"/>
      <c r="H12643" s="27"/>
      <c r="I12643" s="27"/>
      <c r="J12643" s="27"/>
      <c r="K12643" s="27"/>
      <c r="L12643" s="27"/>
      <c r="M12643" s="28"/>
      <c r="N12643" s="28"/>
      <c r="O12643" s="27"/>
      <c r="P12643" s="27"/>
    </row>
    <row r="12644">
      <c r="A12644" s="38"/>
      <c r="B12644" s="39"/>
      <c r="C12644" s="39"/>
      <c r="D12644" s="39"/>
      <c r="E12644" s="27"/>
      <c r="F12644" s="27"/>
      <c r="G12644" s="27"/>
      <c r="H12644" s="27"/>
      <c r="I12644" s="27"/>
      <c r="J12644" s="27"/>
      <c r="K12644" s="27"/>
      <c r="L12644" s="27"/>
      <c r="M12644" s="28"/>
      <c r="N12644" s="28"/>
      <c r="O12644" s="27"/>
      <c r="P12644" s="27"/>
    </row>
    <row r="12645">
      <c r="A12645" s="38"/>
      <c r="B12645" s="39"/>
      <c r="C12645" s="39"/>
      <c r="D12645" s="39"/>
      <c r="E12645" s="27"/>
      <c r="F12645" s="27"/>
      <c r="G12645" s="27"/>
      <c r="H12645" s="27"/>
      <c r="I12645" s="27"/>
      <c r="J12645" s="27"/>
      <c r="K12645" s="27"/>
      <c r="L12645" s="27"/>
      <c r="M12645" s="28"/>
      <c r="N12645" s="28"/>
      <c r="O12645" s="27"/>
      <c r="P12645" s="27"/>
    </row>
    <row r="12646">
      <c r="A12646" s="38"/>
      <c r="B12646" s="39"/>
      <c r="C12646" s="39"/>
      <c r="D12646" s="39"/>
      <c r="E12646" s="27"/>
      <c r="F12646" s="27"/>
      <c r="G12646" s="27"/>
      <c r="H12646" s="27"/>
      <c r="I12646" s="27"/>
      <c r="J12646" s="27"/>
      <c r="K12646" s="27"/>
      <c r="L12646" s="27"/>
      <c r="M12646" s="28"/>
      <c r="N12646" s="28"/>
      <c r="O12646" s="27"/>
      <c r="P12646" s="27"/>
    </row>
    <row r="12647">
      <c r="A12647" s="38"/>
      <c r="B12647" s="39"/>
      <c r="C12647" s="39"/>
      <c r="D12647" s="39"/>
      <c r="E12647" s="27"/>
      <c r="F12647" s="27"/>
      <c r="G12647" s="27"/>
      <c r="H12647" s="27"/>
      <c r="I12647" s="27"/>
      <c r="J12647" s="27"/>
      <c r="K12647" s="27"/>
      <c r="L12647" s="27"/>
      <c r="M12647" s="28"/>
      <c r="N12647" s="28"/>
      <c r="O12647" s="27"/>
      <c r="P12647" s="27"/>
    </row>
    <row r="12648">
      <c r="A12648" s="38"/>
      <c r="B12648" s="39"/>
      <c r="C12648" s="39"/>
      <c r="D12648" s="39"/>
      <c r="E12648" s="27"/>
      <c r="F12648" s="27"/>
      <c r="G12648" s="27"/>
      <c r="H12648" s="27"/>
      <c r="I12648" s="27"/>
      <c r="J12648" s="27"/>
      <c r="K12648" s="27"/>
      <c r="L12648" s="27"/>
      <c r="M12648" s="28"/>
      <c r="N12648" s="28"/>
      <c r="O12648" s="27"/>
      <c r="P12648" s="27"/>
    </row>
    <row r="12649">
      <c r="A12649" s="38"/>
      <c r="B12649" s="39"/>
      <c r="C12649" s="39"/>
      <c r="D12649" s="39"/>
      <c r="E12649" s="27"/>
      <c r="F12649" s="27"/>
      <c r="G12649" s="27"/>
      <c r="H12649" s="27"/>
      <c r="I12649" s="27"/>
      <c r="J12649" s="27"/>
      <c r="K12649" s="27"/>
      <c r="L12649" s="27"/>
      <c r="M12649" s="28"/>
      <c r="N12649" s="28"/>
      <c r="O12649" s="27"/>
      <c r="P12649" s="27"/>
    </row>
    <row r="12650">
      <c r="A12650" s="38"/>
      <c r="B12650" s="39"/>
      <c r="C12650" s="39"/>
      <c r="D12650" s="39"/>
      <c r="E12650" s="27"/>
      <c r="F12650" s="27"/>
      <c r="G12650" s="27"/>
      <c r="H12650" s="27"/>
      <c r="I12650" s="27"/>
      <c r="J12650" s="27"/>
      <c r="K12650" s="27"/>
      <c r="L12650" s="27"/>
      <c r="M12650" s="28"/>
      <c r="N12650" s="28"/>
      <c r="O12650" s="27"/>
      <c r="P12650" s="27"/>
    </row>
    <row r="12651">
      <c r="A12651" s="38"/>
      <c r="B12651" s="39"/>
      <c r="C12651" s="39"/>
      <c r="D12651" s="39"/>
      <c r="E12651" s="27"/>
      <c r="F12651" s="27"/>
      <c r="G12651" s="27"/>
      <c r="H12651" s="27"/>
      <c r="I12651" s="27"/>
      <c r="J12651" s="27"/>
      <c r="K12651" s="27"/>
      <c r="L12651" s="27"/>
      <c r="M12651" s="28"/>
      <c r="N12651" s="28"/>
      <c r="O12651" s="27"/>
      <c r="P12651" s="27"/>
    </row>
    <row r="12652">
      <c r="A12652" s="38"/>
      <c r="B12652" s="39"/>
      <c r="C12652" s="39"/>
      <c r="D12652" s="39"/>
      <c r="E12652" s="27"/>
      <c r="F12652" s="27"/>
      <c r="G12652" s="27"/>
      <c r="H12652" s="27"/>
      <c r="I12652" s="27"/>
      <c r="J12652" s="27"/>
      <c r="K12652" s="27"/>
      <c r="L12652" s="27"/>
      <c r="M12652" s="28"/>
      <c r="N12652" s="28"/>
      <c r="O12652" s="27"/>
      <c r="P12652" s="27"/>
    </row>
    <row r="12653">
      <c r="A12653" s="38"/>
      <c r="B12653" s="39"/>
      <c r="C12653" s="39"/>
      <c r="D12653" s="39"/>
      <c r="E12653" s="27"/>
      <c r="F12653" s="27"/>
      <c r="G12653" s="27"/>
      <c r="H12653" s="27"/>
      <c r="I12653" s="27"/>
      <c r="J12653" s="27"/>
      <c r="K12653" s="27"/>
      <c r="L12653" s="27"/>
      <c r="M12653" s="28"/>
      <c r="N12653" s="28"/>
      <c r="O12653" s="27"/>
      <c r="P12653" s="27"/>
    </row>
    <row r="12654">
      <c r="A12654" s="38"/>
      <c r="B12654" s="39"/>
      <c r="C12654" s="39"/>
      <c r="D12654" s="39"/>
      <c r="E12654" s="27"/>
      <c r="F12654" s="27"/>
      <c r="G12654" s="27"/>
      <c r="H12654" s="27"/>
      <c r="I12654" s="27"/>
      <c r="J12654" s="27"/>
      <c r="K12654" s="27"/>
      <c r="L12654" s="27"/>
      <c r="M12654" s="28"/>
      <c r="N12654" s="28"/>
      <c r="O12654" s="27"/>
      <c r="P12654" s="27"/>
    </row>
    <row r="12655">
      <c r="A12655" s="38"/>
      <c r="B12655" s="39"/>
      <c r="C12655" s="39"/>
      <c r="D12655" s="39"/>
      <c r="E12655" s="27"/>
      <c r="F12655" s="27"/>
      <c r="G12655" s="27"/>
      <c r="H12655" s="27"/>
      <c r="I12655" s="27"/>
      <c r="J12655" s="27"/>
      <c r="K12655" s="27"/>
      <c r="L12655" s="27"/>
      <c r="M12655" s="28"/>
      <c r="N12655" s="28"/>
      <c r="O12655" s="27"/>
      <c r="P12655" s="27"/>
    </row>
    <row r="12656">
      <c r="A12656" s="38"/>
      <c r="B12656" s="39"/>
      <c r="C12656" s="39"/>
      <c r="D12656" s="39"/>
      <c r="E12656" s="27"/>
      <c r="F12656" s="27"/>
      <c r="G12656" s="27"/>
      <c r="H12656" s="27"/>
      <c r="I12656" s="27"/>
      <c r="J12656" s="27"/>
      <c r="K12656" s="27"/>
      <c r="L12656" s="27"/>
      <c r="M12656" s="28"/>
      <c r="N12656" s="28"/>
      <c r="O12656" s="27"/>
      <c r="P12656" s="27"/>
    </row>
    <row r="12657">
      <c r="A12657" s="38"/>
      <c r="B12657" s="39"/>
      <c r="C12657" s="39"/>
      <c r="D12657" s="39"/>
      <c r="E12657" s="27"/>
      <c r="F12657" s="27"/>
      <c r="G12657" s="27"/>
      <c r="H12657" s="27"/>
      <c r="I12657" s="27"/>
      <c r="J12657" s="27"/>
      <c r="K12657" s="27"/>
      <c r="L12657" s="27"/>
      <c r="M12657" s="28"/>
      <c r="N12657" s="28"/>
      <c r="O12657" s="27"/>
      <c r="P12657" s="27"/>
    </row>
    <row r="12658">
      <c r="A12658" s="38"/>
      <c r="B12658" s="39"/>
      <c r="C12658" s="39"/>
      <c r="D12658" s="39"/>
      <c r="E12658" s="27"/>
      <c r="F12658" s="27"/>
      <c r="G12658" s="27"/>
      <c r="H12658" s="27"/>
      <c r="I12658" s="27"/>
      <c r="J12658" s="27"/>
      <c r="K12658" s="27"/>
      <c r="L12658" s="27"/>
      <c r="M12658" s="28"/>
      <c r="N12658" s="28"/>
      <c r="O12658" s="27"/>
      <c r="P12658" s="27"/>
    </row>
    <row r="12659">
      <c r="A12659" s="38"/>
      <c r="B12659" s="39"/>
      <c r="C12659" s="39"/>
      <c r="D12659" s="39"/>
      <c r="E12659" s="27"/>
      <c r="F12659" s="27"/>
      <c r="G12659" s="27"/>
      <c r="H12659" s="27"/>
      <c r="I12659" s="27"/>
      <c r="J12659" s="27"/>
      <c r="K12659" s="27"/>
      <c r="L12659" s="27"/>
      <c r="M12659" s="28"/>
      <c r="N12659" s="28"/>
      <c r="O12659" s="27"/>
      <c r="P12659" s="27"/>
    </row>
    <row r="12660">
      <c r="A12660" s="38"/>
      <c r="B12660" s="39"/>
      <c r="C12660" s="39"/>
      <c r="D12660" s="39"/>
      <c r="E12660" s="27"/>
      <c r="F12660" s="27"/>
      <c r="G12660" s="27"/>
      <c r="H12660" s="27"/>
      <c r="I12660" s="27"/>
      <c r="J12660" s="27"/>
      <c r="K12660" s="27"/>
      <c r="L12660" s="27"/>
      <c r="M12660" s="28"/>
      <c r="N12660" s="28"/>
      <c r="O12660" s="27"/>
      <c r="P12660" s="27"/>
    </row>
    <row r="12661">
      <c r="A12661" s="38"/>
      <c r="B12661" s="39"/>
      <c r="C12661" s="39"/>
      <c r="D12661" s="39"/>
      <c r="E12661" s="27"/>
      <c r="F12661" s="27"/>
      <c r="G12661" s="27"/>
      <c r="H12661" s="27"/>
      <c r="I12661" s="27"/>
      <c r="J12661" s="27"/>
      <c r="K12661" s="27"/>
      <c r="L12661" s="27"/>
      <c r="M12661" s="28"/>
      <c r="N12661" s="28"/>
      <c r="O12661" s="27"/>
      <c r="P12661" s="27"/>
    </row>
    <row r="12662">
      <c r="A12662" s="38"/>
      <c r="B12662" s="39"/>
      <c r="C12662" s="39"/>
      <c r="D12662" s="39"/>
      <c r="E12662" s="27"/>
      <c r="F12662" s="27"/>
      <c r="G12662" s="27"/>
      <c r="H12662" s="27"/>
      <c r="I12662" s="27"/>
      <c r="J12662" s="27"/>
      <c r="K12662" s="27"/>
      <c r="L12662" s="27"/>
      <c r="M12662" s="28"/>
      <c r="N12662" s="28"/>
      <c r="O12662" s="27"/>
      <c r="P12662" s="27"/>
    </row>
    <row r="12663">
      <c r="A12663" s="38"/>
      <c r="B12663" s="39"/>
      <c r="C12663" s="39"/>
      <c r="D12663" s="39"/>
      <c r="E12663" s="27"/>
      <c r="F12663" s="27"/>
      <c r="G12663" s="27"/>
      <c r="H12663" s="27"/>
      <c r="I12663" s="27"/>
      <c r="J12663" s="27"/>
      <c r="K12663" s="27"/>
      <c r="L12663" s="27"/>
      <c r="M12663" s="28"/>
      <c r="N12663" s="28"/>
      <c r="O12663" s="27"/>
      <c r="P12663" s="27"/>
    </row>
    <row r="12664">
      <c r="A12664" s="38"/>
      <c r="B12664" s="39"/>
      <c r="C12664" s="39"/>
      <c r="D12664" s="39"/>
      <c r="E12664" s="27"/>
      <c r="F12664" s="27"/>
      <c r="G12664" s="27"/>
      <c r="H12664" s="27"/>
      <c r="I12664" s="27"/>
      <c r="J12664" s="27"/>
      <c r="K12664" s="27"/>
      <c r="L12664" s="27"/>
      <c r="M12664" s="28"/>
      <c r="N12664" s="28"/>
      <c r="O12664" s="27"/>
      <c r="P12664" s="27"/>
    </row>
    <row r="12665">
      <c r="A12665" s="38"/>
      <c r="B12665" s="39"/>
      <c r="C12665" s="39"/>
      <c r="D12665" s="39"/>
      <c r="E12665" s="27"/>
      <c r="F12665" s="27"/>
      <c r="G12665" s="27"/>
      <c r="H12665" s="27"/>
      <c r="I12665" s="27"/>
      <c r="J12665" s="27"/>
      <c r="K12665" s="27"/>
      <c r="L12665" s="27"/>
      <c r="M12665" s="28"/>
      <c r="N12665" s="28"/>
      <c r="O12665" s="27"/>
      <c r="P12665" s="27"/>
    </row>
    <row r="12666">
      <c r="A12666" s="38"/>
      <c r="B12666" s="39"/>
      <c r="C12666" s="39"/>
      <c r="D12666" s="39"/>
      <c r="E12666" s="27"/>
      <c r="F12666" s="27"/>
      <c r="G12666" s="27"/>
      <c r="H12666" s="27"/>
      <c r="I12666" s="27"/>
      <c r="J12666" s="27"/>
      <c r="K12666" s="27"/>
      <c r="L12666" s="27"/>
      <c r="M12666" s="28"/>
      <c r="N12666" s="28"/>
      <c r="O12666" s="27"/>
      <c r="P12666" s="27"/>
    </row>
    <row r="12667">
      <c r="A12667" s="38"/>
      <c r="B12667" s="39"/>
      <c r="C12667" s="39"/>
      <c r="D12667" s="39"/>
      <c r="E12667" s="27"/>
      <c r="F12667" s="27"/>
      <c r="G12667" s="27"/>
      <c r="H12667" s="27"/>
      <c r="I12667" s="27"/>
      <c r="J12667" s="27"/>
      <c r="K12667" s="27"/>
      <c r="L12667" s="27"/>
      <c r="M12667" s="28"/>
      <c r="N12667" s="28"/>
      <c r="O12667" s="27"/>
      <c r="P12667" s="27"/>
    </row>
    <row r="12668">
      <c r="A12668" s="38"/>
      <c r="B12668" s="39"/>
      <c r="C12668" s="39"/>
      <c r="D12668" s="39"/>
      <c r="E12668" s="27"/>
      <c r="F12668" s="27"/>
      <c r="G12668" s="27"/>
      <c r="H12668" s="27"/>
      <c r="I12668" s="27"/>
      <c r="J12668" s="27"/>
      <c r="K12668" s="27"/>
      <c r="L12668" s="27"/>
      <c r="M12668" s="28"/>
      <c r="N12668" s="28"/>
      <c r="O12668" s="27"/>
      <c r="P12668" s="27"/>
    </row>
    <row r="12669">
      <c r="A12669" s="38"/>
      <c r="B12669" s="39"/>
      <c r="C12669" s="39"/>
      <c r="D12669" s="39"/>
      <c r="E12669" s="27"/>
      <c r="F12669" s="27"/>
      <c r="G12669" s="27"/>
      <c r="H12669" s="27"/>
      <c r="I12669" s="27"/>
      <c r="J12669" s="27"/>
      <c r="K12669" s="27"/>
      <c r="L12669" s="27"/>
      <c r="M12669" s="28"/>
      <c r="N12669" s="28"/>
      <c r="O12669" s="27"/>
      <c r="P12669" s="27"/>
    </row>
    <row r="12670">
      <c r="A12670" s="38"/>
      <c r="B12670" s="39"/>
      <c r="C12670" s="39"/>
      <c r="D12670" s="39"/>
      <c r="E12670" s="27"/>
      <c r="F12670" s="27"/>
      <c r="G12670" s="27"/>
      <c r="H12670" s="27"/>
      <c r="I12670" s="27"/>
      <c r="J12670" s="27"/>
      <c r="K12670" s="27"/>
      <c r="L12670" s="27"/>
      <c r="M12670" s="28"/>
      <c r="N12670" s="28"/>
      <c r="O12670" s="27"/>
      <c r="P12670" s="27"/>
    </row>
    <row r="12671">
      <c r="A12671" s="38"/>
      <c r="B12671" s="39"/>
      <c r="C12671" s="39"/>
      <c r="D12671" s="39"/>
      <c r="E12671" s="27"/>
      <c r="F12671" s="27"/>
      <c r="G12671" s="27"/>
      <c r="H12671" s="27"/>
      <c r="I12671" s="27"/>
      <c r="J12671" s="27"/>
      <c r="K12671" s="27"/>
      <c r="L12671" s="27"/>
      <c r="M12671" s="28"/>
      <c r="N12671" s="28"/>
      <c r="O12671" s="27"/>
      <c r="P12671" s="27"/>
    </row>
    <row r="12672">
      <c r="A12672" s="38"/>
      <c r="B12672" s="39"/>
      <c r="C12672" s="39"/>
      <c r="D12672" s="39"/>
      <c r="E12672" s="27"/>
      <c r="F12672" s="27"/>
      <c r="G12672" s="27"/>
      <c r="H12672" s="27"/>
      <c r="I12672" s="27"/>
      <c r="J12672" s="27"/>
      <c r="K12672" s="27"/>
      <c r="L12672" s="27"/>
      <c r="M12672" s="28"/>
      <c r="N12672" s="28"/>
      <c r="O12672" s="27"/>
      <c r="P12672" s="27"/>
    </row>
    <row r="12673">
      <c r="A12673" s="38"/>
      <c r="B12673" s="39"/>
      <c r="C12673" s="39"/>
      <c r="D12673" s="39"/>
      <c r="E12673" s="27"/>
      <c r="F12673" s="27"/>
      <c r="G12673" s="27"/>
      <c r="H12673" s="27"/>
      <c r="I12673" s="27"/>
      <c r="J12673" s="27"/>
      <c r="K12673" s="27"/>
      <c r="L12673" s="27"/>
      <c r="M12673" s="28"/>
      <c r="N12673" s="28"/>
      <c r="O12673" s="27"/>
      <c r="P12673" s="27"/>
    </row>
    <row r="12674">
      <c r="A12674" s="38"/>
      <c r="B12674" s="39"/>
      <c r="C12674" s="39"/>
      <c r="D12674" s="39"/>
      <c r="E12674" s="27"/>
      <c r="F12674" s="27"/>
      <c r="G12674" s="27"/>
      <c r="H12674" s="27"/>
      <c r="I12674" s="27"/>
      <c r="J12674" s="27"/>
      <c r="K12674" s="27"/>
      <c r="L12674" s="27"/>
      <c r="M12674" s="28"/>
      <c r="N12674" s="28"/>
      <c r="O12674" s="27"/>
      <c r="P12674" s="27"/>
    </row>
    <row r="12675">
      <c r="A12675" s="38"/>
      <c r="B12675" s="39"/>
      <c r="C12675" s="39"/>
      <c r="D12675" s="39"/>
      <c r="E12675" s="27"/>
      <c r="F12675" s="27"/>
      <c r="G12675" s="27"/>
      <c r="H12675" s="27"/>
      <c r="I12675" s="27"/>
      <c r="J12675" s="27"/>
      <c r="K12675" s="27"/>
      <c r="L12675" s="27"/>
      <c r="M12675" s="28"/>
      <c r="N12675" s="28"/>
      <c r="O12675" s="27"/>
      <c r="P12675" s="27"/>
    </row>
    <row r="12676">
      <c r="A12676" s="38"/>
      <c r="B12676" s="39"/>
      <c r="C12676" s="39"/>
      <c r="D12676" s="39"/>
      <c r="E12676" s="27"/>
      <c r="F12676" s="27"/>
      <c r="G12676" s="27"/>
      <c r="H12676" s="27"/>
      <c r="I12676" s="27"/>
      <c r="J12676" s="27"/>
      <c r="K12676" s="27"/>
      <c r="L12676" s="27"/>
      <c r="M12676" s="28"/>
      <c r="N12676" s="28"/>
      <c r="O12676" s="27"/>
      <c r="P12676" s="27"/>
    </row>
    <row r="12677">
      <c r="A12677" s="38"/>
      <c r="B12677" s="39"/>
      <c r="C12677" s="39"/>
      <c r="D12677" s="39"/>
      <c r="E12677" s="27"/>
      <c r="F12677" s="27"/>
      <c r="G12677" s="27"/>
      <c r="H12677" s="27"/>
      <c r="I12677" s="27"/>
      <c r="J12677" s="27"/>
      <c r="K12677" s="27"/>
      <c r="L12677" s="27"/>
      <c r="M12677" s="28"/>
      <c r="N12677" s="28"/>
      <c r="O12677" s="27"/>
      <c r="P12677" s="27"/>
    </row>
    <row r="12678">
      <c r="A12678" s="38"/>
      <c r="B12678" s="39"/>
      <c r="C12678" s="39"/>
      <c r="D12678" s="39"/>
      <c r="E12678" s="27"/>
      <c r="F12678" s="27"/>
      <c r="G12678" s="27"/>
      <c r="H12678" s="27"/>
      <c r="I12678" s="27"/>
      <c r="J12678" s="27"/>
      <c r="K12678" s="27"/>
      <c r="L12678" s="27"/>
      <c r="M12678" s="28"/>
      <c r="N12678" s="28"/>
      <c r="O12678" s="27"/>
      <c r="P12678" s="27"/>
    </row>
    <row r="12679">
      <c r="A12679" s="38"/>
      <c r="B12679" s="39"/>
      <c r="C12679" s="39"/>
      <c r="D12679" s="39"/>
      <c r="E12679" s="27"/>
      <c r="F12679" s="27"/>
      <c r="G12679" s="27"/>
      <c r="H12679" s="27"/>
      <c r="I12679" s="27"/>
      <c r="J12679" s="27"/>
      <c r="K12679" s="27"/>
      <c r="L12679" s="27"/>
      <c r="M12679" s="28"/>
      <c r="N12679" s="28"/>
      <c r="O12679" s="27"/>
      <c r="P12679" s="27"/>
    </row>
    <row r="12680">
      <c r="A12680" s="38"/>
      <c r="B12680" s="39"/>
      <c r="C12680" s="39"/>
      <c r="D12680" s="39"/>
      <c r="E12680" s="27"/>
      <c r="F12680" s="27"/>
      <c r="G12680" s="27"/>
      <c r="H12680" s="27"/>
      <c r="I12680" s="27"/>
      <c r="J12680" s="27"/>
      <c r="K12680" s="27"/>
      <c r="L12680" s="27"/>
      <c r="M12680" s="28"/>
      <c r="N12680" s="28"/>
      <c r="O12680" s="27"/>
      <c r="P12680" s="27"/>
    </row>
    <row r="12681">
      <c r="A12681" s="38"/>
      <c r="B12681" s="39"/>
      <c r="C12681" s="39"/>
      <c r="D12681" s="39"/>
      <c r="E12681" s="27"/>
      <c r="F12681" s="27"/>
      <c r="G12681" s="27"/>
      <c r="H12681" s="27"/>
      <c r="I12681" s="27"/>
      <c r="J12681" s="27"/>
      <c r="K12681" s="27"/>
      <c r="L12681" s="27"/>
      <c r="M12681" s="28"/>
      <c r="N12681" s="28"/>
      <c r="O12681" s="27"/>
      <c r="P12681" s="27"/>
    </row>
    <row r="12682">
      <c r="A12682" s="38"/>
      <c r="B12682" s="39"/>
      <c r="C12682" s="39"/>
      <c r="D12682" s="39"/>
      <c r="E12682" s="27"/>
      <c r="F12682" s="27"/>
      <c r="G12682" s="27"/>
      <c r="H12682" s="27"/>
      <c r="I12682" s="27"/>
      <c r="J12682" s="27"/>
      <c r="K12682" s="27"/>
      <c r="L12682" s="27"/>
      <c r="M12682" s="28"/>
      <c r="N12682" s="28"/>
      <c r="O12682" s="27"/>
      <c r="P12682" s="27"/>
    </row>
    <row r="12683">
      <c r="A12683" s="38"/>
      <c r="B12683" s="39"/>
      <c r="C12683" s="39"/>
      <c r="D12683" s="39"/>
      <c r="E12683" s="27"/>
      <c r="F12683" s="27"/>
      <c r="G12683" s="27"/>
      <c r="H12683" s="27"/>
      <c r="I12683" s="27"/>
      <c r="J12683" s="27"/>
      <c r="K12683" s="27"/>
      <c r="L12683" s="27"/>
      <c r="M12683" s="28"/>
      <c r="N12683" s="28"/>
      <c r="O12683" s="27"/>
      <c r="P12683" s="27"/>
    </row>
    <row r="12684">
      <c r="A12684" s="38"/>
      <c r="B12684" s="39"/>
      <c r="C12684" s="39"/>
      <c r="D12684" s="39"/>
      <c r="E12684" s="27"/>
      <c r="F12684" s="27"/>
      <c r="G12684" s="27"/>
      <c r="H12684" s="27"/>
      <c r="I12684" s="27"/>
      <c r="J12684" s="27"/>
      <c r="K12684" s="27"/>
      <c r="L12684" s="27"/>
      <c r="M12684" s="28"/>
      <c r="N12684" s="28"/>
      <c r="O12684" s="27"/>
      <c r="P12684" s="27"/>
    </row>
    <row r="12685">
      <c r="A12685" s="38"/>
      <c r="B12685" s="39"/>
      <c r="C12685" s="39"/>
      <c r="D12685" s="39"/>
      <c r="E12685" s="27"/>
      <c r="F12685" s="27"/>
      <c r="G12685" s="27"/>
      <c r="H12685" s="27"/>
      <c r="I12685" s="27"/>
      <c r="J12685" s="27"/>
      <c r="K12685" s="27"/>
      <c r="L12685" s="27"/>
      <c r="M12685" s="28"/>
      <c r="N12685" s="28"/>
      <c r="O12685" s="27"/>
      <c r="P12685" s="27"/>
    </row>
    <row r="12686">
      <c r="A12686" s="38"/>
      <c r="B12686" s="39"/>
      <c r="C12686" s="39"/>
      <c r="D12686" s="39"/>
      <c r="E12686" s="27"/>
      <c r="F12686" s="27"/>
      <c r="G12686" s="27"/>
      <c r="H12686" s="27"/>
      <c r="I12686" s="27"/>
      <c r="J12686" s="27"/>
      <c r="K12686" s="27"/>
      <c r="L12686" s="27"/>
      <c r="M12686" s="28"/>
      <c r="N12686" s="28"/>
      <c r="O12686" s="27"/>
      <c r="P12686" s="27"/>
    </row>
    <row r="12687">
      <c r="A12687" s="38"/>
      <c r="B12687" s="39"/>
      <c r="C12687" s="39"/>
      <c r="D12687" s="39"/>
      <c r="E12687" s="27"/>
      <c r="F12687" s="27"/>
      <c r="G12687" s="27"/>
      <c r="H12687" s="27"/>
      <c r="I12687" s="27"/>
      <c r="J12687" s="27"/>
      <c r="K12687" s="27"/>
      <c r="L12687" s="27"/>
      <c r="M12687" s="28"/>
      <c r="N12687" s="28"/>
      <c r="O12687" s="27"/>
      <c r="P12687" s="27"/>
    </row>
    <row r="12688">
      <c r="A12688" s="38"/>
      <c r="B12688" s="39"/>
      <c r="C12688" s="39"/>
      <c r="D12688" s="39"/>
      <c r="E12688" s="27"/>
      <c r="F12688" s="27"/>
      <c r="G12688" s="27"/>
      <c r="H12688" s="27"/>
      <c r="I12688" s="27"/>
      <c r="J12688" s="27"/>
      <c r="K12688" s="27"/>
      <c r="L12688" s="27"/>
      <c r="M12688" s="28"/>
      <c r="N12688" s="28"/>
      <c r="O12688" s="27"/>
      <c r="P12688" s="27"/>
    </row>
    <row r="12689">
      <c r="A12689" s="38"/>
      <c r="B12689" s="39"/>
      <c r="C12689" s="39"/>
      <c r="D12689" s="39"/>
      <c r="E12689" s="27"/>
      <c r="F12689" s="27"/>
      <c r="G12689" s="27"/>
      <c r="H12689" s="27"/>
      <c r="I12689" s="27"/>
      <c r="J12689" s="27"/>
      <c r="K12689" s="27"/>
      <c r="L12689" s="27"/>
      <c r="M12689" s="28"/>
      <c r="N12689" s="28"/>
      <c r="O12689" s="27"/>
      <c r="P12689" s="27"/>
    </row>
    <row r="12690">
      <c r="A12690" s="38"/>
      <c r="B12690" s="39"/>
      <c r="C12690" s="39"/>
      <c r="D12690" s="39"/>
      <c r="E12690" s="27"/>
      <c r="F12690" s="27"/>
      <c r="G12690" s="27"/>
      <c r="H12690" s="27"/>
      <c r="I12690" s="27"/>
      <c r="J12690" s="27"/>
      <c r="K12690" s="27"/>
      <c r="L12690" s="27"/>
      <c r="M12690" s="28"/>
      <c r="N12690" s="28"/>
      <c r="O12690" s="27"/>
      <c r="P12690" s="27"/>
    </row>
    <row r="12691">
      <c r="A12691" s="38"/>
      <c r="B12691" s="39"/>
      <c r="C12691" s="39"/>
      <c r="D12691" s="39"/>
      <c r="E12691" s="27"/>
      <c r="F12691" s="27"/>
      <c r="G12691" s="27"/>
      <c r="H12691" s="27"/>
      <c r="I12691" s="27"/>
      <c r="J12691" s="27"/>
      <c r="K12691" s="27"/>
      <c r="L12691" s="27"/>
      <c r="M12691" s="28"/>
      <c r="N12691" s="28"/>
      <c r="O12691" s="27"/>
      <c r="P12691" s="27"/>
    </row>
    <row r="12692">
      <c r="A12692" s="38"/>
      <c r="B12692" s="39"/>
      <c r="C12692" s="39"/>
      <c r="D12692" s="39"/>
      <c r="E12692" s="27"/>
      <c r="F12692" s="27"/>
      <c r="G12692" s="27"/>
      <c r="H12692" s="27"/>
      <c r="I12692" s="27"/>
      <c r="J12692" s="27"/>
      <c r="K12692" s="27"/>
      <c r="L12692" s="27"/>
      <c r="M12692" s="28"/>
      <c r="N12692" s="28"/>
      <c r="O12692" s="27"/>
      <c r="P12692" s="27"/>
    </row>
    <row r="12693">
      <c r="A12693" s="38"/>
      <c r="B12693" s="39"/>
      <c r="C12693" s="39"/>
      <c r="D12693" s="39"/>
      <c r="E12693" s="27"/>
      <c r="F12693" s="27"/>
      <c r="G12693" s="27"/>
      <c r="H12693" s="27"/>
      <c r="I12693" s="27"/>
      <c r="J12693" s="27"/>
      <c r="K12693" s="27"/>
      <c r="L12693" s="27"/>
      <c r="M12693" s="28"/>
      <c r="N12693" s="28"/>
      <c r="O12693" s="27"/>
      <c r="P12693" s="27"/>
    </row>
    <row r="12694">
      <c r="A12694" s="38"/>
      <c r="B12694" s="39"/>
      <c r="C12694" s="39"/>
      <c r="D12694" s="39"/>
      <c r="E12694" s="27"/>
      <c r="F12694" s="27"/>
      <c r="G12694" s="27"/>
      <c r="H12694" s="27"/>
      <c r="I12694" s="27"/>
      <c r="J12694" s="27"/>
      <c r="K12694" s="27"/>
      <c r="L12694" s="27"/>
      <c r="M12694" s="28"/>
      <c r="N12694" s="28"/>
      <c r="O12694" s="27"/>
      <c r="P12694" s="27"/>
    </row>
    <row r="12695">
      <c r="A12695" s="38"/>
      <c r="B12695" s="39"/>
      <c r="C12695" s="39"/>
      <c r="D12695" s="39"/>
      <c r="E12695" s="27"/>
      <c r="F12695" s="27"/>
      <c r="G12695" s="27"/>
      <c r="H12695" s="27"/>
      <c r="I12695" s="27"/>
      <c r="J12695" s="27"/>
      <c r="K12695" s="27"/>
      <c r="L12695" s="27"/>
      <c r="M12695" s="28"/>
      <c r="N12695" s="28"/>
      <c r="O12695" s="27"/>
      <c r="P12695" s="27"/>
    </row>
    <row r="12696">
      <c r="A12696" s="38"/>
      <c r="B12696" s="39"/>
      <c r="C12696" s="39"/>
      <c r="D12696" s="39"/>
      <c r="E12696" s="27"/>
      <c r="F12696" s="27"/>
      <c r="G12696" s="27"/>
      <c r="H12696" s="27"/>
      <c r="I12696" s="27"/>
      <c r="J12696" s="27"/>
      <c r="K12696" s="27"/>
      <c r="L12696" s="27"/>
      <c r="M12696" s="28"/>
      <c r="N12696" s="28"/>
      <c r="O12696" s="27"/>
      <c r="P12696" s="27"/>
    </row>
    <row r="12697">
      <c r="A12697" s="38"/>
      <c r="B12697" s="39"/>
      <c r="C12697" s="39"/>
      <c r="D12697" s="39"/>
      <c r="E12697" s="27"/>
      <c r="F12697" s="27"/>
      <c r="G12697" s="27"/>
      <c r="H12697" s="27"/>
      <c r="I12697" s="27"/>
      <c r="J12697" s="27"/>
      <c r="K12697" s="27"/>
      <c r="L12697" s="27"/>
      <c r="M12697" s="28"/>
      <c r="N12697" s="28"/>
      <c r="O12697" s="27"/>
      <c r="P12697" s="27"/>
    </row>
    <row r="12698">
      <c r="A12698" s="38"/>
      <c r="B12698" s="39"/>
      <c r="C12698" s="39"/>
      <c r="D12698" s="39"/>
      <c r="E12698" s="27"/>
      <c r="F12698" s="27"/>
      <c r="G12698" s="27"/>
      <c r="H12698" s="27"/>
      <c r="I12698" s="27"/>
      <c r="J12698" s="27"/>
      <c r="K12698" s="27"/>
      <c r="L12698" s="27"/>
      <c r="M12698" s="28"/>
      <c r="N12698" s="28"/>
      <c r="O12698" s="27"/>
      <c r="P12698" s="27"/>
    </row>
    <row r="12699">
      <c r="A12699" s="38"/>
      <c r="B12699" s="39"/>
      <c r="C12699" s="39"/>
      <c r="D12699" s="39"/>
      <c r="E12699" s="27"/>
      <c r="F12699" s="27"/>
      <c r="G12699" s="27"/>
      <c r="H12699" s="27"/>
      <c r="I12699" s="27"/>
      <c r="J12699" s="27"/>
      <c r="K12699" s="27"/>
      <c r="L12699" s="27"/>
      <c r="M12699" s="28"/>
      <c r="N12699" s="28"/>
      <c r="O12699" s="27"/>
      <c r="P12699" s="27"/>
    </row>
    <row r="12700">
      <c r="A12700" s="38"/>
      <c r="B12700" s="39"/>
      <c r="C12700" s="39"/>
      <c r="D12700" s="39"/>
      <c r="E12700" s="27"/>
      <c r="F12700" s="27"/>
      <c r="G12700" s="27"/>
      <c r="H12700" s="27"/>
      <c r="I12700" s="27"/>
      <c r="J12700" s="27"/>
      <c r="K12700" s="27"/>
      <c r="L12700" s="27"/>
      <c r="M12700" s="28"/>
      <c r="N12700" s="28"/>
      <c r="O12700" s="27"/>
      <c r="P12700" s="27"/>
    </row>
    <row r="12701">
      <c r="A12701" s="38"/>
      <c r="B12701" s="39"/>
      <c r="C12701" s="39"/>
      <c r="D12701" s="39"/>
      <c r="E12701" s="27"/>
      <c r="F12701" s="27"/>
      <c r="G12701" s="27"/>
      <c r="H12701" s="27"/>
      <c r="I12701" s="27"/>
      <c r="J12701" s="27"/>
      <c r="K12701" s="27"/>
      <c r="L12701" s="27"/>
      <c r="M12701" s="28"/>
      <c r="N12701" s="28"/>
      <c r="O12701" s="27"/>
      <c r="P12701" s="27"/>
    </row>
    <row r="12702">
      <c r="A12702" s="38"/>
      <c r="B12702" s="39"/>
      <c r="C12702" s="39"/>
      <c r="D12702" s="39"/>
      <c r="E12702" s="27"/>
      <c r="F12702" s="27"/>
      <c r="G12702" s="27"/>
      <c r="H12702" s="27"/>
      <c r="I12702" s="27"/>
      <c r="J12702" s="27"/>
      <c r="K12702" s="27"/>
      <c r="L12702" s="27"/>
      <c r="M12702" s="28"/>
      <c r="N12702" s="28"/>
      <c r="O12702" s="27"/>
      <c r="P12702" s="27"/>
    </row>
    <row r="12703">
      <c r="A12703" s="38"/>
      <c r="B12703" s="39"/>
      <c r="C12703" s="39"/>
      <c r="D12703" s="39"/>
      <c r="E12703" s="27"/>
      <c r="F12703" s="27"/>
      <c r="G12703" s="27"/>
      <c r="H12703" s="27"/>
      <c r="I12703" s="27"/>
      <c r="J12703" s="27"/>
      <c r="K12703" s="27"/>
      <c r="L12703" s="27"/>
      <c r="M12703" s="28"/>
      <c r="N12703" s="28"/>
      <c r="O12703" s="27"/>
      <c r="P12703" s="27"/>
    </row>
    <row r="12704">
      <c r="A12704" s="38"/>
      <c r="B12704" s="39"/>
      <c r="C12704" s="39"/>
      <c r="D12704" s="39"/>
      <c r="E12704" s="27"/>
      <c r="F12704" s="27"/>
      <c r="G12704" s="27"/>
      <c r="H12704" s="27"/>
      <c r="I12704" s="27"/>
      <c r="J12704" s="27"/>
      <c r="K12704" s="27"/>
      <c r="L12704" s="27"/>
      <c r="M12704" s="28"/>
      <c r="N12704" s="28"/>
      <c r="O12704" s="27"/>
      <c r="P12704" s="27"/>
    </row>
    <row r="12705">
      <c r="A12705" s="38"/>
      <c r="B12705" s="39"/>
      <c r="C12705" s="39"/>
      <c r="D12705" s="39"/>
      <c r="E12705" s="27"/>
      <c r="F12705" s="27"/>
      <c r="G12705" s="27"/>
      <c r="H12705" s="27"/>
      <c r="I12705" s="27"/>
      <c r="J12705" s="27"/>
      <c r="K12705" s="27"/>
      <c r="L12705" s="27"/>
      <c r="M12705" s="28"/>
      <c r="N12705" s="28"/>
      <c r="O12705" s="27"/>
      <c r="P12705" s="27"/>
    </row>
    <row r="12706">
      <c r="A12706" s="38"/>
      <c r="B12706" s="39"/>
      <c r="C12706" s="39"/>
      <c r="D12706" s="39"/>
      <c r="E12706" s="27"/>
      <c r="F12706" s="27"/>
      <c r="G12706" s="27"/>
      <c r="H12706" s="27"/>
      <c r="I12706" s="27"/>
      <c r="J12706" s="27"/>
      <c r="K12706" s="27"/>
      <c r="L12706" s="27"/>
      <c r="M12706" s="28"/>
      <c r="N12706" s="28"/>
      <c r="O12706" s="27"/>
      <c r="P12706" s="27"/>
    </row>
    <row r="12707">
      <c r="A12707" s="38"/>
      <c r="B12707" s="39"/>
      <c r="C12707" s="39"/>
      <c r="D12707" s="39"/>
      <c r="E12707" s="27"/>
      <c r="F12707" s="27"/>
      <c r="G12707" s="27"/>
      <c r="H12707" s="27"/>
      <c r="I12707" s="27"/>
      <c r="J12707" s="27"/>
      <c r="K12707" s="27"/>
      <c r="L12707" s="27"/>
      <c r="M12707" s="28"/>
      <c r="N12707" s="28"/>
      <c r="O12707" s="27"/>
      <c r="P12707" s="27"/>
    </row>
    <row r="12708">
      <c r="A12708" s="38"/>
      <c r="B12708" s="39"/>
      <c r="C12708" s="39"/>
      <c r="D12708" s="39"/>
      <c r="E12708" s="27"/>
      <c r="F12708" s="27"/>
      <c r="G12708" s="27"/>
      <c r="H12708" s="27"/>
      <c r="I12708" s="27"/>
      <c r="J12708" s="27"/>
      <c r="K12708" s="27"/>
      <c r="L12708" s="27"/>
      <c r="M12708" s="28"/>
      <c r="N12708" s="28"/>
      <c r="O12708" s="27"/>
      <c r="P12708" s="27"/>
    </row>
    <row r="12709">
      <c r="A12709" s="38"/>
      <c r="B12709" s="39"/>
      <c r="C12709" s="39"/>
      <c r="D12709" s="39"/>
      <c r="E12709" s="27"/>
      <c r="F12709" s="27"/>
      <c r="G12709" s="27"/>
      <c r="H12709" s="27"/>
      <c r="I12709" s="27"/>
      <c r="J12709" s="27"/>
      <c r="K12709" s="27"/>
      <c r="L12709" s="27"/>
      <c r="M12709" s="28"/>
      <c r="N12709" s="28"/>
      <c r="O12709" s="27"/>
      <c r="P12709" s="27"/>
    </row>
    <row r="12710">
      <c r="A12710" s="38"/>
      <c r="B12710" s="39"/>
      <c r="C12710" s="39"/>
      <c r="D12710" s="39"/>
      <c r="E12710" s="27"/>
      <c r="F12710" s="27"/>
      <c r="G12710" s="27"/>
      <c r="H12710" s="27"/>
      <c r="I12710" s="27"/>
      <c r="J12710" s="27"/>
      <c r="K12710" s="27"/>
      <c r="L12710" s="27"/>
      <c r="M12710" s="28"/>
      <c r="N12710" s="28"/>
      <c r="O12710" s="27"/>
      <c r="P12710" s="27"/>
    </row>
    <row r="12711">
      <c r="A12711" s="38"/>
      <c r="B12711" s="39"/>
      <c r="C12711" s="39"/>
      <c r="D12711" s="39"/>
      <c r="E12711" s="27"/>
      <c r="F12711" s="27"/>
      <c r="G12711" s="27"/>
      <c r="H12711" s="27"/>
      <c r="I12711" s="27"/>
      <c r="J12711" s="27"/>
      <c r="K12711" s="27"/>
      <c r="L12711" s="27"/>
      <c r="M12711" s="28"/>
      <c r="N12711" s="28"/>
      <c r="O12711" s="27"/>
      <c r="P12711" s="27"/>
    </row>
    <row r="12712">
      <c r="A12712" s="38"/>
      <c r="B12712" s="39"/>
      <c r="C12712" s="39"/>
      <c r="D12712" s="39"/>
      <c r="E12712" s="27"/>
      <c r="F12712" s="27"/>
      <c r="G12712" s="27"/>
      <c r="H12712" s="27"/>
      <c r="I12712" s="27"/>
      <c r="J12712" s="27"/>
      <c r="K12712" s="27"/>
      <c r="L12712" s="27"/>
      <c r="M12712" s="28"/>
      <c r="N12712" s="28"/>
      <c r="O12712" s="27"/>
      <c r="P12712" s="27"/>
    </row>
    <row r="12713">
      <c r="A12713" s="38"/>
      <c r="B12713" s="39"/>
      <c r="C12713" s="39"/>
      <c r="D12713" s="39"/>
      <c r="E12713" s="27"/>
      <c r="F12713" s="27"/>
      <c r="G12713" s="27"/>
      <c r="H12713" s="27"/>
      <c r="I12713" s="27"/>
      <c r="J12713" s="27"/>
      <c r="K12713" s="27"/>
      <c r="L12713" s="27"/>
      <c r="M12713" s="28"/>
      <c r="N12713" s="28"/>
      <c r="O12713" s="27"/>
      <c r="P12713" s="27"/>
    </row>
    <row r="12714">
      <c r="A12714" s="38"/>
      <c r="B12714" s="39"/>
      <c r="C12714" s="39"/>
      <c r="D12714" s="39"/>
      <c r="E12714" s="27"/>
      <c r="F12714" s="27"/>
      <c r="G12714" s="27"/>
      <c r="H12714" s="27"/>
      <c r="I12714" s="27"/>
      <c r="J12714" s="27"/>
      <c r="K12714" s="27"/>
      <c r="L12714" s="27"/>
      <c r="M12714" s="28"/>
      <c r="N12714" s="28"/>
      <c r="O12714" s="27"/>
      <c r="P12714" s="27"/>
    </row>
    <row r="12715">
      <c r="A12715" s="38"/>
      <c r="B12715" s="39"/>
      <c r="C12715" s="39"/>
      <c r="D12715" s="39"/>
      <c r="E12715" s="27"/>
      <c r="F12715" s="27"/>
      <c r="G12715" s="27"/>
      <c r="H12715" s="27"/>
      <c r="I12715" s="27"/>
      <c r="J12715" s="27"/>
      <c r="K12715" s="27"/>
      <c r="L12715" s="27"/>
      <c r="M12715" s="28"/>
      <c r="N12715" s="28"/>
      <c r="O12715" s="27"/>
      <c r="P12715" s="27"/>
    </row>
    <row r="12716">
      <c r="A12716" s="38"/>
      <c r="B12716" s="39"/>
      <c r="C12716" s="39"/>
      <c r="D12716" s="39"/>
      <c r="E12716" s="27"/>
      <c r="F12716" s="27"/>
      <c r="G12716" s="27"/>
      <c r="H12716" s="27"/>
      <c r="I12716" s="27"/>
      <c r="J12716" s="27"/>
      <c r="K12716" s="27"/>
      <c r="L12716" s="27"/>
      <c r="M12716" s="28"/>
      <c r="N12716" s="28"/>
      <c r="O12716" s="27"/>
      <c r="P12716" s="27"/>
    </row>
    <row r="12717">
      <c r="A12717" s="38"/>
      <c r="B12717" s="39"/>
      <c r="C12717" s="39"/>
      <c r="D12717" s="39"/>
      <c r="E12717" s="27"/>
      <c r="F12717" s="27"/>
      <c r="G12717" s="27"/>
      <c r="H12717" s="27"/>
      <c r="I12717" s="27"/>
      <c r="J12717" s="27"/>
      <c r="K12717" s="27"/>
      <c r="L12717" s="27"/>
      <c r="M12717" s="28"/>
      <c r="N12717" s="28"/>
      <c r="O12717" s="27"/>
      <c r="P12717" s="27"/>
    </row>
    <row r="12718">
      <c r="A12718" s="38"/>
      <c r="B12718" s="39"/>
      <c r="C12718" s="39"/>
      <c r="D12718" s="39"/>
      <c r="E12718" s="27"/>
      <c r="F12718" s="27"/>
      <c r="G12718" s="27"/>
      <c r="H12718" s="27"/>
      <c r="I12718" s="27"/>
      <c r="J12718" s="27"/>
      <c r="K12718" s="27"/>
      <c r="L12718" s="27"/>
      <c r="M12718" s="28"/>
      <c r="N12718" s="28"/>
      <c r="O12718" s="27"/>
      <c r="P12718" s="27"/>
    </row>
    <row r="12719">
      <c r="A12719" s="38"/>
      <c r="B12719" s="39"/>
      <c r="C12719" s="39"/>
      <c r="D12719" s="39"/>
      <c r="E12719" s="27"/>
      <c r="F12719" s="27"/>
      <c r="G12719" s="27"/>
      <c r="H12719" s="27"/>
      <c r="I12719" s="27"/>
      <c r="J12719" s="27"/>
      <c r="K12719" s="27"/>
      <c r="L12719" s="27"/>
      <c r="M12719" s="28"/>
      <c r="N12719" s="28"/>
      <c r="O12719" s="27"/>
      <c r="P12719" s="27"/>
    </row>
    <row r="12720">
      <c r="A12720" s="38"/>
      <c r="B12720" s="39"/>
      <c r="C12720" s="39"/>
      <c r="D12720" s="39"/>
      <c r="E12720" s="27"/>
      <c r="F12720" s="27"/>
      <c r="G12720" s="27"/>
      <c r="H12720" s="27"/>
      <c r="I12720" s="27"/>
      <c r="J12720" s="27"/>
      <c r="K12720" s="27"/>
      <c r="L12720" s="27"/>
      <c r="M12720" s="28"/>
      <c r="N12720" s="28"/>
      <c r="O12720" s="27"/>
      <c r="P12720" s="27"/>
    </row>
    <row r="12721">
      <c r="A12721" s="38"/>
      <c r="B12721" s="39"/>
      <c r="C12721" s="39"/>
      <c r="D12721" s="39"/>
      <c r="E12721" s="27"/>
      <c r="F12721" s="27"/>
      <c r="G12721" s="27"/>
      <c r="H12721" s="27"/>
      <c r="I12721" s="27"/>
      <c r="J12721" s="27"/>
      <c r="K12721" s="27"/>
      <c r="L12721" s="27"/>
      <c r="M12721" s="28"/>
      <c r="N12721" s="28"/>
      <c r="O12721" s="27"/>
      <c r="P12721" s="27"/>
    </row>
    <row r="12722">
      <c r="A12722" s="38"/>
      <c r="B12722" s="39"/>
      <c r="C12722" s="39"/>
      <c r="D12722" s="39"/>
      <c r="E12722" s="27"/>
      <c r="F12722" s="27"/>
      <c r="G12722" s="27"/>
      <c r="H12722" s="27"/>
      <c r="I12722" s="27"/>
      <c r="J12722" s="27"/>
      <c r="K12722" s="27"/>
      <c r="L12722" s="27"/>
      <c r="M12722" s="28"/>
      <c r="N12722" s="28"/>
      <c r="O12722" s="27"/>
      <c r="P12722" s="27"/>
    </row>
    <row r="12723">
      <c r="A12723" s="38"/>
      <c r="B12723" s="39"/>
      <c r="C12723" s="39"/>
      <c r="D12723" s="39"/>
      <c r="E12723" s="27"/>
      <c r="F12723" s="27"/>
      <c r="G12723" s="27"/>
      <c r="H12723" s="27"/>
      <c r="I12723" s="27"/>
      <c r="J12723" s="27"/>
      <c r="K12723" s="27"/>
      <c r="L12723" s="27"/>
      <c r="M12723" s="28"/>
      <c r="N12723" s="28"/>
      <c r="O12723" s="27"/>
      <c r="P12723" s="27"/>
    </row>
    <row r="12724">
      <c r="A12724" s="38"/>
      <c r="B12724" s="39"/>
      <c r="C12724" s="39"/>
      <c r="D12724" s="39"/>
      <c r="E12724" s="27"/>
      <c r="F12724" s="27"/>
      <c r="G12724" s="27"/>
      <c r="H12724" s="27"/>
      <c r="I12724" s="27"/>
      <c r="J12724" s="27"/>
      <c r="K12724" s="27"/>
      <c r="L12724" s="27"/>
      <c r="M12724" s="28"/>
      <c r="N12724" s="28"/>
      <c r="O12724" s="27"/>
      <c r="P12724" s="27"/>
    </row>
    <row r="12725">
      <c r="A12725" s="38"/>
      <c r="B12725" s="39"/>
      <c r="C12725" s="39"/>
      <c r="D12725" s="39"/>
      <c r="E12725" s="27"/>
      <c r="F12725" s="27"/>
      <c r="G12725" s="27"/>
      <c r="H12725" s="27"/>
      <c r="I12725" s="27"/>
      <c r="J12725" s="27"/>
      <c r="K12725" s="27"/>
      <c r="L12725" s="27"/>
      <c r="M12725" s="28"/>
      <c r="N12725" s="28"/>
      <c r="O12725" s="27"/>
      <c r="P12725" s="27"/>
    </row>
    <row r="12726">
      <c r="A12726" s="38"/>
      <c r="B12726" s="39"/>
      <c r="C12726" s="39"/>
      <c r="D12726" s="39"/>
      <c r="E12726" s="27"/>
      <c r="F12726" s="27"/>
      <c r="G12726" s="27"/>
      <c r="H12726" s="27"/>
      <c r="I12726" s="27"/>
      <c r="J12726" s="27"/>
      <c r="K12726" s="27"/>
      <c r="L12726" s="27"/>
      <c r="M12726" s="28"/>
      <c r="N12726" s="28"/>
      <c r="O12726" s="27"/>
      <c r="P12726" s="27"/>
    </row>
    <row r="12727">
      <c r="A12727" s="38"/>
      <c r="B12727" s="39"/>
      <c r="C12727" s="39"/>
      <c r="D12727" s="39"/>
      <c r="E12727" s="27"/>
      <c r="F12727" s="27"/>
      <c r="G12727" s="27"/>
      <c r="H12727" s="27"/>
      <c r="I12727" s="27"/>
      <c r="J12727" s="27"/>
      <c r="K12727" s="27"/>
      <c r="L12727" s="27"/>
      <c r="M12727" s="28"/>
      <c r="N12727" s="28"/>
      <c r="O12727" s="27"/>
      <c r="P12727" s="27"/>
    </row>
    <row r="12728">
      <c r="A12728" s="38"/>
      <c r="B12728" s="39"/>
      <c r="C12728" s="39"/>
      <c r="D12728" s="39"/>
      <c r="E12728" s="27"/>
      <c r="F12728" s="27"/>
      <c r="G12728" s="27"/>
      <c r="H12728" s="27"/>
      <c r="I12728" s="27"/>
      <c r="J12728" s="27"/>
      <c r="K12728" s="27"/>
      <c r="L12728" s="27"/>
      <c r="M12728" s="28"/>
      <c r="N12728" s="28"/>
      <c r="O12728" s="27"/>
      <c r="P12728" s="27"/>
    </row>
    <row r="12729">
      <c r="A12729" s="38"/>
      <c r="B12729" s="39"/>
      <c r="C12729" s="39"/>
      <c r="D12729" s="39"/>
      <c r="E12729" s="27"/>
      <c r="F12729" s="27"/>
      <c r="G12729" s="27"/>
      <c r="H12729" s="27"/>
      <c r="I12729" s="27"/>
      <c r="J12729" s="27"/>
      <c r="K12729" s="27"/>
      <c r="L12729" s="27"/>
      <c r="M12729" s="28"/>
      <c r="N12729" s="28"/>
      <c r="O12729" s="27"/>
      <c r="P12729" s="27"/>
    </row>
    <row r="12730">
      <c r="A12730" s="38"/>
      <c r="B12730" s="39"/>
      <c r="C12730" s="39"/>
      <c r="D12730" s="39"/>
      <c r="E12730" s="27"/>
      <c r="F12730" s="27"/>
      <c r="G12730" s="27"/>
      <c r="H12730" s="27"/>
      <c r="I12730" s="27"/>
      <c r="J12730" s="27"/>
      <c r="K12730" s="27"/>
      <c r="L12730" s="27"/>
      <c r="M12730" s="28"/>
      <c r="N12730" s="28"/>
      <c r="O12730" s="27"/>
      <c r="P12730" s="27"/>
    </row>
    <row r="12731">
      <c r="A12731" s="38"/>
      <c r="B12731" s="39"/>
      <c r="C12731" s="39"/>
      <c r="D12731" s="39"/>
      <c r="E12731" s="27"/>
      <c r="F12731" s="27"/>
      <c r="G12731" s="27"/>
      <c r="H12731" s="27"/>
      <c r="I12731" s="27"/>
      <c r="J12731" s="27"/>
      <c r="K12731" s="27"/>
      <c r="L12731" s="27"/>
      <c r="M12731" s="28"/>
      <c r="N12731" s="28"/>
      <c r="O12731" s="27"/>
      <c r="P12731" s="27"/>
    </row>
    <row r="12732">
      <c r="A12732" s="38"/>
      <c r="B12732" s="39"/>
      <c r="C12732" s="39"/>
      <c r="D12732" s="39"/>
      <c r="E12732" s="27"/>
      <c r="F12732" s="27"/>
      <c r="G12732" s="27"/>
      <c r="H12732" s="27"/>
      <c r="I12732" s="27"/>
      <c r="J12732" s="27"/>
      <c r="K12732" s="27"/>
      <c r="L12732" s="27"/>
      <c r="M12732" s="28"/>
      <c r="N12732" s="28"/>
      <c r="O12732" s="27"/>
      <c r="P12732" s="27"/>
    </row>
    <row r="12733">
      <c r="A12733" s="38"/>
      <c r="B12733" s="39"/>
      <c r="C12733" s="39"/>
      <c r="D12733" s="39"/>
      <c r="E12733" s="27"/>
      <c r="F12733" s="27"/>
      <c r="G12733" s="27"/>
      <c r="H12733" s="27"/>
      <c r="I12733" s="27"/>
      <c r="J12733" s="27"/>
      <c r="K12733" s="27"/>
      <c r="L12733" s="27"/>
      <c r="M12733" s="28"/>
      <c r="N12733" s="28"/>
      <c r="O12733" s="27"/>
      <c r="P12733" s="27"/>
    </row>
    <row r="12734">
      <c r="A12734" s="38"/>
      <c r="B12734" s="39"/>
      <c r="C12734" s="39"/>
      <c r="D12734" s="39"/>
      <c r="E12734" s="27"/>
      <c r="F12734" s="27"/>
      <c r="G12734" s="27"/>
      <c r="H12734" s="27"/>
      <c r="I12734" s="27"/>
      <c r="J12734" s="27"/>
      <c r="K12734" s="27"/>
      <c r="L12734" s="27"/>
      <c r="M12734" s="28"/>
      <c r="N12734" s="28"/>
      <c r="O12734" s="27"/>
      <c r="P12734" s="27"/>
    </row>
    <row r="12735">
      <c r="A12735" s="38"/>
      <c r="B12735" s="39"/>
      <c r="C12735" s="39"/>
      <c r="D12735" s="39"/>
      <c r="E12735" s="27"/>
      <c r="F12735" s="27"/>
      <c r="G12735" s="27"/>
      <c r="H12735" s="27"/>
      <c r="I12735" s="27"/>
      <c r="J12735" s="27"/>
      <c r="K12735" s="27"/>
      <c r="L12735" s="27"/>
      <c r="M12735" s="28"/>
      <c r="N12735" s="28"/>
      <c r="O12735" s="27"/>
      <c r="P12735" s="27"/>
    </row>
    <row r="12736">
      <c r="A12736" s="38"/>
      <c r="B12736" s="39"/>
      <c r="C12736" s="39"/>
      <c r="D12736" s="39"/>
      <c r="E12736" s="27"/>
      <c r="F12736" s="27"/>
      <c r="G12736" s="27"/>
      <c r="H12736" s="27"/>
      <c r="I12736" s="27"/>
      <c r="J12736" s="27"/>
      <c r="K12736" s="27"/>
      <c r="L12736" s="27"/>
      <c r="M12736" s="28"/>
      <c r="N12736" s="28"/>
      <c r="O12736" s="27"/>
      <c r="P12736" s="27"/>
    </row>
    <row r="12737">
      <c r="A12737" s="38"/>
      <c r="B12737" s="39"/>
      <c r="C12737" s="39"/>
      <c r="D12737" s="39"/>
      <c r="E12737" s="27"/>
      <c r="F12737" s="27"/>
      <c r="G12737" s="27"/>
      <c r="H12737" s="27"/>
      <c r="I12737" s="27"/>
      <c r="J12737" s="27"/>
      <c r="K12737" s="27"/>
      <c r="L12737" s="27"/>
      <c r="M12737" s="28"/>
      <c r="N12737" s="28"/>
      <c r="O12737" s="27"/>
      <c r="P12737" s="27"/>
    </row>
    <row r="12738">
      <c r="A12738" s="38"/>
      <c r="B12738" s="39"/>
      <c r="C12738" s="39"/>
      <c r="D12738" s="39"/>
      <c r="E12738" s="27"/>
      <c r="F12738" s="27"/>
      <c r="G12738" s="27"/>
      <c r="H12738" s="27"/>
      <c r="I12738" s="27"/>
      <c r="J12738" s="27"/>
      <c r="K12738" s="27"/>
      <c r="L12738" s="27"/>
      <c r="M12738" s="28"/>
      <c r="N12738" s="28"/>
      <c r="O12738" s="27"/>
      <c r="P12738" s="27"/>
    </row>
    <row r="12739">
      <c r="A12739" s="38"/>
      <c r="B12739" s="39"/>
      <c r="C12739" s="39"/>
      <c r="D12739" s="39"/>
      <c r="E12739" s="27"/>
      <c r="F12739" s="27"/>
      <c r="G12739" s="27"/>
      <c r="H12739" s="27"/>
      <c r="I12739" s="27"/>
      <c r="J12739" s="27"/>
      <c r="K12739" s="27"/>
      <c r="L12739" s="27"/>
      <c r="M12739" s="28"/>
      <c r="N12739" s="28"/>
      <c r="O12739" s="27"/>
      <c r="P12739" s="27"/>
    </row>
    <row r="12740">
      <c r="A12740" s="38"/>
      <c r="B12740" s="39"/>
      <c r="C12740" s="39"/>
      <c r="D12740" s="39"/>
      <c r="E12740" s="27"/>
      <c r="F12740" s="27"/>
      <c r="G12740" s="27"/>
      <c r="H12740" s="27"/>
      <c r="I12740" s="27"/>
      <c r="J12740" s="27"/>
      <c r="K12740" s="27"/>
      <c r="L12740" s="27"/>
      <c r="M12740" s="28"/>
      <c r="N12740" s="28"/>
      <c r="O12740" s="27"/>
      <c r="P12740" s="27"/>
    </row>
    <row r="12741">
      <c r="A12741" s="38"/>
      <c r="B12741" s="39"/>
      <c r="C12741" s="39"/>
      <c r="D12741" s="39"/>
      <c r="E12741" s="27"/>
      <c r="F12741" s="27"/>
      <c r="G12741" s="27"/>
      <c r="H12741" s="27"/>
      <c r="I12741" s="27"/>
      <c r="J12741" s="27"/>
      <c r="K12741" s="27"/>
      <c r="L12741" s="27"/>
      <c r="M12741" s="28"/>
      <c r="N12741" s="28"/>
      <c r="O12741" s="27"/>
      <c r="P12741" s="27"/>
    </row>
    <row r="12742">
      <c r="A12742" s="38"/>
      <c r="B12742" s="39"/>
      <c r="C12742" s="39"/>
      <c r="D12742" s="39"/>
      <c r="E12742" s="27"/>
      <c r="F12742" s="27"/>
      <c r="G12742" s="27"/>
      <c r="H12742" s="27"/>
      <c r="I12742" s="27"/>
      <c r="J12742" s="27"/>
      <c r="K12742" s="27"/>
      <c r="L12742" s="27"/>
      <c r="M12742" s="28"/>
      <c r="N12742" s="28"/>
      <c r="O12742" s="27"/>
      <c r="P12742" s="27"/>
    </row>
    <row r="12743">
      <c r="A12743" s="38"/>
      <c r="B12743" s="39"/>
      <c r="C12743" s="39"/>
      <c r="D12743" s="39"/>
      <c r="E12743" s="27"/>
      <c r="F12743" s="27"/>
      <c r="G12743" s="27"/>
      <c r="H12743" s="27"/>
      <c r="I12743" s="27"/>
      <c r="J12743" s="27"/>
      <c r="K12743" s="27"/>
      <c r="L12743" s="27"/>
      <c r="M12743" s="28"/>
      <c r="N12743" s="28"/>
      <c r="O12743" s="27"/>
      <c r="P12743" s="27"/>
    </row>
    <row r="12744">
      <c r="A12744" s="38"/>
      <c r="B12744" s="39"/>
      <c r="C12744" s="39"/>
      <c r="D12744" s="39"/>
      <c r="E12744" s="27"/>
      <c r="F12744" s="27"/>
      <c r="G12744" s="27"/>
      <c r="H12744" s="27"/>
      <c r="I12744" s="27"/>
      <c r="J12744" s="27"/>
      <c r="K12744" s="27"/>
      <c r="L12744" s="27"/>
      <c r="M12744" s="28"/>
      <c r="N12744" s="28"/>
      <c r="O12744" s="27"/>
      <c r="P12744" s="27"/>
    </row>
    <row r="12745">
      <c r="A12745" s="38"/>
      <c r="B12745" s="39"/>
      <c r="C12745" s="39"/>
      <c r="D12745" s="39"/>
      <c r="E12745" s="27"/>
      <c r="F12745" s="27"/>
      <c r="G12745" s="27"/>
      <c r="H12745" s="27"/>
      <c r="I12745" s="27"/>
      <c r="J12745" s="27"/>
      <c r="K12745" s="27"/>
      <c r="L12745" s="27"/>
      <c r="M12745" s="28"/>
      <c r="N12745" s="28"/>
      <c r="O12745" s="27"/>
      <c r="P12745" s="27"/>
    </row>
    <row r="12746">
      <c r="A12746" s="38"/>
      <c r="B12746" s="39"/>
      <c r="C12746" s="39"/>
      <c r="D12746" s="39"/>
      <c r="E12746" s="27"/>
      <c r="F12746" s="27"/>
      <c r="G12746" s="27"/>
      <c r="H12746" s="27"/>
      <c r="I12746" s="27"/>
      <c r="J12746" s="27"/>
      <c r="K12746" s="27"/>
      <c r="L12746" s="27"/>
      <c r="M12746" s="28"/>
      <c r="N12746" s="28"/>
      <c r="O12746" s="27"/>
      <c r="P12746" s="27"/>
    </row>
    <row r="12747">
      <c r="A12747" s="38"/>
      <c r="B12747" s="39"/>
      <c r="C12747" s="39"/>
      <c r="D12747" s="39"/>
      <c r="E12747" s="27"/>
      <c r="F12747" s="27"/>
      <c r="G12747" s="27"/>
      <c r="H12747" s="27"/>
      <c r="I12747" s="27"/>
      <c r="J12747" s="27"/>
      <c r="K12747" s="27"/>
      <c r="L12747" s="27"/>
      <c r="M12747" s="28"/>
      <c r="N12747" s="28"/>
      <c r="O12747" s="27"/>
      <c r="P12747" s="27"/>
    </row>
    <row r="12748">
      <c r="A12748" s="38"/>
      <c r="B12748" s="39"/>
      <c r="C12748" s="39"/>
      <c r="D12748" s="39"/>
      <c r="E12748" s="27"/>
      <c r="F12748" s="27"/>
      <c r="G12748" s="27"/>
      <c r="H12748" s="27"/>
      <c r="I12748" s="27"/>
      <c r="J12748" s="27"/>
      <c r="K12748" s="27"/>
      <c r="L12748" s="27"/>
      <c r="M12748" s="28"/>
      <c r="N12748" s="28"/>
      <c r="O12748" s="27"/>
      <c r="P12748" s="27"/>
    </row>
    <row r="12749">
      <c r="A12749" s="38"/>
      <c r="B12749" s="39"/>
      <c r="C12749" s="39"/>
      <c r="D12749" s="39"/>
      <c r="E12749" s="27"/>
      <c r="F12749" s="27"/>
      <c r="G12749" s="27"/>
      <c r="H12749" s="27"/>
      <c r="I12749" s="27"/>
      <c r="J12749" s="27"/>
      <c r="K12749" s="27"/>
      <c r="L12749" s="27"/>
      <c r="M12749" s="28"/>
      <c r="N12749" s="28"/>
      <c r="O12749" s="27"/>
      <c r="P12749" s="27"/>
    </row>
    <row r="12750">
      <c r="A12750" s="38"/>
      <c r="B12750" s="39"/>
      <c r="C12750" s="39"/>
      <c r="D12750" s="39"/>
      <c r="E12750" s="27"/>
      <c r="F12750" s="27"/>
      <c r="G12750" s="27"/>
      <c r="H12750" s="27"/>
      <c r="I12750" s="27"/>
      <c r="J12750" s="27"/>
      <c r="K12750" s="27"/>
      <c r="L12750" s="27"/>
      <c r="M12750" s="28"/>
      <c r="N12750" s="28"/>
      <c r="O12750" s="27"/>
      <c r="P12750" s="27"/>
    </row>
    <row r="12751">
      <c r="A12751" s="38"/>
      <c r="B12751" s="39"/>
      <c r="C12751" s="39"/>
      <c r="D12751" s="39"/>
      <c r="E12751" s="27"/>
      <c r="F12751" s="27"/>
      <c r="G12751" s="27"/>
      <c r="H12751" s="27"/>
      <c r="I12751" s="27"/>
      <c r="J12751" s="27"/>
      <c r="K12751" s="27"/>
      <c r="L12751" s="27"/>
      <c r="M12751" s="28"/>
      <c r="N12751" s="28"/>
      <c r="O12751" s="27"/>
      <c r="P12751" s="27"/>
    </row>
    <row r="12752">
      <c r="A12752" s="38"/>
      <c r="B12752" s="39"/>
      <c r="C12752" s="39"/>
      <c r="D12752" s="39"/>
      <c r="E12752" s="27"/>
      <c r="F12752" s="27"/>
      <c r="G12752" s="27"/>
      <c r="H12752" s="27"/>
      <c r="I12752" s="27"/>
      <c r="J12752" s="27"/>
      <c r="K12752" s="27"/>
      <c r="L12752" s="27"/>
      <c r="M12752" s="28"/>
      <c r="N12752" s="28"/>
      <c r="O12752" s="27"/>
      <c r="P12752" s="27"/>
    </row>
    <row r="12753">
      <c r="A12753" s="38"/>
      <c r="B12753" s="39"/>
      <c r="C12753" s="39"/>
      <c r="D12753" s="39"/>
      <c r="E12753" s="27"/>
      <c r="F12753" s="27"/>
      <c r="G12753" s="27"/>
      <c r="H12753" s="27"/>
      <c r="I12753" s="27"/>
      <c r="J12753" s="27"/>
      <c r="K12753" s="27"/>
      <c r="L12753" s="27"/>
      <c r="M12753" s="28"/>
      <c r="N12753" s="28"/>
      <c r="O12753" s="27"/>
      <c r="P12753" s="27"/>
    </row>
    <row r="12754">
      <c r="A12754" s="38"/>
      <c r="B12754" s="39"/>
      <c r="C12754" s="39"/>
      <c r="D12754" s="39"/>
      <c r="E12754" s="27"/>
      <c r="F12754" s="27"/>
      <c r="G12754" s="27"/>
      <c r="H12754" s="27"/>
      <c r="I12754" s="27"/>
      <c r="J12754" s="27"/>
      <c r="K12754" s="27"/>
      <c r="L12754" s="27"/>
      <c r="M12754" s="28"/>
      <c r="N12754" s="28"/>
      <c r="O12754" s="27"/>
      <c r="P12754" s="27"/>
    </row>
    <row r="12755">
      <c r="A12755" s="38"/>
      <c r="B12755" s="39"/>
      <c r="C12755" s="39"/>
      <c r="D12755" s="39"/>
      <c r="E12755" s="27"/>
      <c r="F12755" s="27"/>
      <c r="G12755" s="27"/>
      <c r="H12755" s="27"/>
      <c r="I12755" s="27"/>
      <c r="J12755" s="27"/>
      <c r="K12755" s="27"/>
      <c r="L12755" s="27"/>
      <c r="M12755" s="28"/>
      <c r="N12755" s="28"/>
      <c r="O12755" s="27"/>
      <c r="P12755" s="27"/>
    </row>
    <row r="12756">
      <c r="A12756" s="38"/>
      <c r="B12756" s="39"/>
      <c r="C12756" s="39"/>
      <c r="D12756" s="39"/>
      <c r="E12756" s="27"/>
      <c r="F12756" s="27"/>
      <c r="G12756" s="27"/>
      <c r="H12756" s="27"/>
      <c r="I12756" s="27"/>
      <c r="J12756" s="27"/>
      <c r="K12756" s="27"/>
      <c r="L12756" s="27"/>
      <c r="M12756" s="28"/>
      <c r="N12756" s="28"/>
      <c r="O12756" s="27"/>
      <c r="P12756" s="27"/>
    </row>
    <row r="12757">
      <c r="A12757" s="38"/>
      <c r="B12757" s="39"/>
      <c r="C12757" s="39"/>
      <c r="D12757" s="39"/>
      <c r="E12757" s="27"/>
      <c r="F12757" s="27"/>
      <c r="G12757" s="27"/>
      <c r="H12757" s="27"/>
      <c r="I12757" s="27"/>
      <c r="J12757" s="27"/>
      <c r="K12757" s="27"/>
      <c r="L12757" s="27"/>
      <c r="M12757" s="28"/>
      <c r="N12757" s="28"/>
      <c r="O12757" s="27"/>
      <c r="P12757" s="27"/>
    </row>
    <row r="12758">
      <c r="A12758" s="38"/>
      <c r="B12758" s="39"/>
      <c r="C12758" s="39"/>
      <c r="D12758" s="39"/>
      <c r="E12758" s="27"/>
      <c r="F12758" s="27"/>
      <c r="G12758" s="27"/>
      <c r="H12758" s="27"/>
      <c r="I12758" s="27"/>
      <c r="J12758" s="27"/>
      <c r="K12758" s="27"/>
      <c r="L12758" s="27"/>
      <c r="M12758" s="28"/>
      <c r="N12758" s="28"/>
      <c r="O12758" s="27"/>
      <c r="P12758" s="27"/>
    </row>
    <row r="12759">
      <c r="A12759" s="38"/>
      <c r="B12759" s="39"/>
      <c r="C12759" s="39"/>
      <c r="D12759" s="39"/>
      <c r="E12759" s="27"/>
      <c r="F12759" s="27"/>
      <c r="G12759" s="27"/>
      <c r="H12759" s="27"/>
      <c r="I12759" s="27"/>
      <c r="J12759" s="27"/>
      <c r="K12759" s="27"/>
      <c r="L12759" s="27"/>
      <c r="M12759" s="28"/>
      <c r="N12759" s="28"/>
      <c r="O12759" s="27"/>
      <c r="P12759" s="27"/>
    </row>
    <row r="12760">
      <c r="A12760" s="38"/>
      <c r="B12760" s="39"/>
      <c r="C12760" s="39"/>
      <c r="D12760" s="39"/>
      <c r="E12760" s="27"/>
      <c r="F12760" s="27"/>
      <c r="G12760" s="27"/>
      <c r="H12760" s="27"/>
      <c r="I12760" s="27"/>
      <c r="J12760" s="27"/>
      <c r="K12760" s="27"/>
      <c r="L12760" s="27"/>
      <c r="M12760" s="28"/>
      <c r="N12760" s="28"/>
      <c r="O12760" s="27"/>
      <c r="P12760" s="27"/>
    </row>
    <row r="12761">
      <c r="A12761" s="38"/>
      <c r="B12761" s="39"/>
      <c r="C12761" s="39"/>
      <c r="D12761" s="39"/>
      <c r="E12761" s="27"/>
      <c r="F12761" s="27"/>
      <c r="G12761" s="27"/>
      <c r="H12761" s="27"/>
      <c r="I12761" s="27"/>
      <c r="J12761" s="27"/>
      <c r="K12761" s="27"/>
      <c r="L12761" s="27"/>
      <c r="M12761" s="28"/>
      <c r="N12761" s="28"/>
      <c r="O12761" s="27"/>
      <c r="P12761" s="27"/>
    </row>
    <row r="12762">
      <c r="A12762" s="38"/>
      <c r="B12762" s="39"/>
      <c r="C12762" s="39"/>
      <c r="D12762" s="39"/>
      <c r="E12762" s="27"/>
      <c r="F12762" s="27"/>
      <c r="G12762" s="27"/>
      <c r="H12762" s="27"/>
      <c r="I12762" s="27"/>
      <c r="J12762" s="27"/>
      <c r="K12762" s="27"/>
      <c r="L12762" s="27"/>
      <c r="M12762" s="28"/>
      <c r="N12762" s="28"/>
      <c r="O12762" s="27"/>
      <c r="P12762" s="27"/>
    </row>
    <row r="12763">
      <c r="A12763" s="38"/>
      <c r="B12763" s="39"/>
      <c r="C12763" s="39"/>
      <c r="D12763" s="39"/>
      <c r="E12763" s="27"/>
      <c r="F12763" s="27"/>
      <c r="G12763" s="27"/>
      <c r="H12763" s="27"/>
      <c r="I12763" s="27"/>
      <c r="J12763" s="27"/>
      <c r="K12763" s="27"/>
      <c r="L12763" s="27"/>
      <c r="M12763" s="28"/>
      <c r="N12763" s="28"/>
      <c r="O12763" s="27"/>
      <c r="P12763" s="27"/>
    </row>
    <row r="12764">
      <c r="A12764" s="38"/>
      <c r="B12764" s="39"/>
      <c r="C12764" s="39"/>
      <c r="D12764" s="39"/>
      <c r="E12764" s="27"/>
      <c r="F12764" s="27"/>
      <c r="G12764" s="27"/>
      <c r="H12764" s="27"/>
      <c r="I12764" s="27"/>
      <c r="J12764" s="27"/>
      <c r="K12764" s="27"/>
      <c r="L12764" s="27"/>
      <c r="M12764" s="28"/>
      <c r="N12764" s="28"/>
      <c r="O12764" s="27"/>
      <c r="P12764" s="27"/>
    </row>
    <row r="12765">
      <c r="A12765" s="38"/>
      <c r="B12765" s="39"/>
      <c r="C12765" s="39"/>
      <c r="D12765" s="39"/>
      <c r="E12765" s="27"/>
      <c r="F12765" s="27"/>
      <c r="G12765" s="27"/>
      <c r="H12765" s="27"/>
      <c r="I12765" s="27"/>
      <c r="J12765" s="27"/>
      <c r="K12765" s="27"/>
      <c r="L12765" s="27"/>
      <c r="M12765" s="28"/>
      <c r="N12765" s="28"/>
      <c r="O12765" s="27"/>
      <c r="P12765" s="27"/>
    </row>
    <row r="12766">
      <c r="A12766" s="38"/>
      <c r="B12766" s="39"/>
      <c r="C12766" s="39"/>
      <c r="D12766" s="39"/>
      <c r="E12766" s="27"/>
      <c r="F12766" s="27"/>
      <c r="G12766" s="27"/>
      <c r="H12766" s="27"/>
      <c r="I12766" s="27"/>
      <c r="J12766" s="27"/>
      <c r="K12766" s="27"/>
      <c r="L12766" s="27"/>
      <c r="M12766" s="28"/>
      <c r="N12766" s="28"/>
      <c r="O12766" s="27"/>
      <c r="P12766" s="27"/>
    </row>
    <row r="12767">
      <c r="A12767" s="38"/>
      <c r="B12767" s="39"/>
      <c r="C12767" s="39"/>
      <c r="D12767" s="39"/>
      <c r="E12767" s="27"/>
      <c r="F12767" s="27"/>
      <c r="G12767" s="27"/>
      <c r="H12767" s="27"/>
      <c r="I12767" s="27"/>
      <c r="J12767" s="27"/>
      <c r="K12767" s="27"/>
      <c r="L12767" s="27"/>
      <c r="M12767" s="28"/>
      <c r="N12767" s="28"/>
      <c r="O12767" s="27"/>
      <c r="P12767" s="27"/>
    </row>
    <row r="12768">
      <c r="A12768" s="38"/>
      <c r="B12768" s="39"/>
      <c r="C12768" s="39"/>
      <c r="D12768" s="39"/>
      <c r="E12768" s="27"/>
      <c r="F12768" s="27"/>
      <c r="G12768" s="27"/>
      <c r="H12768" s="27"/>
      <c r="I12768" s="27"/>
      <c r="J12768" s="27"/>
      <c r="K12768" s="27"/>
      <c r="L12768" s="27"/>
      <c r="M12768" s="28"/>
      <c r="N12768" s="28"/>
      <c r="O12768" s="27"/>
      <c r="P12768" s="27"/>
    </row>
    <row r="12769">
      <c r="A12769" s="38"/>
      <c r="B12769" s="39"/>
      <c r="C12769" s="39"/>
      <c r="D12769" s="39"/>
      <c r="E12769" s="27"/>
      <c r="F12769" s="27"/>
      <c r="G12769" s="27"/>
      <c r="H12769" s="27"/>
      <c r="I12769" s="27"/>
      <c r="J12769" s="27"/>
      <c r="K12769" s="27"/>
      <c r="L12769" s="27"/>
      <c r="M12769" s="28"/>
      <c r="N12769" s="28"/>
      <c r="O12769" s="27"/>
      <c r="P12769" s="27"/>
    </row>
    <row r="12770">
      <c r="A12770" s="38"/>
      <c r="B12770" s="39"/>
      <c r="C12770" s="39"/>
      <c r="D12770" s="39"/>
      <c r="E12770" s="27"/>
      <c r="F12770" s="27"/>
      <c r="G12770" s="27"/>
      <c r="H12770" s="27"/>
      <c r="I12770" s="27"/>
      <c r="J12770" s="27"/>
      <c r="K12770" s="27"/>
      <c r="L12770" s="27"/>
      <c r="M12770" s="28"/>
      <c r="N12770" s="28"/>
      <c r="O12770" s="27"/>
      <c r="P12770" s="27"/>
    </row>
    <row r="12771">
      <c r="A12771" s="38"/>
      <c r="B12771" s="39"/>
      <c r="C12771" s="39"/>
      <c r="D12771" s="39"/>
      <c r="E12771" s="27"/>
      <c r="F12771" s="27"/>
      <c r="G12771" s="27"/>
      <c r="H12771" s="27"/>
      <c r="I12771" s="27"/>
      <c r="J12771" s="27"/>
      <c r="K12771" s="27"/>
      <c r="L12771" s="27"/>
      <c r="M12771" s="28"/>
      <c r="N12771" s="28"/>
      <c r="O12771" s="27"/>
      <c r="P12771" s="27"/>
    </row>
    <row r="12772">
      <c r="A12772" s="38"/>
      <c r="B12772" s="39"/>
      <c r="C12772" s="39"/>
      <c r="D12772" s="39"/>
      <c r="E12772" s="27"/>
      <c r="F12772" s="27"/>
      <c r="G12772" s="27"/>
      <c r="H12772" s="27"/>
      <c r="I12772" s="27"/>
      <c r="J12772" s="27"/>
      <c r="K12772" s="27"/>
      <c r="L12772" s="27"/>
      <c r="M12772" s="28"/>
      <c r="N12772" s="28"/>
      <c r="O12772" s="27"/>
      <c r="P12772" s="27"/>
    </row>
    <row r="12773">
      <c r="A12773" s="38"/>
      <c r="B12773" s="39"/>
      <c r="C12773" s="39"/>
      <c r="D12773" s="39"/>
      <c r="E12773" s="27"/>
      <c r="F12773" s="27"/>
      <c r="G12773" s="27"/>
      <c r="H12773" s="27"/>
      <c r="I12773" s="27"/>
      <c r="J12773" s="27"/>
      <c r="K12773" s="27"/>
      <c r="L12773" s="27"/>
      <c r="M12773" s="28"/>
      <c r="N12773" s="28"/>
      <c r="O12773" s="27"/>
      <c r="P12773" s="27"/>
    </row>
    <row r="12774">
      <c r="A12774" s="38"/>
      <c r="B12774" s="39"/>
      <c r="C12774" s="39"/>
      <c r="D12774" s="39"/>
      <c r="E12774" s="27"/>
      <c r="F12774" s="27"/>
      <c r="G12774" s="27"/>
      <c r="H12774" s="27"/>
      <c r="I12774" s="27"/>
      <c r="J12774" s="27"/>
      <c r="K12774" s="27"/>
      <c r="L12774" s="27"/>
      <c r="M12774" s="28"/>
      <c r="N12774" s="28"/>
      <c r="O12774" s="27"/>
      <c r="P12774" s="27"/>
    </row>
    <row r="12775">
      <c r="A12775" s="38"/>
      <c r="B12775" s="39"/>
      <c r="C12775" s="39"/>
      <c r="D12775" s="39"/>
      <c r="E12775" s="27"/>
      <c r="F12775" s="27"/>
      <c r="G12775" s="27"/>
      <c r="H12775" s="27"/>
      <c r="I12775" s="27"/>
      <c r="J12775" s="27"/>
      <c r="K12775" s="27"/>
      <c r="L12775" s="27"/>
      <c r="M12775" s="28"/>
      <c r="N12775" s="28"/>
      <c r="O12775" s="27"/>
      <c r="P12775" s="27"/>
    </row>
    <row r="12776">
      <c r="A12776" s="38"/>
      <c r="B12776" s="39"/>
      <c r="C12776" s="39"/>
      <c r="D12776" s="39"/>
      <c r="E12776" s="27"/>
      <c r="F12776" s="27"/>
      <c r="G12776" s="27"/>
      <c r="H12776" s="27"/>
      <c r="I12776" s="27"/>
      <c r="J12776" s="27"/>
      <c r="K12776" s="27"/>
      <c r="L12776" s="27"/>
      <c r="M12776" s="28"/>
      <c r="N12776" s="28"/>
      <c r="O12776" s="27"/>
      <c r="P12776" s="27"/>
    </row>
    <row r="12777">
      <c r="A12777" s="38"/>
      <c r="B12777" s="39"/>
      <c r="C12777" s="39"/>
      <c r="D12777" s="39"/>
      <c r="E12777" s="27"/>
      <c r="F12777" s="27"/>
      <c r="G12777" s="27"/>
      <c r="H12777" s="27"/>
      <c r="I12777" s="27"/>
      <c r="J12777" s="27"/>
      <c r="K12777" s="27"/>
      <c r="L12777" s="27"/>
      <c r="M12777" s="28"/>
      <c r="N12777" s="28"/>
      <c r="O12777" s="27"/>
      <c r="P12777" s="27"/>
    </row>
    <row r="12778">
      <c r="A12778" s="38"/>
      <c r="B12778" s="39"/>
      <c r="C12778" s="39"/>
      <c r="D12778" s="39"/>
      <c r="E12778" s="27"/>
      <c r="F12778" s="27"/>
      <c r="G12778" s="27"/>
      <c r="H12778" s="27"/>
      <c r="I12778" s="27"/>
      <c r="J12778" s="27"/>
      <c r="K12778" s="27"/>
      <c r="L12778" s="27"/>
      <c r="M12778" s="28"/>
      <c r="N12778" s="28"/>
      <c r="O12778" s="27"/>
      <c r="P12778" s="27"/>
    </row>
    <row r="12779">
      <c r="A12779" s="38"/>
      <c r="B12779" s="39"/>
      <c r="C12779" s="39"/>
      <c r="D12779" s="39"/>
      <c r="E12779" s="27"/>
      <c r="F12779" s="27"/>
      <c r="G12779" s="27"/>
      <c r="H12779" s="27"/>
      <c r="I12779" s="27"/>
      <c r="J12779" s="27"/>
      <c r="K12779" s="27"/>
      <c r="L12779" s="27"/>
      <c r="M12779" s="28"/>
      <c r="N12779" s="28"/>
      <c r="O12779" s="27"/>
      <c r="P12779" s="27"/>
    </row>
    <row r="12780">
      <c r="A12780" s="38"/>
      <c r="B12780" s="39"/>
      <c r="C12780" s="39"/>
      <c r="D12780" s="39"/>
      <c r="E12780" s="27"/>
      <c r="F12780" s="27"/>
      <c r="G12780" s="27"/>
      <c r="H12780" s="27"/>
      <c r="I12780" s="27"/>
      <c r="J12780" s="27"/>
      <c r="K12780" s="27"/>
      <c r="L12780" s="27"/>
      <c r="M12780" s="28"/>
      <c r="N12780" s="28"/>
      <c r="O12780" s="27"/>
      <c r="P12780" s="27"/>
    </row>
    <row r="12781">
      <c r="A12781" s="38"/>
      <c r="B12781" s="39"/>
      <c r="C12781" s="39"/>
      <c r="D12781" s="39"/>
      <c r="E12781" s="27"/>
      <c r="F12781" s="27"/>
      <c r="G12781" s="27"/>
      <c r="H12781" s="27"/>
      <c r="I12781" s="27"/>
      <c r="J12781" s="27"/>
      <c r="K12781" s="27"/>
      <c r="L12781" s="27"/>
      <c r="M12781" s="28"/>
      <c r="N12781" s="28"/>
      <c r="O12781" s="27"/>
      <c r="P12781" s="27"/>
    </row>
    <row r="12782">
      <c r="A12782" s="38"/>
      <c r="B12782" s="39"/>
      <c r="C12782" s="39"/>
      <c r="D12782" s="39"/>
      <c r="E12782" s="27"/>
      <c r="F12782" s="27"/>
      <c r="G12782" s="27"/>
      <c r="H12782" s="27"/>
      <c r="I12782" s="27"/>
      <c r="J12782" s="27"/>
      <c r="K12782" s="27"/>
      <c r="L12782" s="27"/>
      <c r="M12782" s="28"/>
      <c r="N12782" s="28"/>
      <c r="O12782" s="27"/>
      <c r="P12782" s="27"/>
    </row>
    <row r="12783">
      <c r="A12783" s="38"/>
      <c r="B12783" s="39"/>
      <c r="C12783" s="39"/>
      <c r="D12783" s="39"/>
      <c r="E12783" s="27"/>
      <c r="F12783" s="27"/>
      <c r="G12783" s="27"/>
      <c r="H12783" s="27"/>
      <c r="I12783" s="27"/>
      <c r="J12783" s="27"/>
      <c r="K12783" s="27"/>
      <c r="L12783" s="27"/>
      <c r="M12783" s="28"/>
      <c r="N12783" s="28"/>
      <c r="O12783" s="27"/>
      <c r="P12783" s="27"/>
    </row>
    <row r="12784">
      <c r="A12784" s="38"/>
      <c r="B12784" s="39"/>
      <c r="C12784" s="39"/>
      <c r="D12784" s="39"/>
      <c r="E12784" s="27"/>
      <c r="F12784" s="27"/>
      <c r="G12784" s="27"/>
      <c r="H12784" s="27"/>
      <c r="I12784" s="27"/>
      <c r="J12784" s="27"/>
      <c r="K12784" s="27"/>
      <c r="L12784" s="27"/>
      <c r="M12784" s="28"/>
      <c r="N12784" s="28"/>
      <c r="O12784" s="27"/>
      <c r="P12784" s="27"/>
    </row>
    <row r="12785">
      <c r="A12785" s="38"/>
      <c r="B12785" s="39"/>
      <c r="C12785" s="39"/>
      <c r="D12785" s="39"/>
      <c r="E12785" s="27"/>
      <c r="F12785" s="27"/>
      <c r="G12785" s="27"/>
      <c r="H12785" s="27"/>
      <c r="I12785" s="27"/>
      <c r="J12785" s="27"/>
      <c r="K12785" s="27"/>
      <c r="L12785" s="27"/>
      <c r="M12785" s="28"/>
      <c r="N12785" s="28"/>
      <c r="O12785" s="27"/>
      <c r="P12785" s="27"/>
    </row>
    <row r="12786">
      <c r="A12786" s="38"/>
      <c r="B12786" s="39"/>
      <c r="C12786" s="39"/>
      <c r="D12786" s="39"/>
      <c r="E12786" s="27"/>
      <c r="F12786" s="27"/>
      <c r="G12786" s="27"/>
      <c r="H12786" s="27"/>
      <c r="I12786" s="27"/>
      <c r="J12786" s="27"/>
      <c r="K12786" s="27"/>
      <c r="L12786" s="27"/>
      <c r="M12786" s="28"/>
      <c r="N12786" s="28"/>
      <c r="O12786" s="27"/>
      <c r="P12786" s="27"/>
    </row>
    <row r="12787">
      <c r="A12787" s="38"/>
      <c r="B12787" s="39"/>
      <c r="C12787" s="39"/>
      <c r="D12787" s="39"/>
      <c r="E12787" s="27"/>
      <c r="F12787" s="27"/>
      <c r="G12787" s="27"/>
      <c r="H12787" s="27"/>
      <c r="I12787" s="27"/>
      <c r="J12787" s="27"/>
      <c r="K12787" s="27"/>
      <c r="L12787" s="27"/>
      <c r="M12787" s="28"/>
      <c r="N12787" s="28"/>
      <c r="O12787" s="27"/>
      <c r="P12787" s="27"/>
    </row>
    <row r="12788">
      <c r="A12788" s="38"/>
      <c r="B12788" s="39"/>
      <c r="C12788" s="39"/>
      <c r="D12788" s="39"/>
      <c r="E12788" s="27"/>
      <c r="F12788" s="27"/>
      <c r="G12788" s="27"/>
      <c r="H12788" s="27"/>
      <c r="I12788" s="27"/>
      <c r="J12788" s="27"/>
      <c r="K12788" s="27"/>
      <c r="L12788" s="27"/>
      <c r="M12788" s="28"/>
      <c r="N12788" s="28"/>
      <c r="O12788" s="27"/>
      <c r="P12788" s="27"/>
    </row>
    <row r="12789">
      <c r="A12789" s="38"/>
      <c r="B12789" s="39"/>
      <c r="C12789" s="39"/>
      <c r="D12789" s="39"/>
      <c r="E12789" s="27"/>
      <c r="F12789" s="27"/>
      <c r="G12789" s="27"/>
      <c r="H12789" s="27"/>
      <c r="I12789" s="27"/>
      <c r="J12789" s="27"/>
      <c r="K12789" s="27"/>
      <c r="L12789" s="27"/>
      <c r="M12789" s="28"/>
      <c r="N12789" s="28"/>
      <c r="O12789" s="27"/>
      <c r="P12789" s="27"/>
    </row>
    <row r="12790">
      <c r="A12790" s="38"/>
      <c r="B12790" s="39"/>
      <c r="C12790" s="39"/>
      <c r="D12790" s="39"/>
      <c r="E12790" s="27"/>
      <c r="F12790" s="27"/>
      <c r="G12790" s="27"/>
      <c r="H12790" s="27"/>
      <c r="I12790" s="27"/>
      <c r="J12790" s="27"/>
      <c r="K12790" s="27"/>
      <c r="L12790" s="27"/>
      <c r="M12790" s="28"/>
      <c r="N12790" s="28"/>
      <c r="O12790" s="27"/>
      <c r="P12790" s="27"/>
    </row>
    <row r="12791">
      <c r="A12791" s="38"/>
      <c r="B12791" s="39"/>
      <c r="C12791" s="39"/>
      <c r="D12791" s="39"/>
      <c r="E12791" s="27"/>
      <c r="F12791" s="27"/>
      <c r="G12791" s="27"/>
      <c r="H12791" s="27"/>
      <c r="I12791" s="27"/>
      <c r="J12791" s="27"/>
      <c r="K12791" s="27"/>
      <c r="L12791" s="27"/>
      <c r="M12791" s="28"/>
      <c r="N12791" s="28"/>
      <c r="O12791" s="27"/>
      <c r="P12791" s="27"/>
    </row>
    <row r="12792">
      <c r="A12792" s="38"/>
      <c r="B12792" s="39"/>
      <c r="C12792" s="39"/>
      <c r="D12792" s="39"/>
      <c r="E12792" s="27"/>
      <c r="F12792" s="27"/>
      <c r="G12792" s="27"/>
      <c r="H12792" s="27"/>
      <c r="I12792" s="27"/>
      <c r="J12792" s="27"/>
      <c r="K12792" s="27"/>
      <c r="L12792" s="27"/>
      <c r="M12792" s="28"/>
      <c r="N12792" s="28"/>
      <c r="O12792" s="27"/>
      <c r="P12792" s="27"/>
    </row>
    <row r="12793">
      <c r="A12793" s="38"/>
      <c r="B12793" s="39"/>
      <c r="C12793" s="39"/>
      <c r="D12793" s="39"/>
      <c r="E12793" s="27"/>
      <c r="F12793" s="27"/>
      <c r="G12793" s="27"/>
      <c r="H12793" s="27"/>
      <c r="I12793" s="27"/>
      <c r="J12793" s="27"/>
      <c r="K12793" s="27"/>
      <c r="L12793" s="27"/>
      <c r="M12793" s="28"/>
      <c r="N12793" s="28"/>
      <c r="O12793" s="27"/>
      <c r="P12793" s="27"/>
    </row>
    <row r="12794">
      <c r="A12794" s="38"/>
      <c r="B12794" s="39"/>
      <c r="C12794" s="39"/>
      <c r="D12794" s="39"/>
      <c r="E12794" s="27"/>
      <c r="F12794" s="27"/>
      <c r="G12794" s="27"/>
      <c r="H12794" s="27"/>
      <c r="I12794" s="27"/>
      <c r="J12794" s="27"/>
      <c r="K12794" s="27"/>
      <c r="L12794" s="27"/>
      <c r="M12794" s="28"/>
      <c r="N12794" s="28"/>
      <c r="O12794" s="27"/>
      <c r="P12794" s="27"/>
    </row>
    <row r="12795">
      <c r="A12795" s="38"/>
      <c r="B12795" s="39"/>
      <c r="C12795" s="39"/>
      <c r="D12795" s="39"/>
      <c r="E12795" s="27"/>
      <c r="F12795" s="27"/>
      <c r="G12795" s="27"/>
      <c r="H12795" s="27"/>
      <c r="I12795" s="27"/>
      <c r="J12795" s="27"/>
      <c r="K12795" s="27"/>
      <c r="L12795" s="27"/>
      <c r="M12795" s="28"/>
      <c r="N12795" s="28"/>
      <c r="O12795" s="27"/>
      <c r="P12795" s="27"/>
    </row>
    <row r="12796">
      <c r="A12796" s="38"/>
      <c r="B12796" s="39"/>
      <c r="C12796" s="39"/>
      <c r="D12796" s="39"/>
      <c r="E12796" s="27"/>
      <c r="F12796" s="27"/>
      <c r="G12796" s="27"/>
      <c r="H12796" s="27"/>
      <c r="I12796" s="27"/>
      <c r="J12796" s="27"/>
      <c r="K12796" s="27"/>
      <c r="L12796" s="27"/>
      <c r="M12796" s="28"/>
      <c r="N12796" s="28"/>
      <c r="O12796" s="27"/>
      <c r="P12796" s="27"/>
    </row>
    <row r="12797">
      <c r="A12797" s="38"/>
      <c r="B12797" s="39"/>
      <c r="C12797" s="39"/>
      <c r="D12797" s="39"/>
      <c r="E12797" s="27"/>
      <c r="F12797" s="27"/>
      <c r="G12797" s="27"/>
      <c r="H12797" s="27"/>
      <c r="I12797" s="27"/>
      <c r="J12797" s="27"/>
      <c r="K12797" s="27"/>
      <c r="L12797" s="27"/>
      <c r="M12797" s="28"/>
      <c r="N12797" s="28"/>
      <c r="O12797" s="27"/>
      <c r="P12797" s="27"/>
    </row>
    <row r="12798">
      <c r="A12798" s="38"/>
      <c r="B12798" s="39"/>
      <c r="C12798" s="39"/>
      <c r="D12798" s="39"/>
      <c r="E12798" s="27"/>
      <c r="F12798" s="27"/>
      <c r="G12798" s="27"/>
      <c r="H12798" s="27"/>
      <c r="I12798" s="27"/>
      <c r="J12798" s="27"/>
      <c r="K12798" s="27"/>
      <c r="L12798" s="27"/>
      <c r="M12798" s="28"/>
      <c r="N12798" s="28"/>
      <c r="O12798" s="27"/>
      <c r="P12798" s="27"/>
    </row>
    <row r="12799">
      <c r="A12799" s="38"/>
      <c r="B12799" s="39"/>
      <c r="C12799" s="39"/>
      <c r="D12799" s="39"/>
      <c r="E12799" s="27"/>
      <c r="F12799" s="27"/>
      <c r="G12799" s="27"/>
      <c r="H12799" s="27"/>
      <c r="I12799" s="27"/>
      <c r="J12799" s="27"/>
      <c r="K12799" s="27"/>
      <c r="L12799" s="27"/>
      <c r="M12799" s="28"/>
      <c r="N12799" s="28"/>
      <c r="O12799" s="27"/>
      <c r="P12799" s="27"/>
    </row>
    <row r="12800">
      <c r="A12800" s="38"/>
      <c r="B12800" s="39"/>
      <c r="C12800" s="39"/>
      <c r="D12800" s="39"/>
      <c r="E12800" s="27"/>
      <c r="F12800" s="27"/>
      <c r="G12800" s="27"/>
      <c r="H12800" s="27"/>
      <c r="I12800" s="27"/>
      <c r="J12800" s="27"/>
      <c r="K12800" s="27"/>
      <c r="L12800" s="27"/>
      <c r="M12800" s="28"/>
      <c r="N12800" s="28"/>
      <c r="O12800" s="27"/>
      <c r="P12800" s="27"/>
    </row>
    <row r="12801">
      <c r="A12801" s="38"/>
      <c r="B12801" s="39"/>
      <c r="C12801" s="39"/>
      <c r="D12801" s="39"/>
      <c r="E12801" s="27"/>
      <c r="F12801" s="27"/>
      <c r="G12801" s="27"/>
      <c r="H12801" s="27"/>
      <c r="I12801" s="27"/>
      <c r="J12801" s="27"/>
      <c r="K12801" s="27"/>
      <c r="L12801" s="27"/>
      <c r="M12801" s="28"/>
      <c r="N12801" s="28"/>
      <c r="O12801" s="27"/>
      <c r="P12801" s="27"/>
    </row>
    <row r="12802">
      <c r="A12802" s="38"/>
      <c r="B12802" s="39"/>
      <c r="C12802" s="39"/>
      <c r="D12802" s="39"/>
      <c r="E12802" s="27"/>
      <c r="F12802" s="27"/>
      <c r="G12802" s="27"/>
      <c r="H12802" s="27"/>
      <c r="I12802" s="27"/>
      <c r="J12802" s="27"/>
      <c r="K12802" s="27"/>
      <c r="L12802" s="27"/>
      <c r="M12802" s="28"/>
      <c r="N12802" s="28"/>
      <c r="O12802" s="27"/>
      <c r="P12802" s="27"/>
    </row>
    <row r="12803">
      <c r="A12803" s="38"/>
      <c r="B12803" s="39"/>
      <c r="C12803" s="39"/>
      <c r="D12803" s="39"/>
      <c r="E12803" s="27"/>
      <c r="F12803" s="27"/>
      <c r="G12803" s="27"/>
      <c r="H12803" s="27"/>
      <c r="I12803" s="27"/>
      <c r="J12803" s="27"/>
      <c r="K12803" s="27"/>
      <c r="L12803" s="27"/>
      <c r="M12803" s="28"/>
      <c r="N12803" s="28"/>
      <c r="O12803" s="27"/>
      <c r="P12803" s="27"/>
    </row>
    <row r="12804">
      <c r="A12804" s="38"/>
      <c r="B12804" s="39"/>
      <c r="C12804" s="39"/>
      <c r="D12804" s="39"/>
      <c r="E12804" s="27"/>
      <c r="F12804" s="27"/>
      <c r="G12804" s="27"/>
      <c r="H12804" s="27"/>
      <c r="I12804" s="27"/>
      <c r="J12804" s="27"/>
      <c r="K12804" s="27"/>
      <c r="L12804" s="27"/>
      <c r="M12804" s="28"/>
      <c r="N12804" s="28"/>
      <c r="O12804" s="27"/>
      <c r="P12804" s="27"/>
    </row>
    <row r="12805">
      <c r="A12805" s="38"/>
      <c r="B12805" s="39"/>
      <c r="C12805" s="39"/>
      <c r="D12805" s="39"/>
      <c r="E12805" s="27"/>
      <c r="F12805" s="27"/>
      <c r="G12805" s="27"/>
      <c r="H12805" s="27"/>
      <c r="I12805" s="27"/>
      <c r="J12805" s="27"/>
      <c r="K12805" s="27"/>
      <c r="L12805" s="27"/>
      <c r="M12805" s="28"/>
      <c r="N12805" s="28"/>
      <c r="O12805" s="27"/>
      <c r="P12805" s="27"/>
    </row>
    <row r="12806">
      <c r="A12806" s="38"/>
      <c r="B12806" s="39"/>
      <c r="C12806" s="39"/>
      <c r="D12806" s="39"/>
      <c r="E12806" s="27"/>
      <c r="F12806" s="27"/>
      <c r="G12806" s="27"/>
      <c r="H12806" s="27"/>
      <c r="I12806" s="27"/>
      <c r="J12806" s="27"/>
      <c r="K12806" s="27"/>
      <c r="L12806" s="27"/>
      <c r="M12806" s="28"/>
      <c r="N12806" s="28"/>
      <c r="O12806" s="27"/>
      <c r="P12806" s="27"/>
    </row>
    <row r="12807">
      <c r="A12807" s="38"/>
      <c r="B12807" s="39"/>
      <c r="C12807" s="39"/>
      <c r="D12807" s="39"/>
      <c r="E12807" s="27"/>
      <c r="F12807" s="27"/>
      <c r="G12807" s="27"/>
      <c r="H12807" s="27"/>
      <c r="I12807" s="27"/>
      <c r="J12807" s="27"/>
      <c r="K12807" s="27"/>
      <c r="L12807" s="27"/>
      <c r="M12807" s="28"/>
      <c r="N12807" s="28"/>
      <c r="O12807" s="27"/>
      <c r="P12807" s="27"/>
    </row>
    <row r="12808">
      <c r="A12808" s="38"/>
      <c r="B12808" s="39"/>
      <c r="C12808" s="39"/>
      <c r="D12808" s="39"/>
      <c r="E12808" s="27"/>
      <c r="F12808" s="27"/>
      <c r="G12808" s="27"/>
      <c r="H12808" s="27"/>
      <c r="I12808" s="27"/>
      <c r="J12808" s="27"/>
      <c r="K12808" s="27"/>
      <c r="L12808" s="27"/>
      <c r="M12808" s="28"/>
      <c r="N12808" s="28"/>
      <c r="O12808" s="27"/>
      <c r="P12808" s="27"/>
    </row>
    <row r="12809">
      <c r="A12809" s="38"/>
      <c r="B12809" s="39"/>
      <c r="C12809" s="39"/>
      <c r="D12809" s="39"/>
      <c r="E12809" s="27"/>
      <c r="F12809" s="27"/>
      <c r="G12809" s="27"/>
      <c r="H12809" s="27"/>
      <c r="I12809" s="27"/>
      <c r="J12809" s="27"/>
      <c r="K12809" s="27"/>
      <c r="L12809" s="27"/>
      <c r="M12809" s="28"/>
      <c r="N12809" s="28"/>
      <c r="O12809" s="27"/>
      <c r="P12809" s="27"/>
    </row>
    <row r="12810">
      <c r="A12810" s="38"/>
      <c r="B12810" s="39"/>
      <c r="C12810" s="39"/>
      <c r="D12810" s="39"/>
      <c r="E12810" s="27"/>
      <c r="F12810" s="27"/>
      <c r="G12810" s="27"/>
      <c r="H12810" s="27"/>
      <c r="I12810" s="27"/>
      <c r="J12810" s="27"/>
      <c r="K12810" s="27"/>
      <c r="L12810" s="27"/>
      <c r="M12810" s="28"/>
      <c r="N12810" s="28"/>
      <c r="O12810" s="27"/>
      <c r="P12810" s="27"/>
    </row>
    <row r="12811">
      <c r="A12811" s="38"/>
      <c r="B12811" s="39"/>
      <c r="C12811" s="39"/>
      <c r="D12811" s="39"/>
      <c r="E12811" s="27"/>
      <c r="F12811" s="27"/>
      <c r="G12811" s="27"/>
      <c r="H12811" s="27"/>
      <c r="I12811" s="27"/>
      <c r="J12811" s="27"/>
      <c r="K12811" s="27"/>
      <c r="L12811" s="27"/>
      <c r="M12811" s="28"/>
      <c r="N12811" s="28"/>
      <c r="O12811" s="27"/>
      <c r="P12811" s="27"/>
    </row>
    <row r="12812">
      <c r="A12812" s="38"/>
      <c r="B12812" s="39"/>
      <c r="C12812" s="39"/>
      <c r="D12812" s="39"/>
      <c r="E12812" s="27"/>
      <c r="F12812" s="27"/>
      <c r="G12812" s="27"/>
      <c r="H12812" s="27"/>
      <c r="I12812" s="27"/>
      <c r="J12812" s="27"/>
      <c r="K12812" s="27"/>
      <c r="L12812" s="27"/>
      <c r="M12812" s="28"/>
      <c r="N12812" s="28"/>
      <c r="O12812" s="27"/>
      <c r="P12812" s="27"/>
    </row>
    <row r="12813">
      <c r="A12813" s="38"/>
      <c r="B12813" s="39"/>
      <c r="C12813" s="39"/>
      <c r="D12813" s="39"/>
      <c r="E12813" s="27"/>
      <c r="F12813" s="27"/>
      <c r="G12813" s="27"/>
      <c r="H12813" s="27"/>
      <c r="I12813" s="27"/>
      <c r="J12813" s="27"/>
      <c r="K12813" s="27"/>
      <c r="L12813" s="27"/>
      <c r="M12813" s="28"/>
      <c r="N12813" s="28"/>
      <c r="O12813" s="27"/>
      <c r="P12813" s="27"/>
    </row>
    <row r="12814">
      <c r="A12814" s="38"/>
      <c r="B12814" s="39"/>
      <c r="C12814" s="39"/>
      <c r="D12814" s="39"/>
      <c r="E12814" s="27"/>
      <c r="F12814" s="27"/>
      <c r="G12814" s="27"/>
      <c r="H12814" s="27"/>
      <c r="I12814" s="27"/>
      <c r="J12814" s="27"/>
      <c r="K12814" s="27"/>
      <c r="L12814" s="27"/>
      <c r="M12814" s="28"/>
      <c r="N12814" s="28"/>
      <c r="O12814" s="27"/>
      <c r="P12814" s="27"/>
    </row>
    <row r="12815">
      <c r="A12815" s="38"/>
      <c r="B12815" s="39"/>
      <c r="C12815" s="39"/>
      <c r="D12815" s="39"/>
      <c r="E12815" s="27"/>
      <c r="F12815" s="27"/>
      <c r="G12815" s="27"/>
      <c r="H12815" s="27"/>
      <c r="I12815" s="27"/>
      <c r="J12815" s="27"/>
      <c r="K12815" s="27"/>
      <c r="L12815" s="27"/>
      <c r="M12815" s="28"/>
      <c r="N12815" s="28"/>
      <c r="O12815" s="27"/>
      <c r="P12815" s="27"/>
    </row>
    <row r="12816">
      <c r="A12816" s="38"/>
      <c r="B12816" s="39"/>
      <c r="C12816" s="39"/>
      <c r="D12816" s="39"/>
      <c r="E12816" s="27"/>
      <c r="F12816" s="27"/>
      <c r="G12816" s="27"/>
      <c r="H12816" s="27"/>
      <c r="I12816" s="27"/>
      <c r="J12816" s="27"/>
      <c r="K12816" s="27"/>
      <c r="L12816" s="27"/>
      <c r="M12816" s="28"/>
      <c r="N12816" s="28"/>
      <c r="O12816" s="27"/>
      <c r="P12816" s="27"/>
    </row>
    <row r="12817">
      <c r="A12817" s="38"/>
      <c r="B12817" s="39"/>
      <c r="C12817" s="39"/>
      <c r="D12817" s="39"/>
      <c r="E12817" s="27"/>
      <c r="F12817" s="27"/>
      <c r="G12817" s="27"/>
      <c r="H12817" s="27"/>
      <c r="I12817" s="27"/>
      <c r="J12817" s="27"/>
      <c r="K12817" s="27"/>
      <c r="L12817" s="27"/>
      <c r="M12817" s="28"/>
      <c r="N12817" s="28"/>
      <c r="O12817" s="27"/>
      <c r="P12817" s="27"/>
    </row>
    <row r="12818">
      <c r="A12818" s="38"/>
      <c r="B12818" s="39"/>
      <c r="C12818" s="39"/>
      <c r="D12818" s="39"/>
      <c r="E12818" s="27"/>
      <c r="F12818" s="27"/>
      <c r="G12818" s="27"/>
      <c r="H12818" s="27"/>
      <c r="I12818" s="27"/>
      <c r="J12818" s="27"/>
      <c r="K12818" s="27"/>
      <c r="L12818" s="27"/>
      <c r="M12818" s="28"/>
      <c r="N12818" s="28"/>
      <c r="O12818" s="27"/>
      <c r="P12818" s="27"/>
    </row>
    <row r="12819">
      <c r="A12819" s="38"/>
      <c r="B12819" s="39"/>
      <c r="C12819" s="39"/>
      <c r="D12819" s="39"/>
      <c r="E12819" s="27"/>
      <c r="F12819" s="27"/>
      <c r="G12819" s="27"/>
      <c r="H12819" s="27"/>
      <c r="I12819" s="27"/>
      <c r="J12819" s="27"/>
      <c r="K12819" s="27"/>
      <c r="L12819" s="27"/>
      <c r="M12819" s="28"/>
      <c r="N12819" s="28"/>
      <c r="O12819" s="27"/>
      <c r="P12819" s="27"/>
    </row>
    <row r="12820">
      <c r="A12820" s="38"/>
      <c r="B12820" s="39"/>
      <c r="C12820" s="39"/>
      <c r="D12820" s="39"/>
      <c r="E12820" s="27"/>
      <c r="F12820" s="27"/>
      <c r="G12820" s="27"/>
      <c r="H12820" s="27"/>
      <c r="I12820" s="27"/>
      <c r="J12820" s="27"/>
      <c r="K12820" s="27"/>
      <c r="L12820" s="27"/>
      <c r="M12820" s="28"/>
      <c r="N12820" s="28"/>
      <c r="O12820" s="27"/>
      <c r="P12820" s="27"/>
    </row>
    <row r="12821">
      <c r="A12821" s="38"/>
      <c r="B12821" s="39"/>
      <c r="C12821" s="39"/>
      <c r="D12821" s="39"/>
      <c r="E12821" s="27"/>
      <c r="F12821" s="27"/>
      <c r="G12821" s="27"/>
      <c r="H12821" s="27"/>
      <c r="I12821" s="27"/>
      <c r="J12821" s="27"/>
      <c r="K12821" s="27"/>
      <c r="L12821" s="27"/>
      <c r="M12821" s="28"/>
      <c r="N12821" s="28"/>
      <c r="O12821" s="27"/>
      <c r="P12821" s="27"/>
    </row>
    <row r="12822">
      <c r="A12822" s="38"/>
      <c r="B12822" s="39"/>
      <c r="C12822" s="39"/>
      <c r="D12822" s="39"/>
      <c r="E12822" s="27"/>
      <c r="F12822" s="27"/>
      <c r="G12822" s="27"/>
      <c r="H12822" s="27"/>
      <c r="I12822" s="27"/>
      <c r="J12822" s="27"/>
      <c r="K12822" s="27"/>
      <c r="L12822" s="27"/>
      <c r="M12822" s="28"/>
      <c r="N12822" s="28"/>
      <c r="O12822" s="27"/>
      <c r="P12822" s="27"/>
    </row>
    <row r="12823">
      <c r="A12823" s="38"/>
      <c r="B12823" s="39"/>
      <c r="C12823" s="39"/>
      <c r="D12823" s="39"/>
      <c r="E12823" s="27"/>
      <c r="F12823" s="27"/>
      <c r="G12823" s="27"/>
      <c r="H12823" s="27"/>
      <c r="I12823" s="27"/>
      <c r="J12823" s="27"/>
      <c r="K12823" s="27"/>
      <c r="L12823" s="27"/>
      <c r="M12823" s="28"/>
      <c r="N12823" s="28"/>
      <c r="O12823" s="27"/>
      <c r="P12823" s="27"/>
    </row>
    <row r="12824">
      <c r="A12824" s="38"/>
      <c r="B12824" s="39"/>
      <c r="C12824" s="39"/>
      <c r="D12824" s="39"/>
      <c r="E12824" s="27"/>
      <c r="F12824" s="27"/>
      <c r="G12824" s="27"/>
      <c r="H12824" s="27"/>
      <c r="I12824" s="27"/>
      <c r="J12824" s="27"/>
      <c r="K12824" s="27"/>
      <c r="L12824" s="27"/>
      <c r="M12824" s="28"/>
      <c r="N12824" s="28"/>
      <c r="O12824" s="27"/>
      <c r="P12824" s="27"/>
    </row>
    <row r="12825">
      <c r="A12825" s="38"/>
      <c r="B12825" s="39"/>
      <c r="C12825" s="39"/>
      <c r="D12825" s="39"/>
      <c r="E12825" s="27"/>
      <c r="F12825" s="27"/>
      <c r="G12825" s="27"/>
      <c r="H12825" s="27"/>
      <c r="I12825" s="27"/>
      <c r="J12825" s="27"/>
      <c r="K12825" s="27"/>
      <c r="L12825" s="27"/>
      <c r="M12825" s="28"/>
      <c r="N12825" s="28"/>
      <c r="O12825" s="27"/>
      <c r="P12825" s="27"/>
    </row>
    <row r="12826">
      <c r="A12826" s="38"/>
      <c r="B12826" s="39"/>
      <c r="C12826" s="39"/>
      <c r="D12826" s="39"/>
      <c r="E12826" s="27"/>
      <c r="F12826" s="27"/>
      <c r="G12826" s="27"/>
      <c r="H12826" s="27"/>
      <c r="I12826" s="27"/>
      <c r="J12826" s="27"/>
      <c r="K12826" s="27"/>
      <c r="L12826" s="27"/>
      <c r="M12826" s="28"/>
      <c r="N12826" s="28"/>
      <c r="O12826" s="27"/>
      <c r="P12826" s="27"/>
    </row>
    <row r="12827">
      <c r="A12827" s="38"/>
      <c r="B12827" s="39"/>
      <c r="C12827" s="39"/>
      <c r="D12827" s="39"/>
      <c r="E12827" s="27"/>
      <c r="F12827" s="27"/>
      <c r="G12827" s="27"/>
      <c r="H12827" s="27"/>
      <c r="I12827" s="27"/>
      <c r="J12827" s="27"/>
      <c r="K12827" s="27"/>
      <c r="L12827" s="27"/>
      <c r="M12827" s="28"/>
      <c r="N12827" s="28"/>
      <c r="O12827" s="27"/>
      <c r="P12827" s="27"/>
    </row>
    <row r="12828">
      <c r="A12828" s="38"/>
      <c r="B12828" s="39"/>
      <c r="C12828" s="39"/>
      <c r="D12828" s="39"/>
      <c r="E12828" s="27"/>
      <c r="F12828" s="27"/>
      <c r="G12828" s="27"/>
      <c r="H12828" s="27"/>
      <c r="I12828" s="27"/>
      <c r="J12828" s="27"/>
      <c r="K12828" s="27"/>
      <c r="L12828" s="27"/>
      <c r="M12828" s="28"/>
      <c r="N12828" s="28"/>
      <c r="O12828" s="27"/>
      <c r="P12828" s="27"/>
    </row>
    <row r="12829">
      <c r="A12829" s="38"/>
      <c r="B12829" s="39"/>
      <c r="C12829" s="39"/>
      <c r="D12829" s="39"/>
      <c r="E12829" s="27"/>
      <c r="F12829" s="27"/>
      <c r="G12829" s="27"/>
      <c r="H12829" s="27"/>
      <c r="I12829" s="27"/>
      <c r="J12829" s="27"/>
      <c r="K12829" s="27"/>
      <c r="L12829" s="27"/>
      <c r="M12829" s="28"/>
      <c r="N12829" s="28"/>
      <c r="O12829" s="27"/>
      <c r="P12829" s="27"/>
    </row>
    <row r="12830">
      <c r="A12830" s="38"/>
      <c r="B12830" s="39"/>
      <c r="C12830" s="39"/>
      <c r="D12830" s="39"/>
      <c r="E12830" s="27"/>
      <c r="F12830" s="27"/>
      <c r="G12830" s="27"/>
      <c r="H12830" s="27"/>
      <c r="I12830" s="27"/>
      <c r="J12830" s="27"/>
      <c r="K12830" s="27"/>
      <c r="L12830" s="27"/>
      <c r="M12830" s="28"/>
      <c r="N12830" s="28"/>
      <c r="O12830" s="27"/>
      <c r="P12830" s="27"/>
    </row>
    <row r="12831">
      <c r="A12831" s="38"/>
      <c r="B12831" s="39"/>
      <c r="C12831" s="39"/>
      <c r="D12831" s="39"/>
      <c r="E12831" s="27"/>
      <c r="F12831" s="27"/>
      <c r="G12831" s="27"/>
      <c r="H12831" s="27"/>
      <c r="I12831" s="27"/>
      <c r="J12831" s="27"/>
      <c r="K12831" s="27"/>
      <c r="L12831" s="27"/>
      <c r="M12831" s="28"/>
      <c r="N12831" s="28"/>
      <c r="O12831" s="27"/>
      <c r="P12831" s="27"/>
    </row>
    <row r="12832">
      <c r="A12832" s="38"/>
      <c r="B12832" s="39"/>
      <c r="C12832" s="39"/>
      <c r="D12832" s="39"/>
      <c r="E12832" s="27"/>
      <c r="F12832" s="27"/>
      <c r="G12832" s="27"/>
      <c r="H12832" s="27"/>
      <c r="I12832" s="27"/>
      <c r="J12832" s="27"/>
      <c r="K12832" s="27"/>
      <c r="L12832" s="27"/>
      <c r="M12832" s="28"/>
      <c r="N12832" s="28"/>
      <c r="O12832" s="27"/>
      <c r="P12832" s="27"/>
    </row>
    <row r="12833">
      <c r="A12833" s="38"/>
      <c r="B12833" s="39"/>
      <c r="C12833" s="39"/>
      <c r="D12833" s="39"/>
      <c r="E12833" s="27"/>
      <c r="F12833" s="27"/>
      <c r="G12833" s="27"/>
      <c r="H12833" s="27"/>
      <c r="I12833" s="27"/>
      <c r="J12833" s="27"/>
      <c r="K12833" s="27"/>
      <c r="L12833" s="27"/>
      <c r="M12833" s="28"/>
      <c r="N12833" s="28"/>
      <c r="O12833" s="27"/>
      <c r="P12833" s="27"/>
    </row>
    <row r="12834">
      <c r="A12834" s="38"/>
      <c r="B12834" s="39"/>
      <c r="C12834" s="39"/>
      <c r="D12834" s="39"/>
      <c r="E12834" s="27"/>
      <c r="F12834" s="27"/>
      <c r="G12834" s="27"/>
      <c r="H12834" s="27"/>
      <c r="I12834" s="27"/>
      <c r="J12834" s="27"/>
      <c r="K12834" s="27"/>
      <c r="L12834" s="27"/>
      <c r="M12834" s="28"/>
      <c r="N12834" s="28"/>
      <c r="O12834" s="27"/>
      <c r="P12834" s="27"/>
    </row>
    <row r="12835">
      <c r="A12835" s="38"/>
      <c r="B12835" s="39"/>
      <c r="C12835" s="39"/>
      <c r="D12835" s="39"/>
      <c r="E12835" s="27"/>
      <c r="F12835" s="27"/>
      <c r="G12835" s="27"/>
      <c r="H12835" s="27"/>
      <c r="I12835" s="27"/>
      <c r="J12835" s="27"/>
      <c r="K12835" s="27"/>
      <c r="L12835" s="27"/>
      <c r="M12835" s="28"/>
      <c r="N12835" s="28"/>
      <c r="O12835" s="27"/>
      <c r="P12835" s="27"/>
    </row>
    <row r="12836">
      <c r="A12836" s="38"/>
      <c r="B12836" s="39"/>
      <c r="C12836" s="39"/>
      <c r="D12836" s="39"/>
      <c r="E12836" s="27"/>
      <c r="F12836" s="27"/>
      <c r="G12836" s="27"/>
      <c r="H12836" s="27"/>
      <c r="I12836" s="27"/>
      <c r="J12836" s="27"/>
      <c r="K12836" s="27"/>
      <c r="L12836" s="27"/>
      <c r="M12836" s="28"/>
      <c r="N12836" s="28"/>
      <c r="O12836" s="27"/>
      <c r="P12836" s="27"/>
    </row>
    <row r="12837">
      <c r="A12837" s="38"/>
      <c r="B12837" s="39"/>
      <c r="C12837" s="39"/>
      <c r="D12837" s="39"/>
      <c r="E12837" s="27"/>
      <c r="F12837" s="27"/>
      <c r="G12837" s="27"/>
      <c r="H12837" s="27"/>
      <c r="I12837" s="27"/>
      <c r="J12837" s="27"/>
      <c r="K12837" s="27"/>
      <c r="L12837" s="27"/>
      <c r="M12837" s="28"/>
      <c r="N12837" s="28"/>
      <c r="O12837" s="27"/>
      <c r="P12837" s="27"/>
    </row>
    <row r="12838">
      <c r="A12838" s="38"/>
      <c r="B12838" s="39"/>
      <c r="C12838" s="39"/>
      <c r="D12838" s="39"/>
      <c r="E12838" s="27"/>
      <c r="F12838" s="27"/>
      <c r="G12838" s="27"/>
      <c r="H12838" s="27"/>
      <c r="I12838" s="27"/>
      <c r="J12838" s="27"/>
      <c r="K12838" s="27"/>
      <c r="L12838" s="27"/>
      <c r="M12838" s="28"/>
      <c r="N12838" s="28"/>
      <c r="O12838" s="27"/>
      <c r="P12838" s="27"/>
    </row>
    <row r="12839">
      <c r="A12839" s="38"/>
      <c r="B12839" s="39"/>
      <c r="C12839" s="39"/>
      <c r="D12839" s="39"/>
      <c r="E12839" s="27"/>
      <c r="F12839" s="27"/>
      <c r="G12839" s="27"/>
      <c r="H12839" s="27"/>
      <c r="I12839" s="27"/>
      <c r="J12839" s="27"/>
      <c r="K12839" s="27"/>
      <c r="L12839" s="27"/>
      <c r="M12839" s="28"/>
      <c r="N12839" s="28"/>
      <c r="O12839" s="27"/>
      <c r="P12839" s="27"/>
    </row>
    <row r="12840">
      <c r="A12840" s="38"/>
      <c r="B12840" s="39"/>
      <c r="C12840" s="39"/>
      <c r="D12840" s="39"/>
      <c r="E12840" s="27"/>
      <c r="F12840" s="27"/>
      <c r="G12840" s="27"/>
      <c r="H12840" s="27"/>
      <c r="I12840" s="27"/>
      <c r="J12840" s="27"/>
      <c r="K12840" s="27"/>
      <c r="L12840" s="27"/>
      <c r="M12840" s="28"/>
      <c r="N12840" s="28"/>
      <c r="O12840" s="27"/>
      <c r="P12840" s="27"/>
    </row>
    <row r="12841">
      <c r="A12841" s="38"/>
      <c r="B12841" s="39"/>
      <c r="C12841" s="39"/>
      <c r="D12841" s="39"/>
      <c r="E12841" s="27"/>
      <c r="F12841" s="27"/>
      <c r="G12841" s="27"/>
      <c r="H12841" s="27"/>
      <c r="I12841" s="27"/>
      <c r="J12841" s="27"/>
      <c r="K12841" s="27"/>
      <c r="L12841" s="27"/>
      <c r="M12841" s="28"/>
      <c r="N12841" s="28"/>
      <c r="O12841" s="27"/>
      <c r="P12841" s="27"/>
    </row>
    <row r="12842">
      <c r="A12842" s="38"/>
      <c r="B12842" s="39"/>
      <c r="C12842" s="39"/>
      <c r="D12842" s="39"/>
      <c r="E12842" s="27"/>
      <c r="F12842" s="27"/>
      <c r="G12842" s="27"/>
      <c r="H12842" s="27"/>
      <c r="I12842" s="27"/>
      <c r="J12842" s="27"/>
      <c r="K12842" s="27"/>
      <c r="L12842" s="27"/>
      <c r="M12842" s="28"/>
      <c r="N12842" s="28"/>
      <c r="O12842" s="27"/>
      <c r="P12842" s="27"/>
    </row>
    <row r="12843">
      <c r="A12843" s="38"/>
      <c r="B12843" s="39"/>
      <c r="C12843" s="39"/>
      <c r="D12843" s="39"/>
      <c r="E12843" s="27"/>
      <c r="F12843" s="27"/>
      <c r="G12843" s="27"/>
      <c r="H12843" s="27"/>
      <c r="I12843" s="27"/>
      <c r="J12843" s="27"/>
      <c r="K12843" s="27"/>
      <c r="L12843" s="27"/>
      <c r="M12843" s="28"/>
      <c r="N12843" s="28"/>
      <c r="O12843" s="27"/>
      <c r="P12843" s="27"/>
    </row>
    <row r="12844">
      <c r="A12844" s="38"/>
      <c r="B12844" s="39"/>
      <c r="C12844" s="39"/>
      <c r="D12844" s="39"/>
      <c r="E12844" s="27"/>
      <c r="F12844" s="27"/>
      <c r="G12844" s="27"/>
      <c r="H12844" s="27"/>
      <c r="I12844" s="27"/>
      <c r="J12844" s="27"/>
      <c r="K12844" s="27"/>
      <c r="L12844" s="27"/>
      <c r="M12844" s="28"/>
      <c r="N12844" s="28"/>
      <c r="O12844" s="27"/>
      <c r="P12844" s="27"/>
    </row>
    <row r="12845">
      <c r="A12845" s="38"/>
      <c r="B12845" s="39"/>
      <c r="C12845" s="39"/>
      <c r="D12845" s="39"/>
      <c r="E12845" s="27"/>
      <c r="F12845" s="27"/>
      <c r="G12845" s="27"/>
      <c r="H12845" s="27"/>
      <c r="I12845" s="27"/>
      <c r="J12845" s="27"/>
      <c r="K12845" s="27"/>
      <c r="L12845" s="27"/>
      <c r="M12845" s="28"/>
      <c r="N12845" s="28"/>
      <c r="O12845" s="27"/>
      <c r="P12845" s="27"/>
    </row>
    <row r="12846">
      <c r="A12846" s="38"/>
      <c r="B12846" s="39"/>
      <c r="C12846" s="39"/>
      <c r="D12846" s="39"/>
      <c r="E12846" s="27"/>
      <c r="F12846" s="27"/>
      <c r="G12846" s="27"/>
      <c r="H12846" s="27"/>
      <c r="I12846" s="27"/>
      <c r="J12846" s="27"/>
      <c r="K12846" s="27"/>
      <c r="L12846" s="27"/>
      <c r="M12846" s="28"/>
      <c r="N12846" s="28"/>
      <c r="O12846" s="27"/>
      <c r="P12846" s="27"/>
    </row>
    <row r="12847">
      <c r="A12847" s="38"/>
      <c r="B12847" s="39"/>
      <c r="C12847" s="39"/>
      <c r="D12847" s="39"/>
      <c r="E12847" s="27"/>
      <c r="F12847" s="27"/>
      <c r="G12847" s="27"/>
      <c r="H12847" s="27"/>
      <c r="I12847" s="27"/>
      <c r="J12847" s="27"/>
      <c r="K12847" s="27"/>
      <c r="L12847" s="27"/>
      <c r="M12847" s="28"/>
      <c r="N12847" s="28"/>
      <c r="O12847" s="27"/>
      <c r="P12847" s="27"/>
    </row>
    <row r="12848">
      <c r="A12848" s="38"/>
      <c r="B12848" s="39"/>
      <c r="C12848" s="39"/>
      <c r="D12848" s="39"/>
      <c r="E12848" s="27"/>
      <c r="F12848" s="27"/>
      <c r="G12848" s="27"/>
      <c r="H12848" s="27"/>
      <c r="I12848" s="27"/>
      <c r="J12848" s="27"/>
      <c r="K12848" s="27"/>
      <c r="L12848" s="27"/>
      <c r="M12848" s="28"/>
      <c r="N12848" s="28"/>
      <c r="O12848" s="27"/>
      <c r="P12848" s="27"/>
    </row>
    <row r="12849">
      <c r="A12849" s="38"/>
      <c r="B12849" s="39"/>
      <c r="C12849" s="39"/>
      <c r="D12849" s="39"/>
      <c r="E12849" s="27"/>
      <c r="F12849" s="27"/>
      <c r="G12849" s="27"/>
      <c r="H12849" s="27"/>
      <c r="I12849" s="27"/>
      <c r="J12849" s="27"/>
      <c r="K12849" s="27"/>
      <c r="L12849" s="27"/>
      <c r="M12849" s="28"/>
      <c r="N12849" s="28"/>
      <c r="O12849" s="27"/>
      <c r="P12849" s="27"/>
    </row>
    <row r="12850">
      <c r="A12850" s="38"/>
      <c r="B12850" s="39"/>
      <c r="C12850" s="39"/>
      <c r="D12850" s="39"/>
      <c r="E12850" s="27"/>
      <c r="F12850" s="27"/>
      <c r="G12850" s="27"/>
      <c r="H12850" s="27"/>
      <c r="I12850" s="27"/>
      <c r="J12850" s="27"/>
      <c r="K12850" s="27"/>
      <c r="L12850" s="27"/>
      <c r="M12850" s="28"/>
      <c r="N12850" s="28"/>
      <c r="O12850" s="27"/>
      <c r="P12850" s="27"/>
    </row>
    <row r="12851">
      <c r="A12851" s="38"/>
      <c r="B12851" s="39"/>
      <c r="C12851" s="39"/>
      <c r="D12851" s="39"/>
      <c r="E12851" s="27"/>
      <c r="F12851" s="27"/>
      <c r="G12851" s="27"/>
      <c r="H12851" s="27"/>
      <c r="I12851" s="27"/>
      <c r="J12851" s="27"/>
      <c r="K12851" s="27"/>
      <c r="L12851" s="27"/>
      <c r="M12851" s="28"/>
      <c r="N12851" s="28"/>
      <c r="O12851" s="27"/>
      <c r="P12851" s="27"/>
    </row>
    <row r="12852">
      <c r="A12852" s="38"/>
      <c r="B12852" s="39"/>
      <c r="C12852" s="39"/>
      <c r="D12852" s="39"/>
      <c r="E12852" s="27"/>
      <c r="F12852" s="27"/>
      <c r="G12852" s="27"/>
      <c r="H12852" s="27"/>
      <c r="I12852" s="27"/>
      <c r="J12852" s="27"/>
      <c r="K12852" s="27"/>
      <c r="L12852" s="27"/>
      <c r="M12852" s="28"/>
      <c r="N12852" s="28"/>
      <c r="O12852" s="27"/>
      <c r="P12852" s="27"/>
    </row>
    <row r="12853">
      <c r="A12853" s="38"/>
      <c r="B12853" s="39"/>
      <c r="C12853" s="39"/>
      <c r="D12853" s="39"/>
      <c r="E12853" s="27"/>
      <c r="F12853" s="27"/>
      <c r="G12853" s="27"/>
      <c r="H12853" s="27"/>
      <c r="I12853" s="27"/>
      <c r="J12853" s="27"/>
      <c r="K12853" s="27"/>
      <c r="L12853" s="27"/>
      <c r="M12853" s="28"/>
      <c r="N12853" s="28"/>
      <c r="O12853" s="27"/>
      <c r="P12853" s="27"/>
    </row>
    <row r="12854">
      <c r="A12854" s="38"/>
      <c r="B12854" s="39"/>
      <c r="C12854" s="39"/>
      <c r="D12854" s="39"/>
      <c r="E12854" s="27"/>
      <c r="F12854" s="27"/>
      <c r="G12854" s="27"/>
      <c r="H12854" s="27"/>
      <c r="I12854" s="27"/>
      <c r="J12854" s="27"/>
      <c r="K12854" s="27"/>
      <c r="L12854" s="27"/>
      <c r="M12854" s="28"/>
      <c r="N12854" s="28"/>
      <c r="O12854" s="27"/>
      <c r="P12854" s="27"/>
    </row>
    <row r="12855">
      <c r="A12855" s="38"/>
      <c r="B12855" s="39"/>
      <c r="C12855" s="39"/>
      <c r="D12855" s="39"/>
      <c r="E12855" s="27"/>
      <c r="F12855" s="27"/>
      <c r="G12855" s="27"/>
      <c r="H12855" s="27"/>
      <c r="I12855" s="27"/>
      <c r="J12855" s="27"/>
      <c r="K12855" s="27"/>
      <c r="L12855" s="27"/>
      <c r="M12855" s="28"/>
      <c r="N12855" s="28"/>
      <c r="O12855" s="27"/>
      <c r="P12855" s="27"/>
    </row>
    <row r="12856">
      <c r="A12856" s="38"/>
      <c r="B12856" s="39"/>
      <c r="C12856" s="39"/>
      <c r="D12856" s="39"/>
      <c r="E12856" s="27"/>
      <c r="F12856" s="27"/>
      <c r="G12856" s="27"/>
      <c r="H12856" s="27"/>
      <c r="I12856" s="27"/>
      <c r="J12856" s="27"/>
      <c r="K12856" s="27"/>
      <c r="L12856" s="27"/>
      <c r="M12856" s="28"/>
      <c r="N12856" s="28"/>
      <c r="O12856" s="27"/>
      <c r="P12856" s="27"/>
    </row>
    <row r="12857">
      <c r="A12857" s="38"/>
      <c r="B12857" s="39"/>
      <c r="C12857" s="39"/>
      <c r="D12857" s="39"/>
      <c r="E12857" s="27"/>
      <c r="F12857" s="27"/>
      <c r="G12857" s="27"/>
      <c r="H12857" s="27"/>
      <c r="I12857" s="27"/>
      <c r="J12857" s="27"/>
      <c r="K12857" s="27"/>
      <c r="L12857" s="27"/>
      <c r="M12857" s="28"/>
      <c r="N12857" s="28"/>
      <c r="O12857" s="27"/>
      <c r="P12857" s="27"/>
    </row>
    <row r="12858">
      <c r="A12858" s="38"/>
      <c r="B12858" s="39"/>
      <c r="C12858" s="39"/>
      <c r="D12858" s="39"/>
      <c r="E12858" s="27"/>
      <c r="F12858" s="27"/>
      <c r="G12858" s="27"/>
      <c r="H12858" s="27"/>
      <c r="I12858" s="27"/>
      <c r="J12858" s="27"/>
      <c r="K12858" s="27"/>
      <c r="L12858" s="27"/>
      <c r="M12858" s="28"/>
      <c r="N12858" s="28"/>
      <c r="O12858" s="27"/>
      <c r="P12858" s="27"/>
    </row>
    <row r="12859">
      <c r="A12859" s="38"/>
      <c r="B12859" s="39"/>
      <c r="C12859" s="39"/>
      <c r="D12859" s="39"/>
      <c r="E12859" s="27"/>
      <c r="F12859" s="27"/>
      <c r="G12859" s="27"/>
      <c r="H12859" s="27"/>
      <c r="I12859" s="27"/>
      <c r="J12859" s="27"/>
      <c r="K12859" s="27"/>
      <c r="L12859" s="27"/>
      <c r="M12859" s="28"/>
      <c r="N12859" s="28"/>
      <c r="O12859" s="27"/>
      <c r="P12859" s="27"/>
    </row>
    <row r="12860">
      <c r="A12860" s="38"/>
      <c r="B12860" s="39"/>
      <c r="C12860" s="39"/>
      <c r="D12860" s="39"/>
      <c r="E12860" s="27"/>
      <c r="F12860" s="27"/>
      <c r="G12860" s="27"/>
      <c r="H12860" s="27"/>
      <c r="I12860" s="27"/>
      <c r="J12860" s="27"/>
      <c r="K12860" s="27"/>
      <c r="L12860" s="27"/>
      <c r="M12860" s="28"/>
      <c r="N12860" s="28"/>
      <c r="O12860" s="27"/>
      <c r="P12860" s="27"/>
    </row>
    <row r="12861">
      <c r="A12861" s="38"/>
      <c r="B12861" s="39"/>
      <c r="C12861" s="39"/>
      <c r="D12861" s="39"/>
      <c r="E12861" s="27"/>
      <c r="F12861" s="27"/>
      <c r="G12861" s="27"/>
      <c r="H12861" s="27"/>
      <c r="I12861" s="27"/>
      <c r="J12861" s="27"/>
      <c r="K12861" s="27"/>
      <c r="L12861" s="27"/>
      <c r="M12861" s="28"/>
      <c r="N12861" s="28"/>
      <c r="O12861" s="27"/>
      <c r="P12861" s="27"/>
    </row>
    <row r="12862">
      <c r="A12862" s="38"/>
      <c r="B12862" s="39"/>
      <c r="C12862" s="39"/>
      <c r="D12862" s="39"/>
      <c r="E12862" s="27"/>
      <c r="F12862" s="27"/>
      <c r="G12862" s="27"/>
      <c r="H12862" s="27"/>
      <c r="I12862" s="27"/>
      <c r="J12862" s="27"/>
      <c r="K12862" s="27"/>
      <c r="L12862" s="27"/>
      <c r="M12862" s="28"/>
      <c r="N12862" s="28"/>
      <c r="O12862" s="27"/>
      <c r="P12862" s="27"/>
    </row>
    <row r="12863">
      <c r="A12863" s="38"/>
      <c r="B12863" s="39"/>
      <c r="C12863" s="39"/>
      <c r="D12863" s="39"/>
      <c r="E12863" s="27"/>
      <c r="F12863" s="27"/>
      <c r="G12863" s="27"/>
      <c r="H12863" s="27"/>
      <c r="I12863" s="27"/>
      <c r="J12863" s="27"/>
      <c r="K12863" s="27"/>
      <c r="L12863" s="27"/>
      <c r="M12863" s="28"/>
      <c r="N12863" s="28"/>
      <c r="O12863" s="27"/>
      <c r="P12863" s="27"/>
    </row>
    <row r="12864">
      <c r="A12864" s="38"/>
      <c r="B12864" s="39"/>
      <c r="C12864" s="39"/>
      <c r="D12864" s="39"/>
      <c r="E12864" s="27"/>
      <c r="F12864" s="27"/>
      <c r="G12864" s="27"/>
      <c r="H12864" s="27"/>
      <c r="I12864" s="27"/>
      <c r="J12864" s="27"/>
      <c r="K12864" s="27"/>
      <c r="L12864" s="27"/>
      <c r="M12864" s="28"/>
      <c r="N12864" s="28"/>
      <c r="O12864" s="27"/>
      <c r="P12864" s="27"/>
    </row>
    <row r="12865">
      <c r="A12865" s="38"/>
      <c r="B12865" s="39"/>
      <c r="C12865" s="39"/>
      <c r="D12865" s="39"/>
      <c r="E12865" s="27"/>
      <c r="F12865" s="27"/>
      <c r="G12865" s="27"/>
      <c r="H12865" s="27"/>
      <c r="I12865" s="27"/>
      <c r="J12865" s="27"/>
      <c r="K12865" s="27"/>
      <c r="L12865" s="27"/>
      <c r="M12865" s="28"/>
      <c r="N12865" s="28"/>
      <c r="O12865" s="27"/>
      <c r="P12865" s="27"/>
    </row>
    <row r="12866">
      <c r="A12866" s="38"/>
      <c r="B12866" s="39"/>
      <c r="C12866" s="39"/>
      <c r="D12866" s="39"/>
      <c r="E12866" s="27"/>
      <c r="F12866" s="27"/>
      <c r="G12866" s="27"/>
      <c r="H12866" s="27"/>
      <c r="I12866" s="27"/>
      <c r="J12866" s="27"/>
      <c r="K12866" s="27"/>
      <c r="L12866" s="27"/>
      <c r="M12866" s="28"/>
      <c r="N12866" s="28"/>
      <c r="O12866" s="27"/>
      <c r="P12866" s="27"/>
    </row>
    <row r="12867">
      <c r="A12867" s="38"/>
      <c r="B12867" s="39"/>
      <c r="C12867" s="39"/>
      <c r="D12867" s="39"/>
      <c r="E12867" s="27"/>
      <c r="F12867" s="27"/>
      <c r="G12867" s="27"/>
      <c r="H12867" s="27"/>
      <c r="I12867" s="27"/>
      <c r="J12867" s="27"/>
      <c r="K12867" s="27"/>
      <c r="L12867" s="27"/>
      <c r="M12867" s="28"/>
      <c r="N12867" s="28"/>
      <c r="O12867" s="27"/>
      <c r="P12867" s="27"/>
    </row>
    <row r="12868">
      <c r="A12868" s="38"/>
      <c r="B12868" s="39"/>
      <c r="C12868" s="39"/>
      <c r="D12868" s="39"/>
      <c r="E12868" s="27"/>
      <c r="F12868" s="27"/>
      <c r="G12868" s="27"/>
      <c r="H12868" s="27"/>
      <c r="I12868" s="27"/>
      <c r="J12868" s="27"/>
      <c r="K12868" s="27"/>
      <c r="L12868" s="27"/>
      <c r="M12868" s="28"/>
      <c r="N12868" s="28"/>
      <c r="O12868" s="27"/>
      <c r="P12868" s="27"/>
    </row>
    <row r="12869">
      <c r="A12869" s="38"/>
      <c r="B12869" s="39"/>
      <c r="C12869" s="39"/>
      <c r="D12869" s="39"/>
      <c r="E12869" s="27"/>
      <c r="F12869" s="27"/>
      <c r="G12869" s="27"/>
      <c r="H12869" s="27"/>
      <c r="I12869" s="27"/>
      <c r="J12869" s="27"/>
      <c r="K12869" s="27"/>
      <c r="L12869" s="27"/>
      <c r="M12869" s="28"/>
      <c r="N12869" s="28"/>
      <c r="O12869" s="27"/>
      <c r="P12869" s="27"/>
    </row>
    <row r="12870">
      <c r="A12870" s="38"/>
      <c r="B12870" s="39"/>
      <c r="C12870" s="39"/>
      <c r="D12870" s="39"/>
      <c r="E12870" s="27"/>
      <c r="F12870" s="27"/>
      <c r="G12870" s="27"/>
      <c r="H12870" s="27"/>
      <c r="I12870" s="27"/>
      <c r="J12870" s="27"/>
      <c r="K12870" s="27"/>
      <c r="L12870" s="27"/>
      <c r="M12870" s="28"/>
      <c r="N12870" s="28"/>
      <c r="O12870" s="27"/>
      <c r="P12870" s="27"/>
    </row>
    <row r="12871">
      <c r="A12871" s="38"/>
      <c r="B12871" s="39"/>
      <c r="C12871" s="39"/>
      <c r="D12871" s="39"/>
      <c r="E12871" s="27"/>
      <c r="F12871" s="27"/>
      <c r="G12871" s="27"/>
      <c r="H12871" s="27"/>
      <c r="I12871" s="27"/>
      <c r="J12871" s="27"/>
      <c r="K12871" s="27"/>
      <c r="L12871" s="27"/>
      <c r="M12871" s="28"/>
      <c r="N12871" s="28"/>
      <c r="O12871" s="27"/>
      <c r="P12871" s="27"/>
    </row>
    <row r="12872">
      <c r="A12872" s="38"/>
      <c r="B12872" s="39"/>
      <c r="C12872" s="39"/>
      <c r="D12872" s="39"/>
      <c r="E12872" s="27"/>
      <c r="F12872" s="27"/>
      <c r="G12872" s="27"/>
      <c r="H12872" s="27"/>
      <c r="I12872" s="27"/>
      <c r="J12872" s="27"/>
      <c r="K12872" s="27"/>
      <c r="L12872" s="27"/>
      <c r="M12872" s="28"/>
      <c r="N12872" s="28"/>
      <c r="O12872" s="27"/>
      <c r="P12872" s="27"/>
    </row>
    <row r="12873">
      <c r="A12873" s="38"/>
      <c r="B12873" s="39"/>
      <c r="C12873" s="39"/>
      <c r="D12873" s="39"/>
      <c r="E12873" s="27"/>
      <c r="F12873" s="27"/>
      <c r="G12873" s="27"/>
      <c r="H12873" s="27"/>
      <c r="I12873" s="27"/>
      <c r="J12873" s="27"/>
      <c r="K12873" s="27"/>
      <c r="L12873" s="27"/>
      <c r="M12873" s="28"/>
      <c r="N12873" s="28"/>
      <c r="O12873" s="27"/>
      <c r="P12873" s="27"/>
    </row>
    <row r="12874">
      <c r="A12874" s="38"/>
      <c r="B12874" s="39"/>
      <c r="C12874" s="39"/>
      <c r="D12874" s="39"/>
      <c r="E12874" s="27"/>
      <c r="F12874" s="27"/>
      <c r="G12874" s="27"/>
      <c r="H12874" s="27"/>
      <c r="I12874" s="27"/>
      <c r="J12874" s="27"/>
      <c r="K12874" s="27"/>
      <c r="L12874" s="27"/>
      <c r="M12874" s="28"/>
      <c r="N12874" s="28"/>
      <c r="O12874" s="27"/>
      <c r="P12874" s="27"/>
    </row>
    <row r="12875">
      <c r="A12875" s="38"/>
      <c r="B12875" s="39"/>
      <c r="C12875" s="39"/>
      <c r="D12875" s="39"/>
      <c r="E12875" s="27"/>
      <c r="F12875" s="27"/>
      <c r="G12875" s="27"/>
      <c r="H12875" s="27"/>
      <c r="I12875" s="27"/>
      <c r="J12875" s="27"/>
      <c r="K12875" s="27"/>
      <c r="L12875" s="27"/>
      <c r="M12875" s="28"/>
      <c r="N12875" s="28"/>
      <c r="O12875" s="27"/>
      <c r="P12875" s="27"/>
    </row>
    <row r="12876">
      <c r="A12876" s="38"/>
      <c r="B12876" s="39"/>
      <c r="C12876" s="39"/>
      <c r="D12876" s="39"/>
      <c r="E12876" s="27"/>
      <c r="F12876" s="27"/>
      <c r="G12876" s="27"/>
      <c r="H12876" s="27"/>
      <c r="I12876" s="27"/>
      <c r="J12876" s="27"/>
      <c r="K12876" s="27"/>
      <c r="L12876" s="27"/>
      <c r="M12876" s="28"/>
      <c r="N12876" s="28"/>
      <c r="O12876" s="27"/>
      <c r="P12876" s="27"/>
    </row>
    <row r="12877">
      <c r="A12877" s="38"/>
      <c r="B12877" s="39"/>
      <c r="C12877" s="39"/>
      <c r="D12877" s="39"/>
      <c r="E12877" s="27"/>
      <c r="F12877" s="27"/>
      <c r="G12877" s="27"/>
      <c r="H12877" s="27"/>
      <c r="I12877" s="27"/>
      <c r="J12877" s="27"/>
      <c r="K12877" s="27"/>
      <c r="L12877" s="27"/>
      <c r="M12877" s="28"/>
      <c r="N12877" s="28"/>
      <c r="O12877" s="27"/>
      <c r="P12877" s="27"/>
    </row>
    <row r="12878">
      <c r="A12878" s="38"/>
      <c r="B12878" s="39"/>
      <c r="C12878" s="39"/>
      <c r="D12878" s="39"/>
      <c r="E12878" s="27"/>
      <c r="F12878" s="27"/>
      <c r="G12878" s="27"/>
      <c r="H12878" s="27"/>
      <c r="I12878" s="27"/>
      <c r="J12878" s="27"/>
      <c r="K12878" s="27"/>
      <c r="L12878" s="27"/>
      <c r="M12878" s="28"/>
      <c r="N12878" s="28"/>
      <c r="O12878" s="27"/>
      <c r="P12878" s="27"/>
    </row>
    <row r="12879">
      <c r="A12879" s="38"/>
      <c r="B12879" s="39"/>
      <c r="C12879" s="39"/>
      <c r="D12879" s="39"/>
      <c r="E12879" s="27"/>
      <c r="F12879" s="27"/>
      <c r="G12879" s="27"/>
      <c r="H12879" s="27"/>
      <c r="I12879" s="27"/>
      <c r="J12879" s="27"/>
      <c r="K12879" s="27"/>
      <c r="L12879" s="27"/>
      <c r="M12879" s="28"/>
      <c r="N12879" s="28"/>
      <c r="O12879" s="27"/>
      <c r="P12879" s="27"/>
    </row>
    <row r="12880">
      <c r="A12880" s="38"/>
      <c r="B12880" s="39"/>
      <c r="C12880" s="39"/>
      <c r="D12880" s="39"/>
      <c r="E12880" s="27"/>
      <c r="F12880" s="27"/>
      <c r="G12880" s="27"/>
      <c r="H12880" s="27"/>
      <c r="I12880" s="27"/>
      <c r="J12880" s="27"/>
      <c r="K12880" s="27"/>
      <c r="L12880" s="27"/>
      <c r="M12880" s="28"/>
      <c r="N12880" s="28"/>
      <c r="O12880" s="27"/>
      <c r="P12880" s="27"/>
    </row>
    <row r="12881">
      <c r="A12881" s="38"/>
      <c r="B12881" s="39"/>
      <c r="C12881" s="39"/>
      <c r="D12881" s="39"/>
      <c r="E12881" s="27"/>
      <c r="F12881" s="27"/>
      <c r="G12881" s="27"/>
      <c r="H12881" s="27"/>
      <c r="I12881" s="27"/>
      <c r="J12881" s="27"/>
      <c r="K12881" s="27"/>
      <c r="L12881" s="27"/>
      <c r="M12881" s="28"/>
      <c r="N12881" s="28"/>
      <c r="O12881" s="27"/>
      <c r="P12881" s="27"/>
    </row>
    <row r="12882">
      <c r="A12882" s="38"/>
      <c r="B12882" s="39"/>
      <c r="C12882" s="39"/>
      <c r="D12882" s="39"/>
      <c r="E12882" s="27"/>
      <c r="F12882" s="27"/>
      <c r="G12882" s="27"/>
      <c r="H12882" s="27"/>
      <c r="I12882" s="27"/>
      <c r="J12882" s="27"/>
      <c r="K12882" s="27"/>
      <c r="L12882" s="27"/>
      <c r="M12882" s="28"/>
      <c r="N12882" s="28"/>
      <c r="O12882" s="27"/>
      <c r="P12882" s="27"/>
    </row>
    <row r="12883">
      <c r="A12883" s="38"/>
      <c r="B12883" s="39"/>
      <c r="C12883" s="39"/>
      <c r="D12883" s="39"/>
      <c r="E12883" s="27"/>
      <c r="F12883" s="27"/>
      <c r="G12883" s="27"/>
      <c r="H12883" s="27"/>
      <c r="I12883" s="27"/>
      <c r="J12883" s="27"/>
      <c r="K12883" s="27"/>
      <c r="L12883" s="27"/>
      <c r="M12883" s="28"/>
      <c r="N12883" s="28"/>
      <c r="O12883" s="27"/>
      <c r="P12883" s="27"/>
    </row>
    <row r="12884">
      <c r="A12884" s="38"/>
      <c r="B12884" s="39"/>
      <c r="C12884" s="39"/>
      <c r="D12884" s="39"/>
      <c r="E12884" s="27"/>
      <c r="F12884" s="27"/>
      <c r="G12884" s="27"/>
      <c r="H12884" s="27"/>
      <c r="I12884" s="27"/>
      <c r="J12884" s="27"/>
      <c r="K12884" s="27"/>
      <c r="L12884" s="27"/>
      <c r="M12884" s="28"/>
      <c r="N12884" s="28"/>
      <c r="O12884" s="27"/>
      <c r="P12884" s="27"/>
    </row>
    <row r="12885">
      <c r="A12885" s="38"/>
      <c r="B12885" s="39"/>
      <c r="C12885" s="39"/>
      <c r="D12885" s="39"/>
      <c r="E12885" s="27"/>
      <c r="F12885" s="27"/>
      <c r="G12885" s="27"/>
      <c r="H12885" s="27"/>
      <c r="I12885" s="27"/>
      <c r="J12885" s="27"/>
      <c r="K12885" s="27"/>
      <c r="L12885" s="27"/>
      <c r="M12885" s="28"/>
      <c r="N12885" s="28"/>
      <c r="O12885" s="27"/>
      <c r="P12885" s="27"/>
    </row>
    <row r="12886">
      <c r="A12886" s="38"/>
      <c r="B12886" s="39"/>
      <c r="C12886" s="39"/>
      <c r="D12886" s="39"/>
      <c r="E12886" s="27"/>
      <c r="F12886" s="27"/>
      <c r="G12886" s="27"/>
      <c r="H12886" s="27"/>
      <c r="I12886" s="27"/>
      <c r="J12886" s="27"/>
      <c r="K12886" s="27"/>
      <c r="L12886" s="27"/>
      <c r="M12886" s="28"/>
      <c r="N12886" s="28"/>
      <c r="O12886" s="27"/>
      <c r="P12886" s="27"/>
    </row>
    <row r="12887">
      <c r="A12887" s="38"/>
      <c r="B12887" s="39"/>
      <c r="C12887" s="39"/>
      <c r="D12887" s="39"/>
      <c r="E12887" s="27"/>
      <c r="F12887" s="27"/>
      <c r="G12887" s="27"/>
      <c r="H12887" s="27"/>
      <c r="I12887" s="27"/>
      <c r="J12887" s="27"/>
      <c r="K12887" s="27"/>
      <c r="L12887" s="27"/>
      <c r="M12887" s="28"/>
      <c r="N12887" s="28"/>
      <c r="O12887" s="27"/>
      <c r="P12887" s="27"/>
    </row>
    <row r="12888">
      <c r="A12888" s="38"/>
      <c r="B12888" s="39"/>
      <c r="C12888" s="39"/>
      <c r="D12888" s="39"/>
      <c r="E12888" s="27"/>
      <c r="F12888" s="27"/>
      <c r="G12888" s="27"/>
      <c r="H12888" s="27"/>
      <c r="I12888" s="27"/>
      <c r="J12888" s="27"/>
      <c r="K12888" s="27"/>
      <c r="L12888" s="27"/>
      <c r="M12888" s="28"/>
      <c r="N12888" s="28"/>
      <c r="O12888" s="27"/>
      <c r="P12888" s="27"/>
    </row>
    <row r="12889">
      <c r="A12889" s="38"/>
      <c r="B12889" s="39"/>
      <c r="C12889" s="39"/>
      <c r="D12889" s="39"/>
      <c r="E12889" s="27"/>
      <c r="F12889" s="27"/>
      <c r="G12889" s="27"/>
      <c r="H12889" s="27"/>
      <c r="I12889" s="27"/>
      <c r="J12889" s="27"/>
      <c r="K12889" s="27"/>
      <c r="L12889" s="27"/>
      <c r="M12889" s="28"/>
      <c r="N12889" s="28"/>
      <c r="O12889" s="27"/>
      <c r="P12889" s="27"/>
    </row>
    <row r="12890">
      <c r="A12890" s="38"/>
      <c r="B12890" s="39"/>
      <c r="C12890" s="39"/>
      <c r="D12890" s="39"/>
      <c r="E12890" s="27"/>
      <c r="F12890" s="27"/>
      <c r="G12890" s="27"/>
      <c r="H12890" s="27"/>
      <c r="I12890" s="27"/>
      <c r="J12890" s="27"/>
      <c r="K12890" s="27"/>
      <c r="L12890" s="27"/>
      <c r="M12890" s="28"/>
      <c r="N12890" s="28"/>
      <c r="O12890" s="27"/>
      <c r="P12890" s="27"/>
    </row>
    <row r="12891">
      <c r="A12891" s="38"/>
      <c r="B12891" s="39"/>
      <c r="C12891" s="39"/>
      <c r="D12891" s="39"/>
      <c r="E12891" s="27"/>
      <c r="F12891" s="27"/>
      <c r="G12891" s="27"/>
      <c r="H12891" s="27"/>
      <c r="I12891" s="27"/>
      <c r="J12891" s="27"/>
      <c r="K12891" s="27"/>
      <c r="L12891" s="27"/>
      <c r="M12891" s="28"/>
      <c r="N12891" s="28"/>
      <c r="O12891" s="27"/>
      <c r="P12891" s="27"/>
    </row>
    <row r="12892">
      <c r="A12892" s="38"/>
      <c r="B12892" s="39"/>
      <c r="C12892" s="39"/>
      <c r="D12892" s="39"/>
      <c r="E12892" s="27"/>
      <c r="F12892" s="27"/>
      <c r="G12892" s="27"/>
      <c r="H12892" s="27"/>
      <c r="I12892" s="27"/>
      <c r="J12892" s="27"/>
      <c r="K12892" s="27"/>
      <c r="L12892" s="27"/>
      <c r="M12892" s="28"/>
      <c r="N12892" s="28"/>
      <c r="O12892" s="27"/>
      <c r="P12892" s="27"/>
    </row>
    <row r="12893">
      <c r="A12893" s="38"/>
      <c r="B12893" s="39"/>
      <c r="C12893" s="39"/>
      <c r="D12893" s="39"/>
      <c r="E12893" s="27"/>
      <c r="F12893" s="27"/>
      <c r="G12893" s="27"/>
      <c r="H12893" s="27"/>
      <c r="I12893" s="27"/>
      <c r="J12893" s="27"/>
      <c r="K12893" s="27"/>
      <c r="L12893" s="27"/>
      <c r="M12893" s="28"/>
      <c r="N12893" s="28"/>
      <c r="O12893" s="27"/>
      <c r="P12893" s="27"/>
    </row>
    <row r="12894">
      <c r="A12894" s="38"/>
      <c r="B12894" s="39"/>
      <c r="C12894" s="39"/>
      <c r="D12894" s="39"/>
      <c r="E12894" s="27"/>
      <c r="F12894" s="27"/>
      <c r="G12894" s="27"/>
      <c r="H12894" s="27"/>
      <c r="I12894" s="27"/>
      <c r="J12894" s="27"/>
      <c r="K12894" s="27"/>
      <c r="L12894" s="27"/>
      <c r="M12894" s="28"/>
      <c r="N12894" s="28"/>
      <c r="O12894" s="27"/>
      <c r="P12894" s="27"/>
    </row>
    <row r="12895">
      <c r="A12895" s="38"/>
      <c r="B12895" s="39"/>
      <c r="C12895" s="39"/>
      <c r="D12895" s="39"/>
      <c r="E12895" s="27"/>
      <c r="F12895" s="27"/>
      <c r="G12895" s="27"/>
      <c r="H12895" s="27"/>
      <c r="I12895" s="27"/>
      <c r="J12895" s="27"/>
      <c r="K12895" s="27"/>
      <c r="L12895" s="27"/>
      <c r="M12895" s="28"/>
      <c r="N12895" s="28"/>
      <c r="O12895" s="27"/>
      <c r="P12895" s="27"/>
    </row>
    <row r="12896">
      <c r="A12896" s="38"/>
      <c r="B12896" s="39"/>
      <c r="C12896" s="39"/>
      <c r="D12896" s="39"/>
      <c r="E12896" s="27"/>
      <c r="F12896" s="27"/>
      <c r="G12896" s="27"/>
      <c r="H12896" s="27"/>
      <c r="I12896" s="27"/>
      <c r="J12896" s="27"/>
      <c r="K12896" s="27"/>
      <c r="L12896" s="27"/>
      <c r="M12896" s="28"/>
      <c r="N12896" s="28"/>
      <c r="O12896" s="27"/>
      <c r="P12896" s="27"/>
    </row>
    <row r="12897">
      <c r="A12897" s="38"/>
      <c r="B12897" s="39"/>
      <c r="C12897" s="39"/>
      <c r="D12897" s="39"/>
      <c r="E12897" s="27"/>
      <c r="F12897" s="27"/>
      <c r="G12897" s="27"/>
      <c r="H12897" s="27"/>
      <c r="I12897" s="27"/>
      <c r="J12897" s="27"/>
      <c r="K12897" s="27"/>
      <c r="L12897" s="27"/>
      <c r="M12897" s="28"/>
      <c r="N12897" s="28"/>
      <c r="O12897" s="27"/>
      <c r="P12897" s="27"/>
    </row>
    <row r="12898">
      <c r="A12898" s="38"/>
      <c r="B12898" s="39"/>
      <c r="C12898" s="39"/>
      <c r="D12898" s="39"/>
      <c r="E12898" s="27"/>
      <c r="F12898" s="27"/>
      <c r="G12898" s="27"/>
      <c r="H12898" s="27"/>
      <c r="I12898" s="27"/>
      <c r="J12898" s="27"/>
      <c r="K12898" s="27"/>
      <c r="L12898" s="27"/>
      <c r="M12898" s="28"/>
      <c r="N12898" s="28"/>
      <c r="O12898" s="27"/>
      <c r="P12898" s="27"/>
    </row>
    <row r="12899">
      <c r="A12899" s="38"/>
      <c r="B12899" s="39"/>
      <c r="C12899" s="39"/>
      <c r="D12899" s="39"/>
      <c r="E12899" s="27"/>
      <c r="F12899" s="27"/>
      <c r="G12899" s="27"/>
      <c r="H12899" s="27"/>
      <c r="I12899" s="27"/>
      <c r="J12899" s="27"/>
      <c r="K12899" s="27"/>
      <c r="L12899" s="27"/>
      <c r="M12899" s="28"/>
      <c r="N12899" s="28"/>
      <c r="O12899" s="27"/>
      <c r="P12899" s="27"/>
    </row>
    <row r="12900">
      <c r="A12900" s="38"/>
      <c r="B12900" s="39"/>
      <c r="C12900" s="39"/>
      <c r="D12900" s="39"/>
      <c r="E12900" s="27"/>
      <c r="F12900" s="27"/>
      <c r="G12900" s="27"/>
      <c r="H12900" s="27"/>
      <c r="I12900" s="27"/>
      <c r="J12900" s="27"/>
      <c r="K12900" s="27"/>
      <c r="L12900" s="27"/>
      <c r="M12900" s="28"/>
      <c r="N12900" s="28"/>
      <c r="O12900" s="27"/>
      <c r="P12900" s="27"/>
    </row>
    <row r="12901">
      <c r="A12901" s="38"/>
      <c r="B12901" s="39"/>
      <c r="C12901" s="39"/>
      <c r="D12901" s="39"/>
      <c r="E12901" s="27"/>
      <c r="F12901" s="27"/>
      <c r="G12901" s="27"/>
      <c r="H12901" s="27"/>
      <c r="I12901" s="27"/>
      <c r="J12901" s="27"/>
      <c r="K12901" s="27"/>
      <c r="L12901" s="27"/>
      <c r="M12901" s="28"/>
      <c r="N12901" s="28"/>
      <c r="O12901" s="27"/>
      <c r="P12901" s="27"/>
    </row>
    <row r="12902">
      <c r="A12902" s="38"/>
      <c r="B12902" s="39"/>
      <c r="C12902" s="39"/>
      <c r="D12902" s="39"/>
      <c r="E12902" s="27"/>
      <c r="F12902" s="27"/>
      <c r="G12902" s="27"/>
      <c r="H12902" s="27"/>
      <c r="I12902" s="27"/>
      <c r="J12902" s="27"/>
      <c r="K12902" s="27"/>
      <c r="L12902" s="27"/>
      <c r="M12902" s="28"/>
      <c r="N12902" s="28"/>
      <c r="O12902" s="27"/>
      <c r="P12902" s="27"/>
    </row>
    <row r="12903">
      <c r="A12903" s="38"/>
      <c r="B12903" s="39"/>
      <c r="C12903" s="39"/>
      <c r="D12903" s="39"/>
      <c r="E12903" s="27"/>
      <c r="F12903" s="27"/>
      <c r="G12903" s="27"/>
      <c r="H12903" s="27"/>
      <c r="I12903" s="27"/>
      <c r="J12903" s="27"/>
      <c r="K12903" s="27"/>
      <c r="L12903" s="27"/>
      <c r="M12903" s="28"/>
      <c r="N12903" s="28"/>
      <c r="O12903" s="27"/>
      <c r="P12903" s="27"/>
    </row>
    <row r="12904">
      <c r="A12904" s="38"/>
      <c r="B12904" s="39"/>
      <c r="C12904" s="39"/>
      <c r="D12904" s="39"/>
      <c r="E12904" s="27"/>
      <c r="F12904" s="27"/>
      <c r="G12904" s="27"/>
      <c r="H12904" s="27"/>
      <c r="I12904" s="27"/>
      <c r="J12904" s="27"/>
      <c r="K12904" s="27"/>
      <c r="L12904" s="27"/>
      <c r="M12904" s="28"/>
      <c r="N12904" s="28"/>
      <c r="O12904" s="27"/>
      <c r="P12904" s="27"/>
    </row>
    <row r="12905">
      <c r="A12905" s="38"/>
      <c r="B12905" s="39"/>
      <c r="C12905" s="39"/>
      <c r="D12905" s="39"/>
      <c r="E12905" s="27"/>
      <c r="F12905" s="27"/>
      <c r="G12905" s="27"/>
      <c r="H12905" s="27"/>
      <c r="I12905" s="27"/>
      <c r="J12905" s="27"/>
      <c r="K12905" s="27"/>
      <c r="L12905" s="27"/>
      <c r="M12905" s="28"/>
      <c r="N12905" s="28"/>
      <c r="O12905" s="27"/>
      <c r="P12905" s="27"/>
    </row>
    <row r="12906">
      <c r="A12906" s="38"/>
      <c r="B12906" s="39"/>
      <c r="C12906" s="39"/>
      <c r="D12906" s="39"/>
      <c r="E12906" s="27"/>
      <c r="F12906" s="27"/>
      <c r="G12906" s="27"/>
      <c r="H12906" s="27"/>
      <c r="I12906" s="27"/>
      <c r="J12906" s="27"/>
      <c r="K12906" s="27"/>
      <c r="L12906" s="27"/>
      <c r="M12906" s="28"/>
      <c r="N12906" s="28"/>
      <c r="O12906" s="27"/>
      <c r="P12906" s="27"/>
    </row>
    <row r="12907">
      <c r="A12907" s="38"/>
      <c r="B12907" s="39"/>
      <c r="C12907" s="39"/>
      <c r="D12907" s="39"/>
      <c r="E12907" s="27"/>
      <c r="F12907" s="27"/>
      <c r="G12907" s="27"/>
      <c r="H12907" s="27"/>
      <c r="I12907" s="27"/>
      <c r="J12907" s="27"/>
      <c r="K12907" s="27"/>
      <c r="L12907" s="27"/>
      <c r="M12907" s="28"/>
      <c r="N12907" s="28"/>
      <c r="O12907" s="27"/>
      <c r="P12907" s="27"/>
    </row>
    <row r="12908">
      <c r="A12908" s="38"/>
      <c r="B12908" s="39"/>
      <c r="C12908" s="39"/>
      <c r="D12908" s="39"/>
      <c r="E12908" s="27"/>
      <c r="F12908" s="27"/>
      <c r="G12908" s="27"/>
      <c r="H12908" s="27"/>
      <c r="I12908" s="27"/>
      <c r="J12908" s="27"/>
      <c r="K12908" s="27"/>
      <c r="L12908" s="27"/>
      <c r="M12908" s="28"/>
      <c r="N12908" s="28"/>
      <c r="O12908" s="27"/>
      <c r="P12908" s="27"/>
    </row>
    <row r="12909">
      <c r="A12909" s="38"/>
      <c r="B12909" s="39"/>
      <c r="C12909" s="39"/>
      <c r="D12909" s="39"/>
      <c r="E12909" s="27"/>
      <c r="F12909" s="27"/>
      <c r="G12909" s="27"/>
      <c r="H12909" s="27"/>
      <c r="I12909" s="27"/>
      <c r="J12909" s="27"/>
      <c r="K12909" s="27"/>
      <c r="L12909" s="27"/>
      <c r="M12909" s="28"/>
      <c r="N12909" s="28"/>
      <c r="O12909" s="27"/>
      <c r="P12909" s="27"/>
    </row>
    <row r="12910">
      <c r="A12910" s="38"/>
      <c r="B12910" s="39"/>
      <c r="C12910" s="39"/>
      <c r="D12910" s="39"/>
      <c r="E12910" s="27"/>
      <c r="F12910" s="27"/>
      <c r="G12910" s="27"/>
      <c r="H12910" s="27"/>
      <c r="I12910" s="27"/>
      <c r="J12910" s="27"/>
      <c r="K12910" s="27"/>
      <c r="L12910" s="27"/>
      <c r="M12910" s="28"/>
      <c r="N12910" s="28"/>
      <c r="O12910" s="27"/>
      <c r="P12910" s="27"/>
    </row>
    <row r="12911">
      <c r="A12911" s="38"/>
      <c r="B12911" s="39"/>
      <c r="C12911" s="39"/>
      <c r="D12911" s="39"/>
      <c r="E12911" s="27"/>
      <c r="F12911" s="27"/>
      <c r="G12911" s="27"/>
      <c r="H12911" s="27"/>
      <c r="I12911" s="27"/>
      <c r="J12911" s="27"/>
      <c r="K12911" s="27"/>
      <c r="L12911" s="27"/>
      <c r="M12911" s="28"/>
      <c r="N12911" s="28"/>
      <c r="O12911" s="27"/>
      <c r="P12911" s="27"/>
    </row>
    <row r="12912">
      <c r="A12912" s="38"/>
      <c r="B12912" s="39"/>
      <c r="C12912" s="39"/>
      <c r="D12912" s="39"/>
      <c r="E12912" s="27"/>
      <c r="F12912" s="27"/>
      <c r="G12912" s="27"/>
      <c r="H12912" s="27"/>
      <c r="I12912" s="27"/>
      <c r="J12912" s="27"/>
      <c r="K12912" s="27"/>
      <c r="L12912" s="27"/>
      <c r="M12912" s="28"/>
      <c r="N12912" s="28"/>
      <c r="O12912" s="27"/>
      <c r="P12912" s="27"/>
    </row>
    <row r="12913">
      <c r="A12913" s="38"/>
      <c r="B12913" s="39"/>
      <c r="C12913" s="39"/>
      <c r="D12913" s="39"/>
      <c r="E12913" s="27"/>
      <c r="F12913" s="27"/>
      <c r="G12913" s="27"/>
      <c r="H12913" s="27"/>
      <c r="I12913" s="27"/>
      <c r="J12913" s="27"/>
      <c r="K12913" s="27"/>
      <c r="L12913" s="27"/>
      <c r="M12913" s="28"/>
      <c r="N12913" s="28"/>
      <c r="O12913" s="27"/>
      <c r="P12913" s="27"/>
    </row>
    <row r="12914">
      <c r="A12914" s="38"/>
      <c r="B12914" s="39"/>
      <c r="C12914" s="39"/>
      <c r="D12914" s="39"/>
      <c r="E12914" s="27"/>
      <c r="F12914" s="27"/>
      <c r="G12914" s="27"/>
      <c r="H12914" s="27"/>
      <c r="I12914" s="27"/>
      <c r="J12914" s="27"/>
      <c r="K12914" s="27"/>
      <c r="L12914" s="27"/>
      <c r="M12914" s="28"/>
      <c r="N12914" s="28"/>
      <c r="O12914" s="27"/>
      <c r="P12914" s="27"/>
    </row>
    <row r="12915">
      <c r="A12915" s="38"/>
      <c r="B12915" s="39"/>
      <c r="C12915" s="39"/>
      <c r="D12915" s="39"/>
      <c r="E12915" s="27"/>
      <c r="F12915" s="27"/>
      <c r="G12915" s="27"/>
      <c r="H12915" s="27"/>
      <c r="I12915" s="27"/>
      <c r="J12915" s="27"/>
      <c r="K12915" s="27"/>
      <c r="L12915" s="27"/>
      <c r="M12915" s="28"/>
      <c r="N12915" s="28"/>
      <c r="O12915" s="27"/>
      <c r="P12915" s="27"/>
    </row>
    <row r="12916">
      <c r="A12916" s="38"/>
      <c r="B12916" s="39"/>
      <c r="C12916" s="39"/>
      <c r="D12916" s="39"/>
      <c r="E12916" s="27"/>
      <c r="F12916" s="27"/>
      <c r="G12916" s="27"/>
      <c r="H12916" s="27"/>
      <c r="I12916" s="27"/>
      <c r="J12916" s="27"/>
      <c r="K12916" s="27"/>
      <c r="L12916" s="27"/>
      <c r="M12916" s="28"/>
      <c r="N12916" s="28"/>
      <c r="O12916" s="27"/>
      <c r="P12916" s="27"/>
    </row>
    <row r="12917">
      <c r="A12917" s="38"/>
      <c r="B12917" s="39"/>
      <c r="C12917" s="39"/>
      <c r="D12917" s="39"/>
      <c r="E12917" s="27"/>
      <c r="F12917" s="27"/>
      <c r="G12917" s="27"/>
      <c r="H12917" s="27"/>
      <c r="I12917" s="27"/>
      <c r="J12917" s="27"/>
      <c r="K12917" s="27"/>
      <c r="L12917" s="27"/>
      <c r="M12917" s="28"/>
      <c r="N12917" s="28"/>
      <c r="O12917" s="27"/>
      <c r="P12917" s="27"/>
    </row>
    <row r="12918">
      <c r="A12918" s="38"/>
      <c r="B12918" s="39"/>
      <c r="C12918" s="39"/>
      <c r="D12918" s="39"/>
      <c r="E12918" s="27"/>
      <c r="F12918" s="27"/>
      <c r="G12918" s="27"/>
      <c r="H12918" s="27"/>
      <c r="I12918" s="27"/>
      <c r="J12918" s="27"/>
      <c r="K12918" s="27"/>
      <c r="L12918" s="27"/>
      <c r="M12918" s="28"/>
      <c r="N12918" s="28"/>
      <c r="O12918" s="27"/>
      <c r="P12918" s="27"/>
    </row>
    <row r="12919">
      <c r="A12919" s="38"/>
      <c r="B12919" s="39"/>
      <c r="C12919" s="39"/>
      <c r="D12919" s="39"/>
      <c r="E12919" s="27"/>
      <c r="F12919" s="27"/>
      <c r="G12919" s="27"/>
      <c r="H12919" s="27"/>
      <c r="I12919" s="27"/>
      <c r="J12919" s="27"/>
      <c r="K12919" s="27"/>
      <c r="L12919" s="27"/>
      <c r="M12919" s="28"/>
      <c r="N12919" s="28"/>
      <c r="O12919" s="27"/>
      <c r="P12919" s="27"/>
    </row>
    <row r="12920">
      <c r="A12920" s="38"/>
      <c r="B12920" s="39"/>
      <c r="C12920" s="39"/>
      <c r="D12920" s="39"/>
      <c r="E12920" s="27"/>
      <c r="F12920" s="27"/>
      <c r="G12920" s="27"/>
      <c r="H12920" s="27"/>
      <c r="I12920" s="27"/>
      <c r="J12920" s="27"/>
      <c r="K12920" s="27"/>
      <c r="L12920" s="27"/>
      <c r="M12920" s="28"/>
      <c r="N12920" s="28"/>
      <c r="O12920" s="27"/>
      <c r="P12920" s="27"/>
    </row>
    <row r="12921">
      <c r="A12921" s="38"/>
      <c r="B12921" s="39"/>
      <c r="C12921" s="39"/>
      <c r="D12921" s="39"/>
      <c r="E12921" s="27"/>
      <c r="F12921" s="27"/>
      <c r="G12921" s="27"/>
      <c r="H12921" s="27"/>
      <c r="I12921" s="27"/>
      <c r="J12921" s="27"/>
      <c r="K12921" s="27"/>
      <c r="L12921" s="27"/>
      <c r="M12921" s="28"/>
      <c r="N12921" s="28"/>
      <c r="O12921" s="27"/>
      <c r="P12921" s="27"/>
    </row>
    <row r="12922">
      <c r="A12922" s="38"/>
      <c r="B12922" s="39"/>
      <c r="C12922" s="39"/>
      <c r="D12922" s="39"/>
      <c r="E12922" s="27"/>
      <c r="F12922" s="27"/>
      <c r="G12922" s="27"/>
      <c r="H12922" s="27"/>
      <c r="I12922" s="27"/>
      <c r="J12922" s="27"/>
      <c r="K12922" s="27"/>
      <c r="L12922" s="27"/>
      <c r="M12922" s="28"/>
      <c r="N12922" s="28"/>
      <c r="O12922" s="27"/>
      <c r="P12922" s="27"/>
    </row>
    <row r="12923">
      <c r="A12923" s="38"/>
      <c r="B12923" s="39"/>
      <c r="C12923" s="39"/>
      <c r="D12923" s="39"/>
      <c r="E12923" s="27"/>
      <c r="F12923" s="27"/>
      <c r="G12923" s="27"/>
      <c r="H12923" s="27"/>
      <c r="I12923" s="27"/>
      <c r="J12923" s="27"/>
      <c r="K12923" s="27"/>
      <c r="L12923" s="27"/>
      <c r="M12923" s="28"/>
      <c r="N12923" s="28"/>
      <c r="O12923" s="27"/>
      <c r="P12923" s="27"/>
    </row>
    <row r="12924">
      <c r="A12924" s="38"/>
      <c r="B12924" s="39"/>
      <c r="C12924" s="39"/>
      <c r="D12924" s="39"/>
      <c r="E12924" s="27"/>
      <c r="F12924" s="27"/>
      <c r="G12924" s="27"/>
      <c r="H12924" s="27"/>
      <c r="I12924" s="27"/>
      <c r="J12924" s="27"/>
      <c r="K12924" s="27"/>
      <c r="L12924" s="27"/>
      <c r="M12924" s="28"/>
      <c r="N12924" s="28"/>
      <c r="O12924" s="27"/>
      <c r="P12924" s="27"/>
    </row>
    <row r="12925">
      <c r="A12925" s="38"/>
      <c r="B12925" s="39"/>
      <c r="C12925" s="39"/>
      <c r="D12925" s="39"/>
      <c r="E12925" s="27"/>
      <c r="F12925" s="27"/>
      <c r="G12925" s="27"/>
      <c r="H12925" s="27"/>
      <c r="I12925" s="27"/>
      <c r="J12925" s="27"/>
      <c r="K12925" s="27"/>
      <c r="L12925" s="27"/>
      <c r="M12925" s="28"/>
      <c r="N12925" s="28"/>
      <c r="O12925" s="27"/>
      <c r="P12925" s="27"/>
    </row>
    <row r="12926">
      <c r="A12926" s="38"/>
      <c r="B12926" s="39"/>
      <c r="C12926" s="39"/>
      <c r="D12926" s="39"/>
      <c r="E12926" s="27"/>
      <c r="F12926" s="27"/>
      <c r="G12926" s="27"/>
      <c r="H12926" s="27"/>
      <c r="I12926" s="27"/>
      <c r="J12926" s="27"/>
      <c r="K12926" s="27"/>
      <c r="L12926" s="27"/>
      <c r="M12926" s="28"/>
      <c r="N12926" s="28"/>
      <c r="O12926" s="27"/>
      <c r="P12926" s="27"/>
    </row>
    <row r="12927">
      <c r="A12927" s="38"/>
      <c r="B12927" s="39"/>
      <c r="C12927" s="39"/>
      <c r="D12927" s="39"/>
      <c r="E12927" s="27"/>
      <c r="F12927" s="27"/>
      <c r="G12927" s="27"/>
      <c r="H12927" s="27"/>
      <c r="I12927" s="27"/>
      <c r="J12927" s="27"/>
      <c r="K12927" s="27"/>
      <c r="L12927" s="27"/>
      <c r="M12927" s="28"/>
      <c r="N12927" s="28"/>
      <c r="O12927" s="27"/>
      <c r="P12927" s="27"/>
    </row>
    <row r="12928">
      <c r="A12928" s="38"/>
      <c r="B12928" s="39"/>
      <c r="C12928" s="39"/>
      <c r="D12928" s="39"/>
      <c r="E12928" s="27"/>
      <c r="F12928" s="27"/>
      <c r="G12928" s="27"/>
      <c r="H12928" s="27"/>
      <c r="I12928" s="27"/>
      <c r="J12928" s="27"/>
      <c r="K12928" s="27"/>
      <c r="L12928" s="27"/>
      <c r="M12928" s="28"/>
      <c r="N12928" s="28"/>
      <c r="O12928" s="27"/>
      <c r="P12928" s="27"/>
    </row>
    <row r="12929">
      <c r="A12929" s="38"/>
      <c r="B12929" s="39"/>
      <c r="C12929" s="39"/>
      <c r="D12929" s="39"/>
      <c r="E12929" s="27"/>
      <c r="F12929" s="27"/>
      <c r="G12929" s="27"/>
      <c r="H12929" s="27"/>
      <c r="I12929" s="27"/>
      <c r="J12929" s="27"/>
      <c r="K12929" s="27"/>
      <c r="L12929" s="27"/>
      <c r="M12929" s="28"/>
      <c r="N12929" s="28"/>
      <c r="O12929" s="27"/>
      <c r="P12929" s="27"/>
    </row>
    <row r="12930">
      <c r="A12930" s="38"/>
      <c r="B12930" s="39"/>
      <c r="C12930" s="39"/>
      <c r="D12930" s="39"/>
      <c r="E12930" s="27"/>
      <c r="F12930" s="27"/>
      <c r="G12930" s="27"/>
      <c r="H12930" s="27"/>
      <c r="I12930" s="27"/>
      <c r="J12930" s="27"/>
      <c r="K12930" s="27"/>
      <c r="L12930" s="27"/>
      <c r="M12930" s="28"/>
      <c r="N12930" s="28"/>
      <c r="O12930" s="27"/>
      <c r="P12930" s="27"/>
    </row>
    <row r="12931">
      <c r="A12931" s="38"/>
      <c r="B12931" s="39"/>
      <c r="C12931" s="39"/>
      <c r="D12931" s="39"/>
      <c r="E12931" s="27"/>
      <c r="F12931" s="27"/>
      <c r="G12931" s="27"/>
      <c r="H12931" s="27"/>
      <c r="I12931" s="27"/>
      <c r="J12931" s="27"/>
      <c r="K12931" s="27"/>
      <c r="L12931" s="27"/>
      <c r="M12931" s="28"/>
      <c r="N12931" s="28"/>
      <c r="O12931" s="27"/>
      <c r="P12931" s="27"/>
    </row>
    <row r="12932">
      <c r="A12932" s="38"/>
      <c r="B12932" s="39"/>
      <c r="C12932" s="39"/>
      <c r="D12932" s="39"/>
      <c r="E12932" s="27"/>
      <c r="F12932" s="27"/>
      <c r="G12932" s="27"/>
      <c r="H12932" s="27"/>
      <c r="I12932" s="27"/>
      <c r="J12932" s="27"/>
      <c r="K12932" s="27"/>
      <c r="L12932" s="27"/>
      <c r="M12932" s="28"/>
      <c r="N12932" s="28"/>
      <c r="O12932" s="27"/>
      <c r="P12932" s="27"/>
    </row>
    <row r="12933">
      <c r="A12933" s="38"/>
      <c r="B12933" s="39"/>
      <c r="C12933" s="39"/>
      <c r="D12933" s="39"/>
      <c r="E12933" s="27"/>
      <c r="F12933" s="27"/>
      <c r="G12933" s="27"/>
      <c r="H12933" s="27"/>
      <c r="I12933" s="27"/>
      <c r="J12933" s="27"/>
      <c r="K12933" s="27"/>
      <c r="L12933" s="27"/>
      <c r="M12933" s="28"/>
      <c r="N12933" s="28"/>
      <c r="O12933" s="27"/>
      <c r="P12933" s="27"/>
    </row>
    <row r="12934">
      <c r="A12934" s="38"/>
      <c r="B12934" s="39"/>
      <c r="C12934" s="39"/>
      <c r="D12934" s="39"/>
      <c r="E12934" s="27"/>
      <c r="F12934" s="27"/>
      <c r="G12934" s="27"/>
      <c r="H12934" s="27"/>
      <c r="I12934" s="27"/>
      <c r="J12934" s="27"/>
      <c r="K12934" s="27"/>
      <c r="L12934" s="27"/>
      <c r="M12934" s="28"/>
      <c r="N12934" s="28"/>
      <c r="O12934" s="27"/>
      <c r="P12934" s="27"/>
    </row>
    <row r="12935">
      <c r="A12935" s="38"/>
      <c r="B12935" s="39"/>
      <c r="C12935" s="39"/>
      <c r="D12935" s="39"/>
      <c r="E12935" s="27"/>
      <c r="F12935" s="27"/>
      <c r="G12935" s="27"/>
      <c r="H12935" s="27"/>
      <c r="I12935" s="27"/>
      <c r="J12935" s="27"/>
      <c r="K12935" s="27"/>
      <c r="L12935" s="27"/>
      <c r="M12935" s="28"/>
      <c r="N12935" s="28"/>
      <c r="O12935" s="27"/>
      <c r="P12935" s="27"/>
    </row>
    <row r="12936">
      <c r="A12936" s="38"/>
      <c r="B12936" s="39"/>
      <c r="C12936" s="39"/>
      <c r="D12936" s="39"/>
      <c r="E12936" s="27"/>
      <c r="F12936" s="27"/>
      <c r="G12936" s="27"/>
      <c r="H12936" s="27"/>
      <c r="I12936" s="27"/>
      <c r="J12936" s="27"/>
      <c r="K12936" s="27"/>
      <c r="L12936" s="27"/>
      <c r="M12936" s="28"/>
      <c r="N12936" s="28"/>
      <c r="O12936" s="27"/>
      <c r="P12936" s="27"/>
    </row>
    <row r="12937">
      <c r="A12937" s="38"/>
      <c r="B12937" s="39"/>
      <c r="C12937" s="39"/>
      <c r="D12937" s="39"/>
      <c r="E12937" s="27"/>
      <c r="F12937" s="27"/>
      <c r="G12937" s="27"/>
      <c r="H12937" s="27"/>
      <c r="I12937" s="27"/>
      <c r="J12937" s="27"/>
      <c r="K12937" s="27"/>
      <c r="L12937" s="27"/>
      <c r="M12937" s="28"/>
      <c r="N12937" s="28"/>
      <c r="O12937" s="27"/>
      <c r="P12937" s="27"/>
    </row>
    <row r="12938">
      <c r="A12938" s="38"/>
      <c r="B12938" s="39"/>
      <c r="C12938" s="39"/>
      <c r="D12938" s="39"/>
      <c r="E12938" s="27"/>
      <c r="F12938" s="27"/>
      <c r="G12938" s="27"/>
      <c r="H12938" s="27"/>
      <c r="I12938" s="27"/>
      <c r="J12938" s="27"/>
      <c r="K12938" s="27"/>
      <c r="L12938" s="27"/>
      <c r="M12938" s="28"/>
      <c r="N12938" s="28"/>
      <c r="O12938" s="27"/>
      <c r="P12938" s="27"/>
    </row>
    <row r="12939">
      <c r="A12939" s="38"/>
      <c r="B12939" s="39"/>
      <c r="C12939" s="39"/>
      <c r="D12939" s="39"/>
      <c r="E12939" s="27"/>
      <c r="F12939" s="27"/>
      <c r="G12939" s="27"/>
      <c r="H12939" s="27"/>
      <c r="I12939" s="27"/>
      <c r="J12939" s="27"/>
      <c r="K12939" s="27"/>
      <c r="L12939" s="27"/>
      <c r="M12939" s="28"/>
      <c r="N12939" s="28"/>
      <c r="O12939" s="27"/>
      <c r="P12939" s="27"/>
    </row>
    <row r="12940">
      <c r="A12940" s="38"/>
      <c r="B12940" s="39"/>
      <c r="C12940" s="39"/>
      <c r="D12940" s="39"/>
      <c r="E12940" s="27"/>
      <c r="F12940" s="27"/>
      <c r="G12940" s="27"/>
      <c r="H12940" s="27"/>
      <c r="I12940" s="27"/>
      <c r="J12940" s="27"/>
      <c r="K12940" s="27"/>
      <c r="L12940" s="27"/>
      <c r="M12940" s="28"/>
      <c r="N12940" s="28"/>
      <c r="O12940" s="27"/>
      <c r="P12940" s="27"/>
    </row>
    <row r="12941">
      <c r="A12941" s="38"/>
      <c r="B12941" s="39"/>
      <c r="C12941" s="39"/>
      <c r="D12941" s="39"/>
      <c r="E12941" s="27"/>
      <c r="F12941" s="27"/>
      <c r="G12941" s="27"/>
      <c r="H12941" s="27"/>
      <c r="I12941" s="27"/>
      <c r="J12941" s="27"/>
      <c r="K12941" s="27"/>
      <c r="L12941" s="27"/>
      <c r="M12941" s="28"/>
      <c r="N12941" s="28"/>
      <c r="O12941" s="27"/>
      <c r="P12941" s="27"/>
    </row>
    <row r="12942">
      <c r="A12942" s="38"/>
      <c r="B12942" s="39"/>
      <c r="C12942" s="39"/>
      <c r="D12942" s="39"/>
      <c r="E12942" s="27"/>
      <c r="F12942" s="27"/>
      <c r="G12942" s="27"/>
      <c r="H12942" s="27"/>
      <c r="I12942" s="27"/>
      <c r="J12942" s="27"/>
      <c r="K12942" s="27"/>
      <c r="L12942" s="27"/>
      <c r="M12942" s="28"/>
      <c r="N12942" s="28"/>
      <c r="O12942" s="27"/>
      <c r="P12942" s="27"/>
    </row>
    <row r="12943">
      <c r="A12943" s="38"/>
      <c r="B12943" s="39"/>
      <c r="C12943" s="39"/>
      <c r="D12943" s="39"/>
      <c r="E12943" s="27"/>
      <c r="F12943" s="27"/>
      <c r="G12943" s="27"/>
      <c r="H12943" s="27"/>
      <c r="I12943" s="27"/>
      <c r="J12943" s="27"/>
      <c r="K12943" s="27"/>
      <c r="L12943" s="27"/>
      <c r="M12943" s="28"/>
      <c r="N12943" s="28"/>
      <c r="O12943" s="27"/>
      <c r="P12943" s="27"/>
    </row>
    <row r="12944">
      <c r="A12944" s="38"/>
      <c r="B12944" s="39"/>
      <c r="C12944" s="39"/>
      <c r="D12944" s="39"/>
      <c r="E12944" s="27"/>
      <c r="F12944" s="27"/>
      <c r="G12944" s="27"/>
      <c r="H12944" s="27"/>
      <c r="I12944" s="27"/>
      <c r="J12944" s="27"/>
      <c r="K12944" s="27"/>
      <c r="L12944" s="27"/>
      <c r="M12944" s="28"/>
      <c r="N12944" s="28"/>
      <c r="O12944" s="27"/>
      <c r="P12944" s="27"/>
    </row>
    <row r="12945">
      <c r="A12945" s="38"/>
      <c r="B12945" s="39"/>
      <c r="C12945" s="39"/>
      <c r="D12945" s="39"/>
      <c r="E12945" s="27"/>
      <c r="F12945" s="27"/>
      <c r="G12945" s="27"/>
      <c r="H12945" s="27"/>
      <c r="I12945" s="27"/>
      <c r="J12945" s="27"/>
      <c r="K12945" s="27"/>
      <c r="L12945" s="27"/>
      <c r="M12945" s="28"/>
      <c r="N12945" s="28"/>
      <c r="O12945" s="27"/>
      <c r="P12945" s="27"/>
    </row>
    <row r="12946">
      <c r="A12946" s="38"/>
      <c r="B12946" s="39"/>
      <c r="C12946" s="39"/>
      <c r="D12946" s="39"/>
      <c r="E12946" s="27"/>
      <c r="F12946" s="27"/>
      <c r="G12946" s="27"/>
      <c r="H12946" s="27"/>
      <c r="I12946" s="27"/>
      <c r="J12946" s="27"/>
      <c r="K12946" s="27"/>
      <c r="L12946" s="27"/>
      <c r="M12946" s="28"/>
      <c r="N12946" s="28"/>
      <c r="O12946" s="27"/>
      <c r="P12946" s="27"/>
    </row>
    <row r="12947">
      <c r="A12947" s="38"/>
      <c r="B12947" s="39"/>
      <c r="C12947" s="39"/>
      <c r="D12947" s="39"/>
      <c r="E12947" s="27"/>
      <c r="F12947" s="27"/>
      <c r="G12947" s="27"/>
      <c r="H12947" s="27"/>
      <c r="I12947" s="27"/>
      <c r="J12947" s="27"/>
      <c r="K12947" s="27"/>
      <c r="L12947" s="27"/>
      <c r="M12947" s="28"/>
      <c r="N12947" s="28"/>
      <c r="O12947" s="27"/>
      <c r="P12947" s="27"/>
    </row>
    <row r="12948">
      <c r="A12948" s="38"/>
      <c r="B12948" s="39"/>
      <c r="C12948" s="39"/>
      <c r="D12948" s="39"/>
      <c r="E12948" s="27"/>
      <c r="F12948" s="27"/>
      <c r="G12948" s="27"/>
      <c r="H12948" s="27"/>
      <c r="I12948" s="27"/>
      <c r="J12948" s="27"/>
      <c r="K12948" s="27"/>
      <c r="L12948" s="27"/>
      <c r="M12948" s="28"/>
      <c r="N12948" s="28"/>
      <c r="O12948" s="27"/>
      <c r="P12948" s="27"/>
    </row>
    <row r="12949">
      <c r="A12949" s="38"/>
      <c r="B12949" s="39"/>
      <c r="C12949" s="39"/>
      <c r="D12949" s="39"/>
      <c r="E12949" s="27"/>
      <c r="F12949" s="27"/>
      <c r="G12949" s="27"/>
      <c r="H12949" s="27"/>
      <c r="I12949" s="27"/>
      <c r="J12949" s="27"/>
      <c r="K12949" s="27"/>
      <c r="L12949" s="27"/>
      <c r="M12949" s="28"/>
      <c r="N12949" s="28"/>
      <c r="O12949" s="27"/>
      <c r="P12949" s="27"/>
    </row>
    <row r="12950">
      <c r="A12950" s="38"/>
      <c r="B12950" s="39"/>
      <c r="C12950" s="39"/>
      <c r="D12950" s="39"/>
      <c r="E12950" s="27"/>
      <c r="F12950" s="27"/>
      <c r="G12950" s="27"/>
      <c r="H12950" s="27"/>
      <c r="I12950" s="27"/>
      <c r="J12950" s="27"/>
      <c r="K12950" s="27"/>
      <c r="L12950" s="27"/>
      <c r="M12950" s="28"/>
      <c r="N12950" s="28"/>
      <c r="O12950" s="27"/>
      <c r="P12950" s="27"/>
    </row>
    <row r="12951">
      <c r="A12951" s="38"/>
      <c r="B12951" s="39"/>
      <c r="C12951" s="39"/>
      <c r="D12951" s="39"/>
      <c r="E12951" s="27"/>
      <c r="F12951" s="27"/>
      <c r="G12951" s="27"/>
      <c r="H12951" s="27"/>
      <c r="I12951" s="27"/>
      <c r="J12951" s="27"/>
      <c r="K12951" s="27"/>
      <c r="L12951" s="27"/>
      <c r="M12951" s="28"/>
      <c r="N12951" s="28"/>
      <c r="O12951" s="27"/>
      <c r="P12951" s="27"/>
    </row>
    <row r="12952">
      <c r="A12952" s="38"/>
      <c r="B12952" s="39"/>
      <c r="C12952" s="39"/>
      <c r="D12952" s="39"/>
      <c r="E12952" s="27"/>
      <c r="F12952" s="27"/>
      <c r="G12952" s="27"/>
      <c r="H12952" s="27"/>
      <c r="I12952" s="27"/>
      <c r="J12952" s="27"/>
      <c r="K12952" s="27"/>
      <c r="L12952" s="27"/>
      <c r="M12952" s="28"/>
      <c r="N12952" s="28"/>
      <c r="O12952" s="27"/>
      <c r="P12952" s="27"/>
    </row>
    <row r="12953">
      <c r="A12953" s="38"/>
      <c r="B12953" s="39"/>
      <c r="C12953" s="39"/>
      <c r="D12953" s="39"/>
      <c r="E12953" s="27"/>
      <c r="F12953" s="27"/>
      <c r="G12953" s="27"/>
      <c r="H12953" s="27"/>
      <c r="I12953" s="27"/>
      <c r="J12953" s="27"/>
      <c r="K12953" s="27"/>
      <c r="L12953" s="27"/>
      <c r="M12953" s="28"/>
      <c r="N12953" s="28"/>
      <c r="O12953" s="27"/>
      <c r="P12953" s="27"/>
    </row>
    <row r="12954">
      <c r="A12954" s="38"/>
      <c r="B12954" s="39"/>
      <c r="C12954" s="39"/>
      <c r="D12954" s="39"/>
      <c r="E12954" s="27"/>
      <c r="F12954" s="27"/>
      <c r="G12954" s="27"/>
      <c r="H12954" s="27"/>
      <c r="I12954" s="27"/>
      <c r="J12954" s="27"/>
      <c r="K12954" s="27"/>
      <c r="L12954" s="27"/>
      <c r="M12954" s="28"/>
      <c r="N12954" s="28"/>
      <c r="O12954" s="27"/>
      <c r="P12954" s="27"/>
    </row>
    <row r="12955">
      <c r="A12955" s="38"/>
      <c r="B12955" s="39"/>
      <c r="C12955" s="39"/>
      <c r="D12955" s="39"/>
      <c r="E12955" s="27"/>
      <c r="F12955" s="27"/>
      <c r="G12955" s="27"/>
      <c r="H12955" s="27"/>
      <c r="I12955" s="27"/>
      <c r="J12955" s="27"/>
      <c r="K12955" s="27"/>
      <c r="L12955" s="27"/>
      <c r="M12955" s="28"/>
      <c r="N12955" s="28"/>
      <c r="O12955" s="27"/>
      <c r="P12955" s="27"/>
    </row>
    <row r="12956">
      <c r="A12956" s="38"/>
      <c r="B12956" s="39"/>
      <c r="C12956" s="39"/>
      <c r="D12956" s="39"/>
      <c r="E12956" s="27"/>
      <c r="F12956" s="27"/>
      <c r="G12956" s="27"/>
      <c r="H12956" s="27"/>
      <c r="I12956" s="27"/>
      <c r="J12956" s="27"/>
      <c r="K12956" s="27"/>
      <c r="L12956" s="27"/>
      <c r="M12956" s="28"/>
      <c r="N12956" s="28"/>
      <c r="O12956" s="27"/>
      <c r="P12956" s="27"/>
    </row>
    <row r="12957">
      <c r="A12957" s="38"/>
      <c r="B12957" s="39"/>
      <c r="C12957" s="39"/>
      <c r="D12957" s="39"/>
      <c r="E12957" s="27"/>
      <c r="F12957" s="27"/>
      <c r="G12957" s="27"/>
      <c r="H12957" s="27"/>
      <c r="I12957" s="27"/>
      <c r="J12957" s="27"/>
      <c r="K12957" s="27"/>
      <c r="L12957" s="27"/>
      <c r="M12957" s="28"/>
      <c r="N12957" s="28"/>
      <c r="O12957" s="27"/>
      <c r="P12957" s="27"/>
    </row>
    <row r="12958">
      <c r="A12958" s="38"/>
      <c r="B12958" s="39"/>
      <c r="C12958" s="39"/>
      <c r="D12958" s="39"/>
      <c r="E12958" s="27"/>
      <c r="F12958" s="27"/>
      <c r="G12958" s="27"/>
      <c r="H12958" s="27"/>
      <c r="I12958" s="27"/>
      <c r="J12958" s="27"/>
      <c r="K12958" s="27"/>
      <c r="L12958" s="27"/>
      <c r="M12958" s="28"/>
      <c r="N12958" s="28"/>
      <c r="O12958" s="27"/>
      <c r="P12958" s="27"/>
    </row>
    <row r="12959">
      <c r="A12959" s="38"/>
      <c r="B12959" s="39"/>
      <c r="C12959" s="39"/>
      <c r="D12959" s="39"/>
      <c r="E12959" s="27"/>
      <c r="F12959" s="27"/>
      <c r="G12959" s="27"/>
      <c r="H12959" s="27"/>
      <c r="I12959" s="27"/>
      <c r="J12959" s="27"/>
      <c r="K12959" s="27"/>
      <c r="L12959" s="27"/>
      <c r="M12959" s="28"/>
      <c r="N12959" s="28"/>
      <c r="O12959" s="27"/>
      <c r="P12959" s="27"/>
    </row>
    <row r="12960">
      <c r="A12960" s="38"/>
      <c r="B12960" s="39"/>
      <c r="C12960" s="39"/>
      <c r="D12960" s="39"/>
      <c r="E12960" s="27"/>
      <c r="F12960" s="27"/>
      <c r="G12960" s="27"/>
      <c r="H12960" s="27"/>
      <c r="I12960" s="27"/>
      <c r="J12960" s="27"/>
      <c r="K12960" s="27"/>
      <c r="L12960" s="27"/>
      <c r="M12960" s="28"/>
      <c r="N12960" s="28"/>
      <c r="O12960" s="27"/>
      <c r="P12960" s="27"/>
    </row>
    <row r="12961">
      <c r="A12961" s="38"/>
      <c r="B12961" s="39"/>
      <c r="C12961" s="39"/>
      <c r="D12961" s="39"/>
      <c r="E12961" s="27"/>
      <c r="F12961" s="27"/>
      <c r="G12961" s="27"/>
      <c r="H12961" s="27"/>
      <c r="I12961" s="27"/>
      <c r="J12961" s="27"/>
      <c r="K12961" s="27"/>
      <c r="L12961" s="27"/>
      <c r="M12961" s="28"/>
      <c r="N12961" s="28"/>
      <c r="O12961" s="27"/>
      <c r="P12961" s="27"/>
    </row>
    <row r="12962">
      <c r="A12962" s="38"/>
      <c r="B12962" s="39"/>
      <c r="C12962" s="39"/>
      <c r="D12962" s="39"/>
      <c r="E12962" s="27"/>
      <c r="F12962" s="27"/>
      <c r="G12962" s="27"/>
      <c r="H12962" s="27"/>
      <c r="I12962" s="27"/>
      <c r="J12962" s="27"/>
      <c r="K12962" s="27"/>
      <c r="L12962" s="27"/>
      <c r="M12962" s="28"/>
      <c r="N12962" s="28"/>
      <c r="O12962" s="27"/>
      <c r="P12962" s="27"/>
    </row>
    <row r="12963">
      <c r="A12963" s="38"/>
      <c r="B12963" s="39"/>
      <c r="C12963" s="39"/>
      <c r="D12963" s="39"/>
      <c r="E12963" s="27"/>
      <c r="F12963" s="27"/>
      <c r="G12963" s="27"/>
      <c r="H12963" s="27"/>
      <c r="I12963" s="27"/>
      <c r="J12963" s="27"/>
      <c r="K12963" s="27"/>
      <c r="L12963" s="27"/>
      <c r="M12963" s="28"/>
      <c r="N12963" s="28"/>
      <c r="O12963" s="27"/>
      <c r="P12963" s="27"/>
    </row>
    <row r="12964">
      <c r="A12964" s="38"/>
      <c r="B12964" s="39"/>
      <c r="C12964" s="39"/>
      <c r="D12964" s="39"/>
      <c r="E12964" s="27"/>
      <c r="F12964" s="27"/>
      <c r="G12964" s="27"/>
      <c r="H12964" s="27"/>
      <c r="I12964" s="27"/>
      <c r="J12964" s="27"/>
      <c r="K12964" s="27"/>
      <c r="L12964" s="27"/>
      <c r="M12964" s="28"/>
      <c r="N12964" s="28"/>
      <c r="O12964" s="27"/>
      <c r="P12964" s="27"/>
    </row>
    <row r="12965">
      <c r="A12965" s="38"/>
      <c r="B12965" s="39"/>
      <c r="C12965" s="39"/>
      <c r="D12965" s="39"/>
      <c r="E12965" s="27"/>
      <c r="F12965" s="27"/>
      <c r="G12965" s="27"/>
      <c r="H12965" s="27"/>
      <c r="I12965" s="27"/>
      <c r="J12965" s="27"/>
      <c r="K12965" s="27"/>
      <c r="L12965" s="27"/>
      <c r="M12965" s="28"/>
      <c r="N12965" s="28"/>
      <c r="O12965" s="27"/>
      <c r="P12965" s="27"/>
    </row>
    <row r="12966">
      <c r="A12966" s="38"/>
      <c r="B12966" s="39"/>
      <c r="C12966" s="39"/>
      <c r="D12966" s="39"/>
      <c r="E12966" s="27"/>
      <c r="F12966" s="27"/>
      <c r="G12966" s="27"/>
      <c r="H12966" s="27"/>
      <c r="I12966" s="27"/>
      <c r="J12966" s="27"/>
      <c r="K12966" s="27"/>
      <c r="L12966" s="27"/>
      <c r="M12966" s="28"/>
      <c r="N12966" s="28"/>
      <c r="O12966" s="27"/>
      <c r="P12966" s="27"/>
    </row>
    <row r="12967">
      <c r="A12967" s="38"/>
      <c r="B12967" s="39"/>
      <c r="C12967" s="39"/>
      <c r="D12967" s="39"/>
      <c r="E12967" s="27"/>
      <c r="F12967" s="27"/>
      <c r="G12967" s="27"/>
      <c r="H12967" s="27"/>
      <c r="I12967" s="27"/>
      <c r="J12967" s="27"/>
      <c r="K12967" s="27"/>
      <c r="L12967" s="27"/>
      <c r="M12967" s="28"/>
      <c r="N12967" s="28"/>
      <c r="O12967" s="27"/>
      <c r="P12967" s="27"/>
    </row>
    <row r="12968">
      <c r="A12968" s="38"/>
      <c r="B12968" s="39"/>
      <c r="C12968" s="39"/>
      <c r="D12968" s="39"/>
      <c r="E12968" s="27"/>
      <c r="F12968" s="27"/>
      <c r="G12968" s="27"/>
      <c r="H12968" s="27"/>
      <c r="I12968" s="27"/>
      <c r="J12968" s="27"/>
      <c r="K12968" s="27"/>
      <c r="L12968" s="27"/>
      <c r="M12968" s="28"/>
      <c r="N12968" s="28"/>
      <c r="O12968" s="27"/>
      <c r="P12968" s="27"/>
    </row>
    <row r="12969">
      <c r="A12969" s="38"/>
      <c r="B12969" s="39"/>
      <c r="C12969" s="39"/>
      <c r="D12969" s="39"/>
      <c r="E12969" s="27"/>
      <c r="F12969" s="27"/>
      <c r="G12969" s="27"/>
      <c r="H12969" s="27"/>
      <c r="I12969" s="27"/>
      <c r="J12969" s="27"/>
      <c r="K12969" s="27"/>
      <c r="L12969" s="27"/>
      <c r="M12969" s="28"/>
      <c r="N12969" s="28"/>
      <c r="O12969" s="27"/>
      <c r="P12969" s="27"/>
    </row>
    <row r="12970">
      <c r="A12970" s="38"/>
      <c r="B12970" s="39"/>
      <c r="C12970" s="39"/>
      <c r="D12970" s="39"/>
      <c r="E12970" s="27"/>
      <c r="F12970" s="27"/>
      <c r="G12970" s="27"/>
      <c r="H12970" s="27"/>
      <c r="I12970" s="27"/>
      <c r="J12970" s="27"/>
      <c r="K12970" s="27"/>
      <c r="L12970" s="27"/>
      <c r="M12970" s="28"/>
      <c r="N12970" s="28"/>
      <c r="O12970" s="27"/>
      <c r="P12970" s="27"/>
    </row>
    <row r="12971">
      <c r="A12971" s="38"/>
      <c r="B12971" s="39"/>
      <c r="C12971" s="39"/>
      <c r="D12971" s="39"/>
      <c r="E12971" s="27"/>
      <c r="F12971" s="27"/>
      <c r="G12971" s="27"/>
      <c r="H12971" s="27"/>
      <c r="I12971" s="27"/>
      <c r="J12971" s="27"/>
      <c r="K12971" s="27"/>
      <c r="L12971" s="27"/>
      <c r="M12971" s="28"/>
      <c r="N12971" s="28"/>
      <c r="O12971" s="27"/>
      <c r="P12971" s="27"/>
    </row>
    <row r="12972">
      <c r="A12972" s="38"/>
      <c r="B12972" s="39"/>
      <c r="C12972" s="39"/>
      <c r="D12972" s="39"/>
      <c r="E12972" s="27"/>
      <c r="F12972" s="27"/>
      <c r="G12972" s="27"/>
      <c r="H12972" s="27"/>
      <c r="I12972" s="27"/>
      <c r="J12972" s="27"/>
      <c r="K12972" s="27"/>
      <c r="L12972" s="27"/>
      <c r="M12972" s="28"/>
      <c r="N12972" s="28"/>
      <c r="O12972" s="27"/>
      <c r="P12972" s="27"/>
    </row>
    <row r="12973">
      <c r="A12973" s="38"/>
      <c r="B12973" s="39"/>
      <c r="C12973" s="39"/>
      <c r="D12973" s="39"/>
      <c r="E12973" s="27"/>
      <c r="F12973" s="27"/>
      <c r="G12973" s="27"/>
      <c r="H12973" s="27"/>
      <c r="I12973" s="27"/>
      <c r="J12973" s="27"/>
      <c r="K12973" s="27"/>
      <c r="L12973" s="27"/>
      <c r="M12973" s="28"/>
      <c r="N12973" s="28"/>
      <c r="O12973" s="27"/>
      <c r="P12973" s="27"/>
    </row>
    <row r="12974">
      <c r="A12974" s="38"/>
      <c r="B12974" s="39"/>
      <c r="C12974" s="39"/>
      <c r="D12974" s="39"/>
      <c r="E12974" s="27"/>
      <c r="F12974" s="27"/>
      <c r="G12974" s="27"/>
      <c r="H12974" s="27"/>
      <c r="I12974" s="27"/>
      <c r="J12974" s="27"/>
      <c r="K12974" s="27"/>
      <c r="L12974" s="27"/>
      <c r="M12974" s="28"/>
      <c r="N12974" s="28"/>
      <c r="O12974" s="27"/>
      <c r="P12974" s="27"/>
    </row>
    <row r="12975">
      <c r="A12975" s="38"/>
      <c r="B12975" s="39"/>
      <c r="C12975" s="39"/>
      <c r="D12975" s="39"/>
      <c r="E12975" s="27"/>
      <c r="F12975" s="27"/>
      <c r="G12975" s="27"/>
      <c r="H12975" s="27"/>
      <c r="I12975" s="27"/>
      <c r="J12975" s="27"/>
      <c r="K12975" s="27"/>
      <c r="L12975" s="27"/>
      <c r="M12975" s="28"/>
      <c r="N12975" s="28"/>
      <c r="O12975" s="27"/>
      <c r="P12975" s="27"/>
    </row>
    <row r="12976">
      <c r="A12976" s="38"/>
      <c r="B12976" s="39"/>
      <c r="C12976" s="39"/>
      <c r="D12976" s="39"/>
      <c r="E12976" s="27"/>
      <c r="F12976" s="27"/>
      <c r="G12976" s="27"/>
      <c r="H12976" s="27"/>
      <c r="I12976" s="27"/>
      <c r="J12976" s="27"/>
      <c r="K12976" s="27"/>
      <c r="L12976" s="27"/>
      <c r="M12976" s="28"/>
      <c r="N12976" s="28"/>
      <c r="O12976" s="27"/>
      <c r="P12976" s="27"/>
    </row>
    <row r="12977">
      <c r="A12977" s="38"/>
      <c r="B12977" s="39"/>
      <c r="C12977" s="39"/>
      <c r="D12977" s="39"/>
      <c r="E12977" s="27"/>
      <c r="F12977" s="27"/>
      <c r="G12977" s="27"/>
      <c r="H12977" s="27"/>
      <c r="I12977" s="27"/>
      <c r="J12977" s="27"/>
      <c r="K12977" s="27"/>
      <c r="L12977" s="27"/>
      <c r="M12977" s="28"/>
      <c r="N12977" s="28"/>
      <c r="O12977" s="27"/>
      <c r="P12977" s="27"/>
    </row>
    <row r="12978">
      <c r="A12978" s="38"/>
      <c r="B12978" s="39"/>
      <c r="C12978" s="39"/>
      <c r="D12978" s="39"/>
      <c r="E12978" s="27"/>
      <c r="F12978" s="27"/>
      <c r="G12978" s="27"/>
      <c r="H12978" s="27"/>
      <c r="I12978" s="27"/>
      <c r="J12978" s="27"/>
      <c r="K12978" s="27"/>
      <c r="L12978" s="27"/>
      <c r="M12978" s="28"/>
      <c r="N12978" s="28"/>
      <c r="O12978" s="27"/>
      <c r="P12978" s="27"/>
    </row>
    <row r="12979">
      <c r="A12979" s="38"/>
      <c r="B12979" s="39"/>
      <c r="C12979" s="39"/>
      <c r="D12979" s="39"/>
      <c r="E12979" s="27"/>
      <c r="F12979" s="27"/>
      <c r="G12979" s="27"/>
      <c r="H12979" s="27"/>
      <c r="I12979" s="27"/>
      <c r="J12979" s="27"/>
      <c r="K12979" s="27"/>
      <c r="L12979" s="27"/>
      <c r="M12979" s="28"/>
      <c r="N12979" s="28"/>
      <c r="O12979" s="27"/>
      <c r="P12979" s="27"/>
    </row>
    <row r="12980">
      <c r="A12980" s="38"/>
      <c r="B12980" s="39"/>
      <c r="C12980" s="39"/>
      <c r="D12980" s="39"/>
      <c r="E12980" s="27"/>
      <c r="F12980" s="27"/>
      <c r="G12980" s="27"/>
      <c r="H12980" s="27"/>
      <c r="I12980" s="27"/>
      <c r="J12980" s="27"/>
      <c r="K12980" s="27"/>
      <c r="L12980" s="27"/>
      <c r="M12980" s="28"/>
      <c r="N12980" s="28"/>
      <c r="O12980" s="27"/>
      <c r="P12980" s="27"/>
    </row>
    <row r="12981">
      <c r="A12981" s="38"/>
      <c r="B12981" s="39"/>
      <c r="C12981" s="39"/>
      <c r="D12981" s="39"/>
      <c r="E12981" s="27"/>
      <c r="F12981" s="27"/>
      <c r="G12981" s="27"/>
      <c r="H12981" s="27"/>
      <c r="I12981" s="27"/>
      <c r="J12981" s="27"/>
      <c r="K12981" s="27"/>
      <c r="L12981" s="27"/>
      <c r="M12981" s="28"/>
      <c r="N12981" s="28"/>
      <c r="O12981" s="27"/>
      <c r="P12981" s="27"/>
    </row>
    <row r="12982">
      <c r="A12982" s="38"/>
      <c r="B12982" s="39"/>
      <c r="C12982" s="39"/>
      <c r="D12982" s="39"/>
      <c r="E12982" s="27"/>
      <c r="F12982" s="27"/>
      <c r="G12982" s="27"/>
      <c r="H12982" s="27"/>
      <c r="I12982" s="27"/>
      <c r="J12982" s="27"/>
      <c r="K12982" s="27"/>
      <c r="L12982" s="27"/>
      <c r="M12982" s="28"/>
      <c r="N12982" s="28"/>
      <c r="O12982" s="27"/>
      <c r="P12982" s="27"/>
    </row>
    <row r="12983">
      <c r="A12983" s="38"/>
      <c r="B12983" s="39"/>
      <c r="C12983" s="39"/>
      <c r="D12983" s="39"/>
      <c r="E12983" s="27"/>
      <c r="F12983" s="27"/>
      <c r="G12983" s="27"/>
      <c r="H12983" s="27"/>
      <c r="I12983" s="27"/>
      <c r="J12983" s="27"/>
      <c r="K12983" s="27"/>
      <c r="L12983" s="27"/>
      <c r="M12983" s="28"/>
      <c r="N12983" s="28"/>
      <c r="O12983" s="27"/>
      <c r="P12983" s="27"/>
    </row>
    <row r="12984">
      <c r="A12984" s="38"/>
      <c r="B12984" s="39"/>
      <c r="C12984" s="39"/>
      <c r="D12984" s="39"/>
      <c r="E12984" s="27"/>
      <c r="F12984" s="27"/>
      <c r="G12984" s="27"/>
      <c r="H12984" s="27"/>
      <c r="I12984" s="27"/>
      <c r="J12984" s="27"/>
      <c r="K12984" s="27"/>
      <c r="L12984" s="27"/>
      <c r="M12984" s="28"/>
      <c r="N12984" s="28"/>
      <c r="O12984" s="27"/>
      <c r="P12984" s="27"/>
    </row>
    <row r="12985">
      <c r="A12985" s="38"/>
      <c r="B12985" s="39"/>
      <c r="C12985" s="39"/>
      <c r="D12985" s="39"/>
      <c r="E12985" s="27"/>
      <c r="F12985" s="27"/>
      <c r="G12985" s="27"/>
      <c r="H12985" s="27"/>
      <c r="I12985" s="27"/>
      <c r="J12985" s="27"/>
      <c r="K12985" s="27"/>
      <c r="L12985" s="27"/>
      <c r="M12985" s="28"/>
      <c r="N12985" s="28"/>
      <c r="O12985" s="27"/>
      <c r="P12985" s="27"/>
    </row>
    <row r="12986">
      <c r="A12986" s="38"/>
      <c r="B12986" s="39"/>
      <c r="C12986" s="39"/>
      <c r="D12986" s="39"/>
      <c r="E12986" s="27"/>
      <c r="F12986" s="27"/>
      <c r="G12986" s="27"/>
      <c r="H12986" s="27"/>
      <c r="I12986" s="27"/>
      <c r="J12986" s="27"/>
      <c r="K12986" s="27"/>
      <c r="L12986" s="27"/>
      <c r="M12986" s="28"/>
      <c r="N12986" s="28"/>
      <c r="O12986" s="27"/>
      <c r="P12986" s="27"/>
    </row>
    <row r="12987">
      <c r="A12987" s="38"/>
      <c r="B12987" s="39"/>
      <c r="C12987" s="39"/>
      <c r="D12987" s="39"/>
      <c r="E12987" s="27"/>
      <c r="F12987" s="27"/>
      <c r="G12987" s="27"/>
      <c r="H12987" s="27"/>
      <c r="I12987" s="27"/>
      <c r="J12987" s="27"/>
      <c r="K12987" s="27"/>
      <c r="L12987" s="27"/>
      <c r="M12987" s="28"/>
      <c r="N12987" s="28"/>
      <c r="O12987" s="27"/>
      <c r="P12987" s="27"/>
    </row>
    <row r="12988">
      <c r="A12988" s="38"/>
      <c r="B12988" s="39"/>
      <c r="C12988" s="39"/>
      <c r="D12988" s="39"/>
      <c r="E12988" s="27"/>
      <c r="F12988" s="27"/>
      <c r="G12988" s="27"/>
      <c r="H12988" s="27"/>
      <c r="I12988" s="27"/>
      <c r="J12988" s="27"/>
      <c r="K12988" s="27"/>
      <c r="L12988" s="27"/>
      <c r="M12988" s="28"/>
      <c r="N12988" s="28"/>
      <c r="O12988" s="27"/>
      <c r="P12988" s="27"/>
    </row>
    <row r="12989">
      <c r="A12989" s="38"/>
      <c r="B12989" s="39"/>
      <c r="C12989" s="39"/>
      <c r="D12989" s="39"/>
      <c r="E12989" s="27"/>
      <c r="F12989" s="27"/>
      <c r="G12989" s="27"/>
      <c r="H12989" s="27"/>
      <c r="I12989" s="27"/>
      <c r="J12989" s="27"/>
      <c r="K12989" s="27"/>
      <c r="L12989" s="27"/>
      <c r="M12989" s="28"/>
      <c r="N12989" s="28"/>
      <c r="O12989" s="27"/>
      <c r="P12989" s="27"/>
    </row>
    <row r="12990">
      <c r="A12990" s="38"/>
      <c r="B12990" s="39"/>
      <c r="C12990" s="39"/>
      <c r="D12990" s="39"/>
      <c r="E12990" s="27"/>
      <c r="F12990" s="27"/>
      <c r="G12990" s="27"/>
      <c r="H12990" s="27"/>
      <c r="I12990" s="27"/>
      <c r="J12990" s="27"/>
      <c r="K12990" s="27"/>
      <c r="L12990" s="27"/>
      <c r="M12990" s="28"/>
      <c r="N12990" s="28"/>
      <c r="O12990" s="27"/>
      <c r="P12990" s="27"/>
    </row>
    <row r="12991">
      <c r="A12991" s="38"/>
      <c r="B12991" s="39"/>
      <c r="C12991" s="39"/>
      <c r="D12991" s="39"/>
      <c r="E12991" s="27"/>
      <c r="F12991" s="27"/>
      <c r="G12991" s="27"/>
      <c r="H12991" s="27"/>
      <c r="I12991" s="27"/>
      <c r="J12991" s="27"/>
      <c r="K12991" s="27"/>
      <c r="L12991" s="27"/>
      <c r="M12991" s="28"/>
      <c r="N12991" s="28"/>
      <c r="O12991" s="27"/>
      <c r="P12991" s="27"/>
    </row>
    <row r="12992">
      <c r="A12992" s="38"/>
      <c r="B12992" s="39"/>
      <c r="C12992" s="39"/>
      <c r="D12992" s="39"/>
      <c r="E12992" s="27"/>
      <c r="F12992" s="27"/>
      <c r="G12992" s="27"/>
      <c r="H12992" s="27"/>
      <c r="I12992" s="27"/>
      <c r="J12992" s="27"/>
      <c r="K12992" s="27"/>
      <c r="L12992" s="27"/>
      <c r="M12992" s="28"/>
      <c r="N12992" s="28"/>
      <c r="O12992" s="27"/>
      <c r="P12992" s="27"/>
    </row>
    <row r="12993">
      <c r="A12993" s="38"/>
      <c r="B12993" s="39"/>
      <c r="C12993" s="39"/>
      <c r="D12993" s="39"/>
      <c r="E12993" s="27"/>
      <c r="F12993" s="27"/>
      <c r="G12993" s="27"/>
      <c r="H12993" s="27"/>
      <c r="I12993" s="27"/>
      <c r="J12993" s="27"/>
      <c r="K12993" s="27"/>
      <c r="L12993" s="27"/>
      <c r="M12993" s="28"/>
      <c r="N12993" s="28"/>
      <c r="O12993" s="27"/>
      <c r="P12993" s="27"/>
    </row>
    <row r="12994">
      <c r="A12994" s="38"/>
      <c r="B12994" s="39"/>
      <c r="C12994" s="39"/>
      <c r="D12994" s="39"/>
      <c r="E12994" s="27"/>
      <c r="F12994" s="27"/>
      <c r="G12994" s="27"/>
      <c r="H12994" s="27"/>
      <c r="I12994" s="27"/>
      <c r="J12994" s="27"/>
      <c r="K12994" s="27"/>
      <c r="L12994" s="27"/>
      <c r="M12994" s="28"/>
      <c r="N12994" s="28"/>
      <c r="O12994" s="27"/>
      <c r="P12994" s="27"/>
    </row>
    <row r="12995">
      <c r="A12995" s="38"/>
      <c r="B12995" s="39"/>
      <c r="C12995" s="39"/>
      <c r="D12995" s="39"/>
      <c r="E12995" s="27"/>
      <c r="F12995" s="27"/>
      <c r="G12995" s="27"/>
      <c r="H12995" s="27"/>
      <c r="I12995" s="27"/>
      <c r="J12995" s="27"/>
      <c r="K12995" s="27"/>
      <c r="L12995" s="27"/>
      <c r="M12995" s="28"/>
      <c r="N12995" s="28"/>
      <c r="O12995" s="27"/>
      <c r="P12995" s="27"/>
    </row>
    <row r="12996">
      <c r="A12996" s="38"/>
      <c r="B12996" s="39"/>
      <c r="C12996" s="39"/>
      <c r="D12996" s="39"/>
      <c r="E12996" s="27"/>
      <c r="F12996" s="27"/>
      <c r="G12996" s="27"/>
      <c r="H12996" s="27"/>
      <c r="I12996" s="27"/>
      <c r="J12996" s="27"/>
      <c r="K12996" s="27"/>
      <c r="L12996" s="27"/>
      <c r="M12996" s="28"/>
      <c r="N12996" s="28"/>
      <c r="O12996" s="27"/>
      <c r="P12996" s="27"/>
    </row>
    <row r="12997">
      <c r="A12997" s="38"/>
      <c r="B12997" s="39"/>
      <c r="C12997" s="39"/>
      <c r="D12997" s="39"/>
      <c r="E12997" s="27"/>
      <c r="F12997" s="27"/>
      <c r="G12997" s="27"/>
      <c r="H12997" s="27"/>
      <c r="I12997" s="27"/>
      <c r="J12997" s="27"/>
      <c r="K12997" s="27"/>
      <c r="L12997" s="27"/>
      <c r="M12997" s="28"/>
      <c r="N12997" s="28"/>
      <c r="O12997" s="27"/>
      <c r="P12997" s="27"/>
    </row>
    <row r="12998">
      <c r="A12998" s="38"/>
      <c r="B12998" s="39"/>
      <c r="C12998" s="39"/>
      <c r="D12998" s="39"/>
      <c r="E12998" s="27"/>
      <c r="F12998" s="27"/>
      <c r="G12998" s="27"/>
      <c r="H12998" s="27"/>
      <c r="I12998" s="27"/>
      <c r="J12998" s="27"/>
      <c r="K12998" s="27"/>
      <c r="L12998" s="27"/>
      <c r="M12998" s="28"/>
      <c r="N12998" s="28"/>
      <c r="O12998" s="27"/>
      <c r="P12998" s="27"/>
    </row>
    <row r="12999">
      <c r="A12999" s="38"/>
      <c r="B12999" s="39"/>
      <c r="C12999" s="39"/>
      <c r="D12999" s="39"/>
      <c r="E12999" s="27"/>
      <c r="F12999" s="27"/>
      <c r="G12999" s="27"/>
      <c r="H12999" s="27"/>
      <c r="I12999" s="27"/>
      <c r="J12999" s="27"/>
      <c r="K12999" s="27"/>
      <c r="L12999" s="27"/>
      <c r="M12999" s="28"/>
      <c r="N12999" s="28"/>
      <c r="O12999" s="27"/>
      <c r="P12999" s="27"/>
    </row>
    <row r="13000">
      <c r="A13000" s="38"/>
      <c r="B13000" s="39"/>
      <c r="C13000" s="39"/>
      <c r="D13000" s="39"/>
      <c r="E13000" s="27"/>
      <c r="F13000" s="27"/>
      <c r="G13000" s="27"/>
      <c r="H13000" s="27"/>
      <c r="I13000" s="27"/>
      <c r="J13000" s="27"/>
      <c r="K13000" s="27"/>
      <c r="L13000" s="27"/>
      <c r="M13000" s="28"/>
      <c r="N13000" s="28"/>
      <c r="O13000" s="27"/>
      <c r="P13000" s="27"/>
    </row>
    <row r="13001">
      <c r="A13001" s="38"/>
      <c r="B13001" s="39"/>
      <c r="C13001" s="39"/>
      <c r="D13001" s="39"/>
      <c r="E13001" s="27"/>
      <c r="F13001" s="27"/>
      <c r="G13001" s="27"/>
      <c r="H13001" s="27"/>
      <c r="I13001" s="27"/>
      <c r="J13001" s="27"/>
      <c r="K13001" s="27"/>
      <c r="L13001" s="27"/>
      <c r="M13001" s="28"/>
      <c r="N13001" s="28"/>
      <c r="O13001" s="27"/>
      <c r="P13001" s="27"/>
    </row>
    <row r="13002">
      <c r="A13002" s="38"/>
      <c r="B13002" s="39"/>
      <c r="C13002" s="39"/>
      <c r="D13002" s="39"/>
      <c r="E13002" s="27"/>
      <c r="F13002" s="27"/>
      <c r="G13002" s="27"/>
      <c r="H13002" s="27"/>
      <c r="I13002" s="27"/>
      <c r="J13002" s="27"/>
      <c r="K13002" s="27"/>
      <c r="L13002" s="27"/>
      <c r="M13002" s="28"/>
      <c r="N13002" s="28"/>
      <c r="O13002" s="27"/>
      <c r="P13002" s="27"/>
    </row>
    <row r="13003">
      <c r="A13003" s="38"/>
      <c r="B13003" s="39"/>
      <c r="C13003" s="39"/>
      <c r="D13003" s="39"/>
      <c r="E13003" s="27"/>
      <c r="F13003" s="27"/>
      <c r="G13003" s="27"/>
      <c r="H13003" s="27"/>
      <c r="I13003" s="27"/>
      <c r="J13003" s="27"/>
      <c r="K13003" s="27"/>
      <c r="L13003" s="27"/>
      <c r="M13003" s="28"/>
      <c r="N13003" s="28"/>
      <c r="O13003" s="27"/>
      <c r="P13003" s="27"/>
    </row>
    <row r="13004">
      <c r="A13004" s="38"/>
      <c r="B13004" s="39"/>
      <c r="C13004" s="39"/>
      <c r="D13004" s="39"/>
      <c r="E13004" s="27"/>
      <c r="F13004" s="27"/>
      <c r="G13004" s="27"/>
      <c r="H13004" s="27"/>
      <c r="I13004" s="27"/>
      <c r="J13004" s="27"/>
      <c r="K13004" s="27"/>
      <c r="L13004" s="27"/>
      <c r="M13004" s="28"/>
      <c r="N13004" s="28"/>
      <c r="O13004" s="27"/>
      <c r="P13004" s="27"/>
    </row>
    <row r="13005">
      <c r="A13005" s="38"/>
      <c r="B13005" s="39"/>
      <c r="C13005" s="39"/>
      <c r="D13005" s="39"/>
      <c r="E13005" s="27"/>
      <c r="F13005" s="27"/>
      <c r="G13005" s="27"/>
      <c r="H13005" s="27"/>
      <c r="I13005" s="27"/>
      <c r="J13005" s="27"/>
      <c r="K13005" s="27"/>
      <c r="L13005" s="27"/>
      <c r="M13005" s="28"/>
      <c r="N13005" s="28"/>
      <c r="O13005" s="27"/>
      <c r="P13005" s="27"/>
    </row>
    <row r="13006">
      <c r="A13006" s="38"/>
      <c r="B13006" s="39"/>
      <c r="C13006" s="39"/>
      <c r="D13006" s="39"/>
      <c r="E13006" s="27"/>
      <c r="F13006" s="27"/>
      <c r="G13006" s="27"/>
      <c r="H13006" s="27"/>
      <c r="I13006" s="27"/>
      <c r="J13006" s="27"/>
      <c r="K13006" s="27"/>
      <c r="L13006" s="27"/>
      <c r="M13006" s="28"/>
      <c r="N13006" s="28"/>
      <c r="O13006" s="27"/>
      <c r="P13006" s="27"/>
    </row>
    <row r="13007">
      <c r="A13007" s="38"/>
      <c r="B13007" s="39"/>
      <c r="C13007" s="39"/>
      <c r="D13007" s="39"/>
      <c r="E13007" s="27"/>
      <c r="F13007" s="27"/>
      <c r="G13007" s="27"/>
      <c r="H13007" s="27"/>
      <c r="I13007" s="27"/>
      <c r="J13007" s="27"/>
      <c r="K13007" s="27"/>
      <c r="L13007" s="27"/>
      <c r="M13007" s="28"/>
      <c r="N13007" s="28"/>
      <c r="O13007" s="27"/>
      <c r="P13007" s="27"/>
    </row>
    <row r="13008">
      <c r="A13008" s="38"/>
      <c r="B13008" s="39"/>
      <c r="C13008" s="39"/>
      <c r="D13008" s="39"/>
      <c r="E13008" s="27"/>
      <c r="F13008" s="27"/>
      <c r="G13008" s="27"/>
      <c r="H13008" s="27"/>
      <c r="I13008" s="27"/>
      <c r="J13008" s="27"/>
      <c r="K13008" s="27"/>
      <c r="L13008" s="27"/>
      <c r="M13008" s="28"/>
      <c r="N13008" s="28"/>
      <c r="O13008" s="27"/>
      <c r="P13008" s="27"/>
    </row>
    <row r="13009">
      <c r="A13009" s="38"/>
      <c r="B13009" s="39"/>
      <c r="C13009" s="39"/>
      <c r="D13009" s="39"/>
      <c r="E13009" s="27"/>
      <c r="F13009" s="27"/>
      <c r="G13009" s="27"/>
      <c r="H13009" s="27"/>
      <c r="I13009" s="27"/>
      <c r="J13009" s="27"/>
      <c r="K13009" s="27"/>
      <c r="L13009" s="27"/>
      <c r="M13009" s="28"/>
      <c r="N13009" s="28"/>
      <c r="O13009" s="27"/>
      <c r="P13009" s="27"/>
    </row>
    <row r="13010">
      <c r="A13010" s="38"/>
      <c r="B13010" s="39"/>
      <c r="C13010" s="39"/>
      <c r="D13010" s="39"/>
      <c r="E13010" s="27"/>
      <c r="F13010" s="27"/>
      <c r="G13010" s="27"/>
      <c r="H13010" s="27"/>
      <c r="I13010" s="27"/>
      <c r="J13010" s="27"/>
      <c r="K13010" s="27"/>
      <c r="L13010" s="27"/>
      <c r="M13010" s="28"/>
      <c r="N13010" s="28"/>
      <c r="O13010" s="27"/>
      <c r="P13010" s="27"/>
    </row>
    <row r="13011">
      <c r="A13011" s="38"/>
      <c r="B13011" s="39"/>
      <c r="C13011" s="39"/>
      <c r="D13011" s="39"/>
      <c r="E13011" s="27"/>
      <c r="F13011" s="27"/>
      <c r="G13011" s="27"/>
      <c r="H13011" s="27"/>
      <c r="I13011" s="27"/>
      <c r="J13011" s="27"/>
      <c r="K13011" s="27"/>
      <c r="L13011" s="27"/>
      <c r="M13011" s="28"/>
      <c r="N13011" s="28"/>
      <c r="O13011" s="27"/>
      <c r="P13011" s="27"/>
    </row>
    <row r="13012">
      <c r="A13012" s="38"/>
      <c r="B13012" s="39"/>
      <c r="C13012" s="39"/>
      <c r="D13012" s="39"/>
      <c r="E13012" s="27"/>
      <c r="F13012" s="27"/>
      <c r="G13012" s="27"/>
      <c r="H13012" s="27"/>
      <c r="I13012" s="27"/>
      <c r="J13012" s="27"/>
      <c r="K13012" s="27"/>
      <c r="L13012" s="27"/>
      <c r="M13012" s="28"/>
      <c r="N13012" s="28"/>
      <c r="O13012" s="27"/>
      <c r="P13012" s="27"/>
    </row>
    <row r="13013">
      <c r="A13013" s="38"/>
      <c r="B13013" s="39"/>
      <c r="C13013" s="39"/>
      <c r="D13013" s="39"/>
      <c r="E13013" s="27"/>
      <c r="F13013" s="27"/>
      <c r="G13013" s="27"/>
      <c r="H13013" s="27"/>
      <c r="I13013" s="27"/>
      <c r="J13013" s="27"/>
      <c r="K13013" s="27"/>
      <c r="L13013" s="27"/>
      <c r="M13013" s="28"/>
      <c r="N13013" s="28"/>
      <c r="O13013" s="27"/>
      <c r="P13013" s="27"/>
    </row>
    <row r="13014">
      <c r="A13014" s="38"/>
      <c r="B13014" s="39"/>
      <c r="C13014" s="39"/>
      <c r="D13014" s="39"/>
      <c r="E13014" s="27"/>
      <c r="F13014" s="27"/>
      <c r="G13014" s="27"/>
      <c r="H13014" s="27"/>
      <c r="I13014" s="27"/>
      <c r="J13014" s="27"/>
      <c r="K13014" s="27"/>
      <c r="L13014" s="27"/>
      <c r="M13014" s="28"/>
      <c r="N13014" s="28"/>
      <c r="O13014" s="27"/>
      <c r="P13014" s="27"/>
    </row>
    <row r="13015">
      <c r="A13015" s="38"/>
      <c r="B13015" s="39"/>
      <c r="C13015" s="39"/>
      <c r="D13015" s="39"/>
      <c r="E13015" s="27"/>
      <c r="F13015" s="27"/>
      <c r="G13015" s="27"/>
      <c r="H13015" s="27"/>
      <c r="I13015" s="27"/>
      <c r="J13015" s="27"/>
      <c r="K13015" s="27"/>
      <c r="L13015" s="27"/>
      <c r="M13015" s="28"/>
      <c r="N13015" s="28"/>
      <c r="O13015" s="27"/>
      <c r="P13015" s="27"/>
    </row>
    <row r="13016">
      <c r="A13016" s="38"/>
      <c r="B13016" s="39"/>
      <c r="C13016" s="39"/>
      <c r="D13016" s="39"/>
      <c r="E13016" s="27"/>
      <c r="F13016" s="27"/>
      <c r="G13016" s="27"/>
      <c r="H13016" s="27"/>
      <c r="I13016" s="27"/>
      <c r="J13016" s="27"/>
      <c r="K13016" s="27"/>
      <c r="L13016" s="27"/>
      <c r="M13016" s="28"/>
      <c r="N13016" s="28"/>
      <c r="O13016" s="27"/>
      <c r="P13016" s="27"/>
    </row>
    <row r="13017">
      <c r="A13017" s="38"/>
      <c r="B13017" s="39"/>
      <c r="C13017" s="39"/>
      <c r="D13017" s="39"/>
      <c r="E13017" s="27"/>
      <c r="F13017" s="27"/>
      <c r="G13017" s="27"/>
      <c r="H13017" s="27"/>
      <c r="I13017" s="27"/>
      <c r="J13017" s="27"/>
      <c r="K13017" s="27"/>
      <c r="L13017" s="27"/>
      <c r="M13017" s="28"/>
      <c r="N13017" s="28"/>
      <c r="O13017" s="27"/>
      <c r="P13017" s="27"/>
    </row>
    <row r="13018">
      <c r="A13018" s="38"/>
      <c r="B13018" s="39"/>
      <c r="C13018" s="39"/>
      <c r="D13018" s="39"/>
      <c r="E13018" s="27"/>
      <c r="F13018" s="27"/>
      <c r="G13018" s="27"/>
      <c r="H13018" s="27"/>
      <c r="I13018" s="27"/>
      <c r="J13018" s="27"/>
      <c r="K13018" s="27"/>
      <c r="L13018" s="27"/>
      <c r="M13018" s="28"/>
      <c r="N13018" s="28"/>
      <c r="O13018" s="27"/>
      <c r="P13018" s="27"/>
    </row>
    <row r="13019">
      <c r="A13019" s="38"/>
      <c r="B13019" s="39"/>
      <c r="C13019" s="39"/>
      <c r="D13019" s="39"/>
      <c r="E13019" s="27"/>
      <c r="F13019" s="27"/>
      <c r="G13019" s="27"/>
      <c r="H13019" s="27"/>
      <c r="I13019" s="27"/>
      <c r="J13019" s="27"/>
      <c r="K13019" s="27"/>
      <c r="L13019" s="27"/>
      <c r="M13019" s="28"/>
      <c r="N13019" s="28"/>
      <c r="O13019" s="27"/>
      <c r="P13019" s="27"/>
    </row>
    <row r="13020">
      <c r="A13020" s="38"/>
      <c r="B13020" s="39"/>
      <c r="C13020" s="39"/>
      <c r="D13020" s="39"/>
      <c r="E13020" s="27"/>
      <c r="F13020" s="27"/>
      <c r="G13020" s="27"/>
      <c r="H13020" s="27"/>
      <c r="I13020" s="27"/>
      <c r="J13020" s="27"/>
      <c r="K13020" s="27"/>
      <c r="L13020" s="27"/>
      <c r="M13020" s="28"/>
      <c r="N13020" s="28"/>
      <c r="O13020" s="27"/>
      <c r="P13020" s="27"/>
    </row>
    <row r="13021">
      <c r="A13021" s="38"/>
      <c r="B13021" s="39"/>
      <c r="C13021" s="39"/>
      <c r="D13021" s="39"/>
      <c r="E13021" s="27"/>
      <c r="F13021" s="27"/>
      <c r="G13021" s="27"/>
      <c r="H13021" s="27"/>
      <c r="I13021" s="27"/>
      <c r="J13021" s="27"/>
      <c r="K13021" s="27"/>
      <c r="L13021" s="27"/>
      <c r="M13021" s="28"/>
      <c r="N13021" s="28"/>
      <c r="O13021" s="27"/>
      <c r="P13021" s="27"/>
    </row>
    <row r="13022">
      <c r="A13022" s="38"/>
      <c r="B13022" s="39"/>
      <c r="C13022" s="39"/>
      <c r="D13022" s="39"/>
      <c r="E13022" s="27"/>
      <c r="F13022" s="27"/>
      <c r="G13022" s="27"/>
      <c r="H13022" s="27"/>
      <c r="I13022" s="27"/>
      <c r="J13022" s="27"/>
      <c r="K13022" s="27"/>
      <c r="L13022" s="27"/>
      <c r="M13022" s="28"/>
      <c r="N13022" s="28"/>
      <c r="O13022" s="27"/>
      <c r="P13022" s="27"/>
    </row>
    <row r="13023">
      <c r="A13023" s="38"/>
      <c r="B13023" s="39"/>
      <c r="C13023" s="39"/>
      <c r="D13023" s="39"/>
      <c r="E13023" s="27"/>
      <c r="F13023" s="27"/>
      <c r="G13023" s="27"/>
      <c r="H13023" s="27"/>
      <c r="I13023" s="27"/>
      <c r="J13023" s="27"/>
      <c r="K13023" s="27"/>
      <c r="L13023" s="27"/>
      <c r="M13023" s="28"/>
      <c r="N13023" s="28"/>
      <c r="O13023" s="27"/>
      <c r="P13023" s="27"/>
    </row>
    <row r="13024">
      <c r="A13024" s="38"/>
      <c r="B13024" s="39"/>
      <c r="C13024" s="39"/>
      <c r="D13024" s="39"/>
      <c r="E13024" s="27"/>
      <c r="F13024" s="27"/>
      <c r="G13024" s="27"/>
      <c r="H13024" s="27"/>
      <c r="I13024" s="27"/>
      <c r="J13024" s="27"/>
      <c r="K13024" s="27"/>
      <c r="L13024" s="27"/>
      <c r="M13024" s="28"/>
      <c r="N13024" s="28"/>
      <c r="O13024" s="27"/>
      <c r="P13024" s="27"/>
    </row>
    <row r="13025">
      <c r="A13025" s="38"/>
      <c r="B13025" s="39"/>
      <c r="C13025" s="39"/>
      <c r="D13025" s="39"/>
      <c r="E13025" s="27"/>
      <c r="F13025" s="27"/>
      <c r="G13025" s="27"/>
      <c r="H13025" s="27"/>
      <c r="I13025" s="27"/>
      <c r="J13025" s="27"/>
      <c r="K13025" s="27"/>
      <c r="L13025" s="27"/>
      <c r="M13025" s="28"/>
      <c r="N13025" s="28"/>
      <c r="O13025" s="27"/>
      <c r="P13025" s="27"/>
    </row>
    <row r="13026">
      <c r="A13026" s="38"/>
      <c r="B13026" s="39"/>
      <c r="C13026" s="39"/>
      <c r="D13026" s="39"/>
      <c r="E13026" s="27"/>
      <c r="F13026" s="27"/>
      <c r="G13026" s="27"/>
      <c r="H13026" s="27"/>
      <c r="I13026" s="27"/>
      <c r="J13026" s="27"/>
      <c r="K13026" s="27"/>
      <c r="L13026" s="27"/>
      <c r="M13026" s="28"/>
      <c r="N13026" s="28"/>
      <c r="O13026" s="27"/>
      <c r="P13026" s="27"/>
    </row>
    <row r="13027">
      <c r="A13027" s="38"/>
      <c r="B13027" s="39"/>
      <c r="C13027" s="39"/>
      <c r="D13027" s="39"/>
      <c r="E13027" s="27"/>
      <c r="F13027" s="27"/>
      <c r="G13027" s="27"/>
      <c r="H13027" s="27"/>
      <c r="I13027" s="27"/>
      <c r="J13027" s="27"/>
      <c r="K13027" s="27"/>
      <c r="L13027" s="27"/>
      <c r="M13027" s="28"/>
      <c r="N13027" s="28"/>
      <c r="O13027" s="27"/>
      <c r="P13027" s="27"/>
    </row>
    <row r="13028">
      <c r="A13028" s="38"/>
      <c r="B13028" s="39"/>
      <c r="C13028" s="39"/>
      <c r="D13028" s="39"/>
      <c r="E13028" s="27"/>
      <c r="F13028" s="27"/>
      <c r="G13028" s="27"/>
      <c r="H13028" s="27"/>
      <c r="I13028" s="27"/>
      <c r="J13028" s="27"/>
      <c r="K13028" s="27"/>
      <c r="L13028" s="27"/>
      <c r="M13028" s="28"/>
      <c r="N13028" s="28"/>
      <c r="O13028" s="27"/>
      <c r="P13028" s="27"/>
    </row>
    <row r="13029">
      <c r="A13029" s="38"/>
      <c r="B13029" s="39"/>
      <c r="C13029" s="39"/>
      <c r="D13029" s="39"/>
      <c r="E13029" s="27"/>
      <c r="F13029" s="27"/>
      <c r="G13029" s="27"/>
      <c r="H13029" s="27"/>
      <c r="I13029" s="27"/>
      <c r="J13029" s="27"/>
      <c r="K13029" s="27"/>
      <c r="L13029" s="27"/>
      <c r="M13029" s="28"/>
      <c r="N13029" s="28"/>
      <c r="O13029" s="27"/>
      <c r="P13029" s="27"/>
    </row>
    <row r="13030">
      <c r="A13030" s="38"/>
      <c r="B13030" s="39"/>
      <c r="C13030" s="39"/>
      <c r="D13030" s="39"/>
      <c r="E13030" s="27"/>
      <c r="F13030" s="27"/>
      <c r="G13030" s="27"/>
      <c r="H13030" s="27"/>
      <c r="I13030" s="27"/>
      <c r="J13030" s="27"/>
      <c r="K13030" s="27"/>
      <c r="L13030" s="27"/>
      <c r="M13030" s="28"/>
      <c r="N13030" s="28"/>
      <c r="O13030" s="27"/>
      <c r="P13030" s="27"/>
    </row>
    <row r="13031">
      <c r="A13031" s="38"/>
      <c r="B13031" s="39"/>
      <c r="C13031" s="39"/>
      <c r="D13031" s="39"/>
      <c r="E13031" s="27"/>
      <c r="F13031" s="27"/>
      <c r="G13031" s="27"/>
      <c r="H13031" s="27"/>
      <c r="I13031" s="27"/>
      <c r="J13031" s="27"/>
      <c r="K13031" s="27"/>
      <c r="L13031" s="27"/>
      <c r="M13031" s="28"/>
      <c r="N13031" s="28"/>
      <c r="O13031" s="27"/>
      <c r="P13031" s="27"/>
    </row>
    <row r="13032">
      <c r="A13032" s="38"/>
      <c r="B13032" s="39"/>
      <c r="C13032" s="39"/>
      <c r="D13032" s="39"/>
      <c r="E13032" s="27"/>
      <c r="F13032" s="27"/>
      <c r="G13032" s="27"/>
      <c r="H13032" s="27"/>
      <c r="I13032" s="27"/>
      <c r="J13032" s="27"/>
      <c r="K13032" s="27"/>
      <c r="L13032" s="27"/>
      <c r="M13032" s="28"/>
      <c r="N13032" s="28"/>
      <c r="O13032" s="27"/>
      <c r="P13032" s="27"/>
    </row>
    <row r="13033">
      <c r="A13033" s="38"/>
      <c r="B13033" s="39"/>
      <c r="C13033" s="39"/>
      <c r="D13033" s="39"/>
      <c r="E13033" s="27"/>
      <c r="F13033" s="27"/>
      <c r="G13033" s="27"/>
      <c r="H13033" s="27"/>
      <c r="I13033" s="27"/>
      <c r="J13033" s="27"/>
      <c r="K13033" s="27"/>
      <c r="L13033" s="27"/>
      <c r="M13033" s="28"/>
      <c r="N13033" s="28"/>
      <c r="O13033" s="27"/>
      <c r="P13033" s="27"/>
    </row>
    <row r="13034">
      <c r="A13034" s="38"/>
      <c r="B13034" s="39"/>
      <c r="C13034" s="39"/>
      <c r="D13034" s="39"/>
      <c r="E13034" s="27"/>
      <c r="F13034" s="27"/>
      <c r="G13034" s="27"/>
      <c r="H13034" s="27"/>
      <c r="I13034" s="27"/>
      <c r="J13034" s="27"/>
      <c r="K13034" s="27"/>
      <c r="L13034" s="27"/>
      <c r="M13034" s="28"/>
      <c r="N13034" s="28"/>
      <c r="O13034" s="27"/>
      <c r="P13034" s="27"/>
    </row>
    <row r="13035">
      <c r="A13035" s="38"/>
      <c r="B13035" s="39"/>
      <c r="C13035" s="39"/>
      <c r="D13035" s="39"/>
      <c r="E13035" s="27"/>
      <c r="F13035" s="27"/>
      <c r="G13035" s="27"/>
      <c r="H13035" s="27"/>
      <c r="I13035" s="27"/>
      <c r="J13035" s="27"/>
      <c r="K13035" s="27"/>
      <c r="L13035" s="27"/>
      <c r="M13035" s="28"/>
      <c r="N13035" s="28"/>
      <c r="O13035" s="27"/>
      <c r="P13035" s="27"/>
    </row>
    <row r="13036">
      <c r="A13036" s="38"/>
      <c r="B13036" s="39"/>
      <c r="C13036" s="39"/>
      <c r="D13036" s="39"/>
      <c r="E13036" s="27"/>
      <c r="F13036" s="27"/>
      <c r="G13036" s="27"/>
      <c r="H13036" s="27"/>
      <c r="I13036" s="27"/>
      <c r="J13036" s="27"/>
      <c r="K13036" s="27"/>
      <c r="L13036" s="27"/>
      <c r="M13036" s="28"/>
      <c r="N13036" s="28"/>
      <c r="O13036" s="27"/>
      <c r="P13036" s="27"/>
    </row>
    <row r="13037">
      <c r="A13037" s="38"/>
      <c r="B13037" s="39"/>
      <c r="C13037" s="39"/>
      <c r="D13037" s="39"/>
      <c r="E13037" s="27"/>
      <c r="F13037" s="27"/>
      <c r="G13037" s="27"/>
      <c r="H13037" s="27"/>
      <c r="I13037" s="27"/>
      <c r="J13037" s="27"/>
      <c r="K13037" s="27"/>
      <c r="L13037" s="27"/>
      <c r="M13037" s="28"/>
      <c r="N13037" s="28"/>
      <c r="O13037" s="27"/>
      <c r="P13037" s="27"/>
    </row>
    <row r="13038">
      <c r="A13038" s="38"/>
      <c r="B13038" s="39"/>
      <c r="C13038" s="39"/>
      <c r="D13038" s="39"/>
      <c r="E13038" s="27"/>
      <c r="F13038" s="27"/>
      <c r="G13038" s="27"/>
      <c r="H13038" s="27"/>
      <c r="I13038" s="27"/>
      <c r="J13038" s="27"/>
      <c r="K13038" s="27"/>
      <c r="L13038" s="27"/>
      <c r="M13038" s="28"/>
      <c r="N13038" s="28"/>
      <c r="O13038" s="27"/>
      <c r="P13038" s="27"/>
    </row>
    <row r="13039">
      <c r="A13039" s="38"/>
      <c r="B13039" s="39"/>
      <c r="C13039" s="39"/>
      <c r="D13039" s="39"/>
      <c r="E13039" s="27"/>
      <c r="F13039" s="27"/>
      <c r="G13039" s="27"/>
      <c r="H13039" s="27"/>
      <c r="I13039" s="27"/>
      <c r="J13039" s="27"/>
      <c r="K13039" s="27"/>
      <c r="L13039" s="27"/>
      <c r="M13039" s="28"/>
      <c r="N13039" s="28"/>
      <c r="O13039" s="27"/>
      <c r="P13039" s="27"/>
    </row>
    <row r="13040">
      <c r="A13040" s="38"/>
      <c r="B13040" s="39"/>
      <c r="C13040" s="39"/>
      <c r="D13040" s="39"/>
      <c r="E13040" s="27"/>
      <c r="F13040" s="27"/>
      <c r="G13040" s="27"/>
      <c r="H13040" s="27"/>
      <c r="I13040" s="27"/>
      <c r="J13040" s="27"/>
      <c r="K13040" s="27"/>
      <c r="L13040" s="27"/>
      <c r="M13040" s="28"/>
      <c r="N13040" s="28"/>
      <c r="O13040" s="27"/>
      <c r="P13040" s="27"/>
    </row>
    <row r="13041">
      <c r="A13041" s="38"/>
      <c r="B13041" s="39"/>
      <c r="C13041" s="39"/>
      <c r="D13041" s="39"/>
      <c r="E13041" s="27"/>
      <c r="F13041" s="27"/>
      <c r="G13041" s="27"/>
      <c r="H13041" s="27"/>
      <c r="I13041" s="27"/>
      <c r="J13041" s="27"/>
      <c r="K13041" s="27"/>
      <c r="L13041" s="27"/>
      <c r="M13041" s="28"/>
      <c r="N13041" s="28"/>
      <c r="O13041" s="27"/>
      <c r="P13041" s="27"/>
    </row>
    <row r="13042">
      <c r="A13042" s="38"/>
      <c r="B13042" s="39"/>
      <c r="C13042" s="39"/>
      <c r="D13042" s="39"/>
      <c r="E13042" s="27"/>
      <c r="F13042" s="27"/>
      <c r="G13042" s="27"/>
      <c r="H13042" s="27"/>
      <c r="I13042" s="27"/>
      <c r="J13042" s="27"/>
      <c r="K13042" s="27"/>
      <c r="L13042" s="27"/>
      <c r="M13042" s="28"/>
      <c r="N13042" s="28"/>
      <c r="O13042" s="27"/>
      <c r="P13042" s="27"/>
    </row>
    <row r="13043">
      <c r="A13043" s="38"/>
      <c r="B13043" s="39"/>
      <c r="C13043" s="39"/>
      <c r="D13043" s="39"/>
      <c r="E13043" s="27"/>
      <c r="F13043" s="27"/>
      <c r="G13043" s="27"/>
      <c r="H13043" s="27"/>
      <c r="I13043" s="27"/>
      <c r="J13043" s="27"/>
      <c r="K13043" s="27"/>
      <c r="L13043" s="27"/>
      <c r="M13043" s="28"/>
      <c r="N13043" s="28"/>
      <c r="O13043" s="27"/>
      <c r="P13043" s="27"/>
    </row>
    <row r="13044">
      <c r="A13044" s="38"/>
      <c r="B13044" s="39"/>
      <c r="C13044" s="39"/>
      <c r="D13044" s="39"/>
      <c r="E13044" s="27"/>
      <c r="F13044" s="27"/>
      <c r="G13044" s="27"/>
      <c r="H13044" s="27"/>
      <c r="I13044" s="27"/>
      <c r="J13044" s="27"/>
      <c r="K13044" s="27"/>
      <c r="L13044" s="27"/>
      <c r="M13044" s="28"/>
      <c r="N13044" s="28"/>
      <c r="O13044" s="27"/>
      <c r="P13044" s="27"/>
    </row>
    <row r="13045">
      <c r="A13045" s="38"/>
      <c r="B13045" s="39"/>
      <c r="C13045" s="39"/>
      <c r="D13045" s="39"/>
      <c r="E13045" s="27"/>
      <c r="F13045" s="27"/>
      <c r="G13045" s="27"/>
      <c r="H13045" s="27"/>
      <c r="I13045" s="27"/>
      <c r="J13045" s="27"/>
      <c r="K13045" s="27"/>
      <c r="L13045" s="27"/>
      <c r="M13045" s="28"/>
      <c r="N13045" s="28"/>
      <c r="O13045" s="27"/>
      <c r="P13045" s="27"/>
    </row>
    <row r="13046">
      <c r="A13046" s="38"/>
      <c r="B13046" s="39"/>
      <c r="C13046" s="39"/>
      <c r="D13046" s="39"/>
      <c r="E13046" s="27"/>
      <c r="F13046" s="27"/>
      <c r="G13046" s="27"/>
      <c r="H13046" s="27"/>
      <c r="I13046" s="27"/>
      <c r="J13046" s="27"/>
      <c r="K13046" s="27"/>
      <c r="L13046" s="27"/>
      <c r="M13046" s="28"/>
      <c r="N13046" s="28"/>
      <c r="O13046" s="27"/>
      <c r="P13046" s="27"/>
    </row>
    <row r="13047">
      <c r="A13047" s="38"/>
      <c r="B13047" s="39"/>
      <c r="C13047" s="39"/>
      <c r="D13047" s="39"/>
      <c r="E13047" s="27"/>
      <c r="F13047" s="27"/>
      <c r="G13047" s="27"/>
      <c r="H13047" s="27"/>
      <c r="I13047" s="27"/>
      <c r="J13047" s="27"/>
      <c r="K13047" s="27"/>
      <c r="L13047" s="27"/>
      <c r="M13047" s="28"/>
      <c r="N13047" s="28"/>
      <c r="O13047" s="27"/>
      <c r="P13047" s="27"/>
    </row>
    <row r="13048">
      <c r="A13048" s="38"/>
      <c r="B13048" s="39"/>
      <c r="C13048" s="39"/>
      <c r="D13048" s="39"/>
      <c r="E13048" s="27"/>
      <c r="F13048" s="27"/>
      <c r="G13048" s="27"/>
      <c r="H13048" s="27"/>
      <c r="I13048" s="27"/>
      <c r="J13048" s="27"/>
      <c r="K13048" s="27"/>
      <c r="L13048" s="27"/>
      <c r="M13048" s="28"/>
      <c r="N13048" s="28"/>
      <c r="O13048" s="27"/>
      <c r="P13048" s="27"/>
    </row>
    <row r="13049">
      <c r="A13049" s="38"/>
      <c r="B13049" s="39"/>
      <c r="C13049" s="39"/>
      <c r="D13049" s="39"/>
      <c r="E13049" s="27"/>
      <c r="F13049" s="27"/>
      <c r="G13049" s="27"/>
      <c r="H13049" s="27"/>
      <c r="I13049" s="27"/>
      <c r="J13049" s="27"/>
      <c r="K13049" s="27"/>
      <c r="L13049" s="27"/>
      <c r="M13049" s="28"/>
      <c r="N13049" s="28"/>
      <c r="O13049" s="27"/>
      <c r="P13049" s="27"/>
    </row>
    <row r="13050">
      <c r="A13050" s="38"/>
      <c r="B13050" s="39"/>
      <c r="C13050" s="39"/>
      <c r="D13050" s="39"/>
      <c r="E13050" s="27"/>
      <c r="F13050" s="27"/>
      <c r="G13050" s="27"/>
      <c r="H13050" s="27"/>
      <c r="I13050" s="27"/>
      <c r="J13050" s="27"/>
      <c r="K13050" s="27"/>
      <c r="L13050" s="27"/>
      <c r="M13050" s="28"/>
      <c r="N13050" s="28"/>
      <c r="O13050" s="27"/>
      <c r="P13050" s="27"/>
    </row>
    <row r="13051">
      <c r="A13051" s="38"/>
      <c r="B13051" s="39"/>
      <c r="C13051" s="39"/>
      <c r="D13051" s="39"/>
      <c r="E13051" s="27"/>
      <c r="F13051" s="27"/>
      <c r="G13051" s="27"/>
      <c r="H13051" s="27"/>
      <c r="I13051" s="27"/>
      <c r="J13051" s="27"/>
      <c r="K13051" s="27"/>
      <c r="L13051" s="27"/>
      <c r="M13051" s="28"/>
      <c r="N13051" s="28"/>
      <c r="O13051" s="27"/>
      <c r="P13051" s="27"/>
    </row>
    <row r="13052">
      <c r="A13052" s="38"/>
      <c r="B13052" s="39"/>
      <c r="C13052" s="39"/>
      <c r="D13052" s="39"/>
      <c r="E13052" s="27"/>
      <c r="F13052" s="27"/>
      <c r="G13052" s="27"/>
      <c r="H13052" s="27"/>
      <c r="I13052" s="27"/>
      <c r="J13052" s="27"/>
      <c r="K13052" s="27"/>
      <c r="L13052" s="27"/>
      <c r="M13052" s="28"/>
      <c r="N13052" s="28"/>
      <c r="O13052" s="27"/>
      <c r="P13052" s="27"/>
    </row>
    <row r="13053">
      <c r="A13053" s="38"/>
      <c r="B13053" s="39"/>
      <c r="C13053" s="39"/>
      <c r="D13053" s="39"/>
      <c r="E13053" s="27"/>
      <c r="F13053" s="27"/>
      <c r="G13053" s="27"/>
      <c r="H13053" s="27"/>
      <c r="I13053" s="27"/>
      <c r="J13053" s="27"/>
      <c r="K13053" s="27"/>
      <c r="L13053" s="27"/>
      <c r="M13053" s="28"/>
      <c r="N13053" s="28"/>
      <c r="O13053" s="27"/>
      <c r="P13053" s="27"/>
    </row>
    <row r="13054">
      <c r="A13054" s="38"/>
      <c r="B13054" s="39"/>
      <c r="C13054" s="39"/>
      <c r="D13054" s="39"/>
      <c r="E13054" s="27"/>
      <c r="F13054" s="27"/>
      <c r="G13054" s="27"/>
      <c r="H13054" s="27"/>
      <c r="I13054" s="27"/>
      <c r="J13054" s="27"/>
      <c r="K13054" s="27"/>
      <c r="L13054" s="27"/>
      <c r="M13054" s="28"/>
      <c r="N13054" s="28"/>
      <c r="O13054" s="27"/>
      <c r="P13054" s="27"/>
    </row>
    <row r="13055">
      <c r="A13055" s="38"/>
      <c r="B13055" s="39"/>
      <c r="C13055" s="39"/>
      <c r="D13055" s="39"/>
      <c r="E13055" s="27"/>
      <c r="F13055" s="27"/>
      <c r="G13055" s="27"/>
      <c r="H13055" s="27"/>
      <c r="I13055" s="27"/>
      <c r="J13055" s="27"/>
      <c r="K13055" s="27"/>
      <c r="L13055" s="27"/>
      <c r="M13055" s="28"/>
      <c r="N13055" s="28"/>
      <c r="O13055" s="27"/>
      <c r="P13055" s="27"/>
    </row>
    <row r="13056">
      <c r="A13056" s="38"/>
      <c r="B13056" s="39"/>
      <c r="C13056" s="39"/>
      <c r="D13056" s="39"/>
      <c r="E13056" s="27"/>
      <c r="F13056" s="27"/>
      <c r="G13056" s="27"/>
      <c r="H13056" s="27"/>
      <c r="I13056" s="27"/>
      <c r="J13056" s="27"/>
      <c r="K13056" s="27"/>
      <c r="L13056" s="27"/>
      <c r="M13056" s="28"/>
      <c r="N13056" s="28"/>
      <c r="O13056" s="27"/>
      <c r="P13056" s="27"/>
    </row>
    <row r="13057">
      <c r="A13057" s="38"/>
      <c r="B13057" s="39"/>
      <c r="C13057" s="39"/>
      <c r="D13057" s="39"/>
      <c r="E13057" s="27"/>
      <c r="F13057" s="27"/>
      <c r="G13057" s="27"/>
      <c r="H13057" s="27"/>
      <c r="I13057" s="27"/>
      <c r="J13057" s="27"/>
      <c r="K13057" s="27"/>
      <c r="L13057" s="27"/>
      <c r="M13057" s="28"/>
      <c r="N13057" s="28"/>
      <c r="O13057" s="27"/>
      <c r="P13057" s="27"/>
    </row>
    <row r="13058">
      <c r="A13058" s="38"/>
      <c r="B13058" s="39"/>
      <c r="C13058" s="39"/>
      <c r="D13058" s="39"/>
      <c r="E13058" s="27"/>
      <c r="F13058" s="27"/>
      <c r="G13058" s="27"/>
      <c r="H13058" s="27"/>
      <c r="I13058" s="27"/>
      <c r="J13058" s="27"/>
      <c r="K13058" s="27"/>
      <c r="L13058" s="27"/>
      <c r="M13058" s="28"/>
      <c r="N13058" s="28"/>
      <c r="O13058" s="27"/>
      <c r="P13058" s="27"/>
    </row>
    <row r="13059">
      <c r="A13059" s="38"/>
      <c r="B13059" s="39"/>
      <c r="C13059" s="39"/>
      <c r="D13059" s="39"/>
      <c r="E13059" s="27"/>
      <c r="F13059" s="27"/>
      <c r="G13059" s="27"/>
      <c r="H13059" s="27"/>
      <c r="I13059" s="27"/>
      <c r="J13059" s="27"/>
      <c r="K13059" s="27"/>
      <c r="L13059" s="27"/>
      <c r="M13059" s="28"/>
      <c r="N13059" s="28"/>
      <c r="O13059" s="27"/>
      <c r="P13059" s="27"/>
    </row>
    <row r="13060">
      <c r="A13060" s="38"/>
      <c r="B13060" s="39"/>
      <c r="C13060" s="39"/>
      <c r="D13060" s="39"/>
      <c r="E13060" s="27"/>
      <c r="F13060" s="27"/>
      <c r="G13060" s="27"/>
      <c r="H13060" s="27"/>
      <c r="I13060" s="27"/>
      <c r="J13060" s="27"/>
      <c r="K13060" s="27"/>
      <c r="L13060" s="27"/>
      <c r="M13060" s="28"/>
      <c r="N13060" s="28"/>
      <c r="O13060" s="27"/>
      <c r="P13060" s="27"/>
    </row>
    <row r="13061">
      <c r="A13061" s="38"/>
      <c r="B13061" s="39"/>
      <c r="C13061" s="39"/>
      <c r="D13061" s="39"/>
      <c r="E13061" s="27"/>
      <c r="F13061" s="27"/>
      <c r="G13061" s="27"/>
      <c r="H13061" s="27"/>
      <c r="I13061" s="27"/>
      <c r="J13061" s="27"/>
      <c r="K13061" s="27"/>
      <c r="L13061" s="27"/>
      <c r="M13061" s="28"/>
      <c r="N13061" s="28"/>
      <c r="O13061" s="27"/>
      <c r="P13061" s="27"/>
    </row>
    <row r="13062">
      <c r="A13062" s="38"/>
      <c r="B13062" s="39"/>
      <c r="C13062" s="39"/>
      <c r="D13062" s="39"/>
      <c r="E13062" s="27"/>
      <c r="F13062" s="27"/>
      <c r="G13062" s="27"/>
      <c r="H13062" s="27"/>
      <c r="I13062" s="27"/>
      <c r="J13062" s="27"/>
      <c r="K13062" s="27"/>
      <c r="L13062" s="27"/>
      <c r="M13062" s="28"/>
      <c r="N13062" s="28"/>
      <c r="O13062" s="27"/>
      <c r="P13062" s="27"/>
    </row>
    <row r="13063">
      <c r="A13063" s="38"/>
      <c r="B13063" s="39"/>
      <c r="C13063" s="39"/>
      <c r="D13063" s="39"/>
      <c r="E13063" s="27"/>
      <c r="F13063" s="27"/>
      <c r="G13063" s="27"/>
      <c r="H13063" s="27"/>
      <c r="I13063" s="27"/>
      <c r="J13063" s="27"/>
      <c r="K13063" s="27"/>
      <c r="L13063" s="27"/>
      <c r="M13063" s="28"/>
      <c r="N13063" s="28"/>
      <c r="O13063" s="27"/>
      <c r="P13063" s="27"/>
    </row>
    <row r="13064">
      <c r="A13064" s="38"/>
      <c r="B13064" s="39"/>
      <c r="C13064" s="39"/>
      <c r="D13064" s="39"/>
      <c r="E13064" s="27"/>
      <c r="F13064" s="27"/>
      <c r="G13064" s="27"/>
      <c r="H13064" s="27"/>
      <c r="I13064" s="27"/>
      <c r="J13064" s="27"/>
      <c r="K13064" s="27"/>
      <c r="L13064" s="27"/>
      <c r="M13064" s="28"/>
      <c r="N13064" s="28"/>
      <c r="O13064" s="27"/>
      <c r="P13064" s="27"/>
    </row>
    <row r="13065">
      <c r="A13065" s="38"/>
      <c r="B13065" s="39"/>
      <c r="C13065" s="39"/>
      <c r="D13065" s="39"/>
      <c r="E13065" s="27"/>
      <c r="F13065" s="27"/>
      <c r="G13065" s="27"/>
      <c r="H13065" s="27"/>
      <c r="I13065" s="27"/>
      <c r="J13065" s="27"/>
      <c r="K13065" s="27"/>
      <c r="L13065" s="27"/>
      <c r="M13065" s="28"/>
      <c r="N13065" s="28"/>
      <c r="O13065" s="27"/>
      <c r="P13065" s="27"/>
    </row>
    <row r="13066">
      <c r="A13066" s="38"/>
      <c r="B13066" s="39"/>
      <c r="C13066" s="39"/>
      <c r="D13066" s="39"/>
      <c r="E13066" s="27"/>
      <c r="F13066" s="27"/>
      <c r="G13066" s="27"/>
      <c r="H13066" s="27"/>
      <c r="I13066" s="27"/>
      <c r="J13066" s="27"/>
      <c r="K13066" s="27"/>
      <c r="L13066" s="27"/>
      <c r="M13066" s="28"/>
      <c r="N13066" s="28"/>
      <c r="O13066" s="27"/>
      <c r="P13066" s="27"/>
    </row>
    <row r="13067">
      <c r="A13067" s="38"/>
      <c r="B13067" s="39"/>
      <c r="C13067" s="39"/>
      <c r="D13067" s="39"/>
      <c r="E13067" s="27"/>
      <c r="F13067" s="27"/>
      <c r="G13067" s="27"/>
      <c r="H13067" s="27"/>
      <c r="I13067" s="27"/>
      <c r="J13067" s="27"/>
      <c r="K13067" s="27"/>
      <c r="L13067" s="27"/>
      <c r="M13067" s="28"/>
      <c r="N13067" s="28"/>
      <c r="O13067" s="27"/>
      <c r="P13067" s="27"/>
    </row>
    <row r="13068">
      <c r="A13068" s="38"/>
      <c r="B13068" s="39"/>
      <c r="C13068" s="39"/>
      <c r="D13068" s="39"/>
      <c r="E13068" s="27"/>
      <c r="F13068" s="27"/>
      <c r="G13068" s="27"/>
      <c r="H13068" s="27"/>
      <c r="I13068" s="27"/>
      <c r="J13068" s="27"/>
      <c r="K13068" s="27"/>
      <c r="L13068" s="27"/>
      <c r="M13068" s="28"/>
      <c r="N13068" s="28"/>
      <c r="O13068" s="27"/>
      <c r="P13068" s="27"/>
    </row>
    <row r="13069">
      <c r="A13069" s="38"/>
      <c r="B13069" s="39"/>
      <c r="C13069" s="39"/>
      <c r="D13069" s="39"/>
      <c r="E13069" s="27"/>
      <c r="F13069" s="27"/>
      <c r="G13069" s="27"/>
      <c r="H13069" s="27"/>
      <c r="I13069" s="27"/>
      <c r="J13069" s="27"/>
      <c r="K13069" s="27"/>
      <c r="L13069" s="27"/>
      <c r="M13069" s="28"/>
      <c r="N13069" s="28"/>
      <c r="O13069" s="27"/>
      <c r="P13069" s="27"/>
    </row>
    <row r="13070">
      <c r="A13070" s="38"/>
      <c r="B13070" s="39"/>
      <c r="C13070" s="39"/>
      <c r="D13070" s="39"/>
      <c r="E13070" s="27"/>
      <c r="F13070" s="27"/>
      <c r="G13070" s="27"/>
      <c r="H13070" s="27"/>
      <c r="I13070" s="27"/>
      <c r="J13070" s="27"/>
      <c r="K13070" s="27"/>
      <c r="L13070" s="27"/>
      <c r="M13070" s="28"/>
      <c r="N13070" s="28"/>
      <c r="O13070" s="27"/>
      <c r="P13070" s="27"/>
    </row>
    <row r="13071">
      <c r="A13071" s="38"/>
      <c r="B13071" s="39"/>
      <c r="C13071" s="39"/>
      <c r="D13071" s="39"/>
      <c r="E13071" s="27"/>
      <c r="F13071" s="27"/>
      <c r="G13071" s="27"/>
      <c r="H13071" s="27"/>
      <c r="I13071" s="27"/>
      <c r="J13071" s="27"/>
      <c r="K13071" s="27"/>
      <c r="L13071" s="27"/>
      <c r="M13071" s="28"/>
      <c r="N13071" s="28"/>
      <c r="O13071" s="27"/>
      <c r="P13071" s="27"/>
    </row>
    <row r="13072">
      <c r="A13072" s="38"/>
      <c r="B13072" s="39"/>
      <c r="C13072" s="39"/>
      <c r="D13072" s="39"/>
      <c r="E13072" s="27"/>
      <c r="F13072" s="27"/>
      <c r="G13072" s="27"/>
      <c r="H13072" s="27"/>
      <c r="I13072" s="27"/>
      <c r="J13072" s="27"/>
      <c r="K13072" s="27"/>
      <c r="L13072" s="27"/>
      <c r="M13072" s="28"/>
      <c r="N13072" s="28"/>
      <c r="O13072" s="27"/>
      <c r="P13072" s="27"/>
    </row>
    <row r="13073">
      <c r="A13073" s="38"/>
      <c r="B13073" s="39"/>
      <c r="C13073" s="39"/>
      <c r="D13073" s="39"/>
      <c r="E13073" s="27"/>
      <c r="F13073" s="27"/>
      <c r="G13073" s="27"/>
      <c r="H13073" s="27"/>
      <c r="I13073" s="27"/>
      <c r="J13073" s="27"/>
      <c r="K13073" s="27"/>
      <c r="L13073" s="27"/>
      <c r="M13073" s="28"/>
      <c r="N13073" s="28"/>
      <c r="O13073" s="27"/>
      <c r="P13073" s="27"/>
    </row>
    <row r="13074">
      <c r="A13074" s="38"/>
      <c r="B13074" s="39"/>
      <c r="C13074" s="39"/>
      <c r="D13074" s="39"/>
      <c r="E13074" s="27"/>
      <c r="F13074" s="27"/>
      <c r="G13074" s="27"/>
      <c r="H13074" s="27"/>
      <c r="I13074" s="27"/>
      <c r="J13074" s="27"/>
      <c r="K13074" s="27"/>
      <c r="L13074" s="27"/>
      <c r="M13074" s="28"/>
      <c r="N13074" s="28"/>
      <c r="O13074" s="27"/>
      <c r="P13074" s="27"/>
    </row>
    <row r="13075">
      <c r="A13075" s="38"/>
      <c r="B13075" s="39"/>
      <c r="C13075" s="39"/>
      <c r="D13075" s="39"/>
      <c r="E13075" s="27"/>
      <c r="F13075" s="27"/>
      <c r="G13075" s="27"/>
      <c r="H13075" s="27"/>
      <c r="I13075" s="27"/>
      <c r="J13075" s="27"/>
      <c r="K13075" s="27"/>
      <c r="L13075" s="27"/>
      <c r="M13075" s="28"/>
      <c r="N13075" s="28"/>
      <c r="O13075" s="27"/>
      <c r="P13075" s="27"/>
    </row>
    <row r="13076">
      <c r="A13076" s="38"/>
      <c r="B13076" s="39"/>
      <c r="C13076" s="39"/>
      <c r="D13076" s="39"/>
      <c r="E13076" s="27"/>
      <c r="F13076" s="27"/>
      <c r="G13076" s="27"/>
      <c r="H13076" s="27"/>
      <c r="I13076" s="27"/>
      <c r="J13076" s="27"/>
      <c r="K13076" s="27"/>
      <c r="L13076" s="27"/>
      <c r="M13076" s="28"/>
      <c r="N13076" s="28"/>
      <c r="O13076" s="27"/>
      <c r="P13076" s="27"/>
    </row>
    <row r="13077">
      <c r="A13077" s="38"/>
      <c r="B13077" s="39"/>
      <c r="C13077" s="39"/>
      <c r="D13077" s="39"/>
      <c r="E13077" s="27"/>
      <c r="F13077" s="27"/>
      <c r="G13077" s="27"/>
      <c r="H13077" s="27"/>
      <c r="I13077" s="27"/>
      <c r="J13077" s="27"/>
      <c r="K13077" s="27"/>
      <c r="L13077" s="27"/>
      <c r="M13077" s="28"/>
      <c r="N13077" s="28"/>
      <c r="O13077" s="27"/>
      <c r="P13077" s="27"/>
    </row>
    <row r="13078">
      <c r="A13078" s="38"/>
      <c r="B13078" s="39"/>
      <c r="C13078" s="39"/>
      <c r="D13078" s="39"/>
      <c r="E13078" s="27"/>
      <c r="F13078" s="27"/>
      <c r="G13078" s="27"/>
      <c r="H13078" s="27"/>
      <c r="I13078" s="27"/>
      <c r="J13078" s="27"/>
      <c r="K13078" s="27"/>
      <c r="L13078" s="27"/>
      <c r="M13078" s="28"/>
      <c r="N13078" s="28"/>
      <c r="O13078" s="27"/>
      <c r="P13078" s="27"/>
    </row>
    <row r="13079">
      <c r="A13079" s="38"/>
      <c r="B13079" s="39"/>
      <c r="C13079" s="39"/>
      <c r="D13079" s="39"/>
      <c r="E13079" s="27"/>
      <c r="F13079" s="27"/>
      <c r="G13079" s="27"/>
      <c r="H13079" s="27"/>
      <c r="I13079" s="27"/>
      <c r="J13079" s="27"/>
      <c r="K13079" s="27"/>
      <c r="L13079" s="27"/>
      <c r="M13079" s="28"/>
      <c r="N13079" s="28"/>
      <c r="O13079" s="27"/>
      <c r="P13079" s="27"/>
    </row>
  </sheetData>
  <mergeCells count="2">
    <mergeCell ref="G1:O1"/>
    <mergeCell ref="A1:F1"/>
  </mergeCells>
  <hyperlinks>
    <hyperlink r:id="rId1" ref="C39"/>
    <hyperlink r:id="rId2" ref="F39"/>
    <hyperlink r:id="rId3" ref="F52"/>
    <hyperlink r:id="rId4" ref="F117"/>
    <hyperlink r:id="rId5" ref="F132"/>
    <hyperlink r:id="rId6" ref="F178"/>
    <hyperlink r:id="rId7" ref="F221"/>
    <hyperlink r:id="rId8" ref="F232"/>
    <hyperlink r:id="rId9" ref="F240"/>
    <hyperlink r:id="rId10" ref="F334"/>
    <hyperlink r:id="rId11" ref="M361"/>
    <hyperlink r:id="rId12" ref="F378"/>
    <hyperlink r:id="rId13" ref="C394"/>
    <hyperlink r:id="rId14" ref="F478"/>
    <hyperlink r:id="rId15" ref="N601"/>
    <hyperlink r:id="rId16" ref="N656"/>
    <hyperlink r:id="rId17" ref="F701"/>
    <hyperlink r:id="rId18" ref="F707"/>
    <hyperlink r:id="rId19" ref="F758"/>
    <hyperlink r:id="rId20" ref="F832"/>
    <hyperlink r:id="rId21" ref="F939"/>
    <hyperlink r:id="rId22" ref="F943"/>
    <hyperlink r:id="rId23" ref="F944"/>
    <hyperlink r:id="rId24" ref="F945"/>
    <hyperlink r:id="rId25" ref="F952"/>
    <hyperlink r:id="rId26" ref="F953"/>
    <hyperlink r:id="rId27" ref="F1005"/>
    <hyperlink r:id="rId28" ref="F1013"/>
    <hyperlink r:id="rId29" ref="F1046"/>
    <hyperlink r:id="rId30" ref="F1051"/>
    <hyperlink r:id="rId31" ref="C1054"/>
    <hyperlink r:id="rId32" ref="F1143"/>
    <hyperlink r:id="rId33" ref="C1165"/>
    <hyperlink r:id="rId34" ref="F1165"/>
    <hyperlink r:id="rId35" ref="C1167"/>
    <hyperlink r:id="rId36" ref="F1167"/>
    <hyperlink r:id="rId37" ref="F1296"/>
    <hyperlink r:id="rId38" ref="F1305"/>
    <hyperlink r:id="rId39" ref="F1309"/>
    <hyperlink r:id="rId40" ref="F1311"/>
    <hyperlink r:id="rId41" ref="F1315"/>
    <hyperlink r:id="rId42" ref="C1333"/>
    <hyperlink r:id="rId43" ref="F1333"/>
    <hyperlink r:id="rId44" ref="F1348"/>
    <hyperlink r:id="rId45" ref="F1350"/>
    <hyperlink r:id="rId46" ref="F1360"/>
    <hyperlink r:id="rId47" ref="F1365"/>
    <hyperlink r:id="rId48" ref="C1435"/>
    <hyperlink r:id="rId49" ref="C1439"/>
    <hyperlink r:id="rId50" ref="F1498"/>
    <hyperlink r:id="rId51" ref="F1512"/>
    <hyperlink r:id="rId52" ref="F1515"/>
    <hyperlink r:id="rId53" ref="C1571"/>
    <hyperlink r:id="rId54" ref="F1694"/>
    <hyperlink r:id="rId55" ref="F1725"/>
    <hyperlink r:id="rId56" ref="F1804"/>
    <hyperlink r:id="rId57" ref="F1855"/>
    <hyperlink r:id="rId58" ref="M1916"/>
    <hyperlink r:id="rId59" ref="C1930"/>
    <hyperlink r:id="rId60" ref="F1985"/>
    <hyperlink r:id="rId61" ref="F1986"/>
    <hyperlink r:id="rId62" ref="F1997"/>
    <hyperlink r:id="rId63" ref="F2010"/>
    <hyperlink r:id="rId64" ref="C2029"/>
    <hyperlink r:id="rId65" ref="F2100"/>
    <hyperlink r:id="rId66" ref="F2105"/>
    <hyperlink r:id="rId67" ref="F2154"/>
    <hyperlink r:id="rId68" ref="F2172"/>
    <hyperlink r:id="rId69" ref="C2188"/>
    <hyperlink r:id="rId70" ref="F2198"/>
    <hyperlink r:id="rId71" ref="F2285"/>
    <hyperlink r:id="rId72" ref="F2291"/>
    <hyperlink r:id="rId73" ref="F2315"/>
    <hyperlink r:id="rId74" ref="F2369"/>
    <hyperlink r:id="rId75" ref="C2392"/>
    <hyperlink r:id="rId76" ref="M2395"/>
    <hyperlink r:id="rId77" ref="F2456"/>
    <hyperlink r:id="rId78" ref="F2459"/>
    <hyperlink r:id="rId79" ref="F2463"/>
    <hyperlink r:id="rId80" ref="F2465"/>
    <hyperlink r:id="rId81" ref="F2490"/>
    <hyperlink r:id="rId82" ref="F2497"/>
    <hyperlink r:id="rId83" ref="F2526"/>
    <hyperlink r:id="rId84" ref="N2526"/>
    <hyperlink r:id="rId85" ref="F2548"/>
    <hyperlink r:id="rId86" ref="F2550"/>
    <hyperlink r:id="rId87" ref="F2551"/>
    <hyperlink r:id="rId88" ref="F2552"/>
    <hyperlink r:id="rId89" ref="F2594"/>
    <hyperlink r:id="rId90" ref="F2607"/>
    <hyperlink r:id="rId91" ref="N2607"/>
    <hyperlink r:id="rId92" ref="N2654"/>
    <hyperlink r:id="rId93" ref="F2662"/>
    <hyperlink r:id="rId94" ref="F2665"/>
    <hyperlink r:id="rId95" ref="F2719"/>
    <hyperlink r:id="rId96" ref="C2721"/>
    <hyperlink r:id="rId97" ref="F2754"/>
    <hyperlink r:id="rId98" ref="F2773"/>
    <hyperlink r:id="rId99" ref="F2776"/>
    <hyperlink r:id="rId100" ref="C2809"/>
    <hyperlink r:id="rId101" ref="F2809"/>
    <hyperlink r:id="rId102" ref="N2850"/>
    <hyperlink r:id="rId103" ref="F2883"/>
    <hyperlink r:id="rId104" ref="F2897"/>
    <hyperlink r:id="rId105" ref="F2929"/>
    <hyperlink r:id="rId106" ref="F2963"/>
    <hyperlink r:id="rId107" ref="F3042"/>
    <hyperlink r:id="rId108" ref="F3045"/>
    <hyperlink r:id="rId109" ref="F3057"/>
    <hyperlink r:id="rId110" ref="N3072"/>
    <hyperlink r:id="rId111" ref="F3136"/>
    <hyperlink r:id="rId112" ref="F3168"/>
    <hyperlink r:id="rId113" ref="N3177"/>
    <hyperlink r:id="rId114" ref="F3186"/>
    <hyperlink r:id="rId115" ref="F3252"/>
    <hyperlink r:id="rId116" ref="M3292"/>
    <hyperlink r:id="rId117" ref="F3295"/>
    <hyperlink r:id="rId118" ref="F3296"/>
    <hyperlink r:id="rId119" ref="C3369"/>
    <hyperlink r:id="rId120" ref="F3369"/>
    <hyperlink r:id="rId121" ref="C3416"/>
    <hyperlink r:id="rId122" ref="F3416"/>
    <hyperlink r:id="rId123" ref="F3431"/>
    <hyperlink r:id="rId124" ref="C3479"/>
    <hyperlink r:id="rId125" ref="F3570"/>
    <hyperlink r:id="rId126" ref="F3687"/>
    <hyperlink r:id="rId127" ref="F3765"/>
    <hyperlink r:id="rId128" ref="N3809"/>
    <hyperlink r:id="rId129" ref="F3823"/>
    <hyperlink r:id="rId130" ref="C3836"/>
    <hyperlink r:id="rId131" ref="F3848"/>
    <hyperlink r:id="rId132" ref="F3860"/>
    <hyperlink r:id="rId133" ref="F3905"/>
    <hyperlink r:id="rId134" ref="F3935"/>
    <hyperlink r:id="rId135" ref="F3936"/>
    <hyperlink r:id="rId136" ref="C3941"/>
    <hyperlink r:id="rId137" ref="F3974"/>
    <hyperlink r:id="rId138" ref="N4003"/>
    <hyperlink r:id="rId139" ref="F4068"/>
    <hyperlink r:id="rId140" ref="F4236"/>
    <hyperlink r:id="rId141" ref="F4292"/>
    <hyperlink r:id="rId142" ref="F4338"/>
    <hyperlink r:id="rId143" ref="C4386"/>
    <hyperlink r:id="rId144" ref="F4389"/>
    <hyperlink r:id="rId145" ref="F4390"/>
    <hyperlink r:id="rId146" ref="F4418"/>
    <hyperlink r:id="rId147" ref="F4490"/>
    <hyperlink r:id="rId148" ref="F4508"/>
    <hyperlink r:id="rId149" ref="F4551"/>
    <hyperlink r:id="rId150" ref="F4559"/>
    <hyperlink r:id="rId151" ref="C4575"/>
    <hyperlink r:id="rId152" ref="C4582"/>
    <hyperlink r:id="rId153" ref="C4614"/>
    <hyperlink r:id="rId154" ref="F4620"/>
    <hyperlink r:id="rId155" ref="F4665"/>
    <hyperlink r:id="rId156" ref="F4666"/>
    <hyperlink r:id="rId157" ref="F4681"/>
    <hyperlink r:id="rId158" ref="F4737"/>
    <hyperlink r:id="rId159" ref="F4851"/>
    <hyperlink r:id="rId160" ref="F4872"/>
    <hyperlink r:id="rId161" ref="F4877"/>
    <hyperlink r:id="rId162" ref="F4904"/>
    <hyperlink r:id="rId163" ref="F4915"/>
    <hyperlink r:id="rId164" ref="N4980"/>
    <hyperlink r:id="rId165" ref="C4997"/>
    <hyperlink r:id="rId166" ref="F4997"/>
    <hyperlink r:id="rId167" ref="C5003"/>
    <hyperlink r:id="rId168" ref="C5031"/>
    <hyperlink r:id="rId169" ref="C5072"/>
    <hyperlink r:id="rId170" ref="C5073"/>
    <hyperlink r:id="rId171" ref="C5135"/>
    <hyperlink r:id="rId172" ref="F5135"/>
    <hyperlink r:id="rId173" ref="C5143"/>
    <hyperlink r:id="rId174" ref="F5143"/>
    <hyperlink r:id="rId175" ref="C5144"/>
    <hyperlink r:id="rId176" ref="F5144"/>
    <hyperlink r:id="rId177" ref="C5156"/>
    <hyperlink r:id="rId178" ref="C5157"/>
    <hyperlink r:id="rId179" ref="F5157"/>
    <hyperlink r:id="rId180" ref="C5180"/>
    <hyperlink r:id="rId181" ref="F5180"/>
    <hyperlink r:id="rId182" ref="C5184"/>
    <hyperlink r:id="rId183" ref="F5184"/>
    <hyperlink r:id="rId184" ref="C5185"/>
    <hyperlink r:id="rId185" ref="F5185"/>
    <hyperlink r:id="rId186" ref="C5195"/>
    <hyperlink r:id="rId187" ref="F5195"/>
    <hyperlink r:id="rId188" ref="C5201"/>
    <hyperlink r:id="rId189" ref="C5202"/>
    <hyperlink r:id="rId190" ref="F5202"/>
    <hyperlink r:id="rId191" ref="C5203"/>
    <hyperlink r:id="rId192" ref="F5203"/>
    <hyperlink r:id="rId193" ref="F5235"/>
    <hyperlink r:id="rId194" ref="N5242"/>
    <hyperlink r:id="rId195" ref="F5364"/>
    <hyperlink r:id="rId196" ref="F5378"/>
    <hyperlink r:id="rId197" ref="C5439"/>
    <hyperlink r:id="rId198" ref="F5498"/>
    <hyperlink r:id="rId199" ref="C5514"/>
    <hyperlink r:id="rId200" ref="N5534"/>
    <hyperlink r:id="rId201" ref="F5600"/>
    <hyperlink r:id="rId202" ref="F5601"/>
    <hyperlink r:id="rId203" ref="M5601"/>
    <hyperlink r:id="rId204" ref="F5603"/>
    <hyperlink r:id="rId205" ref="F5741"/>
    <hyperlink r:id="rId206" ref="F5814"/>
    <hyperlink r:id="rId207" ref="F5880"/>
    <hyperlink r:id="rId208" ref="C5882"/>
    <hyperlink r:id="rId209" ref="F5882"/>
    <hyperlink r:id="rId210" ref="C5883"/>
    <hyperlink r:id="rId211" ref="F5883"/>
    <hyperlink r:id="rId212" ref="F6026"/>
    <hyperlink r:id="rId213" ref="F6170"/>
    <hyperlink r:id="rId214" ref="F6196"/>
    <hyperlink r:id="rId215" ref="F6247"/>
    <hyperlink r:id="rId216" ref="F6324"/>
    <hyperlink r:id="rId217" ref="C6349"/>
    <hyperlink r:id="rId218" ref="F6358"/>
    <hyperlink r:id="rId219" ref="F6393"/>
    <hyperlink r:id="rId220" ref="M6559"/>
    <hyperlink r:id="rId221" ref="C6660"/>
    <hyperlink r:id="rId222" ref="F6690"/>
    <hyperlink r:id="rId223" ref="F6747"/>
    <hyperlink r:id="rId224" ref="F6752"/>
    <hyperlink r:id="rId225" ref="N6752"/>
    <hyperlink r:id="rId226" ref="F6800"/>
    <hyperlink r:id="rId227" ref="F6801"/>
    <hyperlink r:id="rId228" ref="F6823"/>
    <hyperlink r:id="rId229" ref="F6824"/>
    <hyperlink r:id="rId230" ref="F6868"/>
    <hyperlink r:id="rId231" ref="F6884"/>
    <hyperlink r:id="rId232" ref="F6912"/>
    <hyperlink r:id="rId233" ref="F6936"/>
    <hyperlink r:id="rId234" ref="F6970"/>
    <hyperlink r:id="rId235" ref="F6985"/>
    <hyperlink r:id="rId236" ref="F6986"/>
    <hyperlink r:id="rId237" ref="F6988"/>
    <hyperlink r:id="rId238" ref="C7048"/>
    <hyperlink r:id="rId239" ref="F7048"/>
    <hyperlink r:id="rId240" ref="C7050"/>
    <hyperlink r:id="rId241" ref="F7050"/>
    <hyperlink r:id="rId242" ref="F7052"/>
    <hyperlink r:id="rId243" ref="F7089"/>
    <hyperlink r:id="rId244" ref="F7119"/>
    <hyperlink r:id="rId245" ref="F7120"/>
    <hyperlink r:id="rId246" ref="F7122"/>
    <hyperlink r:id="rId247" ref="C7134"/>
    <hyperlink r:id="rId248" ref="F7134"/>
    <hyperlink r:id="rId249" ref="F7160"/>
    <hyperlink r:id="rId250" ref="F7184"/>
    <hyperlink r:id="rId251" ref="F7204"/>
    <hyperlink r:id="rId252" ref="F7220"/>
    <hyperlink r:id="rId253" ref="M7270"/>
    <hyperlink r:id="rId254" ref="F7300"/>
    <hyperlink r:id="rId255" ref="N7302"/>
    <hyperlink r:id="rId256" ref="F7305"/>
    <hyperlink r:id="rId257" ref="F7312"/>
    <hyperlink r:id="rId258" ref="C7313"/>
    <hyperlink r:id="rId259" ref="F7313"/>
    <hyperlink r:id="rId260" ref="M7360"/>
    <hyperlink r:id="rId261" ref="F7376"/>
    <hyperlink r:id="rId262" ref="C7377"/>
    <hyperlink r:id="rId263" ref="F7377"/>
    <hyperlink r:id="rId264" ref="F7378"/>
    <hyperlink r:id="rId265" ref="C7379"/>
    <hyperlink r:id="rId266" ref="C7382"/>
    <hyperlink r:id="rId267" ref="F7385"/>
    <hyperlink r:id="rId268" ref="F7393"/>
    <hyperlink r:id="rId269" ref="F7394"/>
    <hyperlink r:id="rId270" ref="F7442"/>
    <hyperlink r:id="rId271" ref="F7499"/>
    <hyperlink r:id="rId272" ref="F7521"/>
    <hyperlink r:id="rId273" ref="C7711"/>
    <hyperlink r:id="rId274" ref="F7711"/>
    <hyperlink r:id="rId275" ref="C7717"/>
    <hyperlink r:id="rId276" ref="F7717"/>
    <hyperlink r:id="rId277" ref="F7737"/>
    <hyperlink r:id="rId278" ref="M7772"/>
    <hyperlink r:id="rId279" ref="F7802"/>
    <hyperlink r:id="rId280" ref="F7803"/>
    <hyperlink r:id="rId281" ref="M7825"/>
    <hyperlink r:id="rId282" ref="F7845"/>
    <hyperlink r:id="rId283" ref="F7870"/>
    <hyperlink r:id="rId284" ref="F7881"/>
    <hyperlink r:id="rId285" ref="F7883"/>
    <hyperlink r:id="rId286" ref="N7883"/>
    <hyperlink r:id="rId287" ref="F7896"/>
    <hyperlink r:id="rId288" ref="F7925"/>
    <hyperlink r:id="rId289" ref="C7936"/>
    <hyperlink r:id="rId290" ref="F7936"/>
    <hyperlink r:id="rId291" ref="F7950"/>
    <hyperlink r:id="rId292" ref="F7955"/>
    <hyperlink r:id="rId293" ref="C8026"/>
    <hyperlink r:id="rId294" ref="C8045"/>
    <hyperlink r:id="rId295" ref="C8046"/>
    <hyperlink r:id="rId296" ref="F8046"/>
    <hyperlink r:id="rId297" ref="C8047"/>
    <hyperlink r:id="rId298" ref="F8047"/>
    <hyperlink r:id="rId299" ref="N8188"/>
    <hyperlink r:id="rId300" ref="F8276"/>
    <hyperlink r:id="rId301" ref="F8301"/>
    <hyperlink r:id="rId302" ref="F8309"/>
    <hyperlink r:id="rId303" ref="C8363"/>
    <hyperlink r:id="rId304" ref="F8473"/>
    <hyperlink r:id="rId305" ref="F8513"/>
    <hyperlink r:id="rId306" ref="F8627"/>
    <hyperlink r:id="rId307" ref="F8636"/>
    <hyperlink r:id="rId308" ref="F8652"/>
    <hyperlink r:id="rId309" ref="F8653"/>
    <hyperlink r:id="rId310" ref="F8654"/>
    <hyperlink r:id="rId311" ref="F8695"/>
    <hyperlink r:id="rId312" ref="F8696"/>
    <hyperlink r:id="rId313" ref="F8734"/>
    <hyperlink r:id="rId314" ref="F8743"/>
    <hyperlink r:id="rId315" ref="C8767"/>
    <hyperlink r:id="rId316" ref="F8858"/>
    <hyperlink r:id="rId317" ref="F8872"/>
    <hyperlink r:id="rId318" ref="F8893"/>
    <hyperlink r:id="rId319" ref="F8948"/>
    <hyperlink r:id="rId320" ref="F8949"/>
    <hyperlink r:id="rId321" ref="M8966"/>
    <hyperlink r:id="rId322" ref="M8974"/>
    <hyperlink r:id="rId323" ref="F9017"/>
    <hyperlink r:id="rId324" ref="F9061"/>
    <hyperlink r:id="rId325" ref="C9080"/>
    <hyperlink r:id="rId326" ref="F9090"/>
    <hyperlink r:id="rId327" ref="F9134"/>
    <hyperlink r:id="rId328" ref="F9170"/>
    <hyperlink r:id="rId329" ref="F9201"/>
    <hyperlink r:id="rId330" ref="C9219"/>
    <hyperlink r:id="rId331" ref="F9241"/>
    <hyperlink r:id="rId332" ref="C9253"/>
    <hyperlink r:id="rId333" ref="F9291"/>
    <hyperlink r:id="rId334" ref="C9317"/>
    <hyperlink r:id="rId335" ref="F9335"/>
    <hyperlink r:id="rId336" ref="F9359"/>
    <hyperlink r:id="rId337" ref="C9363"/>
    <hyperlink r:id="rId338" ref="F9363"/>
    <hyperlink r:id="rId339" ref="F9369"/>
    <hyperlink r:id="rId340" ref="F9380"/>
    <hyperlink r:id="rId341" ref="F9388"/>
    <hyperlink r:id="rId342" ref="F9390"/>
    <hyperlink r:id="rId343" ref="F9391"/>
    <hyperlink r:id="rId344" ref="F9417"/>
    <hyperlink r:id="rId345" ref="M9422"/>
    <hyperlink r:id="rId346" ref="F9435"/>
    <hyperlink r:id="rId347" ref="F9448"/>
    <hyperlink r:id="rId348" ref="F9465"/>
    <hyperlink r:id="rId349" ref="F9579"/>
    <hyperlink r:id="rId350" ref="C9603"/>
    <hyperlink r:id="rId351" ref="F9640"/>
    <hyperlink r:id="rId352" ref="F9643"/>
    <hyperlink r:id="rId353" ref="F9664"/>
    <hyperlink r:id="rId354" ref="F9665"/>
    <hyperlink r:id="rId355" ref="F9666"/>
    <hyperlink r:id="rId356" ref="F9667"/>
    <hyperlink r:id="rId357" ref="F9668"/>
    <hyperlink r:id="rId358" ref="F9669"/>
    <hyperlink r:id="rId359" ref="F9670"/>
    <hyperlink r:id="rId360" ref="F9671"/>
    <hyperlink r:id="rId361" ref="F9672"/>
    <hyperlink r:id="rId362" ref="F9673"/>
    <hyperlink r:id="rId363" ref="F9674"/>
    <hyperlink r:id="rId364" ref="F9675"/>
    <hyperlink r:id="rId365" ref="F9676"/>
    <hyperlink r:id="rId366" ref="F9677"/>
    <hyperlink r:id="rId367" ref="F9678"/>
    <hyperlink r:id="rId368" ref="F9679"/>
    <hyperlink r:id="rId369" ref="F9680"/>
    <hyperlink r:id="rId370" ref="F9681"/>
    <hyperlink r:id="rId371" ref="F9682"/>
    <hyperlink r:id="rId372" ref="F9683"/>
    <hyperlink r:id="rId373" ref="F9684"/>
    <hyperlink r:id="rId374" ref="F9685"/>
    <hyperlink r:id="rId375" ref="F9686"/>
    <hyperlink r:id="rId376" ref="F9687"/>
    <hyperlink r:id="rId377" ref="F9688"/>
    <hyperlink r:id="rId378" ref="F9689"/>
    <hyperlink r:id="rId379" ref="F9690"/>
    <hyperlink r:id="rId380" ref="F9691"/>
    <hyperlink r:id="rId381" ref="F9692"/>
    <hyperlink r:id="rId382" ref="F9693"/>
    <hyperlink r:id="rId383" ref="F9694"/>
    <hyperlink r:id="rId384" ref="F9695"/>
    <hyperlink r:id="rId385" ref="F9696"/>
    <hyperlink r:id="rId386" ref="F9697"/>
    <hyperlink r:id="rId387" ref="F9698"/>
    <hyperlink r:id="rId388" ref="F9699"/>
    <hyperlink r:id="rId389" ref="F9700"/>
    <hyperlink r:id="rId390" ref="F9701"/>
    <hyperlink r:id="rId391" ref="F9702"/>
    <hyperlink r:id="rId392" ref="F9703"/>
    <hyperlink r:id="rId393" ref="F9704"/>
    <hyperlink r:id="rId394" ref="F9705"/>
    <hyperlink r:id="rId395" ref="F9706"/>
    <hyperlink r:id="rId396" ref="F9707"/>
    <hyperlink r:id="rId397" ref="F9708"/>
    <hyperlink r:id="rId398" ref="F9709"/>
    <hyperlink r:id="rId399" ref="F9710"/>
    <hyperlink r:id="rId400" ref="F9755"/>
    <hyperlink r:id="rId401" ref="F9756"/>
    <hyperlink r:id="rId402" ref="C9787"/>
    <hyperlink r:id="rId403" ref="N9808"/>
    <hyperlink r:id="rId404" ref="N9809"/>
    <hyperlink r:id="rId405" ref="N9813"/>
    <hyperlink r:id="rId406" ref="N9817"/>
    <hyperlink r:id="rId407" ref="F9906"/>
    <hyperlink r:id="rId408" ref="C10015"/>
    <hyperlink r:id="rId409" ref="F10017"/>
    <hyperlink r:id="rId410" ref="F10127"/>
    <hyperlink r:id="rId411" ref="F10288"/>
    <hyperlink r:id="rId412" ref="F10453"/>
    <hyperlink r:id="rId413" ref="C10514"/>
    <hyperlink r:id="rId414" ref="C10516"/>
    <hyperlink r:id="rId415" ref="C10523"/>
    <hyperlink r:id="rId416" ref="F10654"/>
    <hyperlink r:id="rId417" ref="F10658"/>
    <hyperlink r:id="rId418" ref="F10659"/>
    <hyperlink r:id="rId419" ref="F10877"/>
    <hyperlink r:id="rId420" ref="N10898"/>
    <hyperlink r:id="rId421" ref="C11034"/>
    <hyperlink r:id="rId422" ref="F11038"/>
    <hyperlink r:id="rId423" ref="F11044"/>
    <hyperlink r:id="rId424" ref="C11054"/>
    <hyperlink r:id="rId425" ref="F11119"/>
    <hyperlink r:id="rId426" ref="M11163"/>
    <hyperlink r:id="rId427" ref="M11261"/>
    <hyperlink r:id="rId428" ref="C11332"/>
    <hyperlink r:id="rId429" ref="F11332"/>
    <hyperlink r:id="rId430" ref="F11369"/>
    <hyperlink r:id="rId431" ref="F11393"/>
    <hyperlink r:id="rId432" ref="F11407"/>
    <hyperlink r:id="rId433" ref="F11433"/>
    <hyperlink r:id="rId434" ref="F11440"/>
    <hyperlink r:id="rId435" ref="F11449"/>
    <hyperlink r:id="rId436" ref="F11476"/>
    <hyperlink r:id="rId437" ref="F11477"/>
    <hyperlink r:id="rId438" ref="F11478"/>
    <hyperlink r:id="rId439" ref="F11479"/>
    <hyperlink r:id="rId440" ref="F11480"/>
    <hyperlink r:id="rId441" ref="F11481"/>
    <hyperlink r:id="rId442" ref="F11482"/>
    <hyperlink r:id="rId443" ref="F11483"/>
    <hyperlink r:id="rId444" ref="F11484"/>
    <hyperlink r:id="rId445" ref="F11485"/>
    <hyperlink r:id="rId446" ref="F11486"/>
    <hyperlink r:id="rId447" ref="F11487"/>
    <hyperlink r:id="rId448" ref="F11488"/>
    <hyperlink r:id="rId449" ref="F11489"/>
    <hyperlink r:id="rId450" ref="F11490"/>
    <hyperlink r:id="rId451" ref="F11491"/>
    <hyperlink r:id="rId452" ref="F11492"/>
    <hyperlink r:id="rId453" ref="F11493"/>
    <hyperlink r:id="rId454" ref="F11524"/>
    <hyperlink r:id="rId455" ref="F11532"/>
    <hyperlink r:id="rId456" ref="F11550"/>
    <hyperlink r:id="rId457" ref="F11554"/>
    <hyperlink r:id="rId458" ref="F11568"/>
    <hyperlink r:id="rId459" ref="C11569"/>
    <hyperlink r:id="rId460" ref="F11572"/>
    <hyperlink r:id="rId461" ref="F11574"/>
    <hyperlink r:id="rId462" ref="F11576"/>
    <hyperlink r:id="rId463" ref="F11599"/>
    <hyperlink r:id="rId464" ref="F11601"/>
    <hyperlink r:id="rId465" ref="F11602"/>
    <hyperlink r:id="rId466" ref="F11603"/>
    <hyperlink r:id="rId467" ref="F11604"/>
    <hyperlink r:id="rId468" ref="F11621"/>
    <hyperlink r:id="rId469" ref="F11622"/>
    <hyperlink r:id="rId470" ref="F11638"/>
    <hyperlink r:id="rId471" ref="F11646"/>
    <hyperlink r:id="rId472" ref="F11673"/>
    <hyperlink r:id="rId473" ref="F11674"/>
    <hyperlink r:id="rId474" ref="C11677"/>
    <hyperlink r:id="rId475" ref="F11677"/>
    <hyperlink r:id="rId476" ref="F11679"/>
    <hyperlink r:id="rId477" ref="F11680"/>
    <hyperlink r:id="rId478" ref="C11681"/>
    <hyperlink r:id="rId479" ref="F11682"/>
    <hyperlink r:id="rId480" ref="F11703"/>
    <hyperlink r:id="rId481" ref="F11705"/>
    <hyperlink r:id="rId482" ref="F11706"/>
    <hyperlink r:id="rId483" ref="F11707"/>
    <hyperlink r:id="rId484" ref="F11708"/>
    <hyperlink r:id="rId485" ref="C11715"/>
    <hyperlink r:id="rId486" ref="F11715"/>
    <hyperlink r:id="rId487" ref="F11727"/>
    <hyperlink r:id="rId488" ref="F11743"/>
    <hyperlink r:id="rId489" ref="F11773"/>
    <hyperlink r:id="rId490" ref="F11774"/>
    <hyperlink r:id="rId491" ref="F11800"/>
    <hyperlink r:id="rId492" ref="F11801"/>
    <hyperlink r:id="rId493" ref="F11802"/>
    <hyperlink r:id="rId494" ref="F11803"/>
    <hyperlink r:id="rId495" ref="F11806"/>
    <hyperlink r:id="rId496" ref="F11807"/>
    <hyperlink r:id="rId497" ref="F11826"/>
    <hyperlink r:id="rId498" ref="F11838"/>
    <hyperlink r:id="rId499" ref="F11839"/>
    <hyperlink r:id="rId500" ref="M11843"/>
    <hyperlink r:id="rId501" ref="N11867"/>
    <hyperlink r:id="rId502" ref="F11873"/>
    <hyperlink r:id="rId503" ref="C11878"/>
    <hyperlink r:id="rId504" ref="F11878"/>
    <hyperlink r:id="rId505" ref="N11878"/>
    <hyperlink r:id="rId506" ref="F11890"/>
    <hyperlink r:id="rId507" ref="F11899"/>
    <hyperlink r:id="rId508" ref="F11911"/>
    <hyperlink r:id="rId509" ref="F11928"/>
    <hyperlink r:id="rId510" ref="F11931"/>
    <hyperlink r:id="rId511" ref="F11936"/>
    <hyperlink r:id="rId512" ref="F11947"/>
    <hyperlink r:id="rId513" ref="F11948"/>
    <hyperlink r:id="rId514" ref="F11953"/>
    <hyperlink r:id="rId515" ref="N11953"/>
    <hyperlink r:id="rId516" ref="F12020"/>
    <hyperlink r:id="rId517" ref="M12022"/>
    <hyperlink r:id="rId518" ref="F12024"/>
    <hyperlink r:id="rId519" ref="F12049"/>
  </hyperlinks>
  <drawing r:id="rId52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2" width="22.71"/>
    <col customWidth="1" min="3" max="7" width="19.71"/>
  </cols>
  <sheetData>
    <row r="1" ht="24.0" customHeight="1">
      <c r="A1" s="2" t="s">
        <v>1</v>
      </c>
      <c r="B1" s="4" t="s">
        <v>3</v>
      </c>
      <c r="C1" s="6" t="s">
        <v>4</v>
      </c>
      <c r="D1" s="8"/>
      <c r="E1" s="8"/>
      <c r="F1" s="8"/>
      <c r="G1" s="10"/>
    </row>
    <row r="2">
      <c r="A2" s="12">
        <v>43032.994893888885</v>
      </c>
      <c r="B2" s="13" t="s">
        <v>20</v>
      </c>
      <c r="C2" s="15"/>
      <c r="D2" s="15"/>
      <c r="E2" s="16"/>
      <c r="F2" s="15"/>
      <c r="G2" s="15"/>
    </row>
    <row r="3">
      <c r="A3" s="17" t="s">
        <v>21</v>
      </c>
      <c r="B3" s="13" t="s">
        <v>22</v>
      </c>
      <c r="C3" s="15"/>
      <c r="D3" s="15"/>
      <c r="E3" s="16"/>
      <c r="F3" s="15"/>
      <c r="G3" s="15"/>
    </row>
    <row r="4">
      <c r="A4" s="17" t="s">
        <v>23</v>
      </c>
      <c r="B4" s="13" t="s">
        <v>24</v>
      </c>
      <c r="C4" s="15"/>
      <c r="D4" s="15"/>
      <c r="E4" s="16"/>
      <c r="F4" s="15"/>
      <c r="G4" s="15"/>
    </row>
    <row r="5">
      <c r="A5" s="17" t="s">
        <v>25</v>
      </c>
      <c r="B5" s="13" t="s">
        <v>26</v>
      </c>
      <c r="C5" s="15"/>
      <c r="D5" s="15"/>
      <c r="E5" s="16"/>
      <c r="F5" s="15"/>
      <c r="G5" s="15"/>
    </row>
    <row r="6">
      <c r="A6" s="17" t="s">
        <v>27</v>
      </c>
      <c r="B6" s="13" t="s">
        <v>28</v>
      </c>
      <c r="C6" s="15"/>
      <c r="D6" s="15"/>
      <c r="E6" s="16"/>
      <c r="F6" s="15"/>
      <c r="G6" s="15"/>
    </row>
    <row r="7">
      <c r="A7" s="17" t="s">
        <v>29</v>
      </c>
      <c r="B7" s="13" t="s">
        <v>30</v>
      </c>
      <c r="C7" s="15"/>
      <c r="D7" s="15"/>
      <c r="E7" s="16"/>
      <c r="F7" s="15"/>
      <c r="G7" s="15"/>
    </row>
    <row r="8">
      <c r="A8" s="18"/>
      <c r="B8" s="19"/>
      <c r="C8" s="15"/>
      <c r="D8" s="15"/>
      <c r="E8" s="16"/>
      <c r="F8" s="15"/>
      <c r="G8" s="15"/>
    </row>
    <row r="9">
      <c r="A9" s="18"/>
      <c r="B9" s="19"/>
      <c r="C9" s="15"/>
      <c r="D9" s="15"/>
      <c r="E9" s="16"/>
      <c r="F9" s="15"/>
      <c r="G9" s="15"/>
    </row>
    <row r="10">
      <c r="A10" s="18"/>
      <c r="B10" s="19"/>
      <c r="C10" s="15"/>
      <c r="D10" s="15"/>
      <c r="E10" s="16"/>
      <c r="F10" s="15"/>
      <c r="G10" s="15"/>
    </row>
    <row r="11">
      <c r="A11" s="18"/>
      <c r="B11" s="19"/>
      <c r="C11" s="15"/>
      <c r="D11" s="15"/>
      <c r="E11" s="16"/>
      <c r="F11" s="15"/>
      <c r="G11" s="15"/>
    </row>
    <row r="12">
      <c r="A12" s="18"/>
      <c r="B12" s="19"/>
      <c r="C12" s="15"/>
      <c r="D12" s="15"/>
      <c r="E12" s="16"/>
      <c r="F12" s="15"/>
      <c r="G12" s="15"/>
    </row>
    <row r="13">
      <c r="A13" s="18"/>
      <c r="B13" s="19"/>
      <c r="C13" s="15"/>
      <c r="D13" s="15"/>
      <c r="E13" s="16"/>
      <c r="F13" s="15"/>
      <c r="G13" s="15"/>
    </row>
    <row r="14">
      <c r="A14" s="18"/>
      <c r="B14" s="19"/>
      <c r="C14" s="15"/>
      <c r="D14" s="15"/>
      <c r="E14" s="16"/>
      <c r="F14" s="15"/>
      <c r="G14" s="15"/>
    </row>
    <row r="15">
      <c r="A15" s="18"/>
      <c r="B15" s="19"/>
      <c r="C15" s="15"/>
      <c r="D15" s="15"/>
      <c r="E15" s="16"/>
      <c r="F15" s="15"/>
      <c r="G15" s="15"/>
    </row>
    <row r="16">
      <c r="A16" s="18"/>
      <c r="B16" s="19"/>
      <c r="C16" s="15"/>
      <c r="D16" s="15"/>
      <c r="E16" s="16"/>
      <c r="F16" s="15"/>
      <c r="G16" s="15"/>
    </row>
    <row r="17">
      <c r="A17" s="18"/>
      <c r="B17" s="19"/>
      <c r="C17" s="15"/>
      <c r="D17" s="15"/>
      <c r="E17" s="16"/>
      <c r="F17" s="15"/>
      <c r="G17" s="15"/>
    </row>
    <row r="18">
      <c r="A18" s="18"/>
      <c r="B18" s="19"/>
      <c r="C18" s="15"/>
      <c r="D18" s="15"/>
      <c r="E18" s="16"/>
      <c r="F18" s="15"/>
      <c r="G18" s="15"/>
    </row>
    <row r="19">
      <c r="A19" s="18"/>
      <c r="B19" s="19"/>
      <c r="C19" s="15"/>
      <c r="D19" s="15"/>
      <c r="E19" s="16"/>
      <c r="F19" s="15"/>
      <c r="G19" s="15"/>
    </row>
    <row r="20">
      <c r="A20" s="18"/>
      <c r="B20" s="19"/>
      <c r="C20" s="15"/>
      <c r="D20" s="15"/>
      <c r="E20" s="16"/>
      <c r="F20" s="15"/>
      <c r="G20" s="15"/>
    </row>
    <row r="21">
      <c r="A21" s="18"/>
      <c r="B21" s="19"/>
      <c r="C21" s="15"/>
      <c r="D21" s="15"/>
      <c r="E21" s="16"/>
      <c r="F21" s="15"/>
      <c r="G21" s="15"/>
    </row>
    <row r="22">
      <c r="A22" s="18"/>
      <c r="B22" s="19"/>
      <c r="C22" s="15"/>
      <c r="D22" s="15"/>
      <c r="E22" s="16"/>
      <c r="F22" s="15"/>
      <c r="G22" s="15"/>
    </row>
    <row r="23">
      <c r="A23" s="18"/>
      <c r="B23" s="19"/>
      <c r="C23" s="15"/>
      <c r="D23" s="15"/>
      <c r="E23" s="16"/>
      <c r="F23" s="15"/>
      <c r="G23" s="15"/>
    </row>
    <row r="24">
      <c r="A24" s="18"/>
      <c r="B24" s="19"/>
      <c r="C24" s="15"/>
      <c r="D24" s="15"/>
      <c r="E24" s="16"/>
      <c r="F24" s="15"/>
      <c r="G24" s="15"/>
    </row>
    <row r="25">
      <c r="A25" s="18"/>
      <c r="B25" s="19"/>
      <c r="C25" s="15"/>
      <c r="D25" s="15"/>
      <c r="E25" s="16"/>
      <c r="F25" s="15"/>
      <c r="G25" s="15"/>
    </row>
    <row r="26">
      <c r="A26" s="18"/>
      <c r="B26" s="19"/>
      <c r="C26" s="15"/>
      <c r="D26" s="15"/>
      <c r="E26" s="16"/>
      <c r="F26" s="15"/>
      <c r="G26" s="15"/>
    </row>
    <row r="27">
      <c r="A27" s="18"/>
      <c r="B27" s="19"/>
      <c r="C27" s="15"/>
      <c r="D27" s="15"/>
      <c r="E27" s="16"/>
      <c r="F27" s="15"/>
      <c r="G27" s="15"/>
    </row>
    <row r="28">
      <c r="A28" s="18"/>
      <c r="B28" s="19"/>
      <c r="C28" s="15"/>
      <c r="D28" s="15"/>
      <c r="E28" s="16"/>
      <c r="F28" s="15"/>
      <c r="G28" s="15"/>
    </row>
    <row r="29">
      <c r="A29" s="18"/>
      <c r="B29" s="19"/>
      <c r="C29" s="15"/>
      <c r="D29" s="15"/>
      <c r="E29" s="16"/>
      <c r="F29" s="15"/>
      <c r="G29" s="15"/>
    </row>
    <row r="30">
      <c r="A30" s="18"/>
      <c r="B30" s="19"/>
      <c r="C30" s="15"/>
      <c r="D30" s="15"/>
      <c r="E30" s="16"/>
      <c r="F30" s="15"/>
      <c r="G30" s="15"/>
    </row>
    <row r="31">
      <c r="A31" s="18"/>
      <c r="B31" s="19"/>
      <c r="C31" s="15"/>
      <c r="D31" s="15"/>
      <c r="E31" s="16"/>
      <c r="F31" s="15"/>
      <c r="G31" s="15"/>
    </row>
    <row r="32">
      <c r="A32" s="18"/>
      <c r="B32" s="19"/>
      <c r="C32" s="15"/>
      <c r="D32" s="15"/>
      <c r="E32" s="16"/>
      <c r="F32" s="15"/>
      <c r="G32" s="15"/>
    </row>
    <row r="33">
      <c r="A33" s="18"/>
      <c r="B33" s="19"/>
      <c r="C33" s="15"/>
      <c r="D33" s="15"/>
      <c r="E33" s="16"/>
      <c r="F33" s="15"/>
      <c r="G33" s="15"/>
    </row>
    <row r="34">
      <c r="A34" s="18"/>
      <c r="B34" s="19"/>
      <c r="C34" s="15"/>
      <c r="D34" s="15"/>
      <c r="E34" s="16"/>
      <c r="F34" s="15"/>
      <c r="G34" s="15"/>
    </row>
    <row r="35">
      <c r="A35" s="18"/>
      <c r="B35" s="19"/>
      <c r="C35" s="15"/>
      <c r="D35" s="15"/>
      <c r="E35" s="16"/>
      <c r="F35" s="15"/>
      <c r="G35" s="15"/>
    </row>
    <row r="36">
      <c r="A36" s="18"/>
      <c r="B36" s="19"/>
      <c r="C36" s="15"/>
      <c r="D36" s="15"/>
      <c r="E36" s="16"/>
      <c r="F36" s="15"/>
      <c r="G36" s="15"/>
    </row>
    <row r="37">
      <c r="A37" s="18"/>
      <c r="B37" s="19"/>
      <c r="C37" s="15"/>
      <c r="D37" s="15"/>
      <c r="E37" s="16"/>
      <c r="F37" s="15"/>
      <c r="G37" s="15"/>
    </row>
    <row r="38">
      <c r="A38" s="18"/>
      <c r="B38" s="19"/>
      <c r="C38" s="15"/>
      <c r="D38" s="15"/>
      <c r="E38" s="16"/>
      <c r="F38" s="15"/>
      <c r="G38" s="15"/>
    </row>
    <row r="39">
      <c r="A39" s="18"/>
      <c r="B39" s="19"/>
      <c r="C39" s="15"/>
      <c r="D39" s="15"/>
      <c r="E39" s="16"/>
      <c r="F39" s="15"/>
      <c r="G39" s="15"/>
    </row>
    <row r="40">
      <c r="A40" s="18"/>
      <c r="B40" s="19"/>
      <c r="C40" s="15"/>
      <c r="D40" s="15"/>
      <c r="E40" s="16"/>
      <c r="F40" s="15"/>
      <c r="G40" s="15"/>
    </row>
    <row r="41">
      <c r="A41" s="18"/>
      <c r="B41" s="19"/>
      <c r="C41" s="15"/>
      <c r="D41" s="15"/>
      <c r="E41" s="16"/>
      <c r="F41" s="15"/>
      <c r="G41" s="15"/>
    </row>
    <row r="42">
      <c r="A42" s="18"/>
      <c r="B42" s="19"/>
      <c r="C42" s="15"/>
      <c r="D42" s="15"/>
      <c r="E42" s="16"/>
      <c r="F42" s="15"/>
      <c r="G42" s="15"/>
    </row>
    <row r="43">
      <c r="A43" s="18"/>
      <c r="B43" s="19"/>
      <c r="C43" s="15"/>
      <c r="D43" s="15"/>
      <c r="E43" s="16"/>
      <c r="F43" s="15"/>
      <c r="G43" s="15"/>
    </row>
    <row r="44">
      <c r="A44" s="18"/>
      <c r="B44" s="19"/>
      <c r="C44" s="15"/>
      <c r="D44" s="15"/>
      <c r="E44" s="16"/>
      <c r="F44" s="15"/>
      <c r="G44" s="15"/>
    </row>
    <row r="45">
      <c r="A45" s="18"/>
      <c r="B45" s="19"/>
      <c r="C45" s="15"/>
      <c r="D45" s="15"/>
      <c r="E45" s="16"/>
      <c r="F45" s="15"/>
      <c r="G45" s="15"/>
    </row>
    <row r="46">
      <c r="A46" s="18"/>
      <c r="B46" s="19"/>
      <c r="C46" s="15"/>
      <c r="D46" s="15"/>
      <c r="E46" s="16"/>
      <c r="F46" s="15"/>
      <c r="G46" s="15"/>
    </row>
    <row r="47">
      <c r="A47" s="18"/>
      <c r="B47" s="19"/>
      <c r="C47" s="15"/>
      <c r="D47" s="15"/>
      <c r="E47" s="16"/>
      <c r="F47" s="15"/>
      <c r="G47" s="15"/>
    </row>
    <row r="48">
      <c r="A48" s="18"/>
      <c r="B48" s="19"/>
      <c r="C48" s="15"/>
      <c r="D48" s="15"/>
      <c r="E48" s="16"/>
      <c r="F48" s="15"/>
      <c r="G48" s="15"/>
    </row>
    <row r="49">
      <c r="A49" s="18"/>
      <c r="B49" s="19"/>
      <c r="C49" s="15"/>
      <c r="D49" s="15"/>
      <c r="E49" s="16"/>
      <c r="F49" s="15"/>
      <c r="G49" s="15"/>
    </row>
    <row r="50">
      <c r="A50" s="18"/>
      <c r="B50" s="19"/>
      <c r="C50" s="15"/>
      <c r="D50" s="15"/>
      <c r="E50" s="16"/>
      <c r="F50" s="15"/>
      <c r="G50" s="15"/>
    </row>
    <row r="51">
      <c r="A51" s="18"/>
      <c r="B51" s="19"/>
      <c r="C51" s="15"/>
      <c r="D51" s="15"/>
      <c r="E51" s="16"/>
      <c r="F51" s="15"/>
      <c r="G51" s="15"/>
    </row>
    <row r="52">
      <c r="A52" s="18"/>
      <c r="B52" s="19"/>
      <c r="C52" s="15"/>
      <c r="D52" s="15"/>
      <c r="E52" s="16"/>
      <c r="F52" s="15"/>
      <c r="G52" s="15"/>
    </row>
    <row r="53">
      <c r="A53" s="18"/>
      <c r="B53" s="19"/>
      <c r="C53" s="15"/>
      <c r="D53" s="15"/>
      <c r="E53" s="16"/>
      <c r="F53" s="15"/>
      <c r="G53" s="15"/>
    </row>
    <row r="54">
      <c r="A54" s="18"/>
      <c r="B54" s="19"/>
      <c r="C54" s="15"/>
      <c r="D54" s="15"/>
      <c r="E54" s="16"/>
      <c r="F54" s="15"/>
      <c r="G54" s="15"/>
    </row>
    <row r="55">
      <c r="A55" s="18"/>
      <c r="B55" s="19"/>
      <c r="C55" s="15"/>
      <c r="D55" s="15"/>
      <c r="E55" s="16"/>
      <c r="F55" s="15"/>
      <c r="G55" s="15"/>
    </row>
    <row r="56">
      <c r="A56" s="18"/>
      <c r="B56" s="19"/>
      <c r="C56" s="15"/>
      <c r="D56" s="15"/>
      <c r="E56" s="16"/>
      <c r="F56" s="15"/>
      <c r="G56" s="15"/>
    </row>
    <row r="57">
      <c r="A57" s="18"/>
      <c r="B57" s="19"/>
      <c r="C57" s="15"/>
      <c r="D57" s="15"/>
      <c r="E57" s="16"/>
      <c r="F57" s="15"/>
      <c r="G57" s="15"/>
    </row>
    <row r="58">
      <c r="A58" s="18"/>
      <c r="B58" s="19"/>
      <c r="C58" s="15"/>
      <c r="D58" s="15"/>
      <c r="E58" s="16"/>
      <c r="F58" s="15"/>
      <c r="G58" s="15"/>
    </row>
    <row r="59">
      <c r="A59" s="18"/>
      <c r="B59" s="19"/>
      <c r="C59" s="15"/>
      <c r="D59" s="15"/>
      <c r="E59" s="16"/>
      <c r="F59" s="15"/>
      <c r="G59" s="15"/>
    </row>
    <row r="60">
      <c r="A60" s="18"/>
      <c r="B60" s="19"/>
      <c r="C60" s="15"/>
      <c r="D60" s="15"/>
      <c r="E60" s="16"/>
      <c r="F60" s="15"/>
      <c r="G60" s="15"/>
    </row>
    <row r="61">
      <c r="A61" s="18"/>
      <c r="B61" s="19"/>
      <c r="C61" s="15"/>
      <c r="D61" s="15"/>
      <c r="E61" s="16"/>
      <c r="F61" s="15"/>
      <c r="G61" s="15"/>
    </row>
    <row r="62">
      <c r="A62" s="18"/>
      <c r="B62" s="19"/>
      <c r="C62" s="15"/>
      <c r="D62" s="15"/>
      <c r="E62" s="16"/>
      <c r="F62" s="15"/>
      <c r="G62" s="15"/>
    </row>
    <row r="63">
      <c r="A63" s="18"/>
      <c r="B63" s="19"/>
      <c r="C63" s="15"/>
      <c r="D63" s="15"/>
      <c r="E63" s="16"/>
      <c r="F63" s="15"/>
      <c r="G63" s="15"/>
    </row>
    <row r="64">
      <c r="A64" s="18"/>
      <c r="B64" s="19"/>
      <c r="C64" s="15"/>
      <c r="D64" s="15"/>
      <c r="E64" s="16"/>
      <c r="F64" s="15"/>
      <c r="G64" s="15"/>
    </row>
    <row r="65">
      <c r="A65" s="18"/>
      <c r="B65" s="19"/>
      <c r="C65" s="15"/>
      <c r="D65" s="15"/>
      <c r="E65" s="16"/>
      <c r="F65" s="15"/>
      <c r="G65" s="15"/>
    </row>
    <row r="66">
      <c r="A66" s="18"/>
      <c r="B66" s="19"/>
      <c r="C66" s="15"/>
      <c r="D66" s="15"/>
      <c r="E66" s="16"/>
      <c r="F66" s="15"/>
      <c r="G66" s="15"/>
    </row>
    <row r="67">
      <c r="A67" s="18"/>
      <c r="B67" s="19"/>
      <c r="C67" s="15"/>
      <c r="D67" s="15"/>
      <c r="E67" s="16"/>
      <c r="F67" s="15"/>
      <c r="G67" s="15"/>
    </row>
    <row r="68">
      <c r="A68" s="18"/>
      <c r="B68" s="19"/>
      <c r="C68" s="15"/>
      <c r="D68" s="15"/>
      <c r="E68" s="16"/>
      <c r="F68" s="15"/>
      <c r="G68" s="15"/>
    </row>
    <row r="69">
      <c r="A69" s="18"/>
      <c r="B69" s="19"/>
      <c r="C69" s="15"/>
      <c r="D69" s="15"/>
      <c r="E69" s="16"/>
      <c r="F69" s="15"/>
      <c r="G69" s="15"/>
    </row>
    <row r="70">
      <c r="A70" s="18"/>
      <c r="B70" s="19"/>
      <c r="C70" s="15"/>
      <c r="D70" s="15"/>
      <c r="E70" s="16"/>
      <c r="F70" s="15"/>
      <c r="G70" s="15"/>
    </row>
    <row r="71">
      <c r="A71" s="18"/>
      <c r="B71" s="19"/>
      <c r="C71" s="15"/>
      <c r="D71" s="15"/>
      <c r="E71" s="16"/>
      <c r="F71" s="15"/>
      <c r="G71" s="15"/>
    </row>
    <row r="72">
      <c r="A72" s="18"/>
      <c r="B72" s="19"/>
      <c r="C72" s="15"/>
      <c r="D72" s="15"/>
      <c r="E72" s="16"/>
      <c r="F72" s="15"/>
      <c r="G72" s="15"/>
    </row>
    <row r="73">
      <c r="A73" s="18"/>
      <c r="B73" s="19"/>
      <c r="C73" s="15"/>
      <c r="D73" s="15"/>
      <c r="E73" s="16"/>
      <c r="F73" s="15"/>
      <c r="G73" s="15"/>
    </row>
    <row r="74">
      <c r="A74" s="18"/>
      <c r="B74" s="19"/>
      <c r="C74" s="15"/>
      <c r="D74" s="15"/>
      <c r="E74" s="16"/>
      <c r="F74" s="15"/>
      <c r="G74" s="15"/>
    </row>
    <row r="75">
      <c r="A75" s="18"/>
      <c r="B75" s="19"/>
      <c r="C75" s="15"/>
      <c r="D75" s="15"/>
      <c r="E75" s="16"/>
      <c r="F75" s="15"/>
      <c r="G75" s="15"/>
    </row>
    <row r="76">
      <c r="A76" s="18"/>
      <c r="B76" s="19"/>
      <c r="C76" s="15"/>
      <c r="D76" s="15"/>
      <c r="E76" s="16"/>
      <c r="F76" s="15"/>
      <c r="G76" s="15"/>
    </row>
    <row r="77">
      <c r="A77" s="18"/>
      <c r="B77" s="19"/>
      <c r="C77" s="15"/>
      <c r="D77" s="15"/>
      <c r="E77" s="16"/>
      <c r="F77" s="15"/>
      <c r="G77" s="15"/>
    </row>
    <row r="78">
      <c r="A78" s="18"/>
      <c r="B78" s="19"/>
      <c r="C78" s="15"/>
      <c r="D78" s="15"/>
      <c r="E78" s="16"/>
      <c r="F78" s="15"/>
      <c r="G78" s="15"/>
    </row>
    <row r="79">
      <c r="A79" s="18"/>
      <c r="B79" s="19"/>
      <c r="C79" s="15"/>
      <c r="D79" s="15"/>
      <c r="E79" s="16"/>
      <c r="F79" s="15"/>
      <c r="G79" s="15"/>
    </row>
    <row r="80">
      <c r="A80" s="18"/>
      <c r="B80" s="19"/>
      <c r="C80" s="15"/>
      <c r="D80" s="15"/>
      <c r="E80" s="16"/>
      <c r="F80" s="15"/>
      <c r="G80" s="15"/>
    </row>
    <row r="81">
      <c r="A81" s="18"/>
      <c r="B81" s="19"/>
      <c r="C81" s="15"/>
      <c r="D81" s="15"/>
      <c r="E81" s="16"/>
      <c r="F81" s="15"/>
      <c r="G81" s="15"/>
    </row>
    <row r="82">
      <c r="A82" s="18"/>
      <c r="B82" s="19"/>
      <c r="C82" s="15"/>
      <c r="D82" s="15"/>
      <c r="E82" s="16"/>
      <c r="F82" s="15"/>
      <c r="G82" s="15"/>
    </row>
    <row r="83">
      <c r="A83" s="18"/>
      <c r="B83" s="19"/>
      <c r="C83" s="15"/>
      <c r="D83" s="15"/>
      <c r="E83" s="16"/>
      <c r="F83" s="15"/>
      <c r="G83" s="15"/>
    </row>
    <row r="84">
      <c r="A84" s="18"/>
      <c r="B84" s="19"/>
      <c r="C84" s="15"/>
      <c r="D84" s="15"/>
      <c r="E84" s="16"/>
      <c r="F84" s="15"/>
      <c r="G84" s="15"/>
    </row>
    <row r="85">
      <c r="A85" s="18"/>
      <c r="B85" s="19"/>
      <c r="C85" s="15"/>
      <c r="D85" s="15"/>
      <c r="E85" s="16"/>
      <c r="F85" s="15"/>
      <c r="G85" s="15"/>
    </row>
    <row r="86">
      <c r="A86" s="18"/>
      <c r="B86" s="19"/>
      <c r="C86" s="15"/>
      <c r="D86" s="15"/>
      <c r="E86" s="16"/>
      <c r="F86" s="15"/>
      <c r="G86" s="15"/>
    </row>
    <row r="87">
      <c r="A87" s="18"/>
      <c r="B87" s="19"/>
      <c r="C87" s="15"/>
      <c r="D87" s="15"/>
      <c r="E87" s="16"/>
      <c r="F87" s="15"/>
      <c r="G87" s="15"/>
    </row>
    <row r="88">
      <c r="A88" s="18"/>
      <c r="B88" s="19"/>
      <c r="C88" s="15"/>
      <c r="D88" s="15"/>
      <c r="E88" s="16"/>
      <c r="F88" s="15"/>
      <c r="G88" s="15"/>
    </row>
    <row r="89">
      <c r="A89" s="18"/>
      <c r="B89" s="19"/>
      <c r="C89" s="15"/>
      <c r="D89" s="15"/>
      <c r="E89" s="16"/>
      <c r="F89" s="15"/>
      <c r="G89" s="15"/>
    </row>
    <row r="90">
      <c r="A90" s="18"/>
      <c r="B90" s="19"/>
      <c r="C90" s="15"/>
      <c r="D90" s="15"/>
      <c r="E90" s="16"/>
      <c r="F90" s="15"/>
      <c r="G90" s="15"/>
    </row>
    <row r="91">
      <c r="A91" s="18"/>
      <c r="B91" s="19"/>
      <c r="C91" s="15"/>
      <c r="D91" s="15"/>
      <c r="E91" s="16"/>
      <c r="F91" s="15"/>
      <c r="G91" s="15"/>
    </row>
    <row r="92">
      <c r="A92" s="18"/>
      <c r="B92" s="19"/>
      <c r="C92" s="15"/>
      <c r="D92" s="15"/>
      <c r="E92" s="16"/>
      <c r="F92" s="15"/>
      <c r="G92" s="15"/>
    </row>
    <row r="93">
      <c r="A93" s="18"/>
      <c r="B93" s="19"/>
      <c r="C93" s="15"/>
      <c r="D93" s="15"/>
      <c r="E93" s="16"/>
      <c r="F93" s="15"/>
      <c r="G93" s="15"/>
    </row>
    <row r="94">
      <c r="A94" s="18"/>
      <c r="B94" s="19"/>
      <c r="C94" s="15"/>
      <c r="D94" s="15"/>
      <c r="E94" s="16"/>
      <c r="F94" s="15"/>
      <c r="G94" s="15"/>
    </row>
    <row r="95">
      <c r="A95" s="18"/>
      <c r="B95" s="19"/>
      <c r="C95" s="15"/>
      <c r="D95" s="15"/>
      <c r="E95" s="16"/>
      <c r="F95" s="15"/>
      <c r="G95" s="15"/>
    </row>
    <row r="96">
      <c r="A96" s="18"/>
      <c r="B96" s="19"/>
      <c r="C96" s="15"/>
      <c r="D96" s="15"/>
      <c r="E96" s="16"/>
      <c r="F96" s="15"/>
      <c r="G96" s="15"/>
    </row>
    <row r="97">
      <c r="A97" s="18"/>
      <c r="B97" s="19"/>
      <c r="C97" s="15"/>
      <c r="D97" s="15"/>
      <c r="E97" s="16"/>
      <c r="F97" s="15"/>
      <c r="G97" s="15"/>
    </row>
    <row r="98">
      <c r="A98" s="18"/>
      <c r="B98" s="19"/>
      <c r="C98" s="15"/>
      <c r="D98" s="15"/>
      <c r="E98" s="16"/>
      <c r="F98" s="15"/>
      <c r="G98" s="15"/>
    </row>
    <row r="99">
      <c r="A99" s="18"/>
      <c r="B99" s="19"/>
      <c r="C99" s="15"/>
      <c r="D99" s="15"/>
      <c r="E99" s="16"/>
      <c r="F99" s="15"/>
      <c r="G99" s="15"/>
    </row>
    <row r="100">
      <c r="A100" s="18"/>
      <c r="B100" s="19"/>
      <c r="C100" s="15"/>
      <c r="D100" s="15"/>
      <c r="E100" s="16"/>
      <c r="F100" s="15"/>
      <c r="G100" s="15"/>
    </row>
    <row r="101">
      <c r="A101" s="18"/>
      <c r="B101" s="19"/>
      <c r="C101" s="15"/>
      <c r="D101" s="15"/>
      <c r="E101" s="16"/>
      <c r="F101" s="15"/>
      <c r="G101" s="15"/>
    </row>
    <row r="102">
      <c r="A102" s="18"/>
      <c r="B102" s="19"/>
      <c r="C102" s="15"/>
      <c r="D102" s="15"/>
      <c r="E102" s="16"/>
      <c r="F102" s="15"/>
      <c r="G102" s="15"/>
    </row>
    <row r="103">
      <c r="A103" s="18"/>
      <c r="B103" s="19"/>
      <c r="C103" s="15"/>
      <c r="D103" s="15"/>
      <c r="E103" s="16"/>
      <c r="F103" s="15"/>
      <c r="G103" s="15"/>
    </row>
    <row r="104">
      <c r="A104" s="18"/>
      <c r="B104" s="19"/>
      <c r="C104" s="15"/>
      <c r="D104" s="15"/>
      <c r="E104" s="16"/>
      <c r="F104" s="15"/>
      <c r="G104" s="15"/>
    </row>
    <row r="105">
      <c r="A105" s="18"/>
      <c r="B105" s="19"/>
      <c r="C105" s="15"/>
      <c r="D105" s="15"/>
      <c r="E105" s="16"/>
      <c r="F105" s="15"/>
      <c r="G105" s="15"/>
    </row>
    <row r="106">
      <c r="A106" s="18"/>
      <c r="B106" s="19"/>
      <c r="C106" s="15"/>
      <c r="D106" s="15"/>
      <c r="E106" s="16"/>
      <c r="F106" s="15"/>
      <c r="G106" s="15"/>
    </row>
    <row r="107">
      <c r="A107" s="18"/>
      <c r="B107" s="19"/>
      <c r="C107" s="15"/>
      <c r="D107" s="15"/>
      <c r="E107" s="16"/>
      <c r="F107" s="15"/>
      <c r="G107" s="15"/>
    </row>
    <row r="108">
      <c r="A108" s="18"/>
      <c r="B108" s="19"/>
      <c r="C108" s="15"/>
      <c r="D108" s="15"/>
      <c r="E108" s="16"/>
      <c r="F108" s="15"/>
      <c r="G108" s="15"/>
    </row>
    <row r="109">
      <c r="A109" s="18"/>
      <c r="B109" s="19"/>
      <c r="C109" s="15"/>
      <c r="D109" s="15"/>
      <c r="E109" s="16"/>
      <c r="F109" s="15"/>
      <c r="G109" s="15"/>
    </row>
    <row r="110">
      <c r="A110" s="18"/>
      <c r="B110" s="19"/>
      <c r="C110" s="15"/>
      <c r="D110" s="15"/>
      <c r="E110" s="16"/>
      <c r="F110" s="15"/>
      <c r="G110" s="15"/>
    </row>
    <row r="111">
      <c r="A111" s="18"/>
      <c r="B111" s="19"/>
      <c r="C111" s="15"/>
      <c r="D111" s="15"/>
      <c r="E111" s="16"/>
      <c r="F111" s="15"/>
      <c r="G111" s="15"/>
    </row>
    <row r="112">
      <c r="A112" s="18"/>
      <c r="B112" s="19"/>
      <c r="C112" s="15"/>
      <c r="D112" s="15"/>
      <c r="E112" s="16"/>
      <c r="F112" s="15"/>
      <c r="G112" s="15"/>
    </row>
    <row r="113">
      <c r="A113" s="18"/>
      <c r="B113" s="19"/>
      <c r="C113" s="15"/>
      <c r="D113" s="15"/>
      <c r="E113" s="16"/>
      <c r="F113" s="15"/>
      <c r="G113" s="15"/>
    </row>
    <row r="114">
      <c r="A114" s="18"/>
      <c r="B114" s="19"/>
      <c r="C114" s="15"/>
      <c r="D114" s="15"/>
      <c r="E114" s="16"/>
      <c r="F114" s="15"/>
      <c r="G114" s="15"/>
    </row>
    <row r="115">
      <c r="A115" s="18"/>
      <c r="B115" s="19"/>
      <c r="C115" s="15"/>
      <c r="D115" s="15"/>
      <c r="E115" s="16"/>
      <c r="F115" s="15"/>
      <c r="G115" s="15"/>
    </row>
    <row r="116">
      <c r="A116" s="18"/>
      <c r="B116" s="19"/>
      <c r="C116" s="15"/>
      <c r="D116" s="15"/>
      <c r="E116" s="16"/>
      <c r="F116" s="15"/>
      <c r="G116" s="15"/>
    </row>
    <row r="117">
      <c r="A117" s="18"/>
      <c r="B117" s="19"/>
      <c r="C117" s="15"/>
      <c r="D117" s="15"/>
      <c r="E117" s="16"/>
      <c r="F117" s="15"/>
      <c r="G117" s="15"/>
    </row>
    <row r="118">
      <c r="A118" s="18"/>
      <c r="B118" s="19"/>
      <c r="C118" s="15"/>
      <c r="D118" s="15"/>
      <c r="E118" s="16"/>
      <c r="F118" s="15"/>
      <c r="G118" s="15"/>
    </row>
    <row r="119">
      <c r="A119" s="18"/>
      <c r="B119" s="19"/>
      <c r="C119" s="15"/>
      <c r="D119" s="15"/>
      <c r="E119" s="16"/>
      <c r="F119" s="15"/>
      <c r="G119" s="15"/>
    </row>
    <row r="120">
      <c r="A120" s="18"/>
      <c r="B120" s="19"/>
      <c r="C120" s="15"/>
      <c r="D120" s="15"/>
      <c r="E120" s="16"/>
      <c r="F120" s="15"/>
      <c r="G120" s="15"/>
    </row>
    <row r="121">
      <c r="A121" s="18"/>
      <c r="B121" s="19"/>
      <c r="C121" s="15"/>
      <c r="D121" s="15"/>
      <c r="E121" s="16"/>
      <c r="F121" s="15"/>
      <c r="G121" s="15"/>
    </row>
    <row r="122">
      <c r="A122" s="18"/>
      <c r="B122" s="19"/>
      <c r="C122" s="15"/>
      <c r="D122" s="15"/>
      <c r="E122" s="16"/>
      <c r="F122" s="15"/>
      <c r="G122" s="15"/>
    </row>
    <row r="123">
      <c r="A123" s="18"/>
      <c r="B123" s="19"/>
      <c r="C123" s="15"/>
      <c r="D123" s="15"/>
      <c r="E123" s="16"/>
      <c r="F123" s="15"/>
      <c r="G123" s="15"/>
    </row>
    <row r="124">
      <c r="A124" s="18"/>
      <c r="B124" s="19"/>
      <c r="C124" s="15"/>
      <c r="D124" s="15"/>
      <c r="E124" s="16"/>
      <c r="F124" s="15"/>
      <c r="G124" s="15"/>
    </row>
    <row r="125">
      <c r="A125" s="18"/>
      <c r="B125" s="19"/>
      <c r="C125" s="15"/>
      <c r="D125" s="15"/>
      <c r="E125" s="16"/>
      <c r="F125" s="15"/>
      <c r="G125" s="15"/>
    </row>
    <row r="126">
      <c r="A126" s="18"/>
      <c r="B126" s="19"/>
      <c r="C126" s="15"/>
      <c r="D126" s="15"/>
      <c r="E126" s="16"/>
      <c r="F126" s="15"/>
      <c r="G126" s="15"/>
    </row>
    <row r="127">
      <c r="A127" s="18"/>
      <c r="B127" s="19"/>
      <c r="C127" s="15"/>
      <c r="D127" s="15"/>
      <c r="E127" s="16"/>
      <c r="F127" s="15"/>
      <c r="G127" s="15"/>
    </row>
    <row r="128">
      <c r="A128" s="18"/>
      <c r="B128" s="19"/>
      <c r="C128" s="15"/>
      <c r="D128" s="15"/>
      <c r="E128" s="16"/>
      <c r="F128" s="15"/>
      <c r="G128" s="15"/>
    </row>
    <row r="129">
      <c r="A129" s="18"/>
      <c r="B129" s="19"/>
      <c r="C129" s="15"/>
      <c r="D129" s="15"/>
      <c r="E129" s="16"/>
      <c r="F129" s="15"/>
      <c r="G129" s="15"/>
    </row>
    <row r="130">
      <c r="A130" s="18"/>
      <c r="B130" s="19"/>
      <c r="C130" s="15"/>
      <c r="D130" s="15"/>
      <c r="E130" s="16"/>
      <c r="F130" s="15"/>
      <c r="G130" s="15"/>
    </row>
    <row r="131">
      <c r="A131" s="18"/>
      <c r="B131" s="19"/>
      <c r="C131" s="15"/>
      <c r="D131" s="15"/>
      <c r="E131" s="16"/>
      <c r="F131" s="15"/>
      <c r="G131" s="15"/>
    </row>
    <row r="132">
      <c r="A132" s="18"/>
      <c r="B132" s="19"/>
      <c r="C132" s="15"/>
      <c r="D132" s="15"/>
      <c r="E132" s="16"/>
      <c r="F132" s="15"/>
      <c r="G132" s="15"/>
    </row>
    <row r="133">
      <c r="A133" s="18"/>
      <c r="B133" s="19"/>
      <c r="C133" s="15"/>
      <c r="D133" s="15"/>
      <c r="E133" s="16"/>
      <c r="F133" s="15"/>
      <c r="G133" s="15"/>
    </row>
    <row r="134">
      <c r="A134" s="18"/>
      <c r="B134" s="19"/>
      <c r="C134" s="15"/>
      <c r="D134" s="15"/>
      <c r="E134" s="16"/>
      <c r="F134" s="15"/>
      <c r="G134" s="15"/>
    </row>
    <row r="135">
      <c r="A135" s="18"/>
      <c r="B135" s="19"/>
      <c r="C135" s="15"/>
      <c r="D135" s="15"/>
      <c r="E135" s="16"/>
      <c r="F135" s="15"/>
      <c r="G135" s="15"/>
    </row>
    <row r="136">
      <c r="A136" s="18"/>
      <c r="B136" s="19"/>
      <c r="C136" s="15"/>
      <c r="D136" s="15"/>
      <c r="E136" s="16"/>
      <c r="F136" s="15"/>
      <c r="G136" s="15"/>
    </row>
    <row r="137">
      <c r="A137" s="18"/>
      <c r="B137" s="19"/>
      <c r="C137" s="15"/>
      <c r="D137" s="15"/>
      <c r="E137" s="16"/>
      <c r="F137" s="15"/>
      <c r="G137" s="15"/>
    </row>
    <row r="138">
      <c r="A138" s="18"/>
      <c r="B138" s="19"/>
      <c r="C138" s="15"/>
      <c r="D138" s="15"/>
      <c r="E138" s="16"/>
      <c r="F138" s="15"/>
      <c r="G138" s="15"/>
    </row>
    <row r="139">
      <c r="A139" s="18"/>
      <c r="B139" s="19"/>
      <c r="C139" s="15"/>
      <c r="D139" s="15"/>
      <c r="E139" s="16"/>
      <c r="F139" s="15"/>
      <c r="G139" s="15"/>
    </row>
    <row r="140">
      <c r="A140" s="18"/>
      <c r="B140" s="19"/>
      <c r="C140" s="15"/>
      <c r="D140" s="15"/>
      <c r="E140" s="16"/>
      <c r="F140" s="15"/>
      <c r="G140" s="15"/>
    </row>
    <row r="141">
      <c r="A141" s="18"/>
      <c r="B141" s="19"/>
      <c r="C141" s="15"/>
      <c r="D141" s="15"/>
      <c r="E141" s="16"/>
      <c r="F141" s="15"/>
      <c r="G141" s="15"/>
    </row>
    <row r="142">
      <c r="A142" s="18"/>
      <c r="B142" s="19"/>
      <c r="C142" s="15"/>
      <c r="D142" s="15"/>
      <c r="E142" s="16"/>
      <c r="F142" s="15"/>
      <c r="G142" s="15"/>
    </row>
    <row r="143">
      <c r="A143" s="18"/>
      <c r="B143" s="19"/>
      <c r="C143" s="15"/>
      <c r="D143" s="15"/>
      <c r="E143" s="16"/>
      <c r="F143" s="15"/>
      <c r="G143" s="15"/>
    </row>
    <row r="144">
      <c r="A144" s="18"/>
      <c r="B144" s="19"/>
      <c r="C144" s="15"/>
      <c r="D144" s="15"/>
      <c r="E144" s="16"/>
      <c r="F144" s="15"/>
      <c r="G144" s="15"/>
    </row>
    <row r="145">
      <c r="A145" s="18"/>
      <c r="B145" s="19"/>
      <c r="C145" s="15"/>
      <c r="D145" s="15"/>
      <c r="E145" s="16"/>
      <c r="F145" s="15"/>
      <c r="G145" s="15"/>
    </row>
    <row r="146">
      <c r="A146" s="18"/>
      <c r="B146" s="19"/>
      <c r="C146" s="15"/>
      <c r="D146" s="15"/>
      <c r="E146" s="16"/>
      <c r="F146" s="15"/>
      <c r="G146" s="15"/>
    </row>
    <row r="147">
      <c r="A147" s="18"/>
      <c r="B147" s="19"/>
      <c r="C147" s="15"/>
      <c r="D147" s="15"/>
      <c r="E147" s="16"/>
      <c r="F147" s="15"/>
      <c r="G147" s="15"/>
    </row>
    <row r="148">
      <c r="A148" s="18"/>
      <c r="B148" s="19"/>
      <c r="C148" s="15"/>
      <c r="D148" s="15"/>
      <c r="E148" s="16"/>
      <c r="F148" s="15"/>
      <c r="G148" s="15"/>
    </row>
    <row r="149">
      <c r="A149" s="18"/>
      <c r="B149" s="19"/>
      <c r="C149" s="15"/>
      <c r="D149" s="15"/>
      <c r="E149" s="16"/>
      <c r="F149" s="15"/>
      <c r="G149" s="15"/>
    </row>
    <row r="150">
      <c r="A150" s="18"/>
      <c r="B150" s="19"/>
      <c r="C150" s="15"/>
      <c r="D150" s="15"/>
      <c r="E150" s="16"/>
      <c r="F150" s="15"/>
      <c r="G150" s="15"/>
    </row>
    <row r="151">
      <c r="A151" s="18"/>
      <c r="B151" s="19"/>
      <c r="C151" s="15"/>
      <c r="D151" s="15"/>
      <c r="E151" s="16"/>
      <c r="F151" s="15"/>
      <c r="G151" s="15"/>
    </row>
    <row r="152">
      <c r="A152" s="18"/>
      <c r="B152" s="19"/>
      <c r="C152" s="15"/>
      <c r="D152" s="15"/>
      <c r="E152" s="16"/>
      <c r="F152" s="15"/>
      <c r="G152" s="15"/>
    </row>
    <row r="153">
      <c r="A153" s="18"/>
      <c r="B153" s="19"/>
      <c r="C153" s="15"/>
      <c r="D153" s="15"/>
      <c r="E153" s="16"/>
      <c r="F153" s="15"/>
      <c r="G153" s="15"/>
    </row>
    <row r="154">
      <c r="A154" s="18"/>
      <c r="B154" s="19"/>
      <c r="C154" s="15"/>
      <c r="D154" s="15"/>
      <c r="E154" s="16"/>
      <c r="F154" s="15"/>
      <c r="G154" s="15"/>
    </row>
    <row r="155">
      <c r="A155" s="18"/>
      <c r="B155" s="19"/>
      <c r="C155" s="15"/>
      <c r="D155" s="15"/>
      <c r="E155" s="16"/>
      <c r="F155" s="15"/>
      <c r="G155" s="15"/>
    </row>
    <row r="156">
      <c r="A156" s="18"/>
      <c r="B156" s="19"/>
      <c r="C156" s="15"/>
      <c r="D156" s="15"/>
      <c r="E156" s="16"/>
      <c r="F156" s="15"/>
      <c r="G156" s="15"/>
    </row>
    <row r="157">
      <c r="A157" s="18"/>
      <c r="B157" s="19"/>
      <c r="C157" s="15"/>
      <c r="D157" s="15"/>
      <c r="E157" s="16"/>
      <c r="F157" s="15"/>
      <c r="G157" s="15"/>
    </row>
    <row r="158">
      <c r="A158" s="18"/>
      <c r="B158" s="19"/>
      <c r="C158" s="15"/>
      <c r="D158" s="15"/>
      <c r="E158" s="16"/>
      <c r="F158" s="15"/>
      <c r="G158" s="15"/>
    </row>
    <row r="159">
      <c r="A159" s="18"/>
      <c r="B159" s="19"/>
      <c r="C159" s="15"/>
      <c r="D159" s="15"/>
      <c r="E159" s="16"/>
      <c r="F159" s="15"/>
      <c r="G159" s="15"/>
    </row>
    <row r="160">
      <c r="A160" s="18"/>
      <c r="B160" s="19"/>
      <c r="C160" s="15"/>
      <c r="D160" s="15"/>
      <c r="E160" s="16"/>
      <c r="F160" s="15"/>
      <c r="G160" s="15"/>
    </row>
    <row r="161">
      <c r="A161" s="18"/>
      <c r="B161" s="19"/>
      <c r="C161" s="15"/>
      <c r="D161" s="15"/>
      <c r="E161" s="16"/>
      <c r="F161" s="15"/>
      <c r="G161" s="15"/>
    </row>
    <row r="162">
      <c r="A162" s="18"/>
      <c r="B162" s="19"/>
      <c r="C162" s="15"/>
      <c r="D162" s="15"/>
      <c r="E162" s="16"/>
      <c r="F162" s="15"/>
      <c r="G162" s="15"/>
    </row>
    <row r="163">
      <c r="A163" s="18"/>
      <c r="B163" s="19"/>
      <c r="C163" s="15"/>
      <c r="D163" s="15"/>
      <c r="E163" s="16"/>
      <c r="F163" s="15"/>
      <c r="G163" s="15"/>
    </row>
    <row r="164">
      <c r="A164" s="18"/>
      <c r="B164" s="19"/>
      <c r="C164" s="15"/>
      <c r="D164" s="15"/>
      <c r="E164" s="16"/>
      <c r="F164" s="15"/>
      <c r="G164" s="15"/>
    </row>
    <row r="165">
      <c r="A165" s="18"/>
      <c r="B165" s="19"/>
      <c r="C165" s="15"/>
      <c r="D165" s="15"/>
      <c r="E165" s="16"/>
      <c r="F165" s="15"/>
      <c r="G165" s="15"/>
    </row>
    <row r="166">
      <c r="A166" s="18"/>
      <c r="B166" s="19"/>
      <c r="C166" s="15"/>
      <c r="D166" s="15"/>
      <c r="E166" s="16"/>
      <c r="F166" s="15"/>
      <c r="G166" s="15"/>
    </row>
    <row r="167">
      <c r="A167" s="18"/>
      <c r="B167" s="19"/>
      <c r="C167" s="15"/>
      <c r="D167" s="15"/>
      <c r="E167" s="16"/>
      <c r="F167" s="15"/>
      <c r="G167" s="15"/>
    </row>
    <row r="168">
      <c r="A168" s="18"/>
      <c r="B168" s="19"/>
      <c r="C168" s="15"/>
      <c r="D168" s="15"/>
      <c r="E168" s="16"/>
      <c r="F168" s="15"/>
      <c r="G168" s="15"/>
    </row>
    <row r="169">
      <c r="A169" s="18"/>
      <c r="B169" s="19"/>
      <c r="C169" s="15"/>
      <c r="D169" s="15"/>
      <c r="E169" s="16"/>
      <c r="F169" s="15"/>
      <c r="G169" s="15"/>
    </row>
    <row r="170">
      <c r="A170" s="18"/>
      <c r="B170" s="19"/>
      <c r="C170" s="15"/>
      <c r="D170" s="15"/>
      <c r="E170" s="16"/>
      <c r="F170" s="15"/>
      <c r="G170" s="15"/>
    </row>
    <row r="171">
      <c r="A171" s="18"/>
      <c r="B171" s="19"/>
      <c r="C171" s="15"/>
      <c r="D171" s="15"/>
      <c r="E171" s="16"/>
      <c r="F171" s="15"/>
      <c r="G171" s="15"/>
    </row>
    <row r="172">
      <c r="A172" s="18"/>
      <c r="B172" s="19"/>
      <c r="C172" s="15"/>
      <c r="D172" s="15"/>
      <c r="E172" s="16"/>
      <c r="F172" s="15"/>
      <c r="G172" s="15"/>
    </row>
    <row r="173">
      <c r="A173" s="18"/>
      <c r="B173" s="19"/>
      <c r="C173" s="15"/>
      <c r="D173" s="15"/>
      <c r="E173" s="16"/>
      <c r="F173" s="15"/>
      <c r="G173" s="15"/>
    </row>
    <row r="174">
      <c r="A174" s="18"/>
      <c r="B174" s="19"/>
      <c r="C174" s="15"/>
      <c r="D174" s="15"/>
      <c r="E174" s="16"/>
      <c r="F174" s="15"/>
      <c r="G174" s="15"/>
    </row>
    <row r="175">
      <c r="A175" s="18"/>
      <c r="B175" s="19"/>
      <c r="C175" s="15"/>
      <c r="D175" s="15"/>
      <c r="E175" s="16"/>
      <c r="F175" s="15"/>
      <c r="G175" s="15"/>
    </row>
    <row r="176">
      <c r="A176" s="18"/>
      <c r="B176" s="19"/>
      <c r="C176" s="15"/>
      <c r="D176" s="15"/>
      <c r="E176" s="16"/>
      <c r="F176" s="15"/>
      <c r="G176" s="15"/>
    </row>
    <row r="177">
      <c r="A177" s="18"/>
      <c r="B177" s="19"/>
      <c r="C177" s="15"/>
      <c r="D177" s="15"/>
      <c r="E177" s="16"/>
      <c r="F177" s="15"/>
      <c r="G177" s="15"/>
    </row>
    <row r="178">
      <c r="A178" s="18"/>
      <c r="B178" s="19"/>
      <c r="C178" s="15"/>
      <c r="D178" s="15"/>
      <c r="E178" s="16"/>
      <c r="F178" s="15"/>
      <c r="G178" s="15"/>
    </row>
    <row r="179">
      <c r="A179" s="18"/>
      <c r="B179" s="19"/>
      <c r="C179" s="15"/>
      <c r="D179" s="15"/>
      <c r="E179" s="16"/>
      <c r="F179" s="15"/>
      <c r="G179" s="15"/>
    </row>
    <row r="180">
      <c r="A180" s="18"/>
      <c r="B180" s="19"/>
      <c r="C180" s="15"/>
      <c r="D180" s="15"/>
      <c r="E180" s="16"/>
      <c r="F180" s="15"/>
      <c r="G180" s="15"/>
    </row>
    <row r="181">
      <c r="A181" s="18"/>
      <c r="B181" s="19"/>
      <c r="C181" s="15"/>
      <c r="D181" s="15"/>
      <c r="E181" s="16"/>
      <c r="F181" s="15"/>
      <c r="G181" s="15"/>
    </row>
    <row r="182">
      <c r="A182" s="18"/>
      <c r="B182" s="19"/>
      <c r="C182" s="15"/>
      <c r="D182" s="15"/>
      <c r="E182" s="16"/>
      <c r="F182" s="15"/>
      <c r="G182" s="15"/>
    </row>
    <row r="183">
      <c r="A183" s="18"/>
      <c r="B183" s="19"/>
      <c r="C183" s="15"/>
      <c r="D183" s="15"/>
      <c r="E183" s="16"/>
      <c r="F183" s="15"/>
      <c r="G183" s="15"/>
    </row>
    <row r="184">
      <c r="A184" s="18"/>
      <c r="B184" s="19"/>
      <c r="C184" s="15"/>
      <c r="D184" s="15"/>
      <c r="E184" s="16"/>
      <c r="F184" s="15"/>
      <c r="G184" s="15"/>
    </row>
    <row r="185">
      <c r="A185" s="18"/>
      <c r="B185" s="19"/>
      <c r="C185" s="15"/>
      <c r="D185" s="15"/>
      <c r="E185" s="16"/>
      <c r="F185" s="15"/>
      <c r="G185" s="15"/>
    </row>
    <row r="186">
      <c r="A186" s="18"/>
      <c r="B186" s="19"/>
      <c r="C186" s="15"/>
      <c r="D186" s="15"/>
      <c r="E186" s="16"/>
      <c r="F186" s="15"/>
      <c r="G186" s="15"/>
    </row>
    <row r="187">
      <c r="A187" s="18"/>
      <c r="B187" s="19"/>
      <c r="C187" s="15"/>
      <c r="D187" s="15"/>
      <c r="E187" s="16"/>
      <c r="F187" s="15"/>
      <c r="G187" s="15"/>
    </row>
    <row r="188">
      <c r="A188" s="18"/>
      <c r="B188" s="19"/>
      <c r="C188" s="15"/>
      <c r="D188" s="15"/>
      <c r="E188" s="16"/>
      <c r="F188" s="15"/>
      <c r="G188" s="15"/>
    </row>
    <row r="189">
      <c r="A189" s="18"/>
      <c r="B189" s="19"/>
      <c r="C189" s="15"/>
      <c r="D189" s="15"/>
      <c r="E189" s="16"/>
      <c r="F189" s="15"/>
      <c r="G189" s="15"/>
    </row>
    <row r="190">
      <c r="A190" s="18"/>
      <c r="B190" s="19"/>
      <c r="C190" s="15"/>
      <c r="D190" s="15"/>
      <c r="E190" s="16"/>
      <c r="F190" s="15"/>
      <c r="G190" s="15"/>
    </row>
    <row r="191">
      <c r="A191" s="18"/>
      <c r="B191" s="19"/>
      <c r="C191" s="15"/>
      <c r="D191" s="15"/>
      <c r="E191" s="16"/>
      <c r="F191" s="15"/>
      <c r="G191" s="15"/>
    </row>
    <row r="192">
      <c r="A192" s="18"/>
      <c r="B192" s="19"/>
      <c r="C192" s="15"/>
      <c r="D192" s="15"/>
      <c r="E192" s="16"/>
      <c r="F192" s="15"/>
      <c r="G192" s="15"/>
    </row>
    <row r="193">
      <c r="A193" s="18"/>
      <c r="B193" s="19"/>
      <c r="C193" s="15"/>
      <c r="D193" s="15"/>
      <c r="E193" s="16"/>
      <c r="F193" s="15"/>
      <c r="G193" s="15"/>
    </row>
    <row r="194">
      <c r="A194" s="18"/>
      <c r="B194" s="19"/>
      <c r="C194" s="15"/>
      <c r="D194" s="15"/>
      <c r="E194" s="16"/>
      <c r="F194" s="15"/>
      <c r="G194" s="15"/>
    </row>
    <row r="195">
      <c r="A195" s="18"/>
      <c r="B195" s="19"/>
      <c r="C195" s="15"/>
      <c r="D195" s="15"/>
      <c r="E195" s="16"/>
      <c r="F195" s="15"/>
      <c r="G195" s="15"/>
    </row>
    <row r="196">
      <c r="A196" s="18"/>
      <c r="B196" s="19"/>
      <c r="C196" s="15"/>
      <c r="D196" s="15"/>
      <c r="E196" s="16"/>
      <c r="F196" s="15"/>
      <c r="G196" s="15"/>
    </row>
    <row r="197">
      <c r="A197" s="18"/>
      <c r="B197" s="19"/>
      <c r="C197" s="15"/>
      <c r="D197" s="15"/>
      <c r="E197" s="16"/>
      <c r="F197" s="15"/>
      <c r="G197" s="15"/>
    </row>
    <row r="198">
      <c r="A198" s="18"/>
      <c r="B198" s="19"/>
      <c r="C198" s="15"/>
      <c r="D198" s="15"/>
      <c r="E198" s="16"/>
      <c r="F198" s="15"/>
      <c r="G198" s="15"/>
    </row>
    <row r="199">
      <c r="A199" s="18"/>
      <c r="B199" s="19"/>
      <c r="C199" s="15"/>
      <c r="D199" s="15"/>
      <c r="E199" s="16"/>
      <c r="F199" s="15"/>
      <c r="G199" s="15"/>
    </row>
    <row r="200">
      <c r="A200" s="18"/>
      <c r="B200" s="19"/>
      <c r="C200" s="15"/>
      <c r="D200" s="15"/>
      <c r="E200" s="16"/>
      <c r="F200" s="15"/>
      <c r="G200" s="15"/>
    </row>
    <row r="201">
      <c r="A201" s="18"/>
      <c r="B201" s="19"/>
      <c r="C201" s="15"/>
      <c r="D201" s="15"/>
      <c r="E201" s="16"/>
      <c r="F201" s="15"/>
      <c r="G201" s="15"/>
    </row>
    <row r="202">
      <c r="A202" s="18"/>
      <c r="B202" s="19"/>
      <c r="C202" s="15"/>
      <c r="D202" s="15"/>
      <c r="E202" s="16"/>
      <c r="F202" s="15"/>
      <c r="G202" s="15"/>
    </row>
    <row r="203">
      <c r="A203" s="18"/>
      <c r="B203" s="19"/>
      <c r="C203" s="15"/>
      <c r="D203" s="15"/>
      <c r="E203" s="16"/>
      <c r="F203" s="15"/>
      <c r="G203" s="15"/>
    </row>
    <row r="204">
      <c r="A204" s="18"/>
      <c r="B204" s="19"/>
      <c r="C204" s="15"/>
      <c r="D204" s="15"/>
      <c r="E204" s="16"/>
      <c r="F204" s="15"/>
      <c r="G204" s="15"/>
    </row>
    <row r="205">
      <c r="A205" s="18"/>
      <c r="B205" s="19"/>
      <c r="C205" s="15"/>
      <c r="D205" s="15"/>
      <c r="E205" s="16"/>
      <c r="F205" s="15"/>
      <c r="G205" s="15"/>
    </row>
    <row r="206">
      <c r="A206" s="18"/>
      <c r="B206" s="19"/>
      <c r="C206" s="15"/>
      <c r="D206" s="15"/>
      <c r="E206" s="16"/>
      <c r="F206" s="15"/>
      <c r="G206" s="15"/>
    </row>
    <row r="207">
      <c r="A207" s="18"/>
      <c r="B207" s="19"/>
      <c r="C207" s="15"/>
      <c r="D207" s="15"/>
      <c r="E207" s="16"/>
      <c r="F207" s="15"/>
      <c r="G207" s="15"/>
    </row>
    <row r="208">
      <c r="A208" s="18"/>
      <c r="B208" s="19"/>
      <c r="C208" s="15"/>
      <c r="D208" s="15"/>
      <c r="E208" s="16"/>
      <c r="F208" s="15"/>
      <c r="G208" s="15"/>
    </row>
    <row r="209">
      <c r="A209" s="18"/>
      <c r="B209" s="19"/>
      <c r="C209" s="15"/>
      <c r="D209" s="15"/>
      <c r="E209" s="16"/>
      <c r="F209" s="15"/>
      <c r="G209" s="15"/>
    </row>
    <row r="210">
      <c r="A210" s="18"/>
      <c r="B210" s="19"/>
      <c r="C210" s="15"/>
      <c r="D210" s="15"/>
      <c r="E210" s="16"/>
      <c r="F210" s="15"/>
      <c r="G210" s="15"/>
    </row>
    <row r="211">
      <c r="A211" s="18"/>
      <c r="B211" s="19"/>
      <c r="C211" s="15"/>
      <c r="D211" s="15"/>
      <c r="E211" s="16"/>
      <c r="F211" s="15"/>
      <c r="G211" s="15"/>
    </row>
    <row r="212">
      <c r="A212" s="18"/>
      <c r="B212" s="19"/>
      <c r="C212" s="15"/>
      <c r="D212" s="15"/>
      <c r="E212" s="16"/>
      <c r="F212" s="15"/>
      <c r="G212" s="15"/>
    </row>
    <row r="213">
      <c r="A213" s="18"/>
      <c r="B213" s="19"/>
      <c r="C213" s="15"/>
      <c r="D213" s="15"/>
      <c r="E213" s="16"/>
      <c r="F213" s="15"/>
      <c r="G213" s="15"/>
    </row>
    <row r="214">
      <c r="A214" s="18"/>
      <c r="B214" s="19"/>
      <c r="C214" s="15"/>
      <c r="D214" s="15"/>
      <c r="E214" s="16"/>
      <c r="F214" s="15"/>
      <c r="G214" s="15"/>
    </row>
    <row r="215">
      <c r="A215" s="18"/>
      <c r="B215" s="19"/>
      <c r="C215" s="15"/>
      <c r="D215" s="15"/>
      <c r="E215" s="16"/>
      <c r="F215" s="15"/>
      <c r="G215" s="15"/>
    </row>
    <row r="216">
      <c r="A216" s="18"/>
      <c r="B216" s="19"/>
      <c r="C216" s="15"/>
      <c r="D216" s="15"/>
      <c r="E216" s="16"/>
      <c r="F216" s="15"/>
      <c r="G216" s="15"/>
    </row>
    <row r="217">
      <c r="A217" s="18"/>
      <c r="B217" s="19"/>
      <c r="C217" s="15"/>
      <c r="D217" s="15"/>
      <c r="E217" s="16"/>
      <c r="F217" s="15"/>
      <c r="G217" s="15"/>
    </row>
    <row r="218">
      <c r="A218" s="18"/>
      <c r="B218" s="19"/>
      <c r="C218" s="15"/>
      <c r="D218" s="15"/>
      <c r="E218" s="16"/>
      <c r="F218" s="15"/>
      <c r="G218" s="15"/>
    </row>
    <row r="219">
      <c r="A219" s="18"/>
      <c r="B219" s="19"/>
      <c r="C219" s="15"/>
      <c r="D219" s="15"/>
      <c r="E219" s="16"/>
      <c r="F219" s="15"/>
      <c r="G219" s="15"/>
    </row>
    <row r="220">
      <c r="A220" s="18"/>
      <c r="B220" s="19"/>
      <c r="C220" s="15"/>
      <c r="D220" s="15"/>
      <c r="E220" s="16"/>
      <c r="F220" s="15"/>
      <c r="G220" s="15"/>
    </row>
    <row r="221">
      <c r="A221" s="18"/>
      <c r="B221" s="19"/>
      <c r="C221" s="15"/>
      <c r="D221" s="15"/>
      <c r="E221" s="16"/>
      <c r="F221" s="15"/>
      <c r="G221" s="15"/>
    </row>
    <row r="222">
      <c r="A222" s="18"/>
      <c r="B222" s="19"/>
      <c r="C222" s="15"/>
      <c r="D222" s="15"/>
      <c r="E222" s="16"/>
      <c r="F222" s="15"/>
      <c r="G222" s="15"/>
    </row>
    <row r="223">
      <c r="A223" s="18"/>
      <c r="B223" s="19"/>
      <c r="C223" s="15"/>
      <c r="D223" s="15"/>
      <c r="E223" s="16"/>
      <c r="F223" s="15"/>
      <c r="G223" s="15"/>
    </row>
    <row r="224">
      <c r="A224" s="18"/>
      <c r="B224" s="19"/>
      <c r="C224" s="15"/>
      <c r="D224" s="15"/>
      <c r="E224" s="16"/>
      <c r="F224" s="15"/>
      <c r="G224" s="15"/>
    </row>
    <row r="225">
      <c r="A225" s="18"/>
      <c r="B225" s="19"/>
      <c r="C225" s="15"/>
      <c r="D225" s="15"/>
      <c r="E225" s="16"/>
      <c r="F225" s="15"/>
      <c r="G225" s="15"/>
    </row>
    <row r="226">
      <c r="A226" s="18"/>
      <c r="B226" s="19"/>
      <c r="C226" s="15"/>
      <c r="D226" s="15"/>
      <c r="E226" s="16"/>
      <c r="F226" s="15"/>
      <c r="G226" s="15"/>
    </row>
    <row r="227">
      <c r="A227" s="18"/>
      <c r="B227" s="19"/>
      <c r="C227" s="15"/>
      <c r="D227" s="15"/>
      <c r="E227" s="16"/>
      <c r="F227" s="15"/>
      <c r="G227" s="15"/>
    </row>
    <row r="228">
      <c r="A228" s="18"/>
      <c r="B228" s="19"/>
      <c r="C228" s="15"/>
      <c r="D228" s="15"/>
      <c r="E228" s="16"/>
      <c r="F228" s="15"/>
      <c r="G228" s="15"/>
    </row>
    <row r="229">
      <c r="A229" s="18"/>
      <c r="B229" s="19"/>
      <c r="C229" s="15"/>
      <c r="D229" s="15"/>
      <c r="E229" s="16"/>
      <c r="F229" s="15"/>
      <c r="G229" s="15"/>
    </row>
    <row r="230">
      <c r="A230" s="18"/>
      <c r="B230" s="19"/>
      <c r="C230" s="15"/>
      <c r="D230" s="15"/>
      <c r="E230" s="16"/>
      <c r="F230" s="15"/>
      <c r="G230" s="15"/>
    </row>
    <row r="231">
      <c r="A231" s="18"/>
      <c r="B231" s="19"/>
      <c r="C231" s="15"/>
      <c r="D231" s="15"/>
      <c r="E231" s="16"/>
      <c r="F231" s="15"/>
      <c r="G231" s="15"/>
    </row>
    <row r="232">
      <c r="A232" s="18"/>
      <c r="B232" s="19"/>
      <c r="C232" s="15"/>
      <c r="D232" s="15"/>
      <c r="E232" s="16"/>
      <c r="F232" s="15"/>
      <c r="G232" s="15"/>
    </row>
    <row r="233">
      <c r="A233" s="18"/>
      <c r="B233" s="19"/>
      <c r="C233" s="15"/>
      <c r="D233" s="15"/>
      <c r="E233" s="16"/>
      <c r="F233" s="15"/>
      <c r="G233" s="15"/>
    </row>
    <row r="234">
      <c r="A234" s="18"/>
      <c r="B234" s="19"/>
      <c r="C234" s="15"/>
      <c r="D234" s="15"/>
      <c r="E234" s="16"/>
      <c r="F234" s="15"/>
      <c r="G234" s="15"/>
    </row>
    <row r="235">
      <c r="A235" s="18"/>
      <c r="B235" s="19"/>
      <c r="C235" s="15"/>
      <c r="D235" s="15"/>
      <c r="E235" s="16"/>
      <c r="F235" s="15"/>
      <c r="G235" s="15"/>
    </row>
    <row r="236">
      <c r="A236" s="18"/>
      <c r="B236" s="19"/>
      <c r="C236" s="15"/>
      <c r="D236" s="15"/>
      <c r="E236" s="16"/>
      <c r="F236" s="15"/>
      <c r="G236" s="15"/>
    </row>
    <row r="237">
      <c r="A237" s="18"/>
      <c r="B237" s="19"/>
      <c r="C237" s="15"/>
      <c r="D237" s="15"/>
      <c r="E237" s="16"/>
      <c r="F237" s="15"/>
      <c r="G237" s="15"/>
    </row>
    <row r="238">
      <c r="A238" s="18"/>
      <c r="B238" s="19"/>
      <c r="C238" s="15"/>
      <c r="D238" s="15"/>
      <c r="E238" s="16"/>
      <c r="F238" s="15"/>
      <c r="G238" s="15"/>
    </row>
    <row r="239">
      <c r="A239" s="18"/>
      <c r="B239" s="19"/>
      <c r="C239" s="15"/>
      <c r="D239" s="15"/>
      <c r="E239" s="16"/>
      <c r="F239" s="15"/>
      <c r="G239" s="15"/>
    </row>
    <row r="240">
      <c r="A240" s="18"/>
      <c r="B240" s="19"/>
      <c r="C240" s="15"/>
      <c r="D240" s="15"/>
      <c r="E240" s="16"/>
      <c r="F240" s="15"/>
      <c r="G240" s="15"/>
    </row>
    <row r="241">
      <c r="A241" s="18"/>
      <c r="B241" s="19"/>
      <c r="C241" s="15"/>
      <c r="D241" s="15"/>
      <c r="E241" s="16"/>
      <c r="F241" s="15"/>
      <c r="G241" s="15"/>
    </row>
    <row r="242">
      <c r="A242" s="18"/>
      <c r="B242" s="19"/>
      <c r="C242" s="15"/>
      <c r="D242" s="15"/>
      <c r="E242" s="16"/>
      <c r="F242" s="15"/>
      <c r="G242" s="15"/>
    </row>
    <row r="243">
      <c r="A243" s="18"/>
      <c r="B243" s="19"/>
      <c r="C243" s="15"/>
      <c r="D243" s="15"/>
      <c r="E243" s="16"/>
      <c r="F243" s="15"/>
      <c r="G243" s="15"/>
    </row>
    <row r="244">
      <c r="A244" s="18"/>
      <c r="B244" s="19"/>
      <c r="C244" s="15"/>
      <c r="D244" s="15"/>
      <c r="E244" s="16"/>
      <c r="F244" s="15"/>
      <c r="G244" s="15"/>
    </row>
    <row r="245">
      <c r="A245" s="18"/>
      <c r="B245" s="19"/>
      <c r="C245" s="15"/>
      <c r="D245" s="15"/>
      <c r="E245" s="16"/>
      <c r="F245" s="15"/>
      <c r="G245" s="15"/>
    </row>
    <row r="246">
      <c r="A246" s="18"/>
      <c r="B246" s="19"/>
      <c r="C246" s="15"/>
      <c r="D246" s="15"/>
      <c r="E246" s="16"/>
      <c r="F246" s="15"/>
      <c r="G246" s="15"/>
    </row>
    <row r="247">
      <c r="A247" s="18"/>
      <c r="B247" s="19"/>
      <c r="C247" s="15"/>
      <c r="D247" s="15"/>
      <c r="E247" s="16"/>
      <c r="F247" s="15"/>
      <c r="G247" s="15"/>
    </row>
    <row r="248">
      <c r="A248" s="18"/>
      <c r="B248" s="19"/>
      <c r="C248" s="15"/>
      <c r="D248" s="15"/>
      <c r="E248" s="16"/>
      <c r="F248" s="15"/>
      <c r="G248" s="15"/>
    </row>
    <row r="249">
      <c r="A249" s="18"/>
      <c r="B249" s="19"/>
      <c r="C249" s="15"/>
      <c r="D249" s="15"/>
      <c r="E249" s="16"/>
      <c r="F249" s="15"/>
      <c r="G249" s="15"/>
    </row>
    <row r="250">
      <c r="A250" s="18"/>
      <c r="B250" s="19"/>
      <c r="C250" s="15"/>
      <c r="D250" s="15"/>
      <c r="E250" s="16"/>
      <c r="F250" s="15"/>
      <c r="G250" s="15"/>
    </row>
    <row r="251">
      <c r="A251" s="18"/>
      <c r="B251" s="19"/>
      <c r="C251" s="15"/>
      <c r="D251" s="15"/>
      <c r="E251" s="16"/>
      <c r="F251" s="15"/>
      <c r="G251" s="15"/>
    </row>
    <row r="252">
      <c r="A252" s="18"/>
      <c r="B252" s="19"/>
      <c r="C252" s="15"/>
      <c r="D252" s="15"/>
      <c r="E252" s="16"/>
      <c r="F252" s="15"/>
      <c r="G252" s="15"/>
    </row>
    <row r="253">
      <c r="A253" s="18"/>
      <c r="B253" s="19"/>
      <c r="C253" s="15"/>
      <c r="D253" s="15"/>
      <c r="E253" s="16"/>
      <c r="F253" s="15"/>
      <c r="G253" s="15"/>
    </row>
    <row r="254">
      <c r="A254" s="18"/>
      <c r="B254" s="19"/>
      <c r="C254" s="15"/>
      <c r="D254" s="15"/>
      <c r="E254" s="16"/>
      <c r="F254" s="15"/>
      <c r="G254" s="15"/>
    </row>
    <row r="255">
      <c r="A255" s="18"/>
      <c r="B255" s="19"/>
      <c r="C255" s="15"/>
      <c r="D255" s="15"/>
      <c r="E255" s="16"/>
      <c r="F255" s="15"/>
      <c r="G255" s="15"/>
    </row>
    <row r="256">
      <c r="A256" s="18"/>
      <c r="B256" s="19"/>
      <c r="C256" s="15"/>
      <c r="D256" s="15"/>
      <c r="E256" s="16"/>
      <c r="F256" s="15"/>
      <c r="G256" s="15"/>
    </row>
    <row r="257">
      <c r="A257" s="18"/>
      <c r="B257" s="19"/>
      <c r="C257" s="15"/>
      <c r="D257" s="15"/>
      <c r="E257" s="16"/>
      <c r="F257" s="15"/>
      <c r="G257" s="15"/>
    </row>
    <row r="258">
      <c r="A258" s="18"/>
      <c r="B258" s="19"/>
      <c r="C258" s="15"/>
      <c r="D258" s="15"/>
      <c r="E258" s="16"/>
      <c r="F258" s="15"/>
      <c r="G258" s="15"/>
    </row>
    <row r="259">
      <c r="A259" s="18"/>
      <c r="B259" s="19"/>
      <c r="C259" s="15"/>
      <c r="D259" s="15"/>
      <c r="E259" s="16"/>
      <c r="F259" s="15"/>
      <c r="G259" s="15"/>
    </row>
    <row r="260">
      <c r="A260" s="18"/>
      <c r="B260" s="19"/>
      <c r="C260" s="15"/>
      <c r="D260" s="15"/>
      <c r="E260" s="16"/>
      <c r="F260" s="15"/>
      <c r="G260" s="15"/>
    </row>
    <row r="261">
      <c r="A261" s="18"/>
      <c r="B261" s="19"/>
      <c r="C261" s="15"/>
      <c r="D261" s="15"/>
      <c r="E261" s="16"/>
      <c r="F261" s="15"/>
      <c r="G261" s="15"/>
    </row>
    <row r="262">
      <c r="A262" s="18"/>
      <c r="B262" s="19"/>
      <c r="C262" s="15"/>
      <c r="D262" s="15"/>
      <c r="E262" s="16"/>
      <c r="F262" s="15"/>
      <c r="G262" s="15"/>
    </row>
    <row r="263">
      <c r="A263" s="18"/>
      <c r="B263" s="19"/>
      <c r="C263" s="15"/>
      <c r="D263" s="15"/>
      <c r="E263" s="16"/>
      <c r="F263" s="15"/>
      <c r="G263" s="15"/>
    </row>
    <row r="264">
      <c r="A264" s="18"/>
      <c r="B264" s="19"/>
      <c r="C264" s="15"/>
      <c r="D264" s="15"/>
      <c r="E264" s="16"/>
      <c r="F264" s="15"/>
      <c r="G264" s="15"/>
    </row>
    <row r="265">
      <c r="A265" s="18"/>
      <c r="B265" s="19"/>
      <c r="C265" s="15"/>
      <c r="D265" s="15"/>
      <c r="E265" s="16"/>
      <c r="F265" s="15"/>
      <c r="G265" s="15"/>
    </row>
    <row r="266">
      <c r="A266" s="18"/>
      <c r="B266" s="19"/>
      <c r="C266" s="15"/>
      <c r="D266" s="15"/>
      <c r="E266" s="16"/>
      <c r="F266" s="15"/>
      <c r="G266" s="15"/>
    </row>
    <row r="267">
      <c r="A267" s="18"/>
      <c r="B267" s="19"/>
      <c r="C267" s="15"/>
      <c r="D267" s="15"/>
      <c r="E267" s="16"/>
      <c r="F267" s="15"/>
      <c r="G267" s="15"/>
    </row>
    <row r="268">
      <c r="A268" s="18"/>
      <c r="B268" s="19"/>
      <c r="C268" s="15"/>
      <c r="D268" s="15"/>
      <c r="E268" s="16"/>
      <c r="F268" s="15"/>
      <c r="G268" s="15"/>
    </row>
    <row r="269">
      <c r="A269" s="18"/>
      <c r="B269" s="19"/>
      <c r="C269" s="15"/>
      <c r="D269" s="15"/>
      <c r="E269" s="16"/>
      <c r="F269" s="15"/>
      <c r="G269" s="15"/>
    </row>
    <row r="270">
      <c r="A270" s="18"/>
      <c r="B270" s="19"/>
      <c r="C270" s="15"/>
      <c r="D270" s="15"/>
      <c r="E270" s="16"/>
      <c r="F270" s="15"/>
      <c r="G270" s="15"/>
    </row>
    <row r="271">
      <c r="A271" s="18"/>
      <c r="B271" s="19"/>
      <c r="C271" s="15"/>
      <c r="D271" s="15"/>
      <c r="E271" s="16"/>
      <c r="F271" s="15"/>
      <c r="G271" s="15"/>
    </row>
    <row r="272">
      <c r="A272" s="18"/>
      <c r="B272" s="19"/>
      <c r="C272" s="15"/>
      <c r="D272" s="15"/>
      <c r="E272" s="16"/>
      <c r="F272" s="15"/>
      <c r="G272" s="15"/>
    </row>
    <row r="273">
      <c r="A273" s="18"/>
      <c r="B273" s="19"/>
      <c r="C273" s="15"/>
      <c r="D273" s="15"/>
      <c r="E273" s="16"/>
      <c r="F273" s="15"/>
      <c r="G273" s="15"/>
    </row>
    <row r="274">
      <c r="A274" s="18"/>
      <c r="B274" s="19"/>
      <c r="C274" s="15"/>
      <c r="D274" s="15"/>
      <c r="E274" s="16"/>
      <c r="F274" s="15"/>
      <c r="G274" s="15"/>
    </row>
    <row r="275">
      <c r="A275" s="18"/>
      <c r="B275" s="19"/>
      <c r="C275" s="15"/>
      <c r="D275" s="15"/>
      <c r="E275" s="16"/>
      <c r="F275" s="15"/>
      <c r="G275" s="15"/>
    </row>
    <row r="276">
      <c r="A276" s="18"/>
      <c r="B276" s="19"/>
      <c r="C276" s="15"/>
      <c r="D276" s="15"/>
      <c r="E276" s="16"/>
      <c r="F276" s="15"/>
      <c r="G276" s="15"/>
    </row>
    <row r="277">
      <c r="A277" s="18"/>
      <c r="B277" s="19"/>
      <c r="C277" s="15"/>
      <c r="D277" s="15"/>
      <c r="E277" s="16"/>
      <c r="F277" s="15"/>
      <c r="G277" s="15"/>
    </row>
    <row r="278">
      <c r="A278" s="18"/>
      <c r="B278" s="19"/>
      <c r="C278" s="15"/>
      <c r="D278" s="15"/>
      <c r="E278" s="16"/>
      <c r="F278" s="15"/>
      <c r="G278" s="15"/>
    </row>
    <row r="279">
      <c r="A279" s="18"/>
      <c r="B279" s="19"/>
      <c r="C279" s="15"/>
      <c r="D279" s="15"/>
      <c r="E279" s="16"/>
      <c r="F279" s="15"/>
      <c r="G279" s="15"/>
    </row>
    <row r="280">
      <c r="A280" s="18"/>
      <c r="B280" s="19"/>
      <c r="C280" s="15"/>
      <c r="D280" s="15"/>
      <c r="E280" s="16"/>
      <c r="F280" s="15"/>
      <c r="G280" s="15"/>
    </row>
    <row r="281">
      <c r="A281" s="18"/>
      <c r="B281" s="19"/>
      <c r="C281" s="15"/>
      <c r="D281" s="15"/>
      <c r="E281" s="16"/>
      <c r="F281" s="15"/>
      <c r="G281" s="15"/>
    </row>
    <row r="282">
      <c r="A282" s="18"/>
      <c r="B282" s="19"/>
      <c r="C282" s="15"/>
      <c r="D282" s="15"/>
      <c r="E282" s="16"/>
      <c r="F282" s="15"/>
      <c r="G282" s="15"/>
    </row>
    <row r="283">
      <c r="A283" s="18"/>
      <c r="B283" s="19"/>
      <c r="C283" s="15"/>
      <c r="D283" s="15"/>
      <c r="E283" s="16"/>
      <c r="F283" s="15"/>
      <c r="G283" s="15"/>
    </row>
    <row r="284">
      <c r="A284" s="18"/>
      <c r="B284" s="19"/>
      <c r="C284" s="15"/>
      <c r="D284" s="15"/>
      <c r="E284" s="16"/>
      <c r="F284" s="15"/>
      <c r="G284" s="15"/>
    </row>
    <row r="285">
      <c r="A285" s="18"/>
      <c r="B285" s="19"/>
      <c r="C285" s="15"/>
      <c r="D285" s="15"/>
      <c r="E285" s="16"/>
      <c r="F285" s="15"/>
      <c r="G285" s="15"/>
    </row>
    <row r="286">
      <c r="A286" s="18"/>
      <c r="B286" s="19"/>
      <c r="C286" s="15"/>
      <c r="D286" s="15"/>
      <c r="E286" s="16"/>
      <c r="F286" s="15"/>
      <c r="G286" s="15"/>
    </row>
    <row r="287">
      <c r="A287" s="18"/>
      <c r="B287" s="19"/>
      <c r="C287" s="15"/>
      <c r="D287" s="15"/>
      <c r="E287" s="16"/>
      <c r="F287" s="15"/>
      <c r="G287" s="15"/>
    </row>
    <row r="288">
      <c r="A288" s="18"/>
      <c r="B288" s="19"/>
      <c r="C288" s="15"/>
      <c r="D288" s="15"/>
      <c r="E288" s="16"/>
      <c r="F288" s="15"/>
      <c r="G288" s="15"/>
    </row>
    <row r="289">
      <c r="A289" s="18"/>
      <c r="B289" s="19"/>
      <c r="C289" s="15"/>
      <c r="D289" s="15"/>
      <c r="E289" s="16"/>
      <c r="F289" s="15"/>
      <c r="G289" s="15"/>
    </row>
    <row r="290">
      <c r="A290" s="18"/>
      <c r="B290" s="19"/>
      <c r="C290" s="15"/>
      <c r="D290" s="15"/>
      <c r="E290" s="16"/>
      <c r="F290" s="15"/>
      <c r="G290" s="15"/>
    </row>
    <row r="291">
      <c r="A291" s="18"/>
      <c r="B291" s="19"/>
      <c r="C291" s="15"/>
      <c r="D291" s="15"/>
      <c r="E291" s="16"/>
      <c r="F291" s="15"/>
      <c r="G291" s="15"/>
    </row>
    <row r="292">
      <c r="A292" s="18"/>
      <c r="B292" s="19"/>
      <c r="C292" s="15"/>
      <c r="D292" s="15"/>
      <c r="E292" s="16"/>
      <c r="F292" s="15"/>
      <c r="G292" s="15"/>
    </row>
    <row r="293">
      <c r="A293" s="18"/>
      <c r="B293" s="19"/>
      <c r="C293" s="15"/>
      <c r="D293" s="15"/>
      <c r="E293" s="16"/>
      <c r="F293" s="15"/>
      <c r="G293" s="15"/>
    </row>
    <row r="294">
      <c r="A294" s="18"/>
      <c r="B294" s="19"/>
      <c r="C294" s="15"/>
      <c r="D294" s="15"/>
      <c r="E294" s="16"/>
      <c r="F294" s="15"/>
      <c r="G294" s="15"/>
    </row>
    <row r="295">
      <c r="A295" s="18"/>
      <c r="B295" s="19"/>
      <c r="C295" s="15"/>
      <c r="D295" s="15"/>
      <c r="E295" s="16"/>
      <c r="F295" s="15"/>
      <c r="G295" s="15"/>
    </row>
    <row r="296">
      <c r="A296" s="18"/>
      <c r="B296" s="19"/>
      <c r="C296" s="15"/>
      <c r="D296" s="15"/>
      <c r="E296" s="16"/>
      <c r="F296" s="15"/>
      <c r="G296" s="15"/>
    </row>
    <row r="297">
      <c r="A297" s="18"/>
      <c r="B297" s="19"/>
      <c r="C297" s="15"/>
      <c r="D297" s="15"/>
      <c r="E297" s="16"/>
      <c r="F297" s="15"/>
      <c r="G297" s="15"/>
    </row>
    <row r="298">
      <c r="A298" s="18"/>
      <c r="B298" s="19"/>
      <c r="C298" s="15"/>
      <c r="D298" s="15"/>
      <c r="E298" s="16"/>
      <c r="F298" s="15"/>
      <c r="G298" s="15"/>
    </row>
    <row r="299">
      <c r="A299" s="18"/>
      <c r="B299" s="19"/>
      <c r="C299" s="15"/>
      <c r="D299" s="15"/>
      <c r="E299" s="16"/>
      <c r="F299" s="15"/>
      <c r="G299" s="15"/>
    </row>
    <row r="300">
      <c r="A300" s="18"/>
      <c r="B300" s="19"/>
      <c r="C300" s="15"/>
      <c r="D300" s="15"/>
      <c r="E300" s="16"/>
      <c r="F300" s="15"/>
      <c r="G300" s="15"/>
    </row>
    <row r="301">
      <c r="A301" s="18"/>
      <c r="B301" s="19"/>
      <c r="C301" s="15"/>
      <c r="D301" s="15"/>
      <c r="E301" s="16"/>
      <c r="F301" s="15"/>
      <c r="G301" s="15"/>
    </row>
    <row r="302">
      <c r="A302" s="18"/>
      <c r="B302" s="19"/>
      <c r="C302" s="15"/>
      <c r="D302" s="15"/>
      <c r="E302" s="16"/>
      <c r="F302" s="15"/>
      <c r="G302" s="15"/>
    </row>
    <row r="303">
      <c r="A303" s="18"/>
      <c r="B303" s="19"/>
      <c r="C303" s="15"/>
      <c r="D303" s="15"/>
      <c r="E303" s="16"/>
      <c r="F303" s="15"/>
      <c r="G303" s="15"/>
    </row>
    <row r="304">
      <c r="A304" s="18"/>
      <c r="B304" s="19"/>
      <c r="C304" s="15"/>
      <c r="D304" s="15"/>
      <c r="E304" s="16"/>
      <c r="F304" s="15"/>
      <c r="G304" s="15"/>
    </row>
    <row r="305">
      <c r="A305" s="18"/>
      <c r="B305" s="19"/>
      <c r="C305" s="15"/>
      <c r="D305" s="15"/>
      <c r="E305" s="16"/>
      <c r="F305" s="15"/>
      <c r="G305" s="15"/>
    </row>
    <row r="306">
      <c r="A306" s="18"/>
      <c r="B306" s="19"/>
      <c r="C306" s="15"/>
      <c r="D306" s="15"/>
      <c r="E306" s="16"/>
      <c r="F306" s="15"/>
      <c r="G306" s="15"/>
    </row>
    <row r="307">
      <c r="A307" s="18"/>
      <c r="B307" s="19"/>
      <c r="C307" s="15"/>
      <c r="D307" s="15"/>
      <c r="E307" s="16"/>
      <c r="F307" s="15"/>
      <c r="G307" s="15"/>
    </row>
    <row r="308">
      <c r="A308" s="18"/>
      <c r="B308" s="19"/>
      <c r="C308" s="15"/>
      <c r="D308" s="15"/>
      <c r="E308" s="16"/>
      <c r="F308" s="15"/>
      <c r="G308" s="15"/>
    </row>
    <row r="309">
      <c r="A309" s="18"/>
      <c r="B309" s="19"/>
      <c r="C309" s="15"/>
      <c r="D309" s="15"/>
      <c r="E309" s="16"/>
      <c r="F309" s="15"/>
      <c r="G309" s="15"/>
    </row>
    <row r="310">
      <c r="A310" s="18"/>
      <c r="B310" s="19"/>
      <c r="C310" s="15"/>
      <c r="D310" s="15"/>
      <c r="E310" s="16"/>
      <c r="F310" s="15"/>
      <c r="G310" s="15"/>
    </row>
    <row r="311">
      <c r="A311" s="18"/>
      <c r="B311" s="19"/>
      <c r="C311" s="15"/>
      <c r="D311" s="15"/>
      <c r="E311" s="16"/>
      <c r="F311" s="15"/>
      <c r="G311" s="15"/>
    </row>
    <row r="312">
      <c r="A312" s="18"/>
      <c r="B312" s="19"/>
      <c r="C312" s="15"/>
      <c r="D312" s="15"/>
      <c r="E312" s="16"/>
      <c r="F312" s="15"/>
      <c r="G312" s="15"/>
    </row>
    <row r="313">
      <c r="A313" s="18"/>
      <c r="B313" s="19"/>
      <c r="C313" s="15"/>
      <c r="D313" s="15"/>
      <c r="E313" s="16"/>
      <c r="F313" s="15"/>
      <c r="G313" s="15"/>
    </row>
    <row r="314">
      <c r="A314" s="18"/>
      <c r="B314" s="19"/>
      <c r="C314" s="15"/>
      <c r="D314" s="15"/>
      <c r="E314" s="16"/>
      <c r="F314" s="15"/>
      <c r="G314" s="15"/>
    </row>
    <row r="315">
      <c r="A315" s="18"/>
      <c r="B315" s="19"/>
      <c r="C315" s="15"/>
      <c r="D315" s="15"/>
      <c r="E315" s="16"/>
      <c r="F315" s="15"/>
      <c r="G315" s="15"/>
    </row>
    <row r="316">
      <c r="A316" s="18"/>
      <c r="B316" s="19"/>
      <c r="C316" s="15"/>
      <c r="D316" s="15"/>
      <c r="E316" s="16"/>
      <c r="F316" s="15"/>
      <c r="G316" s="15"/>
    </row>
    <row r="317">
      <c r="A317" s="18"/>
      <c r="B317" s="19"/>
      <c r="C317" s="15"/>
      <c r="D317" s="15"/>
      <c r="E317" s="16"/>
      <c r="F317" s="15"/>
      <c r="G317" s="15"/>
    </row>
    <row r="318">
      <c r="A318" s="18"/>
      <c r="B318" s="19"/>
      <c r="C318" s="15"/>
      <c r="D318" s="15"/>
      <c r="E318" s="16"/>
      <c r="F318" s="15"/>
      <c r="G318" s="15"/>
    </row>
    <row r="319">
      <c r="A319" s="18"/>
      <c r="B319" s="19"/>
      <c r="C319" s="15"/>
      <c r="D319" s="15"/>
      <c r="E319" s="16"/>
      <c r="F319" s="15"/>
      <c r="G319" s="15"/>
    </row>
    <row r="320">
      <c r="A320" s="18"/>
      <c r="B320" s="19"/>
      <c r="C320" s="15"/>
      <c r="D320" s="15"/>
      <c r="E320" s="16"/>
      <c r="F320" s="15"/>
      <c r="G320" s="15"/>
    </row>
    <row r="321">
      <c r="A321" s="18"/>
      <c r="B321" s="19"/>
      <c r="C321" s="15"/>
      <c r="D321" s="15"/>
      <c r="E321" s="16"/>
      <c r="F321" s="15"/>
      <c r="G321" s="15"/>
    </row>
    <row r="322">
      <c r="A322" s="18"/>
      <c r="B322" s="19"/>
      <c r="C322" s="15"/>
      <c r="D322" s="15"/>
      <c r="E322" s="16"/>
      <c r="F322" s="15"/>
      <c r="G322" s="15"/>
    </row>
    <row r="323">
      <c r="A323" s="18"/>
      <c r="B323" s="19"/>
      <c r="C323" s="15"/>
      <c r="D323" s="15"/>
      <c r="E323" s="16"/>
      <c r="F323" s="15"/>
      <c r="G323" s="15"/>
    </row>
    <row r="324">
      <c r="A324" s="18"/>
      <c r="B324" s="19"/>
      <c r="C324" s="15"/>
      <c r="D324" s="15"/>
      <c r="E324" s="16"/>
      <c r="F324" s="15"/>
      <c r="G324" s="15"/>
    </row>
    <row r="325">
      <c r="A325" s="18"/>
      <c r="B325" s="19"/>
      <c r="C325" s="15"/>
      <c r="D325" s="15"/>
      <c r="E325" s="16"/>
      <c r="F325" s="15"/>
      <c r="G325" s="15"/>
    </row>
    <row r="326">
      <c r="A326" s="18"/>
      <c r="B326" s="19"/>
      <c r="C326" s="15"/>
      <c r="D326" s="15"/>
      <c r="E326" s="16"/>
      <c r="F326" s="15"/>
      <c r="G326" s="15"/>
    </row>
    <row r="327">
      <c r="A327" s="18"/>
      <c r="B327" s="19"/>
      <c r="C327" s="15"/>
      <c r="D327" s="15"/>
      <c r="E327" s="16"/>
      <c r="F327" s="15"/>
      <c r="G327" s="15"/>
    </row>
    <row r="328">
      <c r="A328" s="18"/>
      <c r="B328" s="19"/>
      <c r="C328" s="15"/>
      <c r="D328" s="15"/>
      <c r="E328" s="16"/>
      <c r="F328" s="15"/>
      <c r="G328" s="15"/>
    </row>
    <row r="329">
      <c r="A329" s="18"/>
      <c r="B329" s="19"/>
      <c r="C329" s="15"/>
      <c r="D329" s="15"/>
      <c r="E329" s="16"/>
      <c r="F329" s="15"/>
      <c r="G329" s="15"/>
    </row>
    <row r="330">
      <c r="A330" s="18"/>
      <c r="B330" s="19"/>
      <c r="C330" s="15"/>
      <c r="D330" s="15"/>
      <c r="E330" s="16"/>
      <c r="F330" s="15"/>
      <c r="G330" s="15"/>
    </row>
    <row r="331">
      <c r="A331" s="18"/>
      <c r="B331" s="19"/>
      <c r="C331" s="15"/>
      <c r="D331" s="15"/>
      <c r="E331" s="16"/>
      <c r="F331" s="15"/>
      <c r="G331" s="15"/>
    </row>
    <row r="332">
      <c r="A332" s="18"/>
      <c r="B332" s="19"/>
      <c r="C332" s="15"/>
      <c r="D332" s="15"/>
      <c r="E332" s="16"/>
      <c r="F332" s="15"/>
      <c r="G332" s="15"/>
    </row>
    <row r="333">
      <c r="A333" s="18"/>
      <c r="B333" s="19"/>
      <c r="C333" s="15"/>
      <c r="D333" s="15"/>
      <c r="E333" s="16"/>
      <c r="F333" s="15"/>
      <c r="G333" s="15"/>
    </row>
    <row r="334">
      <c r="A334" s="18"/>
      <c r="B334" s="19"/>
      <c r="C334" s="15"/>
      <c r="D334" s="15"/>
      <c r="E334" s="16"/>
      <c r="F334" s="15"/>
      <c r="G334" s="15"/>
    </row>
    <row r="335">
      <c r="A335" s="18"/>
      <c r="B335" s="19"/>
      <c r="C335" s="15"/>
      <c r="D335" s="15"/>
      <c r="E335" s="16"/>
      <c r="F335" s="15"/>
      <c r="G335" s="15"/>
    </row>
    <row r="336">
      <c r="A336" s="18"/>
      <c r="B336" s="19"/>
      <c r="C336" s="15"/>
      <c r="D336" s="15"/>
      <c r="E336" s="16"/>
      <c r="F336" s="15"/>
      <c r="G336" s="15"/>
    </row>
    <row r="337">
      <c r="A337" s="18"/>
      <c r="B337" s="19"/>
      <c r="C337" s="15"/>
      <c r="D337" s="15"/>
      <c r="E337" s="16"/>
      <c r="F337" s="15"/>
      <c r="G337" s="15"/>
    </row>
    <row r="338">
      <c r="A338" s="18"/>
      <c r="B338" s="19"/>
      <c r="C338" s="15"/>
      <c r="D338" s="15"/>
      <c r="E338" s="16"/>
      <c r="F338" s="15"/>
      <c r="G338" s="15"/>
    </row>
    <row r="339">
      <c r="A339" s="18"/>
      <c r="B339" s="19"/>
      <c r="C339" s="15"/>
      <c r="D339" s="15"/>
      <c r="E339" s="16"/>
      <c r="F339" s="15"/>
      <c r="G339" s="15"/>
    </row>
    <row r="340">
      <c r="A340" s="18"/>
      <c r="B340" s="19"/>
      <c r="C340" s="15"/>
      <c r="D340" s="15"/>
      <c r="E340" s="16"/>
      <c r="F340" s="15"/>
      <c r="G340" s="15"/>
    </row>
    <row r="341">
      <c r="A341" s="18"/>
      <c r="B341" s="19"/>
      <c r="C341" s="15"/>
      <c r="D341" s="15"/>
      <c r="E341" s="16"/>
      <c r="F341" s="15"/>
      <c r="G341" s="15"/>
    </row>
    <row r="342">
      <c r="A342" s="18"/>
      <c r="B342" s="19"/>
      <c r="C342" s="15"/>
      <c r="D342" s="15"/>
      <c r="E342" s="16"/>
      <c r="F342" s="15"/>
      <c r="G342" s="15"/>
    </row>
    <row r="343">
      <c r="A343" s="18"/>
      <c r="B343" s="19"/>
      <c r="C343" s="15"/>
      <c r="D343" s="15"/>
      <c r="E343" s="16"/>
      <c r="F343" s="15"/>
      <c r="G343" s="15"/>
    </row>
    <row r="344">
      <c r="A344" s="18"/>
      <c r="B344" s="19"/>
      <c r="C344" s="15"/>
      <c r="D344" s="15"/>
      <c r="E344" s="16"/>
      <c r="F344" s="15"/>
      <c r="G344" s="15"/>
    </row>
    <row r="345">
      <c r="A345" s="18"/>
      <c r="B345" s="19"/>
      <c r="C345" s="15"/>
      <c r="D345" s="15"/>
      <c r="E345" s="16"/>
      <c r="F345" s="15"/>
      <c r="G345" s="15"/>
    </row>
    <row r="346">
      <c r="A346" s="18"/>
      <c r="B346" s="19"/>
      <c r="C346" s="15"/>
      <c r="D346" s="15"/>
      <c r="E346" s="16"/>
      <c r="F346" s="15"/>
      <c r="G346" s="15"/>
    </row>
    <row r="347">
      <c r="A347" s="18"/>
      <c r="B347" s="19"/>
      <c r="C347" s="15"/>
      <c r="D347" s="15"/>
      <c r="E347" s="16"/>
      <c r="F347" s="15"/>
      <c r="G347" s="15"/>
    </row>
    <row r="348">
      <c r="A348" s="18"/>
      <c r="B348" s="19"/>
      <c r="C348" s="15"/>
      <c r="D348" s="15"/>
      <c r="E348" s="16"/>
      <c r="F348" s="15"/>
      <c r="G348" s="15"/>
    </row>
    <row r="349">
      <c r="A349" s="18"/>
      <c r="B349" s="19"/>
      <c r="C349" s="15"/>
      <c r="D349" s="15"/>
      <c r="E349" s="16"/>
      <c r="F349" s="15"/>
      <c r="G349" s="15"/>
    </row>
    <row r="350">
      <c r="A350" s="18"/>
      <c r="B350" s="19"/>
      <c r="C350" s="15"/>
      <c r="D350" s="15"/>
      <c r="E350" s="16"/>
      <c r="F350" s="15"/>
      <c r="G350" s="15"/>
    </row>
    <row r="351">
      <c r="A351" s="18"/>
      <c r="B351" s="19"/>
      <c r="C351" s="15"/>
      <c r="D351" s="15"/>
      <c r="E351" s="16"/>
      <c r="F351" s="15"/>
      <c r="G351" s="15"/>
    </row>
    <row r="352">
      <c r="A352" s="18"/>
      <c r="B352" s="19"/>
      <c r="C352" s="15"/>
      <c r="D352" s="15"/>
      <c r="E352" s="16"/>
      <c r="F352" s="15"/>
      <c r="G352" s="15"/>
    </row>
    <row r="353">
      <c r="A353" s="18"/>
      <c r="B353" s="19"/>
      <c r="C353" s="15"/>
      <c r="D353" s="15"/>
      <c r="E353" s="16"/>
      <c r="F353" s="15"/>
      <c r="G353" s="15"/>
    </row>
    <row r="354">
      <c r="A354" s="18"/>
      <c r="B354" s="19"/>
      <c r="C354" s="15"/>
      <c r="D354" s="15"/>
      <c r="E354" s="16"/>
      <c r="F354" s="15"/>
      <c r="G354" s="15"/>
    </row>
    <row r="355">
      <c r="A355" s="18"/>
      <c r="B355" s="19"/>
      <c r="C355" s="15"/>
      <c r="D355" s="15"/>
      <c r="E355" s="16"/>
      <c r="F355" s="15"/>
      <c r="G355" s="15"/>
    </row>
    <row r="356">
      <c r="A356" s="18"/>
      <c r="B356" s="19"/>
      <c r="C356" s="15"/>
      <c r="D356" s="15"/>
      <c r="E356" s="16"/>
      <c r="F356" s="15"/>
      <c r="G356" s="15"/>
    </row>
    <row r="357">
      <c r="A357" s="18"/>
      <c r="B357" s="19"/>
      <c r="C357" s="15"/>
      <c r="D357" s="15"/>
      <c r="E357" s="16"/>
      <c r="F357" s="15"/>
      <c r="G357" s="15"/>
    </row>
    <row r="358">
      <c r="A358" s="18"/>
      <c r="B358" s="19"/>
      <c r="C358" s="15"/>
      <c r="D358" s="15"/>
      <c r="E358" s="16"/>
      <c r="F358" s="15"/>
      <c r="G358" s="15"/>
    </row>
    <row r="359">
      <c r="A359" s="18"/>
      <c r="B359" s="19"/>
      <c r="C359" s="15"/>
      <c r="D359" s="15"/>
      <c r="E359" s="16"/>
      <c r="F359" s="15"/>
      <c r="G359" s="15"/>
    </row>
    <row r="360">
      <c r="A360" s="18"/>
      <c r="B360" s="19"/>
      <c r="C360" s="15"/>
      <c r="D360" s="15"/>
      <c r="E360" s="16"/>
      <c r="F360" s="15"/>
      <c r="G360" s="15"/>
    </row>
    <row r="361">
      <c r="A361" s="18"/>
      <c r="B361" s="19"/>
      <c r="C361" s="15"/>
      <c r="D361" s="15"/>
      <c r="E361" s="16"/>
      <c r="F361" s="15"/>
      <c r="G361" s="15"/>
    </row>
    <row r="362">
      <c r="A362" s="18"/>
      <c r="B362" s="19"/>
      <c r="C362" s="15"/>
      <c r="D362" s="15"/>
      <c r="E362" s="16"/>
      <c r="F362" s="15"/>
      <c r="G362" s="15"/>
    </row>
    <row r="363">
      <c r="A363" s="18"/>
      <c r="B363" s="19"/>
      <c r="C363" s="15"/>
      <c r="D363" s="15"/>
      <c r="E363" s="16"/>
      <c r="F363" s="15"/>
      <c r="G363" s="15"/>
    </row>
    <row r="364">
      <c r="A364" s="18"/>
      <c r="B364" s="19"/>
      <c r="C364" s="15"/>
      <c r="D364" s="15"/>
      <c r="E364" s="16"/>
      <c r="F364" s="15"/>
      <c r="G364" s="15"/>
    </row>
    <row r="365">
      <c r="A365" s="18"/>
      <c r="B365" s="19"/>
      <c r="C365" s="15"/>
      <c r="D365" s="15"/>
      <c r="E365" s="16"/>
      <c r="F365" s="15"/>
      <c r="G365" s="15"/>
    </row>
    <row r="366">
      <c r="A366" s="18"/>
      <c r="B366" s="19"/>
      <c r="C366" s="15"/>
      <c r="D366" s="15"/>
      <c r="E366" s="16"/>
      <c r="F366" s="15"/>
      <c r="G366" s="15"/>
    </row>
    <row r="367">
      <c r="A367" s="18"/>
      <c r="B367" s="19"/>
      <c r="C367" s="15"/>
      <c r="D367" s="15"/>
      <c r="E367" s="16"/>
      <c r="F367" s="15"/>
      <c r="G367" s="15"/>
    </row>
    <row r="368">
      <c r="A368" s="18"/>
      <c r="B368" s="19"/>
      <c r="C368" s="15"/>
      <c r="D368" s="15"/>
      <c r="E368" s="16"/>
      <c r="F368" s="15"/>
      <c r="G368" s="15"/>
    </row>
    <row r="369">
      <c r="A369" s="18"/>
      <c r="B369" s="19"/>
      <c r="C369" s="15"/>
      <c r="D369" s="15"/>
      <c r="E369" s="16"/>
      <c r="F369" s="15"/>
      <c r="G369" s="15"/>
    </row>
    <row r="370">
      <c r="A370" s="18"/>
      <c r="B370" s="19"/>
      <c r="C370" s="15"/>
      <c r="D370" s="15"/>
      <c r="E370" s="16"/>
      <c r="F370" s="15"/>
      <c r="G370" s="15"/>
    </row>
    <row r="371">
      <c r="A371" s="18"/>
      <c r="B371" s="19"/>
      <c r="C371" s="15"/>
      <c r="D371" s="15"/>
      <c r="E371" s="16"/>
      <c r="F371" s="15"/>
      <c r="G371" s="15"/>
    </row>
    <row r="372">
      <c r="A372" s="18"/>
      <c r="B372" s="19"/>
      <c r="C372" s="15"/>
      <c r="D372" s="15"/>
      <c r="E372" s="16"/>
      <c r="F372" s="15"/>
      <c r="G372" s="15"/>
    </row>
    <row r="373">
      <c r="A373" s="18"/>
      <c r="B373" s="19"/>
      <c r="C373" s="15"/>
      <c r="D373" s="15"/>
      <c r="E373" s="16"/>
      <c r="F373" s="15"/>
      <c r="G373" s="15"/>
    </row>
    <row r="374">
      <c r="A374" s="18"/>
      <c r="B374" s="19"/>
      <c r="C374" s="15"/>
      <c r="D374" s="15"/>
      <c r="E374" s="16"/>
      <c r="F374" s="15"/>
      <c r="G374" s="15"/>
    </row>
    <row r="375">
      <c r="A375" s="18"/>
      <c r="B375" s="19"/>
      <c r="C375" s="15"/>
      <c r="D375" s="15"/>
      <c r="E375" s="16"/>
      <c r="F375" s="15"/>
      <c r="G375" s="15"/>
    </row>
    <row r="376">
      <c r="A376" s="18"/>
      <c r="B376" s="19"/>
      <c r="C376" s="15"/>
      <c r="D376" s="15"/>
      <c r="E376" s="16"/>
      <c r="F376" s="15"/>
      <c r="G376" s="15"/>
    </row>
    <row r="377">
      <c r="A377" s="18"/>
      <c r="B377" s="19"/>
      <c r="C377" s="15"/>
      <c r="D377" s="15"/>
      <c r="E377" s="16"/>
      <c r="F377" s="15"/>
      <c r="G377" s="15"/>
    </row>
    <row r="378">
      <c r="A378" s="18"/>
      <c r="B378" s="19"/>
      <c r="C378" s="15"/>
      <c r="D378" s="15"/>
      <c r="E378" s="16"/>
      <c r="F378" s="15"/>
      <c r="G378" s="15"/>
    </row>
    <row r="379">
      <c r="A379" s="18"/>
      <c r="B379" s="19"/>
      <c r="C379" s="15"/>
      <c r="D379" s="15"/>
      <c r="E379" s="16"/>
      <c r="F379" s="15"/>
      <c r="G379" s="15"/>
    </row>
    <row r="380">
      <c r="A380" s="18"/>
      <c r="B380" s="19"/>
      <c r="C380" s="15"/>
      <c r="D380" s="15"/>
      <c r="E380" s="16"/>
      <c r="F380" s="15"/>
      <c r="G380" s="15"/>
    </row>
    <row r="381">
      <c r="A381" s="18"/>
      <c r="B381" s="19"/>
      <c r="C381" s="15"/>
      <c r="D381" s="15"/>
      <c r="E381" s="16"/>
      <c r="F381" s="15"/>
      <c r="G381" s="15"/>
    </row>
    <row r="382">
      <c r="A382" s="18"/>
      <c r="B382" s="19"/>
      <c r="C382" s="15"/>
      <c r="D382" s="15"/>
      <c r="E382" s="16"/>
      <c r="F382" s="15"/>
      <c r="G382" s="15"/>
    </row>
    <row r="383">
      <c r="A383" s="18"/>
      <c r="B383" s="19"/>
      <c r="C383" s="15"/>
      <c r="D383" s="15"/>
      <c r="E383" s="16"/>
      <c r="F383" s="15"/>
      <c r="G383" s="15"/>
    </row>
    <row r="384">
      <c r="A384" s="18"/>
      <c r="B384" s="19"/>
      <c r="C384" s="15"/>
      <c r="D384" s="15"/>
      <c r="E384" s="16"/>
      <c r="F384" s="15"/>
      <c r="G384" s="15"/>
    </row>
    <row r="385">
      <c r="A385" s="18"/>
      <c r="B385" s="19"/>
      <c r="C385" s="15"/>
      <c r="D385" s="15"/>
      <c r="E385" s="16"/>
      <c r="F385" s="15"/>
      <c r="G385" s="15"/>
    </row>
    <row r="386">
      <c r="A386" s="18"/>
      <c r="B386" s="19"/>
      <c r="C386" s="15"/>
      <c r="D386" s="15"/>
      <c r="E386" s="16"/>
      <c r="F386" s="15"/>
      <c r="G386" s="15"/>
    </row>
    <row r="387">
      <c r="A387" s="18"/>
      <c r="B387" s="19"/>
      <c r="C387" s="15"/>
      <c r="D387" s="15"/>
      <c r="E387" s="16"/>
      <c r="F387" s="15"/>
      <c r="G387" s="15"/>
    </row>
    <row r="388">
      <c r="A388" s="18"/>
      <c r="B388" s="19"/>
      <c r="C388" s="15"/>
      <c r="D388" s="15"/>
      <c r="E388" s="16"/>
      <c r="F388" s="15"/>
      <c r="G388" s="15"/>
    </row>
    <row r="389">
      <c r="A389" s="18"/>
      <c r="B389" s="19"/>
      <c r="C389" s="15"/>
      <c r="D389" s="15"/>
      <c r="E389" s="16"/>
      <c r="F389" s="15"/>
      <c r="G389" s="15"/>
    </row>
    <row r="390">
      <c r="A390" s="18"/>
      <c r="B390" s="19"/>
      <c r="C390" s="15"/>
      <c r="D390" s="15"/>
      <c r="E390" s="16"/>
      <c r="F390" s="15"/>
      <c r="G390" s="15"/>
    </row>
    <row r="391">
      <c r="A391" s="18"/>
      <c r="B391" s="19"/>
      <c r="C391" s="15"/>
      <c r="D391" s="15"/>
      <c r="E391" s="16"/>
      <c r="F391" s="15"/>
      <c r="G391" s="15"/>
    </row>
    <row r="392">
      <c r="A392" s="18"/>
      <c r="B392" s="19"/>
      <c r="C392" s="15"/>
      <c r="D392" s="15"/>
      <c r="E392" s="16"/>
      <c r="F392" s="15"/>
      <c r="G392" s="15"/>
    </row>
    <row r="393">
      <c r="A393" s="18"/>
      <c r="B393" s="19"/>
      <c r="C393" s="15"/>
      <c r="D393" s="15"/>
      <c r="E393" s="16"/>
      <c r="F393" s="15"/>
      <c r="G393" s="15"/>
    </row>
    <row r="394">
      <c r="A394" s="18"/>
      <c r="B394" s="19"/>
      <c r="C394" s="15"/>
      <c r="D394" s="15"/>
      <c r="E394" s="16"/>
      <c r="F394" s="15"/>
      <c r="G394" s="15"/>
    </row>
    <row r="395">
      <c r="A395" s="18"/>
      <c r="B395" s="19"/>
      <c r="C395" s="15"/>
      <c r="D395" s="15"/>
      <c r="E395" s="16"/>
      <c r="F395" s="15"/>
      <c r="G395" s="15"/>
    </row>
    <row r="396">
      <c r="A396" s="18"/>
      <c r="B396" s="19"/>
      <c r="C396" s="15"/>
      <c r="D396" s="15"/>
      <c r="E396" s="16"/>
      <c r="F396" s="15"/>
      <c r="G396" s="15"/>
    </row>
    <row r="397">
      <c r="A397" s="18"/>
      <c r="B397" s="19"/>
      <c r="C397" s="15"/>
      <c r="D397" s="15"/>
      <c r="E397" s="16"/>
      <c r="F397" s="15"/>
      <c r="G397" s="15"/>
    </row>
    <row r="398">
      <c r="A398" s="18"/>
      <c r="B398" s="19"/>
      <c r="C398" s="15"/>
      <c r="D398" s="15"/>
      <c r="E398" s="16"/>
      <c r="F398" s="15"/>
      <c r="G398" s="15"/>
    </row>
    <row r="399">
      <c r="A399" s="18"/>
      <c r="B399" s="19"/>
      <c r="C399" s="15"/>
      <c r="D399" s="15"/>
      <c r="E399" s="16"/>
      <c r="F399" s="15"/>
      <c r="G399" s="15"/>
    </row>
    <row r="400">
      <c r="A400" s="18"/>
      <c r="B400" s="19"/>
      <c r="C400" s="15"/>
      <c r="D400" s="15"/>
      <c r="E400" s="16"/>
      <c r="F400" s="15"/>
      <c r="G400" s="15"/>
    </row>
    <row r="401">
      <c r="A401" s="18"/>
      <c r="B401" s="19"/>
      <c r="C401" s="15"/>
      <c r="D401" s="15"/>
      <c r="E401" s="16"/>
      <c r="F401" s="15"/>
      <c r="G401" s="15"/>
    </row>
    <row r="402">
      <c r="A402" s="18"/>
      <c r="B402" s="19"/>
      <c r="C402" s="15"/>
      <c r="D402" s="15"/>
      <c r="E402" s="16"/>
      <c r="F402" s="15"/>
      <c r="G402" s="15"/>
    </row>
    <row r="403">
      <c r="A403" s="18"/>
      <c r="B403" s="19"/>
      <c r="C403" s="15"/>
      <c r="D403" s="15"/>
      <c r="E403" s="16"/>
      <c r="F403" s="15"/>
      <c r="G403" s="15"/>
    </row>
    <row r="404">
      <c r="A404" s="18"/>
      <c r="B404" s="19"/>
      <c r="C404" s="15"/>
      <c r="D404" s="15"/>
      <c r="E404" s="16"/>
      <c r="F404" s="15"/>
      <c r="G404" s="15"/>
    </row>
    <row r="405">
      <c r="A405" s="18"/>
      <c r="B405" s="19"/>
      <c r="C405" s="15"/>
      <c r="D405" s="15"/>
      <c r="E405" s="16"/>
      <c r="F405" s="15"/>
      <c r="G405" s="15"/>
    </row>
    <row r="406">
      <c r="A406" s="18"/>
      <c r="B406" s="19"/>
      <c r="C406" s="15"/>
      <c r="D406" s="15"/>
      <c r="E406" s="16"/>
      <c r="F406" s="15"/>
      <c r="G406" s="15"/>
    </row>
    <row r="407">
      <c r="A407" s="18"/>
      <c r="B407" s="19"/>
      <c r="C407" s="15"/>
      <c r="D407" s="15"/>
      <c r="E407" s="16"/>
      <c r="F407" s="15"/>
      <c r="G407" s="15"/>
    </row>
    <row r="408">
      <c r="A408" s="18"/>
      <c r="B408" s="19"/>
      <c r="C408" s="15"/>
      <c r="D408" s="15"/>
      <c r="E408" s="16"/>
      <c r="F408" s="15"/>
      <c r="G408" s="15"/>
    </row>
    <row r="409">
      <c r="A409" s="18"/>
      <c r="B409" s="19"/>
      <c r="C409" s="15"/>
      <c r="D409" s="15"/>
      <c r="E409" s="16"/>
      <c r="F409" s="15"/>
      <c r="G409" s="15"/>
    </row>
    <row r="410">
      <c r="A410" s="18"/>
      <c r="B410" s="19"/>
      <c r="C410" s="15"/>
      <c r="D410" s="15"/>
      <c r="E410" s="16"/>
      <c r="F410" s="15"/>
      <c r="G410" s="15"/>
    </row>
    <row r="411">
      <c r="A411" s="18"/>
      <c r="B411" s="19"/>
      <c r="C411" s="15"/>
      <c r="D411" s="15"/>
      <c r="E411" s="16"/>
      <c r="F411" s="15"/>
      <c r="G411" s="15"/>
    </row>
    <row r="412">
      <c r="A412" s="18"/>
      <c r="B412" s="19"/>
      <c r="C412" s="15"/>
      <c r="D412" s="15"/>
      <c r="E412" s="16"/>
      <c r="F412" s="15"/>
      <c r="G412" s="15"/>
    </row>
    <row r="413">
      <c r="A413" s="18"/>
      <c r="B413" s="19"/>
      <c r="C413" s="15"/>
      <c r="D413" s="15"/>
      <c r="E413" s="16"/>
      <c r="F413" s="15"/>
      <c r="G413" s="15"/>
    </row>
    <row r="414">
      <c r="A414" s="18"/>
      <c r="B414" s="19"/>
      <c r="C414" s="15"/>
      <c r="D414" s="15"/>
      <c r="E414" s="16"/>
      <c r="F414" s="15"/>
      <c r="G414" s="15"/>
    </row>
    <row r="415">
      <c r="A415" s="18"/>
      <c r="B415" s="19"/>
      <c r="C415" s="15"/>
      <c r="D415" s="15"/>
      <c r="E415" s="16"/>
      <c r="F415" s="15"/>
      <c r="G415" s="15"/>
    </row>
    <row r="416">
      <c r="A416" s="18"/>
      <c r="B416" s="19"/>
      <c r="C416" s="15"/>
      <c r="D416" s="15"/>
      <c r="E416" s="16"/>
      <c r="F416" s="15"/>
      <c r="G416" s="15"/>
    </row>
    <row r="417">
      <c r="A417" s="18"/>
      <c r="B417" s="19"/>
      <c r="C417" s="15"/>
      <c r="D417" s="15"/>
      <c r="E417" s="16"/>
      <c r="F417" s="15"/>
      <c r="G417" s="15"/>
    </row>
    <row r="418">
      <c r="A418" s="18"/>
      <c r="B418" s="19"/>
      <c r="C418" s="15"/>
      <c r="D418" s="15"/>
      <c r="E418" s="16"/>
      <c r="F418" s="15"/>
      <c r="G418" s="15"/>
    </row>
    <row r="419">
      <c r="A419" s="18"/>
      <c r="B419" s="19"/>
      <c r="C419" s="15"/>
      <c r="D419" s="15"/>
      <c r="E419" s="16"/>
      <c r="F419" s="15"/>
      <c r="G419" s="15"/>
    </row>
    <row r="420">
      <c r="A420" s="18"/>
      <c r="B420" s="19"/>
      <c r="C420" s="15"/>
      <c r="D420" s="15"/>
      <c r="E420" s="16"/>
      <c r="F420" s="15"/>
      <c r="G420" s="15"/>
    </row>
    <row r="421">
      <c r="A421" s="18"/>
      <c r="B421" s="19"/>
      <c r="C421" s="15"/>
      <c r="D421" s="15"/>
      <c r="E421" s="16"/>
      <c r="F421" s="15"/>
      <c r="G421" s="15"/>
    </row>
    <row r="422">
      <c r="A422" s="18"/>
      <c r="B422" s="19"/>
      <c r="C422" s="15"/>
      <c r="D422" s="15"/>
      <c r="E422" s="16"/>
      <c r="F422" s="15"/>
      <c r="G422" s="15"/>
    </row>
    <row r="423">
      <c r="A423" s="18"/>
      <c r="B423" s="19"/>
      <c r="C423" s="15"/>
      <c r="D423" s="15"/>
      <c r="E423" s="16"/>
      <c r="F423" s="15"/>
      <c r="G423" s="15"/>
    </row>
    <row r="424">
      <c r="A424" s="18"/>
      <c r="B424" s="19"/>
      <c r="C424" s="15"/>
      <c r="D424" s="15"/>
      <c r="E424" s="16"/>
      <c r="F424" s="15"/>
      <c r="G424" s="15"/>
    </row>
    <row r="425">
      <c r="A425" s="18"/>
      <c r="B425" s="19"/>
      <c r="C425" s="15"/>
      <c r="D425" s="15"/>
      <c r="E425" s="16"/>
      <c r="F425" s="15"/>
      <c r="G425" s="15"/>
    </row>
    <row r="426">
      <c r="A426" s="18"/>
      <c r="B426" s="19"/>
      <c r="C426" s="15"/>
      <c r="D426" s="15"/>
      <c r="E426" s="16"/>
      <c r="F426" s="15"/>
      <c r="G426" s="15"/>
    </row>
    <row r="427">
      <c r="A427" s="18"/>
      <c r="B427" s="19"/>
      <c r="C427" s="15"/>
      <c r="D427" s="15"/>
      <c r="E427" s="16"/>
      <c r="F427" s="15"/>
      <c r="G427" s="15"/>
    </row>
    <row r="428">
      <c r="A428" s="18"/>
      <c r="B428" s="19"/>
      <c r="C428" s="15"/>
      <c r="D428" s="15"/>
      <c r="E428" s="16"/>
      <c r="F428" s="15"/>
      <c r="G428" s="15"/>
    </row>
    <row r="429">
      <c r="A429" s="18"/>
      <c r="B429" s="19"/>
      <c r="C429" s="15"/>
      <c r="D429" s="15"/>
      <c r="E429" s="16"/>
      <c r="F429" s="15"/>
      <c r="G429" s="15"/>
    </row>
    <row r="430">
      <c r="A430" s="18"/>
      <c r="B430" s="19"/>
      <c r="C430" s="15"/>
      <c r="D430" s="15"/>
      <c r="E430" s="16"/>
      <c r="F430" s="15"/>
      <c r="G430" s="15"/>
    </row>
    <row r="431">
      <c r="A431" s="18"/>
      <c r="B431" s="19"/>
      <c r="C431" s="15"/>
      <c r="D431" s="15"/>
      <c r="E431" s="16"/>
      <c r="F431" s="15"/>
      <c r="G431" s="15"/>
    </row>
    <row r="432">
      <c r="A432" s="18"/>
      <c r="B432" s="19"/>
      <c r="C432" s="15"/>
      <c r="D432" s="15"/>
      <c r="E432" s="16"/>
      <c r="F432" s="15"/>
      <c r="G432" s="15"/>
    </row>
    <row r="433">
      <c r="A433" s="18"/>
      <c r="B433" s="19"/>
      <c r="C433" s="15"/>
      <c r="D433" s="15"/>
      <c r="E433" s="16"/>
      <c r="F433" s="15"/>
      <c r="G433" s="15"/>
    </row>
    <row r="434">
      <c r="A434" s="18"/>
      <c r="B434" s="19"/>
      <c r="C434" s="15"/>
      <c r="D434" s="15"/>
      <c r="E434" s="16"/>
      <c r="F434" s="15"/>
      <c r="G434" s="15"/>
    </row>
    <row r="435">
      <c r="A435" s="18"/>
      <c r="B435" s="19"/>
      <c r="C435" s="15"/>
      <c r="D435" s="15"/>
      <c r="E435" s="16"/>
      <c r="F435" s="15"/>
      <c r="G435" s="15"/>
    </row>
    <row r="436">
      <c r="A436" s="18"/>
      <c r="B436" s="19"/>
      <c r="C436" s="15"/>
      <c r="D436" s="15"/>
      <c r="E436" s="16"/>
      <c r="F436" s="15"/>
      <c r="G436" s="15"/>
    </row>
    <row r="437">
      <c r="A437" s="18"/>
      <c r="B437" s="19"/>
      <c r="C437" s="15"/>
      <c r="D437" s="15"/>
      <c r="E437" s="16"/>
      <c r="F437" s="15"/>
      <c r="G437" s="15"/>
    </row>
    <row r="438">
      <c r="A438" s="18"/>
      <c r="B438" s="19"/>
      <c r="C438" s="15"/>
      <c r="D438" s="15"/>
      <c r="E438" s="16"/>
      <c r="F438" s="15"/>
      <c r="G438" s="15"/>
    </row>
    <row r="439">
      <c r="A439" s="18"/>
      <c r="B439" s="19"/>
      <c r="C439" s="15"/>
      <c r="D439" s="15"/>
      <c r="E439" s="16"/>
      <c r="F439" s="15"/>
      <c r="G439" s="15"/>
    </row>
    <row r="440">
      <c r="A440" s="18"/>
      <c r="B440" s="19"/>
      <c r="C440" s="15"/>
      <c r="D440" s="15"/>
      <c r="E440" s="16"/>
      <c r="F440" s="15"/>
      <c r="G440" s="15"/>
    </row>
    <row r="441">
      <c r="A441" s="18"/>
      <c r="B441" s="19"/>
      <c r="C441" s="15"/>
      <c r="D441" s="15"/>
      <c r="E441" s="16"/>
      <c r="F441" s="15"/>
      <c r="G441" s="15"/>
    </row>
    <row r="442">
      <c r="A442" s="18"/>
      <c r="B442" s="19"/>
      <c r="C442" s="15"/>
      <c r="D442" s="15"/>
      <c r="E442" s="16"/>
      <c r="F442" s="15"/>
      <c r="G442" s="15"/>
    </row>
    <row r="443">
      <c r="A443" s="18"/>
      <c r="B443" s="19"/>
      <c r="C443" s="15"/>
      <c r="D443" s="15"/>
      <c r="E443" s="16"/>
      <c r="F443" s="15"/>
      <c r="G443" s="15"/>
    </row>
    <row r="444">
      <c r="A444" s="18"/>
      <c r="B444" s="19"/>
      <c r="C444" s="15"/>
      <c r="D444" s="15"/>
      <c r="E444" s="16"/>
      <c r="F444" s="15"/>
      <c r="G444" s="15"/>
    </row>
    <row r="445">
      <c r="A445" s="18"/>
      <c r="B445" s="19"/>
      <c r="C445" s="15"/>
      <c r="D445" s="15"/>
      <c r="E445" s="16"/>
      <c r="F445" s="15"/>
      <c r="G445" s="15"/>
    </row>
    <row r="446">
      <c r="A446" s="18"/>
      <c r="B446" s="19"/>
      <c r="C446" s="15"/>
      <c r="D446" s="15"/>
      <c r="E446" s="16"/>
      <c r="F446" s="15"/>
      <c r="G446" s="15"/>
    </row>
    <row r="447">
      <c r="A447" s="18"/>
      <c r="B447" s="19"/>
      <c r="C447" s="15"/>
      <c r="D447" s="15"/>
      <c r="E447" s="16"/>
      <c r="F447" s="15"/>
      <c r="G447" s="15"/>
    </row>
    <row r="448">
      <c r="A448" s="18"/>
      <c r="B448" s="19"/>
      <c r="C448" s="15"/>
      <c r="D448" s="15"/>
      <c r="E448" s="16"/>
      <c r="F448" s="15"/>
      <c r="G448" s="15"/>
    </row>
    <row r="449">
      <c r="A449" s="18"/>
      <c r="B449" s="19"/>
      <c r="C449" s="15"/>
      <c r="D449" s="15"/>
      <c r="E449" s="16"/>
      <c r="F449" s="15"/>
      <c r="G449" s="15"/>
    </row>
    <row r="450">
      <c r="A450" s="18"/>
      <c r="B450" s="19"/>
      <c r="C450" s="15"/>
      <c r="D450" s="15"/>
      <c r="E450" s="16"/>
      <c r="F450" s="15"/>
      <c r="G450" s="15"/>
    </row>
    <row r="451">
      <c r="A451" s="18"/>
      <c r="B451" s="19"/>
      <c r="C451" s="15"/>
      <c r="D451" s="15"/>
      <c r="E451" s="16"/>
      <c r="F451" s="15"/>
      <c r="G451" s="15"/>
    </row>
    <row r="452">
      <c r="A452" s="18"/>
      <c r="B452" s="19"/>
      <c r="C452" s="15"/>
      <c r="D452" s="15"/>
      <c r="E452" s="16"/>
      <c r="F452" s="15"/>
      <c r="G452" s="15"/>
    </row>
    <row r="453">
      <c r="A453" s="18"/>
      <c r="B453" s="19"/>
      <c r="C453" s="15"/>
      <c r="D453" s="15"/>
      <c r="E453" s="16"/>
      <c r="F453" s="15"/>
      <c r="G453" s="15"/>
    </row>
    <row r="454">
      <c r="A454" s="18"/>
      <c r="B454" s="19"/>
      <c r="C454" s="15"/>
      <c r="D454" s="15"/>
      <c r="E454" s="16"/>
      <c r="F454" s="15"/>
      <c r="G454" s="15"/>
    </row>
    <row r="455">
      <c r="A455" s="18"/>
      <c r="B455" s="19"/>
      <c r="C455" s="15"/>
      <c r="D455" s="15"/>
      <c r="E455" s="16"/>
      <c r="F455" s="15"/>
      <c r="G455" s="15"/>
    </row>
    <row r="456">
      <c r="A456" s="18"/>
      <c r="B456" s="19"/>
      <c r="C456" s="15"/>
      <c r="D456" s="15"/>
      <c r="E456" s="16"/>
      <c r="F456" s="15"/>
      <c r="G456" s="15"/>
    </row>
    <row r="457">
      <c r="A457" s="18"/>
      <c r="B457" s="19"/>
      <c r="C457" s="15"/>
      <c r="D457" s="15"/>
      <c r="E457" s="16"/>
      <c r="F457" s="15"/>
      <c r="G457" s="15"/>
    </row>
    <row r="458">
      <c r="A458" s="18"/>
      <c r="B458" s="19"/>
      <c r="C458" s="15"/>
      <c r="D458" s="15"/>
      <c r="E458" s="16"/>
      <c r="F458" s="15"/>
      <c r="G458" s="15"/>
    </row>
    <row r="459">
      <c r="A459" s="18"/>
      <c r="B459" s="19"/>
      <c r="C459" s="15"/>
      <c r="D459" s="15"/>
      <c r="E459" s="16"/>
      <c r="F459" s="15"/>
      <c r="G459" s="15"/>
    </row>
    <row r="460">
      <c r="A460" s="18"/>
      <c r="B460" s="19"/>
      <c r="C460" s="15"/>
      <c r="D460" s="15"/>
      <c r="E460" s="16"/>
      <c r="F460" s="15"/>
      <c r="G460" s="15"/>
    </row>
    <row r="461">
      <c r="A461" s="18"/>
      <c r="B461" s="19"/>
      <c r="C461" s="15"/>
      <c r="D461" s="15"/>
      <c r="E461" s="16"/>
      <c r="F461" s="15"/>
      <c r="G461" s="15"/>
    </row>
    <row r="462">
      <c r="A462" s="18"/>
      <c r="B462" s="19"/>
      <c r="C462" s="15"/>
      <c r="D462" s="15"/>
      <c r="E462" s="16"/>
      <c r="F462" s="15"/>
      <c r="G462" s="15"/>
    </row>
    <row r="463">
      <c r="A463" s="18"/>
      <c r="B463" s="19"/>
      <c r="C463" s="15"/>
      <c r="D463" s="15"/>
      <c r="E463" s="16"/>
      <c r="F463" s="15"/>
      <c r="G463" s="15"/>
    </row>
    <row r="464">
      <c r="A464" s="18"/>
      <c r="B464" s="19"/>
      <c r="C464" s="15"/>
      <c r="D464" s="15"/>
      <c r="E464" s="16"/>
      <c r="F464" s="15"/>
      <c r="G464" s="15"/>
    </row>
    <row r="465">
      <c r="A465" s="18"/>
      <c r="B465" s="19"/>
      <c r="C465" s="15"/>
      <c r="D465" s="15"/>
      <c r="E465" s="16"/>
      <c r="F465" s="15"/>
      <c r="G465" s="15"/>
    </row>
    <row r="466">
      <c r="A466" s="18"/>
      <c r="B466" s="19"/>
      <c r="C466" s="15"/>
      <c r="D466" s="15"/>
      <c r="E466" s="16"/>
      <c r="F466" s="15"/>
      <c r="G466" s="15"/>
    </row>
    <row r="467">
      <c r="A467" s="18"/>
      <c r="B467" s="19"/>
      <c r="C467" s="15"/>
      <c r="D467" s="15"/>
      <c r="E467" s="16"/>
      <c r="F467" s="15"/>
      <c r="G467" s="15"/>
    </row>
    <row r="468">
      <c r="A468" s="18"/>
      <c r="B468" s="19"/>
      <c r="C468" s="15"/>
      <c r="D468" s="15"/>
      <c r="E468" s="16"/>
      <c r="F468" s="15"/>
      <c r="G468" s="15"/>
    </row>
    <row r="469">
      <c r="A469" s="18"/>
      <c r="B469" s="19"/>
      <c r="C469" s="15"/>
      <c r="D469" s="15"/>
      <c r="E469" s="16"/>
      <c r="F469" s="15"/>
      <c r="G469" s="15"/>
    </row>
    <row r="470">
      <c r="A470" s="18"/>
      <c r="B470" s="19"/>
      <c r="C470" s="15"/>
      <c r="D470" s="15"/>
      <c r="E470" s="16"/>
      <c r="F470" s="15"/>
      <c r="G470" s="15"/>
    </row>
    <row r="471">
      <c r="A471" s="18"/>
      <c r="B471" s="19"/>
      <c r="C471" s="15"/>
      <c r="D471" s="15"/>
      <c r="E471" s="16"/>
      <c r="F471" s="15"/>
      <c r="G471" s="15"/>
    </row>
    <row r="472">
      <c r="A472" s="18"/>
      <c r="B472" s="19"/>
      <c r="C472" s="15"/>
      <c r="D472" s="15"/>
      <c r="E472" s="16"/>
      <c r="F472" s="15"/>
      <c r="G472" s="15"/>
    </row>
    <row r="473">
      <c r="A473" s="18"/>
      <c r="B473" s="19"/>
      <c r="C473" s="15"/>
      <c r="D473" s="15"/>
      <c r="E473" s="16"/>
      <c r="F473" s="15"/>
      <c r="G473" s="15"/>
    </row>
    <row r="474">
      <c r="A474" s="18"/>
      <c r="B474" s="19"/>
      <c r="C474" s="15"/>
      <c r="D474" s="15"/>
      <c r="E474" s="16"/>
      <c r="F474" s="15"/>
      <c r="G474" s="15"/>
    </row>
    <row r="475">
      <c r="A475" s="18"/>
      <c r="B475" s="19"/>
      <c r="C475" s="15"/>
      <c r="D475" s="15"/>
      <c r="E475" s="16"/>
      <c r="F475" s="15"/>
      <c r="G475" s="15"/>
    </row>
    <row r="476">
      <c r="A476" s="18"/>
      <c r="B476" s="19"/>
      <c r="C476" s="15"/>
      <c r="D476" s="15"/>
      <c r="E476" s="16"/>
      <c r="F476" s="15"/>
      <c r="G476" s="15"/>
    </row>
    <row r="477">
      <c r="A477" s="18"/>
      <c r="B477" s="19"/>
      <c r="C477" s="15"/>
      <c r="D477" s="15"/>
      <c r="E477" s="16"/>
      <c r="F477" s="15"/>
      <c r="G477" s="15"/>
    </row>
    <row r="478">
      <c r="A478" s="18"/>
      <c r="B478" s="19"/>
      <c r="C478" s="15"/>
      <c r="D478" s="15"/>
      <c r="E478" s="16"/>
      <c r="F478" s="15"/>
      <c r="G478" s="15"/>
    </row>
    <row r="479">
      <c r="A479" s="18"/>
      <c r="B479" s="19"/>
      <c r="C479" s="15"/>
      <c r="D479" s="15"/>
      <c r="E479" s="16"/>
      <c r="F479" s="15"/>
      <c r="G479" s="15"/>
    </row>
    <row r="480">
      <c r="A480" s="18"/>
      <c r="B480" s="19"/>
      <c r="C480" s="15"/>
      <c r="D480" s="15"/>
      <c r="E480" s="16"/>
      <c r="F480" s="15"/>
      <c r="G480" s="15"/>
    </row>
    <row r="481">
      <c r="A481" s="18"/>
      <c r="B481" s="19"/>
      <c r="C481" s="15"/>
      <c r="D481" s="15"/>
      <c r="E481" s="16"/>
      <c r="F481" s="15"/>
      <c r="G481" s="15"/>
    </row>
    <row r="482">
      <c r="A482" s="18"/>
      <c r="B482" s="19"/>
      <c r="C482" s="15"/>
      <c r="D482" s="15"/>
      <c r="E482" s="16"/>
      <c r="F482" s="15"/>
      <c r="G482" s="15"/>
    </row>
    <row r="483">
      <c r="A483" s="18"/>
      <c r="B483" s="19"/>
      <c r="C483" s="15"/>
      <c r="D483" s="15"/>
      <c r="E483" s="16"/>
      <c r="F483" s="15"/>
      <c r="G483" s="15"/>
    </row>
    <row r="484">
      <c r="A484" s="18"/>
      <c r="B484" s="19"/>
      <c r="C484" s="15"/>
      <c r="D484" s="15"/>
      <c r="E484" s="16"/>
      <c r="F484" s="15"/>
      <c r="G484" s="15"/>
    </row>
    <row r="485">
      <c r="A485" s="18"/>
      <c r="B485" s="19"/>
      <c r="C485" s="15"/>
      <c r="D485" s="15"/>
      <c r="E485" s="16"/>
      <c r="F485" s="15"/>
      <c r="G485" s="15"/>
    </row>
    <row r="486">
      <c r="A486" s="18"/>
      <c r="B486" s="19"/>
      <c r="C486" s="15"/>
      <c r="D486" s="15"/>
      <c r="E486" s="16"/>
      <c r="F486" s="15"/>
      <c r="G486" s="15"/>
    </row>
    <row r="487">
      <c r="A487" s="18"/>
      <c r="B487" s="19"/>
      <c r="C487" s="15"/>
      <c r="D487" s="15"/>
      <c r="E487" s="16"/>
      <c r="F487" s="15"/>
      <c r="G487" s="15"/>
    </row>
    <row r="488">
      <c r="A488" s="18"/>
      <c r="B488" s="19"/>
      <c r="C488" s="15"/>
      <c r="D488" s="15"/>
      <c r="E488" s="16"/>
      <c r="F488" s="15"/>
      <c r="G488" s="15"/>
    </row>
    <row r="489">
      <c r="A489" s="18"/>
      <c r="B489" s="19"/>
      <c r="C489" s="15"/>
      <c r="D489" s="15"/>
      <c r="E489" s="16"/>
      <c r="F489" s="15"/>
      <c r="G489" s="15"/>
    </row>
    <row r="490">
      <c r="A490" s="18"/>
      <c r="B490" s="19"/>
      <c r="C490" s="15"/>
      <c r="D490" s="15"/>
      <c r="E490" s="16"/>
      <c r="F490" s="15"/>
      <c r="G490" s="15"/>
    </row>
    <row r="491">
      <c r="A491" s="18"/>
      <c r="B491" s="19"/>
      <c r="C491" s="15"/>
      <c r="D491" s="15"/>
      <c r="E491" s="16"/>
      <c r="F491" s="15"/>
      <c r="G491" s="15"/>
    </row>
    <row r="492">
      <c r="A492" s="18"/>
      <c r="B492" s="19"/>
      <c r="C492" s="15"/>
      <c r="D492" s="15"/>
      <c r="E492" s="16"/>
      <c r="F492" s="15"/>
      <c r="G492" s="15"/>
    </row>
    <row r="493">
      <c r="A493" s="18"/>
      <c r="B493" s="19"/>
      <c r="C493" s="15"/>
      <c r="D493" s="15"/>
      <c r="E493" s="16"/>
      <c r="F493" s="15"/>
      <c r="G493" s="15"/>
    </row>
    <row r="494">
      <c r="A494" s="18"/>
      <c r="B494" s="19"/>
      <c r="C494" s="15"/>
      <c r="D494" s="15"/>
      <c r="E494" s="16"/>
      <c r="F494" s="15"/>
      <c r="G494" s="15"/>
    </row>
    <row r="495">
      <c r="A495" s="18"/>
      <c r="B495" s="19"/>
      <c r="C495" s="15"/>
      <c r="D495" s="15"/>
      <c r="E495" s="16"/>
      <c r="F495" s="15"/>
      <c r="G495" s="15"/>
    </row>
    <row r="496">
      <c r="A496" s="18"/>
      <c r="B496" s="19"/>
      <c r="C496" s="15"/>
      <c r="D496" s="15"/>
      <c r="E496" s="16"/>
      <c r="F496" s="15"/>
      <c r="G496" s="15"/>
    </row>
    <row r="497">
      <c r="A497" s="18"/>
      <c r="B497" s="19"/>
      <c r="C497" s="15"/>
      <c r="D497" s="15"/>
      <c r="E497" s="16"/>
      <c r="F497" s="15"/>
      <c r="G497" s="15"/>
    </row>
    <row r="498">
      <c r="A498" s="18"/>
      <c r="B498" s="19"/>
      <c r="C498" s="15"/>
      <c r="D498" s="15"/>
      <c r="E498" s="16"/>
      <c r="F498" s="15"/>
      <c r="G498" s="15"/>
    </row>
    <row r="499">
      <c r="A499" s="18"/>
      <c r="B499" s="19"/>
      <c r="C499" s="15"/>
      <c r="D499" s="15"/>
      <c r="E499" s="16"/>
      <c r="F499" s="15"/>
      <c r="G499" s="15"/>
    </row>
    <row r="500">
      <c r="A500" s="18"/>
      <c r="B500" s="19"/>
      <c r="C500" s="15"/>
      <c r="D500" s="15"/>
      <c r="E500" s="16"/>
      <c r="F500" s="15"/>
      <c r="G500" s="15"/>
    </row>
  </sheetData>
  <mergeCells count="1">
    <mergeCell ref="C1:G1"/>
  </mergeCells>
  <drawing r:id="rId1"/>
</worksheet>
</file>